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2" windowWidth="15480" windowHeight="7932"/>
  </bookViews>
  <sheets>
    <sheet name="Sheet1" sheetId="5" r:id="rId1"/>
  </sheets>
  <definedNames>
    <definedName name="_xlnm._FilterDatabase" localSheetId="0" hidden="1">Sheet1!$A$10012:$AJ$10305</definedName>
    <definedName name="_xlnm.Print_Area" localSheetId="0">Sheet1!$A$16073:$P$16109</definedName>
  </definedNames>
  <calcPr calcId="124519"/>
</workbook>
</file>

<file path=xl/calcChain.xml><?xml version="1.0" encoding="utf-8"?>
<calcChain xmlns="http://schemas.openxmlformats.org/spreadsheetml/2006/main">
  <c r="L15967" i="5"/>
  <c r="L15968" s="1"/>
  <c r="L15523" l="1"/>
  <c r="L15522"/>
  <c r="L15524" s="1"/>
  <c r="T15515"/>
  <c r="S15514"/>
  <c r="T15514" s="1"/>
  <c r="T15516" s="1"/>
  <c r="S15519"/>
  <c r="T15519" s="1"/>
  <c r="T15520" s="1"/>
  <c r="L17079"/>
  <c r="L17078"/>
  <c r="L17077"/>
  <c r="L17076"/>
  <c r="L17080" s="1"/>
  <c r="K17087"/>
  <c r="K17106"/>
  <c r="L17105"/>
  <c r="L17106" s="1"/>
  <c r="S15516" l="1"/>
  <c r="S15520"/>
  <c r="M17093"/>
  <c r="K17093"/>
  <c r="O17092"/>
  <c r="N17092"/>
  <c r="L17092"/>
  <c r="O17091"/>
  <c r="N17091"/>
  <c r="L17091"/>
  <c r="L17086"/>
  <c r="L17085"/>
  <c r="L17084"/>
  <c r="L17083"/>
  <c r="K17124"/>
  <c r="L17123"/>
  <c r="L17124" s="1"/>
  <c r="K17103"/>
  <c r="L17102"/>
  <c r="L17103" s="1"/>
  <c r="K17121"/>
  <c r="K17125" s="1"/>
  <c r="L17120"/>
  <c r="L17121" s="1"/>
  <c r="K17100"/>
  <c r="L17099"/>
  <c r="L17100" s="1"/>
  <c r="K17080"/>
  <c r="K17116"/>
  <c r="L17115"/>
  <c r="L17114"/>
  <c r="L17113"/>
  <c r="K17111"/>
  <c r="L17110"/>
  <c r="L17111" s="1"/>
  <c r="K17129"/>
  <c r="L17128"/>
  <c r="L17129" s="1"/>
  <c r="K17097"/>
  <c r="L17096"/>
  <c r="L17097" l="1"/>
  <c r="L17107"/>
  <c r="K17107"/>
  <c r="K17117"/>
  <c r="L17087"/>
  <c r="L17093"/>
  <c r="L17125"/>
  <c r="N17093"/>
  <c r="N17131" s="1"/>
  <c r="L17116"/>
  <c r="L17117" s="1"/>
  <c r="K17014"/>
  <c r="L17013"/>
  <c r="L17012"/>
  <c r="L17011"/>
  <c r="K17044"/>
  <c r="L17043"/>
  <c r="K17003"/>
  <c r="L17002"/>
  <c r="L17001"/>
  <c r="K17027"/>
  <c r="L17026"/>
  <c r="L17025"/>
  <c r="L17024"/>
  <c r="K17039"/>
  <c r="L17038"/>
  <c r="L17039" s="1"/>
  <c r="K17020"/>
  <c r="L17019"/>
  <c r="L17018"/>
  <c r="K17007"/>
  <c r="L17006"/>
  <c r="L17005"/>
  <c r="K17036"/>
  <c r="L17035"/>
  <c r="L17036" s="1"/>
  <c r="K16999"/>
  <c r="L16998"/>
  <c r="L16997"/>
  <c r="L16996"/>
  <c r="L16995"/>
  <c r="L16994"/>
  <c r="L16993"/>
  <c r="K17056"/>
  <c r="L17055"/>
  <c r="L17054"/>
  <c r="K16991"/>
  <c r="L16990"/>
  <c r="L16989"/>
  <c r="L16988"/>
  <c r="K16986"/>
  <c r="L16985"/>
  <c r="L16986" s="1"/>
  <c r="K17052"/>
  <c r="L17051"/>
  <c r="L17052" s="1"/>
  <c r="K17047"/>
  <c r="L17046"/>
  <c r="L17047" s="1"/>
  <c r="K17033"/>
  <c r="K17040" s="1"/>
  <c r="L17032"/>
  <c r="L17031"/>
  <c r="L17030"/>
  <c r="K16983"/>
  <c r="L16982"/>
  <c r="L16981"/>
  <c r="L16980"/>
  <c r="L17131" l="1"/>
  <c r="O17093"/>
  <c r="K17048"/>
  <c r="L17044"/>
  <c r="L17048" s="1"/>
  <c r="K17008"/>
  <c r="L17027"/>
  <c r="L16983"/>
  <c r="L17033"/>
  <c r="L17040" s="1"/>
  <c r="L17003"/>
  <c r="L16991"/>
  <c r="L17056"/>
  <c r="L17007"/>
  <c r="L17020"/>
  <c r="L17014"/>
  <c r="L16999"/>
  <c r="L17008" l="1"/>
  <c r="L17061" s="1"/>
  <c r="N16692" l="1"/>
  <c r="N16693" s="1"/>
  <c r="K16714"/>
  <c r="L16713"/>
  <c r="L16712"/>
  <c r="L16711"/>
  <c r="L16714" l="1"/>
  <c r="R15539" l="1"/>
  <c r="R15536"/>
  <c r="R15535"/>
  <c r="R15534"/>
  <c r="R15537" s="1"/>
  <c r="Q15537"/>
  <c r="Q15540"/>
  <c r="R15540" s="1"/>
  <c r="R15541" s="1"/>
  <c r="R15515"/>
  <c r="Q15519"/>
  <c r="R15519" s="1"/>
  <c r="R15520" s="1"/>
  <c r="Q15514"/>
  <c r="R15483"/>
  <c r="Q15474"/>
  <c r="R15474" s="1"/>
  <c r="Q15480"/>
  <c r="R15480" s="1"/>
  <c r="Q15482"/>
  <c r="R15482" s="1"/>
  <c r="Q15481"/>
  <c r="R15481" s="1"/>
  <c r="Q15541" l="1"/>
  <c r="Q15542" s="1"/>
  <c r="R15542"/>
  <c r="R15475"/>
  <c r="R15484"/>
  <c r="Q15475"/>
  <c r="Q15484"/>
  <c r="Q15520"/>
  <c r="R15514"/>
  <c r="Q15516"/>
  <c r="Q15525" s="1"/>
  <c r="N16934"/>
  <c r="N16933"/>
  <c r="N16910"/>
  <c r="N16911" s="1"/>
  <c r="N16907"/>
  <c r="N16908" s="1"/>
  <c r="N16792"/>
  <c r="M16792"/>
  <c r="M16908"/>
  <c r="M16911"/>
  <c r="N16902"/>
  <c r="N16899"/>
  <c r="N16900" s="1"/>
  <c r="N16896"/>
  <c r="N16895"/>
  <c r="N16903"/>
  <c r="M16903"/>
  <c r="M16900"/>
  <c r="M16897"/>
  <c r="M16880"/>
  <c r="M16881"/>
  <c r="L16881"/>
  <c r="L16880"/>
  <c r="L16879"/>
  <c r="N16881"/>
  <c r="N16880"/>
  <c r="N16879"/>
  <c r="L16790"/>
  <c r="L16791" s="1"/>
  <c r="N16831"/>
  <c r="N16832" s="1"/>
  <c r="N16828"/>
  <c r="N16829" s="1"/>
  <c r="N16815"/>
  <c r="N16813"/>
  <c r="M16808"/>
  <c r="N16809"/>
  <c r="M16856"/>
  <c r="M16861"/>
  <c r="N16861" s="1"/>
  <c r="M16846"/>
  <c r="N16866"/>
  <c r="N16867" s="1"/>
  <c r="M16867"/>
  <c r="N16862"/>
  <c r="N16860"/>
  <c r="N16859"/>
  <c r="N16840"/>
  <c r="M16840"/>
  <c r="N16856"/>
  <c r="N16855"/>
  <c r="N16854"/>
  <c r="N16853"/>
  <c r="M16857"/>
  <c r="N16850"/>
  <c r="N16849"/>
  <c r="N16848"/>
  <c r="N16847"/>
  <c r="N16846"/>
  <c r="N16845"/>
  <c r="N16842"/>
  <c r="N16843" s="1"/>
  <c r="M16843"/>
  <c r="M15860"/>
  <c r="M16851"/>
  <c r="M16864" l="1"/>
  <c r="M16868" s="1"/>
  <c r="M16882"/>
  <c r="M16904"/>
  <c r="N16897"/>
  <c r="Q15485"/>
  <c r="N16935"/>
  <c r="N16851"/>
  <c r="N16864"/>
  <c r="L16882"/>
  <c r="R15485"/>
  <c r="M16892"/>
  <c r="N16904"/>
  <c r="M16912"/>
  <c r="R15516"/>
  <c r="R15525" s="1"/>
  <c r="N16912"/>
  <c r="N16882"/>
  <c r="N16892" s="1"/>
  <c r="N16857"/>
  <c r="N16868" l="1"/>
  <c r="L16703"/>
  <c r="L16702"/>
  <c r="L16701"/>
  <c r="L16704" l="1"/>
  <c r="T15640"/>
  <c r="T15639"/>
  <c r="L16697" l="1"/>
  <c r="L16698" s="1"/>
  <c r="E16733" s="1"/>
  <c r="K16704"/>
  <c r="K16698"/>
  <c r="N15813"/>
  <c r="N15814" s="1"/>
  <c r="K16709"/>
  <c r="L16708"/>
  <c r="L16707"/>
  <c r="L16709" l="1"/>
  <c r="L15670" l="1"/>
  <c r="L15671" s="1"/>
  <c r="L15667"/>
  <c r="L15668" l="1"/>
  <c r="L15672" s="1"/>
  <c r="K15685" l="1"/>
  <c r="L15684"/>
  <c r="L15683"/>
  <c r="L15682"/>
  <c r="L15681"/>
  <c r="L15680"/>
  <c r="L15685" l="1"/>
  <c r="L15676"/>
  <c r="L15675"/>
  <c r="L15677" l="1"/>
  <c r="L15698"/>
  <c r="L15699" s="1"/>
  <c r="E15730" l="1"/>
  <c r="K15677"/>
  <c r="K15699"/>
  <c r="K15671"/>
  <c r="L15695"/>
  <c r="L15696" s="1"/>
  <c r="K15696"/>
  <c r="K15693"/>
  <c r="L15692"/>
  <c r="L15693" s="1"/>
  <c r="K15690"/>
  <c r="L15689"/>
  <c r="K15668"/>
  <c r="E15732"/>
  <c r="K15672" l="1"/>
  <c r="L15690"/>
  <c r="L15700" s="1"/>
  <c r="L15704" s="1"/>
  <c r="K15700"/>
  <c r="R15339" l="1"/>
  <c r="R15340" s="1"/>
  <c r="R15333"/>
  <c r="R15334" s="1"/>
  <c r="R15330"/>
  <c r="R15324"/>
  <c r="R15323"/>
  <c r="R15322"/>
  <c r="R15321"/>
  <c r="Q15325"/>
  <c r="R15331"/>
  <c r="Q15331"/>
  <c r="Q15334"/>
  <c r="Q15340"/>
  <c r="M15596"/>
  <c r="K15596"/>
  <c r="N15595"/>
  <c r="N15596" s="1"/>
  <c r="L15595"/>
  <c r="L15596" s="1"/>
  <c r="N16810"/>
  <c r="N16818"/>
  <c r="N16805"/>
  <c r="N16821"/>
  <c r="M16821"/>
  <c r="M16829"/>
  <c r="M16832"/>
  <c r="M16800"/>
  <c r="N16808"/>
  <c r="N16800"/>
  <c r="M16795"/>
  <c r="N16772"/>
  <c r="N16771"/>
  <c r="N16770"/>
  <c r="N16769"/>
  <c r="N16768"/>
  <c r="M16773"/>
  <c r="M16781" s="1"/>
  <c r="N16806" l="1"/>
  <c r="M16806"/>
  <c r="N16795"/>
  <c r="N16796" s="1"/>
  <c r="M16796"/>
  <c r="N16773"/>
  <c r="N16781" s="1"/>
  <c r="N16816"/>
  <c r="M16816"/>
  <c r="R15325"/>
  <c r="N16921"/>
  <c r="M16921"/>
  <c r="N16925"/>
  <c r="N16924"/>
  <c r="M16926"/>
  <c r="N16930"/>
  <c r="N16874"/>
  <c r="N16875" s="1"/>
  <c r="N16871"/>
  <c r="N16872" s="1"/>
  <c r="M16935"/>
  <c r="N16931"/>
  <c r="M16931"/>
  <c r="M16872"/>
  <c r="M16875"/>
  <c r="L16902"/>
  <c r="L16903" s="1"/>
  <c r="K16791"/>
  <c r="K16832"/>
  <c r="L16831"/>
  <c r="L16832" s="1"/>
  <c r="K16885"/>
  <c r="L16884"/>
  <c r="K16935"/>
  <c r="L16934"/>
  <c r="L16933"/>
  <c r="K16788"/>
  <c r="L16787"/>
  <c r="L16788" s="1"/>
  <c r="K16829"/>
  <c r="L16828"/>
  <c r="L16829" s="1"/>
  <c r="K16867"/>
  <c r="L16866"/>
  <c r="L16867" s="1"/>
  <c r="K16875"/>
  <c r="L16874"/>
  <c r="L16875" s="1"/>
  <c r="K16777"/>
  <c r="L16776"/>
  <c r="L16775"/>
  <c r="K16821"/>
  <c r="L16820"/>
  <c r="L16819"/>
  <c r="L16818"/>
  <c r="K16864"/>
  <c r="L16863"/>
  <c r="L16862"/>
  <c r="L16861"/>
  <c r="L16860"/>
  <c r="L16859"/>
  <c r="K16872"/>
  <c r="L16871"/>
  <c r="L16872" s="1"/>
  <c r="K16911"/>
  <c r="L16910"/>
  <c r="L16911" s="1"/>
  <c r="K16903"/>
  <c r="K16882"/>
  <c r="K16796"/>
  <c r="L16795"/>
  <c r="L16796" s="1"/>
  <c r="E16945" s="1"/>
  <c r="K16766"/>
  <c r="L16765"/>
  <c r="L16764"/>
  <c r="L16763"/>
  <c r="L16762"/>
  <c r="K16816"/>
  <c r="L16815"/>
  <c r="L16814"/>
  <c r="L16813"/>
  <c r="L16812"/>
  <c r="L16811"/>
  <c r="L16810"/>
  <c r="L16809"/>
  <c r="L16808"/>
  <c r="K16857"/>
  <c r="L16856"/>
  <c r="L16855"/>
  <c r="L16854"/>
  <c r="L16853"/>
  <c r="K16908"/>
  <c r="L16907"/>
  <c r="K16773"/>
  <c r="L16772"/>
  <c r="L16771"/>
  <c r="L16770"/>
  <c r="L16769"/>
  <c r="L16768"/>
  <c r="K16806"/>
  <c r="L16805"/>
  <c r="L16804"/>
  <c r="L16803"/>
  <c r="L16802"/>
  <c r="L16801"/>
  <c r="L16800"/>
  <c r="K16851"/>
  <c r="L16850"/>
  <c r="L16849"/>
  <c r="L16848"/>
  <c r="L16847"/>
  <c r="L16846"/>
  <c r="L16845"/>
  <c r="K16780"/>
  <c r="L16779"/>
  <c r="L16780" s="1"/>
  <c r="K16843"/>
  <c r="L16842"/>
  <c r="L16843" s="1"/>
  <c r="K16926"/>
  <c r="L16925"/>
  <c r="L16924"/>
  <c r="K16921"/>
  <c r="L16920"/>
  <c r="L16919"/>
  <c r="L16918"/>
  <c r="L16917"/>
  <c r="K16900"/>
  <c r="L16899"/>
  <c r="L16900" s="1"/>
  <c r="K16891"/>
  <c r="L16890"/>
  <c r="L16891" s="1"/>
  <c r="K16931"/>
  <c r="L16930"/>
  <c r="K16785"/>
  <c r="L16784"/>
  <c r="L16785" s="1"/>
  <c r="K16897"/>
  <c r="L16896"/>
  <c r="L16895"/>
  <c r="K16888"/>
  <c r="L16887"/>
  <c r="L16888" s="1"/>
  <c r="K16826"/>
  <c r="L16825"/>
  <c r="L16824"/>
  <c r="L16823"/>
  <c r="K16840"/>
  <c r="L16839"/>
  <c r="L16838"/>
  <c r="L16837"/>
  <c r="K16904" l="1"/>
  <c r="K16936"/>
  <c r="K16912"/>
  <c r="M16833"/>
  <c r="N16936"/>
  <c r="N16833"/>
  <c r="L16931"/>
  <c r="L16908"/>
  <c r="L16912" s="1"/>
  <c r="E16952" s="1"/>
  <c r="K16781"/>
  <c r="L16792"/>
  <c r="L16885"/>
  <c r="L16892" s="1"/>
  <c r="E16950" s="1"/>
  <c r="K16892"/>
  <c r="K16792"/>
  <c r="K16868"/>
  <c r="N16926"/>
  <c r="M16876"/>
  <c r="N16876"/>
  <c r="K16833"/>
  <c r="M16936"/>
  <c r="K16876"/>
  <c r="L16876"/>
  <c r="L16864"/>
  <c r="L16821"/>
  <c r="L16766"/>
  <c r="L16935"/>
  <c r="L16921"/>
  <c r="E16954" s="1"/>
  <c r="L16773"/>
  <c r="L16840"/>
  <c r="L16826"/>
  <c r="L16926"/>
  <c r="L16857"/>
  <c r="L16851"/>
  <c r="L16806"/>
  <c r="L16897"/>
  <c r="L16904" s="1"/>
  <c r="E16951" s="1"/>
  <c r="L16816"/>
  <c r="L16777"/>
  <c r="M16938" l="1"/>
  <c r="L16936"/>
  <c r="N16938"/>
  <c r="L16833"/>
  <c r="E16946" s="1"/>
  <c r="L16868"/>
  <c r="E16947" s="1"/>
  <c r="L16781"/>
  <c r="E16944" s="1"/>
  <c r="E16958" s="1"/>
  <c r="K16938"/>
  <c r="N16661"/>
  <c r="N16662" s="1"/>
  <c r="M16662"/>
  <c r="M16663" s="1"/>
  <c r="M16693"/>
  <c r="N16688"/>
  <c r="N16687"/>
  <c r="N16686"/>
  <c r="N16668"/>
  <c r="N16667"/>
  <c r="N16666"/>
  <c r="M16669"/>
  <c r="N16674"/>
  <c r="M16674"/>
  <c r="L16679"/>
  <c r="L16680" s="1"/>
  <c r="M16689"/>
  <c r="N16651"/>
  <c r="N16632"/>
  <c r="N16628"/>
  <c r="M16628"/>
  <c r="N16652"/>
  <c r="M16652"/>
  <c r="N16637"/>
  <c r="N16653" s="1"/>
  <c r="M16637"/>
  <c r="M16653" s="1"/>
  <c r="L16627"/>
  <c r="L16628" s="1"/>
  <c r="N16624"/>
  <c r="M16596"/>
  <c r="K16628"/>
  <c r="N16598"/>
  <c r="M16597"/>
  <c r="N16597" s="1"/>
  <c r="N16596"/>
  <c r="M16599"/>
  <c r="N16625"/>
  <c r="M16625"/>
  <c r="L16938" l="1"/>
  <c r="N16669"/>
  <c r="M16681"/>
  <c r="N16681"/>
  <c r="N16663"/>
  <c r="N16689"/>
  <c r="N16599"/>
  <c r="N16605" l="1"/>
  <c r="N16629" s="1"/>
  <c r="N16720" s="1"/>
  <c r="M16605"/>
  <c r="M16629" s="1"/>
  <c r="M16720" s="1"/>
  <c r="M15943" l="1"/>
  <c r="M15946"/>
  <c r="M15948"/>
  <c r="N15591"/>
  <c r="N15590"/>
  <c r="M15584"/>
  <c r="M15585" s="1"/>
  <c r="K16680"/>
  <c r="K16693"/>
  <c r="L16692"/>
  <c r="L16693" s="1"/>
  <c r="K16637"/>
  <c r="L16636"/>
  <c r="L16635"/>
  <c r="L16634"/>
  <c r="L16633"/>
  <c r="L16632"/>
  <c r="K16622"/>
  <c r="L16621"/>
  <c r="L16620"/>
  <c r="L16619"/>
  <c r="L16618"/>
  <c r="L16617"/>
  <c r="L16616"/>
  <c r="L16615"/>
  <c r="L16614"/>
  <c r="L16613"/>
  <c r="L16612"/>
  <c r="K16662"/>
  <c r="L16661"/>
  <c r="L16660"/>
  <c r="K16669"/>
  <c r="L16668"/>
  <c r="L16667"/>
  <c r="L16666"/>
  <c r="K16642"/>
  <c r="L16641"/>
  <c r="L16640"/>
  <c r="L16639"/>
  <c r="K16610"/>
  <c r="L16609"/>
  <c r="L16608"/>
  <c r="L16607"/>
  <c r="K16645"/>
  <c r="L16644"/>
  <c r="L16645" s="1"/>
  <c r="K16605"/>
  <c r="L16604"/>
  <c r="L16603"/>
  <c r="L16602"/>
  <c r="L16601"/>
  <c r="L16600"/>
  <c r="L16599"/>
  <c r="L16598"/>
  <c r="L16597"/>
  <c r="L16596"/>
  <c r="K16689"/>
  <c r="L16688"/>
  <c r="L16687"/>
  <c r="L16686"/>
  <c r="K16677"/>
  <c r="L16676"/>
  <c r="L16677" s="1"/>
  <c r="K16625"/>
  <c r="L16624"/>
  <c r="L16625" s="1"/>
  <c r="K16658"/>
  <c r="L16657"/>
  <c r="L16656"/>
  <c r="K16674"/>
  <c r="L16673"/>
  <c r="L16672"/>
  <c r="L16671"/>
  <c r="K16652"/>
  <c r="L16651"/>
  <c r="L16650"/>
  <c r="L16649"/>
  <c r="L16648"/>
  <c r="L16647"/>
  <c r="K16594"/>
  <c r="L16593"/>
  <c r="L16592"/>
  <c r="L16591"/>
  <c r="L16590"/>
  <c r="K16580"/>
  <c r="L16579"/>
  <c r="L16580" s="1"/>
  <c r="K16578"/>
  <c r="L16577"/>
  <c r="L16576"/>
  <c r="L16575"/>
  <c r="L16574"/>
  <c r="K16573"/>
  <c r="L16572"/>
  <c r="L16573" s="1"/>
  <c r="K16569"/>
  <c r="L16568"/>
  <c r="L16567"/>
  <c r="L16566"/>
  <c r="K16629" l="1"/>
  <c r="L16662"/>
  <c r="L16652"/>
  <c r="K16653"/>
  <c r="K16681"/>
  <c r="K16663"/>
  <c r="N15592"/>
  <c r="L16578"/>
  <c r="L16594"/>
  <c r="L16689"/>
  <c r="L16605"/>
  <c r="L16569"/>
  <c r="L16674"/>
  <c r="L16658"/>
  <c r="L16663" s="1"/>
  <c r="E16729" s="1"/>
  <c r="L16610"/>
  <c r="L16642"/>
  <c r="L16669"/>
  <c r="L16622"/>
  <c r="L16637"/>
  <c r="K16563"/>
  <c r="L16562"/>
  <c r="L16563" s="1"/>
  <c r="K16561"/>
  <c r="L16560"/>
  <c r="L16561" s="1"/>
  <c r="K16558"/>
  <c r="L16557"/>
  <c r="L16556"/>
  <c r="K16554"/>
  <c r="L16553"/>
  <c r="K16552"/>
  <c r="L16551"/>
  <c r="L16550"/>
  <c r="L16546"/>
  <c r="L16547" s="1"/>
  <c r="L16544"/>
  <c r="L16545" s="1"/>
  <c r="K16547"/>
  <c r="K16545"/>
  <c r="K16541"/>
  <c r="L16540"/>
  <c r="L16541" s="1"/>
  <c r="K16539"/>
  <c r="L16538"/>
  <c r="K16537"/>
  <c r="L16536"/>
  <c r="L16537" s="1"/>
  <c r="K16534"/>
  <c r="L16533"/>
  <c r="L16534" s="1"/>
  <c r="K16532"/>
  <c r="L16531"/>
  <c r="L16532" s="1"/>
  <c r="K16529"/>
  <c r="L16528"/>
  <c r="L16529" s="1"/>
  <c r="K16527"/>
  <c r="L16526"/>
  <c r="L16527" s="1"/>
  <c r="K16524"/>
  <c r="L16523"/>
  <c r="L16524" s="1"/>
  <c r="K16521"/>
  <c r="L16520"/>
  <c r="L16521" s="1"/>
  <c r="K16519"/>
  <c r="L16518"/>
  <c r="L16519" s="1"/>
  <c r="K16517"/>
  <c r="L16516"/>
  <c r="L16517" s="1"/>
  <c r="K16515"/>
  <c r="L16514"/>
  <c r="L16515" s="1"/>
  <c r="K16511"/>
  <c r="L16510"/>
  <c r="L16511" s="1"/>
  <c r="L16653" l="1"/>
  <c r="E16727" s="1"/>
  <c r="L16629"/>
  <c r="E16726" s="1"/>
  <c r="K16720"/>
  <c r="L16554"/>
  <c r="L16539"/>
  <c r="L16681"/>
  <c r="E16730" s="1"/>
  <c r="L16552"/>
  <c r="L16558"/>
  <c r="K16507"/>
  <c r="L16506"/>
  <c r="L16505"/>
  <c r="K16503"/>
  <c r="L16502"/>
  <c r="L16501"/>
  <c r="L16500"/>
  <c r="L16499"/>
  <c r="L16498"/>
  <c r="K16497"/>
  <c r="L16496"/>
  <c r="L16495"/>
  <c r="K16493"/>
  <c r="L16492"/>
  <c r="L16491"/>
  <c r="L16490"/>
  <c r="K16488"/>
  <c r="L16487"/>
  <c r="L16486"/>
  <c r="L16485"/>
  <c r="L16484"/>
  <c r="K16483"/>
  <c r="L16482"/>
  <c r="L16481"/>
  <c r="L16480"/>
  <c r="K16478"/>
  <c r="L16477"/>
  <c r="L16476"/>
  <c r="K16474"/>
  <c r="L16473"/>
  <c r="L16472"/>
  <c r="K16471"/>
  <c r="L16470"/>
  <c r="L16469"/>
  <c r="L16468"/>
  <c r="K16467"/>
  <c r="L16466"/>
  <c r="L16465"/>
  <c r="L16464"/>
  <c r="L16463"/>
  <c r="L16462"/>
  <c r="K16461"/>
  <c r="L16460"/>
  <c r="L16461" s="1"/>
  <c r="K16457"/>
  <c r="L16456"/>
  <c r="L16455"/>
  <c r="L16454"/>
  <c r="L16453"/>
  <c r="L16452"/>
  <c r="K16451"/>
  <c r="L16450"/>
  <c r="L16449"/>
  <c r="L16448"/>
  <c r="L16447"/>
  <c r="L16446"/>
  <c r="L16445"/>
  <c r="L16444"/>
  <c r="L16443"/>
  <c r="L16442"/>
  <c r="L16441"/>
  <c r="K16439"/>
  <c r="L16438"/>
  <c r="L16437"/>
  <c r="L16436"/>
  <c r="L16435"/>
  <c r="L16434"/>
  <c r="K16430"/>
  <c r="L16429"/>
  <c r="L16428"/>
  <c r="K16425"/>
  <c r="L16424"/>
  <c r="L16425" s="1"/>
  <c r="K16421"/>
  <c r="L16420"/>
  <c r="L16419"/>
  <c r="L16418"/>
  <c r="L16417"/>
  <c r="L16416"/>
  <c r="K16415"/>
  <c r="L16414"/>
  <c r="L16413"/>
  <c r="L16412"/>
  <c r="K16411"/>
  <c r="L16410"/>
  <c r="L16409"/>
  <c r="K16408"/>
  <c r="L16407"/>
  <c r="L16406"/>
  <c r="K16403"/>
  <c r="L16402"/>
  <c r="L16401"/>
  <c r="L16400"/>
  <c r="K16399"/>
  <c r="L16398"/>
  <c r="L16399" s="1"/>
  <c r="K16397"/>
  <c r="L16396"/>
  <c r="L16395"/>
  <c r="K16394"/>
  <c r="L16393"/>
  <c r="L16392"/>
  <c r="K16389"/>
  <c r="L16388"/>
  <c r="L16389" s="1"/>
  <c r="K16387"/>
  <c r="L16386"/>
  <c r="L16387" s="1"/>
  <c r="K16385"/>
  <c r="L16384"/>
  <c r="L16383"/>
  <c r="L16382"/>
  <c r="K16379"/>
  <c r="L16378"/>
  <c r="L16379" s="1"/>
  <c r="K16377"/>
  <c r="L16376"/>
  <c r="L16375"/>
  <c r="L16374"/>
  <c r="L16373"/>
  <c r="K16372"/>
  <c r="L16371"/>
  <c r="L16370"/>
  <c r="L16369"/>
  <c r="L16368"/>
  <c r="L16367"/>
  <c r="L16366"/>
  <c r="L16365"/>
  <c r="L16364"/>
  <c r="K16363"/>
  <c r="L16362"/>
  <c r="L16361"/>
  <c r="L16360"/>
  <c r="L16359"/>
  <c r="K16356"/>
  <c r="L16355"/>
  <c r="L16354"/>
  <c r="K16353"/>
  <c r="L16352"/>
  <c r="L16351"/>
  <c r="L16350"/>
  <c r="K16348"/>
  <c r="L16347"/>
  <c r="L16346"/>
  <c r="L16345"/>
  <c r="K16344"/>
  <c r="L16343"/>
  <c r="L16342"/>
  <c r="L16341"/>
  <c r="K16338"/>
  <c r="L16337"/>
  <c r="L16336"/>
  <c r="L16335"/>
  <c r="K16334"/>
  <c r="L16333"/>
  <c r="L16332"/>
  <c r="L16331"/>
  <c r="K16328"/>
  <c r="L16327"/>
  <c r="L16326"/>
  <c r="L16325"/>
  <c r="L16324"/>
  <c r="L16323"/>
  <c r="K16322"/>
  <c r="L16321"/>
  <c r="L16322" s="1"/>
  <c r="K16319"/>
  <c r="L16318"/>
  <c r="L16317"/>
  <c r="K16316"/>
  <c r="L16315"/>
  <c r="L16316" s="1"/>
  <c r="K16314"/>
  <c r="L16313"/>
  <c r="L16312"/>
  <c r="L16311"/>
  <c r="L16310"/>
  <c r="L16309"/>
  <c r="L16308"/>
  <c r="K16305"/>
  <c r="L16304"/>
  <c r="L16305" s="1"/>
  <c r="K16301"/>
  <c r="L16300"/>
  <c r="L16299"/>
  <c r="L16298"/>
  <c r="L16297"/>
  <c r="L16296"/>
  <c r="K16295"/>
  <c r="L16294"/>
  <c r="L16293"/>
  <c r="L16292"/>
  <c r="L16291"/>
  <c r="L16290"/>
  <c r="L16289"/>
  <c r="K16288"/>
  <c r="L16287"/>
  <c r="L16286"/>
  <c r="L16285"/>
  <c r="L16284"/>
  <c r="L16283"/>
  <c r="L16282"/>
  <c r="K16279"/>
  <c r="L16278"/>
  <c r="L16279" s="1"/>
  <c r="K16277"/>
  <c r="L16276"/>
  <c r="L16275"/>
  <c r="L16274"/>
  <c r="L16273"/>
  <c r="L16272"/>
  <c r="L16271"/>
  <c r="L16270"/>
  <c r="L16269"/>
  <c r="L16268"/>
  <c r="L16264"/>
  <c r="L16263"/>
  <c r="E16740" l="1"/>
  <c r="L16720"/>
  <c r="L16338"/>
  <c r="L16344"/>
  <c r="L16348"/>
  <c r="L16353"/>
  <c r="L16356"/>
  <c r="L16372"/>
  <c r="L16385"/>
  <c r="L16394"/>
  <c r="L16403"/>
  <c r="L16408"/>
  <c r="L16415"/>
  <c r="L16421"/>
  <c r="L16430"/>
  <c r="L16457"/>
  <c r="L16483"/>
  <c r="L16497"/>
  <c r="L16507"/>
  <c r="L16451"/>
  <c r="L16478"/>
  <c r="L16493"/>
  <c r="L16467"/>
  <c r="L16488"/>
  <c r="L16503"/>
  <c r="L16411"/>
  <c r="L16439"/>
  <c r="L16474"/>
  <c r="L16471"/>
  <c r="L16265"/>
  <c r="L16277"/>
  <c r="L16301"/>
  <c r="L16328"/>
  <c r="L16334"/>
  <c r="L16363"/>
  <c r="L16377"/>
  <c r="L16397"/>
  <c r="L16319"/>
  <c r="L16288"/>
  <c r="L16295"/>
  <c r="L16314"/>
  <c r="K16265" l="1"/>
  <c r="K16261"/>
  <c r="L16260"/>
  <c r="L16259"/>
  <c r="L16258"/>
  <c r="K16253"/>
  <c r="L16252"/>
  <c r="L16253" s="1"/>
  <c r="K16251"/>
  <c r="L16250"/>
  <c r="L16251" s="1"/>
  <c r="K16249"/>
  <c r="L16248"/>
  <c r="L16249" s="1"/>
  <c r="K16247"/>
  <c r="L16246"/>
  <c r="L16247" s="1"/>
  <c r="K16245"/>
  <c r="L16244"/>
  <c r="L16245" s="1"/>
  <c r="K16242"/>
  <c r="L16241"/>
  <c r="L16240"/>
  <c r="L16238"/>
  <c r="L16237"/>
  <c r="L16236"/>
  <c r="L16235"/>
  <c r="K16239"/>
  <c r="K16232"/>
  <c r="L16231"/>
  <c r="L16230"/>
  <c r="L16229"/>
  <c r="K16226"/>
  <c r="L16225"/>
  <c r="L16226" s="1"/>
  <c r="K16224"/>
  <c r="L16223"/>
  <c r="L16224" s="1"/>
  <c r="K16222"/>
  <c r="L16221"/>
  <c r="L16222" s="1"/>
  <c r="K16218"/>
  <c r="L16217"/>
  <c r="L16218" s="1"/>
  <c r="K16216"/>
  <c r="L16215"/>
  <c r="L16216" s="1"/>
  <c r="K16212"/>
  <c r="L16211"/>
  <c r="L16212" s="1"/>
  <c r="K16210"/>
  <c r="L16209"/>
  <c r="L16210" s="1"/>
  <c r="K16208"/>
  <c r="L16207"/>
  <c r="L16208" s="1"/>
  <c r="K16205"/>
  <c r="L16204"/>
  <c r="L16205" s="1"/>
  <c r="K16201"/>
  <c r="L16200"/>
  <c r="L16201" s="1"/>
  <c r="L15770"/>
  <c r="L15771" s="1"/>
  <c r="N15868"/>
  <c r="L16232" l="1"/>
  <c r="L16261"/>
  <c r="L16239"/>
  <c r="L16242"/>
  <c r="L15767" l="1"/>
  <c r="L15766"/>
  <c r="L15765"/>
  <c r="K15828"/>
  <c r="K16197" l="1"/>
  <c r="L16196"/>
  <c r="L16195"/>
  <c r="L16194"/>
  <c r="L16193"/>
  <c r="K16191"/>
  <c r="L16190"/>
  <c r="L16189"/>
  <c r="L16188"/>
  <c r="K16187"/>
  <c r="L16186"/>
  <c r="L16185"/>
  <c r="L16184"/>
  <c r="K16182"/>
  <c r="L16181"/>
  <c r="L16180"/>
  <c r="K16177"/>
  <c r="L16176"/>
  <c r="L16175"/>
  <c r="L16174"/>
  <c r="K16172"/>
  <c r="L16171"/>
  <c r="L16170"/>
  <c r="L16169"/>
  <c r="L16168"/>
  <c r="K16164"/>
  <c r="L16163"/>
  <c r="L16162"/>
  <c r="L16161"/>
  <c r="K16160"/>
  <c r="L16159"/>
  <c r="L16158"/>
  <c r="L16157"/>
  <c r="K16154"/>
  <c r="L16153"/>
  <c r="L16152"/>
  <c r="K16151"/>
  <c r="L16150"/>
  <c r="L16151" s="1"/>
  <c r="K16147"/>
  <c r="L16146"/>
  <c r="L16145"/>
  <c r="L16144"/>
  <c r="K16143"/>
  <c r="L16142"/>
  <c r="L16141"/>
  <c r="L16140"/>
  <c r="K16137"/>
  <c r="L16136"/>
  <c r="L16135"/>
  <c r="K16134"/>
  <c r="L16133"/>
  <c r="L16132"/>
  <c r="L16131"/>
  <c r="K16128"/>
  <c r="L16127"/>
  <c r="L16126"/>
  <c r="L16125"/>
  <c r="L16124"/>
  <c r="L16123"/>
  <c r="K16122"/>
  <c r="L16121"/>
  <c r="L16120"/>
  <c r="L16119"/>
  <c r="L16118"/>
  <c r="L16177" l="1"/>
  <c r="L16182"/>
  <c r="L16187"/>
  <c r="L16197"/>
  <c r="L16160"/>
  <c r="L16164"/>
  <c r="L16191"/>
  <c r="L16172"/>
  <c r="L16137"/>
  <c r="L16134"/>
  <c r="L16122"/>
  <c r="L16143"/>
  <c r="L16147"/>
  <c r="L16154"/>
  <c r="L16128"/>
  <c r="L15914" l="1"/>
  <c r="L15913"/>
  <c r="L15911"/>
  <c r="N15933"/>
  <c r="N15934" s="1"/>
  <c r="M15934"/>
  <c r="N16068"/>
  <c r="N16069" s="1"/>
  <c r="M16069"/>
  <c r="N15964"/>
  <c r="N15963"/>
  <c r="M15965"/>
  <c r="N15960"/>
  <c r="N15965" l="1"/>
  <c r="N15961"/>
  <c r="M15961"/>
  <c r="M15969" s="1"/>
  <c r="M15947"/>
  <c r="N15943"/>
  <c r="N15948"/>
  <c r="N15946"/>
  <c r="N15945"/>
  <c r="N15944"/>
  <c r="N15941"/>
  <c r="N15940"/>
  <c r="N15939"/>
  <c r="N15938"/>
  <c r="N15937"/>
  <c r="L15948"/>
  <c r="L15947"/>
  <c r="L15946"/>
  <c r="L15945"/>
  <c r="L15944"/>
  <c r="L15943"/>
  <c r="K15949"/>
  <c r="N15994"/>
  <c r="N15999" s="1"/>
  <c r="N15991"/>
  <c r="N15992" s="1"/>
  <c r="M15999"/>
  <c r="M16007"/>
  <c r="N16007" s="1"/>
  <c r="N15978"/>
  <c r="N15979" s="1"/>
  <c r="M15979"/>
  <c r="M15992"/>
  <c r="M16008"/>
  <c r="N16008" s="1"/>
  <c r="N16034"/>
  <c r="N16050"/>
  <c r="N16051" s="1"/>
  <c r="M16051"/>
  <c r="N15947" l="1"/>
  <c r="N15949" s="1"/>
  <c r="N15950" s="1"/>
  <c r="M15949"/>
  <c r="M15950" s="1"/>
  <c r="N15969"/>
  <c r="L15949"/>
  <c r="M16009"/>
  <c r="M16010" s="1"/>
  <c r="N16009"/>
  <c r="N16010" s="1"/>
  <c r="N16044" l="1"/>
  <c r="M16043"/>
  <c r="N16043" s="1"/>
  <c r="M16045"/>
  <c r="N16045" s="1"/>
  <c r="M16042"/>
  <c r="N16042" s="1"/>
  <c r="K15999"/>
  <c r="L15998"/>
  <c r="L15997"/>
  <c r="L15996"/>
  <c r="L15995"/>
  <c r="L15994"/>
  <c r="K16023"/>
  <c r="L16022"/>
  <c r="L16023" s="1"/>
  <c r="N16046" l="1"/>
  <c r="M16046"/>
  <c r="L15999"/>
  <c r="K16069" l="1"/>
  <c r="L16068"/>
  <c r="K16026"/>
  <c r="L16025"/>
  <c r="L16026" s="1"/>
  <c r="K15992"/>
  <c r="L15991"/>
  <c r="L15992" s="1"/>
  <c r="K15989"/>
  <c r="L15988"/>
  <c r="L15987"/>
  <c r="L15986"/>
  <c r="L15985"/>
  <c r="K16064"/>
  <c r="L16063"/>
  <c r="L16062"/>
  <c r="K16060"/>
  <c r="L16059"/>
  <c r="L16058"/>
  <c r="K15968"/>
  <c r="K15983"/>
  <c r="L15982"/>
  <c r="L15981"/>
  <c r="K15979"/>
  <c r="L15978"/>
  <c r="L15979" s="1"/>
  <c r="K15976"/>
  <c r="L15975"/>
  <c r="L15964"/>
  <c r="L15963"/>
  <c r="K15965"/>
  <c r="K16032"/>
  <c r="L16031"/>
  <c r="L16032" s="1"/>
  <c r="K16029"/>
  <c r="L16028"/>
  <c r="L16029" s="1"/>
  <c r="K16046"/>
  <c r="L16045"/>
  <c r="L16044"/>
  <c r="L16043"/>
  <c r="L16042"/>
  <c r="K16020"/>
  <c r="L16019"/>
  <c r="L16018"/>
  <c r="L16017"/>
  <c r="K16065" l="1"/>
  <c r="L15989"/>
  <c r="L15976"/>
  <c r="L16069"/>
  <c r="L16064"/>
  <c r="L15965"/>
  <c r="L16020"/>
  <c r="L16060"/>
  <c r="L15983"/>
  <c r="L16046"/>
  <c r="L16065" l="1"/>
  <c r="E16091" s="1"/>
  <c r="K15961"/>
  <c r="L15960"/>
  <c r="L15961" s="1"/>
  <c r="K15955"/>
  <c r="L15954"/>
  <c r="L15953"/>
  <c r="K15941"/>
  <c r="K15950" s="1"/>
  <c r="L15940"/>
  <c r="L15939"/>
  <c r="L15938"/>
  <c r="L15937"/>
  <c r="K16051"/>
  <c r="L16050"/>
  <c r="L16051" s="1"/>
  <c r="K16009"/>
  <c r="L16008"/>
  <c r="L16007"/>
  <c r="L16004"/>
  <c r="L16003"/>
  <c r="L16002"/>
  <c r="L16001"/>
  <c r="K16005"/>
  <c r="K15958"/>
  <c r="L15957"/>
  <c r="L15958" s="1"/>
  <c r="K15973"/>
  <c r="L15972"/>
  <c r="N16035"/>
  <c r="M16035"/>
  <c r="M16036" s="1"/>
  <c r="M16072" s="1"/>
  <c r="K16035"/>
  <c r="L16034"/>
  <c r="L16035" s="1"/>
  <c r="K16015"/>
  <c r="L16014"/>
  <c r="L16013"/>
  <c r="K15969" l="1"/>
  <c r="N16036"/>
  <c r="N16072" s="1"/>
  <c r="K16036"/>
  <c r="K16010"/>
  <c r="L15973"/>
  <c r="L15941"/>
  <c r="L15950" s="1"/>
  <c r="E16086" s="1"/>
  <c r="L16015"/>
  <c r="L16036" s="1"/>
  <c r="L16005"/>
  <c r="L16009"/>
  <c r="L15955"/>
  <c r="L15969" s="1"/>
  <c r="K15934"/>
  <c r="L15933"/>
  <c r="L15934" s="1"/>
  <c r="K15930"/>
  <c r="L15929"/>
  <c r="L15928"/>
  <c r="L15927"/>
  <c r="E16085" l="1"/>
  <c r="L16010"/>
  <c r="L15930"/>
  <c r="E16088" s="1"/>
  <c r="N15795" l="1"/>
  <c r="M15795"/>
  <c r="N15772"/>
  <c r="M15772"/>
  <c r="N15819" l="1"/>
  <c r="N15818"/>
  <c r="N15817"/>
  <c r="N15816"/>
  <c r="N15837"/>
  <c r="N15820" l="1"/>
  <c r="M15820"/>
  <c r="N15829" l="1"/>
  <c r="M15814"/>
  <c r="M15829" s="1"/>
  <c r="N15838" l="1"/>
  <c r="N15851" s="1"/>
  <c r="M15838"/>
  <c r="M15851" s="1"/>
  <c r="K15850" l="1"/>
  <c r="N15801"/>
  <c r="M15802"/>
  <c r="K15776"/>
  <c r="L15775"/>
  <c r="N15808"/>
  <c r="N15807"/>
  <c r="M15804"/>
  <c r="N15804" s="1"/>
  <c r="N15805" s="1"/>
  <c r="M15809"/>
  <c r="M15805"/>
  <c r="M15861"/>
  <c r="N15861" s="1"/>
  <c r="N15860"/>
  <c r="N15865"/>
  <c r="M15865"/>
  <c r="M15868"/>
  <c r="L15861"/>
  <c r="L15860"/>
  <c r="L15791"/>
  <c r="L15790"/>
  <c r="M15862" l="1"/>
  <c r="M15869" s="1"/>
  <c r="L15862"/>
  <c r="L15776"/>
  <c r="N15809"/>
  <c r="N15802"/>
  <c r="M15810"/>
  <c r="N15862"/>
  <c r="N15869" s="1"/>
  <c r="K15912"/>
  <c r="K15923"/>
  <c r="L15923" s="1"/>
  <c r="L15922"/>
  <c r="L15921"/>
  <c r="K15920"/>
  <c r="L15920" s="1"/>
  <c r="K15919"/>
  <c r="K15799"/>
  <c r="L15798"/>
  <c r="K15868"/>
  <c r="L15867"/>
  <c r="L15868" s="1"/>
  <c r="K15814"/>
  <c r="L15813"/>
  <c r="K15838"/>
  <c r="L15837"/>
  <c r="L15838" s="1"/>
  <c r="M15873" l="1"/>
  <c r="K15924"/>
  <c r="K15915"/>
  <c r="L15912"/>
  <c r="L15915" s="1"/>
  <c r="E16082" s="1"/>
  <c r="N15810"/>
  <c r="N15873" s="1"/>
  <c r="L15799"/>
  <c r="L15814"/>
  <c r="L15919"/>
  <c r="L15924" s="1"/>
  <c r="E16081" s="1"/>
  <c r="E16094" l="1"/>
  <c r="K16072"/>
  <c r="L16072"/>
  <c r="K15794"/>
  <c r="L15793"/>
  <c r="L15792"/>
  <c r="L15789"/>
  <c r="L15788"/>
  <c r="L15787"/>
  <c r="K15785"/>
  <c r="L15784"/>
  <c r="L15785" s="1"/>
  <c r="K15771"/>
  <c r="K15805"/>
  <c r="L15804"/>
  <c r="L15805" s="1"/>
  <c r="K15768"/>
  <c r="K15782"/>
  <c r="L15781"/>
  <c r="L15782" s="1"/>
  <c r="K15763"/>
  <c r="L15762"/>
  <c r="L15761"/>
  <c r="L15760"/>
  <c r="L15759"/>
  <c r="K15779"/>
  <c r="L15778"/>
  <c r="K15802"/>
  <c r="L15801"/>
  <c r="K15865"/>
  <c r="L15864"/>
  <c r="L15865" s="1"/>
  <c r="K15809"/>
  <c r="L15808"/>
  <c r="L15807"/>
  <c r="K15862"/>
  <c r="K15820"/>
  <c r="L15819"/>
  <c r="L15818"/>
  <c r="L15817"/>
  <c r="L15816"/>
  <c r="K15835"/>
  <c r="L15834"/>
  <c r="L15833"/>
  <c r="L15832"/>
  <c r="K15858"/>
  <c r="L15857"/>
  <c r="L15856"/>
  <c r="L15855"/>
  <c r="K15772" l="1"/>
  <c r="K15869"/>
  <c r="L15794"/>
  <c r="K15795"/>
  <c r="L15809"/>
  <c r="L15768"/>
  <c r="L15779"/>
  <c r="L15795" s="1"/>
  <c r="L15858"/>
  <c r="L15869" s="1"/>
  <c r="E15886" s="1"/>
  <c r="L15802"/>
  <c r="L15810" s="1"/>
  <c r="K15810"/>
  <c r="L15835"/>
  <c r="L15820"/>
  <c r="L15763"/>
  <c r="L15772" l="1"/>
  <c r="E15879" s="1"/>
  <c r="E15880"/>
  <c r="L15827"/>
  <c r="L15826"/>
  <c r="L15849"/>
  <c r="L15848"/>
  <c r="L15847"/>
  <c r="L15846"/>
  <c r="L15845"/>
  <c r="L15828" l="1"/>
  <c r="L15850"/>
  <c r="K15824" l="1"/>
  <c r="K15829" s="1"/>
  <c r="L15823"/>
  <c r="L15822"/>
  <c r="K15843"/>
  <c r="K15851" s="1"/>
  <c r="L15842"/>
  <c r="L15841"/>
  <c r="L15840"/>
  <c r="K15873" l="1"/>
  <c r="L15824"/>
  <c r="L15843"/>
  <c r="L15829" l="1"/>
  <c r="E15883" s="1"/>
  <c r="L15851"/>
  <c r="E15884" s="1"/>
  <c r="L15519"/>
  <c r="M15540"/>
  <c r="N15659"/>
  <c r="N15660" s="1"/>
  <c r="M15660"/>
  <c r="N15609"/>
  <c r="N15608"/>
  <c r="N15607"/>
  <c r="N15606"/>
  <c r="N15605"/>
  <c r="N15604"/>
  <c r="M15610"/>
  <c r="M15611" s="1"/>
  <c r="N15655"/>
  <c r="N15635"/>
  <c r="N15587"/>
  <c r="N15588" s="1"/>
  <c r="N15584"/>
  <c r="N15585" s="1"/>
  <c r="N15581"/>
  <c r="N15582" s="1"/>
  <c r="N15573"/>
  <c r="N15574" s="1"/>
  <c r="N15570"/>
  <c r="N15569"/>
  <c r="N15568"/>
  <c r="N15554"/>
  <c r="N15555" s="1"/>
  <c r="N15548"/>
  <c r="N15549" s="1"/>
  <c r="M15592"/>
  <c r="M15582"/>
  <c r="M15588"/>
  <c r="M15571"/>
  <c r="M15574"/>
  <c r="M15549"/>
  <c r="M15555"/>
  <c r="N15537"/>
  <c r="M15537"/>
  <c r="E15889" l="1"/>
  <c r="L15873"/>
  <c r="M15593"/>
  <c r="M15578"/>
  <c r="N15571"/>
  <c r="N15578" s="1"/>
  <c r="N15593"/>
  <c r="N15610"/>
  <c r="N15611" s="1"/>
  <c r="N15539" l="1"/>
  <c r="N15540"/>
  <c r="N15531"/>
  <c r="M15541"/>
  <c r="N15532"/>
  <c r="M15532"/>
  <c r="K15524"/>
  <c r="M15509"/>
  <c r="N15509" s="1"/>
  <c r="N15510" s="1"/>
  <c r="M15500"/>
  <c r="N15500" s="1"/>
  <c r="N15501" s="1"/>
  <c r="L15509"/>
  <c r="L15510" s="1"/>
  <c r="N15506"/>
  <c r="N15507" s="1"/>
  <c r="M15510"/>
  <c r="M15507"/>
  <c r="L15650"/>
  <c r="L15651" s="1"/>
  <c r="K15651"/>
  <c r="K15648"/>
  <c r="L15647"/>
  <c r="L15648" s="1"/>
  <c r="N15495"/>
  <c r="N15494"/>
  <c r="N15491"/>
  <c r="N15492" s="1"/>
  <c r="N15488"/>
  <c r="N15489" s="1"/>
  <c r="M15496"/>
  <c r="M15501" l="1"/>
  <c r="N15496"/>
  <c r="N15497" s="1"/>
  <c r="N15541"/>
  <c r="K15496"/>
  <c r="L15495"/>
  <c r="L15494"/>
  <c r="N15481"/>
  <c r="N15480"/>
  <c r="N15477"/>
  <c r="M15484"/>
  <c r="N15484" l="1"/>
  <c r="L15496"/>
  <c r="N15478"/>
  <c r="N15485" s="1"/>
  <c r="N15656"/>
  <c r="M15656"/>
  <c r="N15636"/>
  <c r="N15640" s="1"/>
  <c r="M15636"/>
  <c r="M15640" s="1"/>
  <c r="M15492"/>
  <c r="M15489"/>
  <c r="N15528"/>
  <c r="M15529"/>
  <c r="M15542" s="1"/>
  <c r="N15503"/>
  <c r="N15504" s="1"/>
  <c r="M15504"/>
  <c r="M15511" s="1"/>
  <c r="M15478"/>
  <c r="M15485" s="1"/>
  <c r="M15497" l="1"/>
  <c r="M15707" s="1"/>
  <c r="N15529"/>
  <c r="N15542" s="1"/>
  <c r="N15511"/>
  <c r="N15707" l="1"/>
  <c r="L15503" l="1"/>
  <c r="L15504" s="1"/>
  <c r="L15616" l="1"/>
  <c r="L15615"/>
  <c r="L15614"/>
  <c r="L15644"/>
  <c r="L15645" s="1"/>
  <c r="L15655"/>
  <c r="L15656" s="1"/>
  <c r="L15659"/>
  <c r="L15660" s="1"/>
  <c r="K15484"/>
  <c r="L15483"/>
  <c r="L15482"/>
  <c r="L15481"/>
  <c r="L15480"/>
  <c r="L15484" l="1"/>
  <c r="L15617"/>
  <c r="E15723" s="1"/>
  <c r="L15652"/>
  <c r="E15727" s="1"/>
  <c r="L15573"/>
  <c r="L15574" s="1"/>
  <c r="L15591"/>
  <c r="L15590"/>
  <c r="K15592"/>
  <c r="K15475"/>
  <c r="K15532"/>
  <c r="L15531"/>
  <c r="L15532" s="1"/>
  <c r="K15555"/>
  <c r="L15554"/>
  <c r="L15555" s="1"/>
  <c r="K15577"/>
  <c r="L15576"/>
  <c r="L15577" s="1"/>
  <c r="K15574"/>
  <c r="K15656"/>
  <c r="K15492"/>
  <c r="L15491"/>
  <c r="L15492" s="1"/>
  <c r="K15552"/>
  <c r="L15551"/>
  <c r="L15552" s="1"/>
  <c r="K15660"/>
  <c r="K15561"/>
  <c r="L15560"/>
  <c r="L15561" s="1"/>
  <c r="K15516"/>
  <c r="L15515"/>
  <c r="L15514"/>
  <c r="K15537"/>
  <c r="L15536"/>
  <c r="L15535"/>
  <c r="L15534"/>
  <c r="K15566"/>
  <c r="L15565"/>
  <c r="L15564"/>
  <c r="L15563"/>
  <c r="L15592" l="1"/>
  <c r="L15516"/>
  <c r="L15566"/>
  <c r="L15537"/>
  <c r="K15507" l="1"/>
  <c r="L15506"/>
  <c r="L15507" s="1"/>
  <c r="K15549"/>
  <c r="L15548"/>
  <c r="L15549" s="1"/>
  <c r="K15582"/>
  <c r="L15581"/>
  <c r="K15520"/>
  <c r="K15525" s="1"/>
  <c r="L15518"/>
  <c r="L15520" s="1"/>
  <c r="K15510"/>
  <c r="K15541"/>
  <c r="L15540"/>
  <c r="L15539"/>
  <c r="K15571"/>
  <c r="L15570"/>
  <c r="L15569"/>
  <c r="L15568"/>
  <c r="L15525" l="1"/>
  <c r="E15716" s="1"/>
  <c r="L15541"/>
  <c r="L15571"/>
  <c r="L15582"/>
  <c r="L15638"/>
  <c r="L15639" s="1"/>
  <c r="K15645" l="1"/>
  <c r="K15639"/>
  <c r="K15627"/>
  <c r="L15626"/>
  <c r="L15625"/>
  <c r="L15624"/>
  <c r="L15623"/>
  <c r="K15617"/>
  <c r="K15610"/>
  <c r="L15609"/>
  <c r="L15608"/>
  <c r="L15607"/>
  <c r="L15606"/>
  <c r="L15605"/>
  <c r="L15604"/>
  <c r="K15632"/>
  <c r="L15631"/>
  <c r="L15632" s="1"/>
  <c r="E15725" s="1"/>
  <c r="K15621"/>
  <c r="L15620"/>
  <c r="K15602"/>
  <c r="L15601"/>
  <c r="L15600"/>
  <c r="K15636"/>
  <c r="L15635"/>
  <c r="K15478"/>
  <c r="K15485" s="1"/>
  <c r="L15477"/>
  <c r="L15478" s="1"/>
  <c r="K15489"/>
  <c r="K15497" s="1"/>
  <c r="L15488"/>
  <c r="K15504"/>
  <c r="K15529"/>
  <c r="L15528"/>
  <c r="L15529" s="1"/>
  <c r="K15546"/>
  <c r="L15545"/>
  <c r="L15546" s="1"/>
  <c r="K15558"/>
  <c r="L15557"/>
  <c r="L15558" s="1"/>
  <c r="L15489" l="1"/>
  <c r="L15497" s="1"/>
  <c r="E15714" s="1"/>
  <c r="K15652"/>
  <c r="K15640"/>
  <c r="K15628"/>
  <c r="K15611"/>
  <c r="L15636"/>
  <c r="L15640" s="1"/>
  <c r="E15726" s="1"/>
  <c r="L15621"/>
  <c r="K15542"/>
  <c r="L15610"/>
  <c r="L15602"/>
  <c r="L15627"/>
  <c r="L15628" l="1"/>
  <c r="E15724" s="1"/>
  <c r="L15611"/>
  <c r="E15722" s="1"/>
  <c r="L15474"/>
  <c r="K15501"/>
  <c r="K15511" s="1"/>
  <c r="L15500"/>
  <c r="K15578"/>
  <c r="K15588"/>
  <c r="L15587"/>
  <c r="L15588" s="1"/>
  <c r="K15585"/>
  <c r="K15593" s="1"/>
  <c r="L15584"/>
  <c r="K15707" l="1"/>
  <c r="L15475"/>
  <c r="L15501"/>
  <c r="L15585"/>
  <c r="L15593" s="1"/>
  <c r="E15719" s="1"/>
  <c r="L15542"/>
  <c r="E15717" s="1"/>
  <c r="L15578"/>
  <c r="E15718" s="1"/>
  <c r="L15511" l="1"/>
  <c r="E15715" s="1"/>
  <c r="L15485"/>
  <c r="E15434"/>
  <c r="E15448"/>
  <c r="E15439"/>
  <c r="E15440"/>
  <c r="E15437"/>
  <c r="E15713" l="1"/>
  <c r="E15736" s="1"/>
  <c r="E15452"/>
  <c r="L15707"/>
  <c r="N15299" l="1"/>
  <c r="K15299"/>
  <c r="K15257"/>
  <c r="L15256"/>
  <c r="L15255"/>
  <c r="L15257" l="1"/>
  <c r="M15374"/>
  <c r="N15374" s="1"/>
  <c r="N15375" s="1"/>
  <c r="N15361"/>
  <c r="M15366"/>
  <c r="N15365"/>
  <c r="N15366" s="1"/>
  <c r="N15368"/>
  <c r="N15369" s="1"/>
  <c r="M15369"/>
  <c r="N15362"/>
  <c r="M15363"/>
  <c r="N15371"/>
  <c r="N15372" s="1"/>
  <c r="M15372"/>
  <c r="M15375"/>
  <c r="L15374"/>
  <c r="L15375" s="1"/>
  <c r="K15375"/>
  <c r="M15376" l="1"/>
  <c r="N15363"/>
  <c r="N15376" s="1"/>
  <c r="K15372"/>
  <c r="L15371"/>
  <c r="L15372" s="1"/>
  <c r="K15369"/>
  <c r="L15368"/>
  <c r="L15369" s="1"/>
  <c r="K15334"/>
  <c r="L15333"/>
  <c r="L15334" s="1"/>
  <c r="K15277" l="1"/>
  <c r="L15276"/>
  <c r="L15275"/>
  <c r="L15274"/>
  <c r="L15273"/>
  <c r="L15277" l="1"/>
  <c r="K15253" l="1"/>
  <c r="L15252"/>
  <c r="L15253" s="1"/>
  <c r="K15271"/>
  <c r="L15270"/>
  <c r="L15271" s="1"/>
  <c r="L15384" l="1"/>
  <c r="L15383"/>
  <c r="L15382"/>
  <c r="L15381"/>
  <c r="L15380"/>
  <c r="L15385" l="1"/>
  <c r="L15304"/>
  <c r="L15303"/>
  <c r="L15230" l="1"/>
  <c r="L15229"/>
  <c r="K15231"/>
  <c r="M14581"/>
  <c r="N14581" s="1"/>
  <c r="M14582"/>
  <c r="N14582" s="1"/>
  <c r="R15086"/>
  <c r="R15085"/>
  <c r="R15083"/>
  <c r="R15082"/>
  <c r="R15081"/>
  <c r="R15080"/>
  <c r="R15077"/>
  <c r="R15074"/>
  <c r="R15073"/>
  <c r="R15072"/>
  <c r="L15231" l="1"/>
  <c r="N14583"/>
  <c r="Q15084"/>
  <c r="R15084" s="1"/>
  <c r="Q15079"/>
  <c r="R15079" s="1"/>
  <c r="Q15078"/>
  <c r="Q15071"/>
  <c r="R15071" l="1"/>
  <c r="Q15087"/>
  <c r="R15078"/>
  <c r="R15087" s="1"/>
  <c r="Q15075"/>
  <c r="Q15088" l="1"/>
  <c r="R15075"/>
  <c r="R15088" s="1"/>
  <c r="R15042" l="1"/>
  <c r="R15041"/>
  <c r="R15040"/>
  <c r="R15052"/>
  <c r="R15051"/>
  <c r="R15050"/>
  <c r="R15049"/>
  <c r="R15048"/>
  <c r="R15047"/>
  <c r="R15045"/>
  <c r="R15060"/>
  <c r="R15059"/>
  <c r="R15058"/>
  <c r="Q15061"/>
  <c r="R15056"/>
  <c r="Q15056"/>
  <c r="Q15046"/>
  <c r="R15046" s="1"/>
  <c r="Q15039"/>
  <c r="Q15043" s="1"/>
  <c r="R15065"/>
  <c r="Q15066"/>
  <c r="R15066" s="1"/>
  <c r="R15067" l="1"/>
  <c r="R15053"/>
  <c r="R15061"/>
  <c r="R15039"/>
  <c r="R15043" s="1"/>
  <c r="Q15067"/>
  <c r="Q15053"/>
  <c r="Q15062" s="1"/>
  <c r="T14851"/>
  <c r="T14850"/>
  <c r="T14849"/>
  <c r="T14848"/>
  <c r="T14846"/>
  <c r="T14845"/>
  <c r="S14847"/>
  <c r="T14847" s="1"/>
  <c r="Q14946"/>
  <c r="R14946" s="1"/>
  <c r="Q14945"/>
  <c r="R14954"/>
  <c r="R14953"/>
  <c r="Q14955"/>
  <c r="R15004"/>
  <c r="R15005" s="1"/>
  <c r="R14998"/>
  <c r="R14997"/>
  <c r="R14992"/>
  <c r="Q15005"/>
  <c r="K15005"/>
  <c r="Q14999"/>
  <c r="R14993"/>
  <c r="Q14993"/>
  <c r="Q15006" s="1"/>
  <c r="R15034"/>
  <c r="R15035" s="1"/>
  <c r="R15031"/>
  <c r="R15030"/>
  <c r="R15024"/>
  <c r="R15023"/>
  <c r="R15022"/>
  <c r="R15021"/>
  <c r="Q15035"/>
  <c r="Q15032"/>
  <c r="Q15025"/>
  <c r="Q15036" l="1"/>
  <c r="R14999"/>
  <c r="R15032"/>
  <c r="S14852"/>
  <c r="R15062"/>
  <c r="Q14947"/>
  <c r="T14852"/>
  <c r="R15006"/>
  <c r="R15025"/>
  <c r="R15036" s="1"/>
  <c r="R14955"/>
  <c r="R14945"/>
  <c r="R14947" s="1"/>
  <c r="L15031"/>
  <c r="L15030"/>
  <c r="L15032" l="1"/>
  <c r="L14963"/>
  <c r="L14962"/>
  <c r="L14959"/>
  <c r="N15349"/>
  <c r="N15350" s="1"/>
  <c r="N15346"/>
  <c r="N15345"/>
  <c r="L15349"/>
  <c r="L15350" s="1"/>
  <c r="N15347" l="1"/>
  <c r="L14964"/>
  <c r="L14960"/>
  <c r="M15385"/>
  <c r="N15384"/>
  <c r="N15383"/>
  <c r="N15382"/>
  <c r="N15381"/>
  <c r="N15380"/>
  <c r="K15385"/>
  <c r="N15324"/>
  <c r="N15323"/>
  <c r="N15321"/>
  <c r="M15322"/>
  <c r="M15350"/>
  <c r="M15347"/>
  <c r="K15357"/>
  <c r="L15356"/>
  <c r="L15355"/>
  <c r="L15354"/>
  <c r="N15357"/>
  <c r="M15357"/>
  <c r="N15317"/>
  <c r="M15317"/>
  <c r="L15339"/>
  <c r="L15340" s="1"/>
  <c r="L15330"/>
  <c r="L15331" s="1"/>
  <c r="N15306"/>
  <c r="M15306"/>
  <c r="M15299"/>
  <c r="N15249"/>
  <c r="N15250" s="1"/>
  <c r="N15236"/>
  <c r="N15235"/>
  <c r="M15237"/>
  <c r="N15241"/>
  <c r="M15250"/>
  <c r="M15241"/>
  <c r="L14965" l="1"/>
  <c r="L15357"/>
  <c r="E15405" s="1"/>
  <c r="N15385"/>
  <c r="M15258"/>
  <c r="N15322"/>
  <c r="M15325"/>
  <c r="M15351" s="1"/>
  <c r="N15237"/>
  <c r="N15258" s="1"/>
  <c r="N15325" l="1"/>
  <c r="N15351" s="1"/>
  <c r="N15279"/>
  <c r="N15282" s="1"/>
  <c r="M15282"/>
  <c r="K15340" l="1"/>
  <c r="K15350"/>
  <c r="K15363" l="1"/>
  <c r="L15362"/>
  <c r="L15361"/>
  <c r="K15347"/>
  <c r="L15346"/>
  <c r="L15345"/>
  <c r="K15337"/>
  <c r="L15336"/>
  <c r="L15337" s="1"/>
  <c r="L15347" l="1"/>
  <c r="L15363"/>
  <c r="K15331" l="1"/>
  <c r="K15328" l="1"/>
  <c r="L15327"/>
  <c r="L15328" s="1"/>
  <c r="K15325"/>
  <c r="L15324"/>
  <c r="L15323"/>
  <c r="L15322"/>
  <c r="L15321"/>
  <c r="K15366"/>
  <c r="K15376" s="1"/>
  <c r="L15365"/>
  <c r="K15343"/>
  <c r="L15342"/>
  <c r="K15227"/>
  <c r="L15226"/>
  <c r="L15227" s="1"/>
  <c r="L15223"/>
  <c r="L15224" s="1"/>
  <c r="K15351" l="1"/>
  <c r="L15325"/>
  <c r="L15366"/>
  <c r="L15376" s="1"/>
  <c r="L15343"/>
  <c r="K15224"/>
  <c r="K15221"/>
  <c r="L15220"/>
  <c r="L15219"/>
  <c r="L15218"/>
  <c r="L15217"/>
  <c r="L15216"/>
  <c r="K15305"/>
  <c r="L15351" l="1"/>
  <c r="E15403" s="1"/>
  <c r="K15232"/>
  <c r="L15305"/>
  <c r="L15306" s="1"/>
  <c r="K15306"/>
  <c r="L15221"/>
  <c r="L15232" l="1"/>
  <c r="K15250"/>
  <c r="L15249"/>
  <c r="L15250" s="1"/>
  <c r="K15241"/>
  <c r="L15240"/>
  <c r="L15239"/>
  <c r="K15247"/>
  <c r="L15246"/>
  <c r="L15245"/>
  <c r="L15244"/>
  <c r="L15243"/>
  <c r="K15237"/>
  <c r="L15236"/>
  <c r="L15235"/>
  <c r="L15298"/>
  <c r="L15297"/>
  <c r="L15296"/>
  <c r="K15282"/>
  <c r="L15281"/>
  <c r="L15280"/>
  <c r="L15279"/>
  <c r="K15294"/>
  <c r="L15293"/>
  <c r="L15294" s="1"/>
  <c r="K15291"/>
  <c r="L15290"/>
  <c r="L15291" s="1"/>
  <c r="K15288"/>
  <c r="L15287"/>
  <c r="L15286"/>
  <c r="L15285"/>
  <c r="L15284"/>
  <c r="M15268"/>
  <c r="K15268"/>
  <c r="N15267"/>
  <c r="L15267"/>
  <c r="N15266"/>
  <c r="L15266"/>
  <c r="N15265"/>
  <c r="L15265"/>
  <c r="L15268" s="1"/>
  <c r="K15263"/>
  <c r="L15262"/>
  <c r="K15316"/>
  <c r="L15315"/>
  <c r="L15314"/>
  <c r="L15313"/>
  <c r="K15311"/>
  <c r="L15310"/>
  <c r="L15309"/>
  <c r="Q14854"/>
  <c r="Q14851"/>
  <c r="Q14850"/>
  <c r="Q14849"/>
  <c r="K15258" l="1"/>
  <c r="L15299"/>
  <c r="L15316"/>
  <c r="K15300"/>
  <c r="L15282"/>
  <c r="M15300"/>
  <c r="M15390" s="1"/>
  <c r="K15317"/>
  <c r="L15288"/>
  <c r="L15247"/>
  <c r="L15311"/>
  <c r="L15241"/>
  <c r="L15237"/>
  <c r="L15263"/>
  <c r="N15268"/>
  <c r="N15300" s="1"/>
  <c r="N15390" s="1"/>
  <c r="Q14848"/>
  <c r="Q14846"/>
  <c r="Q14847"/>
  <c r="Q14845"/>
  <c r="Q14863"/>
  <c r="R14863" s="1"/>
  <c r="Q14864"/>
  <c r="R14864" s="1"/>
  <c r="Q14862"/>
  <c r="R14862" s="1"/>
  <c r="Q14865"/>
  <c r="R14865" s="1"/>
  <c r="R14868"/>
  <c r="R14869" s="1"/>
  <c r="Q14869"/>
  <c r="L15300" l="1"/>
  <c r="E15397" s="1"/>
  <c r="L15317"/>
  <c r="E15400" s="1"/>
  <c r="L15258"/>
  <c r="E15396" s="1"/>
  <c r="K15390"/>
  <c r="Q14866"/>
  <c r="R14866"/>
  <c r="R14854"/>
  <c r="R14851"/>
  <c r="R14850"/>
  <c r="R14849"/>
  <c r="R14848"/>
  <c r="R14847"/>
  <c r="R14846"/>
  <c r="R14845"/>
  <c r="R14855"/>
  <c r="Q14855"/>
  <c r="Q14852"/>
  <c r="R14808"/>
  <c r="R14807"/>
  <c r="R14806"/>
  <c r="R14802"/>
  <c r="R14799"/>
  <c r="R14797"/>
  <c r="Q14809"/>
  <c r="Q14800"/>
  <c r="Q14803"/>
  <c r="R14803" s="1"/>
  <c r="S14724"/>
  <c r="T14724" s="1"/>
  <c r="S14725"/>
  <c r="T14725" s="1"/>
  <c r="R14529"/>
  <c r="R14528"/>
  <c r="Q14530"/>
  <c r="R14530" s="1"/>
  <c r="R14718"/>
  <c r="R14717"/>
  <c r="R14716"/>
  <c r="Q14719"/>
  <c r="R14719" s="1"/>
  <c r="R14751"/>
  <c r="R14752" s="1"/>
  <c r="Q14752"/>
  <c r="Q14724"/>
  <c r="R14724" s="1"/>
  <c r="Q14725"/>
  <c r="R14725" s="1"/>
  <c r="L15390" l="1"/>
  <c r="E15409"/>
  <c r="R14531"/>
  <c r="R14535" s="1"/>
  <c r="R14809"/>
  <c r="S14726"/>
  <c r="Q14726"/>
  <c r="R14800"/>
  <c r="T14726"/>
  <c r="Q14804"/>
  <c r="R14726"/>
  <c r="R14804"/>
  <c r="R14852"/>
  <c r="R14720"/>
  <c r="Q14720"/>
  <c r="Q14531"/>
  <c r="Q14535" s="1"/>
  <c r="L14986" l="1"/>
  <c r="L15004" l="1"/>
  <c r="L15005" s="1"/>
  <c r="K14987"/>
  <c r="L14985"/>
  <c r="L14984"/>
  <c r="L14987" l="1"/>
  <c r="R14541"/>
  <c r="R14540"/>
  <c r="R14539"/>
  <c r="Q14542"/>
  <c r="R14542" s="1"/>
  <c r="Q14545"/>
  <c r="R14545" s="1"/>
  <c r="Q14546"/>
  <c r="R14546" s="1"/>
  <c r="Q14547"/>
  <c r="R14547" s="1"/>
  <c r="L14591"/>
  <c r="L14592" s="1"/>
  <c r="Q14543" l="1"/>
  <c r="R14548"/>
  <c r="Q14548"/>
  <c r="R14543"/>
  <c r="Q14549" l="1"/>
  <c r="R14549"/>
  <c r="N14143"/>
  <c r="N14144" s="1"/>
  <c r="N14130"/>
  <c r="K14141"/>
  <c r="L14140"/>
  <c r="L14139"/>
  <c r="K14125"/>
  <c r="L14124"/>
  <c r="L14123"/>
  <c r="L14122"/>
  <c r="K14137"/>
  <c r="L14136"/>
  <c r="L14135"/>
  <c r="L14134"/>
  <c r="L14133"/>
  <c r="K14120"/>
  <c r="L14119"/>
  <c r="L14118"/>
  <c r="L14117"/>
  <c r="M14131"/>
  <c r="M14144"/>
  <c r="K14144"/>
  <c r="L14143"/>
  <c r="L14144" s="1"/>
  <c r="K14131"/>
  <c r="L14130"/>
  <c r="L14129"/>
  <c r="M14145" l="1"/>
  <c r="K14145"/>
  <c r="N14131"/>
  <c r="N14145" s="1"/>
  <c r="L14120"/>
  <c r="L14137"/>
  <c r="L14141"/>
  <c r="L14131"/>
  <c r="L14125"/>
  <c r="L14145" l="1"/>
  <c r="K14115" l="1"/>
  <c r="L14114"/>
  <c r="L14115" s="1"/>
  <c r="K14112"/>
  <c r="L14111"/>
  <c r="L14112" s="1"/>
  <c r="K14109"/>
  <c r="L14108"/>
  <c r="L14107"/>
  <c r="L14106"/>
  <c r="L14105"/>
  <c r="N14954"/>
  <c r="K14955"/>
  <c r="L14954"/>
  <c r="L14953"/>
  <c r="K14964"/>
  <c r="L14955" l="1"/>
  <c r="L14109"/>
  <c r="N15156" l="1"/>
  <c r="N15157" s="1"/>
  <c r="M15157"/>
  <c r="K15157"/>
  <c r="L15156"/>
  <c r="L15157" s="1"/>
  <c r="K15061" l="1"/>
  <c r="N15001"/>
  <c r="N15002" s="1"/>
  <c r="M14993"/>
  <c r="K14993"/>
  <c r="N14987"/>
  <c r="M14987"/>
  <c r="N14978"/>
  <c r="N14977"/>
  <c r="N14976"/>
  <c r="N14975"/>
  <c r="N14974"/>
  <c r="N14991"/>
  <c r="M14996"/>
  <c r="N14996" s="1"/>
  <c r="M14953"/>
  <c r="M15002"/>
  <c r="N14998"/>
  <c r="N14997"/>
  <c r="N14995"/>
  <c r="N14953" l="1"/>
  <c r="N14955" s="1"/>
  <c r="N14993"/>
  <c r="M14999"/>
  <c r="M15006" s="1"/>
  <c r="N14999"/>
  <c r="N15006" l="1"/>
  <c r="N14956"/>
  <c r="N14963"/>
  <c r="N14962"/>
  <c r="N14959"/>
  <c r="M14960"/>
  <c r="M14964"/>
  <c r="M14955"/>
  <c r="M14956" s="1"/>
  <c r="K15130"/>
  <c r="N15164"/>
  <c r="N15165" s="1"/>
  <c r="M15165"/>
  <c r="N14979"/>
  <c r="N14988" s="1"/>
  <c r="M14979"/>
  <c r="M14988" s="1"/>
  <c r="N15153"/>
  <c r="N15152"/>
  <c r="M15154"/>
  <c r="N15146"/>
  <c r="N15145"/>
  <c r="N15144"/>
  <c r="N15143"/>
  <c r="N15142"/>
  <c r="N15141"/>
  <c r="N15139"/>
  <c r="N15138"/>
  <c r="N15137"/>
  <c r="N15136"/>
  <c r="N15135"/>
  <c r="K15056"/>
  <c r="L15055"/>
  <c r="L15056" s="1"/>
  <c r="K15125"/>
  <c r="L15124"/>
  <c r="L15125" s="1"/>
  <c r="K15122"/>
  <c r="L15121"/>
  <c r="L15122" s="1"/>
  <c r="K15119"/>
  <c r="L15118"/>
  <c r="L15119" s="1"/>
  <c r="K15116"/>
  <c r="L15115"/>
  <c r="K15165"/>
  <c r="L15164"/>
  <c r="L15165" s="1"/>
  <c r="K14960"/>
  <c r="K14965" s="1"/>
  <c r="K15154"/>
  <c r="L15153"/>
  <c r="L15152"/>
  <c r="L15060"/>
  <c r="L15059"/>
  <c r="L15058"/>
  <c r="K15032"/>
  <c r="K14999"/>
  <c r="L14998"/>
  <c r="L14997"/>
  <c r="L14996"/>
  <c r="L14995"/>
  <c r="L15116" l="1"/>
  <c r="K15131"/>
  <c r="N14964"/>
  <c r="E15176"/>
  <c r="N14960"/>
  <c r="N14965" s="1"/>
  <c r="L15061"/>
  <c r="M14965"/>
  <c r="M15169" s="1"/>
  <c r="N15154"/>
  <c r="L15154"/>
  <c r="L14999"/>
  <c r="K14982" l="1"/>
  <c r="L14981"/>
  <c r="L14982" s="1"/>
  <c r="K15028"/>
  <c r="L15027"/>
  <c r="L15028" s="1"/>
  <c r="K15002"/>
  <c r="K15006" s="1"/>
  <c r="L15001"/>
  <c r="L15002" s="1"/>
  <c r="L15129"/>
  <c r="L15128"/>
  <c r="L15127"/>
  <c r="K15035"/>
  <c r="L15034"/>
  <c r="L15035" s="1"/>
  <c r="K15019"/>
  <c r="L15018"/>
  <c r="L15019" s="1"/>
  <c r="K15053"/>
  <c r="L15052"/>
  <c r="L15051"/>
  <c r="L15050"/>
  <c r="L15049"/>
  <c r="L15048"/>
  <c r="L15047"/>
  <c r="L15046"/>
  <c r="L15045"/>
  <c r="K15025"/>
  <c r="L15024"/>
  <c r="L15023"/>
  <c r="L15022"/>
  <c r="L15021"/>
  <c r="L15130" l="1"/>
  <c r="L15131" s="1"/>
  <c r="L15025"/>
  <c r="L15053"/>
  <c r="K15016"/>
  <c r="L15015"/>
  <c r="L15016" s="1"/>
  <c r="K15043"/>
  <c r="K15062" s="1"/>
  <c r="L15042"/>
  <c r="L15041"/>
  <c r="L15040"/>
  <c r="L15039"/>
  <c r="K15013"/>
  <c r="L15012"/>
  <c r="L15011"/>
  <c r="L15010"/>
  <c r="N15140"/>
  <c r="M15140"/>
  <c r="N15147"/>
  <c r="N15148" s="1"/>
  <c r="N15169" s="1"/>
  <c r="M15147"/>
  <c r="L15147"/>
  <c r="K15147"/>
  <c r="K15140"/>
  <c r="L15139"/>
  <c r="L15138"/>
  <c r="L15137"/>
  <c r="L15136"/>
  <c r="L15135"/>
  <c r="L14992"/>
  <c r="L14991"/>
  <c r="K14951"/>
  <c r="L14950"/>
  <c r="L14949"/>
  <c r="K14979"/>
  <c r="L14978"/>
  <c r="L14977"/>
  <c r="L14976"/>
  <c r="L14975"/>
  <c r="L14974"/>
  <c r="K15036" l="1"/>
  <c r="L14993"/>
  <c r="L14979"/>
  <c r="L14951"/>
  <c r="L15140"/>
  <c r="L15148" s="1"/>
  <c r="L15043"/>
  <c r="L15013"/>
  <c r="L15036" s="1"/>
  <c r="L15062" l="1"/>
  <c r="E15182" s="1"/>
  <c r="E15181"/>
  <c r="L15006"/>
  <c r="E15180" s="1"/>
  <c r="K15067"/>
  <c r="L15066"/>
  <c r="L15065"/>
  <c r="K15087"/>
  <c r="L15086"/>
  <c r="L15085"/>
  <c r="L15084"/>
  <c r="L15083"/>
  <c r="L15082"/>
  <c r="L15081"/>
  <c r="L15080"/>
  <c r="L15079"/>
  <c r="L15078"/>
  <c r="L15077"/>
  <c r="K15109"/>
  <c r="L15108"/>
  <c r="L15107"/>
  <c r="L15106"/>
  <c r="L15105"/>
  <c r="L15104"/>
  <c r="L15103"/>
  <c r="L15102"/>
  <c r="L15101"/>
  <c r="L15100"/>
  <c r="L15099"/>
  <c r="L15098"/>
  <c r="K14947"/>
  <c r="K14956" s="1"/>
  <c r="L14946"/>
  <c r="L14945"/>
  <c r="K14972"/>
  <c r="K14988" s="1"/>
  <c r="L14971"/>
  <c r="L14970"/>
  <c r="L14969"/>
  <c r="L14968"/>
  <c r="K15075"/>
  <c r="L15074"/>
  <c r="L15073"/>
  <c r="L15072"/>
  <c r="L15071"/>
  <c r="K15096"/>
  <c r="L15095"/>
  <c r="L15094"/>
  <c r="L15093"/>
  <c r="L15092"/>
  <c r="L15091"/>
  <c r="L15109" l="1"/>
  <c r="K15088"/>
  <c r="K15110"/>
  <c r="L15096"/>
  <c r="L14947"/>
  <c r="L14956" s="1"/>
  <c r="E15174" s="1"/>
  <c r="L15067"/>
  <c r="E15185" s="1"/>
  <c r="L14972"/>
  <c r="L14988" s="1"/>
  <c r="E15177" s="1"/>
  <c r="L15087"/>
  <c r="L15075"/>
  <c r="K15169" l="1"/>
  <c r="L15110"/>
  <c r="E15187" s="1"/>
  <c r="L15088"/>
  <c r="E15186" s="1"/>
  <c r="E15194" l="1"/>
  <c r="L15169"/>
  <c r="L14854"/>
  <c r="L14855" s="1"/>
  <c r="K12463" l="1"/>
  <c r="N14840" l="1"/>
  <c r="N14838"/>
  <c r="N14837"/>
  <c r="M14842"/>
  <c r="N14815"/>
  <c r="M14816"/>
  <c r="M14880"/>
  <c r="N14880" s="1"/>
  <c r="M14881"/>
  <c r="N14881" s="1"/>
  <c r="N14882"/>
  <c r="N14816" l="1"/>
  <c r="N14842"/>
  <c r="M14887"/>
  <c r="N14886"/>
  <c r="N14885"/>
  <c r="N14875"/>
  <c r="N14883"/>
  <c r="M14883"/>
  <c r="K14887"/>
  <c r="K14855"/>
  <c r="N14887" l="1"/>
  <c r="K14809"/>
  <c r="L14808"/>
  <c r="L14807"/>
  <c r="L14806"/>
  <c r="L14886"/>
  <c r="L14885"/>
  <c r="L14887" l="1"/>
  <c r="L14809"/>
  <c r="K14816" l="1"/>
  <c r="L14815"/>
  <c r="K14804"/>
  <c r="L14803"/>
  <c r="L14802"/>
  <c r="K14800"/>
  <c r="L14799"/>
  <c r="L14798"/>
  <c r="L14797"/>
  <c r="K14883"/>
  <c r="L14882"/>
  <c r="L14881"/>
  <c r="L14880"/>
  <c r="L14816" l="1"/>
  <c r="L14800"/>
  <c r="L14883"/>
  <c r="L14804"/>
  <c r="N14821"/>
  <c r="N14818"/>
  <c r="M14819"/>
  <c r="N14902"/>
  <c r="N14903" s="1"/>
  <c r="M14903"/>
  <c r="N14899"/>
  <c r="N14898"/>
  <c r="N14897"/>
  <c r="N14896"/>
  <c r="M14900"/>
  <c r="N14892"/>
  <c r="N14893" s="1"/>
  <c r="M14893"/>
  <c r="N14877"/>
  <c r="N14876"/>
  <c r="N14874"/>
  <c r="M14878"/>
  <c r="M14888" s="1"/>
  <c r="N14819" l="1"/>
  <c r="N14878"/>
  <c r="N14888" s="1"/>
  <c r="N14900"/>
  <c r="N14822"/>
  <c r="M14822"/>
  <c r="M14823" s="1"/>
  <c r="M14908" s="1"/>
  <c r="L14868"/>
  <c r="L14869" s="1"/>
  <c r="K14869"/>
  <c r="N14823" l="1"/>
  <c r="N14908" s="1"/>
  <c r="N14724"/>
  <c r="N14726" s="1"/>
  <c r="M14726"/>
  <c r="N14720"/>
  <c r="M14720"/>
  <c r="N14733"/>
  <c r="N14734" s="1"/>
  <c r="M14734"/>
  <c r="N14743"/>
  <c r="N14744" s="1"/>
  <c r="M14744"/>
  <c r="K14734"/>
  <c r="L14733"/>
  <c r="L14734" s="1"/>
  <c r="K14744"/>
  <c r="L14743"/>
  <c r="L14744" s="1"/>
  <c r="M14741" l="1"/>
  <c r="N14740"/>
  <c r="N14739"/>
  <c r="N14738"/>
  <c r="N14748"/>
  <c r="N14747"/>
  <c r="M14749"/>
  <c r="M14753" s="1"/>
  <c r="N14730"/>
  <c r="N14731" s="1"/>
  <c r="L14730"/>
  <c r="L14731" s="1"/>
  <c r="M14731"/>
  <c r="L14725"/>
  <c r="L14724"/>
  <c r="K14720"/>
  <c r="K14713"/>
  <c r="L14751"/>
  <c r="L14752" s="1"/>
  <c r="K14903"/>
  <c r="L14902"/>
  <c r="L14903" s="1"/>
  <c r="K14822"/>
  <c r="L14821"/>
  <c r="L14822" s="1"/>
  <c r="K14819"/>
  <c r="L14818"/>
  <c r="L14819" s="1"/>
  <c r="K14900"/>
  <c r="L14899"/>
  <c r="L14898"/>
  <c r="L14897"/>
  <c r="L14896"/>
  <c r="K14893"/>
  <c r="L14892"/>
  <c r="K14813"/>
  <c r="L14812"/>
  <c r="L14811"/>
  <c r="K14878"/>
  <c r="K14888" s="1"/>
  <c r="L14877"/>
  <c r="L14876"/>
  <c r="L14875"/>
  <c r="L14874"/>
  <c r="K14866"/>
  <c r="K14870" s="1"/>
  <c r="L14865"/>
  <c r="L14864"/>
  <c r="L14863"/>
  <c r="L14862"/>
  <c r="K14834"/>
  <c r="L14833"/>
  <c r="L14832"/>
  <c r="L14831"/>
  <c r="L14830"/>
  <c r="L14829"/>
  <c r="L14828"/>
  <c r="L14827"/>
  <c r="L14826"/>
  <c r="K14842"/>
  <c r="L14841"/>
  <c r="L14840"/>
  <c r="L14839"/>
  <c r="L14838"/>
  <c r="L14837"/>
  <c r="K14852"/>
  <c r="K14856" s="1"/>
  <c r="L14851"/>
  <c r="L14850"/>
  <c r="L14849"/>
  <c r="L14848"/>
  <c r="L14847"/>
  <c r="L14846"/>
  <c r="L14845"/>
  <c r="K14823" l="1"/>
  <c r="N14749"/>
  <c r="N14753" s="1"/>
  <c r="L14893"/>
  <c r="K14908"/>
  <c r="N14741"/>
  <c r="M14757"/>
  <c r="L14726"/>
  <c r="E14767" s="1"/>
  <c r="L14866"/>
  <c r="L14870" s="1"/>
  <c r="E14920" s="1"/>
  <c r="L14813"/>
  <c r="L14823" s="1"/>
  <c r="E14914" s="1"/>
  <c r="L14900"/>
  <c r="L14852"/>
  <c r="L14842"/>
  <c r="E14917" s="1"/>
  <c r="L14834"/>
  <c r="E14916" s="1"/>
  <c r="L14878"/>
  <c r="L14888" s="1"/>
  <c r="L14856" l="1"/>
  <c r="E14918" s="1"/>
  <c r="N14757"/>
  <c r="K14752"/>
  <c r="K14726"/>
  <c r="E14924" l="1"/>
  <c r="L14908"/>
  <c r="K14749"/>
  <c r="K14753" s="1"/>
  <c r="L14748"/>
  <c r="L14747"/>
  <c r="K14731"/>
  <c r="K14741"/>
  <c r="L14740"/>
  <c r="L14739"/>
  <c r="L14738"/>
  <c r="N14592"/>
  <c r="N14593" s="1"/>
  <c r="M14592"/>
  <c r="M14593" s="1"/>
  <c r="M14597"/>
  <c r="M14596"/>
  <c r="K14757" l="1"/>
  <c r="L14741"/>
  <c r="L14749"/>
  <c r="L14753" s="1"/>
  <c r="E14769" l="1"/>
  <c r="L14712" l="1"/>
  <c r="L14711"/>
  <c r="L14710"/>
  <c r="L14709"/>
  <c r="L14708"/>
  <c r="L14707"/>
  <c r="L14706"/>
  <c r="L14719"/>
  <c r="L14718"/>
  <c r="L14717"/>
  <c r="L14716"/>
  <c r="L14720" l="1"/>
  <c r="E14764" s="1"/>
  <c r="L14713"/>
  <c r="E14763" s="1"/>
  <c r="E14773" l="1"/>
  <c r="L14757"/>
  <c r="M14552"/>
  <c r="N14552" l="1"/>
  <c r="N14553"/>
  <c r="N14554" l="1"/>
  <c r="L14597" l="1"/>
  <c r="L14596"/>
  <c r="L14582"/>
  <c r="L14581"/>
  <c r="N14578"/>
  <c r="K14577"/>
  <c r="N14596"/>
  <c r="L14583" l="1"/>
  <c r="L14598"/>
  <c r="N14597"/>
  <c r="N14598" s="1"/>
  <c r="N14602"/>
  <c r="N14603" s="1"/>
  <c r="M14578"/>
  <c r="M14603"/>
  <c r="M14598"/>
  <c r="L14576"/>
  <c r="L14575"/>
  <c r="K14603"/>
  <c r="L14602"/>
  <c r="L14603" s="1"/>
  <c r="K14598"/>
  <c r="K14573"/>
  <c r="L14572"/>
  <c r="L14571"/>
  <c r="L14570"/>
  <c r="K14583"/>
  <c r="K14592"/>
  <c r="L14577" l="1"/>
  <c r="L14573"/>
  <c r="M14583"/>
  <c r="N14606"/>
  <c r="K14589" l="1"/>
  <c r="K14593" s="1"/>
  <c r="L14588"/>
  <c r="L14587"/>
  <c r="L14586"/>
  <c r="L14589" l="1"/>
  <c r="L14593" s="1"/>
  <c r="K14568"/>
  <c r="K14578" s="1"/>
  <c r="L14567"/>
  <c r="L14566"/>
  <c r="L14565"/>
  <c r="L14564"/>
  <c r="L14563"/>
  <c r="L14568" l="1"/>
  <c r="L14578" s="1"/>
  <c r="L14606" s="1"/>
  <c r="E14683" l="1"/>
  <c r="L14506"/>
  <c r="L14505"/>
  <c r="L14504"/>
  <c r="L14503"/>
  <c r="L14493"/>
  <c r="L14492"/>
  <c r="L14491"/>
  <c r="L14488"/>
  <c r="L14482"/>
  <c r="L14483" s="1"/>
  <c r="L14479"/>
  <c r="L14475"/>
  <c r="L14476" s="1"/>
  <c r="E14617" s="1"/>
  <c r="L14507" l="1"/>
  <c r="E14621" s="1"/>
  <c r="L14480"/>
  <c r="L14484" s="1"/>
  <c r="E14618" s="1"/>
  <c r="L14494"/>
  <c r="L14489"/>
  <c r="L14495" l="1"/>
  <c r="K14507" l="1"/>
  <c r="N14556"/>
  <c r="N14557" s="1"/>
  <c r="M14557"/>
  <c r="M14554"/>
  <c r="N14488"/>
  <c r="M14489"/>
  <c r="N14482"/>
  <c r="M14483"/>
  <c r="M14484" s="1"/>
  <c r="N14516"/>
  <c r="N14517" s="1"/>
  <c r="N14513"/>
  <c r="N14512"/>
  <c r="N14511"/>
  <c r="N14510"/>
  <c r="N14498"/>
  <c r="N14499" s="1"/>
  <c r="M14499"/>
  <c r="L14516"/>
  <c r="L14517" s="1"/>
  <c r="M14514"/>
  <c r="M14517"/>
  <c r="N14493"/>
  <c r="N14492"/>
  <c r="N14491"/>
  <c r="M14494"/>
  <c r="N14514" l="1"/>
  <c r="N14518" s="1"/>
  <c r="N14494"/>
  <c r="M14558"/>
  <c r="N14483"/>
  <c r="N14484" s="1"/>
  <c r="M14495"/>
  <c r="N14489"/>
  <c r="N14558"/>
  <c r="M14518"/>
  <c r="M14611" l="1"/>
  <c r="N14495"/>
  <c r="N14611" s="1"/>
  <c r="L14533" l="1"/>
  <c r="L14534" s="1"/>
  <c r="L14530"/>
  <c r="L14229" l="1"/>
  <c r="K14494"/>
  <c r="K14554"/>
  <c r="L14553"/>
  <c r="L14552"/>
  <c r="K14499"/>
  <c r="L14498"/>
  <c r="L14499" s="1"/>
  <c r="K14483"/>
  <c r="K14517"/>
  <c r="L14554" l="1"/>
  <c r="K14543" l="1"/>
  <c r="L14542"/>
  <c r="L14541"/>
  <c r="L14540"/>
  <c r="L14539"/>
  <c r="K14514"/>
  <c r="K14518" s="1"/>
  <c r="L14513"/>
  <c r="L14512"/>
  <c r="L14511"/>
  <c r="L14510"/>
  <c r="K14531"/>
  <c r="L14529"/>
  <c r="L14528"/>
  <c r="K14548"/>
  <c r="L14547"/>
  <c r="L14546"/>
  <c r="L14545"/>
  <c r="K14525"/>
  <c r="L14524"/>
  <c r="L14523"/>
  <c r="L14522"/>
  <c r="L14521"/>
  <c r="K14557"/>
  <c r="K14558" s="1"/>
  <c r="L14556"/>
  <c r="K14549" l="1"/>
  <c r="L14557"/>
  <c r="L14558" s="1"/>
  <c r="E14627" s="1"/>
  <c r="L14531"/>
  <c r="L14535" s="1"/>
  <c r="E14624" s="1"/>
  <c r="L14525"/>
  <c r="E14623" s="1"/>
  <c r="L14548"/>
  <c r="L14514"/>
  <c r="L14518" s="1"/>
  <c r="E14622" s="1"/>
  <c r="L14543"/>
  <c r="L14549" s="1"/>
  <c r="E14625" s="1"/>
  <c r="L14611" l="1"/>
  <c r="E14631"/>
  <c r="K14534"/>
  <c r="K14535" s="1"/>
  <c r="K14489"/>
  <c r="K14495" s="1"/>
  <c r="N14215" l="1"/>
  <c r="N14216" s="1"/>
  <c r="S14156" l="1"/>
  <c r="S14157" s="1"/>
  <c r="R14160"/>
  <c r="S14159"/>
  <c r="S14160" s="1"/>
  <c r="R14157"/>
  <c r="K14411"/>
  <c r="S14161" l="1"/>
  <c r="R14161"/>
  <c r="Q13844" l="1"/>
  <c r="R13844" s="1"/>
  <c r="R13845"/>
  <c r="Q13843"/>
  <c r="Q13846" s="1"/>
  <c r="Q13811"/>
  <c r="R13811" s="1"/>
  <c r="R13812" s="1"/>
  <c r="N14426"/>
  <c r="N14425"/>
  <c r="M14427"/>
  <c r="L14426"/>
  <c r="L14425"/>
  <c r="K14427"/>
  <c r="L14410"/>
  <c r="L14409"/>
  <c r="L14408"/>
  <c r="K14420"/>
  <c r="L14419"/>
  <c r="L14418"/>
  <c r="K14415"/>
  <c r="L14414"/>
  <c r="L14415" s="1"/>
  <c r="L14420" l="1"/>
  <c r="L14411"/>
  <c r="E14437" s="1"/>
  <c r="R13843"/>
  <c r="R13846" s="1"/>
  <c r="N14427"/>
  <c r="Q13812"/>
  <c r="L14427"/>
  <c r="K14313"/>
  <c r="K14476" l="1"/>
  <c r="K14480"/>
  <c r="K14484" s="1"/>
  <c r="L14312"/>
  <c r="L14311"/>
  <c r="K14611" l="1"/>
  <c r="L14313"/>
  <c r="L14294" l="1"/>
  <c r="L14295" s="1"/>
  <c r="K14290"/>
  <c r="N14357" l="1"/>
  <c r="L14361"/>
  <c r="N14362"/>
  <c r="M14362"/>
  <c r="M14374" s="1"/>
  <c r="L14372"/>
  <c r="K14373"/>
  <c r="L14308"/>
  <c r="L14307"/>
  <c r="K14309"/>
  <c r="L14352"/>
  <c r="K14353"/>
  <c r="L14371"/>
  <c r="L14324"/>
  <c r="L14323"/>
  <c r="K14320"/>
  <c r="L14319"/>
  <c r="L14318"/>
  <c r="L14317"/>
  <c r="L14306"/>
  <c r="L14328"/>
  <c r="L14329" s="1"/>
  <c r="E14444" s="1"/>
  <c r="N14402"/>
  <c r="M14398"/>
  <c r="N14397"/>
  <c r="N14396"/>
  <c r="M14394"/>
  <c r="N14393"/>
  <c r="N14392"/>
  <c r="N14387"/>
  <c r="N14388" s="1"/>
  <c r="N14382"/>
  <c r="N14383" s="1"/>
  <c r="N14379"/>
  <c r="N14380" s="1"/>
  <c r="N14403"/>
  <c r="M14403"/>
  <c r="L14397"/>
  <c r="L14396"/>
  <c r="L14402"/>
  <c r="L14403" s="1"/>
  <c r="L14393"/>
  <c r="L14392"/>
  <c r="L14387"/>
  <c r="L14388" s="1"/>
  <c r="L14382"/>
  <c r="L14383" s="1"/>
  <c r="K14380"/>
  <c r="L14379"/>
  <c r="L14380" s="1"/>
  <c r="L14305"/>
  <c r="L14336"/>
  <c r="L14335"/>
  <c r="L14334"/>
  <c r="L14333"/>
  <c r="L14351"/>
  <c r="L14350"/>
  <c r="L14349"/>
  <c r="L14348"/>
  <c r="L14347"/>
  <c r="L14346"/>
  <c r="L14345"/>
  <c r="L14370"/>
  <c r="L14369"/>
  <c r="L14368"/>
  <c r="L14367"/>
  <c r="L14366"/>
  <c r="L14365"/>
  <c r="L14364"/>
  <c r="L14302"/>
  <c r="L14301"/>
  <c r="L14300"/>
  <c r="L14299"/>
  <c r="L14342"/>
  <c r="L14341"/>
  <c r="L14340"/>
  <c r="L14360"/>
  <c r="L14359"/>
  <c r="L14358"/>
  <c r="L14357"/>
  <c r="L14289"/>
  <c r="L14288"/>
  <c r="L14287"/>
  <c r="L14284"/>
  <c r="L14285" s="1"/>
  <c r="L14281"/>
  <c r="L14278"/>
  <c r="L14277"/>
  <c r="L14276"/>
  <c r="K14285"/>
  <c r="K14403"/>
  <c r="K14398"/>
  <c r="K14394"/>
  <c r="M14388"/>
  <c r="K14388"/>
  <c r="M14383"/>
  <c r="M14380"/>
  <c r="K14383"/>
  <c r="K14337"/>
  <c r="K14303"/>
  <c r="K14343"/>
  <c r="K14354" s="1"/>
  <c r="K14362"/>
  <c r="K14374" s="1"/>
  <c r="K14314" l="1"/>
  <c r="L14290"/>
  <c r="L14373"/>
  <c r="L14309"/>
  <c r="L14398"/>
  <c r="L14325"/>
  <c r="E14443" s="1"/>
  <c r="M14399"/>
  <c r="N14374"/>
  <c r="M14384"/>
  <c r="K14399"/>
  <c r="K14384"/>
  <c r="L14384"/>
  <c r="N14384"/>
  <c r="L14362"/>
  <c r="L14353"/>
  <c r="L14320"/>
  <c r="E14442" s="1"/>
  <c r="N14398"/>
  <c r="L14303"/>
  <c r="L14314" s="1"/>
  <c r="E14439" s="1"/>
  <c r="N14394"/>
  <c r="N14399" s="1"/>
  <c r="N14428" s="1"/>
  <c r="L14337"/>
  <c r="E14447" s="1"/>
  <c r="L14343"/>
  <c r="L14394"/>
  <c r="K14282"/>
  <c r="K14291" s="1"/>
  <c r="L14282"/>
  <c r="K14295"/>
  <c r="M14430" l="1"/>
  <c r="N14430"/>
  <c r="L14399"/>
  <c r="L14428" s="1"/>
  <c r="L14374"/>
  <c r="E14449" s="1"/>
  <c r="L14354"/>
  <c r="E14448" s="1"/>
  <c r="L14279"/>
  <c r="L14291" l="1"/>
  <c r="E14436" s="1"/>
  <c r="E14453" s="1"/>
  <c r="K14329"/>
  <c r="K14325"/>
  <c r="K14430" l="1"/>
  <c r="L14430"/>
  <c r="R13659"/>
  <c r="R13657"/>
  <c r="Q13668"/>
  <c r="Q13665"/>
  <c r="R13665" s="1"/>
  <c r="Q13664"/>
  <c r="R13664" s="1"/>
  <c r="Q13658"/>
  <c r="R13658" s="1"/>
  <c r="R13660" l="1"/>
  <c r="Q13660"/>
  <c r="Q13669"/>
  <c r="R13668"/>
  <c r="R13669" s="1"/>
  <c r="R13666"/>
  <c r="Q13666"/>
  <c r="K13688"/>
  <c r="K14038"/>
  <c r="N13678" l="1"/>
  <c r="N13677"/>
  <c r="L14164" l="1"/>
  <c r="L14165" s="1"/>
  <c r="E14242" s="1"/>
  <c r="N14164"/>
  <c r="M13998"/>
  <c r="M13997"/>
  <c r="M14005"/>
  <c r="L13851" l="1"/>
  <c r="L13850"/>
  <c r="L13849"/>
  <c r="K13852"/>
  <c r="L13852" l="1"/>
  <c r="N14232"/>
  <c r="N14233" s="1"/>
  <c r="K14176"/>
  <c r="N14165"/>
  <c r="N14157"/>
  <c r="M14157"/>
  <c r="N14160"/>
  <c r="N14161" s="1"/>
  <c r="M14160"/>
  <c r="M14233"/>
  <c r="N14229"/>
  <c r="N14230" s="1"/>
  <c r="N14225"/>
  <c r="N14226" s="1"/>
  <c r="M14230"/>
  <c r="M14226"/>
  <c r="M14161" l="1"/>
  <c r="N14220"/>
  <c r="M14221"/>
  <c r="N14221" s="1"/>
  <c r="M14222" l="1"/>
  <c r="N14222"/>
  <c r="N14212" l="1"/>
  <c r="N14213" s="1"/>
  <c r="M14216"/>
  <c r="M14213"/>
  <c r="N14207"/>
  <c r="N14208" s="1"/>
  <c r="L14207"/>
  <c r="L14208" s="1"/>
  <c r="N14204"/>
  <c r="N14205" l="1"/>
  <c r="N14235" s="1"/>
  <c r="M14205"/>
  <c r="M14208"/>
  <c r="L14159"/>
  <c r="L14160" s="1"/>
  <c r="K14185"/>
  <c r="L14184"/>
  <c r="L14183"/>
  <c r="L14182"/>
  <c r="L14181"/>
  <c r="K14192"/>
  <c r="L14191"/>
  <c r="L14190"/>
  <c r="L14189"/>
  <c r="L14188"/>
  <c r="K14200"/>
  <c r="L14199"/>
  <c r="L14198"/>
  <c r="L14197"/>
  <c r="L14196"/>
  <c r="L14195"/>
  <c r="K14233"/>
  <c r="L14232"/>
  <c r="L14233" s="1"/>
  <c r="K14208"/>
  <c r="M14165"/>
  <c r="L14185" l="1"/>
  <c r="E14247" s="1"/>
  <c r="L14200"/>
  <c r="E14249" s="1"/>
  <c r="L14192"/>
  <c r="E14248" s="1"/>
  <c r="K14157" l="1"/>
  <c r="L14156"/>
  <c r="K14165"/>
  <c r="L14171"/>
  <c r="L14170"/>
  <c r="L14169"/>
  <c r="K14172"/>
  <c r="K14177" s="1"/>
  <c r="K14216"/>
  <c r="L14215"/>
  <c r="K14230"/>
  <c r="L14230"/>
  <c r="K14160"/>
  <c r="K14226"/>
  <c r="L14225"/>
  <c r="L14226" s="1"/>
  <c r="K14222"/>
  <c r="L14221"/>
  <c r="L14220"/>
  <c r="L14175"/>
  <c r="L14174"/>
  <c r="K14213"/>
  <c r="L14212"/>
  <c r="L14213" s="1"/>
  <c r="K14205"/>
  <c r="L14204"/>
  <c r="L14205" s="1"/>
  <c r="L14176" l="1"/>
  <c r="L14216"/>
  <c r="L14172"/>
  <c r="L14177" s="1"/>
  <c r="E14244" s="1"/>
  <c r="L14222"/>
  <c r="L14157"/>
  <c r="L14161" s="1"/>
  <c r="E14241" s="1"/>
  <c r="K14161"/>
  <c r="E14253" l="1"/>
  <c r="L14235"/>
  <c r="K13936" l="1"/>
  <c r="N13675" l="1"/>
  <c r="N13674"/>
  <c r="N13673"/>
  <c r="L13678"/>
  <c r="L13677"/>
  <c r="N13647"/>
  <c r="N13646"/>
  <c r="M13648"/>
  <c r="N13648" l="1"/>
  <c r="N13649" s="1"/>
  <c r="M13649"/>
  <c r="N13478" l="1"/>
  <c r="K13478"/>
  <c r="L14037" l="1"/>
  <c r="L14036"/>
  <c r="L14035"/>
  <c r="L14034"/>
  <c r="L14033"/>
  <c r="K14031"/>
  <c r="L14030"/>
  <c r="L14029"/>
  <c r="L14028"/>
  <c r="L14038" l="1"/>
  <c r="K14039"/>
  <c r="L14031"/>
  <c r="N14023"/>
  <c r="N14024" s="1"/>
  <c r="L14039" l="1"/>
  <c r="E14060" s="1"/>
  <c r="L14092"/>
  <c r="L14091"/>
  <c r="L14090"/>
  <c r="N14102"/>
  <c r="N14101"/>
  <c r="N14100"/>
  <c r="M14103"/>
  <c r="M14126" s="1"/>
  <c r="M14148" s="1"/>
  <c r="L14093" l="1"/>
  <c r="N14103"/>
  <c r="N14126" s="1"/>
  <c r="N14148" s="1"/>
  <c r="K14093"/>
  <c r="K14088"/>
  <c r="L14087"/>
  <c r="L14086"/>
  <c r="L14088" l="1"/>
  <c r="L14094" s="1"/>
  <c r="K14103"/>
  <c r="L14102"/>
  <c r="L14101"/>
  <c r="L14100"/>
  <c r="L14103" l="1"/>
  <c r="K14098"/>
  <c r="K14126" s="1"/>
  <c r="K14148" s="1"/>
  <c r="L14097"/>
  <c r="L14098" l="1"/>
  <c r="L14126" s="1"/>
  <c r="L14148" s="1"/>
  <c r="L14002"/>
  <c r="L14001"/>
  <c r="K13990"/>
  <c r="L13950"/>
  <c r="L13951" s="1"/>
  <c r="L13935"/>
  <c r="L13934"/>
  <c r="L14003" l="1"/>
  <c r="L13933" l="1"/>
  <c r="L13932"/>
  <c r="K13951"/>
  <c r="L13929"/>
  <c r="L13928"/>
  <c r="K13930"/>
  <c r="L13947"/>
  <c r="L13948" s="1"/>
  <c r="K13948"/>
  <c r="K13926"/>
  <c r="L13925"/>
  <c r="L13924"/>
  <c r="L13923"/>
  <c r="L13922"/>
  <c r="L13936" l="1"/>
  <c r="L13926"/>
  <c r="L13930"/>
  <c r="L13944" l="1"/>
  <c r="L13945" s="1"/>
  <c r="K13945"/>
  <c r="L13919" l="1"/>
  <c r="L13918"/>
  <c r="L13917"/>
  <c r="L13920" l="1"/>
  <c r="L13937" s="1"/>
  <c r="E14049" l="1"/>
  <c r="L13970"/>
  <c r="L13971" s="1"/>
  <c r="N14020"/>
  <c r="M14021"/>
  <c r="N14015"/>
  <c r="N14014"/>
  <c r="N14011"/>
  <c r="N14021" l="1"/>
  <c r="N14025" s="1"/>
  <c r="M14024"/>
  <c r="M14025" s="1"/>
  <c r="N14016"/>
  <c r="M14016"/>
  <c r="N14012"/>
  <c r="N14017" s="1"/>
  <c r="M14012"/>
  <c r="M14017" s="1"/>
  <c r="N13975"/>
  <c r="N13978" s="1"/>
  <c r="N13998"/>
  <c r="M14006"/>
  <c r="M13978"/>
  <c r="M13991" s="1"/>
  <c r="N13965"/>
  <c r="N13963"/>
  <c r="M13963"/>
  <c r="M13957"/>
  <c r="N13957" s="1"/>
  <c r="N13959" s="1"/>
  <c r="M13999" l="1"/>
  <c r="N13991"/>
  <c r="N13997"/>
  <c r="N13999" s="1"/>
  <c r="N14005"/>
  <c r="N14006" s="1"/>
  <c r="M14007"/>
  <c r="N14007" l="1"/>
  <c r="M13959"/>
  <c r="N13968"/>
  <c r="N13972" s="1"/>
  <c r="M13968"/>
  <c r="L14005"/>
  <c r="L14006" s="1"/>
  <c r="L13989"/>
  <c r="L13990" s="1"/>
  <c r="N14043" l="1"/>
  <c r="M13972"/>
  <c r="M14043" s="1"/>
  <c r="K14006"/>
  <c r="K13971"/>
  <c r="K14024" l="1"/>
  <c r="L14023"/>
  <c r="L14024" s="1"/>
  <c r="K13968"/>
  <c r="L13967"/>
  <c r="L13966"/>
  <c r="L13965"/>
  <c r="K13987"/>
  <c r="L13986"/>
  <c r="L13987" s="1"/>
  <c r="L13968" l="1"/>
  <c r="K13920"/>
  <c r="K13937" s="1"/>
  <c r="K13942"/>
  <c r="K13952" s="1"/>
  <c r="L13941"/>
  <c r="K14021"/>
  <c r="K14025" s="1"/>
  <c r="L14020"/>
  <c r="K13963"/>
  <c r="K13972" s="1"/>
  <c r="L13962"/>
  <c r="K13984"/>
  <c r="L13983"/>
  <c r="L13984" s="1"/>
  <c r="K14016"/>
  <c r="K14003"/>
  <c r="L14015"/>
  <c r="L14014"/>
  <c r="K13981"/>
  <c r="L13980"/>
  <c r="L13981" s="1"/>
  <c r="K14011"/>
  <c r="K13999"/>
  <c r="K14007" s="1"/>
  <c r="L13998"/>
  <c r="L13997"/>
  <c r="K13958"/>
  <c r="L13958" s="1"/>
  <c r="L13957"/>
  <c r="K13956"/>
  <c r="K13977"/>
  <c r="L13977" s="1"/>
  <c r="K13976"/>
  <c r="L13975"/>
  <c r="L13942" l="1"/>
  <c r="L13952" s="1"/>
  <c r="E14050" s="1"/>
  <c r="L14016"/>
  <c r="K13959"/>
  <c r="K14012"/>
  <c r="K14017" s="1"/>
  <c r="L14021"/>
  <c r="L14025" s="1"/>
  <c r="L13963"/>
  <c r="L13972" s="1"/>
  <c r="K13978"/>
  <c r="K13991" s="1"/>
  <c r="L13976"/>
  <c r="L13956"/>
  <c r="L13959" s="1"/>
  <c r="L13999"/>
  <c r="L14007" s="1"/>
  <c r="L14011"/>
  <c r="E14053" l="1"/>
  <c r="K14043"/>
  <c r="L13978"/>
  <c r="L13991" s="1"/>
  <c r="E14054" s="1"/>
  <c r="L14012"/>
  <c r="L14017" s="1"/>
  <c r="E14058" s="1"/>
  <c r="N13873"/>
  <c r="N13874" s="1"/>
  <c r="M13874"/>
  <c r="N13869"/>
  <c r="N13870" s="1"/>
  <c r="M13870"/>
  <c r="N13864"/>
  <c r="N13863"/>
  <c r="M13865"/>
  <c r="N13858"/>
  <c r="N13857"/>
  <c r="N13856"/>
  <c r="M13859"/>
  <c r="E14063" l="1"/>
  <c r="L14043"/>
  <c r="N13859"/>
  <c r="N13865"/>
  <c r="N13846"/>
  <c r="M13846"/>
  <c r="N13829"/>
  <c r="M13830"/>
  <c r="M13832" s="1"/>
  <c r="L13837"/>
  <c r="L13838" s="1"/>
  <c r="K13832"/>
  <c r="K13835"/>
  <c r="L13834"/>
  <c r="L13835" s="1"/>
  <c r="K13838"/>
  <c r="K13825"/>
  <c r="L13824"/>
  <c r="L13825" s="1"/>
  <c r="K13874"/>
  <c r="L13873"/>
  <c r="L13874" s="1"/>
  <c r="K13816"/>
  <c r="L13815"/>
  <c r="L13816" s="1"/>
  <c r="K13870"/>
  <c r="L13869"/>
  <c r="L13870" s="1"/>
  <c r="K13865"/>
  <c r="L13864"/>
  <c r="L13863"/>
  <c r="L13831"/>
  <c r="L13830"/>
  <c r="L13829"/>
  <c r="K13822"/>
  <c r="L13821"/>
  <c r="L13820"/>
  <c r="K13811"/>
  <c r="L13811" s="1"/>
  <c r="L13845"/>
  <c r="L13858"/>
  <c r="L13857"/>
  <c r="L13856"/>
  <c r="K13859"/>
  <c r="K13844"/>
  <c r="L13844" s="1"/>
  <c r="K13843"/>
  <c r="L13843" s="1"/>
  <c r="L13812" l="1"/>
  <c r="L13817" s="1"/>
  <c r="N13830"/>
  <c r="N13832" s="1"/>
  <c r="M13839"/>
  <c r="M13880" s="1"/>
  <c r="K13839"/>
  <c r="L13822"/>
  <c r="L13826" s="1"/>
  <c r="K13826"/>
  <c r="L13832"/>
  <c r="L13865"/>
  <c r="L13859"/>
  <c r="L13846"/>
  <c r="K13846"/>
  <c r="E13886" l="1"/>
  <c r="E13888"/>
  <c r="N13839"/>
  <c r="N13880" s="1"/>
  <c r="L13839"/>
  <c r="L13880" s="1"/>
  <c r="E13887" l="1"/>
  <c r="E13895" s="1"/>
  <c r="K13812"/>
  <c r="K13817" s="1"/>
  <c r="K13880" s="1"/>
  <c r="V13120" l="1"/>
  <c r="U13119"/>
  <c r="V13119" s="1"/>
  <c r="L13120"/>
  <c r="L13119"/>
  <c r="L13116"/>
  <c r="L13115"/>
  <c r="L13117" l="1"/>
  <c r="L13121"/>
  <c r="V13121"/>
  <c r="U13121"/>
  <c r="R13379"/>
  <c r="R13378"/>
  <c r="Q13380"/>
  <c r="R13380" s="1"/>
  <c r="Q13377"/>
  <c r="R13377" s="1"/>
  <c r="Q13357"/>
  <c r="Q13364"/>
  <c r="R13357"/>
  <c r="Q13361"/>
  <c r="Q13365" l="1"/>
  <c r="Q13381"/>
  <c r="R13381"/>
  <c r="R13358"/>
  <c r="Q13358"/>
  <c r="R13364"/>
  <c r="R13363"/>
  <c r="R13362"/>
  <c r="R13361"/>
  <c r="R13360"/>
  <c r="Q13348"/>
  <c r="Q13352"/>
  <c r="Q13347"/>
  <c r="R13347" s="1"/>
  <c r="Q13351"/>
  <c r="R13351" s="1"/>
  <c r="R13348"/>
  <c r="R13352"/>
  <c r="Q13353" l="1"/>
  <c r="Q13349"/>
  <c r="R13349"/>
  <c r="R13365"/>
  <c r="R13353"/>
  <c r="K13648"/>
  <c r="Q13354" l="1"/>
  <c r="R13354"/>
  <c r="N13726" l="1"/>
  <c r="N13727" s="1"/>
  <c r="N13707"/>
  <c r="N13708" s="1"/>
  <c r="N13636"/>
  <c r="M13636"/>
  <c r="M13660"/>
  <c r="K13660"/>
  <c r="M13727"/>
  <c r="M13686"/>
  <c r="M13687"/>
  <c r="M13683"/>
  <c r="M13708"/>
  <c r="N13126"/>
  <c r="M13126"/>
  <c r="K13126"/>
  <c r="L13125"/>
  <c r="L13124"/>
  <c r="L13126" l="1"/>
  <c r="N13697"/>
  <c r="N13696"/>
  <c r="N13688"/>
  <c r="N13687"/>
  <c r="N13683"/>
  <c r="N13684" s="1"/>
  <c r="N13665"/>
  <c r="N13664"/>
  <c r="N13659"/>
  <c r="N13658"/>
  <c r="N13657"/>
  <c r="M13666"/>
  <c r="M13670" s="1"/>
  <c r="N13686"/>
  <c r="M13689"/>
  <c r="M13698"/>
  <c r="M13709" s="1"/>
  <c r="M13684"/>
  <c r="M13676"/>
  <c r="L13707"/>
  <c r="L13708" s="1"/>
  <c r="L13635"/>
  <c r="L13636" s="1"/>
  <c r="L13659"/>
  <c r="L13658"/>
  <c r="L13657"/>
  <c r="L13704"/>
  <c r="L13705" s="1"/>
  <c r="K13752"/>
  <c r="K13762"/>
  <c r="L13751"/>
  <c r="L13750"/>
  <c r="L13761"/>
  <c r="L13762" s="1"/>
  <c r="E13784" s="1"/>
  <c r="K13758"/>
  <c r="L13757"/>
  <c r="L13756"/>
  <c r="L13755"/>
  <c r="K13748"/>
  <c r="L13747"/>
  <c r="L13746"/>
  <c r="L13745"/>
  <c r="L13744"/>
  <c r="K13741"/>
  <c r="L13740"/>
  <c r="L13739"/>
  <c r="L13738"/>
  <c r="L13737"/>
  <c r="L13736"/>
  <c r="K13730"/>
  <c r="K13705"/>
  <c r="M13679" l="1"/>
  <c r="N13676"/>
  <c r="N13679" s="1"/>
  <c r="K13731"/>
  <c r="L13730"/>
  <c r="L13731" s="1"/>
  <c r="E13778" s="1"/>
  <c r="L13741"/>
  <c r="E13781" s="1"/>
  <c r="N13660"/>
  <c r="K13753"/>
  <c r="L13660"/>
  <c r="E13772" s="1"/>
  <c r="N13666"/>
  <c r="N13670" s="1"/>
  <c r="N13698"/>
  <c r="N13709" s="1"/>
  <c r="M13690"/>
  <c r="N13689"/>
  <c r="N13690" s="1"/>
  <c r="L13752"/>
  <c r="L13748"/>
  <c r="L13758"/>
  <c r="E13783" s="1"/>
  <c r="L13753" l="1"/>
  <c r="E13782" s="1"/>
  <c r="M13765"/>
  <c r="N13765"/>
  <c r="K13708" l="1"/>
  <c r="K13640"/>
  <c r="L13639"/>
  <c r="K13689"/>
  <c r="K13721"/>
  <c r="L13721" s="1"/>
  <c r="K13720"/>
  <c r="L13720" s="1"/>
  <c r="K13669"/>
  <c r="L13668"/>
  <c r="L13669" s="1"/>
  <c r="L13687"/>
  <c r="L13686"/>
  <c r="L13722"/>
  <c r="L13688" l="1"/>
  <c r="L13689" s="1"/>
  <c r="L13640"/>
  <c r="K13723"/>
  <c r="L13723"/>
  <c r="E13775" s="1"/>
  <c r="K13727" l="1"/>
  <c r="L13726"/>
  <c r="L13727" s="1"/>
  <c r="K13679"/>
  <c r="L13676"/>
  <c r="L13675"/>
  <c r="L13674"/>
  <c r="L13673"/>
  <c r="K13702"/>
  <c r="L13701"/>
  <c r="L13700"/>
  <c r="L13647"/>
  <c r="L13646"/>
  <c r="L13715"/>
  <c r="L13714"/>
  <c r="L13713"/>
  <c r="L13712"/>
  <c r="L13653"/>
  <c r="L13652"/>
  <c r="K13716"/>
  <c r="K13654"/>
  <c r="L13679" l="1"/>
  <c r="L13648"/>
  <c r="L13654"/>
  <c r="L13716"/>
  <c r="L13702"/>
  <c r="L13697" l="1"/>
  <c r="L13696"/>
  <c r="L13695"/>
  <c r="L13694"/>
  <c r="L13643"/>
  <c r="L13642"/>
  <c r="K13698"/>
  <c r="K13709" s="1"/>
  <c r="L13693"/>
  <c r="K13644"/>
  <c r="K13649" s="1"/>
  <c r="L13644" l="1"/>
  <c r="L13649" s="1"/>
  <c r="E13771" s="1"/>
  <c r="L13698"/>
  <c r="L13709" s="1"/>
  <c r="K13665"/>
  <c r="L13665" s="1"/>
  <c r="K13664"/>
  <c r="L13664" l="1"/>
  <c r="L13666" s="1"/>
  <c r="L13670" l="1"/>
  <c r="E13773" s="1"/>
  <c r="L13306" l="1"/>
  <c r="L13305"/>
  <c r="R13289"/>
  <c r="R13288"/>
  <c r="R13284"/>
  <c r="Q13290"/>
  <c r="Q13285"/>
  <c r="Q13286" s="1"/>
  <c r="R13306"/>
  <c r="Q13305"/>
  <c r="R13305" s="1"/>
  <c r="Q13278"/>
  <c r="R13278" s="1"/>
  <c r="R13279" s="1"/>
  <c r="U13270"/>
  <c r="U13271" s="1"/>
  <c r="U13267"/>
  <c r="R13273"/>
  <c r="R13274" s="1"/>
  <c r="Q13274"/>
  <c r="V13270"/>
  <c r="V13271" s="1"/>
  <c r="V13267"/>
  <c r="S13300"/>
  <c r="T13300" s="1"/>
  <c r="U13266"/>
  <c r="V13266" s="1"/>
  <c r="U13265"/>
  <c r="V13265" s="1"/>
  <c r="T13301"/>
  <c r="S13302"/>
  <c r="T13302" s="1"/>
  <c r="Q13267"/>
  <c r="R13267" s="1"/>
  <c r="R13302"/>
  <c r="R13301"/>
  <c r="R13300"/>
  <c r="Q13303"/>
  <c r="Q13265"/>
  <c r="Q13266"/>
  <c r="R13266" s="1"/>
  <c r="S13265"/>
  <c r="T13265" s="1"/>
  <c r="S13267"/>
  <c r="T13267" s="1"/>
  <c r="S13266"/>
  <c r="T13266" s="1"/>
  <c r="L13527"/>
  <c r="L13526"/>
  <c r="L13525"/>
  <c r="K13575"/>
  <c r="L13574"/>
  <c r="L13573"/>
  <c r="L13572"/>
  <c r="L13571"/>
  <c r="L13584"/>
  <c r="L13585" s="1"/>
  <c r="U13268" l="1"/>
  <c r="R13290"/>
  <c r="L13307"/>
  <c r="R13303"/>
  <c r="L13528"/>
  <c r="Q13279"/>
  <c r="L13575"/>
  <c r="T13268"/>
  <c r="R13307"/>
  <c r="Q13268"/>
  <c r="Q13307"/>
  <c r="V13268"/>
  <c r="S13268"/>
  <c r="R13265"/>
  <c r="R13268" s="1"/>
  <c r="T13303"/>
  <c r="R13285"/>
  <c r="R13286" s="1"/>
  <c r="S13303"/>
  <c r="K13561"/>
  <c r="L13560"/>
  <c r="L13559"/>
  <c r="L13558"/>
  <c r="L13557"/>
  <c r="N13574"/>
  <c r="N13575" s="1"/>
  <c r="N13576" s="1"/>
  <c r="M13575"/>
  <c r="M13576" s="1"/>
  <c r="K13569"/>
  <c r="K13576" s="1"/>
  <c r="L13568"/>
  <c r="L13567"/>
  <c r="L13566"/>
  <c r="L13565"/>
  <c r="L13581"/>
  <c r="L13580"/>
  <c r="L13561" l="1"/>
  <c r="L13569"/>
  <c r="L13576" s="1"/>
  <c r="E13605" s="1"/>
  <c r="L13582"/>
  <c r="L13586" s="1"/>
  <c r="E13608" s="1"/>
  <c r="K13666" l="1"/>
  <c r="K13670" s="1"/>
  <c r="K13684"/>
  <c r="K13690" s="1"/>
  <c r="L13683"/>
  <c r="K13636"/>
  <c r="K13765" l="1"/>
  <c r="L13684"/>
  <c r="L13690" s="1"/>
  <c r="L13546"/>
  <c r="L13545"/>
  <c r="N13547"/>
  <c r="M13547"/>
  <c r="N13580"/>
  <c r="M13581"/>
  <c r="E13774" l="1"/>
  <c r="L13765"/>
  <c r="E13788"/>
  <c r="L13547"/>
  <c r="E13601" s="1"/>
  <c r="M13582"/>
  <c r="M13586" s="1"/>
  <c r="N13581"/>
  <c r="N13582" l="1"/>
  <c r="N13586" s="1"/>
  <c r="N13588" s="1"/>
  <c r="K13547" l="1"/>
  <c r="K13585"/>
  <c r="K13582" l="1"/>
  <c r="K13586" s="1"/>
  <c r="K13555"/>
  <c r="K13562" s="1"/>
  <c r="L13554"/>
  <c r="L13553"/>
  <c r="L13552"/>
  <c r="L13551"/>
  <c r="N13538"/>
  <c r="N13539" s="1"/>
  <c r="L13538"/>
  <c r="L13539" s="1"/>
  <c r="L13535"/>
  <c r="L13536" s="1"/>
  <c r="L13532"/>
  <c r="L13555" l="1"/>
  <c r="L13562" s="1"/>
  <c r="E13604" s="1"/>
  <c r="L13533"/>
  <c r="L13540" s="1"/>
  <c r="L13588" l="1"/>
  <c r="R13270"/>
  <c r="R13271" s="1"/>
  <c r="Q13271"/>
  <c r="L13278" l="1"/>
  <c r="L13279" s="1"/>
  <c r="E13321" s="1"/>
  <c r="L13273"/>
  <c r="L13274" s="1"/>
  <c r="N13306" l="1"/>
  <c r="N13307" s="1"/>
  <c r="K13307"/>
  <c r="L13302"/>
  <c r="L13301"/>
  <c r="L13300"/>
  <c r="M13307"/>
  <c r="K13303"/>
  <c r="L13303" l="1"/>
  <c r="M13230" l="1"/>
  <c r="N13512" l="1"/>
  <c r="M13512"/>
  <c r="N13497"/>
  <c r="M13497"/>
  <c r="N13488"/>
  <c r="M13488"/>
  <c r="K13505"/>
  <c r="L13504"/>
  <c r="L13505" s="1"/>
  <c r="M13478" l="1"/>
  <c r="N13471"/>
  <c r="M13473"/>
  <c r="N13535"/>
  <c r="N13536" s="1"/>
  <c r="N13532"/>
  <c r="M13539"/>
  <c r="M13536"/>
  <c r="M13533"/>
  <c r="N13520"/>
  <c r="M13520"/>
  <c r="M13516"/>
  <c r="N13516" s="1"/>
  <c r="M13515"/>
  <c r="K13520"/>
  <c r="L13519"/>
  <c r="L13520" s="1"/>
  <c r="N13473" l="1"/>
  <c r="N13479" s="1"/>
  <c r="N13533"/>
  <c r="N13540" s="1"/>
  <c r="M13517"/>
  <c r="M13521" s="1"/>
  <c r="M13540"/>
  <c r="M13479"/>
  <c r="N13515"/>
  <c r="N13517" l="1"/>
  <c r="N13521" s="1"/>
  <c r="N13591" s="1"/>
  <c r="K13508" l="1"/>
  <c r="K13511" s="1"/>
  <c r="K13528" l="1"/>
  <c r="K13517"/>
  <c r="K13521" s="1"/>
  <c r="L13516"/>
  <c r="L13515"/>
  <c r="K13539"/>
  <c r="L13477"/>
  <c r="L13476"/>
  <c r="L13475"/>
  <c r="L13510"/>
  <c r="L13509"/>
  <c r="L13508"/>
  <c r="L13507"/>
  <c r="L13478" l="1"/>
  <c r="L13517"/>
  <c r="L13521" s="1"/>
  <c r="E13609" s="1"/>
  <c r="L13511"/>
  <c r="K13536"/>
  <c r="K13533" l="1"/>
  <c r="K13540" s="1"/>
  <c r="K13473"/>
  <c r="K13479" s="1"/>
  <c r="L13472"/>
  <c r="L13471"/>
  <c r="K13502"/>
  <c r="K13512" s="1"/>
  <c r="L13501"/>
  <c r="K13487"/>
  <c r="L13486"/>
  <c r="L13487" s="1"/>
  <c r="K13496"/>
  <c r="L13495"/>
  <c r="L13496" s="1"/>
  <c r="K13484"/>
  <c r="K13488" s="1"/>
  <c r="L13483"/>
  <c r="L13482"/>
  <c r="K13493"/>
  <c r="L13492"/>
  <c r="L13491"/>
  <c r="K13497" l="1"/>
  <c r="L13484"/>
  <c r="L13488" s="1"/>
  <c r="L13502"/>
  <c r="L13512" s="1"/>
  <c r="L13473"/>
  <c r="L13479" s="1"/>
  <c r="E13597" s="1"/>
  <c r="L13493"/>
  <c r="L13497" s="1"/>
  <c r="E13598" s="1"/>
  <c r="M13353"/>
  <c r="N13352"/>
  <c r="N13351"/>
  <c r="E13612" l="1"/>
  <c r="N13353"/>
  <c r="N13354" s="1"/>
  <c r="L13591" l="1"/>
  <c r="O13105"/>
  <c r="P13105" s="1"/>
  <c r="O13103"/>
  <c r="P13103" s="1"/>
  <c r="O13104"/>
  <c r="K13373"/>
  <c r="M13431"/>
  <c r="N13390"/>
  <c r="M13390"/>
  <c r="N13424"/>
  <c r="N13425" s="1"/>
  <c r="M13425"/>
  <c r="N13394"/>
  <c r="N13395" s="1"/>
  <c r="N13401"/>
  <c r="N13402" s="1"/>
  <c r="N13407"/>
  <c r="N13408" s="1"/>
  <c r="M13402"/>
  <c r="M13395"/>
  <c r="M13408"/>
  <c r="N13430"/>
  <c r="N13431" s="1"/>
  <c r="N13427"/>
  <c r="N13419"/>
  <c r="N13416"/>
  <c r="N13413"/>
  <c r="N13412"/>
  <c r="N13383"/>
  <c r="N13377"/>
  <c r="M13428"/>
  <c r="K13431"/>
  <c r="L13430"/>
  <c r="L13431" s="1"/>
  <c r="O13106" l="1"/>
  <c r="P13104"/>
  <c r="P13106" s="1"/>
  <c r="M13432"/>
  <c r="M13409"/>
  <c r="N13409"/>
  <c r="N13428"/>
  <c r="N13432" s="1"/>
  <c r="K13428" l="1"/>
  <c r="K13432" s="1"/>
  <c r="L13427"/>
  <c r="L13428" l="1"/>
  <c r="L13432" s="1"/>
  <c r="N13381"/>
  <c r="M13381"/>
  <c r="K13385"/>
  <c r="N13385"/>
  <c r="M13385"/>
  <c r="M13354"/>
  <c r="M13386" l="1"/>
  <c r="N13386"/>
  <c r="N13417"/>
  <c r="M13417"/>
  <c r="N13414"/>
  <c r="M13414"/>
  <c r="N13420"/>
  <c r="M13420"/>
  <c r="L13372"/>
  <c r="L13371"/>
  <c r="L13373" l="1"/>
  <c r="N13421"/>
  <c r="N13434" s="1"/>
  <c r="M13421"/>
  <c r="K13402"/>
  <c r="L13401"/>
  <c r="L13402" s="1"/>
  <c r="L13384"/>
  <c r="L13383"/>
  <c r="L13385" l="1"/>
  <c r="K13420"/>
  <c r="L13419"/>
  <c r="K13408"/>
  <c r="L13407"/>
  <c r="L13408" s="1"/>
  <c r="K13405"/>
  <c r="L13404"/>
  <c r="L13405" s="1"/>
  <c r="L13420" l="1"/>
  <c r="K13390" l="1"/>
  <c r="L13389"/>
  <c r="L13390" s="1"/>
  <c r="E13444" s="1"/>
  <c r="K13349"/>
  <c r="L13348"/>
  <c r="L13347"/>
  <c r="K13365"/>
  <c r="L13364"/>
  <c r="L13363"/>
  <c r="L13362"/>
  <c r="L13361"/>
  <c r="L13360"/>
  <c r="K13381"/>
  <c r="K13386" s="1"/>
  <c r="L13380"/>
  <c r="L13379"/>
  <c r="L13378"/>
  <c r="L13377"/>
  <c r="K13425"/>
  <c r="L13424"/>
  <c r="L13425" s="1"/>
  <c r="L13365" l="1"/>
  <c r="L13381"/>
  <c r="L13349"/>
  <c r="K13399"/>
  <c r="L13398"/>
  <c r="L13397"/>
  <c r="K13369"/>
  <c r="L13368"/>
  <c r="L13367"/>
  <c r="K13417"/>
  <c r="L13416"/>
  <c r="L13417" s="1"/>
  <c r="K13414"/>
  <c r="L13413"/>
  <c r="L13412"/>
  <c r="K13395"/>
  <c r="L13394"/>
  <c r="L13393"/>
  <c r="K13353"/>
  <c r="K13354" s="1"/>
  <c r="L13352"/>
  <c r="L13351"/>
  <c r="K13358"/>
  <c r="K13374" s="1"/>
  <c r="L13357"/>
  <c r="L13356"/>
  <c r="K13421" l="1"/>
  <c r="K13409"/>
  <c r="L13386"/>
  <c r="E13442" s="1"/>
  <c r="L13395"/>
  <c r="L13358"/>
  <c r="L13353"/>
  <c r="L13354" s="1"/>
  <c r="E13440" s="1"/>
  <c r="L13414"/>
  <c r="L13421" s="1"/>
  <c r="E13446" s="1"/>
  <c r="L13369"/>
  <c r="L13399"/>
  <c r="R13120"/>
  <c r="Q13116"/>
  <c r="R13116" s="1"/>
  <c r="R13119"/>
  <c r="R13121" s="1"/>
  <c r="Q13121"/>
  <c r="Q13115"/>
  <c r="R13115" s="1"/>
  <c r="S13111"/>
  <c r="T13111" s="1"/>
  <c r="S13110"/>
  <c r="T13110" s="1"/>
  <c r="S13098"/>
  <c r="T13098" s="1"/>
  <c r="S13100"/>
  <c r="T13100" s="1"/>
  <c r="S13099"/>
  <c r="T13099" s="1"/>
  <c r="L13220"/>
  <c r="L13219"/>
  <c r="L13218"/>
  <c r="L13374" l="1"/>
  <c r="E13441" s="1"/>
  <c r="L13409"/>
  <c r="E13445" s="1"/>
  <c r="Q13117"/>
  <c r="T13112"/>
  <c r="T13101"/>
  <c r="S13101"/>
  <c r="S13112"/>
  <c r="R13117"/>
  <c r="L13221"/>
  <c r="L13130"/>
  <c r="L13129"/>
  <c r="N13167"/>
  <c r="N13168" s="1"/>
  <c r="M13168"/>
  <c r="M13162"/>
  <c r="N13162" s="1"/>
  <c r="M13163"/>
  <c r="N13163" s="1"/>
  <c r="M13136"/>
  <c r="N13136" s="1"/>
  <c r="N13137" s="1"/>
  <c r="N13158"/>
  <c r="N13159" s="1"/>
  <c r="M13159"/>
  <c r="E13449" l="1"/>
  <c r="L13434"/>
  <c r="M13137"/>
  <c r="M13164"/>
  <c r="L13131"/>
  <c r="N13164"/>
  <c r="N13146" l="1"/>
  <c r="N13147" s="1"/>
  <c r="M13147"/>
  <c r="N13142"/>
  <c r="N13141"/>
  <c r="M13143"/>
  <c r="N13155"/>
  <c r="N13154"/>
  <c r="L13155"/>
  <c r="L13154"/>
  <c r="K13156"/>
  <c r="M13156"/>
  <c r="N13151"/>
  <c r="N13152" s="1"/>
  <c r="M13152"/>
  <c r="L13156" l="1"/>
  <c r="N13143"/>
  <c r="N13144" s="1"/>
  <c r="N13156"/>
  <c r="M13144"/>
  <c r="M13148" s="1"/>
  <c r="N13170" l="1"/>
  <c r="N13148"/>
  <c r="L13146"/>
  <c r="L13147" s="1"/>
  <c r="K13147"/>
  <c r="K13168"/>
  <c r="L13167"/>
  <c r="L13168" s="1"/>
  <c r="K13137"/>
  <c r="L13136"/>
  <c r="L13135"/>
  <c r="L13134"/>
  <c r="L13163"/>
  <c r="L13162"/>
  <c r="K13164"/>
  <c r="K13131"/>
  <c r="L13158"/>
  <c r="L13159" s="1"/>
  <c r="K13159"/>
  <c r="K13144"/>
  <c r="L13143"/>
  <c r="L13142"/>
  <c r="L13141"/>
  <c r="L13151"/>
  <c r="L13152" s="1"/>
  <c r="K13152"/>
  <c r="L13164" l="1"/>
  <c r="K13148"/>
  <c r="L13144"/>
  <c r="L13148" s="1"/>
  <c r="L13137"/>
  <c r="L13170" l="1"/>
  <c r="K13121"/>
  <c r="K12951" l="1"/>
  <c r="L12950"/>
  <c r="L12949"/>
  <c r="L12948"/>
  <c r="R13105"/>
  <c r="R13104"/>
  <c r="Q13103"/>
  <c r="Q13106" s="1"/>
  <c r="R13101"/>
  <c r="Q13101"/>
  <c r="Q13094"/>
  <c r="R13094" s="1"/>
  <c r="Q13093"/>
  <c r="R13092"/>
  <c r="T13088"/>
  <c r="T13089" s="1"/>
  <c r="S13089"/>
  <c r="Q13095" l="1"/>
  <c r="R13093"/>
  <c r="R13095" s="1"/>
  <c r="R13103"/>
  <c r="R13106" s="1"/>
  <c r="L12951"/>
  <c r="L13295" l="1"/>
  <c r="L13296" s="1"/>
  <c r="N13279"/>
  <c r="M13279"/>
  <c r="N13275"/>
  <c r="M13275"/>
  <c r="K13244"/>
  <c r="N13248"/>
  <c r="L13229"/>
  <c r="L13230" s="1"/>
  <c r="N13229"/>
  <c r="N13230" s="1"/>
  <c r="N13224"/>
  <c r="M13224"/>
  <c r="N13226"/>
  <c r="N13227" s="1"/>
  <c r="M13227"/>
  <c r="L13223"/>
  <c r="M13231" l="1"/>
  <c r="L13224"/>
  <c r="N13231"/>
  <c r="M13234" l="1"/>
  <c r="M13237" s="1"/>
  <c r="N13243"/>
  <c r="N13244" s="1"/>
  <c r="M13244"/>
  <c r="K13237"/>
  <c r="N13251"/>
  <c r="M13251"/>
  <c r="M13245" l="1"/>
  <c r="N13234"/>
  <c r="N13237" l="1"/>
  <c r="N13245" s="1"/>
  <c r="Q13088" l="1"/>
  <c r="R13088" s="1"/>
  <c r="R13089" s="1"/>
  <c r="S13038"/>
  <c r="T13038" s="1"/>
  <c r="T13040" s="1"/>
  <c r="S13035"/>
  <c r="T13035" s="1"/>
  <c r="T13036" s="1"/>
  <c r="K13261"/>
  <c r="L13260"/>
  <c r="L13259"/>
  <c r="N13260"/>
  <c r="N13259"/>
  <c r="M13261"/>
  <c r="N13256"/>
  <c r="N13257" s="1"/>
  <c r="N13253"/>
  <c r="M13254"/>
  <c r="M13257"/>
  <c r="Q13089" l="1"/>
  <c r="M13262"/>
  <c r="N13261"/>
  <c r="N13254"/>
  <c r="S13040"/>
  <c r="L13261"/>
  <c r="S13036"/>
  <c r="N13295"/>
  <c r="N13296" s="1"/>
  <c r="M13296"/>
  <c r="N13262" l="1"/>
  <c r="M13310"/>
  <c r="N13310"/>
  <c r="K13290"/>
  <c r="L13289"/>
  <c r="L13288"/>
  <c r="K13251"/>
  <c r="L13250"/>
  <c r="L13249"/>
  <c r="L13248"/>
  <c r="L13236"/>
  <c r="L13235"/>
  <c r="L13234"/>
  <c r="K13224"/>
  <c r="K13296"/>
  <c r="L13256"/>
  <c r="L13257" s="1"/>
  <c r="K13257"/>
  <c r="L13243"/>
  <c r="L13244" s="1"/>
  <c r="L13253"/>
  <c r="L13254" s="1"/>
  <c r="K13254"/>
  <c r="K13241"/>
  <c r="L13240"/>
  <c r="L13239"/>
  <c r="L13226"/>
  <c r="L13227" s="1"/>
  <c r="L13231" s="1"/>
  <c r="K13230"/>
  <c r="K13227"/>
  <c r="L13290" l="1"/>
  <c r="K13262"/>
  <c r="K13245"/>
  <c r="L13241"/>
  <c r="L13251"/>
  <c r="L13262" s="1"/>
  <c r="E13317" s="1"/>
  <c r="L13237"/>
  <c r="L13285"/>
  <c r="L13284"/>
  <c r="K13286"/>
  <c r="K13291" s="1"/>
  <c r="K13274"/>
  <c r="L13270"/>
  <c r="L13271" s="1"/>
  <c r="K13271"/>
  <c r="L13245" l="1"/>
  <c r="E13316" s="1"/>
  <c r="L13286"/>
  <c r="L13291" s="1"/>
  <c r="E13322" s="1"/>
  <c r="K13279"/>
  <c r="K13268"/>
  <c r="K13275" s="1"/>
  <c r="L13267"/>
  <c r="L13266"/>
  <c r="L13265"/>
  <c r="K13221"/>
  <c r="K13231" s="1"/>
  <c r="K13310" l="1"/>
  <c r="L13268"/>
  <c r="L13275" s="1"/>
  <c r="E13320" s="1"/>
  <c r="U11577"/>
  <c r="U11576"/>
  <c r="U11575"/>
  <c r="U11574"/>
  <c r="U11573"/>
  <c r="T11578"/>
  <c r="L13310" l="1"/>
  <c r="E13325"/>
  <c r="U11578"/>
  <c r="V12432"/>
  <c r="W12432" s="1"/>
  <c r="W12434" s="1"/>
  <c r="V12434" l="1"/>
  <c r="R13035"/>
  <c r="R13036" s="1"/>
  <c r="Q13032"/>
  <c r="R13032" s="1"/>
  <c r="R13033" s="1"/>
  <c r="R13046"/>
  <c r="R13045"/>
  <c r="Q13044"/>
  <c r="R13044" s="1"/>
  <c r="R13039"/>
  <c r="Q13036"/>
  <c r="Q13038"/>
  <c r="R13038" s="1"/>
  <c r="R13040" s="1"/>
  <c r="K13106"/>
  <c r="Q13033" l="1"/>
  <c r="Q13047"/>
  <c r="R13047"/>
  <c r="R13041"/>
  <c r="Q13040"/>
  <c r="Q13041" l="1"/>
  <c r="R12923"/>
  <c r="R12924" s="1"/>
  <c r="Q12924"/>
  <c r="Q12920"/>
  <c r="R12920" s="1"/>
  <c r="R12921" s="1"/>
  <c r="Q12910"/>
  <c r="R12912"/>
  <c r="R12913" s="1"/>
  <c r="R12909"/>
  <c r="R12910" s="1"/>
  <c r="R12906"/>
  <c r="R12905"/>
  <c r="Q12913"/>
  <c r="Q12904"/>
  <c r="W12444"/>
  <c r="W12441"/>
  <c r="W12438"/>
  <c r="V12442"/>
  <c r="V12443"/>
  <c r="W12443" s="1"/>
  <c r="L12964"/>
  <c r="L12963"/>
  <c r="L12962"/>
  <c r="L12961"/>
  <c r="L12960"/>
  <c r="L12959"/>
  <c r="V12445" l="1"/>
  <c r="L12965"/>
  <c r="Q12907"/>
  <c r="Q12917" s="1"/>
  <c r="R12904"/>
  <c r="R12907" s="1"/>
  <c r="W12442"/>
  <c r="W12445" s="1"/>
  <c r="Q12921"/>
  <c r="R12917" l="1"/>
  <c r="L13094"/>
  <c r="L13093"/>
  <c r="L13092"/>
  <c r="L13088"/>
  <c r="L13089" s="1"/>
  <c r="L13095" l="1"/>
  <c r="E13186" s="1"/>
  <c r="L12554"/>
  <c r="L12553"/>
  <c r="K12555"/>
  <c r="L12555" l="1"/>
  <c r="E13185"/>
  <c r="L12771" l="1"/>
  <c r="L12772" s="1"/>
  <c r="R12804" l="1"/>
  <c r="R12803"/>
  <c r="Q12800"/>
  <c r="R12800" s="1"/>
  <c r="Q12805"/>
  <c r="Q12799"/>
  <c r="R12799" s="1"/>
  <c r="Q12789"/>
  <c r="R12789" s="1"/>
  <c r="Q12797"/>
  <c r="R12797" s="1"/>
  <c r="Q12790"/>
  <c r="R12798"/>
  <c r="R12790"/>
  <c r="Q12791" l="1"/>
  <c r="Q12801"/>
  <c r="R12791"/>
  <c r="R12805"/>
  <c r="R12801"/>
  <c r="L13122"/>
  <c r="N13122"/>
  <c r="M13122"/>
  <c r="M13110"/>
  <c r="M13112" s="1"/>
  <c r="K13101"/>
  <c r="L13100"/>
  <c r="L13099"/>
  <c r="L13098"/>
  <c r="K13112"/>
  <c r="L13111"/>
  <c r="L13110"/>
  <c r="K13089"/>
  <c r="K13095"/>
  <c r="L13105"/>
  <c r="L13104"/>
  <c r="L13103"/>
  <c r="K13117"/>
  <c r="K13122" s="1"/>
  <c r="Q12806" l="1"/>
  <c r="R12806"/>
  <c r="N13110"/>
  <c r="N13112" s="1"/>
  <c r="N13179" s="1"/>
  <c r="E13189"/>
  <c r="K13107"/>
  <c r="L13106"/>
  <c r="L13112"/>
  <c r="E13188" s="1"/>
  <c r="L13101"/>
  <c r="L13107" l="1"/>
  <c r="E13187" s="1"/>
  <c r="E13196" s="1"/>
  <c r="K13040"/>
  <c r="S12479"/>
  <c r="T12479" s="1"/>
  <c r="S12480"/>
  <c r="T12480" s="1"/>
  <c r="S12476"/>
  <c r="T12476" s="1"/>
  <c r="S12475"/>
  <c r="T12475" s="1"/>
  <c r="T12497"/>
  <c r="T12496"/>
  <c r="T12495"/>
  <c r="T12494"/>
  <c r="T12492"/>
  <c r="S12493"/>
  <c r="S12498" s="1"/>
  <c r="S12487"/>
  <c r="T12487" s="1"/>
  <c r="S12486"/>
  <c r="T12486" s="1"/>
  <c r="S12485"/>
  <c r="T12485" s="1"/>
  <c r="S12484"/>
  <c r="T12484" s="1"/>
  <c r="S12483"/>
  <c r="T12483" s="1"/>
  <c r="S12469"/>
  <c r="T12469" s="1"/>
  <c r="S12468"/>
  <c r="S12467"/>
  <c r="T12467" s="1"/>
  <c r="S12466"/>
  <c r="T12466" s="1"/>
  <c r="S12464"/>
  <c r="T12464" s="1"/>
  <c r="S12462"/>
  <c r="T12462" s="1"/>
  <c r="S12465"/>
  <c r="T12465" s="1"/>
  <c r="S12463"/>
  <c r="T12463" s="1"/>
  <c r="S12470"/>
  <c r="T12470" s="1"/>
  <c r="T12468"/>
  <c r="L13053"/>
  <c r="L13054" s="1"/>
  <c r="L13050"/>
  <c r="L13051" s="1"/>
  <c r="K13047"/>
  <c r="L13046"/>
  <c r="L13045"/>
  <c r="L13044"/>
  <c r="N13053"/>
  <c r="N13054" s="1"/>
  <c r="N13050"/>
  <c r="N13051" s="1"/>
  <c r="M13054"/>
  <c r="M13051"/>
  <c r="L13039"/>
  <c r="L13038"/>
  <c r="S12481" l="1"/>
  <c r="S12471"/>
  <c r="L13179"/>
  <c r="L13047"/>
  <c r="T12471"/>
  <c r="S12488"/>
  <c r="T12488"/>
  <c r="T12477"/>
  <c r="S12477"/>
  <c r="N13056"/>
  <c r="L13040"/>
  <c r="T12481"/>
  <c r="T12493"/>
  <c r="T12498" s="1"/>
  <c r="E13063"/>
  <c r="K13036" l="1"/>
  <c r="L13035"/>
  <c r="L13036" s="1"/>
  <c r="K13054"/>
  <c r="K13051"/>
  <c r="K13033"/>
  <c r="L13032"/>
  <c r="K13041" l="1"/>
  <c r="K13056" s="1"/>
  <c r="L13033"/>
  <c r="N12977"/>
  <c r="M12977"/>
  <c r="N12988"/>
  <c r="M12988"/>
  <c r="L12986"/>
  <c r="L12987" s="1"/>
  <c r="N12964"/>
  <c r="N12962"/>
  <c r="M12963"/>
  <c r="N12963" s="1"/>
  <c r="M12956"/>
  <c r="N12956" s="1"/>
  <c r="M12961"/>
  <c r="N12961" s="1"/>
  <c r="M12960"/>
  <c r="N12925"/>
  <c r="M12925"/>
  <c r="N12905"/>
  <c r="N12904"/>
  <c r="M12906"/>
  <c r="N12906" s="1"/>
  <c r="K12965"/>
  <c r="N12959"/>
  <c r="N12954"/>
  <c r="N12953"/>
  <c r="N12948"/>
  <c r="N12951" s="1"/>
  <c r="M12951"/>
  <c r="L12915"/>
  <c r="L12916" s="1"/>
  <c r="M12957" l="1"/>
  <c r="L13041"/>
  <c r="L13056" s="1"/>
  <c r="M12907"/>
  <c r="M12917" s="1"/>
  <c r="N12957"/>
  <c r="M12965"/>
  <c r="N12907"/>
  <c r="N12917" s="1"/>
  <c r="N12960"/>
  <c r="N12965" s="1"/>
  <c r="L12941"/>
  <c r="L12942" s="1"/>
  <c r="M12966" l="1"/>
  <c r="M12991" s="1"/>
  <c r="E13062"/>
  <c r="E13066" s="1"/>
  <c r="N12966"/>
  <c r="N12991" s="1"/>
  <c r="Q12442" l="1"/>
  <c r="Q12443"/>
  <c r="R12443" s="1"/>
  <c r="Q12444"/>
  <c r="R12444" s="1"/>
  <c r="Q12441"/>
  <c r="R12441" s="1"/>
  <c r="Q12439"/>
  <c r="R12439" s="1"/>
  <c r="Q12438"/>
  <c r="R12442"/>
  <c r="Q12432"/>
  <c r="Q12434" s="1"/>
  <c r="Q12426"/>
  <c r="Q12427" s="1"/>
  <c r="R12432"/>
  <c r="R12434" s="1"/>
  <c r="M12434"/>
  <c r="R12429"/>
  <c r="R12430" s="1"/>
  <c r="Q12430"/>
  <c r="Q12423"/>
  <c r="R12423" s="1"/>
  <c r="R12424" s="1"/>
  <c r="L12455"/>
  <c r="L12454"/>
  <c r="K12933"/>
  <c r="L12933" s="1"/>
  <c r="L12935"/>
  <c r="L12934"/>
  <c r="L12932"/>
  <c r="L12931"/>
  <c r="L12930"/>
  <c r="L12923"/>
  <c r="L12924" s="1"/>
  <c r="R12426" l="1"/>
  <c r="R12427" s="1"/>
  <c r="Q12445"/>
  <c r="L12936"/>
  <c r="K12936"/>
  <c r="L12456"/>
  <c r="R12438"/>
  <c r="R12445" s="1"/>
  <c r="L12443"/>
  <c r="L12442"/>
  <c r="L12441"/>
  <c r="K12444"/>
  <c r="L12444" s="1"/>
  <c r="K12440"/>
  <c r="L12440" s="1"/>
  <c r="K12439"/>
  <c r="L12439" s="1"/>
  <c r="K12438"/>
  <c r="L12487"/>
  <c r="K12486"/>
  <c r="K12488" s="1"/>
  <c r="K12470"/>
  <c r="K12471" l="1"/>
  <c r="K12445"/>
  <c r="L12438"/>
  <c r="L12445" s="1"/>
  <c r="E12571" s="1"/>
  <c r="L12486"/>
  <c r="AD11531" l="1"/>
  <c r="AD11526"/>
  <c r="AD11525"/>
  <c r="AD11515"/>
  <c r="AD11514"/>
  <c r="AD11512"/>
  <c r="AD11511"/>
  <c r="AC11530"/>
  <c r="AD11530" s="1"/>
  <c r="AC11527"/>
  <c r="AC11516"/>
  <c r="AD11527" l="1"/>
  <c r="AC11532"/>
  <c r="AD11516"/>
  <c r="AD11532"/>
  <c r="L12710" l="1"/>
  <c r="L12709"/>
  <c r="N12828"/>
  <c r="N12829" s="1"/>
  <c r="N12773"/>
  <c r="M12773"/>
  <c r="K12772"/>
  <c r="N12756"/>
  <c r="M12756"/>
  <c r="N12737"/>
  <c r="M12737"/>
  <c r="N12777"/>
  <c r="M12777"/>
  <c r="N12785"/>
  <c r="M12785"/>
  <c r="N12744"/>
  <c r="N12745" s="1"/>
  <c r="M12747"/>
  <c r="M12748"/>
  <c r="N12748" s="1"/>
  <c r="M12745"/>
  <c r="L12776"/>
  <c r="L12777" s="1"/>
  <c r="K12784"/>
  <c r="M12829"/>
  <c r="N12794"/>
  <c r="N12793"/>
  <c r="M12795"/>
  <c r="M12806" s="1"/>
  <c r="N12706"/>
  <c r="N12701"/>
  <c r="N12698"/>
  <c r="N12695"/>
  <c r="M12704"/>
  <c r="N12704" s="1"/>
  <c r="K12711"/>
  <c r="M12697"/>
  <c r="N12697" s="1"/>
  <c r="M12705"/>
  <c r="N12705" s="1"/>
  <c r="M12700"/>
  <c r="N12700" s="1"/>
  <c r="M12696"/>
  <c r="N12696" s="1"/>
  <c r="L12711" l="1"/>
  <c r="N12795"/>
  <c r="N12806" s="1"/>
  <c r="M12749"/>
  <c r="M12750" s="1"/>
  <c r="N12747"/>
  <c r="M12707"/>
  <c r="K12707"/>
  <c r="M12699"/>
  <c r="N12699" s="1"/>
  <c r="N12702" s="1"/>
  <c r="N12707"/>
  <c r="K12727"/>
  <c r="L12822"/>
  <c r="L12823" s="1"/>
  <c r="K12823"/>
  <c r="N12712" l="1"/>
  <c r="N12749"/>
  <c r="N12750" s="1"/>
  <c r="M12702"/>
  <c r="M12712" s="1"/>
  <c r="M12811"/>
  <c r="N12811" s="1"/>
  <c r="M12809"/>
  <c r="N12809" s="1"/>
  <c r="M12820"/>
  <c r="N12819"/>
  <c r="N12818"/>
  <c r="N12817"/>
  <c r="N12814"/>
  <c r="N12813"/>
  <c r="N12812"/>
  <c r="N12810"/>
  <c r="L12726"/>
  <c r="N12725"/>
  <c r="N12724"/>
  <c r="N12723"/>
  <c r="N12721"/>
  <c r="N12720"/>
  <c r="N12718"/>
  <c r="N12716"/>
  <c r="M12722"/>
  <c r="N12722" s="1"/>
  <c r="M12717"/>
  <c r="N12717" s="1"/>
  <c r="M12726"/>
  <c r="N12726" s="1"/>
  <c r="M12715"/>
  <c r="M12719"/>
  <c r="N12719" s="1"/>
  <c r="M12815" l="1"/>
  <c r="N12820"/>
  <c r="M12824"/>
  <c r="M12727"/>
  <c r="N12715"/>
  <c r="N12727" s="1"/>
  <c r="N12815"/>
  <c r="N12824" s="1"/>
  <c r="N12842" l="1"/>
  <c r="AB11511" l="1"/>
  <c r="AB11525"/>
  <c r="AB11527" s="1"/>
  <c r="AA11527"/>
  <c r="AA11530"/>
  <c r="AA11532" s="1"/>
  <c r="AB11531"/>
  <c r="AB11529"/>
  <c r="AA11514"/>
  <c r="AB11514" s="1"/>
  <c r="AA11515"/>
  <c r="AB11515" s="1"/>
  <c r="AB11530" l="1"/>
  <c r="AB11532" s="1"/>
  <c r="AB11516"/>
  <c r="AA11516"/>
  <c r="L12748" l="1"/>
  <c r="K12749"/>
  <c r="L12783" l="1"/>
  <c r="L12784" s="1"/>
  <c r="L12780"/>
  <c r="L12804"/>
  <c r="L12803"/>
  <c r="K12805"/>
  <c r="K12820"/>
  <c r="L12755"/>
  <c r="L12754"/>
  <c r="L12753"/>
  <c r="K12972"/>
  <c r="L12971"/>
  <c r="L12970"/>
  <c r="L12969"/>
  <c r="K12942"/>
  <c r="K12976"/>
  <c r="L12975"/>
  <c r="L12974"/>
  <c r="K12957"/>
  <c r="L12956"/>
  <c r="L12955"/>
  <c r="L12954"/>
  <c r="L12953"/>
  <c r="K12939"/>
  <c r="L12938"/>
  <c r="K12981"/>
  <c r="L12980"/>
  <c r="L12979"/>
  <c r="K12916"/>
  <c r="K12984"/>
  <c r="L12983"/>
  <c r="L12984" s="1"/>
  <c r="K12913"/>
  <c r="L12912"/>
  <c r="L12913" s="1"/>
  <c r="K12910"/>
  <c r="L12909"/>
  <c r="L12910" s="1"/>
  <c r="K12924"/>
  <c r="K12987"/>
  <c r="K12907"/>
  <c r="L12906"/>
  <c r="L12905"/>
  <c r="L12904"/>
  <c r="K12921"/>
  <c r="L12920"/>
  <c r="K12917" l="1"/>
  <c r="K12966"/>
  <c r="K12943"/>
  <c r="K12988"/>
  <c r="K12925"/>
  <c r="L12939"/>
  <c r="L12943" s="1"/>
  <c r="E13001" s="1"/>
  <c r="L12921"/>
  <c r="K12977"/>
  <c r="L12781"/>
  <c r="L12785" s="1"/>
  <c r="L12805"/>
  <c r="L12756"/>
  <c r="L12976"/>
  <c r="L12972"/>
  <c r="L12907"/>
  <c r="L12981"/>
  <c r="L12988" s="1"/>
  <c r="L12957"/>
  <c r="K12769"/>
  <c r="L12768"/>
  <c r="L12767"/>
  <c r="L12766"/>
  <c r="L12765"/>
  <c r="L12764"/>
  <c r="L12706"/>
  <c r="L12705"/>
  <c r="L12704"/>
  <c r="K12762"/>
  <c r="L12761"/>
  <c r="L12760"/>
  <c r="L12759"/>
  <c r="L12819"/>
  <c r="L12818"/>
  <c r="L12817"/>
  <c r="K12801"/>
  <c r="L12800"/>
  <c r="L12799"/>
  <c r="L12798"/>
  <c r="L12797"/>
  <c r="K12815"/>
  <c r="K12824" s="1"/>
  <c r="L12814"/>
  <c r="L12813"/>
  <c r="L12812"/>
  <c r="L12811"/>
  <c r="L12810"/>
  <c r="L12809"/>
  <c r="K12773" l="1"/>
  <c r="K12991"/>
  <c r="L12925"/>
  <c r="E12999" s="1"/>
  <c r="L12917"/>
  <c r="E12997" s="1"/>
  <c r="L12966"/>
  <c r="E13004" s="1"/>
  <c r="L12977"/>
  <c r="E13005" s="1"/>
  <c r="L12707"/>
  <c r="L12820"/>
  <c r="L12815"/>
  <c r="L12762"/>
  <c r="L12801"/>
  <c r="L12769"/>
  <c r="K12829"/>
  <c r="L12828"/>
  <c r="L12829" s="1"/>
  <c r="K12745"/>
  <c r="L12744"/>
  <c r="L12745" s="1"/>
  <c r="K12756"/>
  <c r="K12702"/>
  <c r="K12712" s="1"/>
  <c r="L12701"/>
  <c r="L12700"/>
  <c r="L12699"/>
  <c r="L12698"/>
  <c r="L12697"/>
  <c r="L12696"/>
  <c r="L12695"/>
  <c r="L12725"/>
  <c r="L12724"/>
  <c r="L12723"/>
  <c r="L12722"/>
  <c r="L12721"/>
  <c r="L12720"/>
  <c r="L12719"/>
  <c r="L12718"/>
  <c r="L12717"/>
  <c r="L12716"/>
  <c r="L12715"/>
  <c r="L12747"/>
  <c r="L12749" s="1"/>
  <c r="K12736"/>
  <c r="L12735"/>
  <c r="L12736" s="1"/>
  <c r="K12781"/>
  <c r="K12785" s="1"/>
  <c r="K12795"/>
  <c r="L12794"/>
  <c r="L12793"/>
  <c r="K12777"/>
  <c r="K12742"/>
  <c r="L12741"/>
  <c r="L12740"/>
  <c r="K12733"/>
  <c r="K12737" s="1"/>
  <c r="L12732"/>
  <c r="L12731"/>
  <c r="L12730"/>
  <c r="K12791"/>
  <c r="L12790"/>
  <c r="L12789"/>
  <c r="K12838"/>
  <c r="L12837"/>
  <c r="L12836"/>
  <c r="K12834"/>
  <c r="L12833"/>
  <c r="L12832"/>
  <c r="L12773" l="1"/>
  <c r="E12857" s="1"/>
  <c r="L12991"/>
  <c r="E13008"/>
  <c r="L12824"/>
  <c r="E12863" s="1"/>
  <c r="K12806"/>
  <c r="L12727"/>
  <c r="E12849" s="1"/>
  <c r="K12750"/>
  <c r="L12838"/>
  <c r="L12834"/>
  <c r="L12733"/>
  <c r="L12737" s="1"/>
  <c r="E12852" s="1"/>
  <c r="L12742"/>
  <c r="L12750" s="1"/>
  <c r="E12853" s="1"/>
  <c r="L12702"/>
  <c r="L12712" s="1"/>
  <c r="E12848" s="1"/>
  <c r="L12791"/>
  <c r="L12795"/>
  <c r="K12188"/>
  <c r="L12806" l="1"/>
  <c r="E12862" s="1"/>
  <c r="E12867" l="1"/>
  <c r="L12842"/>
  <c r="R12097"/>
  <c r="Q12098"/>
  <c r="R12098" s="1"/>
  <c r="Q12096"/>
  <c r="R12096" s="1"/>
  <c r="Z11531"/>
  <c r="Y11530"/>
  <c r="Z11530" s="1"/>
  <c r="Y11515"/>
  <c r="Z11515" s="1"/>
  <c r="Y11514"/>
  <c r="Z11514" s="1"/>
  <c r="M11869"/>
  <c r="Z11516" l="1"/>
  <c r="Z11532"/>
  <c r="R12099"/>
  <c r="Q12099"/>
  <c r="Y11516"/>
  <c r="Y11532"/>
  <c r="L12560" l="1"/>
  <c r="L12559"/>
  <c r="L12549"/>
  <c r="L12548"/>
  <c r="K12544"/>
  <c r="N12560"/>
  <c r="N12559"/>
  <c r="L12550" l="1"/>
  <c r="L12561"/>
  <c r="N12561"/>
  <c r="M12561"/>
  <c r="K12561"/>
  <c r="K12516"/>
  <c r="L12515"/>
  <c r="L12514"/>
  <c r="K12550"/>
  <c r="E12673"/>
  <c r="E12635"/>
  <c r="L12516" l="1"/>
  <c r="M12088"/>
  <c r="M12089"/>
  <c r="N12089" s="1"/>
  <c r="N12088" l="1"/>
  <c r="L12433"/>
  <c r="L12432"/>
  <c r="K12434"/>
  <c r="L12434" l="1"/>
  <c r="L12368"/>
  <c r="L12367"/>
  <c r="L12366"/>
  <c r="L12365"/>
  <c r="L12364"/>
  <c r="L12363"/>
  <c r="L12362"/>
  <c r="L12361"/>
  <c r="L12369" l="1"/>
  <c r="L12524"/>
  <c r="L12523"/>
  <c r="K12525"/>
  <c r="L12355" l="1"/>
  <c r="L12284"/>
  <c r="L12283"/>
  <c r="L12282"/>
  <c r="L12252"/>
  <c r="L12251"/>
  <c r="K12358"/>
  <c r="L12358" s="1"/>
  <c r="L12359" s="1"/>
  <c r="L12253" l="1"/>
  <c r="L12285"/>
  <c r="L12356"/>
  <c r="L12470" l="1"/>
  <c r="N12545"/>
  <c r="M12545"/>
  <c r="N12524"/>
  <c r="N12523"/>
  <c r="N12522"/>
  <c r="N12521"/>
  <c r="N12520"/>
  <c r="K12456"/>
  <c r="N12497"/>
  <c r="N12496"/>
  <c r="N12495"/>
  <c r="N12494"/>
  <c r="N12493"/>
  <c r="N12492"/>
  <c r="M12498"/>
  <c r="K12498"/>
  <c r="N12487"/>
  <c r="N12486"/>
  <c r="N12483"/>
  <c r="M12488"/>
  <c r="M12489" s="1"/>
  <c r="M12429"/>
  <c r="M12430" s="1"/>
  <c r="N12433"/>
  <c r="N12432"/>
  <c r="M12525"/>
  <c r="M12445"/>
  <c r="N12439"/>
  <c r="N12445" s="1"/>
  <c r="N12451"/>
  <c r="N12454"/>
  <c r="M12455"/>
  <c r="N12455" s="1"/>
  <c r="N12434" l="1"/>
  <c r="M12456"/>
  <c r="N12488"/>
  <c r="N12456"/>
  <c r="N12525"/>
  <c r="N12429"/>
  <c r="N12430" s="1"/>
  <c r="N12489"/>
  <c r="N12498"/>
  <c r="M12435"/>
  <c r="N12435" l="1"/>
  <c r="N12452"/>
  <c r="M12452"/>
  <c r="N12463"/>
  <c r="N12461"/>
  <c r="M12469"/>
  <c r="N12469" s="1"/>
  <c r="L12469"/>
  <c r="L12468"/>
  <c r="L12467"/>
  <c r="L12466"/>
  <c r="L12465"/>
  <c r="L12464"/>
  <c r="L12463"/>
  <c r="L12462"/>
  <c r="L12461"/>
  <c r="L12471" l="1"/>
  <c r="N12471"/>
  <c r="N12472" s="1"/>
  <c r="N12564" s="1"/>
  <c r="M12471"/>
  <c r="M12472" s="1"/>
  <c r="M12564" s="1"/>
  <c r="L12458"/>
  <c r="L12459" s="1"/>
  <c r="K12459"/>
  <c r="L12480" l="1"/>
  <c r="L12479"/>
  <c r="K12481"/>
  <c r="L12481" l="1"/>
  <c r="K12369"/>
  <c r="L12370" l="1"/>
  <c r="E12392" s="1"/>
  <c r="K12296"/>
  <c r="S11882"/>
  <c r="S11876"/>
  <c r="S11878" s="1"/>
  <c r="L12260" l="1"/>
  <c r="L12261" s="1"/>
  <c r="K12285"/>
  <c r="L12279"/>
  <c r="L12278"/>
  <c r="K12280"/>
  <c r="L12317"/>
  <c r="L12316"/>
  <c r="L12307"/>
  <c r="L12308" s="1"/>
  <c r="K12318"/>
  <c r="K12308"/>
  <c r="K12359"/>
  <c r="L12280" l="1"/>
  <c r="L12318"/>
  <c r="K12253" l="1"/>
  <c r="T11681" l="1"/>
  <c r="T11680"/>
  <c r="T11677"/>
  <c r="T11676"/>
  <c r="T11675"/>
  <c r="T11672"/>
  <c r="T11673" s="1"/>
  <c r="S11682"/>
  <c r="S11678"/>
  <c r="S11673"/>
  <c r="N11977"/>
  <c r="N11978" s="1"/>
  <c r="T11682" l="1"/>
  <c r="T11678"/>
  <c r="R11962"/>
  <c r="R11961"/>
  <c r="R11960"/>
  <c r="Q11956"/>
  <c r="R11956" s="1"/>
  <c r="Q11957"/>
  <c r="R11957" s="1"/>
  <c r="S11957"/>
  <c r="T11957" s="1"/>
  <c r="S11956"/>
  <c r="T11956" s="1"/>
  <c r="S11955"/>
  <c r="T11955" s="1"/>
  <c r="S11954"/>
  <c r="T11954" s="1"/>
  <c r="S11953"/>
  <c r="T11953" s="1"/>
  <c r="Q11963"/>
  <c r="Q11955"/>
  <c r="R11955" s="1"/>
  <c r="N11963"/>
  <c r="M11963"/>
  <c r="Q11953"/>
  <c r="R11953" s="1"/>
  <c r="Q11954"/>
  <c r="R11954" s="1"/>
  <c r="R11963" l="1"/>
  <c r="T11958"/>
  <c r="R11958"/>
  <c r="Q11958"/>
  <c r="Q11964" s="1"/>
  <c r="S11958"/>
  <c r="L12375"/>
  <c r="L12374"/>
  <c r="R11964" l="1"/>
  <c r="L12376"/>
  <c r="N12375"/>
  <c r="N12374"/>
  <c r="N12266"/>
  <c r="N12265"/>
  <c r="N12257"/>
  <c r="N12256"/>
  <c r="N12252"/>
  <c r="N12251"/>
  <c r="N12376" l="1"/>
  <c r="M12376"/>
  <c r="K12376"/>
  <c r="N12267"/>
  <c r="M12267"/>
  <c r="N12258"/>
  <c r="M12258"/>
  <c r="N12253"/>
  <c r="N12262" s="1"/>
  <c r="M12253"/>
  <c r="M12262" s="1"/>
  <c r="L12331"/>
  <c r="L12330"/>
  <c r="L12485"/>
  <c r="L12484"/>
  <c r="L12483"/>
  <c r="L12497"/>
  <c r="L12496"/>
  <c r="L12495"/>
  <c r="L12494"/>
  <c r="L12493"/>
  <c r="L12492"/>
  <c r="L12423"/>
  <c r="K12540"/>
  <c r="K12545" s="1"/>
  <c r="L12539"/>
  <c r="K12430"/>
  <c r="L12429"/>
  <c r="L12430" s="1"/>
  <c r="K12452"/>
  <c r="L12451"/>
  <c r="L12452" s="1"/>
  <c r="L12543"/>
  <c r="L12542"/>
  <c r="K12531"/>
  <c r="L12530"/>
  <c r="L12529"/>
  <c r="L12528"/>
  <c r="K12512"/>
  <c r="L12511"/>
  <c r="L12512" s="1"/>
  <c r="K12535"/>
  <c r="L12534"/>
  <c r="L12533"/>
  <c r="K12509"/>
  <c r="L12508"/>
  <c r="L12507"/>
  <c r="K12477"/>
  <c r="K12489" s="1"/>
  <c r="L12476"/>
  <c r="L12475"/>
  <c r="K12449"/>
  <c r="L12448"/>
  <c r="L12522"/>
  <c r="L12521"/>
  <c r="L12520"/>
  <c r="K12505"/>
  <c r="L12504"/>
  <c r="L12503"/>
  <c r="L12502"/>
  <c r="K12427"/>
  <c r="L12426"/>
  <c r="L12427" s="1"/>
  <c r="L12488" l="1"/>
  <c r="K12472"/>
  <c r="L12544"/>
  <c r="L12498"/>
  <c r="E12574" s="1"/>
  <c r="K12517"/>
  <c r="L12535"/>
  <c r="L12525"/>
  <c r="E12578" s="1"/>
  <c r="L12540"/>
  <c r="L12449"/>
  <c r="L12472" s="1"/>
  <c r="E12572" s="1"/>
  <c r="K12536"/>
  <c r="K12435"/>
  <c r="L12424"/>
  <c r="L12435" s="1"/>
  <c r="E12570" s="1"/>
  <c r="L12332"/>
  <c r="E12395" s="1"/>
  <c r="N12380"/>
  <c r="L12505"/>
  <c r="L12477"/>
  <c r="L12509"/>
  <c r="L12531"/>
  <c r="L12489" l="1"/>
  <c r="E12573" s="1"/>
  <c r="L12536"/>
  <c r="E12579" s="1"/>
  <c r="K12564"/>
  <c r="L12545"/>
  <c r="L12517"/>
  <c r="E12577" s="1"/>
  <c r="L12295"/>
  <c r="L12294"/>
  <c r="L12293"/>
  <c r="L12292"/>
  <c r="L12291"/>
  <c r="L12290"/>
  <c r="L12289"/>
  <c r="E12586" l="1"/>
  <c r="L12564"/>
  <c r="L12296"/>
  <c r="K12326" l="1"/>
  <c r="L12325"/>
  <c r="L12326" s="1"/>
  <c r="K12341"/>
  <c r="L12340"/>
  <c r="L12339"/>
  <c r="L12338"/>
  <c r="K12323"/>
  <c r="K12327" s="1"/>
  <c r="L12322"/>
  <c r="K12336"/>
  <c r="L12335"/>
  <c r="K12356"/>
  <c r="K12370" s="1"/>
  <c r="K12305"/>
  <c r="L12304"/>
  <c r="L12305" s="1"/>
  <c r="K12314"/>
  <c r="K12319" s="1"/>
  <c r="L12313"/>
  <c r="L12312"/>
  <c r="K12261"/>
  <c r="L12336" l="1"/>
  <c r="L12323"/>
  <c r="L12327" s="1"/>
  <c r="L12341"/>
  <c r="L12314"/>
  <c r="L12319" s="1"/>
  <c r="E12390" s="1"/>
  <c r="K12332"/>
  <c r="K12352"/>
  <c r="L12351"/>
  <c r="L12352" s="1"/>
  <c r="K12346"/>
  <c r="K12347" s="1"/>
  <c r="L12345"/>
  <c r="L12344"/>
  <c r="L12343"/>
  <c r="K12272"/>
  <c r="L12271"/>
  <c r="L12270"/>
  <c r="K12302"/>
  <c r="L12301"/>
  <c r="L12302" s="1"/>
  <c r="K12267"/>
  <c r="L12266"/>
  <c r="L12265"/>
  <c r="K12258"/>
  <c r="K12262" s="1"/>
  <c r="L12257"/>
  <c r="L12256"/>
  <c r="K12276"/>
  <c r="L12275"/>
  <c r="L12274"/>
  <c r="L12298"/>
  <c r="K12299"/>
  <c r="K12309" l="1"/>
  <c r="K12286"/>
  <c r="L12346"/>
  <c r="L12347" s="1"/>
  <c r="E12396" s="1"/>
  <c r="L12299"/>
  <c r="L12309" s="1"/>
  <c r="E12389" s="1"/>
  <c r="L12258"/>
  <c r="L12262" s="1"/>
  <c r="E12386" s="1"/>
  <c r="L12276"/>
  <c r="L12267"/>
  <c r="E12387" s="1"/>
  <c r="L12272"/>
  <c r="L12071"/>
  <c r="L12070"/>
  <c r="L12069"/>
  <c r="L12068"/>
  <c r="L12064"/>
  <c r="L12063"/>
  <c r="K12065"/>
  <c r="L12286" l="1"/>
  <c r="E12388" s="1"/>
  <c r="E12401" s="1"/>
  <c r="L12380"/>
  <c r="L12065"/>
  <c r="E12210" s="1"/>
  <c r="L12072"/>
  <c r="E12211" s="1"/>
  <c r="N12153"/>
  <c r="N12160" s="1"/>
  <c r="N12164" s="1"/>
  <c r="N12183"/>
  <c r="N12175"/>
  <c r="N12180" s="1"/>
  <c r="M12187"/>
  <c r="N12187" s="1"/>
  <c r="M12180"/>
  <c r="M12182"/>
  <c r="N12182" s="1"/>
  <c r="M12186"/>
  <c r="N12186" s="1"/>
  <c r="M12160"/>
  <c r="M12164" s="1"/>
  <c r="K12163"/>
  <c r="N12132"/>
  <c r="N12131"/>
  <c r="N12129"/>
  <c r="N12128"/>
  <c r="N12127"/>
  <c r="N12123"/>
  <c r="N12122"/>
  <c r="N12121"/>
  <c r="N12120"/>
  <c r="N12119"/>
  <c r="N12118"/>
  <c r="M12130"/>
  <c r="N12130" s="1"/>
  <c r="M12126"/>
  <c r="N12126" s="1"/>
  <c r="M12125"/>
  <c r="N12125" s="1"/>
  <c r="M12124"/>
  <c r="M12133"/>
  <c r="N12133" s="1"/>
  <c r="K12134"/>
  <c r="K12072"/>
  <c r="L12148"/>
  <c r="N12188" l="1"/>
  <c r="N12189" s="1"/>
  <c r="M12188"/>
  <c r="M12189" s="1"/>
  <c r="M12134"/>
  <c r="M12145" s="1"/>
  <c r="N12124"/>
  <c r="N12134" s="1"/>
  <c r="L12076"/>
  <c r="L12075"/>
  <c r="K12099"/>
  <c r="K12144"/>
  <c r="L12162"/>
  <c r="L12163" s="1"/>
  <c r="K12160"/>
  <c r="K12077"/>
  <c r="K12084"/>
  <c r="L12083"/>
  <c r="L12082"/>
  <c r="K12079" l="1"/>
  <c r="N12145"/>
  <c r="L12077"/>
  <c r="L12079" s="1"/>
  <c r="E12214" s="1"/>
  <c r="L12084"/>
  <c r="L12143" l="1"/>
  <c r="L12142"/>
  <c r="L12141"/>
  <c r="R11599"/>
  <c r="R11597"/>
  <c r="R11596"/>
  <c r="R11591"/>
  <c r="R11592" s="1"/>
  <c r="Q11592"/>
  <c r="Q11594"/>
  <c r="Q11595"/>
  <c r="R11595" s="1"/>
  <c r="Q11598"/>
  <c r="R11598" s="1"/>
  <c r="Q11673"/>
  <c r="R11672"/>
  <c r="R11671"/>
  <c r="R11677"/>
  <c r="R11676"/>
  <c r="R11675"/>
  <c r="Q11678"/>
  <c r="Q11567"/>
  <c r="R11567" s="1"/>
  <c r="R11568" s="1"/>
  <c r="Q11563"/>
  <c r="Q11564" s="1"/>
  <c r="Q11553"/>
  <c r="R11553" s="1"/>
  <c r="R11555" s="1"/>
  <c r="T11548"/>
  <c r="S11546"/>
  <c r="T11546" s="1"/>
  <c r="S11547"/>
  <c r="T11547" s="1"/>
  <c r="R11707"/>
  <c r="R11708" s="1"/>
  <c r="Q11708"/>
  <c r="Q11700"/>
  <c r="Q11701" s="1"/>
  <c r="R11710"/>
  <c r="R11711" s="1"/>
  <c r="Q11711"/>
  <c r="T11540"/>
  <c r="T11541" s="1"/>
  <c r="S11541"/>
  <c r="T11536"/>
  <c r="S11537"/>
  <c r="T11537" s="1"/>
  <c r="R11694"/>
  <c r="R11693"/>
  <c r="R11692"/>
  <c r="R11689"/>
  <c r="R11688"/>
  <c r="R11687"/>
  <c r="R11686"/>
  <c r="Q11690"/>
  <c r="Q11695"/>
  <c r="M12090"/>
  <c r="M12091" s="1"/>
  <c r="N12090" l="1"/>
  <c r="L12144"/>
  <c r="R11678"/>
  <c r="R11673"/>
  <c r="T11549"/>
  <c r="Q11555"/>
  <c r="Q11712"/>
  <c r="S11538"/>
  <c r="Q11600"/>
  <c r="R11695"/>
  <c r="T11538"/>
  <c r="R11700"/>
  <c r="R11701" s="1"/>
  <c r="Q11568"/>
  <c r="R11563"/>
  <c r="R11564" s="1"/>
  <c r="R11690"/>
  <c r="S11549"/>
  <c r="R11594"/>
  <c r="R11600" s="1"/>
  <c r="R11577"/>
  <c r="Q11576"/>
  <c r="R11576" s="1"/>
  <c r="Q11575"/>
  <c r="R11712" l="1"/>
  <c r="Q11578"/>
  <c r="R11575"/>
  <c r="R11578" s="1"/>
  <c r="K11532"/>
  <c r="L11530"/>
  <c r="L11529"/>
  <c r="L11531"/>
  <c r="W11530"/>
  <c r="X11530" s="1"/>
  <c r="X11531"/>
  <c r="X11526"/>
  <c r="W11529"/>
  <c r="X11529" s="1"/>
  <c r="W11514"/>
  <c r="X11514" s="1"/>
  <c r="W11511"/>
  <c r="W11525"/>
  <c r="X11525" s="1"/>
  <c r="W11515"/>
  <c r="X11515" s="1"/>
  <c r="Q11547"/>
  <c r="R11547" s="1"/>
  <c r="Q11546"/>
  <c r="R11546" s="1"/>
  <c r="Q11548"/>
  <c r="R11548" s="1"/>
  <c r="Q11537"/>
  <c r="R11537" s="1"/>
  <c r="Q11536"/>
  <c r="R11536" s="1"/>
  <c r="Q11540"/>
  <c r="R11540" s="1"/>
  <c r="R11541" s="1"/>
  <c r="L11719"/>
  <c r="L11720" s="1"/>
  <c r="K11725"/>
  <c r="L11724"/>
  <c r="L11723"/>
  <c r="K11720"/>
  <c r="X11527" l="1"/>
  <c r="Q11541"/>
  <c r="L11725"/>
  <c r="R11538"/>
  <c r="W11516"/>
  <c r="X11532"/>
  <c r="L11532"/>
  <c r="R11549"/>
  <c r="Q11538"/>
  <c r="X11511"/>
  <c r="Q11549"/>
  <c r="W11527"/>
  <c r="W11532"/>
  <c r="U11514"/>
  <c r="V11514" s="1"/>
  <c r="U11515"/>
  <c r="V11515" s="1"/>
  <c r="U11530"/>
  <c r="V11530" s="1"/>
  <c r="V11532" s="1"/>
  <c r="W11533" l="1"/>
  <c r="X11516"/>
  <c r="X11533" s="1"/>
  <c r="U11532"/>
  <c r="V11516"/>
  <c r="U11516"/>
  <c r="N11974"/>
  <c r="N11984"/>
  <c r="N11983"/>
  <c r="M11985"/>
  <c r="M11989" s="1"/>
  <c r="M11995"/>
  <c r="N11995" s="1"/>
  <c r="N11996" s="1"/>
  <c r="N11992"/>
  <c r="N11993" s="1"/>
  <c r="M11993"/>
  <c r="N12004"/>
  <c r="N12005" s="1"/>
  <c r="M12005"/>
  <c r="M11978"/>
  <c r="M11955"/>
  <c r="N11955" s="1"/>
  <c r="M11954"/>
  <c r="N11954" s="1"/>
  <c r="M11953"/>
  <c r="N11953" s="1"/>
  <c r="M11956"/>
  <c r="N11956" s="1"/>
  <c r="N11957"/>
  <c r="N11944"/>
  <c r="M11944"/>
  <c r="N11949"/>
  <c r="M11949"/>
  <c r="M11975"/>
  <c r="M11979" s="1"/>
  <c r="L11969"/>
  <c r="L11968"/>
  <c r="L11967"/>
  <c r="N11975" l="1"/>
  <c r="N11979" s="1"/>
  <c r="N11950"/>
  <c r="M11996"/>
  <c r="M11997" s="1"/>
  <c r="L11970"/>
  <c r="E12021" s="1"/>
  <c r="M11950"/>
  <c r="M11958"/>
  <c r="M11964" s="1"/>
  <c r="N11985"/>
  <c r="N11989" s="1"/>
  <c r="N11997"/>
  <c r="N11958"/>
  <c r="N11964" s="1"/>
  <c r="L11809"/>
  <c r="L11810" s="1"/>
  <c r="L12004"/>
  <c r="L12003"/>
  <c r="L12002"/>
  <c r="L11977"/>
  <c r="L11978" s="1"/>
  <c r="L11987"/>
  <c r="L11988" s="1"/>
  <c r="K11988"/>
  <c r="K11985"/>
  <c r="L11984"/>
  <c r="L11983"/>
  <c r="L11995"/>
  <c r="L11996" s="1"/>
  <c r="K11996"/>
  <c r="K11993"/>
  <c r="L11992"/>
  <c r="L11993" s="1"/>
  <c r="K12005"/>
  <c r="K11970"/>
  <c r="L11804"/>
  <c r="L11805"/>
  <c r="L11806"/>
  <c r="K11807"/>
  <c r="K11810"/>
  <c r="K11884"/>
  <c r="L11883"/>
  <c r="L11882"/>
  <c r="L11948"/>
  <c r="L11947"/>
  <c r="L11946"/>
  <c r="L11943"/>
  <c r="K11949"/>
  <c r="K11978"/>
  <c r="L11884" l="1"/>
  <c r="K11997"/>
  <c r="L11949"/>
  <c r="L12005"/>
  <c r="L11985"/>
  <c r="L11989" s="1"/>
  <c r="E12025" s="1"/>
  <c r="K11989"/>
  <c r="L11807"/>
  <c r="L11997"/>
  <c r="E12026" s="1"/>
  <c r="L11944"/>
  <c r="L11950" l="1"/>
  <c r="K11975" l="1"/>
  <c r="K11979" s="1"/>
  <c r="L11974"/>
  <c r="K11963"/>
  <c r="L11962"/>
  <c r="L11961"/>
  <c r="L11960"/>
  <c r="K11958"/>
  <c r="L11955"/>
  <c r="L11953"/>
  <c r="L11956"/>
  <c r="L11954"/>
  <c r="L11957"/>
  <c r="L11963" l="1"/>
  <c r="K11964"/>
  <c r="L11975"/>
  <c r="L11979" s="1"/>
  <c r="E12022" s="1"/>
  <c r="L11958"/>
  <c r="K11944"/>
  <c r="K11950" s="1"/>
  <c r="L11936"/>
  <c r="L11937" s="1"/>
  <c r="L11964" l="1"/>
  <c r="E12020" s="1"/>
  <c r="N12198" l="1"/>
  <c r="N12199" s="1"/>
  <c r="N12194"/>
  <c r="N12193"/>
  <c r="M12199"/>
  <c r="M12195"/>
  <c r="N12195" l="1"/>
  <c r="M12201"/>
  <c r="N12201"/>
  <c r="K11905" l="1"/>
  <c r="L11904"/>
  <c r="L11903"/>
  <c r="L11905" l="1"/>
  <c r="T11530" l="1"/>
  <c r="T11529"/>
  <c r="S11532"/>
  <c r="S11515"/>
  <c r="T11515" s="1"/>
  <c r="T11532" l="1"/>
  <c r="T11516"/>
  <c r="S11516"/>
  <c r="M12096"/>
  <c r="T11533" l="1"/>
  <c r="M12098"/>
  <c r="N12098" s="1"/>
  <c r="N12097"/>
  <c r="N12096"/>
  <c r="M12099" l="1"/>
  <c r="M12100" s="1"/>
  <c r="N12099"/>
  <c r="N12100" s="1"/>
  <c r="N12114" l="1"/>
  <c r="N12113"/>
  <c r="N12112"/>
  <c r="N12111"/>
  <c r="N12110"/>
  <c r="N12109"/>
  <c r="N12108"/>
  <c r="N12107"/>
  <c r="N12106"/>
  <c r="N12104"/>
  <c r="N12103"/>
  <c r="N12087"/>
  <c r="N12086"/>
  <c r="M12105"/>
  <c r="K11921"/>
  <c r="L11920"/>
  <c r="L11921" s="1"/>
  <c r="N12091" l="1"/>
  <c r="N12092" s="1"/>
  <c r="N12105"/>
  <c r="N12115" s="1"/>
  <c r="M12115"/>
  <c r="M12092"/>
  <c r="N11876"/>
  <c r="N11879" s="1"/>
  <c r="M11879"/>
  <c r="L11863"/>
  <c r="L11862"/>
  <c r="K11864"/>
  <c r="N11864"/>
  <c r="M11864"/>
  <c r="N11871"/>
  <c r="M11870"/>
  <c r="N11870" s="1"/>
  <c r="N11869"/>
  <c r="N12204" l="1"/>
  <c r="N11885"/>
  <c r="L11864"/>
  <c r="N11872"/>
  <c r="N11847"/>
  <c r="M11850"/>
  <c r="N11850" s="1"/>
  <c r="M11843"/>
  <c r="M11845"/>
  <c r="N11845" s="1"/>
  <c r="M11848"/>
  <c r="N11848" s="1"/>
  <c r="M11842"/>
  <c r="N11842" s="1"/>
  <c r="M11846"/>
  <c r="N11846" s="1"/>
  <c r="M11849"/>
  <c r="N11849" s="1"/>
  <c r="N11841"/>
  <c r="M11851" l="1"/>
  <c r="N11843"/>
  <c r="N11851" s="1"/>
  <c r="N11860"/>
  <c r="M11860"/>
  <c r="N11855"/>
  <c r="M11855"/>
  <c r="N11836"/>
  <c r="N11835"/>
  <c r="N11826"/>
  <c r="N11822"/>
  <c r="N11818"/>
  <c r="N11782"/>
  <c r="N11783" s="1"/>
  <c r="M11825"/>
  <c r="N11825" s="1"/>
  <c r="M11824"/>
  <c r="N11824" s="1"/>
  <c r="M11837"/>
  <c r="N11801"/>
  <c r="N11811" s="1"/>
  <c r="M11801"/>
  <c r="M11811" s="1"/>
  <c r="K11801"/>
  <c r="L11800"/>
  <c r="L11801" s="1"/>
  <c r="M11783"/>
  <c r="L11836"/>
  <c r="L11835"/>
  <c r="M11872"/>
  <c r="L11837" l="1"/>
  <c r="N11865"/>
  <c r="M11865"/>
  <c r="N11827"/>
  <c r="N11837"/>
  <c r="M11827"/>
  <c r="M11838" s="1"/>
  <c r="N11838" l="1"/>
  <c r="N12009" s="1"/>
  <c r="M12009"/>
  <c r="K11798"/>
  <c r="L12187"/>
  <c r="L12186"/>
  <c r="L12185"/>
  <c r="L12184"/>
  <c r="L12183"/>
  <c r="L12182"/>
  <c r="K12195"/>
  <c r="L12194"/>
  <c r="L12193"/>
  <c r="K12151"/>
  <c r="K12164" s="1"/>
  <c r="L12150"/>
  <c r="L12149"/>
  <c r="K12180"/>
  <c r="L12179"/>
  <c r="L12178"/>
  <c r="L12177"/>
  <c r="L12176"/>
  <c r="L12175"/>
  <c r="K12139"/>
  <c r="K12145" s="1"/>
  <c r="L12138"/>
  <c r="L12137"/>
  <c r="L12136"/>
  <c r="K12168"/>
  <c r="L12167"/>
  <c r="L12168" s="1"/>
  <c r="K12173"/>
  <c r="K12189" s="1"/>
  <c r="L12172"/>
  <c r="K12199"/>
  <c r="L12198"/>
  <c r="L12159"/>
  <c r="L12158"/>
  <c r="L12157"/>
  <c r="L12156"/>
  <c r="L12155"/>
  <c r="L12154"/>
  <c r="L12153"/>
  <c r="L12133"/>
  <c r="L12132"/>
  <c r="L12131"/>
  <c r="L12130"/>
  <c r="L12129"/>
  <c r="L12128"/>
  <c r="L12127"/>
  <c r="L12126"/>
  <c r="L12125"/>
  <c r="L12124"/>
  <c r="L12123"/>
  <c r="L12122"/>
  <c r="L12121"/>
  <c r="L12120"/>
  <c r="L12119"/>
  <c r="L12118"/>
  <c r="K12115"/>
  <c r="L12114"/>
  <c r="L12113"/>
  <c r="L12112"/>
  <c r="L12111"/>
  <c r="L12110"/>
  <c r="L12109"/>
  <c r="L12108"/>
  <c r="L12107"/>
  <c r="L12106"/>
  <c r="L12105"/>
  <c r="L12104"/>
  <c r="L12103"/>
  <c r="K12091"/>
  <c r="L12090"/>
  <c r="L12089"/>
  <c r="L12088"/>
  <c r="L12087"/>
  <c r="L12086"/>
  <c r="L12098"/>
  <c r="L12097"/>
  <c r="L12096"/>
  <c r="K12100"/>
  <c r="K11932"/>
  <c r="L11931"/>
  <c r="L11930"/>
  <c r="L11929"/>
  <c r="L11928"/>
  <c r="K11915"/>
  <c r="L11914"/>
  <c r="L11913"/>
  <c r="L11912"/>
  <c r="K11901"/>
  <c r="L11900"/>
  <c r="L11899"/>
  <c r="L11898"/>
  <c r="L11897"/>
  <c r="K11937"/>
  <c r="L11797"/>
  <c r="L11796"/>
  <c r="K11833"/>
  <c r="L11832"/>
  <c r="L11831"/>
  <c r="L11830"/>
  <c r="L11829"/>
  <c r="K11860"/>
  <c r="L11859"/>
  <c r="L11858"/>
  <c r="L11857"/>
  <c r="K11783"/>
  <c r="L11782"/>
  <c r="L11783" s="1"/>
  <c r="K11926"/>
  <c r="L11925"/>
  <c r="K11910"/>
  <c r="L11909"/>
  <c r="K11895"/>
  <c r="L11894"/>
  <c r="L11893"/>
  <c r="L11892"/>
  <c r="K11794"/>
  <c r="L11793"/>
  <c r="L11792"/>
  <c r="K11816"/>
  <c r="L11815"/>
  <c r="L11814"/>
  <c r="K11855"/>
  <c r="L11854"/>
  <c r="L11853"/>
  <c r="K11890"/>
  <c r="L11889"/>
  <c r="K11790"/>
  <c r="L11789"/>
  <c r="L11788"/>
  <c r="L11787"/>
  <c r="L11786"/>
  <c r="K11827"/>
  <c r="L11826"/>
  <c r="L11825"/>
  <c r="L11824"/>
  <c r="L11823"/>
  <c r="L11822"/>
  <c r="L11821"/>
  <c r="L11820"/>
  <c r="L11819"/>
  <c r="L11818"/>
  <c r="K11851"/>
  <c r="L11850"/>
  <c r="L11849"/>
  <c r="L11848"/>
  <c r="L11847"/>
  <c r="L11846"/>
  <c r="L11845"/>
  <c r="L11844"/>
  <c r="L11843"/>
  <c r="L11842"/>
  <c r="L11841"/>
  <c r="K11918"/>
  <c r="L11917"/>
  <c r="L11918" s="1"/>
  <c r="K11879"/>
  <c r="K11885" s="1"/>
  <c r="L11878"/>
  <c r="L11877"/>
  <c r="L11876"/>
  <c r="K11872"/>
  <c r="L11871"/>
  <c r="L11870"/>
  <c r="L11869"/>
  <c r="K11837"/>
  <c r="L12188" l="1"/>
  <c r="L11932"/>
  <c r="L12091"/>
  <c r="L12092" s="1"/>
  <c r="E12215" s="1"/>
  <c r="L12134"/>
  <c r="K12092"/>
  <c r="L12160"/>
  <c r="L12195"/>
  <c r="L12099"/>
  <c r="L12115"/>
  <c r="E12219" s="1"/>
  <c r="K11865"/>
  <c r="K11811"/>
  <c r="K11906"/>
  <c r="K11933"/>
  <c r="K12201"/>
  <c r="L12199"/>
  <c r="L12201" s="1"/>
  <c r="L12173"/>
  <c r="L11798"/>
  <c r="L11901"/>
  <c r="K11922"/>
  <c r="L11910"/>
  <c r="L11926"/>
  <c r="K11838"/>
  <c r="L11851"/>
  <c r="L11860"/>
  <c r="L11890"/>
  <c r="L12139"/>
  <c r="L12180"/>
  <c r="L12151"/>
  <c r="L11872"/>
  <c r="E12019" s="1"/>
  <c r="L11879"/>
  <c r="E12027" s="1"/>
  <c r="L11790"/>
  <c r="L11855"/>
  <c r="L11794"/>
  <c r="L11827"/>
  <c r="L11816"/>
  <c r="L11895"/>
  <c r="L11833"/>
  <c r="L11915"/>
  <c r="L12164" l="1"/>
  <c r="E12221" s="1"/>
  <c r="L12189"/>
  <c r="E12225" s="1"/>
  <c r="L12100"/>
  <c r="E12216" s="1"/>
  <c r="L12145"/>
  <c r="E12220" s="1"/>
  <c r="L11933"/>
  <c r="L11811"/>
  <c r="E12015" s="1"/>
  <c r="L11838"/>
  <c r="E12016" s="1"/>
  <c r="L11906"/>
  <c r="E12030" s="1"/>
  <c r="L11865"/>
  <c r="E12017" s="1"/>
  <c r="L11922"/>
  <c r="E12031" s="1"/>
  <c r="K12009"/>
  <c r="L11885"/>
  <c r="L12204" l="1"/>
  <c r="E12228"/>
  <c r="L12009"/>
  <c r="E12039"/>
  <c r="L11630" l="1"/>
  <c r="L11631" s="1"/>
  <c r="L11624"/>
  <c r="L11623"/>
  <c r="K11625"/>
  <c r="L11526"/>
  <c r="L11525"/>
  <c r="K11524"/>
  <c r="L11524" s="1"/>
  <c r="L11527" l="1"/>
  <c r="L11625"/>
  <c r="Q11530"/>
  <c r="Q11532" s="1"/>
  <c r="Q11514"/>
  <c r="Q11515"/>
  <c r="R11530" l="1"/>
  <c r="R11532" s="1"/>
  <c r="R11526"/>
  <c r="R11527" s="1"/>
  <c r="Q11527"/>
  <c r="R11515"/>
  <c r="R11514"/>
  <c r="Q11516"/>
  <c r="Q11533" l="1"/>
  <c r="R11516"/>
  <c r="R11533" s="1"/>
  <c r="K11435" l="1"/>
  <c r="K11448"/>
  <c r="L11447"/>
  <c r="L11448" s="1"/>
  <c r="K11429"/>
  <c r="L11428"/>
  <c r="L11429" s="1"/>
  <c r="K11423"/>
  <c r="L11422"/>
  <c r="L11421"/>
  <c r="L11420"/>
  <c r="L11419"/>
  <c r="K11436" l="1"/>
  <c r="L11423"/>
  <c r="M10587" l="1"/>
  <c r="Q10949" l="1"/>
  <c r="R10949" s="1"/>
  <c r="Q10950"/>
  <c r="R10950" s="1"/>
  <c r="Q10948"/>
  <c r="R10948" s="1"/>
  <c r="Q10951"/>
  <c r="R10951" s="1"/>
  <c r="Q10952"/>
  <c r="R10952" s="1"/>
  <c r="Q10976"/>
  <c r="R10953" l="1"/>
  <c r="Q10953"/>
  <c r="N11683" l="1"/>
  <c r="M11683"/>
  <c r="M11560"/>
  <c r="N11598"/>
  <c r="N11600" s="1"/>
  <c r="M11600"/>
  <c r="N11591"/>
  <c r="N11592" s="1"/>
  <c r="M11592"/>
  <c r="N11610"/>
  <c r="N11609"/>
  <c r="N11606"/>
  <c r="N11605"/>
  <c r="N11620"/>
  <c r="N11617"/>
  <c r="N11616"/>
  <c r="M11607"/>
  <c r="M11611"/>
  <c r="M11612" l="1"/>
  <c r="N11607"/>
  <c r="N11611"/>
  <c r="M11601"/>
  <c r="N11601"/>
  <c r="N11612" l="1"/>
  <c r="N11621" l="1"/>
  <c r="M11621"/>
  <c r="N11631"/>
  <c r="M11631"/>
  <c r="N11563"/>
  <c r="N11564" s="1"/>
  <c r="M11564"/>
  <c r="M11569" s="1"/>
  <c r="N11640"/>
  <c r="N11638"/>
  <c r="N11663"/>
  <c r="N11662"/>
  <c r="N11660"/>
  <c r="N11693"/>
  <c r="N11695" s="1"/>
  <c r="N11688"/>
  <c r="N11690" s="1"/>
  <c r="N11542"/>
  <c r="M11542"/>
  <c r="N11532"/>
  <c r="M11532"/>
  <c r="K11568"/>
  <c r="L11567"/>
  <c r="L11568" s="1"/>
  <c r="K11538"/>
  <c r="L11537"/>
  <c r="L11536"/>
  <c r="N11554"/>
  <c r="N11553"/>
  <c r="M11555"/>
  <c r="M11664"/>
  <c r="M11668" s="1"/>
  <c r="N11559"/>
  <c r="N11558"/>
  <c r="N11526"/>
  <c r="N11524"/>
  <c r="N11521"/>
  <c r="N11522" s="1"/>
  <c r="N11518"/>
  <c r="N11519" s="1"/>
  <c r="N11515"/>
  <c r="N11514"/>
  <c r="N11513"/>
  <c r="N11512"/>
  <c r="N11511"/>
  <c r="N11510"/>
  <c r="M11522"/>
  <c r="M11525"/>
  <c r="N11525" s="1"/>
  <c r="M11519"/>
  <c r="M11516"/>
  <c r="M11695"/>
  <c r="M11690"/>
  <c r="N11711"/>
  <c r="N11710"/>
  <c r="N11707"/>
  <c r="N11708" s="1"/>
  <c r="N11703"/>
  <c r="N11700"/>
  <c r="N11699"/>
  <c r="N11548"/>
  <c r="N11546"/>
  <c r="M11708"/>
  <c r="M11701"/>
  <c r="L11703"/>
  <c r="K11708"/>
  <c r="L11707"/>
  <c r="L11708" s="1"/>
  <c r="N11704"/>
  <c r="M11704"/>
  <c r="M11547"/>
  <c r="L11548"/>
  <c r="L11547"/>
  <c r="L11546"/>
  <c r="K11549"/>
  <c r="K11682"/>
  <c r="K11628"/>
  <c r="L11646"/>
  <c r="L11647" s="1"/>
  <c r="K11647"/>
  <c r="K11644"/>
  <c r="K11600"/>
  <c r="K11678"/>
  <c r="M11696" l="1"/>
  <c r="M11632"/>
  <c r="N11560"/>
  <c r="N11632"/>
  <c r="L11549"/>
  <c r="E11740" s="1"/>
  <c r="L11538"/>
  <c r="N11696"/>
  <c r="N11664"/>
  <c r="N11668" s="1"/>
  <c r="N11547"/>
  <c r="N11549" s="1"/>
  <c r="M11549"/>
  <c r="M11641"/>
  <c r="M11648" s="1"/>
  <c r="N11639"/>
  <c r="N11641" s="1"/>
  <c r="N11569"/>
  <c r="N11555"/>
  <c r="N11516"/>
  <c r="M11527"/>
  <c r="M11533" s="1"/>
  <c r="M11712"/>
  <c r="N11527"/>
  <c r="N11701"/>
  <c r="N11712" s="1"/>
  <c r="N11533" l="1"/>
  <c r="N11648"/>
  <c r="N11732" l="1"/>
  <c r="R11203"/>
  <c r="R11207"/>
  <c r="R11208" s="1"/>
  <c r="Q11208"/>
  <c r="Q11204"/>
  <c r="R11204" s="1"/>
  <c r="K11276"/>
  <c r="R11205" l="1"/>
  <c r="Q11205"/>
  <c r="L11336"/>
  <c r="L11337" s="1"/>
  <c r="L11333"/>
  <c r="K11332"/>
  <c r="L11332" s="1"/>
  <c r="K11337"/>
  <c r="K11350"/>
  <c r="K11344"/>
  <c r="K11343"/>
  <c r="K11328"/>
  <c r="L11334" l="1"/>
  <c r="E11470" s="1"/>
  <c r="K11334"/>
  <c r="K11527"/>
  <c r="L11681"/>
  <c r="L11680"/>
  <c r="L11704"/>
  <c r="K11704"/>
  <c r="L11666"/>
  <c r="L11667" s="1"/>
  <c r="K11667"/>
  <c r="L11521"/>
  <c r="L11522" s="1"/>
  <c r="K11522"/>
  <c r="K11586"/>
  <c r="L11585"/>
  <c r="L11584"/>
  <c r="L11583"/>
  <c r="L11580"/>
  <c r="L11581" s="1"/>
  <c r="K11581"/>
  <c r="L11338" l="1"/>
  <c r="L11682"/>
  <c r="L11586"/>
  <c r="L11627"/>
  <c r="L11628" s="1"/>
  <c r="L11643"/>
  <c r="L11644" s="1"/>
  <c r="N11407" l="1"/>
  <c r="N11408" s="1"/>
  <c r="K11405"/>
  <c r="K11384"/>
  <c r="N11326"/>
  <c r="N11325"/>
  <c r="N11404"/>
  <c r="N11403"/>
  <c r="N11402"/>
  <c r="N11399"/>
  <c r="N11398"/>
  <c r="N11396"/>
  <c r="N11394"/>
  <c r="N11393"/>
  <c r="N11390"/>
  <c r="N11389"/>
  <c r="N11388"/>
  <c r="N11383"/>
  <c r="N11382"/>
  <c r="N11381"/>
  <c r="N11380"/>
  <c r="N11379"/>
  <c r="N11378"/>
  <c r="N11377"/>
  <c r="N11376"/>
  <c r="N11364"/>
  <c r="N11363"/>
  <c r="N11357"/>
  <c r="N11350"/>
  <c r="N11344"/>
  <c r="N11342"/>
  <c r="M11349"/>
  <c r="N11349" s="1"/>
  <c r="M11384"/>
  <c r="M11385" s="1"/>
  <c r="L11344"/>
  <c r="L11343"/>
  <c r="L11342"/>
  <c r="L11341"/>
  <c r="M11343"/>
  <c r="N11343" s="1"/>
  <c r="M11341"/>
  <c r="N11341" s="1"/>
  <c r="K11345"/>
  <c r="L11364"/>
  <c r="L11363"/>
  <c r="L11362"/>
  <c r="K11365"/>
  <c r="N11351" l="1"/>
  <c r="L11365"/>
  <c r="L11345"/>
  <c r="E11472" s="1"/>
  <c r="N11405"/>
  <c r="M11345"/>
  <c r="N11384"/>
  <c r="N11385" s="1"/>
  <c r="M11356"/>
  <c r="N11356" s="1"/>
  <c r="M11359"/>
  <c r="N11359" s="1"/>
  <c r="M11358"/>
  <c r="N11358" s="1"/>
  <c r="M11362"/>
  <c r="M11355"/>
  <c r="M11351"/>
  <c r="M11360" l="1"/>
  <c r="N11355"/>
  <c r="N11360" s="1"/>
  <c r="N11362"/>
  <c r="M11365"/>
  <c r="N11365"/>
  <c r="N11345"/>
  <c r="N11391"/>
  <c r="M11391"/>
  <c r="M11405"/>
  <c r="M11397"/>
  <c r="N11397" s="1"/>
  <c r="M11395"/>
  <c r="N11395" s="1"/>
  <c r="M11408"/>
  <c r="L11416"/>
  <c r="K11417"/>
  <c r="N11459"/>
  <c r="M11459"/>
  <c r="N11442"/>
  <c r="N11445" s="1"/>
  <c r="N11439"/>
  <c r="N11440" s="1"/>
  <c r="N11332"/>
  <c r="N11334" s="1"/>
  <c r="M11445"/>
  <c r="M11440"/>
  <c r="M11328"/>
  <c r="N11328" s="1"/>
  <c r="M11327"/>
  <c r="N11327" s="1"/>
  <c r="M11334"/>
  <c r="L11457"/>
  <c r="L11458" s="1"/>
  <c r="K11458"/>
  <c r="K11578"/>
  <c r="K11587" s="1"/>
  <c r="L11575"/>
  <c r="L11576"/>
  <c r="L11574"/>
  <c r="L11577"/>
  <c r="L11573"/>
  <c r="L11599"/>
  <c r="L11598"/>
  <c r="L11597"/>
  <c r="L11596"/>
  <c r="L11595"/>
  <c r="L11594"/>
  <c r="K11611"/>
  <c r="L11610"/>
  <c r="L11609"/>
  <c r="K11621"/>
  <c r="L11620"/>
  <c r="L11619"/>
  <c r="L11618"/>
  <c r="L11617"/>
  <c r="L11616"/>
  <c r="K11641"/>
  <c r="L11640"/>
  <c r="L11639"/>
  <c r="L11638"/>
  <c r="K11664"/>
  <c r="K11668" s="1"/>
  <c r="L11663"/>
  <c r="L11662"/>
  <c r="L11661"/>
  <c r="L11660"/>
  <c r="L11659"/>
  <c r="L11658"/>
  <c r="L11657"/>
  <c r="L11677"/>
  <c r="L11676"/>
  <c r="L11675"/>
  <c r="K11695"/>
  <c r="L11694"/>
  <c r="L11693"/>
  <c r="L11692"/>
  <c r="L11700"/>
  <c r="L11699"/>
  <c r="K11701"/>
  <c r="L11678" l="1"/>
  <c r="L11600"/>
  <c r="M11366"/>
  <c r="N11400"/>
  <c r="N11409" s="1"/>
  <c r="N11366"/>
  <c r="L11621"/>
  <c r="L11632" s="1"/>
  <c r="E11748" s="1"/>
  <c r="L11578"/>
  <c r="L11587" s="1"/>
  <c r="E11745" s="1"/>
  <c r="M11329"/>
  <c r="N11329"/>
  <c r="L11664"/>
  <c r="L11668" s="1"/>
  <c r="E11751" s="1"/>
  <c r="L11641"/>
  <c r="L11611"/>
  <c r="M11449"/>
  <c r="M11400"/>
  <c r="M11409" s="1"/>
  <c r="N11449"/>
  <c r="L11701"/>
  <c r="L11695"/>
  <c r="K11592"/>
  <c r="K11601" s="1"/>
  <c r="L11591"/>
  <c r="K11607"/>
  <c r="K11612" s="1"/>
  <c r="L11606"/>
  <c r="L11605"/>
  <c r="K11636"/>
  <c r="K11648" s="1"/>
  <c r="L11635"/>
  <c r="K11653"/>
  <c r="L11652"/>
  <c r="L11651"/>
  <c r="K11673"/>
  <c r="K11683" s="1"/>
  <c r="L11672"/>
  <c r="L11671"/>
  <c r="K11690"/>
  <c r="K11696" s="1"/>
  <c r="L11689"/>
  <c r="L11688"/>
  <c r="L11687"/>
  <c r="L11686"/>
  <c r="L11519"/>
  <c r="K11519"/>
  <c r="K11555"/>
  <c r="L11554"/>
  <c r="L11553"/>
  <c r="K11711"/>
  <c r="K11712" s="1"/>
  <c r="L11710"/>
  <c r="L11711" s="1"/>
  <c r="K11631"/>
  <c r="K11632" s="1"/>
  <c r="K11564"/>
  <c r="K11569" s="1"/>
  <c r="L11563"/>
  <c r="K11560"/>
  <c r="L11559"/>
  <c r="L11558"/>
  <c r="K11541"/>
  <c r="K11542" s="1"/>
  <c r="L11540"/>
  <c r="K11516"/>
  <c r="L11515"/>
  <c r="L11514"/>
  <c r="L11513"/>
  <c r="L11512"/>
  <c r="L11511"/>
  <c r="L11510"/>
  <c r="L11712" l="1"/>
  <c r="E11754" s="1"/>
  <c r="L11560"/>
  <c r="L11541"/>
  <c r="L11564"/>
  <c r="K11533"/>
  <c r="L11555"/>
  <c r="E11741" s="1"/>
  <c r="L11653"/>
  <c r="E11750" s="1"/>
  <c r="L11592"/>
  <c r="L11636"/>
  <c r="L11648" s="1"/>
  <c r="E11749" s="1"/>
  <c r="M11463"/>
  <c r="N11463"/>
  <c r="L11673"/>
  <c r="L11683" s="1"/>
  <c r="E11752" s="1"/>
  <c r="L11516"/>
  <c r="L11690"/>
  <c r="L11696" s="1"/>
  <c r="E11753" s="1"/>
  <c r="L11607"/>
  <c r="L11612" s="1"/>
  <c r="E11747" s="1"/>
  <c r="L11328"/>
  <c r="L11327"/>
  <c r="L11326"/>
  <c r="L11325"/>
  <c r="L11350"/>
  <c r="L11349"/>
  <c r="K11329"/>
  <c r="L11407"/>
  <c r="L11408" s="1"/>
  <c r="K11408"/>
  <c r="K11351"/>
  <c r="K11445"/>
  <c r="L11444"/>
  <c r="L11443"/>
  <c r="L11442"/>
  <c r="L11434"/>
  <c r="L11433"/>
  <c r="L11432"/>
  <c r="L11431"/>
  <c r="L11404"/>
  <c r="L11403"/>
  <c r="L11402"/>
  <c r="L11415"/>
  <c r="K11400"/>
  <c r="L11399"/>
  <c r="L11398"/>
  <c r="L11397"/>
  <c r="L11396"/>
  <c r="L11395"/>
  <c r="L11394"/>
  <c r="L11393"/>
  <c r="L11198"/>
  <c r="L11197"/>
  <c r="L11196"/>
  <c r="K11199"/>
  <c r="L11533" l="1"/>
  <c r="E11738" s="1"/>
  <c r="L11435"/>
  <c r="L11436" s="1"/>
  <c r="L11569"/>
  <c r="E11742" s="1"/>
  <c r="L11542"/>
  <c r="E11739" s="1"/>
  <c r="L11601"/>
  <c r="E11746" s="1"/>
  <c r="L11351"/>
  <c r="E11473" s="1"/>
  <c r="L11329"/>
  <c r="E11469" s="1"/>
  <c r="L11405"/>
  <c r="L11417"/>
  <c r="L11445"/>
  <c r="L11199"/>
  <c r="L11400"/>
  <c r="L11383"/>
  <c r="L11382"/>
  <c r="L11381"/>
  <c r="L11380"/>
  <c r="L11379"/>
  <c r="L11378"/>
  <c r="L11377"/>
  <c r="L11376"/>
  <c r="L11732" l="1"/>
  <c r="E11760"/>
  <c r="L11384"/>
  <c r="L11412"/>
  <c r="L11413" l="1"/>
  <c r="L11424" s="1"/>
  <c r="K11413"/>
  <c r="K11424" s="1"/>
  <c r="K11440"/>
  <c r="K11449" s="1"/>
  <c r="L11439"/>
  <c r="K11455"/>
  <c r="K11459" s="1"/>
  <c r="L11454"/>
  <c r="L11453"/>
  <c r="L11452"/>
  <c r="K11391"/>
  <c r="K11409" s="1"/>
  <c r="L11390"/>
  <c r="L11389"/>
  <c r="L11388"/>
  <c r="K11374"/>
  <c r="K11385" s="1"/>
  <c r="L11373"/>
  <c r="L11372"/>
  <c r="L11371"/>
  <c r="L11370"/>
  <c r="L11369"/>
  <c r="K11360"/>
  <c r="K11366" s="1"/>
  <c r="L11359"/>
  <c r="L11358"/>
  <c r="L11357"/>
  <c r="L11356"/>
  <c r="L11355"/>
  <c r="E11479" l="1"/>
  <c r="K11463"/>
  <c r="L11440"/>
  <c r="L11449" s="1"/>
  <c r="L11360"/>
  <c r="L11366" s="1"/>
  <c r="E11476" s="1"/>
  <c r="L11374"/>
  <c r="L11385" s="1"/>
  <c r="E11477" s="1"/>
  <c r="L11391"/>
  <c r="L11455"/>
  <c r="E11484" s="1"/>
  <c r="L11409" l="1"/>
  <c r="E11478" s="1"/>
  <c r="E11487" s="1"/>
  <c r="L11459"/>
  <c r="L11275"/>
  <c r="L11274"/>
  <c r="L11273"/>
  <c r="L11272"/>
  <c r="K11244"/>
  <c r="L11243"/>
  <c r="L11242"/>
  <c r="L11241"/>
  <c r="L11463" l="1"/>
  <c r="L11244"/>
  <c r="L11276"/>
  <c r="K11259"/>
  <c r="L11258"/>
  <c r="L11257"/>
  <c r="L11256"/>
  <c r="L11255"/>
  <c r="L11254"/>
  <c r="K11227"/>
  <c r="L11226"/>
  <c r="L11225"/>
  <c r="L11224"/>
  <c r="L11223"/>
  <c r="L11222"/>
  <c r="L11227" l="1"/>
  <c r="L11259"/>
  <c r="K11269"/>
  <c r="K11277" s="1"/>
  <c r="L11268"/>
  <c r="L11267"/>
  <c r="L11266"/>
  <c r="L11265"/>
  <c r="L11264"/>
  <c r="L11263"/>
  <c r="L11251"/>
  <c r="L11252" s="1"/>
  <c r="K11252"/>
  <c r="K11239"/>
  <c r="L11238"/>
  <c r="L11237"/>
  <c r="L11248"/>
  <c r="K11249"/>
  <c r="L11234"/>
  <c r="K11235"/>
  <c r="K11245" l="1"/>
  <c r="L11235"/>
  <c r="L11249"/>
  <c r="L11260" s="1"/>
  <c r="L11269"/>
  <c r="L11277" s="1"/>
  <c r="E11294" s="1"/>
  <c r="K11260"/>
  <c r="L11239"/>
  <c r="L11245" s="1"/>
  <c r="L11279" l="1"/>
  <c r="L11006" l="1"/>
  <c r="L11003"/>
  <c r="K10999"/>
  <c r="L10998"/>
  <c r="L10999" s="1"/>
  <c r="K11123" l="1"/>
  <c r="L11122"/>
  <c r="L11123" s="1"/>
  <c r="K11120"/>
  <c r="L11119"/>
  <c r="L11118"/>
  <c r="K11116"/>
  <c r="L11115"/>
  <c r="L11116" s="1"/>
  <c r="K11113"/>
  <c r="L11112"/>
  <c r="L11111"/>
  <c r="K11109"/>
  <c r="L11108"/>
  <c r="L11107"/>
  <c r="K11105"/>
  <c r="L11104"/>
  <c r="L11103"/>
  <c r="L11102"/>
  <c r="L11101"/>
  <c r="L11105" l="1"/>
  <c r="L11113"/>
  <c r="L11120"/>
  <c r="L11109"/>
  <c r="L11097"/>
  <c r="L11093"/>
  <c r="L11092"/>
  <c r="L11088"/>
  <c r="L11089" s="1"/>
  <c r="L11084"/>
  <c r="L11085" s="1"/>
  <c r="K11097"/>
  <c r="K11094"/>
  <c r="K11089"/>
  <c r="K11085"/>
  <c r="L11094" l="1"/>
  <c r="K10660"/>
  <c r="L11207"/>
  <c r="L11208" s="1"/>
  <c r="L11204"/>
  <c r="L11203"/>
  <c r="L11175"/>
  <c r="L11176" s="1"/>
  <c r="K11176"/>
  <c r="L11205" l="1"/>
  <c r="L11209" l="1"/>
  <c r="E11297" s="1"/>
  <c r="K11215"/>
  <c r="L11214"/>
  <c r="L11213"/>
  <c r="K11193"/>
  <c r="L11192"/>
  <c r="L11191"/>
  <c r="L11190"/>
  <c r="L11189"/>
  <c r="L11188"/>
  <c r="K11185"/>
  <c r="L11184"/>
  <c r="L11183"/>
  <c r="L11182"/>
  <c r="L11219"/>
  <c r="L11220" s="1"/>
  <c r="L11228" s="1"/>
  <c r="K11220"/>
  <c r="K11205"/>
  <c r="L11193" l="1"/>
  <c r="E11290" s="1"/>
  <c r="L11215"/>
  <c r="E11298" s="1"/>
  <c r="L11185"/>
  <c r="E11289" s="1"/>
  <c r="E11304" l="1"/>
  <c r="L11283"/>
  <c r="K11208"/>
  <c r="K11077"/>
  <c r="L11076"/>
  <c r="L11077" s="1"/>
  <c r="E11148" s="1"/>
  <c r="K11074"/>
  <c r="L11073"/>
  <c r="L11072"/>
  <c r="K11070"/>
  <c r="L11069"/>
  <c r="L11070" s="1"/>
  <c r="E11147" s="1"/>
  <c r="K11067"/>
  <c r="L11066"/>
  <c r="L11065"/>
  <c r="L11064"/>
  <c r="L11074" l="1"/>
  <c r="N11136"/>
  <c r="L11067"/>
  <c r="E11146" s="1"/>
  <c r="K11061" l="1"/>
  <c r="L11060"/>
  <c r="L11059"/>
  <c r="L11058"/>
  <c r="L11057"/>
  <c r="L11056"/>
  <c r="L11055"/>
  <c r="L11061" l="1"/>
  <c r="R10862"/>
  <c r="R10863" s="1"/>
  <c r="R10858"/>
  <c r="R10857"/>
  <c r="R10856"/>
  <c r="R10853"/>
  <c r="Q10854"/>
  <c r="Q10863"/>
  <c r="Q10859"/>
  <c r="R10859" s="1"/>
  <c r="R10648"/>
  <c r="Q10649"/>
  <c r="R10647"/>
  <c r="R10646"/>
  <c r="R10645"/>
  <c r="T10477"/>
  <c r="T10478" s="1"/>
  <c r="S10478"/>
  <c r="Q10747"/>
  <c r="R10747" s="1"/>
  <c r="Q10746"/>
  <c r="R10746" s="1"/>
  <c r="Q10745"/>
  <c r="R10745" s="1"/>
  <c r="R10758"/>
  <c r="R10757"/>
  <c r="R10756"/>
  <c r="R10755"/>
  <c r="R10754"/>
  <c r="Q10759"/>
  <c r="R10739"/>
  <c r="R10738"/>
  <c r="R10737"/>
  <c r="Q10740"/>
  <c r="R10740" s="1"/>
  <c r="L11136" l="1"/>
  <c r="E11143"/>
  <c r="E11152" s="1"/>
  <c r="Q10860"/>
  <c r="R10860"/>
  <c r="Q10864"/>
  <c r="R10741"/>
  <c r="Q10741"/>
  <c r="R10759"/>
  <c r="R10649"/>
  <c r="R10854"/>
  <c r="R10864" s="1"/>
  <c r="R10748"/>
  <c r="Q10748"/>
  <c r="R10489"/>
  <c r="R10488"/>
  <c r="R10485"/>
  <c r="Q10490"/>
  <c r="R10503"/>
  <c r="R10502"/>
  <c r="R10501"/>
  <c r="Q10500"/>
  <c r="R10500" s="1"/>
  <c r="L10994"/>
  <c r="L10993"/>
  <c r="L10992"/>
  <c r="K10990"/>
  <c r="L10989"/>
  <c r="L10990" s="1"/>
  <c r="E11025" s="1"/>
  <c r="K10987"/>
  <c r="L10986"/>
  <c r="L10985"/>
  <c r="L10984"/>
  <c r="L10983"/>
  <c r="K10995"/>
  <c r="Q10504" l="1"/>
  <c r="L10995"/>
  <c r="R10490"/>
  <c r="R10504"/>
  <c r="L10987"/>
  <c r="E11024" s="1"/>
  <c r="K10980" l="1"/>
  <c r="L10979"/>
  <c r="L10980" s="1"/>
  <c r="K10964"/>
  <c r="L10963"/>
  <c r="L10964" s="1"/>
  <c r="K10977"/>
  <c r="K10981" s="1"/>
  <c r="K10972"/>
  <c r="K10953"/>
  <c r="K10961"/>
  <c r="L10976"/>
  <c r="L10975"/>
  <c r="L10971"/>
  <c r="L10970"/>
  <c r="L10969"/>
  <c r="L10968"/>
  <c r="L10960"/>
  <c r="L10959"/>
  <c r="L10958"/>
  <c r="L10957"/>
  <c r="L10952"/>
  <c r="L10951"/>
  <c r="L10950"/>
  <c r="L10949"/>
  <c r="L10948"/>
  <c r="L10977" l="1"/>
  <c r="L10981" s="1"/>
  <c r="E11022" s="1"/>
  <c r="L10972"/>
  <c r="E11021" s="1"/>
  <c r="K10965"/>
  <c r="L10961"/>
  <c r="L10965" s="1"/>
  <c r="E11020" s="1"/>
  <c r="L10953"/>
  <c r="E11017" s="1"/>
  <c r="L11011" l="1"/>
  <c r="E11032"/>
  <c r="E10915"/>
  <c r="E10917" l="1"/>
  <c r="E10924" s="1"/>
  <c r="T10638" l="1"/>
  <c r="T10637"/>
  <c r="T10586"/>
  <c r="S10585"/>
  <c r="T10585" s="1"/>
  <c r="S10636"/>
  <c r="T10636" s="1"/>
  <c r="S10635"/>
  <c r="T10635" s="1"/>
  <c r="S10634"/>
  <c r="S10584"/>
  <c r="T10584" s="1"/>
  <c r="S10639" l="1"/>
  <c r="T10587"/>
  <c r="T10634"/>
  <c r="T10639" s="1"/>
  <c r="S10587"/>
  <c r="Q10578"/>
  <c r="R10578" s="1"/>
  <c r="Q10579"/>
  <c r="R10579" s="1"/>
  <c r="R10638"/>
  <c r="R10637"/>
  <c r="R10635"/>
  <c r="Q10636"/>
  <c r="R10636" s="1"/>
  <c r="Q10634"/>
  <c r="R10634" s="1"/>
  <c r="Q10584"/>
  <c r="R10591"/>
  <c r="R10590"/>
  <c r="Q10592"/>
  <c r="Q10586"/>
  <c r="R10586" s="1"/>
  <c r="Q10585"/>
  <c r="R10585" s="1"/>
  <c r="Q10580"/>
  <c r="Q10639" l="1"/>
  <c r="Q10581"/>
  <c r="R10592"/>
  <c r="Q10587"/>
  <c r="R10639"/>
  <c r="R10580"/>
  <c r="R10581" s="1"/>
  <c r="R10584"/>
  <c r="R10587" s="1"/>
  <c r="Q10477"/>
  <c r="R10477" s="1"/>
  <c r="Q10476"/>
  <c r="R10476" s="1"/>
  <c r="N10585"/>
  <c r="N10584"/>
  <c r="N10587" l="1"/>
  <c r="Q10478"/>
  <c r="R10478"/>
  <c r="K10863"/>
  <c r="L10862"/>
  <c r="L10863" s="1"/>
  <c r="K10860"/>
  <c r="L10859"/>
  <c r="L10858"/>
  <c r="L10857"/>
  <c r="L10856"/>
  <c r="K10854"/>
  <c r="L10853"/>
  <c r="K10850"/>
  <c r="L10849"/>
  <c r="L10848"/>
  <c r="K10846"/>
  <c r="L10845"/>
  <c r="L10844"/>
  <c r="K10842"/>
  <c r="L10841"/>
  <c r="L10842" s="1"/>
  <c r="K10839"/>
  <c r="L10838"/>
  <c r="L10837"/>
  <c r="L10836"/>
  <c r="L10835"/>
  <c r="L10834"/>
  <c r="K10830"/>
  <c r="L10829"/>
  <c r="L10828"/>
  <c r="K10826"/>
  <c r="L10825"/>
  <c r="L10824"/>
  <c r="K10820"/>
  <c r="L10819"/>
  <c r="L10820" s="1"/>
  <c r="K10817"/>
  <c r="K10821" s="1"/>
  <c r="L10816"/>
  <c r="L10815"/>
  <c r="L10814"/>
  <c r="L10813"/>
  <c r="K10809"/>
  <c r="L10808"/>
  <c r="L10807"/>
  <c r="L10806"/>
  <c r="L10805"/>
  <c r="L10804"/>
  <c r="L10803"/>
  <c r="K10801"/>
  <c r="L10800"/>
  <c r="L10799"/>
  <c r="L10798"/>
  <c r="L10797"/>
  <c r="L10796"/>
  <c r="L10795"/>
  <c r="L10794"/>
  <c r="L10793"/>
  <c r="L10792"/>
  <c r="L10791"/>
  <c r="L10790"/>
  <c r="L10789"/>
  <c r="K10787"/>
  <c r="L10786"/>
  <c r="L10785"/>
  <c r="L10784"/>
  <c r="L10783"/>
  <c r="K10779"/>
  <c r="L10778"/>
  <c r="L10779" s="1"/>
  <c r="N10776"/>
  <c r="M10776"/>
  <c r="K10776"/>
  <c r="L10775"/>
  <c r="L10774"/>
  <c r="L10773"/>
  <c r="L10772"/>
  <c r="L10771"/>
  <c r="K10769"/>
  <c r="L10768"/>
  <c r="L10767"/>
  <c r="K10759"/>
  <c r="L10758"/>
  <c r="L10757"/>
  <c r="L10756"/>
  <c r="L10755"/>
  <c r="L10754"/>
  <c r="K10751"/>
  <c r="L10750"/>
  <c r="L10751" s="1"/>
  <c r="M10748"/>
  <c r="M10760" s="1"/>
  <c r="K10748"/>
  <c r="N10747"/>
  <c r="L10747"/>
  <c r="L10746"/>
  <c r="N10745"/>
  <c r="L10745"/>
  <c r="K10741"/>
  <c r="L10740"/>
  <c r="L10739"/>
  <c r="L10738"/>
  <c r="L10737"/>
  <c r="K10734"/>
  <c r="L10733"/>
  <c r="L10734" s="1"/>
  <c r="M10731"/>
  <c r="M10742" s="1"/>
  <c r="K10731"/>
  <c r="L10730"/>
  <c r="L10729"/>
  <c r="N10728"/>
  <c r="L10728"/>
  <c r="N10727"/>
  <c r="L10727"/>
  <c r="L10726"/>
  <c r="N10725"/>
  <c r="L10725"/>
  <c r="K10723"/>
  <c r="L10722"/>
  <c r="L10721"/>
  <c r="K10670"/>
  <c r="L10669"/>
  <c r="L10670" s="1"/>
  <c r="K10667"/>
  <c r="L10666"/>
  <c r="L10667" s="1"/>
  <c r="K10664"/>
  <c r="L10663"/>
  <c r="L10664" s="1"/>
  <c r="L10659"/>
  <c r="L10658"/>
  <c r="L10657"/>
  <c r="K10654"/>
  <c r="L10653"/>
  <c r="L10654" s="1"/>
  <c r="K10649"/>
  <c r="L10648"/>
  <c r="L10647"/>
  <c r="L10646"/>
  <c r="L10645"/>
  <c r="K10642"/>
  <c r="L10641"/>
  <c r="L10642" s="1"/>
  <c r="K10639"/>
  <c r="L10638"/>
  <c r="L10637"/>
  <c r="L10636"/>
  <c r="L10635"/>
  <c r="L10634"/>
  <c r="K10630"/>
  <c r="L10629"/>
  <c r="L10628"/>
  <c r="L10627"/>
  <c r="L10626"/>
  <c r="L10625"/>
  <c r="L10624"/>
  <c r="L10623"/>
  <c r="K10620"/>
  <c r="L10619"/>
  <c r="L10620" s="1"/>
  <c r="K10616"/>
  <c r="L10615"/>
  <c r="L10614"/>
  <c r="L10613"/>
  <c r="L10612"/>
  <c r="L10611"/>
  <c r="K10608"/>
  <c r="L10607"/>
  <c r="L10608" s="1"/>
  <c r="K10604"/>
  <c r="L10603"/>
  <c r="L10602"/>
  <c r="L10601"/>
  <c r="L10600"/>
  <c r="L10599"/>
  <c r="L10598"/>
  <c r="L10597"/>
  <c r="L10596"/>
  <c r="L10595"/>
  <c r="K10592"/>
  <c r="L10591"/>
  <c r="L10590"/>
  <c r="K10587"/>
  <c r="L10586"/>
  <c r="L10585"/>
  <c r="L10584"/>
  <c r="K10581"/>
  <c r="L10580"/>
  <c r="L10579"/>
  <c r="L10578"/>
  <c r="M10574"/>
  <c r="K10574"/>
  <c r="N10573"/>
  <c r="N10574" s="1"/>
  <c r="N10675" s="1"/>
  <c r="L10573"/>
  <c r="L10574" s="1"/>
  <c r="K10569"/>
  <c r="L10568"/>
  <c r="L10569" s="1"/>
  <c r="K10566"/>
  <c r="L10565"/>
  <c r="L10564"/>
  <c r="L10563"/>
  <c r="K10561"/>
  <c r="L10560"/>
  <c r="L10559"/>
  <c r="L10558"/>
  <c r="K10556"/>
  <c r="L10555"/>
  <c r="L10554"/>
  <c r="L10553"/>
  <c r="K10551"/>
  <c r="L10550"/>
  <c r="L10549"/>
  <c r="L10548"/>
  <c r="K10546"/>
  <c r="L10545"/>
  <c r="K10780" l="1"/>
  <c r="K10742"/>
  <c r="L10660"/>
  <c r="K10760"/>
  <c r="L10759"/>
  <c r="L10801"/>
  <c r="K10851"/>
  <c r="K10864"/>
  <c r="L10649"/>
  <c r="E10693" s="1"/>
  <c r="L10731"/>
  <c r="K10810"/>
  <c r="K10831"/>
  <c r="L10776"/>
  <c r="L10860"/>
  <c r="L10604"/>
  <c r="E10688" s="1"/>
  <c r="L10850"/>
  <c r="L10551"/>
  <c r="L10556"/>
  <c r="L10561"/>
  <c r="L10566"/>
  <c r="L10587"/>
  <c r="E10684" s="1"/>
  <c r="L10592"/>
  <c r="L10846"/>
  <c r="L10854"/>
  <c r="K10570"/>
  <c r="L10616"/>
  <c r="E10692" s="1"/>
  <c r="L10630"/>
  <c r="E10696" s="1"/>
  <c r="L10639"/>
  <c r="L10741"/>
  <c r="L10809"/>
  <c r="L10830"/>
  <c r="L10839"/>
  <c r="L10581"/>
  <c r="E10683" s="1"/>
  <c r="L10546"/>
  <c r="N10731"/>
  <c r="N10742" s="1"/>
  <c r="L10748"/>
  <c r="N10748"/>
  <c r="N10760" s="1"/>
  <c r="L10769"/>
  <c r="L10787"/>
  <c r="L10817"/>
  <c r="L10821" s="1"/>
  <c r="E10879" s="1"/>
  <c r="L10723"/>
  <c r="L10826"/>
  <c r="L10780" l="1"/>
  <c r="E10877" s="1"/>
  <c r="L10760"/>
  <c r="E10874" s="1"/>
  <c r="L10810"/>
  <c r="E10878" s="1"/>
  <c r="L10742"/>
  <c r="E10873" s="1"/>
  <c r="L10864"/>
  <c r="E10884" s="1"/>
  <c r="L10570"/>
  <c r="E10681" s="1"/>
  <c r="L10851"/>
  <c r="E10883" s="1"/>
  <c r="L10831"/>
  <c r="E10880" s="1"/>
  <c r="E10687"/>
  <c r="N10867"/>
  <c r="L10675" l="1"/>
  <c r="E10887"/>
  <c r="L10867"/>
  <c r="E10699"/>
  <c r="R10468"/>
  <c r="R10467"/>
  <c r="Q10469"/>
  <c r="R10469" s="1"/>
  <c r="R10472" l="1"/>
  <c r="Q10472"/>
  <c r="K10504" l="1"/>
  <c r="L10449"/>
  <c r="L10448"/>
  <c r="L10450" l="1"/>
  <c r="E10515" s="1"/>
  <c r="L10454"/>
  <c r="L10455" s="1"/>
  <c r="L10503" l="1"/>
  <c r="L10502"/>
  <c r="L10501"/>
  <c r="L10500"/>
  <c r="L10499"/>
  <c r="L10498"/>
  <c r="L10495"/>
  <c r="L10496" s="1"/>
  <c r="L10489"/>
  <c r="L10488"/>
  <c r="L10487"/>
  <c r="L10486"/>
  <c r="L10485"/>
  <c r="L10482"/>
  <c r="L10481"/>
  <c r="L10477"/>
  <c r="L10476"/>
  <c r="K10472"/>
  <c r="L10471"/>
  <c r="L10461"/>
  <c r="E10516"/>
  <c r="K10450"/>
  <c r="L10490" l="1"/>
  <c r="L10478"/>
  <c r="L10483"/>
  <c r="L10504"/>
  <c r="L10505" s="1"/>
  <c r="N10471"/>
  <c r="N10470"/>
  <c r="N10468"/>
  <c r="N10467"/>
  <c r="N10466"/>
  <c r="N10465"/>
  <c r="N10464"/>
  <c r="N10463"/>
  <c r="N10462"/>
  <c r="N10461"/>
  <c r="M10469"/>
  <c r="N10469" s="1"/>
  <c r="K10478"/>
  <c r="L10491" l="1"/>
  <c r="E10517"/>
  <c r="E10521" s="1"/>
  <c r="N10472"/>
  <c r="N10473" s="1"/>
  <c r="M10472"/>
  <c r="L10470" l="1"/>
  <c r="L10469"/>
  <c r="L10468"/>
  <c r="L10467"/>
  <c r="L10466"/>
  <c r="L10465"/>
  <c r="L10464"/>
  <c r="L10463"/>
  <c r="L10462"/>
  <c r="K10458"/>
  <c r="L10458" s="1"/>
  <c r="L10459" s="1"/>
  <c r="K10490"/>
  <c r="L10472" l="1"/>
  <c r="L10473" s="1"/>
  <c r="K10459"/>
  <c r="K10473" s="1"/>
  <c r="K10483"/>
  <c r="K10496"/>
  <c r="N10450" l="1"/>
  <c r="M10450"/>
  <c r="N10455"/>
  <c r="M10455"/>
  <c r="N10478"/>
  <c r="M10478"/>
  <c r="K10455"/>
  <c r="K10392" l="1"/>
  <c r="L10391"/>
  <c r="L10392" s="1"/>
  <c r="L10509" l="1"/>
  <c r="N10362"/>
  <c r="L10361"/>
  <c r="K10362"/>
  <c r="L10362" s="1"/>
  <c r="K10363" l="1"/>
  <c r="E10422" l="1"/>
  <c r="E9170" l="1"/>
  <c r="K10399" l="1"/>
  <c r="K10398"/>
  <c r="K10397"/>
  <c r="K10396" l="1"/>
  <c r="K10408"/>
  <c r="L10407"/>
  <c r="L10406"/>
  <c r="L10405"/>
  <c r="L10404"/>
  <c r="L10403"/>
  <c r="L10402"/>
  <c r="K10400"/>
  <c r="L10399"/>
  <c r="L10398"/>
  <c r="L10397"/>
  <c r="L10396"/>
  <c r="L10408" l="1"/>
  <c r="E10423" s="1"/>
  <c r="L10400"/>
  <c r="N10361" l="1"/>
  <c r="N10360"/>
  <c r="N10359"/>
  <c r="N10388"/>
  <c r="M10388"/>
  <c r="K10373"/>
  <c r="L10366"/>
  <c r="L10365"/>
  <c r="L10360"/>
  <c r="L10359"/>
  <c r="M10363"/>
  <c r="M10374" s="1"/>
  <c r="K10387"/>
  <c r="L10386"/>
  <c r="L10387" s="1"/>
  <c r="L10372"/>
  <c r="L10371"/>
  <c r="L10370"/>
  <c r="L10369"/>
  <c r="K10384"/>
  <c r="L10383"/>
  <c r="L10384" s="1"/>
  <c r="K10367"/>
  <c r="K10374" s="1"/>
  <c r="K10381"/>
  <c r="L10380"/>
  <c r="L10381" s="1"/>
  <c r="K10378"/>
  <c r="L10377"/>
  <c r="L10378" s="1"/>
  <c r="L10367" l="1"/>
  <c r="K10388"/>
  <c r="L10373"/>
  <c r="N10363"/>
  <c r="N10374" s="1"/>
  <c r="N10412" s="1"/>
  <c r="L10363"/>
  <c r="L10374" s="1"/>
  <c r="E10418" s="1"/>
  <c r="L10388"/>
  <c r="E10419" s="1"/>
  <c r="E10426" l="1"/>
  <c r="L10412"/>
  <c r="R10017" l="1"/>
  <c r="R9911"/>
  <c r="Q9912"/>
  <c r="R9912" s="1"/>
  <c r="R10047"/>
  <c r="R10043"/>
  <c r="R10042"/>
  <c r="Q10039"/>
  <c r="R10037"/>
  <c r="R10039" s="1"/>
  <c r="R10030"/>
  <c r="R10029"/>
  <c r="R10026"/>
  <c r="R10025"/>
  <c r="R10023"/>
  <c r="R10022"/>
  <c r="R10021"/>
  <c r="R10020"/>
  <c r="Q10024"/>
  <c r="R10024" s="1"/>
  <c r="Q10048"/>
  <c r="R10048" s="1"/>
  <c r="Q10016"/>
  <c r="R10016" s="1"/>
  <c r="Q10041"/>
  <c r="Q10032"/>
  <c r="R10032" s="1"/>
  <c r="Q10014"/>
  <c r="R10014" s="1"/>
  <c r="Q10044"/>
  <c r="R10044" s="1"/>
  <c r="Q10015"/>
  <c r="R10015" s="1"/>
  <c r="Q10013"/>
  <c r="Q10046"/>
  <c r="R10046" s="1"/>
  <c r="Q10045"/>
  <c r="R10045" s="1"/>
  <c r="Q10031"/>
  <c r="Q10027"/>
  <c r="Q10055"/>
  <c r="R10055"/>
  <c r="Q10033" l="1"/>
  <c r="Q10018"/>
  <c r="R9913"/>
  <c r="Q10049"/>
  <c r="R10041"/>
  <c r="R10049" s="1"/>
  <c r="R10013"/>
  <c r="R10018" s="1"/>
  <c r="R10027"/>
  <c r="R10031"/>
  <c r="R10033" s="1"/>
  <c r="Q9913"/>
  <c r="S10270"/>
  <c r="M10260"/>
  <c r="M10262" s="1"/>
  <c r="M10256"/>
  <c r="M10257"/>
  <c r="N10257" s="1"/>
  <c r="R10261"/>
  <c r="S10261" s="1"/>
  <c r="R10260"/>
  <c r="R10257"/>
  <c r="R10256"/>
  <c r="S10240"/>
  <c r="S10238"/>
  <c r="R10239"/>
  <c r="R10241" s="1"/>
  <c r="S10151"/>
  <c r="S10141"/>
  <c r="S10140"/>
  <c r="S10217"/>
  <c r="R10224"/>
  <c r="R10225" s="1"/>
  <c r="R10219"/>
  <c r="S10212"/>
  <c r="S10209"/>
  <c r="S10208"/>
  <c r="R10213"/>
  <c r="R10210"/>
  <c r="S10203"/>
  <c r="S10198"/>
  <c r="S10190"/>
  <c r="S10189"/>
  <c r="S10186"/>
  <c r="S10182"/>
  <c r="M10191"/>
  <c r="S10191" s="1"/>
  <c r="R10199"/>
  <c r="R10193"/>
  <c r="R10185"/>
  <c r="S10185" s="1"/>
  <c r="S10167"/>
  <c r="S10163"/>
  <c r="S10161"/>
  <c r="N10156"/>
  <c r="L10155"/>
  <c r="L10154"/>
  <c r="M10156"/>
  <c r="N10151"/>
  <c r="N10152" s="1"/>
  <c r="N10141"/>
  <c r="N10140"/>
  <c r="R10168"/>
  <c r="R10162"/>
  <c r="S10162" s="1"/>
  <c r="R10160"/>
  <c r="M10152"/>
  <c r="L10156" l="1"/>
  <c r="S10257"/>
  <c r="R10258"/>
  <c r="R10262"/>
  <c r="S10262" s="1"/>
  <c r="M10258"/>
  <c r="M10263" s="1"/>
  <c r="R10164"/>
  <c r="R10177" s="1"/>
  <c r="R10187"/>
  <c r="R10203" s="1"/>
  <c r="R10226"/>
  <c r="N10256"/>
  <c r="N10258" s="1"/>
  <c r="S10224"/>
  <c r="R10050"/>
  <c r="S10160"/>
  <c r="R10214"/>
  <c r="S10256"/>
  <c r="S10260"/>
  <c r="R10263" l="1"/>
  <c r="N10163"/>
  <c r="N10162"/>
  <c r="N10161"/>
  <c r="N10160"/>
  <c r="K10164"/>
  <c r="N10146"/>
  <c r="N10157" s="1"/>
  <c r="M10146"/>
  <c r="M10157" s="1"/>
  <c r="N10164" l="1"/>
  <c r="N10261"/>
  <c r="N10260"/>
  <c r="N10198"/>
  <c r="N10199" s="1"/>
  <c r="M10199"/>
  <c r="L10175"/>
  <c r="L10176" s="1"/>
  <c r="L10099"/>
  <c r="L10098"/>
  <c r="K10100"/>
  <c r="L10100" l="1"/>
  <c r="L10101" s="1"/>
  <c r="E10313" s="1"/>
  <c r="N10262"/>
  <c r="N10263" s="1"/>
  <c r="N10112"/>
  <c r="M10112"/>
  <c r="N10270"/>
  <c r="N10271" s="1"/>
  <c r="N10272" s="1"/>
  <c r="N10240"/>
  <c r="N10238"/>
  <c r="N10224"/>
  <c r="N10225" s="1"/>
  <c r="N10218"/>
  <c r="N10217"/>
  <c r="M10213"/>
  <c r="S10213" s="1"/>
  <c r="N10212"/>
  <c r="N10213" s="1"/>
  <c r="M10210"/>
  <c r="N10209"/>
  <c r="N10208"/>
  <c r="N10192"/>
  <c r="N10191"/>
  <c r="M10193"/>
  <c r="N10190"/>
  <c r="N10189"/>
  <c r="N10186"/>
  <c r="N10185"/>
  <c r="N10184"/>
  <c r="N10183"/>
  <c r="N10182"/>
  <c r="N10181"/>
  <c r="N10180"/>
  <c r="N10167"/>
  <c r="N10166"/>
  <c r="N10099"/>
  <c r="N10098"/>
  <c r="M10239"/>
  <c r="S10239" s="1"/>
  <c r="M10219"/>
  <c r="M10225"/>
  <c r="K10101"/>
  <c r="M10100"/>
  <c r="M10101" s="1"/>
  <c r="M10187"/>
  <c r="M10164"/>
  <c r="M10168"/>
  <c r="N10061"/>
  <c r="N10060"/>
  <c r="N10059"/>
  <c r="N10058"/>
  <c r="N10057"/>
  <c r="M10062"/>
  <c r="M10068" s="1"/>
  <c r="M10271"/>
  <c r="M10272" s="1"/>
  <c r="L10235"/>
  <c r="L10236" s="1"/>
  <c r="N10168" l="1"/>
  <c r="N10177" s="1"/>
  <c r="M10241"/>
  <c r="S10241" s="1"/>
  <c r="N10100"/>
  <c r="N10101" s="1"/>
  <c r="N10210"/>
  <c r="N10214" s="1"/>
  <c r="N10193"/>
  <c r="N10062"/>
  <c r="N10068" s="1"/>
  <c r="M10214"/>
  <c r="S10214" s="1"/>
  <c r="N10239"/>
  <c r="N10241" s="1"/>
  <c r="N10250" s="1"/>
  <c r="M10226"/>
  <c r="M10203"/>
  <c r="N10187"/>
  <c r="M10177"/>
  <c r="N10219"/>
  <c r="N10226" s="1"/>
  <c r="M10250" l="1"/>
  <c r="N10203"/>
  <c r="N10301" s="1"/>
  <c r="N10298"/>
  <c r="L10093" l="1"/>
  <c r="L10094" s="1"/>
  <c r="K10049" l="1"/>
  <c r="T9726" l="1"/>
  <c r="T9725"/>
  <c r="T9723"/>
  <c r="T9722"/>
  <c r="T9721"/>
  <c r="T9720"/>
  <c r="S9727"/>
  <c r="T9727" s="1"/>
  <c r="S9724"/>
  <c r="T9724" s="1"/>
  <c r="R9727"/>
  <c r="R9726"/>
  <c r="R9723"/>
  <c r="R9721"/>
  <c r="R9720"/>
  <c r="Q9722"/>
  <c r="R9722" s="1"/>
  <c r="Q9797"/>
  <c r="Q9793"/>
  <c r="R9791"/>
  <c r="R9790"/>
  <c r="R9796"/>
  <c r="R9795"/>
  <c r="R9799"/>
  <c r="Q9800"/>
  <c r="R9800" s="1"/>
  <c r="Q9806"/>
  <c r="Q9808" s="1"/>
  <c r="R9801" l="1"/>
  <c r="R9797"/>
  <c r="Q9728"/>
  <c r="R9728"/>
  <c r="R9806"/>
  <c r="R9808" s="1"/>
  <c r="Q9801"/>
  <c r="Q9809" s="1"/>
  <c r="R9793"/>
  <c r="T9728"/>
  <c r="S9728"/>
  <c r="Q9856"/>
  <c r="R9856" s="1"/>
  <c r="Q9861"/>
  <c r="R9861" s="1"/>
  <c r="Q9855"/>
  <c r="R9855" s="1"/>
  <c r="R9862"/>
  <c r="R9860"/>
  <c r="R9857"/>
  <c r="R9881"/>
  <c r="R9880"/>
  <c r="R9878"/>
  <c r="R9875"/>
  <c r="R9874"/>
  <c r="Q9879"/>
  <c r="R9879" s="1"/>
  <c r="Q9876"/>
  <c r="Q9858" l="1"/>
  <c r="Q9863"/>
  <c r="R9809"/>
  <c r="R9876"/>
  <c r="Q9882"/>
  <c r="Q9883" s="1"/>
  <c r="R9882"/>
  <c r="R9863"/>
  <c r="R9858"/>
  <c r="R9883" l="1"/>
  <c r="K10125"/>
  <c r="K10119"/>
  <c r="K10117"/>
  <c r="K10116"/>
  <c r="K10115"/>
  <c r="K10031"/>
  <c r="K10032"/>
  <c r="K10033" l="1"/>
  <c r="K10144" l="1"/>
  <c r="L10144" s="1"/>
  <c r="K10145"/>
  <c r="L10145" s="1"/>
  <c r="K10140"/>
  <c r="L10140" s="1"/>
  <c r="K10141"/>
  <c r="L10141" s="1"/>
  <c r="L10143"/>
  <c r="L10142"/>
  <c r="K10295"/>
  <c r="L10294"/>
  <c r="L10295" s="1"/>
  <c r="K10285"/>
  <c r="L10284"/>
  <c r="L10285" s="1"/>
  <c r="K10292"/>
  <c r="L10291"/>
  <c r="K10282"/>
  <c r="L10281"/>
  <c r="L10282" s="1"/>
  <c r="K10289"/>
  <c r="L10288"/>
  <c r="L10289" s="1"/>
  <c r="K10278"/>
  <c r="L10277"/>
  <c r="L10278" s="1"/>
  <c r="K10094"/>
  <c r="K10249"/>
  <c r="L10248"/>
  <c r="L10249" s="1"/>
  <c r="K10225"/>
  <c r="L10224"/>
  <c r="L10225" s="1"/>
  <c r="K10111"/>
  <c r="L10110"/>
  <c r="L10109"/>
  <c r="K10136"/>
  <c r="L10135"/>
  <c r="L10134"/>
  <c r="K10084"/>
  <c r="L10083"/>
  <c r="L10084" s="1"/>
  <c r="K10067"/>
  <c r="L10066"/>
  <c r="L10065"/>
  <c r="L10064"/>
  <c r="L10048"/>
  <c r="L10047"/>
  <c r="L10046"/>
  <c r="L10045"/>
  <c r="L10044"/>
  <c r="L10043"/>
  <c r="L10042"/>
  <c r="L10041"/>
  <c r="K10202"/>
  <c r="L10201"/>
  <c r="L10202" s="1"/>
  <c r="K10176"/>
  <c r="K10156"/>
  <c r="K10213"/>
  <c r="L10212"/>
  <c r="L10213" s="1"/>
  <c r="K10210"/>
  <c r="L10209"/>
  <c r="L10208"/>
  <c r="L10207"/>
  <c r="K10199"/>
  <c r="L10198"/>
  <c r="L10197"/>
  <c r="L10196"/>
  <c r="L10195"/>
  <c r="K10173"/>
  <c r="L10172"/>
  <c r="L10171"/>
  <c r="L10170"/>
  <c r="K10152"/>
  <c r="L10151"/>
  <c r="L10152" s="1"/>
  <c r="K10149"/>
  <c r="L10148"/>
  <c r="L10149" s="1"/>
  <c r="K10246"/>
  <c r="L10245"/>
  <c r="L10244"/>
  <c r="L10243"/>
  <c r="K10262"/>
  <c r="L10261"/>
  <c r="L10260"/>
  <c r="K10271"/>
  <c r="L10270"/>
  <c r="L10271" s="1"/>
  <c r="K10222"/>
  <c r="L10221"/>
  <c r="L10222" s="1"/>
  <c r="K10241"/>
  <c r="L10240"/>
  <c r="L10239"/>
  <c r="L10238"/>
  <c r="K10258"/>
  <c r="L10257"/>
  <c r="L10256"/>
  <c r="K10219"/>
  <c r="L10218"/>
  <c r="L10217"/>
  <c r="K10132"/>
  <c r="L10131"/>
  <c r="L10130"/>
  <c r="K10039"/>
  <c r="L10038"/>
  <c r="L10037"/>
  <c r="L10036"/>
  <c r="L10035"/>
  <c r="K10193"/>
  <c r="L10192"/>
  <c r="L10191"/>
  <c r="L10190"/>
  <c r="L10189"/>
  <c r="K10168"/>
  <c r="L10167"/>
  <c r="L10166"/>
  <c r="K10233"/>
  <c r="L10232"/>
  <c r="L10233" s="1"/>
  <c r="K10107"/>
  <c r="L10106"/>
  <c r="L10105"/>
  <c r="L10104"/>
  <c r="K10128"/>
  <c r="L10127"/>
  <c r="L10126"/>
  <c r="L10125"/>
  <c r="K10081"/>
  <c r="L10080"/>
  <c r="L10079"/>
  <c r="K10062"/>
  <c r="L10061"/>
  <c r="L10060"/>
  <c r="L10059"/>
  <c r="L10058"/>
  <c r="L10057"/>
  <c r="L10032"/>
  <c r="L10031"/>
  <c r="L10030"/>
  <c r="L10029"/>
  <c r="K10091"/>
  <c r="L10090"/>
  <c r="L10091" s="1"/>
  <c r="L10292" l="1"/>
  <c r="L10262"/>
  <c r="L10067"/>
  <c r="L10199"/>
  <c r="K10214"/>
  <c r="K10177"/>
  <c r="K10112"/>
  <c r="K10226"/>
  <c r="L10296"/>
  <c r="L10033"/>
  <c r="L10049"/>
  <c r="L10286"/>
  <c r="L10173"/>
  <c r="L10146"/>
  <c r="L10157" s="1"/>
  <c r="E10317" s="1"/>
  <c r="K10146"/>
  <c r="K10157" s="1"/>
  <c r="L10111"/>
  <c r="L10128"/>
  <c r="L10193"/>
  <c r="L10132"/>
  <c r="L10219"/>
  <c r="L10226" s="1"/>
  <c r="E10322" s="1"/>
  <c r="L10258"/>
  <c r="L10246"/>
  <c r="L10136"/>
  <c r="L10107"/>
  <c r="L10062"/>
  <c r="L10081"/>
  <c r="L10168"/>
  <c r="L10039"/>
  <c r="L10241"/>
  <c r="L10210"/>
  <c r="L10214" s="1"/>
  <c r="E10320" s="1"/>
  <c r="K10187"/>
  <c r="K10203" s="1"/>
  <c r="L10186"/>
  <c r="L10185"/>
  <c r="L10184"/>
  <c r="L10183"/>
  <c r="L10182"/>
  <c r="L10181"/>
  <c r="L10180"/>
  <c r="L10163"/>
  <c r="L10162"/>
  <c r="L10161"/>
  <c r="L10160"/>
  <c r="K10230"/>
  <c r="L10229"/>
  <c r="L10230" s="1"/>
  <c r="K10123"/>
  <c r="L10122"/>
  <c r="L10123" s="1"/>
  <c r="K10077"/>
  <c r="L10076"/>
  <c r="L10077" s="1"/>
  <c r="K10088"/>
  <c r="L10087"/>
  <c r="L10088" s="1"/>
  <c r="K10236"/>
  <c r="K10268"/>
  <c r="L10267"/>
  <c r="L10266"/>
  <c r="K10120"/>
  <c r="L10119"/>
  <c r="L10118"/>
  <c r="L10117"/>
  <c r="L10116"/>
  <c r="L10115"/>
  <c r="L10114"/>
  <c r="K10074"/>
  <c r="L10073"/>
  <c r="L10072"/>
  <c r="L10071"/>
  <c r="L10070"/>
  <c r="K10055"/>
  <c r="K10068" s="1"/>
  <c r="L10054"/>
  <c r="L10053"/>
  <c r="L10052"/>
  <c r="K10027"/>
  <c r="L10026"/>
  <c r="L10025"/>
  <c r="L10024"/>
  <c r="L10023"/>
  <c r="L10022"/>
  <c r="L10021"/>
  <c r="L10020"/>
  <c r="L10250" l="1"/>
  <c r="E10323" s="1"/>
  <c r="K10250"/>
  <c r="L10095"/>
  <c r="E10311" s="1"/>
  <c r="L10112"/>
  <c r="E10314" s="1"/>
  <c r="L10027"/>
  <c r="L10055"/>
  <c r="L10074"/>
  <c r="L10085" s="1"/>
  <c r="E10310" s="1"/>
  <c r="L10120"/>
  <c r="L10187"/>
  <c r="L10203" s="1"/>
  <c r="E10319" s="1"/>
  <c r="L10268"/>
  <c r="L10272" s="1"/>
  <c r="E10325" s="1"/>
  <c r="L10164"/>
  <c r="L10177" s="1"/>
  <c r="E10318" s="1"/>
  <c r="K10018"/>
  <c r="L10017"/>
  <c r="L10016"/>
  <c r="L10015"/>
  <c r="L10014"/>
  <c r="L10013"/>
  <c r="K10254"/>
  <c r="K10263" s="1"/>
  <c r="L10253"/>
  <c r="L10068" l="1"/>
  <c r="E10309" s="1"/>
  <c r="L10137"/>
  <c r="E10315" s="1"/>
  <c r="L10254"/>
  <c r="L10263" s="1"/>
  <c r="E10324" s="1"/>
  <c r="L10018"/>
  <c r="K9808"/>
  <c r="L10298" l="1"/>
  <c r="E10335"/>
  <c r="L10050"/>
  <c r="L9807"/>
  <c r="L9806"/>
  <c r="L10301" l="1"/>
  <c r="L9808"/>
  <c r="L9668"/>
  <c r="L9669" s="1"/>
  <c r="L9440"/>
  <c r="L9439"/>
  <c r="L9441" l="1"/>
  <c r="E9530" s="1"/>
  <c r="L9836"/>
  <c r="L9837" s="1"/>
  <c r="R9249" l="1"/>
  <c r="R9250" s="1"/>
  <c r="R9246"/>
  <c r="R9247" s="1"/>
  <c r="Q9247"/>
  <c r="Q9250"/>
  <c r="N9939" l="1"/>
  <c r="N9940" s="1"/>
  <c r="M9940"/>
  <c r="K9940"/>
  <c r="L9939"/>
  <c r="L9940" s="1"/>
  <c r="K9882" l="1"/>
  <c r="L9869"/>
  <c r="L9870" s="1"/>
  <c r="L9866"/>
  <c r="L9865"/>
  <c r="K9851"/>
  <c r="K9837"/>
  <c r="L9867" l="1"/>
  <c r="L9932"/>
  <c r="L9933" s="1"/>
  <c r="K9831"/>
  <c r="L9830"/>
  <c r="L9831" s="1"/>
  <c r="K9801"/>
  <c r="L9800"/>
  <c r="L9799"/>
  <c r="L9801" l="1"/>
  <c r="L9897" l="1"/>
  <c r="L9898" s="1"/>
  <c r="L9699"/>
  <c r="L9700" s="1"/>
  <c r="K9700" l="1"/>
  <c r="K9658" l="1"/>
  <c r="N9065" l="1"/>
  <c r="N9064"/>
  <c r="S9067"/>
  <c r="R9067"/>
  <c r="S9062"/>
  <c r="R9060"/>
  <c r="R9061"/>
  <c r="T9399"/>
  <c r="T9398"/>
  <c r="S9395"/>
  <c r="S9400"/>
  <c r="S9475"/>
  <c r="S9476" s="1"/>
  <c r="R9476"/>
  <c r="U9135"/>
  <c r="T9135"/>
  <c r="U9132"/>
  <c r="T9131"/>
  <c r="T9132" s="1"/>
  <c r="L9043"/>
  <c r="L9046"/>
  <c r="L9047" s="1"/>
  <c r="K9672"/>
  <c r="L9671"/>
  <c r="L9672" s="1"/>
  <c r="L9656"/>
  <c r="L9657"/>
  <c r="L9655"/>
  <c r="K9669"/>
  <c r="L9665"/>
  <c r="L9666" s="1"/>
  <c r="K9666"/>
  <c r="K9663"/>
  <c r="L9662"/>
  <c r="L9663" s="1"/>
  <c r="L9652"/>
  <c r="L9651"/>
  <c r="K9653"/>
  <c r="K9649"/>
  <c r="L9648"/>
  <c r="L9647"/>
  <c r="L9733"/>
  <c r="L9732"/>
  <c r="K9734"/>
  <c r="K9728"/>
  <c r="M9513"/>
  <c r="K9513"/>
  <c r="N9512"/>
  <c r="N9513" s="1"/>
  <c r="N9517" s="1"/>
  <c r="L9512"/>
  <c r="L9513" s="1"/>
  <c r="K9508"/>
  <c r="L9507"/>
  <c r="L9508" s="1"/>
  <c r="K9505"/>
  <c r="L9504"/>
  <c r="L9505" s="1"/>
  <c r="K9502"/>
  <c r="L9501"/>
  <c r="L9502" s="1"/>
  <c r="K9499"/>
  <c r="L9498"/>
  <c r="L9497"/>
  <c r="K9493"/>
  <c r="L9492"/>
  <c r="L9491"/>
  <c r="K9489"/>
  <c r="L9488"/>
  <c r="L9489" s="1"/>
  <c r="K9486"/>
  <c r="L9485"/>
  <c r="L9486" s="1"/>
  <c r="K9483"/>
  <c r="L9482"/>
  <c r="L9481"/>
  <c r="L9480"/>
  <c r="K9476"/>
  <c r="L9475"/>
  <c r="L9476" s="1"/>
  <c r="K9473"/>
  <c r="L9472"/>
  <c r="L9471"/>
  <c r="K9467"/>
  <c r="L9466"/>
  <c r="L9465"/>
  <c r="L9464"/>
  <c r="K9460"/>
  <c r="L9459"/>
  <c r="L9460" s="1"/>
  <c r="K9457"/>
  <c r="K9461" s="1"/>
  <c r="L9456"/>
  <c r="L9457" s="1"/>
  <c r="K9452"/>
  <c r="L9451"/>
  <c r="L9452" s="1"/>
  <c r="K9449"/>
  <c r="L9448"/>
  <c r="L9449" s="1"/>
  <c r="K9446"/>
  <c r="K9453" s="1"/>
  <c r="L9445"/>
  <c r="L9444"/>
  <c r="K9441"/>
  <c r="Q9436"/>
  <c r="K9436"/>
  <c r="R9435"/>
  <c r="L9435"/>
  <c r="R9434"/>
  <c r="L9434"/>
  <c r="R9433"/>
  <c r="L9433"/>
  <c r="K9430"/>
  <c r="L9429"/>
  <c r="L9430" s="1"/>
  <c r="K9427"/>
  <c r="L9426"/>
  <c r="L9425"/>
  <c r="K9423"/>
  <c r="L9422"/>
  <c r="L9421"/>
  <c r="L9420"/>
  <c r="L9419"/>
  <c r="K9415"/>
  <c r="L9414"/>
  <c r="L9415" s="1"/>
  <c r="E9525" s="1"/>
  <c r="K9410"/>
  <c r="R9409"/>
  <c r="L9409"/>
  <c r="R9408"/>
  <c r="L9408"/>
  <c r="Q9407"/>
  <c r="Q9410" s="1"/>
  <c r="L9407"/>
  <c r="K9403"/>
  <c r="L9402"/>
  <c r="L9403" s="1"/>
  <c r="K9400"/>
  <c r="L9399"/>
  <c r="L9398"/>
  <c r="K9396"/>
  <c r="Q9395"/>
  <c r="R9395" s="1"/>
  <c r="L9395"/>
  <c r="Q9394"/>
  <c r="R9394" s="1"/>
  <c r="L9394"/>
  <c r="K9509" l="1"/>
  <c r="L9410"/>
  <c r="E9524" s="1"/>
  <c r="R9436"/>
  <c r="K9477"/>
  <c r="L9436"/>
  <c r="E9529" s="1"/>
  <c r="K9659"/>
  <c r="L9658"/>
  <c r="T9400"/>
  <c r="R9062"/>
  <c r="S9396"/>
  <c r="S9404" s="1"/>
  <c r="T9395"/>
  <c r="K9673"/>
  <c r="L9673"/>
  <c r="E9754" s="1"/>
  <c r="L9649"/>
  <c r="L9734"/>
  <c r="E9764" s="1"/>
  <c r="L9653"/>
  <c r="L9400"/>
  <c r="L9423"/>
  <c r="K9431"/>
  <c r="L9467"/>
  <c r="E9533" s="1"/>
  <c r="L9473"/>
  <c r="K9494"/>
  <c r="L9499"/>
  <c r="L9509" s="1"/>
  <c r="Q9396"/>
  <c r="Q9404" s="1"/>
  <c r="K9404"/>
  <c r="L9427"/>
  <c r="L9493"/>
  <c r="L9396"/>
  <c r="R9396"/>
  <c r="R9404" s="1"/>
  <c r="R9407"/>
  <c r="R9410" s="1"/>
  <c r="L9446"/>
  <c r="L9453" s="1"/>
  <c r="L9461"/>
  <c r="E9532" s="1"/>
  <c r="L9477"/>
  <c r="E9534" s="1"/>
  <c r="L9483"/>
  <c r="E9531" l="1"/>
  <c r="L9404"/>
  <c r="E9523" s="1"/>
  <c r="L9659"/>
  <c r="E9753" s="1"/>
  <c r="T9396"/>
  <c r="T9404" s="1"/>
  <c r="L9494"/>
  <c r="E9535" s="1"/>
  <c r="L9431"/>
  <c r="E9528" s="1"/>
  <c r="K9863"/>
  <c r="L9827"/>
  <c r="L9828" s="1"/>
  <c r="L9905"/>
  <c r="L9904"/>
  <c r="L9903"/>
  <c r="L9902"/>
  <c r="N9960"/>
  <c r="N9961" s="1"/>
  <c r="N9929"/>
  <c r="N9928"/>
  <c r="N9956"/>
  <c r="N9957" s="1"/>
  <c r="N9952"/>
  <c r="N9953" s="1"/>
  <c r="N9949"/>
  <c r="N9950" s="1"/>
  <c r="N9945"/>
  <c r="N9946" s="1"/>
  <c r="N9883"/>
  <c r="M9883"/>
  <c r="N9942"/>
  <c r="N9943" s="1"/>
  <c r="M9930"/>
  <c r="M9934" s="1"/>
  <c r="M9957"/>
  <c r="K9920"/>
  <c r="L9919"/>
  <c r="L9920" s="1"/>
  <c r="M9943"/>
  <c r="M9961"/>
  <c r="M9953"/>
  <c r="M9950"/>
  <c r="M9946"/>
  <c r="E9539" l="1"/>
  <c r="L9517"/>
  <c r="L9906"/>
  <c r="E9981" s="1"/>
  <c r="N9930"/>
  <c r="N9934" s="1"/>
  <c r="N9966" l="1"/>
  <c r="L9945"/>
  <c r="L9946" s="1"/>
  <c r="L9727"/>
  <c r="L9726"/>
  <c r="L9725"/>
  <c r="L9724"/>
  <c r="L9723"/>
  <c r="L9722"/>
  <c r="L9721"/>
  <c r="L9720"/>
  <c r="L9728" l="1"/>
  <c r="E9763" s="1"/>
  <c r="L9614"/>
  <c r="L9613"/>
  <c r="L9612"/>
  <c r="L9611"/>
  <c r="L9610"/>
  <c r="L9609"/>
  <c r="K9615"/>
  <c r="L9618"/>
  <c r="L9617"/>
  <c r="K9619"/>
  <c r="L9619" l="1"/>
  <c r="L9615"/>
  <c r="K9933" l="1"/>
  <c r="L9942"/>
  <c r="K9895"/>
  <c r="L9894"/>
  <c r="L9895" s="1"/>
  <c r="K9825"/>
  <c r="L9824"/>
  <c r="L9825" s="1"/>
  <c r="K9892" l="1"/>
  <c r="L9891"/>
  <c r="K9822"/>
  <c r="L9821"/>
  <c r="L9820"/>
  <c r="K9870"/>
  <c r="K9867"/>
  <c r="K9804"/>
  <c r="L9803"/>
  <c r="L9804" s="1"/>
  <c r="K9834"/>
  <c r="L9833"/>
  <c r="L9834" s="1"/>
  <c r="L9892" l="1"/>
  <c r="L9822"/>
  <c r="K9917"/>
  <c r="L9916"/>
  <c r="L9915"/>
  <c r="K9842"/>
  <c r="L9841"/>
  <c r="K9876"/>
  <c r="L9875"/>
  <c r="L9874"/>
  <c r="K9930"/>
  <c r="L9929"/>
  <c r="L9928"/>
  <c r="K9961"/>
  <c r="L9960"/>
  <c r="L9961" s="1"/>
  <c r="K9926"/>
  <c r="L9925"/>
  <c r="K9957"/>
  <c r="L9956"/>
  <c r="L9957" s="1"/>
  <c r="K9913"/>
  <c r="L9912"/>
  <c r="L9911"/>
  <c r="K9847"/>
  <c r="L9846"/>
  <c r="L9845"/>
  <c r="L9844"/>
  <c r="L9862"/>
  <c r="L9861"/>
  <c r="L9860"/>
  <c r="K9883"/>
  <c r="L9881"/>
  <c r="L9880"/>
  <c r="L9879"/>
  <c r="L9878"/>
  <c r="K9943"/>
  <c r="L9943"/>
  <c r="K9898"/>
  <c r="K9828"/>
  <c r="K9797"/>
  <c r="L9796"/>
  <c r="L9795"/>
  <c r="L9888"/>
  <c r="L9887"/>
  <c r="K9906"/>
  <c r="K9889"/>
  <c r="K9953"/>
  <c r="L9952"/>
  <c r="L9953" s="1"/>
  <c r="K9818"/>
  <c r="L9817"/>
  <c r="L9816"/>
  <c r="K9950"/>
  <c r="L9949"/>
  <c r="L9950" s="1"/>
  <c r="K9946"/>
  <c r="K9793"/>
  <c r="L9792"/>
  <c r="L9791"/>
  <c r="L9790"/>
  <c r="L9850"/>
  <c r="L9849"/>
  <c r="K9858"/>
  <c r="K9871" s="1"/>
  <c r="L9857"/>
  <c r="L9856"/>
  <c r="L9855"/>
  <c r="K9838" l="1"/>
  <c r="K9809"/>
  <c r="K9934"/>
  <c r="K9852"/>
  <c r="L9851"/>
  <c r="L9818"/>
  <c r="L9838" s="1"/>
  <c r="E9973" s="1"/>
  <c r="L9882"/>
  <c r="K9921"/>
  <c r="K9899"/>
  <c r="L9863"/>
  <c r="L9797"/>
  <c r="L9926"/>
  <c r="L9842"/>
  <c r="L9876"/>
  <c r="L9793"/>
  <c r="L9889"/>
  <c r="L9899" s="1"/>
  <c r="E9980" s="1"/>
  <c r="L9847"/>
  <c r="L9917"/>
  <c r="L9858"/>
  <c r="L9913"/>
  <c r="L9930"/>
  <c r="N9728"/>
  <c r="M9728"/>
  <c r="N9717"/>
  <c r="M9717"/>
  <c r="N9711"/>
  <c r="M9711"/>
  <c r="N9685"/>
  <c r="N9684"/>
  <c r="N9683"/>
  <c r="N9682"/>
  <c r="N9644"/>
  <c r="M9644"/>
  <c r="N9631"/>
  <c r="M9631"/>
  <c r="N9620"/>
  <c r="M9620"/>
  <c r="M9686"/>
  <c r="M9701" s="1"/>
  <c r="L9716"/>
  <c r="L9715"/>
  <c r="L9714"/>
  <c r="K9717"/>
  <c r="L9809" l="1"/>
  <c r="E9972" s="1"/>
  <c r="L9934"/>
  <c r="E9986" s="1"/>
  <c r="L9852"/>
  <c r="E9975" s="1"/>
  <c r="L9883"/>
  <c r="E9977" s="1"/>
  <c r="L9871"/>
  <c r="E9976" s="1"/>
  <c r="L9921"/>
  <c r="E9983" s="1"/>
  <c r="M9740"/>
  <c r="N9686"/>
  <c r="N9701" s="1"/>
  <c r="N9740" s="1"/>
  <c r="L9717"/>
  <c r="E9762" s="1"/>
  <c r="E9352"/>
  <c r="N9341"/>
  <c r="N9340"/>
  <c r="N9339"/>
  <c r="N9335"/>
  <c r="N9334"/>
  <c r="N9333"/>
  <c r="M9336"/>
  <c r="M9342"/>
  <c r="K9342"/>
  <c r="L9341"/>
  <c r="L9340"/>
  <c r="L9339"/>
  <c r="K9336"/>
  <c r="L9334"/>
  <c r="L9335"/>
  <c r="L9333"/>
  <c r="L9298"/>
  <c r="L9299" s="1"/>
  <c r="L9318"/>
  <c r="L9319" s="1"/>
  <c r="K9319"/>
  <c r="K9316"/>
  <c r="L9315"/>
  <c r="L9314"/>
  <c r="K9299"/>
  <c r="L9327"/>
  <c r="L9328" s="1"/>
  <c r="N9274"/>
  <c r="N9275" s="1"/>
  <c r="N9268"/>
  <c r="N9267"/>
  <c r="N9210"/>
  <c r="N9211" s="1"/>
  <c r="L9210"/>
  <c r="L9211" s="1"/>
  <c r="N9205"/>
  <c r="N9329"/>
  <c r="M9329"/>
  <c r="N9320"/>
  <c r="M9320"/>
  <c r="N9295"/>
  <c r="N9296" s="1"/>
  <c r="N9254"/>
  <c r="M9254"/>
  <c r="N9238"/>
  <c r="N9237"/>
  <c r="N9207"/>
  <c r="L9295"/>
  <c r="L9296" s="1"/>
  <c r="K9296"/>
  <c r="M9296"/>
  <c r="M9300" s="1"/>
  <c r="M9265"/>
  <c r="N9265" s="1"/>
  <c r="M9275"/>
  <c r="K9275"/>
  <c r="L9274"/>
  <c r="L9275" s="1"/>
  <c r="M9239"/>
  <c r="M9243" s="1"/>
  <c r="L9271"/>
  <c r="L9272" s="1"/>
  <c r="N9272"/>
  <c r="M9272"/>
  <c r="M9266"/>
  <c r="N9227"/>
  <c r="N9228" s="1"/>
  <c r="N9224"/>
  <c r="M9220"/>
  <c r="M9228"/>
  <c r="K9228"/>
  <c r="L9227"/>
  <c r="L9228" s="1"/>
  <c r="E9990" l="1"/>
  <c r="L9966"/>
  <c r="N9239"/>
  <c r="N9243" s="1"/>
  <c r="M9269"/>
  <c r="M9276" s="1"/>
  <c r="L9342"/>
  <c r="E9367" s="1"/>
  <c r="N9342"/>
  <c r="N9336"/>
  <c r="L9336"/>
  <c r="N9300"/>
  <c r="L9316"/>
  <c r="N9266"/>
  <c r="N9269" l="1"/>
  <c r="N9276" s="1"/>
  <c r="N9208" l="1"/>
  <c r="N9212" s="1"/>
  <c r="M9208"/>
  <c r="M9211"/>
  <c r="N9225"/>
  <c r="M9225"/>
  <c r="K9211"/>
  <c r="K9225"/>
  <c r="L9224"/>
  <c r="L9225" s="1"/>
  <c r="M9212" l="1"/>
  <c r="N9221"/>
  <c r="N9220"/>
  <c r="N9219"/>
  <c r="M9222"/>
  <c r="M9229" s="1"/>
  <c r="M9346" s="1"/>
  <c r="N9222" l="1"/>
  <c r="N9229" s="1"/>
  <c r="N9346" s="1"/>
  <c r="L9642" l="1"/>
  <c r="L9643" s="1"/>
  <c r="K9630"/>
  <c r="L9629"/>
  <c r="L9628"/>
  <c r="L9627"/>
  <c r="L9626"/>
  <c r="K9624"/>
  <c r="L9623"/>
  <c r="L9624" s="1"/>
  <c r="K9631" l="1"/>
  <c r="L9630"/>
  <c r="L9631" s="1"/>
  <c r="E9748" s="1"/>
  <c r="K9643" l="1"/>
  <c r="K9607"/>
  <c r="K9620" s="1"/>
  <c r="L9606"/>
  <c r="L9605"/>
  <c r="L9604"/>
  <c r="L9603"/>
  <c r="K9640"/>
  <c r="L9639"/>
  <c r="L9638"/>
  <c r="L9637"/>
  <c r="L9636"/>
  <c r="L9635"/>
  <c r="L9634"/>
  <c r="K9710"/>
  <c r="L9709"/>
  <c r="L9708"/>
  <c r="K9697"/>
  <c r="L9696"/>
  <c r="L9697" s="1"/>
  <c r="K9694"/>
  <c r="L9693"/>
  <c r="L9692"/>
  <c r="L9691"/>
  <c r="L9690"/>
  <c r="L9689"/>
  <c r="L9688"/>
  <c r="K9706"/>
  <c r="K9711" s="1"/>
  <c r="L9705"/>
  <c r="L9704"/>
  <c r="K9686"/>
  <c r="L9685"/>
  <c r="L9684"/>
  <c r="L9683"/>
  <c r="L9682"/>
  <c r="K9679"/>
  <c r="L9678"/>
  <c r="L9677"/>
  <c r="L9676"/>
  <c r="K9701" l="1"/>
  <c r="L9710"/>
  <c r="K9644"/>
  <c r="K9740" s="1"/>
  <c r="L9686"/>
  <c r="L9694"/>
  <c r="L9679"/>
  <c r="E9757" s="1"/>
  <c r="L9607"/>
  <c r="L9620" s="1"/>
  <c r="E9746" s="1"/>
  <c r="L9640"/>
  <c r="L9644" s="1"/>
  <c r="E9750" s="1"/>
  <c r="L9706"/>
  <c r="AF9019"/>
  <c r="AF9018"/>
  <c r="AE9010"/>
  <c r="AG9010" s="1"/>
  <c r="AI9010" s="1"/>
  <c r="Y9012"/>
  <c r="AE9011"/>
  <c r="AF9011" s="1"/>
  <c r="AE9014"/>
  <c r="AG9014" s="1"/>
  <c r="AF9015"/>
  <c r="AG9008"/>
  <c r="AI9008" s="1"/>
  <c r="AF9013"/>
  <c r="AF9012"/>
  <c r="AF9010"/>
  <c r="Z9018"/>
  <c r="Z9017"/>
  <c r="Z9016"/>
  <c r="Z9015"/>
  <c r="Z9014"/>
  <c r="Z9013"/>
  <c r="Z9012"/>
  <c r="Z9011"/>
  <c r="Z9009"/>
  <c r="AE9020"/>
  <c r="AE9009"/>
  <c r="Y9010"/>
  <c r="Z9010" s="1"/>
  <c r="Z9027"/>
  <c r="Z9028" s="1"/>
  <c r="Y9028"/>
  <c r="Y9024"/>
  <c r="Z9024" s="1"/>
  <c r="Z9025" s="1"/>
  <c r="L9701" l="1"/>
  <c r="E9758" s="1"/>
  <c r="L9711"/>
  <c r="AF9020"/>
  <c r="Y9025"/>
  <c r="AF9014"/>
  <c r="AH9014"/>
  <c r="AI9014"/>
  <c r="AH9008"/>
  <c r="AE9016"/>
  <c r="AF9009"/>
  <c r="AH9010"/>
  <c r="E9759" l="1"/>
  <c r="E9768" s="1"/>
  <c r="L9740"/>
  <c r="AF9016"/>
  <c r="L9241" l="1"/>
  <c r="L9242" s="1"/>
  <c r="L9238"/>
  <c r="L9237"/>
  <c r="L9239" l="1"/>
  <c r="AD9015"/>
  <c r="AD9010"/>
  <c r="AC9009"/>
  <c r="Y9008"/>
  <c r="Z9008" s="1"/>
  <c r="Z9019" s="1"/>
  <c r="AC9011"/>
  <c r="S9032"/>
  <c r="S9033" s="1"/>
  <c r="R9033"/>
  <c r="AD9011" l="1"/>
  <c r="AD9009"/>
  <c r="AC9016"/>
  <c r="AB9015"/>
  <c r="R9015"/>
  <c r="AB9014"/>
  <c r="S9014"/>
  <c r="AA9013"/>
  <c r="R9013"/>
  <c r="S9013" s="1"/>
  <c r="AB9012"/>
  <c r="S9012"/>
  <c r="AA9011"/>
  <c r="AB9011" s="1"/>
  <c r="U9011"/>
  <c r="R9011"/>
  <c r="S9011" s="1"/>
  <c r="AB9010"/>
  <c r="U9010"/>
  <c r="S9010"/>
  <c r="AA9009"/>
  <c r="AA9016" s="1"/>
  <c r="T9009"/>
  <c r="U9009" s="1"/>
  <c r="R9009"/>
  <c r="S9009" s="1"/>
  <c r="S9008"/>
  <c r="AD9016" l="1"/>
  <c r="AB9013"/>
  <c r="AG9013"/>
  <c r="S9015"/>
  <c r="S9016" s="1"/>
  <c r="AG9015"/>
  <c r="U9016"/>
  <c r="AG9009"/>
  <c r="AB9009"/>
  <c r="R9016"/>
  <c r="T9016"/>
  <c r="AB9016" l="1"/>
  <c r="AH9009"/>
  <c r="AI9009"/>
  <c r="AI9015"/>
  <c r="AH9015"/>
  <c r="AI9013"/>
  <c r="AH9013"/>
  <c r="L9292"/>
  <c r="L9293" s="1"/>
  <c r="E9566" l="1"/>
  <c r="E9565"/>
  <c r="K9272"/>
  <c r="K9293"/>
  <c r="K9269"/>
  <c r="L9268"/>
  <c r="L9267"/>
  <c r="L9266"/>
  <c r="L9265"/>
  <c r="K9290"/>
  <c r="L9289"/>
  <c r="L9288"/>
  <c r="K9263"/>
  <c r="L9262"/>
  <c r="L9261"/>
  <c r="K9286"/>
  <c r="L9285"/>
  <c r="L9284"/>
  <c r="L9283"/>
  <c r="E9581" l="1"/>
  <c r="L9269"/>
  <c r="L9263"/>
  <c r="L9290"/>
  <c r="L9286"/>
  <c r="K9325" l="1"/>
  <c r="L9324"/>
  <c r="L9323"/>
  <c r="K9312"/>
  <c r="L9311"/>
  <c r="L9310"/>
  <c r="L9309"/>
  <c r="L9308"/>
  <c r="K9328"/>
  <c r="K9306"/>
  <c r="K9320" s="1"/>
  <c r="L9305"/>
  <c r="L9304"/>
  <c r="L9303"/>
  <c r="K9253"/>
  <c r="L9252"/>
  <c r="L9253" s="1"/>
  <c r="K9242"/>
  <c r="K9259"/>
  <c r="K9276" s="1"/>
  <c r="L9258"/>
  <c r="L9257"/>
  <c r="K9281"/>
  <c r="K9300" s="1"/>
  <c r="L9280"/>
  <c r="L9279"/>
  <c r="K9208"/>
  <c r="L9207"/>
  <c r="L9206"/>
  <c r="L9205"/>
  <c r="K9222"/>
  <c r="L9221"/>
  <c r="L9220"/>
  <c r="L9219"/>
  <c r="K9217"/>
  <c r="K9229" s="1"/>
  <c r="L9216"/>
  <c r="L9215"/>
  <c r="K9203"/>
  <c r="L9202"/>
  <c r="L9203" s="1"/>
  <c r="K9329" l="1"/>
  <c r="L9222"/>
  <c r="L9208"/>
  <c r="L9325"/>
  <c r="L9329" s="1"/>
  <c r="L9306"/>
  <c r="L9281"/>
  <c r="L9300" s="1"/>
  <c r="L9259"/>
  <c r="L9276" s="1"/>
  <c r="E9359" s="1"/>
  <c r="L9312"/>
  <c r="L9217"/>
  <c r="L9229" l="1"/>
  <c r="E9353" s="1"/>
  <c r="L9320"/>
  <c r="E9363" s="1"/>
  <c r="E9360"/>
  <c r="E9364"/>
  <c r="L9146" l="1"/>
  <c r="L9147" s="1"/>
  <c r="Q9144"/>
  <c r="Q9148" s="1"/>
  <c r="R9141"/>
  <c r="R9140"/>
  <c r="R9143"/>
  <c r="R9131"/>
  <c r="R9129"/>
  <c r="Q9132"/>
  <c r="Q9136" s="1"/>
  <c r="R9144" l="1"/>
  <c r="R9148" s="1"/>
  <c r="R9132"/>
  <c r="R9136" s="1"/>
  <c r="S9028" l="1"/>
  <c r="R9028"/>
  <c r="R9024"/>
  <c r="S9024" s="1"/>
  <c r="S9025" s="1"/>
  <c r="R9025" l="1"/>
  <c r="L9019"/>
  <c r="L9018"/>
  <c r="L9246"/>
  <c r="L9234"/>
  <c r="L9233"/>
  <c r="L9232"/>
  <c r="T8592"/>
  <c r="U8592" s="1"/>
  <c r="T8591"/>
  <c r="U8591" s="1"/>
  <c r="T8590"/>
  <c r="U8590" s="1"/>
  <c r="T8589"/>
  <c r="U8589" s="1"/>
  <c r="T8588"/>
  <c r="U8588" s="1"/>
  <c r="K8961"/>
  <c r="L8960"/>
  <c r="L8959"/>
  <c r="L8958"/>
  <c r="L8957"/>
  <c r="L8956"/>
  <c r="L8955"/>
  <c r="L8954"/>
  <c r="L8953"/>
  <c r="L8952"/>
  <c r="L9247" l="1"/>
  <c r="L9235"/>
  <c r="L9243" s="1"/>
  <c r="E9355" s="1"/>
  <c r="L9020"/>
  <c r="L8961"/>
  <c r="T8903" l="1"/>
  <c r="T8902"/>
  <c r="T8901"/>
  <c r="T8917"/>
  <c r="T8916"/>
  <c r="T8915"/>
  <c r="T8914"/>
  <c r="T8912"/>
  <c r="T8911"/>
  <c r="T8910"/>
  <c r="T8909"/>
  <c r="T8908"/>
  <c r="T8907"/>
  <c r="T8906"/>
  <c r="S8904"/>
  <c r="S8913"/>
  <c r="T8913" s="1"/>
  <c r="R8931"/>
  <c r="Q8931"/>
  <c r="R8923"/>
  <c r="R8922"/>
  <c r="Q8924"/>
  <c r="Q8925"/>
  <c r="R8925" s="1"/>
  <c r="T8904" l="1"/>
  <c r="R8924"/>
  <c r="Q8926"/>
  <c r="Q8932" s="1"/>
  <c r="S8918"/>
  <c r="S8919" s="1"/>
  <c r="T8918"/>
  <c r="T8919" s="1"/>
  <c r="R8926" l="1"/>
  <c r="R8932" s="1"/>
  <c r="R8912"/>
  <c r="Q8915"/>
  <c r="R8915" s="1"/>
  <c r="Q8914"/>
  <c r="R8914" s="1"/>
  <c r="Q8910"/>
  <c r="Q8911"/>
  <c r="R8911" s="1"/>
  <c r="Q8913"/>
  <c r="R8913" s="1"/>
  <c r="Q8906"/>
  <c r="R8906" s="1"/>
  <c r="R8910"/>
  <c r="R8909"/>
  <c r="R8908"/>
  <c r="R8907"/>
  <c r="R8903"/>
  <c r="R8902"/>
  <c r="R8901"/>
  <c r="Q8904"/>
  <c r="Q8916"/>
  <c r="R8916" s="1"/>
  <c r="Q8917"/>
  <c r="R8917" s="1"/>
  <c r="R8886"/>
  <c r="R8887" s="1"/>
  <c r="R8894"/>
  <c r="Q8887"/>
  <c r="Q8893"/>
  <c r="Q8897" s="1"/>
  <c r="R8881"/>
  <c r="R8880"/>
  <c r="R8879"/>
  <c r="R8877"/>
  <c r="Q8878"/>
  <c r="R8904" l="1"/>
  <c r="R8918"/>
  <c r="Q8918"/>
  <c r="Q8919" s="1"/>
  <c r="R8893"/>
  <c r="R8897" s="1"/>
  <c r="R8878"/>
  <c r="Q8882"/>
  <c r="Q8883" s="1"/>
  <c r="R8919" l="1"/>
  <c r="R8882"/>
  <c r="R8883" s="1"/>
  <c r="K9250" l="1"/>
  <c r="L9249"/>
  <c r="K9239"/>
  <c r="K9247"/>
  <c r="K9235"/>
  <c r="K9243" s="1"/>
  <c r="K9254" l="1"/>
  <c r="L9250"/>
  <c r="L9254" s="1"/>
  <c r="K9200"/>
  <c r="K9212" s="1"/>
  <c r="L9199"/>
  <c r="L9198"/>
  <c r="L9197"/>
  <c r="L9196"/>
  <c r="Q8739"/>
  <c r="R8791"/>
  <c r="R8789"/>
  <c r="Q8792"/>
  <c r="R8798"/>
  <c r="R8799" s="1"/>
  <c r="Q8799"/>
  <c r="R8759"/>
  <c r="R8758"/>
  <c r="R8757"/>
  <c r="R8756"/>
  <c r="Q8760"/>
  <c r="K9346" l="1"/>
  <c r="E9356"/>
  <c r="E9372" s="1"/>
  <c r="L9200"/>
  <c r="L9212" s="1"/>
  <c r="R8792"/>
  <c r="R8760"/>
  <c r="R8739"/>
  <c r="V8738"/>
  <c r="V8733"/>
  <c r="V8729"/>
  <c r="U8729"/>
  <c r="U8739"/>
  <c r="V8739" s="1"/>
  <c r="S8738"/>
  <c r="T8738" s="1"/>
  <c r="Q8728"/>
  <c r="R8728" s="1"/>
  <c r="R8729" s="1"/>
  <c r="T8737"/>
  <c r="T8736"/>
  <c r="T8735"/>
  <c r="Q8738"/>
  <c r="R8738" s="1"/>
  <c r="Q8737"/>
  <c r="R8737" s="1"/>
  <c r="Q8736"/>
  <c r="R8736" s="1"/>
  <c r="Q8735"/>
  <c r="R8735" s="1"/>
  <c r="Q8733"/>
  <c r="R8733" s="1"/>
  <c r="Q8734"/>
  <c r="R8734" s="1"/>
  <c r="Q8732"/>
  <c r="R8732" s="1"/>
  <c r="Q8731"/>
  <c r="R8731" s="1"/>
  <c r="R8819"/>
  <c r="R8820" s="1"/>
  <c r="R8816"/>
  <c r="R8814"/>
  <c r="Q8820"/>
  <c r="Q8815"/>
  <c r="R8815" s="1"/>
  <c r="L9346" l="1"/>
  <c r="Q8729"/>
  <c r="S8740"/>
  <c r="R8817"/>
  <c r="T8740"/>
  <c r="Q8817"/>
  <c r="V8740"/>
  <c r="Q8740"/>
  <c r="U8740"/>
  <c r="R8740"/>
  <c r="R8741" s="1"/>
  <c r="M8738"/>
  <c r="Q8741" l="1"/>
  <c r="L9118"/>
  <c r="L9119" s="1"/>
  <c r="K9119"/>
  <c r="N9061"/>
  <c r="N9060"/>
  <c r="M9062"/>
  <c r="M9066"/>
  <c r="N9066" s="1"/>
  <c r="N9067" s="1"/>
  <c r="M9011"/>
  <c r="AG9011" s="1"/>
  <c r="M9012"/>
  <c r="AG9012" s="1"/>
  <c r="N9055"/>
  <c r="N9054"/>
  <c r="N9053"/>
  <c r="N9052"/>
  <c r="N9051"/>
  <c r="L8471"/>
  <c r="L8472" s="1"/>
  <c r="AI9011" l="1"/>
  <c r="AH9011"/>
  <c r="AG9016"/>
  <c r="AI9012"/>
  <c r="AH9012"/>
  <c r="N9062"/>
  <c r="N9056"/>
  <c r="K9016"/>
  <c r="AH9016" l="1"/>
  <c r="K9135"/>
  <c r="L9027" l="1"/>
  <c r="L9028" s="1"/>
  <c r="L9073"/>
  <c r="L9072"/>
  <c r="L9071"/>
  <c r="N9103"/>
  <c r="N9104" s="1"/>
  <c r="M9104"/>
  <c r="N9092"/>
  <c r="M9092"/>
  <c r="N9108"/>
  <c r="M9108"/>
  <c r="N9036"/>
  <c r="M9036"/>
  <c r="N9120"/>
  <c r="M9120"/>
  <c r="N9029"/>
  <c r="M9029"/>
  <c r="K9067"/>
  <c r="N9112"/>
  <c r="M9112"/>
  <c r="N9101"/>
  <c r="M9101"/>
  <c r="N9033"/>
  <c r="M9033"/>
  <c r="N9015"/>
  <c r="N9014"/>
  <c r="N9013"/>
  <c r="N9011"/>
  <c r="N9010"/>
  <c r="N9009"/>
  <c r="N9008"/>
  <c r="N9048"/>
  <c r="M9048"/>
  <c r="N9074"/>
  <c r="M9074"/>
  <c r="N9087"/>
  <c r="N9086"/>
  <c r="N9083"/>
  <c r="N9082"/>
  <c r="N9081"/>
  <c r="N9080"/>
  <c r="N9079"/>
  <c r="N9078"/>
  <c r="N9125"/>
  <c r="M9125"/>
  <c r="N9136"/>
  <c r="M9136"/>
  <c r="N9143"/>
  <c r="N9142"/>
  <c r="N9141"/>
  <c r="N9140"/>
  <c r="L9074" l="1"/>
  <c r="E9160" s="1"/>
  <c r="K9020" l="1"/>
  <c r="N9068"/>
  <c r="M9067"/>
  <c r="M9068" s="1"/>
  <c r="M9016"/>
  <c r="M9088"/>
  <c r="N9088" s="1"/>
  <c r="L9124"/>
  <c r="L9125" s="1"/>
  <c r="L9134"/>
  <c r="L9135" s="1"/>
  <c r="K9144"/>
  <c r="K9047"/>
  <c r="K9100"/>
  <c r="L9099"/>
  <c r="L9100" s="1"/>
  <c r="K9112"/>
  <c r="L9111"/>
  <c r="L9112" s="1"/>
  <c r="K9088"/>
  <c r="L9087"/>
  <c r="L9086"/>
  <c r="K9033"/>
  <c r="L9032"/>
  <c r="K9104"/>
  <c r="L9103"/>
  <c r="L9104" s="1"/>
  <c r="K9028"/>
  <c r="K9092"/>
  <c r="L9091"/>
  <c r="L9092" s="1"/>
  <c r="K9108"/>
  <c r="L9107"/>
  <c r="L9108" s="1"/>
  <c r="E9164" s="1"/>
  <c r="K9036"/>
  <c r="L9035"/>
  <c r="L9036" s="1"/>
  <c r="L9066"/>
  <c r="L9065"/>
  <c r="L9064"/>
  <c r="K9116"/>
  <c r="K9120" s="1"/>
  <c r="L9115"/>
  <c r="L9024"/>
  <c r="L9061"/>
  <c r="L9060"/>
  <c r="M9056" l="1"/>
  <c r="L9025"/>
  <c r="L9029" s="1"/>
  <c r="L9033"/>
  <c r="L9037" s="1"/>
  <c r="K9037"/>
  <c r="L9116"/>
  <c r="L9120" s="1"/>
  <c r="E9165" s="1"/>
  <c r="L9067"/>
  <c r="M9021"/>
  <c r="N9012"/>
  <c r="L9088"/>
  <c r="M9084"/>
  <c r="M9089" s="1"/>
  <c r="N9077"/>
  <c r="N9084" s="1"/>
  <c r="N9089" s="1"/>
  <c r="L9062"/>
  <c r="L9068" l="1"/>
  <c r="N9016"/>
  <c r="K9025"/>
  <c r="K9029" s="1"/>
  <c r="K9062"/>
  <c r="K9068" s="1"/>
  <c r="N9021" l="1"/>
  <c r="K9097"/>
  <c r="K9101" s="1"/>
  <c r="L9096"/>
  <c r="L9095"/>
  <c r="K9021"/>
  <c r="L9015"/>
  <c r="L9014"/>
  <c r="L9013"/>
  <c r="L9012"/>
  <c r="L9011"/>
  <c r="L9010"/>
  <c r="L9009"/>
  <c r="L9008"/>
  <c r="K9044"/>
  <c r="K9048" s="1"/>
  <c r="L9042"/>
  <c r="L9041"/>
  <c r="L9040"/>
  <c r="K9056"/>
  <c r="L9055"/>
  <c r="L9054"/>
  <c r="L9053"/>
  <c r="L9052"/>
  <c r="L9051"/>
  <c r="K9074"/>
  <c r="K9084"/>
  <c r="K9089" s="1"/>
  <c r="L9083"/>
  <c r="L9082"/>
  <c r="L9081"/>
  <c r="L9080"/>
  <c r="L9079"/>
  <c r="L9078"/>
  <c r="L9077"/>
  <c r="L9044" l="1"/>
  <c r="L9048" s="1"/>
  <c r="L9016"/>
  <c r="L9021" s="1"/>
  <c r="L9056"/>
  <c r="E9159" s="1"/>
  <c r="L9097"/>
  <c r="L9101" s="1"/>
  <c r="E9163" s="1"/>
  <c r="L9084"/>
  <c r="L9089" s="1"/>
  <c r="E9161" s="1"/>
  <c r="N9144"/>
  <c r="M9144"/>
  <c r="M9148" s="1"/>
  <c r="M9153" s="1"/>
  <c r="K9147"/>
  <c r="K9148" s="1"/>
  <c r="K9125"/>
  <c r="K9132"/>
  <c r="K9136" s="1"/>
  <c r="L9131"/>
  <c r="L9130"/>
  <c r="L9129"/>
  <c r="L9143"/>
  <c r="L9142"/>
  <c r="L9141"/>
  <c r="L9140"/>
  <c r="E9174" l="1"/>
  <c r="K9153"/>
  <c r="N9148"/>
  <c r="N9153" s="1"/>
  <c r="L9144"/>
  <c r="L9148" s="1"/>
  <c r="L9132"/>
  <c r="L9136" s="1"/>
  <c r="L9153" l="1"/>
  <c r="K8882"/>
  <c r="L8948" l="1"/>
  <c r="L8947"/>
  <c r="K8949"/>
  <c r="K8943"/>
  <c r="L8942"/>
  <c r="L8943" s="1"/>
  <c r="K8940"/>
  <c r="L8939"/>
  <c r="L8940" s="1"/>
  <c r="K8936"/>
  <c r="L8935"/>
  <c r="L8936" s="1"/>
  <c r="E8975" s="1"/>
  <c r="K8931"/>
  <c r="L8930"/>
  <c r="L8929"/>
  <c r="L8928"/>
  <c r="K8926"/>
  <c r="K8932" s="1"/>
  <c r="L8925"/>
  <c r="L8924"/>
  <c r="L8923"/>
  <c r="L8922"/>
  <c r="K8918"/>
  <c r="L8917"/>
  <c r="L8916"/>
  <c r="L8915"/>
  <c r="L8914"/>
  <c r="L8913"/>
  <c r="L8912"/>
  <c r="L8911"/>
  <c r="L8910"/>
  <c r="L8909"/>
  <c r="L8908"/>
  <c r="L8907"/>
  <c r="L8906"/>
  <c r="K8904"/>
  <c r="L8903"/>
  <c r="L8902"/>
  <c r="L8901"/>
  <c r="M8897"/>
  <c r="K8897"/>
  <c r="N8896"/>
  <c r="L8896"/>
  <c r="N8895"/>
  <c r="L8895"/>
  <c r="N8894"/>
  <c r="L8894"/>
  <c r="N8893"/>
  <c r="N8897" s="1"/>
  <c r="L8893"/>
  <c r="M8891"/>
  <c r="M8898" s="1"/>
  <c r="K8891"/>
  <c r="N8890"/>
  <c r="L8890"/>
  <c r="N8889"/>
  <c r="L8889"/>
  <c r="L8891" s="1"/>
  <c r="K8887"/>
  <c r="L8886"/>
  <c r="L8881"/>
  <c r="L8880"/>
  <c r="L8879"/>
  <c r="L8878"/>
  <c r="L8877"/>
  <c r="K8875"/>
  <c r="K8883" s="1"/>
  <c r="L8874"/>
  <c r="L8873"/>
  <c r="L8872"/>
  <c r="K8820"/>
  <c r="L8819"/>
  <c r="L8820" s="1"/>
  <c r="K8817"/>
  <c r="L8816"/>
  <c r="L8815"/>
  <c r="L8814"/>
  <c r="K8811"/>
  <c r="L8810"/>
  <c r="L8809"/>
  <c r="L8808"/>
  <c r="L8807"/>
  <c r="L8806"/>
  <c r="L8805"/>
  <c r="L8804"/>
  <c r="L8803"/>
  <c r="M8799"/>
  <c r="K8799"/>
  <c r="N8798"/>
  <c r="N8799" s="1"/>
  <c r="L8798"/>
  <c r="L8799" s="1"/>
  <c r="M8796"/>
  <c r="K8796"/>
  <c r="N8795"/>
  <c r="L8795"/>
  <c r="L8796" s="1"/>
  <c r="K8792"/>
  <c r="L8791"/>
  <c r="L8790"/>
  <c r="L8789"/>
  <c r="M8785"/>
  <c r="K8785"/>
  <c r="N8784"/>
  <c r="L8784"/>
  <c r="N8783"/>
  <c r="L8783"/>
  <c r="K8779"/>
  <c r="L8778"/>
  <c r="L8777"/>
  <c r="K8775"/>
  <c r="L8774"/>
  <c r="K8771"/>
  <c r="N8770"/>
  <c r="L8770"/>
  <c r="N8769"/>
  <c r="L8769"/>
  <c r="N8768"/>
  <c r="L8768"/>
  <c r="N8767"/>
  <c r="L8767"/>
  <c r="N8766"/>
  <c r="L8766"/>
  <c r="M8765"/>
  <c r="M8771" s="1"/>
  <c r="L8765"/>
  <c r="N8764"/>
  <c r="L8764"/>
  <c r="N8763"/>
  <c r="L8763"/>
  <c r="K8760"/>
  <c r="L8759"/>
  <c r="L8758"/>
  <c r="L8757"/>
  <c r="L8756"/>
  <c r="K8753"/>
  <c r="L8752"/>
  <c r="L8751"/>
  <c r="L8750"/>
  <c r="L8749"/>
  <c r="L8748"/>
  <c r="L8747"/>
  <c r="L8746"/>
  <c r="L8745"/>
  <c r="L8744"/>
  <c r="M8740"/>
  <c r="M8741" s="1"/>
  <c r="K8740"/>
  <c r="N8739"/>
  <c r="L8739"/>
  <c r="N8738"/>
  <c r="L8738"/>
  <c r="N8737"/>
  <c r="L8737"/>
  <c r="L8736"/>
  <c r="L8735"/>
  <c r="L8734"/>
  <c r="L8733"/>
  <c r="L8732"/>
  <c r="N8731"/>
  <c r="L8731"/>
  <c r="K8729"/>
  <c r="K8741" s="1"/>
  <c r="L8728"/>
  <c r="L8729" s="1"/>
  <c r="L8897" l="1"/>
  <c r="L8785"/>
  <c r="E8836" s="1"/>
  <c r="L8771"/>
  <c r="E8833" s="1"/>
  <c r="N8785"/>
  <c r="K8898"/>
  <c r="K8919"/>
  <c r="L8949"/>
  <c r="L8740"/>
  <c r="L8741" s="1"/>
  <c r="E8830" s="1"/>
  <c r="L8918"/>
  <c r="L8931"/>
  <c r="L8817"/>
  <c r="L8821" s="1"/>
  <c r="L8779"/>
  <c r="N8765"/>
  <c r="N8771" s="1"/>
  <c r="L8811"/>
  <c r="L8882"/>
  <c r="N8740"/>
  <c r="N8741" s="1"/>
  <c r="K8944"/>
  <c r="L8875"/>
  <c r="L8887"/>
  <c r="L8898" s="1"/>
  <c r="N8891"/>
  <c r="N8898" s="1"/>
  <c r="N8968" s="1"/>
  <c r="L8904"/>
  <c r="L8926"/>
  <c r="L8944"/>
  <c r="L8753"/>
  <c r="E8831" s="1"/>
  <c r="L8760"/>
  <c r="E8832" s="1"/>
  <c r="K8780"/>
  <c r="L8792"/>
  <c r="E8838" s="1"/>
  <c r="K8800"/>
  <c r="M8800"/>
  <c r="L8800"/>
  <c r="L8775"/>
  <c r="N8796"/>
  <c r="N8800" s="1"/>
  <c r="L8780" l="1"/>
  <c r="E8834" s="1"/>
  <c r="E8847" s="1"/>
  <c r="L8883"/>
  <c r="L8932"/>
  <c r="E8974" s="1"/>
  <c r="E8984" s="1"/>
  <c r="L8919"/>
  <c r="N8825"/>
  <c r="L8825" l="1"/>
  <c r="L8968"/>
  <c r="K8717" l="1"/>
  <c r="L8716"/>
  <c r="L8717" s="1"/>
  <c r="K8708"/>
  <c r="L8707"/>
  <c r="L8706"/>
  <c r="K8714"/>
  <c r="L8713"/>
  <c r="L8712"/>
  <c r="L8711"/>
  <c r="K8704"/>
  <c r="L8703"/>
  <c r="L8702"/>
  <c r="L8701"/>
  <c r="L8700"/>
  <c r="L8699"/>
  <c r="L8698"/>
  <c r="L8697"/>
  <c r="L8696"/>
  <c r="L8704" l="1"/>
  <c r="L8714"/>
  <c r="L8718" s="1"/>
  <c r="L8708"/>
  <c r="L8709" l="1"/>
  <c r="K8693"/>
  <c r="L8692"/>
  <c r="L8691"/>
  <c r="L8690"/>
  <c r="K8688"/>
  <c r="L8687"/>
  <c r="L8686"/>
  <c r="L8685"/>
  <c r="L8684"/>
  <c r="L8688" l="1"/>
  <c r="L8693"/>
  <c r="L8720" l="1"/>
  <c r="E8661" l="1"/>
  <c r="E8626"/>
  <c r="E8592" l="1"/>
  <c r="L8532" l="1"/>
  <c r="L8531"/>
  <c r="L8530"/>
  <c r="L8529"/>
  <c r="K8458"/>
  <c r="L8457"/>
  <c r="L8456"/>
  <c r="L8453"/>
  <c r="L8454" s="1"/>
  <c r="K8533"/>
  <c r="N8477"/>
  <c r="N8478" s="1"/>
  <c r="M8478"/>
  <c r="K8505"/>
  <c r="L8504"/>
  <c r="L8503"/>
  <c r="L8502"/>
  <c r="L8501"/>
  <c r="L8500"/>
  <c r="K8497"/>
  <c r="L8496"/>
  <c r="L8495"/>
  <c r="L8494"/>
  <c r="L8493"/>
  <c r="K8490"/>
  <c r="L8489"/>
  <c r="L8488"/>
  <c r="L8487"/>
  <c r="L8486"/>
  <c r="K8483"/>
  <c r="L8482"/>
  <c r="L8481"/>
  <c r="N8468"/>
  <c r="M8469"/>
  <c r="M8473" s="1"/>
  <c r="K8469"/>
  <c r="L8468"/>
  <c r="L8469" s="1"/>
  <c r="L8533" l="1"/>
  <c r="L8458"/>
  <c r="L8459" s="1"/>
  <c r="E8543" s="1"/>
  <c r="N8469"/>
  <c r="N8473" s="1"/>
  <c r="N8537" s="1"/>
  <c r="K8506"/>
  <c r="L8497"/>
  <c r="L8483"/>
  <c r="L8490"/>
  <c r="L8505"/>
  <c r="L8506" l="1"/>
  <c r="E8546" s="1"/>
  <c r="K8478"/>
  <c r="L8477"/>
  <c r="L8478" s="1"/>
  <c r="K8472"/>
  <c r="K8520"/>
  <c r="L8519"/>
  <c r="L8518"/>
  <c r="L8520" l="1"/>
  <c r="K8514" l="1"/>
  <c r="L8513"/>
  <c r="L8512"/>
  <c r="K8526"/>
  <c r="L8525"/>
  <c r="L8524"/>
  <c r="K8454"/>
  <c r="K8459" s="1"/>
  <c r="K8465"/>
  <c r="K8473" s="1"/>
  <c r="L8464"/>
  <c r="L8463"/>
  <c r="L8462"/>
  <c r="K8510"/>
  <c r="L8509"/>
  <c r="L8510" s="1"/>
  <c r="L8514" l="1"/>
  <c r="L8515" s="1"/>
  <c r="L8465"/>
  <c r="L8473" s="1"/>
  <c r="L8526"/>
  <c r="E8544" l="1"/>
  <c r="E8556" s="1"/>
  <c r="L8537" l="1"/>
  <c r="L8258"/>
  <c r="L8259" s="1"/>
  <c r="L8255"/>
  <c r="L8256" s="1"/>
  <c r="L8225"/>
  <c r="L8200"/>
  <c r="L8201" s="1"/>
  <c r="L8187"/>
  <c r="L8186"/>
  <c r="K8188"/>
  <c r="K8173"/>
  <c r="L8188" l="1"/>
  <c r="L8172" l="1"/>
  <c r="K8192" l="1"/>
  <c r="L8191" l="1"/>
  <c r="K8221"/>
  <c r="L8220"/>
  <c r="L8219"/>
  <c r="L8218"/>
  <c r="N8218"/>
  <c r="M8219"/>
  <c r="N8219" s="1"/>
  <c r="L8224"/>
  <c r="K8226"/>
  <c r="N8181"/>
  <c r="N8180"/>
  <c r="M8182"/>
  <c r="M8183" s="1"/>
  <c r="L8181"/>
  <c r="L8180"/>
  <c r="K8182"/>
  <c r="N8221" l="1"/>
  <c r="N8227" s="1"/>
  <c r="L8192"/>
  <c r="L8182"/>
  <c r="M8221"/>
  <c r="M8227" s="1"/>
  <c r="L8221"/>
  <c r="N8182"/>
  <c r="N8183" s="1"/>
  <c r="L8171" l="1"/>
  <c r="L8170"/>
  <c r="L8169"/>
  <c r="L8168"/>
  <c r="L8167"/>
  <c r="L8173" l="1"/>
  <c r="L8223"/>
  <c r="L8226" s="1"/>
  <c r="Q8026"/>
  <c r="Q8032"/>
  <c r="Q8053"/>
  <c r="Q8039"/>
  <c r="Q8030"/>
  <c r="Q8027"/>
  <c r="Q8050"/>
  <c r="Q8040"/>
  <c r="Q8052"/>
  <c r="Q8041"/>
  <c r="Q8028"/>
  <c r="Q8045"/>
  <c r="Q8031"/>
  <c r="S7880"/>
  <c r="T7880" s="1"/>
  <c r="S7881"/>
  <c r="T7881" s="1"/>
  <c r="S7877"/>
  <c r="S7878" s="1"/>
  <c r="T7876"/>
  <c r="K8404"/>
  <c r="L8403"/>
  <c r="L8402"/>
  <c r="L8401"/>
  <c r="N8365"/>
  <c r="N8366" s="1"/>
  <c r="N8407" s="1"/>
  <c r="M8366"/>
  <c r="T7877" l="1"/>
  <c r="T7878" s="1"/>
  <c r="S7882"/>
  <c r="S7883" s="1"/>
  <c r="T7882"/>
  <c r="L8404"/>
  <c r="T7883" l="1"/>
  <c r="L8337"/>
  <c r="L8336"/>
  <c r="L8377"/>
  <c r="L8376"/>
  <c r="L8375"/>
  <c r="K8378"/>
  <c r="L8307"/>
  <c r="L8308" s="1"/>
  <c r="L8394"/>
  <c r="L8393"/>
  <c r="L8392"/>
  <c r="K8395"/>
  <c r="L8317"/>
  <c r="L8318" s="1"/>
  <c r="L8314"/>
  <c r="L8313"/>
  <c r="L8312"/>
  <c r="L8323"/>
  <c r="L8322"/>
  <c r="L8359"/>
  <c r="L8360" s="1"/>
  <c r="L8372"/>
  <c r="L8371"/>
  <c r="L8370"/>
  <c r="L8369"/>
  <c r="L8333"/>
  <c r="L8334" s="1"/>
  <c r="L8365"/>
  <c r="L8366" s="1"/>
  <c r="K8315"/>
  <c r="K8324"/>
  <c r="K8385"/>
  <c r="L8384"/>
  <c r="L8383"/>
  <c r="L8382"/>
  <c r="K8318"/>
  <c r="K8388"/>
  <c r="L8387"/>
  <c r="L8388" s="1"/>
  <c r="K8334"/>
  <c r="L8330"/>
  <c r="L8331" s="1"/>
  <c r="K8331"/>
  <c r="K8308"/>
  <c r="L8327"/>
  <c r="K8338"/>
  <c r="K8328"/>
  <c r="K8366"/>
  <c r="K8305"/>
  <c r="L8304"/>
  <c r="L8303"/>
  <c r="L8302"/>
  <c r="L8301"/>
  <c r="L8300"/>
  <c r="K8344"/>
  <c r="L8343"/>
  <c r="L8342"/>
  <c r="L8338" l="1"/>
  <c r="L8328"/>
  <c r="L8344"/>
  <c r="K8396"/>
  <c r="L8378"/>
  <c r="K8309"/>
  <c r="L8315"/>
  <c r="L8319" s="1"/>
  <c r="E8415" s="1"/>
  <c r="L8324"/>
  <c r="E8416" s="1"/>
  <c r="K8319"/>
  <c r="K8339"/>
  <c r="L8373"/>
  <c r="L8379" s="1"/>
  <c r="E8423" s="1"/>
  <c r="L8305"/>
  <c r="L8309" s="1"/>
  <c r="E8413" s="1"/>
  <c r="L8385"/>
  <c r="E8427"/>
  <c r="K8360"/>
  <c r="K8357"/>
  <c r="L8356"/>
  <c r="L8355"/>
  <c r="L8354"/>
  <c r="L8353"/>
  <c r="L8352"/>
  <c r="L8351"/>
  <c r="L8350"/>
  <c r="L8349"/>
  <c r="L8348"/>
  <c r="L8347"/>
  <c r="L8391"/>
  <c r="L8390"/>
  <c r="K8373"/>
  <c r="K8379" s="1"/>
  <c r="N8258"/>
  <c r="N8259" s="1"/>
  <c r="N8255"/>
  <c r="N8256" s="1"/>
  <c r="M8259"/>
  <c r="M8256"/>
  <c r="K8259"/>
  <c r="K8256"/>
  <c r="L8339" l="1"/>
  <c r="E8419" s="1"/>
  <c r="N8262"/>
  <c r="L8395"/>
  <c r="L8396" s="1"/>
  <c r="K8361"/>
  <c r="L8357"/>
  <c r="L8361" s="1"/>
  <c r="E8420" s="1"/>
  <c r="L8407" l="1"/>
  <c r="E8424"/>
  <c r="E8430" s="1"/>
  <c r="K8236" l="1"/>
  <c r="L8235"/>
  <c r="L8234"/>
  <c r="L8233"/>
  <c r="L8232"/>
  <c r="L8231"/>
  <c r="L8236" l="1"/>
  <c r="K8178"/>
  <c r="K8183" s="1"/>
  <c r="L8177"/>
  <c r="L8178" s="1"/>
  <c r="L8183" l="1"/>
  <c r="E8270" s="1"/>
  <c r="K8215"/>
  <c r="L8214" l="1"/>
  <c r="L8215" s="1"/>
  <c r="K8195"/>
  <c r="L8194"/>
  <c r="K8212"/>
  <c r="L8211"/>
  <c r="L8212" s="1"/>
  <c r="K8201"/>
  <c r="K8206"/>
  <c r="L8205"/>
  <c r="K8165"/>
  <c r="K8174" s="1"/>
  <c r="L8164"/>
  <c r="K8209"/>
  <c r="L8208"/>
  <c r="L8209" s="1"/>
  <c r="K8250"/>
  <c r="L8249"/>
  <c r="L8250" s="1"/>
  <c r="K8198"/>
  <c r="L8197"/>
  <c r="L8198" s="1"/>
  <c r="K8202" l="1"/>
  <c r="K8227"/>
  <c r="L8195"/>
  <c r="L8202" s="1"/>
  <c r="L8165"/>
  <c r="L8206"/>
  <c r="E8271" l="1"/>
  <c r="L8227"/>
  <c r="E8272" s="1"/>
  <c r="L8174"/>
  <c r="E8267" s="1"/>
  <c r="K8247"/>
  <c r="L8246"/>
  <c r="L8245"/>
  <c r="L8244"/>
  <c r="L8243"/>
  <c r="L8242"/>
  <c r="L8241"/>
  <c r="L8240"/>
  <c r="L8247" l="1"/>
  <c r="L8251" s="1"/>
  <c r="E8276" s="1"/>
  <c r="E8279" s="1"/>
  <c r="L8262" l="1"/>
  <c r="Q7830"/>
  <c r="R7830" s="1"/>
  <c r="R7831" s="1"/>
  <c r="Q7827"/>
  <c r="R7849"/>
  <c r="R7848"/>
  <c r="R7860"/>
  <c r="Q7860"/>
  <c r="Q7850"/>
  <c r="Q7845"/>
  <c r="R7845" s="1"/>
  <c r="Q7844"/>
  <c r="R7844" s="1"/>
  <c r="Q7853"/>
  <c r="R7853" s="1"/>
  <c r="Q7852"/>
  <c r="R7852" s="1"/>
  <c r="Q7856"/>
  <c r="R7856" s="1"/>
  <c r="R7857" s="1"/>
  <c r="R7876"/>
  <c r="R7877"/>
  <c r="Q7878"/>
  <c r="Q7880"/>
  <c r="Q7882" s="1"/>
  <c r="R7878" l="1"/>
  <c r="Q7831"/>
  <c r="Q7883"/>
  <c r="R7880"/>
  <c r="R7882" s="1"/>
  <c r="Q7857"/>
  <c r="R7850"/>
  <c r="Q7846"/>
  <c r="R7854"/>
  <c r="Q7828"/>
  <c r="R7827"/>
  <c r="Q7854"/>
  <c r="R7846"/>
  <c r="Q7861" l="1"/>
  <c r="R7861"/>
  <c r="R7883"/>
  <c r="Q7832"/>
  <c r="R7828"/>
  <c r="R7832" s="1"/>
  <c r="R7821" l="1"/>
  <c r="R7819"/>
  <c r="R7818"/>
  <c r="R7816"/>
  <c r="R7822"/>
  <c r="R7820"/>
  <c r="Q7817"/>
  <c r="R7817" s="1"/>
  <c r="Q7813"/>
  <c r="R7813" s="1"/>
  <c r="Q7812"/>
  <c r="R7812" s="1"/>
  <c r="Q7809"/>
  <c r="R7809" s="1"/>
  <c r="R7810" s="1"/>
  <c r="R7823" l="1"/>
  <c r="R7814"/>
  <c r="Q7810"/>
  <c r="Q7814"/>
  <c r="Q7823"/>
  <c r="K7860"/>
  <c r="L7853" l="1"/>
  <c r="L7852"/>
  <c r="L7854" l="1"/>
  <c r="N7733"/>
  <c r="N7732"/>
  <c r="N7731"/>
  <c r="K7823" l="1"/>
  <c r="L7822"/>
  <c r="L7821"/>
  <c r="L7820"/>
  <c r="L7819"/>
  <c r="L7818"/>
  <c r="L7817"/>
  <c r="L7816"/>
  <c r="L7823" l="1"/>
  <c r="N8118"/>
  <c r="N8117"/>
  <c r="M8119"/>
  <c r="N8119" l="1"/>
  <c r="N8122" s="1"/>
  <c r="L7986" l="1"/>
  <c r="L7987" s="1"/>
  <c r="K8119"/>
  <c r="L8118"/>
  <c r="L8117"/>
  <c r="K8113"/>
  <c r="L8112"/>
  <c r="L8113" s="1"/>
  <c r="K8073"/>
  <c r="L8072"/>
  <c r="L8073" s="1"/>
  <c r="K7987"/>
  <c r="K7984"/>
  <c r="L7983"/>
  <c r="L7982"/>
  <c r="L7981"/>
  <c r="L7980"/>
  <c r="L7979"/>
  <c r="L7978"/>
  <c r="K8019"/>
  <c r="L8018"/>
  <c r="L8019" s="1"/>
  <c r="K8059"/>
  <c r="L8058"/>
  <c r="L8057"/>
  <c r="L8056"/>
  <c r="K8110"/>
  <c r="K8114" s="1"/>
  <c r="L8109"/>
  <c r="L8110" s="1"/>
  <c r="K8106"/>
  <c r="L8105"/>
  <c r="L8106" s="1"/>
  <c r="K8101"/>
  <c r="L8100"/>
  <c r="L8099"/>
  <c r="K7976"/>
  <c r="L7975"/>
  <c r="L7974"/>
  <c r="L7973"/>
  <c r="L7972"/>
  <c r="L7971"/>
  <c r="K8016"/>
  <c r="L8015"/>
  <c r="L8014"/>
  <c r="L8013"/>
  <c r="L8012"/>
  <c r="L8011"/>
  <c r="L8010"/>
  <c r="K8054"/>
  <c r="L8053"/>
  <c r="L8052"/>
  <c r="L8051"/>
  <c r="L8050"/>
  <c r="L8049"/>
  <c r="K8070"/>
  <c r="L8069"/>
  <c r="L8070" s="1"/>
  <c r="K8097"/>
  <c r="L8096"/>
  <c r="L8097" s="1"/>
  <c r="K8047"/>
  <c r="L8046"/>
  <c r="L8045"/>
  <c r="L8044"/>
  <c r="K8079"/>
  <c r="L8078"/>
  <c r="L8077"/>
  <c r="L8076"/>
  <c r="L8075"/>
  <c r="K8067"/>
  <c r="L8066"/>
  <c r="L8067" s="1"/>
  <c r="L8119" l="1"/>
  <c r="L8079"/>
  <c r="L8114"/>
  <c r="L8047"/>
  <c r="L8016"/>
  <c r="L7976"/>
  <c r="L8101"/>
  <c r="L8054"/>
  <c r="L8059"/>
  <c r="L7984"/>
  <c r="K8094" l="1"/>
  <c r="L8093"/>
  <c r="L8092"/>
  <c r="L8091"/>
  <c r="K7969"/>
  <c r="K7988" s="1"/>
  <c r="L7968"/>
  <c r="L7967"/>
  <c r="L7966"/>
  <c r="K8008"/>
  <c r="L8007"/>
  <c r="L8006"/>
  <c r="L8005"/>
  <c r="L8004"/>
  <c r="L8003"/>
  <c r="L8002"/>
  <c r="L8001"/>
  <c r="K8042"/>
  <c r="L8041"/>
  <c r="L8040"/>
  <c r="L8039"/>
  <c r="L8038"/>
  <c r="K8089"/>
  <c r="L8088"/>
  <c r="L8087"/>
  <c r="L8086"/>
  <c r="L8085"/>
  <c r="L8084"/>
  <c r="L8083"/>
  <c r="K7999"/>
  <c r="K8020" s="1"/>
  <c r="L7998"/>
  <c r="L7997"/>
  <c r="L7996"/>
  <c r="L7995"/>
  <c r="L7994"/>
  <c r="L7993"/>
  <c r="L7992"/>
  <c r="L7991"/>
  <c r="K8036"/>
  <c r="L8035"/>
  <c r="L8034"/>
  <c r="L8033"/>
  <c r="L8032"/>
  <c r="L8031"/>
  <c r="L8030"/>
  <c r="L8029"/>
  <c r="L8028"/>
  <c r="L8027"/>
  <c r="L8026"/>
  <c r="L8023"/>
  <c r="K8024"/>
  <c r="K8064"/>
  <c r="K8080" s="1"/>
  <c r="L8063"/>
  <c r="K8102" l="1"/>
  <c r="K8060"/>
  <c r="L8024"/>
  <c r="L8036"/>
  <c r="L8089"/>
  <c r="L8064"/>
  <c r="L8080" s="1"/>
  <c r="E8132" s="1"/>
  <c r="L8042"/>
  <c r="L8008"/>
  <c r="L7999"/>
  <c r="L7969"/>
  <c r="L7988" s="1"/>
  <c r="E8129" s="1"/>
  <c r="L8094"/>
  <c r="L8060" l="1"/>
  <c r="E8131" s="1"/>
  <c r="L8102"/>
  <c r="E8135" s="1"/>
  <c r="L8020"/>
  <c r="E8130" s="1"/>
  <c r="E8141" l="1"/>
  <c r="L8122"/>
  <c r="E7936"/>
  <c r="E7933"/>
  <c r="E7932"/>
  <c r="E7931"/>
  <c r="E7930"/>
  <c r="K7882"/>
  <c r="L7881"/>
  <c r="L7880"/>
  <c r="K7878"/>
  <c r="L7877"/>
  <c r="L7876"/>
  <c r="K7872"/>
  <c r="L7871"/>
  <c r="L7872" s="1"/>
  <c r="K7869"/>
  <c r="L7868"/>
  <c r="L7869" s="1"/>
  <c r="K7866"/>
  <c r="L7865"/>
  <c r="L7864"/>
  <c r="L7859"/>
  <c r="L7860" s="1"/>
  <c r="K7857"/>
  <c r="L7856"/>
  <c r="L7857" s="1"/>
  <c r="K7854"/>
  <c r="K7850"/>
  <c r="L7849"/>
  <c r="L7848"/>
  <c r="K7846"/>
  <c r="L7845"/>
  <c r="L7844"/>
  <c r="K7840"/>
  <c r="L7839"/>
  <c r="L7840" s="1"/>
  <c r="K7837"/>
  <c r="K7841" s="1"/>
  <c r="L7836"/>
  <c r="L7835"/>
  <c r="K7831"/>
  <c r="L7830"/>
  <c r="L7831" s="1"/>
  <c r="K7828"/>
  <c r="L7827"/>
  <c r="M7823"/>
  <c r="N7822"/>
  <c r="N7821"/>
  <c r="N7820"/>
  <c r="N7819"/>
  <c r="N7818"/>
  <c r="N7817"/>
  <c r="N7816"/>
  <c r="M7814"/>
  <c r="M7824" s="1"/>
  <c r="K7814"/>
  <c r="N7813"/>
  <c r="L7813"/>
  <c r="N7812"/>
  <c r="L7812"/>
  <c r="L7814" s="1"/>
  <c r="K7810"/>
  <c r="L7809"/>
  <c r="M7805"/>
  <c r="K7805"/>
  <c r="N7804"/>
  <c r="N7805" s="1"/>
  <c r="L7804"/>
  <c r="L7805" s="1"/>
  <c r="M7802"/>
  <c r="K7802"/>
  <c r="N7801"/>
  <c r="N7802" s="1"/>
  <c r="L7801"/>
  <c r="L7802" s="1"/>
  <c r="M7799"/>
  <c r="K7799"/>
  <c r="N7798"/>
  <c r="L7798"/>
  <c r="N7797"/>
  <c r="L7797"/>
  <c r="N7796"/>
  <c r="L7796"/>
  <c r="L7795"/>
  <c r="L7794"/>
  <c r="Q7276"/>
  <c r="R7276" s="1"/>
  <c r="Q7274"/>
  <c r="R7274" s="1"/>
  <c r="Q7277"/>
  <c r="R7277" s="1"/>
  <c r="Q7273"/>
  <c r="Q7275"/>
  <c r="R7275" s="1"/>
  <c r="R7273"/>
  <c r="R7219"/>
  <c r="R7220" s="1"/>
  <c r="Q7220"/>
  <c r="Q7216"/>
  <c r="M7806" l="1"/>
  <c r="M7887" s="1"/>
  <c r="K7873"/>
  <c r="K7806"/>
  <c r="N7823"/>
  <c r="K7861"/>
  <c r="L7837"/>
  <c r="L7841" s="1"/>
  <c r="E7899" s="1"/>
  <c r="K7883"/>
  <c r="E7942"/>
  <c r="L7799"/>
  <c r="L7806" s="1"/>
  <c r="K7824"/>
  <c r="L7882"/>
  <c r="Q7278"/>
  <c r="K7832"/>
  <c r="L7850"/>
  <c r="L7828"/>
  <c r="L7832" s="1"/>
  <c r="E7898" s="1"/>
  <c r="L7846"/>
  <c r="L7861" s="1"/>
  <c r="L7866"/>
  <c r="L7873" s="1"/>
  <c r="E7901" s="1"/>
  <c r="L7878"/>
  <c r="N7799"/>
  <c r="N7806" s="1"/>
  <c r="L7810"/>
  <c r="L7824" s="1"/>
  <c r="E7895" s="1"/>
  <c r="N7814"/>
  <c r="R7278"/>
  <c r="N7824" l="1"/>
  <c r="N7887" s="1"/>
  <c r="L7883"/>
  <c r="E7902" s="1"/>
  <c r="E7894"/>
  <c r="E7900"/>
  <c r="K7887"/>
  <c r="R7216"/>
  <c r="R7215"/>
  <c r="R7214"/>
  <c r="Q7217"/>
  <c r="E7905" l="1"/>
  <c r="L7887"/>
  <c r="R7217"/>
  <c r="W7635" l="1"/>
  <c r="W7634"/>
  <c r="W7633"/>
  <c r="T7550"/>
  <c r="T7551" s="1"/>
  <c r="T7541"/>
  <c r="T7539"/>
  <c r="T7534"/>
  <c r="T7531"/>
  <c r="T7530"/>
  <c r="T7529"/>
  <c r="T7527"/>
  <c r="S7632"/>
  <c r="T7632" s="1"/>
  <c r="T7633" s="1"/>
  <c r="S7535"/>
  <c r="T7535" s="1"/>
  <c r="S7537"/>
  <c r="T7537" s="1"/>
  <c r="S7540"/>
  <c r="T7540" s="1"/>
  <c r="S7547"/>
  <c r="S7548" s="1"/>
  <c r="S7536"/>
  <c r="T7536" s="1"/>
  <c r="S7538"/>
  <c r="T7538" s="1"/>
  <c r="S7526"/>
  <c r="S7525"/>
  <c r="T7525" s="1"/>
  <c r="S7528"/>
  <c r="T7528" s="1"/>
  <c r="V7632"/>
  <c r="W7632" s="1"/>
  <c r="S7551"/>
  <c r="S7524"/>
  <c r="T7524" s="1"/>
  <c r="Q7636"/>
  <c r="Q7637" s="1"/>
  <c r="R7582"/>
  <c r="R7581"/>
  <c r="R7580"/>
  <c r="Q7583"/>
  <c r="R7583" s="1"/>
  <c r="R7081"/>
  <c r="R7073"/>
  <c r="R7072"/>
  <c r="R7069"/>
  <c r="Q7071"/>
  <c r="R7071" s="1"/>
  <c r="Q7070"/>
  <c r="R7082"/>
  <c r="Q7082"/>
  <c r="Q7107"/>
  <c r="Q7108" s="1"/>
  <c r="Q7102"/>
  <c r="Q7105" s="1"/>
  <c r="R7110"/>
  <c r="R7104"/>
  <c r="R7103"/>
  <c r="R7101"/>
  <c r="Q7111"/>
  <c r="Q7112" s="1"/>
  <c r="R7102" l="1"/>
  <c r="R7107"/>
  <c r="R7108" s="1"/>
  <c r="Q7074"/>
  <c r="S7633"/>
  <c r="R7636"/>
  <c r="R7637" s="1"/>
  <c r="T7542"/>
  <c r="R7111"/>
  <c r="R7112" s="1"/>
  <c r="R7070"/>
  <c r="R7074" s="1"/>
  <c r="R7584"/>
  <c r="S7532"/>
  <c r="T7526"/>
  <c r="T7532" s="1"/>
  <c r="S7542"/>
  <c r="T7547"/>
  <c r="T7548" s="1"/>
  <c r="Q7584"/>
  <c r="R7105"/>
  <c r="K7755" l="1"/>
  <c r="N7697" l="1"/>
  <c r="M7697"/>
  <c r="M7715"/>
  <c r="M7716" s="1"/>
  <c r="N7714"/>
  <c r="N7720"/>
  <c r="N7719"/>
  <c r="N7724"/>
  <c r="N7734"/>
  <c r="N7735" s="1"/>
  <c r="L7737"/>
  <c r="L7738" s="1"/>
  <c r="N7738"/>
  <c r="M7738"/>
  <c r="M7735"/>
  <c r="M7725"/>
  <c r="K7697"/>
  <c r="L7696"/>
  <c r="L7695"/>
  <c r="L7694"/>
  <c r="M7739" l="1"/>
  <c r="N7739"/>
  <c r="N7725"/>
  <c r="N7715"/>
  <c r="N7716" s="1"/>
  <c r="L7697"/>
  <c r="E7763" s="1"/>
  <c r="N7754" l="1"/>
  <c r="N7753"/>
  <c r="N7752"/>
  <c r="N7750"/>
  <c r="N7749"/>
  <c r="N7748"/>
  <c r="N7746"/>
  <c r="N7744"/>
  <c r="M7755"/>
  <c r="N7755" l="1"/>
  <c r="N7757" s="1"/>
  <c r="K7714"/>
  <c r="L7714" s="1"/>
  <c r="L7715" s="1"/>
  <c r="K7738"/>
  <c r="K7712"/>
  <c r="L7711"/>
  <c r="L7712" s="1"/>
  <c r="L7754"/>
  <c r="L7753"/>
  <c r="L7752"/>
  <c r="L7751"/>
  <c r="L7750"/>
  <c r="L7749"/>
  <c r="L7748"/>
  <c r="L7747"/>
  <c r="L7746"/>
  <c r="L7745"/>
  <c r="L7744"/>
  <c r="L7743"/>
  <c r="L7742"/>
  <c r="K7725"/>
  <c r="L7724"/>
  <c r="L7723"/>
  <c r="L7722"/>
  <c r="L7721"/>
  <c r="L7720"/>
  <c r="L7719"/>
  <c r="K7735"/>
  <c r="L7734"/>
  <c r="L7733"/>
  <c r="L7732"/>
  <c r="L7731"/>
  <c r="L7730"/>
  <c r="L7729"/>
  <c r="L7728"/>
  <c r="K7709"/>
  <c r="L7708"/>
  <c r="L7709" s="1"/>
  <c r="K7739" l="1"/>
  <c r="L7755"/>
  <c r="E7768" s="1"/>
  <c r="L7735"/>
  <c r="L7739" s="1"/>
  <c r="E7766" s="1"/>
  <c r="L7725"/>
  <c r="E7765" s="1"/>
  <c r="K7715"/>
  <c r="L7705" l="1"/>
  <c r="K7706"/>
  <c r="L7704"/>
  <c r="K7702"/>
  <c r="L7701"/>
  <c r="K7716" l="1"/>
  <c r="L7706"/>
  <c r="L7702"/>
  <c r="L7716" l="1"/>
  <c r="E7764" s="1"/>
  <c r="E7772" s="1"/>
  <c r="Q7538"/>
  <c r="R7538" s="1"/>
  <c r="Q7530"/>
  <c r="R7530" s="1"/>
  <c r="Q7528"/>
  <c r="Q7529"/>
  <c r="R7529" s="1"/>
  <c r="R7632"/>
  <c r="R7633" s="1"/>
  <c r="Q7633"/>
  <c r="Q7541"/>
  <c r="R7541" s="1"/>
  <c r="Q7531"/>
  <c r="R7531" s="1"/>
  <c r="Q7525"/>
  <c r="R7525" s="1"/>
  <c r="R7537"/>
  <c r="R7550"/>
  <c r="R7551" s="1"/>
  <c r="Q7551"/>
  <c r="R7547"/>
  <c r="R7548" s="1"/>
  <c r="Q7548"/>
  <c r="Q7527"/>
  <c r="R7527" s="1"/>
  <c r="Q7539"/>
  <c r="R7539" s="1"/>
  <c r="Q7526"/>
  <c r="R7526" s="1"/>
  <c r="R7557"/>
  <c r="R7556"/>
  <c r="R7555"/>
  <c r="R7554"/>
  <c r="R7553"/>
  <c r="R7528"/>
  <c r="R7524"/>
  <c r="Q7559"/>
  <c r="R7559" s="1"/>
  <c r="Q7558"/>
  <c r="R7558" s="1"/>
  <c r="X7495"/>
  <c r="X7492"/>
  <c r="X7491"/>
  <c r="X7490"/>
  <c r="X7483"/>
  <c r="X7481"/>
  <c r="X7479"/>
  <c r="X7478"/>
  <c r="W7497"/>
  <c r="W7482"/>
  <c r="X7482" s="1"/>
  <c r="P7507"/>
  <c r="S7501"/>
  <c r="L7757" l="1"/>
  <c r="Q7542"/>
  <c r="X7486"/>
  <c r="R7542"/>
  <c r="X7497"/>
  <c r="R7560"/>
  <c r="W7486"/>
  <c r="Q7532"/>
  <c r="R7532"/>
  <c r="Q7564" l="1"/>
  <c r="R7564"/>
  <c r="T7484"/>
  <c r="T7483"/>
  <c r="S7486"/>
  <c r="T7500"/>
  <c r="T7501"/>
  <c r="S7502"/>
  <c r="Q7501"/>
  <c r="R7501" s="1"/>
  <c r="Q7500"/>
  <c r="R7500" s="1"/>
  <c r="Q7479"/>
  <c r="R7479" s="1"/>
  <c r="Q7495"/>
  <c r="R7495" s="1"/>
  <c r="Q7493"/>
  <c r="R7493" s="1"/>
  <c r="Q7484"/>
  <c r="R7484" s="1"/>
  <c r="Q7481"/>
  <c r="R7481" s="1"/>
  <c r="Q7483"/>
  <c r="R7483" s="1"/>
  <c r="R7504"/>
  <c r="R7505" s="1"/>
  <c r="Q7505"/>
  <c r="Q7485"/>
  <c r="R7485" s="1"/>
  <c r="Q7496"/>
  <c r="R7496" s="1"/>
  <c r="R7482"/>
  <c r="R7480"/>
  <c r="R7478"/>
  <c r="R7492"/>
  <c r="R7491"/>
  <c r="R7490"/>
  <c r="R7489"/>
  <c r="R7488"/>
  <c r="R7499"/>
  <c r="S7497"/>
  <c r="R7515"/>
  <c r="R7516" s="1"/>
  <c r="R7511"/>
  <c r="R7510"/>
  <c r="R7509"/>
  <c r="R7507"/>
  <c r="Q7516"/>
  <c r="Q7508"/>
  <c r="Q7512" s="1"/>
  <c r="Q7494"/>
  <c r="K7197"/>
  <c r="L7196"/>
  <c r="L7195"/>
  <c r="L7194"/>
  <c r="L7193"/>
  <c r="L7192"/>
  <c r="L7191"/>
  <c r="K7180"/>
  <c r="N7165"/>
  <c r="N7166" s="1"/>
  <c r="M7166"/>
  <c r="L7153"/>
  <c r="L7154" s="1"/>
  <c r="L7150"/>
  <c r="L7149"/>
  <c r="K7175"/>
  <c r="L7174"/>
  <c r="L7173"/>
  <c r="L7172"/>
  <c r="K7170"/>
  <c r="L7169"/>
  <c r="L7168"/>
  <c r="K7166"/>
  <c r="L7165"/>
  <c r="L7166" s="1"/>
  <c r="K7163"/>
  <c r="L7162"/>
  <c r="K7127"/>
  <c r="L7111"/>
  <c r="L7110"/>
  <c r="K7112"/>
  <c r="K7154"/>
  <c r="K7151"/>
  <c r="K7146"/>
  <c r="L7145"/>
  <c r="L7144"/>
  <c r="K7159"/>
  <c r="L7158"/>
  <c r="L7157"/>
  <c r="L7179"/>
  <c r="L7178"/>
  <c r="L7177"/>
  <c r="Q7497" l="1"/>
  <c r="Q7502"/>
  <c r="Q7486"/>
  <c r="L7151"/>
  <c r="L7155" s="1"/>
  <c r="L7163"/>
  <c r="T7486"/>
  <c r="T7502"/>
  <c r="R7494"/>
  <c r="R7497" s="1"/>
  <c r="R7508"/>
  <c r="R7512" s="1"/>
  <c r="R7486"/>
  <c r="R7502"/>
  <c r="L7180"/>
  <c r="K7181"/>
  <c r="L7197"/>
  <c r="L7175"/>
  <c r="L7159"/>
  <c r="L7112"/>
  <c r="L7170"/>
  <c r="L7146"/>
  <c r="Q7517" l="1"/>
  <c r="L7181"/>
  <c r="R7517"/>
  <c r="K7220"/>
  <c r="L7219"/>
  <c r="L7220" s="1"/>
  <c r="K7217"/>
  <c r="L7216"/>
  <c r="L7215"/>
  <c r="L7214"/>
  <c r="K7211"/>
  <c r="L7210"/>
  <c r="L7209"/>
  <c r="K7207"/>
  <c r="L7206"/>
  <c r="L7205"/>
  <c r="L7204"/>
  <c r="L7203"/>
  <c r="L7202"/>
  <c r="L7201"/>
  <c r="K7189"/>
  <c r="L7188"/>
  <c r="L7189" s="1"/>
  <c r="K7186"/>
  <c r="K7198" s="1"/>
  <c r="L7185"/>
  <c r="L7184"/>
  <c r="K7137"/>
  <c r="L7136"/>
  <c r="L7137" s="1"/>
  <c r="K7134"/>
  <c r="L7133"/>
  <c r="L7132"/>
  <c r="L7131"/>
  <c r="L7126"/>
  <c r="L7125"/>
  <c r="K7123"/>
  <c r="L7122"/>
  <c r="L7121"/>
  <c r="L7120"/>
  <c r="K7118"/>
  <c r="L7117"/>
  <c r="K7107"/>
  <c r="K7108" s="1"/>
  <c r="K7105"/>
  <c r="L7104"/>
  <c r="L7103"/>
  <c r="L7102"/>
  <c r="L7101"/>
  <c r="K7097"/>
  <c r="L7096"/>
  <c r="L7095"/>
  <c r="L7094"/>
  <c r="K7092"/>
  <c r="L7091"/>
  <c r="L7090"/>
  <c r="L7089"/>
  <c r="M7086"/>
  <c r="K7086"/>
  <c r="N7085"/>
  <c r="N7086" s="1"/>
  <c r="L7085"/>
  <c r="L7086" s="1"/>
  <c r="K7082"/>
  <c r="L7081"/>
  <c r="L7082" s="1"/>
  <c r="K7077"/>
  <c r="L7076"/>
  <c r="L7077" s="1"/>
  <c r="K7074"/>
  <c r="L7073"/>
  <c r="L7072"/>
  <c r="L7071"/>
  <c r="L7070"/>
  <c r="L7069"/>
  <c r="L7273"/>
  <c r="L7274"/>
  <c r="L7275"/>
  <c r="L7276"/>
  <c r="L7277"/>
  <c r="K7278"/>
  <c r="L7280"/>
  <c r="L7281" s="1"/>
  <c r="K7281"/>
  <c r="L7285"/>
  <c r="L7286"/>
  <c r="L7287"/>
  <c r="L7288"/>
  <c r="L7289"/>
  <c r="K7290"/>
  <c r="L7292"/>
  <c r="L7293" s="1"/>
  <c r="K7293"/>
  <c r="L7296"/>
  <c r="L7297"/>
  <c r="L7298"/>
  <c r="L7299"/>
  <c r="L7300"/>
  <c r="K7301"/>
  <c r="E7042"/>
  <c r="K7128" l="1"/>
  <c r="N7141"/>
  <c r="N7226" s="1"/>
  <c r="L7097"/>
  <c r="L7186"/>
  <c r="L7198" s="1"/>
  <c r="E7242" s="1"/>
  <c r="L7217"/>
  <c r="L7221" s="1"/>
  <c r="E7245" s="1"/>
  <c r="K7113"/>
  <c r="L7127"/>
  <c r="L7211"/>
  <c r="L7118"/>
  <c r="L7134"/>
  <c r="L7138" s="1"/>
  <c r="E7239" s="1"/>
  <c r="L7278"/>
  <c r="L7282" s="1"/>
  <c r="E7311" s="1"/>
  <c r="L7074"/>
  <c r="L7078" s="1"/>
  <c r="E7232" s="1"/>
  <c r="L7107"/>
  <c r="L7108" s="1"/>
  <c r="L7123"/>
  <c r="L7207"/>
  <c r="L7105"/>
  <c r="L7092"/>
  <c r="L7301"/>
  <c r="K7294"/>
  <c r="L7290"/>
  <c r="L7294" s="1"/>
  <c r="E7312" s="1"/>
  <c r="K7647"/>
  <c r="L7646"/>
  <c r="L7645"/>
  <c r="L7644"/>
  <c r="L7636"/>
  <c r="L7637" s="1"/>
  <c r="L7632"/>
  <c r="L7633" s="1"/>
  <c r="K7633"/>
  <c r="K7637"/>
  <c r="L7098" l="1"/>
  <c r="E7234" s="1"/>
  <c r="L7212"/>
  <c r="E7244" s="1"/>
  <c r="L7113"/>
  <c r="E7235" s="1"/>
  <c r="L7128"/>
  <c r="E7238" s="1"/>
  <c r="L7647"/>
  <c r="E7316"/>
  <c r="L7305"/>
  <c r="L7640"/>
  <c r="L7641" s="1"/>
  <c r="K7641"/>
  <c r="E7248" l="1"/>
  <c r="R7248" s="1"/>
  <c r="L7223"/>
  <c r="L7141"/>
  <c r="L7649"/>
  <c r="Q7226"/>
  <c r="L7226" l="1"/>
  <c r="L7583" l="1"/>
  <c r="L7582"/>
  <c r="L7581"/>
  <c r="L7580"/>
  <c r="K7600"/>
  <c r="L7599"/>
  <c r="L7598"/>
  <c r="L7597"/>
  <c r="L7600" l="1"/>
  <c r="L7584"/>
  <c r="V6963" l="1"/>
  <c r="U6961"/>
  <c r="V6961" s="1"/>
  <c r="U6976"/>
  <c r="V6976" s="1"/>
  <c r="V6967"/>
  <c r="V6977"/>
  <c r="V6969"/>
  <c r="U6972"/>
  <c r="V6972" s="1"/>
  <c r="U6968"/>
  <c r="V6968" s="1"/>
  <c r="U6980" l="1"/>
  <c r="V6965"/>
  <c r="U6965"/>
  <c r="V6973"/>
  <c r="V6980"/>
  <c r="U6973"/>
  <c r="S6961"/>
  <c r="T6961" s="1"/>
  <c r="T6962"/>
  <c r="S6964"/>
  <c r="S6965" s="1"/>
  <c r="S6970"/>
  <c r="T6970" s="1"/>
  <c r="K6965"/>
  <c r="S6971"/>
  <c r="T6971" s="1"/>
  <c r="S6972"/>
  <c r="T6972" s="1"/>
  <c r="S6968"/>
  <c r="S6979"/>
  <c r="T6979" s="1"/>
  <c r="T6980" s="1"/>
  <c r="T6964" l="1"/>
  <c r="T6965" s="1"/>
  <c r="S6973"/>
  <c r="T6968"/>
  <c r="T6973" s="1"/>
  <c r="S6980"/>
  <c r="Q6972"/>
  <c r="R6972" s="1"/>
  <c r="Q6968"/>
  <c r="R6968" s="1"/>
  <c r="K6980"/>
  <c r="Q6971"/>
  <c r="R6975"/>
  <c r="Q6979"/>
  <c r="R6979" s="1"/>
  <c r="K6973"/>
  <c r="K5682"/>
  <c r="L7019"/>
  <c r="Q6973" l="1"/>
  <c r="R6980"/>
  <c r="Q6980"/>
  <c r="R6971"/>
  <c r="R6973" s="1"/>
  <c r="L7023"/>
  <c r="L7022"/>
  <c r="L7021"/>
  <c r="N7520"/>
  <c r="N7521" s="1"/>
  <c r="L7520"/>
  <c r="L7521" s="1"/>
  <c r="N7576"/>
  <c r="N7577" s="1"/>
  <c r="M7577"/>
  <c r="L7373"/>
  <c r="L7374" s="1"/>
  <c r="L7576"/>
  <c r="L7577" s="1"/>
  <c r="M7606"/>
  <c r="N7606" s="1"/>
  <c r="M7607"/>
  <c r="N7607" s="1"/>
  <c r="M7608"/>
  <c r="N7608" s="1"/>
  <c r="N7609"/>
  <c r="N7610" l="1"/>
  <c r="M7610"/>
  <c r="K7610" l="1"/>
  <c r="L7609"/>
  <c r="L7608"/>
  <c r="L7607"/>
  <c r="L7606"/>
  <c r="K7577"/>
  <c r="K7551"/>
  <c r="L7550"/>
  <c r="L7551" s="1"/>
  <c r="K7394"/>
  <c r="L7393"/>
  <c r="L7394" s="1"/>
  <c r="K7391"/>
  <c r="L7390"/>
  <c r="L7391" s="1"/>
  <c r="L7610" l="1"/>
  <c r="K7388" l="1"/>
  <c r="K7395" s="1"/>
  <c r="L7387"/>
  <c r="L7388" l="1"/>
  <c r="L7395" s="1"/>
  <c r="L7003" l="1"/>
  <c r="L7002"/>
  <c r="K7004"/>
  <c r="L7004" l="1"/>
  <c r="E7040"/>
  <c r="L7013"/>
  <c r="L7012"/>
  <c r="L7014" l="1"/>
  <c r="L6999"/>
  <c r="L6998"/>
  <c r="L6997"/>
  <c r="L6996"/>
  <c r="N7023"/>
  <c r="N7022"/>
  <c r="N7021"/>
  <c r="K7020"/>
  <c r="L7020" s="1"/>
  <c r="L7024" s="1"/>
  <c r="E7044" s="1"/>
  <c r="M7020"/>
  <c r="L7000" l="1"/>
  <c r="K7024"/>
  <c r="N7020"/>
  <c r="N7024" s="1"/>
  <c r="M7024"/>
  <c r="M7623"/>
  <c r="M7624" s="1"/>
  <c r="N7622"/>
  <c r="N7623" s="1"/>
  <c r="N7624" s="1"/>
  <c r="N7603"/>
  <c r="N7604" s="1"/>
  <c r="N7611" s="1"/>
  <c r="N7627"/>
  <c r="N7628" s="1"/>
  <c r="M7628"/>
  <c r="M7604"/>
  <c r="M7611" s="1"/>
  <c r="N7592"/>
  <c r="N7591"/>
  <c r="N7590"/>
  <c r="N7588"/>
  <c r="M7588"/>
  <c r="M7593"/>
  <c r="N7583"/>
  <c r="N7582"/>
  <c r="N7581"/>
  <c r="N7580"/>
  <c r="M7584"/>
  <c r="N7570"/>
  <c r="M7571"/>
  <c r="M7572" s="1"/>
  <c r="N7544"/>
  <c r="N7545" s="1"/>
  <c r="N7541"/>
  <c r="N7540"/>
  <c r="N7539"/>
  <c r="N7538"/>
  <c r="N7537"/>
  <c r="N7536"/>
  <c r="N7535"/>
  <c r="N7534"/>
  <c r="N7531"/>
  <c r="N7530"/>
  <c r="N7529"/>
  <c r="N7528"/>
  <c r="N7527"/>
  <c r="N7526"/>
  <c r="N7525"/>
  <c r="N7524"/>
  <c r="M7542"/>
  <c r="M7532"/>
  <c r="M7545"/>
  <c r="M7521"/>
  <c r="N7484"/>
  <c r="M7481"/>
  <c r="N7481" s="1"/>
  <c r="N7497"/>
  <c r="M7497"/>
  <c r="M7478"/>
  <c r="K7486"/>
  <c r="L7570"/>
  <c r="L7571" s="1"/>
  <c r="L7562"/>
  <c r="L7563" s="1"/>
  <c r="L7515"/>
  <c r="L7514"/>
  <c r="K7593"/>
  <c r="L7592"/>
  <c r="L7591"/>
  <c r="L7590"/>
  <c r="K7516"/>
  <c r="K7628"/>
  <c r="L7627"/>
  <c r="L7628" s="1"/>
  <c r="K7623"/>
  <c r="L7622"/>
  <c r="L7623" s="1"/>
  <c r="K7568"/>
  <c r="L7567"/>
  <c r="K7505"/>
  <c r="L7504"/>
  <c r="L7505" s="1"/>
  <c r="K7620"/>
  <c r="K7624" s="1"/>
  <c r="L7619"/>
  <c r="L7618"/>
  <c r="L7617"/>
  <c r="K7584"/>
  <c r="K7563"/>
  <c r="K7548"/>
  <c r="L7547"/>
  <c r="L7548" s="1"/>
  <c r="K7502"/>
  <c r="L7501"/>
  <c r="L7500"/>
  <c r="L7499"/>
  <c r="L7603"/>
  <c r="L7604" s="1"/>
  <c r="L7611" s="1"/>
  <c r="E7668" s="1"/>
  <c r="K7604"/>
  <c r="K7611" s="1"/>
  <c r="K7521"/>
  <c r="K7545"/>
  <c r="L7544"/>
  <c r="L7545" s="1"/>
  <c r="K7571"/>
  <c r="K7588"/>
  <c r="L7587"/>
  <c r="L7586"/>
  <c r="K7560"/>
  <c r="L7559"/>
  <c r="L7558"/>
  <c r="L7557"/>
  <c r="L7556"/>
  <c r="L7555"/>
  <c r="L7554"/>
  <c r="L7553"/>
  <c r="K7512"/>
  <c r="L7511"/>
  <c r="L7510"/>
  <c r="L7509"/>
  <c r="L7508"/>
  <c r="L7507"/>
  <c r="K7542"/>
  <c r="L7541"/>
  <c r="L7540"/>
  <c r="L7539"/>
  <c r="L7538"/>
  <c r="L7537"/>
  <c r="L7536"/>
  <c r="L7535"/>
  <c r="L7534"/>
  <c r="K7497"/>
  <c r="L7496"/>
  <c r="L7495"/>
  <c r="L7494"/>
  <c r="L7493"/>
  <c r="L7492"/>
  <c r="L7491"/>
  <c r="L7490"/>
  <c r="L7489"/>
  <c r="L7488"/>
  <c r="K7532"/>
  <c r="L7531"/>
  <c r="L7530"/>
  <c r="L7529"/>
  <c r="L7528"/>
  <c r="L7527"/>
  <c r="L7526"/>
  <c r="L7525"/>
  <c r="L7524"/>
  <c r="L7485"/>
  <c r="L7484"/>
  <c r="L7483"/>
  <c r="L7482"/>
  <c r="L7481"/>
  <c r="L7480"/>
  <c r="L7479"/>
  <c r="L7478"/>
  <c r="K7517" l="1"/>
  <c r="L7560"/>
  <c r="L7516"/>
  <c r="K7594"/>
  <c r="K7564"/>
  <c r="L7568"/>
  <c r="L7572" s="1"/>
  <c r="E7661" s="1"/>
  <c r="N7478"/>
  <c r="N7486" s="1"/>
  <c r="N7571"/>
  <c r="N7572" s="1"/>
  <c r="L7502"/>
  <c r="L7497"/>
  <c r="N7584"/>
  <c r="K7572"/>
  <c r="M7486"/>
  <c r="M7517" s="1"/>
  <c r="M7594"/>
  <c r="N7593"/>
  <c r="N7594" s="1"/>
  <c r="L7593"/>
  <c r="N7542"/>
  <c r="M7564"/>
  <c r="N7532"/>
  <c r="L7486"/>
  <c r="L7542"/>
  <c r="L7532"/>
  <c r="L7512"/>
  <c r="L7588"/>
  <c r="L7594" s="1"/>
  <c r="L7620"/>
  <c r="L7624" s="1"/>
  <c r="E7669" s="1"/>
  <c r="L7359"/>
  <c r="L7564" l="1"/>
  <c r="E7660" s="1"/>
  <c r="L7517"/>
  <c r="E7659" s="1"/>
  <c r="N7564"/>
  <c r="N7517"/>
  <c r="L7360"/>
  <c r="L7653" l="1"/>
  <c r="E7673"/>
  <c r="N7653"/>
  <c r="L7355"/>
  <c r="L7356" s="1"/>
  <c r="K7374"/>
  <c r="L7429" l="1"/>
  <c r="L7430" s="1"/>
  <c r="L7350"/>
  <c r="L7351" s="1"/>
  <c r="K7351"/>
  <c r="K7345"/>
  <c r="L7345" s="1"/>
  <c r="K7347"/>
  <c r="L7347" s="1"/>
  <c r="K7346"/>
  <c r="L7346" s="1"/>
  <c r="L7406"/>
  <c r="L7405"/>
  <c r="L7404"/>
  <c r="K7342"/>
  <c r="L7341"/>
  <c r="L7340"/>
  <c r="L7339"/>
  <c r="K7430"/>
  <c r="K7414"/>
  <c r="L7413"/>
  <c r="L7414" s="1"/>
  <c r="K7356"/>
  <c r="K7368"/>
  <c r="L7367"/>
  <c r="L7366"/>
  <c r="L7365"/>
  <c r="L7364"/>
  <c r="L7363"/>
  <c r="L7362"/>
  <c r="K7371"/>
  <c r="L7370"/>
  <c r="L7371" s="1"/>
  <c r="K7379"/>
  <c r="L7378"/>
  <c r="L7379" s="1"/>
  <c r="E7443" s="1"/>
  <c r="K7384"/>
  <c r="L7383"/>
  <c r="L7384" s="1"/>
  <c r="E7446" s="1"/>
  <c r="L7348" l="1"/>
  <c r="K7348"/>
  <c r="K7352" s="1"/>
  <c r="L7407"/>
  <c r="E7449" s="1"/>
  <c r="L7342"/>
  <c r="L7368"/>
  <c r="L7375" s="1"/>
  <c r="E7442" s="1"/>
  <c r="L7352" l="1"/>
  <c r="E7440" s="1"/>
  <c r="K7424"/>
  <c r="L7423"/>
  <c r="L7422"/>
  <c r="L7421"/>
  <c r="L7420"/>
  <c r="L7419"/>
  <c r="K7411"/>
  <c r="L7410"/>
  <c r="L7411" s="1"/>
  <c r="L7415" s="1"/>
  <c r="E7450" s="1"/>
  <c r="K7407"/>
  <c r="K7401"/>
  <c r="L7400"/>
  <c r="L7399"/>
  <c r="E7444" l="1"/>
  <c r="L7401"/>
  <c r="E7448" s="1"/>
  <c r="L7424"/>
  <c r="K7427"/>
  <c r="K7431" s="1"/>
  <c r="L7426"/>
  <c r="L7427" s="1"/>
  <c r="L7431" l="1"/>
  <c r="E7452" s="1"/>
  <c r="L7435" l="1"/>
  <c r="E7453"/>
  <c r="E7456" s="1"/>
  <c r="K7360"/>
  <c r="K7375" s="1"/>
  <c r="K6941" l="1"/>
  <c r="Q5862" l="1"/>
  <c r="V5862" s="1"/>
  <c r="Q5861"/>
  <c r="V5861" s="1"/>
  <c r="Q5867"/>
  <c r="R5867" s="1"/>
  <c r="R5868" s="1"/>
  <c r="Q5864"/>
  <c r="V5864" s="1"/>
  <c r="Q5863"/>
  <c r="V5863" s="1"/>
  <c r="Q5894"/>
  <c r="Q5895"/>
  <c r="R5864" l="1"/>
  <c r="R5863"/>
  <c r="R5861"/>
  <c r="Q5865"/>
  <c r="Q5868"/>
  <c r="R5862"/>
  <c r="V5867"/>
  <c r="R5865" l="1"/>
  <c r="K7014"/>
  <c r="K7010"/>
  <c r="K7007"/>
  <c r="L7009"/>
  <c r="L7010" s="1"/>
  <c r="L7006"/>
  <c r="L7007" s="1"/>
  <c r="K7000"/>
  <c r="L6972"/>
  <c r="L6971"/>
  <c r="L6970"/>
  <c r="L6969"/>
  <c r="L6968"/>
  <c r="L6967"/>
  <c r="R6780"/>
  <c r="R6778"/>
  <c r="R6772"/>
  <c r="R6775"/>
  <c r="R6774"/>
  <c r="R6769"/>
  <c r="R6768"/>
  <c r="R6767"/>
  <c r="R6766"/>
  <c r="L6973" l="1"/>
  <c r="L7015"/>
  <c r="R6770"/>
  <c r="Q6773"/>
  <c r="R6773" s="1"/>
  <c r="R6776" s="1"/>
  <c r="R6763"/>
  <c r="R6762"/>
  <c r="Q6779"/>
  <c r="R6779" l="1"/>
  <c r="R6781" s="1"/>
  <c r="Q6781"/>
  <c r="Q6776"/>
  <c r="K6776"/>
  <c r="K6781"/>
  <c r="L6780"/>
  <c r="L6779"/>
  <c r="L6778"/>
  <c r="Q6761"/>
  <c r="R6761" s="1"/>
  <c r="R6764" s="1"/>
  <c r="S6769"/>
  <c r="S6768"/>
  <c r="S6767"/>
  <c r="S6766"/>
  <c r="Q6770"/>
  <c r="S6770" l="1"/>
  <c r="Q6764"/>
  <c r="L6781"/>
  <c r="K6738"/>
  <c r="K6789"/>
  <c r="L6788"/>
  <c r="L6787"/>
  <c r="L6786"/>
  <c r="L6785"/>
  <c r="L6784"/>
  <c r="L6775"/>
  <c r="L6774"/>
  <c r="L6773"/>
  <c r="L6772"/>
  <c r="E6878" l="1"/>
  <c r="L6776"/>
  <c r="L6789"/>
  <c r="L6790" l="1"/>
  <c r="N7032" l="1"/>
  <c r="L6935"/>
  <c r="L6940"/>
  <c r="L6939"/>
  <c r="L6938"/>
  <c r="L6937"/>
  <c r="L6936"/>
  <c r="L6934"/>
  <c r="L6933"/>
  <c r="L6932"/>
  <c r="L6931"/>
  <c r="L6987"/>
  <c r="L6986"/>
  <c r="L6983"/>
  <c r="L6982"/>
  <c r="L6979"/>
  <c r="L6978"/>
  <c r="L6977"/>
  <c r="L6976"/>
  <c r="L6975"/>
  <c r="L6980" l="1"/>
  <c r="L6941"/>
  <c r="L6964"/>
  <c r="L6963"/>
  <c r="L6962"/>
  <c r="L6961"/>
  <c r="L6958"/>
  <c r="L6957"/>
  <c r="L6956"/>
  <c r="L6955"/>
  <c r="L6954"/>
  <c r="L6953"/>
  <c r="L6952"/>
  <c r="L6951"/>
  <c r="L6948"/>
  <c r="L6947"/>
  <c r="L6946"/>
  <c r="L6945"/>
  <c r="L6944"/>
  <c r="L6928"/>
  <c r="L6927"/>
  <c r="L6926"/>
  <c r="L6923"/>
  <c r="L6922"/>
  <c r="L6921"/>
  <c r="L6920"/>
  <c r="L6919"/>
  <c r="L6918"/>
  <c r="L6917"/>
  <c r="L6916"/>
  <c r="L6965" l="1"/>
  <c r="E7038" s="1"/>
  <c r="K7029"/>
  <c r="E7048"/>
  <c r="L6913"/>
  <c r="L6912"/>
  <c r="L6911"/>
  <c r="L6910"/>
  <c r="Q5666"/>
  <c r="Q5663"/>
  <c r="Q5658"/>
  <c r="Q5651"/>
  <c r="Q5648"/>
  <c r="Q5645"/>
  <c r="Q5635"/>
  <c r="R5653"/>
  <c r="R5665"/>
  <c r="R5666" s="1"/>
  <c r="R5662"/>
  <c r="R5661"/>
  <c r="R5660"/>
  <c r="R5657"/>
  <c r="R5656"/>
  <c r="R5655"/>
  <c r="R5654"/>
  <c r="R5650"/>
  <c r="R5651" s="1"/>
  <c r="R5647"/>
  <c r="R5648" s="1"/>
  <c r="R5644"/>
  <c r="R5643"/>
  <c r="R5642"/>
  <c r="R5641"/>
  <c r="R5640"/>
  <c r="R5639"/>
  <c r="R5638"/>
  <c r="R5637"/>
  <c r="R5634"/>
  <c r="R5633"/>
  <c r="R5632"/>
  <c r="R5631"/>
  <c r="R5681"/>
  <c r="R5679"/>
  <c r="Q5682"/>
  <c r="Q5670" l="1"/>
  <c r="R5682"/>
  <c r="R5635"/>
  <c r="R5645"/>
  <c r="R5663"/>
  <c r="L6914"/>
  <c r="L7029" s="1"/>
  <c r="R5658"/>
  <c r="M6674"/>
  <c r="N6673"/>
  <c r="N6674" s="1"/>
  <c r="R5670" l="1"/>
  <c r="L7032"/>
  <c r="K6898"/>
  <c r="L6897"/>
  <c r="L6896"/>
  <c r="L6895"/>
  <c r="K6858"/>
  <c r="L6857"/>
  <c r="L6856"/>
  <c r="L6855"/>
  <c r="L6854"/>
  <c r="L6853"/>
  <c r="K6764"/>
  <c r="L6763"/>
  <c r="L6762"/>
  <c r="L6761"/>
  <c r="L6737"/>
  <c r="L6736"/>
  <c r="K6734"/>
  <c r="L6733"/>
  <c r="L6734" s="1"/>
  <c r="K6759"/>
  <c r="K6753"/>
  <c r="L6752"/>
  <c r="L6751"/>
  <c r="L6750"/>
  <c r="L6749"/>
  <c r="L6748"/>
  <c r="L6758"/>
  <c r="L6757"/>
  <c r="L6756"/>
  <c r="K6746"/>
  <c r="L6745"/>
  <c r="L6744"/>
  <c r="L6743"/>
  <c r="L6742"/>
  <c r="L6741"/>
  <c r="L6740"/>
  <c r="K6731"/>
  <c r="L6730"/>
  <c r="L6738" l="1"/>
  <c r="L6858"/>
  <c r="L6764"/>
  <c r="E6813" s="1"/>
  <c r="L6759"/>
  <c r="E6811" s="1"/>
  <c r="L6898"/>
  <c r="L6753"/>
  <c r="L6746"/>
  <c r="L6731"/>
  <c r="E6809" s="1"/>
  <c r="E6810" l="1"/>
  <c r="L6903"/>
  <c r="K6850" l="1"/>
  <c r="L6849"/>
  <c r="L6848"/>
  <c r="L6847"/>
  <c r="K6845"/>
  <c r="L6844"/>
  <c r="L6843"/>
  <c r="L6842"/>
  <c r="L6841"/>
  <c r="M6632"/>
  <c r="M6623"/>
  <c r="N6631"/>
  <c r="N6627"/>
  <c r="N6626"/>
  <c r="N6612"/>
  <c r="K6851" l="1"/>
  <c r="L6850"/>
  <c r="L6845"/>
  <c r="N6632"/>
  <c r="K5762"/>
  <c r="L5761"/>
  <c r="L5760"/>
  <c r="L5759"/>
  <c r="L5758"/>
  <c r="L5757"/>
  <c r="L5756"/>
  <c r="L6851" l="1"/>
  <c r="L6859"/>
  <c r="L6901"/>
  <c r="L6904" s="1"/>
  <c r="L5762"/>
  <c r="M6611" l="1"/>
  <c r="N6611" s="1"/>
  <c r="M6610"/>
  <c r="N6606"/>
  <c r="N6601"/>
  <c r="M6602"/>
  <c r="N6602" s="1"/>
  <c r="M6600"/>
  <c r="K6607"/>
  <c r="N6622"/>
  <c r="N6623" s="1"/>
  <c r="L6726"/>
  <c r="L6725"/>
  <c r="K6727"/>
  <c r="L6702"/>
  <c r="L6701"/>
  <c r="K6641"/>
  <c r="L6640"/>
  <c r="L6641" s="1"/>
  <c r="K6671"/>
  <c r="L6670"/>
  <c r="L6671" s="1"/>
  <c r="K6706"/>
  <c r="L6705"/>
  <c r="L6706" s="1"/>
  <c r="K6770"/>
  <c r="K6782" s="1"/>
  <c r="L6769"/>
  <c r="L6768"/>
  <c r="L6767"/>
  <c r="L6766"/>
  <c r="K6718"/>
  <c r="L6717"/>
  <c r="K6714"/>
  <c r="L6713"/>
  <c r="L6712"/>
  <c r="L6711"/>
  <c r="K6623"/>
  <c r="L6622"/>
  <c r="L6623" s="1"/>
  <c r="L6718" l="1"/>
  <c r="L6770"/>
  <c r="N6600"/>
  <c r="N6607" s="1"/>
  <c r="M6607"/>
  <c r="M6615"/>
  <c r="M6642" s="1"/>
  <c r="N6610"/>
  <c r="K6728"/>
  <c r="L6703"/>
  <c r="L6707" s="1"/>
  <c r="L6714"/>
  <c r="E6806" s="1"/>
  <c r="K6686"/>
  <c r="L6685"/>
  <c r="L6686" s="1"/>
  <c r="K6698"/>
  <c r="L6697"/>
  <c r="L6696"/>
  <c r="L6782" l="1"/>
  <c r="E6814"/>
  <c r="N6615"/>
  <c r="N6642" s="1"/>
  <c r="L6698"/>
  <c r="K6683"/>
  <c r="K6687" s="1"/>
  <c r="L6682"/>
  <c r="L6681"/>
  <c r="L6680"/>
  <c r="L6679"/>
  <c r="K6694"/>
  <c r="K6699" s="1"/>
  <c r="L6693"/>
  <c r="L6692"/>
  <c r="L6691"/>
  <c r="L6690"/>
  <c r="L6606"/>
  <c r="L6605"/>
  <c r="L6604"/>
  <c r="L6603"/>
  <c r="L6602"/>
  <c r="L6601"/>
  <c r="L6600"/>
  <c r="L6599"/>
  <c r="K6620"/>
  <c r="L6619"/>
  <c r="L6618"/>
  <c r="L6617"/>
  <c r="L6724"/>
  <c r="L6723"/>
  <c r="L6722"/>
  <c r="L6721"/>
  <c r="L6720"/>
  <c r="L6673"/>
  <c r="L6674" s="1"/>
  <c r="K6674"/>
  <c r="N6796" l="1"/>
  <c r="L6607"/>
  <c r="L6727"/>
  <c r="L6728" s="1"/>
  <c r="E6807" s="1"/>
  <c r="L6694"/>
  <c r="L6699" s="1"/>
  <c r="E6804" s="1"/>
  <c r="L6620"/>
  <c r="L6683"/>
  <c r="L6687" s="1"/>
  <c r="E6801" l="1"/>
  <c r="K6615"/>
  <c r="L6614"/>
  <c r="L6613"/>
  <c r="L6612"/>
  <c r="L6611"/>
  <c r="L6610"/>
  <c r="K6668"/>
  <c r="L6667"/>
  <c r="L6666"/>
  <c r="L6665"/>
  <c r="L6664"/>
  <c r="L6663"/>
  <c r="L6662"/>
  <c r="L6661"/>
  <c r="L6660"/>
  <c r="L6659"/>
  <c r="L6658"/>
  <c r="K6703"/>
  <c r="K6707" s="1"/>
  <c r="K6638"/>
  <c r="L6637"/>
  <c r="L6636"/>
  <c r="L6635"/>
  <c r="L6634"/>
  <c r="K6656"/>
  <c r="L6655"/>
  <c r="L6654"/>
  <c r="L6653"/>
  <c r="L6652"/>
  <c r="L6651"/>
  <c r="K6632"/>
  <c r="L6631"/>
  <c r="L6630"/>
  <c r="L6629"/>
  <c r="L6628"/>
  <c r="L6627"/>
  <c r="L6626"/>
  <c r="L6625"/>
  <c r="K6649"/>
  <c r="L6648"/>
  <c r="L6647"/>
  <c r="L6646"/>
  <c r="K6675" l="1"/>
  <c r="L6649"/>
  <c r="K6642"/>
  <c r="L6615"/>
  <c r="L6668"/>
  <c r="L6632"/>
  <c r="L6656"/>
  <c r="L6638"/>
  <c r="L6796" l="1"/>
  <c r="L6642"/>
  <c r="E6802" s="1"/>
  <c r="L6675"/>
  <c r="E6803" s="1"/>
  <c r="E6817" l="1"/>
  <c r="L5673" l="1"/>
  <c r="L5674" s="1"/>
  <c r="L5768"/>
  <c r="L5769" s="1"/>
  <c r="L5765"/>
  <c r="L5766" s="1"/>
  <c r="K5769"/>
  <c r="L5770" l="1"/>
  <c r="L5719"/>
  <c r="L5720" s="1"/>
  <c r="L5716"/>
  <c r="L5717" s="1"/>
  <c r="L5721" l="1"/>
  <c r="E5784" s="1"/>
  <c r="K5699"/>
  <c r="L5698"/>
  <c r="L5697"/>
  <c r="L5696"/>
  <c r="L5695"/>
  <c r="L5694"/>
  <c r="L5693"/>
  <c r="L5692"/>
  <c r="L5691"/>
  <c r="L5690"/>
  <c r="L5681"/>
  <c r="L5680"/>
  <c r="L5679"/>
  <c r="L5678"/>
  <c r="L5677"/>
  <c r="L5676"/>
  <c r="L5687"/>
  <c r="L5686"/>
  <c r="K5674"/>
  <c r="K5683" s="1"/>
  <c r="K5688"/>
  <c r="L5682" l="1"/>
  <c r="L5683" s="1"/>
  <c r="K5700"/>
  <c r="L5688"/>
  <c r="L5699"/>
  <c r="L5850"/>
  <c r="L5851" s="1"/>
  <c r="L5942"/>
  <c r="L5943" s="1"/>
  <c r="L5700" l="1"/>
  <c r="L5841" l="1"/>
  <c r="L5842" s="1"/>
  <c r="L5838"/>
  <c r="L5839" s="1"/>
  <c r="K5836"/>
  <c r="L5868" l="1"/>
  <c r="N5895"/>
  <c r="N5894"/>
  <c r="M5896"/>
  <c r="L5935"/>
  <c r="L5934"/>
  <c r="L5933"/>
  <c r="K5937"/>
  <c r="L5936"/>
  <c r="N5896" l="1"/>
  <c r="L5937"/>
  <c r="K5931" l="1"/>
  <c r="L5930"/>
  <c r="L5929"/>
  <c r="L5931" l="1"/>
  <c r="L5938" s="1"/>
  <c r="E5960" s="1"/>
  <c r="L5864" l="1"/>
  <c r="L5863"/>
  <c r="L5862"/>
  <c r="L5861"/>
  <c r="K5896"/>
  <c r="L5895"/>
  <c r="L5894"/>
  <c r="M5869"/>
  <c r="N5869"/>
  <c r="K5868"/>
  <c r="K5865"/>
  <c r="N5918"/>
  <c r="M5919"/>
  <c r="M5926" s="1"/>
  <c r="K5869" l="1"/>
  <c r="L5865"/>
  <c r="L5869" s="1"/>
  <c r="L5896"/>
  <c r="N5919"/>
  <c r="N5926" s="1"/>
  <c r="K5925" l="1"/>
  <c r="L5924"/>
  <c r="L5925" s="1"/>
  <c r="L5921" l="1"/>
  <c r="L5922" s="1"/>
  <c r="K5922"/>
  <c r="L5912" l="1"/>
  <c r="L5913" s="1"/>
  <c r="N5904"/>
  <c r="L5904"/>
  <c r="L5856"/>
  <c r="L5855"/>
  <c r="L5857" l="1"/>
  <c r="W5527" l="1"/>
  <c r="X5527" s="1"/>
  <c r="W5524"/>
  <c r="X5524" s="1"/>
  <c r="W5528"/>
  <c r="X5528" s="1"/>
  <c r="W6337"/>
  <c r="W6336"/>
  <c r="W6335"/>
  <c r="W6334"/>
  <c r="W6333"/>
  <c r="W6332"/>
  <c r="S6343"/>
  <c r="S6344" s="1"/>
  <c r="V6338"/>
  <c r="W6338" s="1"/>
  <c r="T6335"/>
  <c r="S6333"/>
  <c r="T6333" s="1"/>
  <c r="S6332"/>
  <c r="S6334"/>
  <c r="T6334" s="1"/>
  <c r="S6346"/>
  <c r="S6347" s="1"/>
  <c r="T6349"/>
  <c r="T6342"/>
  <c r="T6339"/>
  <c r="T6340" s="1"/>
  <c r="S6340"/>
  <c r="S6350"/>
  <c r="S6351" s="1"/>
  <c r="T6346" l="1"/>
  <c r="T6347" s="1"/>
  <c r="S6337"/>
  <c r="S6352" s="1"/>
  <c r="T6332"/>
  <c r="T6337" s="1"/>
  <c r="W5525"/>
  <c r="X5529"/>
  <c r="T6350"/>
  <c r="T6351" s="1"/>
  <c r="W5529"/>
  <c r="T6343"/>
  <c r="T6344" s="1"/>
  <c r="X5525"/>
  <c r="X5530" l="1"/>
  <c r="T6352"/>
  <c r="T6196" l="1"/>
  <c r="K6342" l="1"/>
  <c r="L6342" s="1"/>
  <c r="N6194" l="1"/>
  <c r="N6193"/>
  <c r="M6196"/>
  <c r="L6194"/>
  <c r="N6196" l="1"/>
  <c r="K6500"/>
  <c r="L6350"/>
  <c r="L6349"/>
  <c r="L6499"/>
  <c r="L6498"/>
  <c r="L6497"/>
  <c r="K6479"/>
  <c r="L6478"/>
  <c r="L6477"/>
  <c r="L6476"/>
  <c r="L6423"/>
  <c r="L6422"/>
  <c r="K6424"/>
  <c r="K6351"/>
  <c r="L6500" l="1"/>
  <c r="L6351"/>
  <c r="L6479"/>
  <c r="L6424"/>
  <c r="K6397" l="1"/>
  <c r="L6396"/>
  <c r="L6395"/>
  <c r="L6394"/>
  <c r="L6393"/>
  <c r="L6392"/>
  <c r="L6391"/>
  <c r="K6379"/>
  <c r="L6378"/>
  <c r="L6377"/>
  <c r="L6376"/>
  <c r="L6375"/>
  <c r="L6374"/>
  <c r="L6373"/>
  <c r="L6379" l="1"/>
  <c r="L6397"/>
  <c r="K6343"/>
  <c r="L6343" l="1"/>
  <c r="L6344" s="1"/>
  <c r="K6344"/>
  <c r="T6110"/>
  <c r="T6111" s="1"/>
  <c r="T6101"/>
  <c r="T6100"/>
  <c r="S6111"/>
  <c r="S6107"/>
  <c r="T6107" s="1"/>
  <c r="S6106"/>
  <c r="T6106" s="1"/>
  <c r="S6105"/>
  <c r="T6105" s="1"/>
  <c r="S6104"/>
  <c r="T6104" s="1"/>
  <c r="S6103"/>
  <c r="T6103" s="1"/>
  <c r="S6102"/>
  <c r="T6102" s="1"/>
  <c r="Z5484"/>
  <c r="Z5483"/>
  <c r="Z5477"/>
  <c r="Z5476"/>
  <c r="Z5474"/>
  <c r="Z5468"/>
  <c r="Z5470" s="1"/>
  <c r="Z5459"/>
  <c r="Z5461" s="1"/>
  <c r="Y5485"/>
  <c r="Y5478"/>
  <c r="Y5470"/>
  <c r="Y5461"/>
  <c r="Y5420"/>
  <c r="Z5415"/>
  <c r="Z5420" s="1"/>
  <c r="Z5409"/>
  <c r="Z5393"/>
  <c r="Z5390"/>
  <c r="Y5388"/>
  <c r="Y5406"/>
  <c r="Y5413" s="1"/>
  <c r="Y5389"/>
  <c r="Z5389" s="1"/>
  <c r="K6212"/>
  <c r="Z5485" l="1"/>
  <c r="S6108"/>
  <c r="S6112" s="1"/>
  <c r="Y5486"/>
  <c r="Z5478"/>
  <c r="T6108"/>
  <c r="T6112" s="1"/>
  <c r="Y5399"/>
  <c r="Y5421" s="1"/>
  <c r="Z5388"/>
  <c r="Z5406"/>
  <c r="Z5413" s="1"/>
  <c r="Z5486" l="1"/>
  <c r="Z5399"/>
  <c r="Z5421" s="1"/>
  <c r="L6346" l="1"/>
  <c r="L6347" s="1"/>
  <c r="N6346"/>
  <c r="N6347" s="1"/>
  <c r="L6339"/>
  <c r="L6340" s="1"/>
  <c r="K6337"/>
  <c r="L6336"/>
  <c r="L6335"/>
  <c r="L6334"/>
  <c r="L6333"/>
  <c r="L6332"/>
  <c r="K6590"/>
  <c r="L6589"/>
  <c r="L6588"/>
  <c r="L6587"/>
  <c r="L6586"/>
  <c r="L6585"/>
  <c r="L6584"/>
  <c r="L6583"/>
  <c r="L6582"/>
  <c r="K6569"/>
  <c r="L6568"/>
  <c r="L6567"/>
  <c r="L6566"/>
  <c r="L6565"/>
  <c r="L6564"/>
  <c r="L6563"/>
  <c r="L6562"/>
  <c r="L6561"/>
  <c r="K6580"/>
  <c r="L6579"/>
  <c r="L6578"/>
  <c r="L6577"/>
  <c r="L6576"/>
  <c r="L6575"/>
  <c r="L6574"/>
  <c r="L6573"/>
  <c r="L6572"/>
  <c r="K6559"/>
  <c r="L6558"/>
  <c r="L6557"/>
  <c r="L6556"/>
  <c r="L6555"/>
  <c r="L6554"/>
  <c r="L6553"/>
  <c r="L6552"/>
  <c r="L6551"/>
  <c r="L6550"/>
  <c r="L6569" l="1"/>
  <c r="L6590"/>
  <c r="L6337"/>
  <c r="L6352" s="1"/>
  <c r="E6511" s="1"/>
  <c r="L6559"/>
  <c r="L6580"/>
  <c r="L6570" l="1"/>
  <c r="L6591"/>
  <c r="L6138" l="1"/>
  <c r="L6139" s="1"/>
  <c r="L6135"/>
  <c r="L6136" s="1"/>
  <c r="K6133"/>
  <c r="L6132"/>
  <c r="L6131"/>
  <c r="L6130"/>
  <c r="L6133" l="1"/>
  <c r="K6195" l="1"/>
  <c r="L6195" s="1"/>
  <c r="K6193"/>
  <c r="L6193" s="1"/>
  <c r="K6192"/>
  <c r="L6192" s="1"/>
  <c r="K6191"/>
  <c r="L6191" s="1"/>
  <c r="K6190"/>
  <c r="W5420"/>
  <c r="X5419"/>
  <c r="X5420" s="1"/>
  <c r="X5412"/>
  <c r="X5411"/>
  <c r="X5410"/>
  <c r="X5409"/>
  <c r="X5408"/>
  <c r="X5407"/>
  <c r="X5406"/>
  <c r="X5403"/>
  <c r="X5402"/>
  <c r="X5401"/>
  <c r="X5398"/>
  <c r="X5397"/>
  <c r="X5396"/>
  <c r="X5395"/>
  <c r="X5394"/>
  <c r="X5392"/>
  <c r="X5391"/>
  <c r="X5390"/>
  <c r="X5389"/>
  <c r="X5425"/>
  <c r="W5425"/>
  <c r="W5404"/>
  <c r="W5393"/>
  <c r="X5393" s="1"/>
  <c r="W5413"/>
  <c r="U5468"/>
  <c r="V5468" s="1"/>
  <c r="U5485"/>
  <c r="V5483"/>
  <c r="V5485" s="1"/>
  <c r="V5472"/>
  <c r="U5470"/>
  <c r="V5467"/>
  <c r="V5460"/>
  <c r="V5461" s="1"/>
  <c r="U5477"/>
  <c r="V5477" s="1"/>
  <c r="U5461"/>
  <c r="T5561"/>
  <c r="S5563"/>
  <c r="T5563" s="1"/>
  <c r="S5562"/>
  <c r="T5562" s="1"/>
  <c r="T5528"/>
  <c r="T5527"/>
  <c r="S5529"/>
  <c r="S5524"/>
  <c r="S5525" s="1"/>
  <c r="T5556"/>
  <c r="T5555"/>
  <c r="T5554"/>
  <c r="S5553"/>
  <c r="T5553" s="1"/>
  <c r="S5552"/>
  <c r="T5552" s="1"/>
  <c r="T5516"/>
  <c r="S5517"/>
  <c r="T5517" s="1"/>
  <c r="S5518"/>
  <c r="S5506"/>
  <c r="S5509"/>
  <c r="S5502"/>
  <c r="S5504" s="1"/>
  <c r="T5518"/>
  <c r="T5513"/>
  <c r="T5509"/>
  <c r="T5508"/>
  <c r="T5507"/>
  <c r="T5506"/>
  <c r="T5503"/>
  <c r="T5502"/>
  <c r="T5499"/>
  <c r="T5500" s="1"/>
  <c r="S5500"/>
  <c r="S5512"/>
  <c r="T5512" s="1"/>
  <c r="S5519"/>
  <c r="T5519" s="1"/>
  <c r="T5494"/>
  <c r="T5495" s="1"/>
  <c r="T5491"/>
  <c r="S5495"/>
  <c r="S5490"/>
  <c r="T5490" s="1"/>
  <c r="S5489"/>
  <c r="T5489" s="1"/>
  <c r="L6360"/>
  <c r="L6361" s="1"/>
  <c r="L6357"/>
  <c r="L6356"/>
  <c r="L6355"/>
  <c r="K6121"/>
  <c r="L6184"/>
  <c r="L6183"/>
  <c r="L6182"/>
  <c r="L6181"/>
  <c r="L6358" l="1"/>
  <c r="L6362" s="1"/>
  <c r="L6190"/>
  <c r="L6196" s="1"/>
  <c r="K6196"/>
  <c r="T5514"/>
  <c r="T5504"/>
  <c r="X5413"/>
  <c r="L6185"/>
  <c r="X5404"/>
  <c r="V5470"/>
  <c r="W5399"/>
  <c r="W5421" s="1"/>
  <c r="S5520"/>
  <c r="T5529"/>
  <c r="S5492"/>
  <c r="S5510"/>
  <c r="S5564"/>
  <c r="T5492"/>
  <c r="T5520"/>
  <c r="T5557"/>
  <c r="T5564"/>
  <c r="V5478"/>
  <c r="S5557"/>
  <c r="T5524"/>
  <c r="U5478"/>
  <c r="U5486" s="1"/>
  <c r="X5399"/>
  <c r="S5514"/>
  <c r="T5510"/>
  <c r="S5521" l="1"/>
  <c r="X5421"/>
  <c r="V5486"/>
  <c r="T5521"/>
  <c r="T5525"/>
  <c r="T5530" s="1"/>
  <c r="M6366"/>
  <c r="S5474" l="1"/>
  <c r="T5460"/>
  <c r="S5459"/>
  <c r="T5459" s="1"/>
  <c r="T5461" l="1"/>
  <c r="T5484"/>
  <c r="T5485" s="1"/>
  <c r="S5475"/>
  <c r="V5430" l="1"/>
  <c r="U5434"/>
  <c r="V5434" s="1"/>
  <c r="V5438" s="1"/>
  <c r="U5424"/>
  <c r="V5424" s="1"/>
  <c r="V5425" s="1"/>
  <c r="U5428"/>
  <c r="V5428" s="1"/>
  <c r="V5412"/>
  <c r="V5411"/>
  <c r="V5410"/>
  <c r="V5408"/>
  <c r="V5407"/>
  <c r="V5406"/>
  <c r="V5402"/>
  <c r="V5398"/>
  <c r="V5397"/>
  <c r="V5396"/>
  <c r="V5394"/>
  <c r="V5393"/>
  <c r="V5392"/>
  <c r="V5384"/>
  <c r="V5383"/>
  <c r="U5409"/>
  <c r="U5413" s="1"/>
  <c r="U5386"/>
  <c r="U5403"/>
  <c r="V5403" s="1"/>
  <c r="U5395"/>
  <c r="V5395" s="1"/>
  <c r="U5390"/>
  <c r="V5390" s="1"/>
  <c r="U5389"/>
  <c r="V5389" s="1"/>
  <c r="U5388"/>
  <c r="U5391"/>
  <c r="V5391" s="1"/>
  <c r="U5401"/>
  <c r="V5401" s="1"/>
  <c r="S5485"/>
  <c r="T5477"/>
  <c r="T5474"/>
  <c r="T5473"/>
  <c r="T5469"/>
  <c r="T5466"/>
  <c r="S5467"/>
  <c r="T5467" s="1"/>
  <c r="T5481"/>
  <c r="S5481"/>
  <c r="S5461"/>
  <c r="S5476"/>
  <c r="T5476" s="1"/>
  <c r="T5475"/>
  <c r="T5472"/>
  <c r="S5468"/>
  <c r="T5468" s="1"/>
  <c r="N5724"/>
  <c r="M5725"/>
  <c r="N5668"/>
  <c r="N5669" s="1"/>
  <c r="M5669"/>
  <c r="K5734"/>
  <c r="L5733"/>
  <c r="L5734" s="1"/>
  <c r="K5720"/>
  <c r="K5666"/>
  <c r="L5665"/>
  <c r="L5666" s="1"/>
  <c r="K5712"/>
  <c r="L5711"/>
  <c r="L5712" s="1"/>
  <c r="K5766"/>
  <c r="K5770" s="1"/>
  <c r="K5754"/>
  <c r="L5753"/>
  <c r="L5752"/>
  <c r="L5751"/>
  <c r="K5740"/>
  <c r="L5739"/>
  <c r="L5738"/>
  <c r="K5747"/>
  <c r="L5746"/>
  <c r="L5745"/>
  <c r="L5744"/>
  <c r="L5743"/>
  <c r="L5668"/>
  <c r="L5669" s="1"/>
  <c r="K5669"/>
  <c r="K5658"/>
  <c r="L5657"/>
  <c r="L5656"/>
  <c r="L5655"/>
  <c r="L5654"/>
  <c r="L5653"/>
  <c r="V5404" l="1"/>
  <c r="V5431"/>
  <c r="V5449" s="1"/>
  <c r="V5386"/>
  <c r="U5425"/>
  <c r="U5399"/>
  <c r="U5431"/>
  <c r="T5478"/>
  <c r="T5470"/>
  <c r="S5470"/>
  <c r="S5478"/>
  <c r="V5388"/>
  <c r="V5399" s="1"/>
  <c r="U5404"/>
  <c r="U5438"/>
  <c r="V5409"/>
  <c r="V5413" s="1"/>
  <c r="N5725"/>
  <c r="L5658"/>
  <c r="L5740"/>
  <c r="E5788" s="1"/>
  <c r="L5747"/>
  <c r="L5754"/>
  <c r="U5421" l="1"/>
  <c r="U5449"/>
  <c r="L5763"/>
  <c r="E5791" s="1"/>
  <c r="S5486"/>
  <c r="T5486"/>
  <c r="V5421"/>
  <c r="K5888" l="1"/>
  <c r="L5887"/>
  <c r="L5888" s="1"/>
  <c r="K5857"/>
  <c r="K5913"/>
  <c r="K5851"/>
  <c r="K6495" l="1"/>
  <c r="N6413" l="1"/>
  <c r="M6412"/>
  <c r="N6412" s="1"/>
  <c r="N6409"/>
  <c r="N6410" s="1"/>
  <c r="M6410"/>
  <c r="N6399"/>
  <c r="N6400" s="1"/>
  <c r="M6400"/>
  <c r="N6388"/>
  <c r="N6383"/>
  <c r="M6389"/>
  <c r="N6370"/>
  <c r="N6369"/>
  <c r="N6368"/>
  <c r="N6367"/>
  <c r="N6366"/>
  <c r="N6365"/>
  <c r="N6360"/>
  <c r="N6361" s="1"/>
  <c r="N6357"/>
  <c r="N6356"/>
  <c r="N6355"/>
  <c r="M6361"/>
  <c r="M6358"/>
  <c r="N6414" l="1"/>
  <c r="N6415" s="1"/>
  <c r="N6371"/>
  <c r="N6358"/>
  <c r="N6362" s="1"/>
  <c r="M6371"/>
  <c r="M6401"/>
  <c r="M6414"/>
  <c r="M6415" s="1"/>
  <c r="N6389"/>
  <c r="M6362"/>
  <c r="N6342"/>
  <c r="N6344" s="1"/>
  <c r="N6335"/>
  <c r="N6333"/>
  <c r="N6332"/>
  <c r="M6344"/>
  <c r="M6334"/>
  <c r="M6347"/>
  <c r="N6405"/>
  <c r="N6404"/>
  <c r="M6406"/>
  <c r="L6405"/>
  <c r="L6404"/>
  <c r="K6406"/>
  <c r="L6406" l="1"/>
  <c r="N6401"/>
  <c r="N6334"/>
  <c r="N6337" s="1"/>
  <c r="N6406"/>
  <c r="M6337"/>
  <c r="M6352" s="1"/>
  <c r="T5375"/>
  <c r="T5374"/>
  <c r="T5373"/>
  <c r="N6352" l="1"/>
  <c r="N6506" s="1"/>
  <c r="S5355"/>
  <c r="T5355" s="1"/>
  <c r="T5411"/>
  <c r="T5408"/>
  <c r="T5403"/>
  <c r="T5402"/>
  <c r="T5401"/>
  <c r="T5398"/>
  <c r="T5396"/>
  <c r="T5394"/>
  <c r="T5393"/>
  <c r="T5391"/>
  <c r="T5385"/>
  <c r="T5386" s="1"/>
  <c r="S5386"/>
  <c r="S5397"/>
  <c r="T5397" s="1"/>
  <c r="S5388"/>
  <c r="T5388" s="1"/>
  <c r="S5390"/>
  <c r="T5390" s="1"/>
  <c r="S5389"/>
  <c r="T5389" s="1"/>
  <c r="S5417"/>
  <c r="S5418"/>
  <c r="T5418" s="1"/>
  <c r="S5412"/>
  <c r="T5412" s="1"/>
  <c r="S5395"/>
  <c r="T5395" s="1"/>
  <c r="S5404"/>
  <c r="S5392"/>
  <c r="T5392" s="1"/>
  <c r="S5369"/>
  <c r="S5370" s="1"/>
  <c r="T5354"/>
  <c r="T5353"/>
  <c r="T5363"/>
  <c r="T5362"/>
  <c r="T5361"/>
  <c r="T5358"/>
  <c r="S5372"/>
  <c r="S5366"/>
  <c r="S5360"/>
  <c r="T5360" s="1"/>
  <c r="S5359"/>
  <c r="T5359" s="1"/>
  <c r="S5352"/>
  <c r="T5352" s="1"/>
  <c r="T5349"/>
  <c r="T5350" s="1"/>
  <c r="S5350"/>
  <c r="S5346"/>
  <c r="T5346" s="1"/>
  <c r="L6494"/>
  <c r="L6493"/>
  <c r="L6492"/>
  <c r="L6491"/>
  <c r="L6490"/>
  <c r="L6420"/>
  <c r="L6425" l="1"/>
  <c r="E6519" s="1"/>
  <c r="T5369"/>
  <c r="T5370" s="1"/>
  <c r="T5404"/>
  <c r="L6495"/>
  <c r="S5420"/>
  <c r="T5372"/>
  <c r="T5376" s="1"/>
  <c r="S5376"/>
  <c r="T5399"/>
  <c r="T5413"/>
  <c r="S5413"/>
  <c r="T5417"/>
  <c r="T5420" s="1"/>
  <c r="S5399"/>
  <c r="T5356"/>
  <c r="L6474"/>
  <c r="K6474"/>
  <c r="K6457"/>
  <c r="L6456"/>
  <c r="L6455"/>
  <c r="L6440"/>
  <c r="L6441" s="1"/>
  <c r="K6488"/>
  <c r="K6501" s="1"/>
  <c r="L6488"/>
  <c r="K6420"/>
  <c r="K6400"/>
  <c r="L6399"/>
  <c r="L6400" s="1"/>
  <c r="K6347"/>
  <c r="K6441"/>
  <c r="K6361"/>
  <c r="K6438"/>
  <c r="L6437"/>
  <c r="L6436"/>
  <c r="L6435"/>
  <c r="L6434"/>
  <c r="K6467"/>
  <c r="L6466"/>
  <c r="L6465"/>
  <c r="K6432"/>
  <c r="L6431"/>
  <c r="L6432" s="1"/>
  <c r="L6501" l="1"/>
  <c r="E6523" s="1"/>
  <c r="S5421"/>
  <c r="T5421"/>
  <c r="L6457"/>
  <c r="L6438"/>
  <c r="L6467"/>
  <c r="K6340" l="1"/>
  <c r="K6352" s="1"/>
  <c r="K6453"/>
  <c r="L6452"/>
  <c r="L6451"/>
  <c r="L6450"/>
  <c r="L6449"/>
  <c r="K6463"/>
  <c r="K6480" s="1"/>
  <c r="L6462"/>
  <c r="K6429"/>
  <c r="K6442" s="1"/>
  <c r="L6428"/>
  <c r="K6447"/>
  <c r="L6446"/>
  <c r="L6445"/>
  <c r="K6458" l="1"/>
  <c r="L6429"/>
  <c r="L6442" s="1"/>
  <c r="E6520" s="1"/>
  <c r="L6463"/>
  <c r="L6480" s="1"/>
  <c r="L6447"/>
  <c r="L6453"/>
  <c r="L6413"/>
  <c r="L6412"/>
  <c r="K6414"/>
  <c r="L6271"/>
  <c r="L6272" s="1"/>
  <c r="L6268"/>
  <c r="L6269" s="1"/>
  <c r="L6280"/>
  <c r="L6281" s="1"/>
  <c r="L6173"/>
  <c r="L6172"/>
  <c r="K6170"/>
  <c r="N6165"/>
  <c r="N6170" s="1"/>
  <c r="N6174"/>
  <c r="M6174"/>
  <c r="M6170"/>
  <c r="N6184"/>
  <c r="N6183"/>
  <c r="N6181"/>
  <c r="M6182"/>
  <c r="M6185" s="1"/>
  <c r="M6187"/>
  <c r="N6187" s="1"/>
  <c r="N6188" s="1"/>
  <c r="N6147"/>
  <c r="N6144"/>
  <c r="M6148"/>
  <c r="N6157"/>
  <c r="N6158" s="1"/>
  <c r="N6154"/>
  <c r="N6155" s="1"/>
  <c r="N6151"/>
  <c r="N6152" s="1"/>
  <c r="M6158"/>
  <c r="M6152"/>
  <c r="M6155"/>
  <c r="N6107"/>
  <c r="N6106"/>
  <c r="N6120"/>
  <c r="N6118"/>
  <c r="N6117"/>
  <c r="N6116"/>
  <c r="M6115"/>
  <c r="M6119"/>
  <c r="N6119" s="1"/>
  <c r="N6133"/>
  <c r="M6133"/>
  <c r="M6108"/>
  <c r="M6112" s="1"/>
  <c r="L6458" l="1"/>
  <c r="E6521" s="1"/>
  <c r="L6414"/>
  <c r="E6522"/>
  <c r="N6175"/>
  <c r="M6159"/>
  <c r="N6148"/>
  <c r="L6174"/>
  <c r="N6159"/>
  <c r="M6175"/>
  <c r="L6273"/>
  <c r="M6121"/>
  <c r="M6140" s="1"/>
  <c r="N6115"/>
  <c r="N6121" s="1"/>
  <c r="N6108"/>
  <c r="N6112" s="1"/>
  <c r="M6188"/>
  <c r="M6197" s="1"/>
  <c r="N6182"/>
  <c r="N6185" s="1"/>
  <c r="N6197" l="1"/>
  <c r="N6140"/>
  <c r="N6285" l="1"/>
  <c r="L6110"/>
  <c r="L6111" s="1"/>
  <c r="K6155" l="1"/>
  <c r="L6154"/>
  <c r="L6155" s="1"/>
  <c r="K6136"/>
  <c r="K6158"/>
  <c r="L6157"/>
  <c r="L6158" s="1"/>
  <c r="K6179"/>
  <c r="L6178"/>
  <c r="K6263"/>
  <c r="L6262"/>
  <c r="L6263" s="1"/>
  <c r="K6139"/>
  <c r="K6272"/>
  <c r="K6269"/>
  <c r="L6179" l="1"/>
  <c r="K6277"/>
  <c r="L6276"/>
  <c r="L6277" s="1"/>
  <c r="K6281"/>
  <c r="K6229"/>
  <c r="L6228"/>
  <c r="L6229" s="1"/>
  <c r="K6237"/>
  <c r="L6236"/>
  <c r="L6235"/>
  <c r="L6234"/>
  <c r="L6233"/>
  <c r="K6260"/>
  <c r="L6259"/>
  <c r="L6258"/>
  <c r="L6257"/>
  <c r="L6256"/>
  <c r="L6255"/>
  <c r="K6220"/>
  <c r="L6219"/>
  <c r="L6220" s="1"/>
  <c r="K6245"/>
  <c r="L6244"/>
  <c r="L6245" s="1"/>
  <c r="L6237" l="1"/>
  <c r="L6260"/>
  <c r="K6226" l="1"/>
  <c r="K6230" s="1"/>
  <c r="L6225"/>
  <c r="L6224"/>
  <c r="K6242"/>
  <c r="K6246" s="1"/>
  <c r="L6241"/>
  <c r="L6240"/>
  <c r="L6239"/>
  <c r="K6253"/>
  <c r="K6264" s="1"/>
  <c r="L6252"/>
  <c r="L6251"/>
  <c r="L6250"/>
  <c r="L6249"/>
  <c r="L6216"/>
  <c r="K6217"/>
  <c r="K6221" s="1"/>
  <c r="L6217" l="1"/>
  <c r="L6221" s="1"/>
  <c r="L6242"/>
  <c r="L6226"/>
  <c r="L6230" s="1"/>
  <c r="E6291" s="1"/>
  <c r="L6253"/>
  <c r="L6264" s="1"/>
  <c r="E6293" s="1"/>
  <c r="L6246" l="1"/>
  <c r="E6292" s="1"/>
  <c r="E6310" s="1"/>
  <c r="K6389"/>
  <c r="K6401" s="1"/>
  <c r="L6388"/>
  <c r="L6387"/>
  <c r="L6386"/>
  <c r="L6385"/>
  <c r="L6384"/>
  <c r="L6383"/>
  <c r="K6371"/>
  <c r="L6370"/>
  <c r="L6369"/>
  <c r="L6368"/>
  <c r="L6367"/>
  <c r="L6366"/>
  <c r="L6365"/>
  <c r="K6358"/>
  <c r="K6362" s="1"/>
  <c r="K6410"/>
  <c r="K6415" s="1"/>
  <c r="L6409"/>
  <c r="L6410" s="1"/>
  <c r="L6415" s="1"/>
  <c r="E6516" s="1"/>
  <c r="N5380"/>
  <c r="M5381"/>
  <c r="L6371" l="1"/>
  <c r="E6512" s="1"/>
  <c r="N5381"/>
  <c r="L6389"/>
  <c r="L6401" s="1"/>
  <c r="E6513" s="1"/>
  <c r="L6380" l="1"/>
  <c r="E6526"/>
  <c r="L6506"/>
  <c r="U5322"/>
  <c r="V5322" s="1"/>
  <c r="U5324"/>
  <c r="V5324" s="1"/>
  <c r="V5341"/>
  <c r="V5340"/>
  <c r="V5339"/>
  <c r="V5336"/>
  <c r="V5337" s="1"/>
  <c r="V5333"/>
  <c r="V5329"/>
  <c r="V5328"/>
  <c r="V5325"/>
  <c r="V5323"/>
  <c r="V5321"/>
  <c r="V5319"/>
  <c r="U5342"/>
  <c r="U5330"/>
  <c r="U5320"/>
  <c r="V5320" s="1"/>
  <c r="U5332"/>
  <c r="V5332" s="1"/>
  <c r="U5337"/>
  <c r="V5334" l="1"/>
  <c r="V5330"/>
  <c r="V5342"/>
  <c r="U5326"/>
  <c r="V5326"/>
  <c r="U5334"/>
  <c r="U5343" l="1"/>
  <c r="V5343"/>
  <c r="N5453"/>
  <c r="N5454" s="1"/>
  <c r="M5454"/>
  <c r="L6211"/>
  <c r="L6210"/>
  <c r="L6209"/>
  <c r="L6208"/>
  <c r="L6207"/>
  <c r="L6206"/>
  <c r="L6205"/>
  <c r="L6204"/>
  <c r="L6203"/>
  <c r="L6202"/>
  <c r="L6201"/>
  <c r="L6200"/>
  <c r="K6148"/>
  <c r="L6147"/>
  <c r="L6146"/>
  <c r="L6145"/>
  <c r="L6144"/>
  <c r="L6143"/>
  <c r="L6169"/>
  <c r="L6168"/>
  <c r="L6167"/>
  <c r="L6166"/>
  <c r="L6165"/>
  <c r="L6164"/>
  <c r="L6163"/>
  <c r="K6111"/>
  <c r="K6152"/>
  <c r="K6159" s="1"/>
  <c r="L6151"/>
  <c r="K6188"/>
  <c r="L6187"/>
  <c r="K6128"/>
  <c r="K6140" s="1"/>
  <c r="L6127"/>
  <c r="L6126"/>
  <c r="L6125"/>
  <c r="L6124"/>
  <c r="L6123"/>
  <c r="K6185"/>
  <c r="L6120"/>
  <c r="L6119"/>
  <c r="L6118"/>
  <c r="L6117"/>
  <c r="L6116"/>
  <c r="L6115"/>
  <c r="K6174"/>
  <c r="K6108"/>
  <c r="L6107"/>
  <c r="L6106"/>
  <c r="L6105"/>
  <c r="L6104"/>
  <c r="L6103"/>
  <c r="L6102"/>
  <c r="L6101"/>
  <c r="L6100"/>
  <c r="K6092"/>
  <c r="L6091"/>
  <c r="L6090"/>
  <c r="L6089"/>
  <c r="L6088"/>
  <c r="L6087"/>
  <c r="L6086"/>
  <c r="L6085"/>
  <c r="L6084"/>
  <c r="L6083"/>
  <c r="L6082"/>
  <c r="L6081"/>
  <c r="L6080"/>
  <c r="K6079"/>
  <c r="L6078"/>
  <c r="L6077"/>
  <c r="K6074"/>
  <c r="L6073"/>
  <c r="L6072"/>
  <c r="L6071"/>
  <c r="L6070"/>
  <c r="L6069"/>
  <c r="L6068"/>
  <c r="K6067"/>
  <c r="L6066"/>
  <c r="L6065"/>
  <c r="L6064"/>
  <c r="L6063"/>
  <c r="L6062"/>
  <c r="L6061"/>
  <c r="K6060"/>
  <c r="L6059"/>
  <c r="L6058"/>
  <c r="L6057"/>
  <c r="L6056"/>
  <c r="L6055"/>
  <c r="K6054"/>
  <c r="L6053"/>
  <c r="L6052"/>
  <c r="L6051"/>
  <c r="L6050"/>
  <c r="L6049"/>
  <c r="L6048"/>
  <c r="L6047"/>
  <c r="K6046"/>
  <c r="L6045"/>
  <c r="L6046" s="1"/>
  <c r="L6188" l="1"/>
  <c r="L6197" s="1"/>
  <c r="K6197"/>
  <c r="L6212"/>
  <c r="L6121"/>
  <c r="L6170"/>
  <c r="L6175" s="1"/>
  <c r="K6175"/>
  <c r="L6152"/>
  <c r="L6159" s="1"/>
  <c r="K6112"/>
  <c r="L6054"/>
  <c r="L6060"/>
  <c r="L6067"/>
  <c r="L6079"/>
  <c r="L6128"/>
  <c r="L6148"/>
  <c r="L6074"/>
  <c r="L6092"/>
  <c r="L6108"/>
  <c r="L6112" s="1"/>
  <c r="L6041"/>
  <c r="L6040"/>
  <c r="L6039"/>
  <c r="K6042"/>
  <c r="K6038"/>
  <c r="L6037"/>
  <c r="L6038" s="1"/>
  <c r="K6036"/>
  <c r="L6035"/>
  <c r="L6036" s="1"/>
  <c r="K6034"/>
  <c r="L6033"/>
  <c r="L6032"/>
  <c r="L6031"/>
  <c r="L6030"/>
  <c r="L6029"/>
  <c r="K6026"/>
  <c r="L6025"/>
  <c r="L6024"/>
  <c r="L6023"/>
  <c r="L6022"/>
  <c r="L6021"/>
  <c r="K6020"/>
  <c r="L6019"/>
  <c r="L6018"/>
  <c r="L6017"/>
  <c r="K6016"/>
  <c r="L6015"/>
  <c r="L6014"/>
  <c r="L6013"/>
  <c r="L6012"/>
  <c r="K6011"/>
  <c r="L6010"/>
  <c r="L6009"/>
  <c r="L6008"/>
  <c r="L6007"/>
  <c r="L6006"/>
  <c r="L6005"/>
  <c r="K6003"/>
  <c r="L6002"/>
  <c r="L6001"/>
  <c r="K6000"/>
  <c r="L5999"/>
  <c r="L5998"/>
  <c r="L5997"/>
  <c r="L5996"/>
  <c r="L5995"/>
  <c r="L5994"/>
  <c r="L5993"/>
  <c r="L5992"/>
  <c r="K5990"/>
  <c r="L5989"/>
  <c r="L5990" s="1"/>
  <c r="L6140" l="1"/>
  <c r="L6285" s="1"/>
  <c r="L6042"/>
  <c r="L6003"/>
  <c r="L6011"/>
  <c r="L6020"/>
  <c r="L6026"/>
  <c r="L6034"/>
  <c r="L6000"/>
  <c r="L6016"/>
  <c r="K5448" l="1"/>
  <c r="L5566"/>
  <c r="L5567" s="1"/>
  <c r="M5431"/>
  <c r="O5430"/>
  <c r="O5428"/>
  <c r="K5544"/>
  <c r="L5544" s="1"/>
  <c r="K5543"/>
  <c r="N5540"/>
  <c r="M5540"/>
  <c r="K5567"/>
  <c r="K5557"/>
  <c r="L5556"/>
  <c r="L5555"/>
  <c r="L5554"/>
  <c r="L5553"/>
  <c r="L5552"/>
  <c r="K5564"/>
  <c r="L5563"/>
  <c r="L5562"/>
  <c r="L5561"/>
  <c r="K5550"/>
  <c r="L5549"/>
  <c r="L5550" s="1"/>
  <c r="K5545" l="1"/>
  <c r="L5564"/>
  <c r="L5568" s="1"/>
  <c r="L5557"/>
  <c r="L5558" s="1"/>
  <c r="L5543"/>
  <c r="L5545" s="1"/>
  <c r="L5570" l="1"/>
  <c r="N5942" l="1"/>
  <c r="N5943" s="1"/>
  <c r="M5879"/>
  <c r="M5883"/>
  <c r="N5883" s="1"/>
  <c r="N5884"/>
  <c r="N5882"/>
  <c r="N5881"/>
  <c r="N5880"/>
  <c r="N5876"/>
  <c r="N5875"/>
  <c r="N5874"/>
  <c r="N5873"/>
  <c r="N5872"/>
  <c r="M5877"/>
  <c r="N5838"/>
  <c r="M5839"/>
  <c r="M5852" s="1"/>
  <c r="M5943"/>
  <c r="N5902"/>
  <c r="M5902"/>
  <c r="N5910"/>
  <c r="M5910"/>
  <c r="M5905"/>
  <c r="N5730"/>
  <c r="N5648"/>
  <c r="M5648"/>
  <c r="N5731" l="1"/>
  <c r="N5735" s="1"/>
  <c r="M5914"/>
  <c r="N5879"/>
  <c r="N5885" s="1"/>
  <c r="M5885"/>
  <c r="M5889" s="1"/>
  <c r="N5839"/>
  <c r="N5852" s="1"/>
  <c r="N5905"/>
  <c r="N5914" s="1"/>
  <c r="N5877"/>
  <c r="N5889" l="1"/>
  <c r="N5947" s="1"/>
  <c r="K5842" l="1"/>
  <c r="L5918" l="1"/>
  <c r="K5827"/>
  <c r="K5885"/>
  <c r="L5919" l="1"/>
  <c r="L5926" s="1"/>
  <c r="K5909"/>
  <c r="K5908"/>
  <c r="K5907"/>
  <c r="E5957" l="1"/>
  <c r="L5909"/>
  <c r="L5908"/>
  <c r="L5907"/>
  <c r="K5910"/>
  <c r="K3469"/>
  <c r="L3468"/>
  <c r="L3467"/>
  <c r="L3466"/>
  <c r="L3465"/>
  <c r="L3464"/>
  <c r="L3463"/>
  <c r="L3462"/>
  <c r="L3469" l="1"/>
  <c r="L5910"/>
  <c r="K5905"/>
  <c r="L5905"/>
  <c r="K5839"/>
  <c r="K5943"/>
  <c r="K5919"/>
  <c r="K5926" s="1"/>
  <c r="K5902"/>
  <c r="L5901"/>
  <c r="L5835"/>
  <c r="L5834"/>
  <c r="L5833"/>
  <c r="L5832"/>
  <c r="L5831"/>
  <c r="L5830"/>
  <c r="L5829"/>
  <c r="L5884"/>
  <c r="L5883"/>
  <c r="L5882"/>
  <c r="L5881"/>
  <c r="L5880"/>
  <c r="L5879"/>
  <c r="K5848"/>
  <c r="L5847"/>
  <c r="L5846"/>
  <c r="L5845"/>
  <c r="L5844"/>
  <c r="L5826"/>
  <c r="L5825"/>
  <c r="L5824"/>
  <c r="L5823"/>
  <c r="L5822"/>
  <c r="L5821"/>
  <c r="L5820"/>
  <c r="L5819"/>
  <c r="K5877"/>
  <c r="K5889" s="1"/>
  <c r="L5876"/>
  <c r="L5875"/>
  <c r="L5874"/>
  <c r="L5873"/>
  <c r="L5872"/>
  <c r="N5708"/>
  <c r="N5707"/>
  <c r="M5706"/>
  <c r="K5709"/>
  <c r="L5708"/>
  <c r="L5707"/>
  <c r="L5706"/>
  <c r="M5645"/>
  <c r="M5670" s="1"/>
  <c r="K5852" l="1"/>
  <c r="K5914"/>
  <c r="L5836"/>
  <c r="N5706"/>
  <c r="L5848"/>
  <c r="L5885"/>
  <c r="L5827"/>
  <c r="L5902"/>
  <c r="L5914" s="1"/>
  <c r="E5956" s="1"/>
  <c r="N5645"/>
  <c r="N5670" s="1"/>
  <c r="L5709"/>
  <c r="L5877"/>
  <c r="N5709"/>
  <c r="M5709"/>
  <c r="M5713" s="1"/>
  <c r="M5731"/>
  <c r="M5735" s="1"/>
  <c r="K5651"/>
  <c r="L5650"/>
  <c r="L5651" s="1"/>
  <c r="K5731"/>
  <c r="L5730"/>
  <c r="L5731" s="1"/>
  <c r="K5648"/>
  <c r="L5647"/>
  <c r="L5648" s="1"/>
  <c r="K5728"/>
  <c r="L5727"/>
  <c r="L5728" s="1"/>
  <c r="K5717"/>
  <c r="K5721" s="1"/>
  <c r="K5645"/>
  <c r="L5644"/>
  <c r="L5643"/>
  <c r="L5642"/>
  <c r="L5641"/>
  <c r="L5640"/>
  <c r="L5639"/>
  <c r="L5638"/>
  <c r="L5637"/>
  <c r="K5704"/>
  <c r="K5713" s="1"/>
  <c r="L5703"/>
  <c r="L5702"/>
  <c r="K5663"/>
  <c r="L5662"/>
  <c r="L5661"/>
  <c r="L5660"/>
  <c r="K5725"/>
  <c r="L5724"/>
  <c r="K5635"/>
  <c r="L5634"/>
  <c r="L5633"/>
  <c r="L5632"/>
  <c r="L5631"/>
  <c r="L5852" l="1"/>
  <c r="E5953" s="1"/>
  <c r="K5670"/>
  <c r="N5713"/>
  <c r="N5774" s="1"/>
  <c r="L5889"/>
  <c r="E5954" s="1"/>
  <c r="K5735"/>
  <c r="L5725"/>
  <c r="L5635"/>
  <c r="L5704"/>
  <c r="L5713" s="1"/>
  <c r="E5781" s="1"/>
  <c r="L5663"/>
  <c r="L5645"/>
  <c r="L5947" l="1"/>
  <c r="L5670"/>
  <c r="E5780" s="1"/>
  <c r="E5966"/>
  <c r="L5735"/>
  <c r="E5785" s="1"/>
  <c r="L5774" l="1"/>
  <c r="E5796"/>
  <c r="T5366"/>
  <c r="T5367" s="1"/>
  <c r="S5367"/>
  <c r="S5347"/>
  <c r="T5364"/>
  <c r="T5342"/>
  <c r="S5342"/>
  <c r="T5325"/>
  <c r="T5316"/>
  <c r="T5315"/>
  <c r="T5312"/>
  <c r="T5337"/>
  <c r="S5337"/>
  <c r="S5317"/>
  <c r="S5322"/>
  <c r="T5322" s="1"/>
  <c r="S5332"/>
  <c r="S5334" s="1"/>
  <c r="S5320"/>
  <c r="T5320" s="1"/>
  <c r="S5321"/>
  <c r="T5321" s="1"/>
  <c r="S5319"/>
  <c r="S5328"/>
  <c r="T5328" s="1"/>
  <c r="T5330" s="1"/>
  <c r="S5323"/>
  <c r="T5323" s="1"/>
  <c r="S5324"/>
  <c r="T5324" s="1"/>
  <c r="S5313"/>
  <c r="T5347" l="1"/>
  <c r="T5377" s="1"/>
  <c r="T5317"/>
  <c r="S5326"/>
  <c r="T5319"/>
  <c r="T5326" s="1"/>
  <c r="T5332"/>
  <c r="T5334" s="1"/>
  <c r="S5356"/>
  <c r="S5364"/>
  <c r="S5330"/>
  <c r="T5313"/>
  <c r="P5235"/>
  <c r="P5236" s="1"/>
  <c r="O5250"/>
  <c r="P5250" s="1"/>
  <c r="O5236"/>
  <c r="P5249"/>
  <c r="P5248"/>
  <c r="P5247"/>
  <c r="P5245"/>
  <c r="O5246"/>
  <c r="P5246" s="1"/>
  <c r="P5242"/>
  <c r="P5241"/>
  <c r="P5240"/>
  <c r="P5239"/>
  <c r="O5243"/>
  <c r="T5217"/>
  <c r="T5211"/>
  <c r="T5210"/>
  <c r="T5209"/>
  <c r="T5208"/>
  <c r="S5212"/>
  <c r="S5218"/>
  <c r="T5218" s="1"/>
  <c r="S5216"/>
  <c r="T5216" s="1"/>
  <c r="S5215"/>
  <c r="T5215" s="1"/>
  <c r="V5168"/>
  <c r="V5167"/>
  <c r="U5165"/>
  <c r="U5156"/>
  <c r="O5251" l="1"/>
  <c r="S5377"/>
  <c r="S5343"/>
  <c r="T5343"/>
  <c r="T5219"/>
  <c r="P5251"/>
  <c r="T5212"/>
  <c r="T5213" s="1"/>
  <c r="P5243"/>
  <c r="S5213"/>
  <c r="S5219"/>
  <c r="K5251"/>
  <c r="P5252" l="1"/>
  <c r="S5220"/>
  <c r="T5220"/>
  <c r="V5164" l="1"/>
  <c r="V5156"/>
  <c r="V5170"/>
  <c r="V5169"/>
  <c r="V5165"/>
  <c r="U5158"/>
  <c r="U5171"/>
  <c r="S5165"/>
  <c r="T5165" s="1"/>
  <c r="S5156"/>
  <c r="T5156" s="1"/>
  <c r="T5158" s="1"/>
  <c r="S5169"/>
  <c r="T5169" s="1"/>
  <c r="T5166"/>
  <c r="T5168"/>
  <c r="T5167"/>
  <c r="T5164"/>
  <c r="T5162"/>
  <c r="S5162"/>
  <c r="S5170"/>
  <c r="T5170" s="1"/>
  <c r="T5204"/>
  <c r="T5203"/>
  <c r="T5202"/>
  <c r="T5201"/>
  <c r="T5200"/>
  <c r="T5199"/>
  <c r="T5198"/>
  <c r="T5195"/>
  <c r="T5193"/>
  <c r="T5192"/>
  <c r="T5191"/>
  <c r="T5190"/>
  <c r="S5205"/>
  <c r="S5194"/>
  <c r="T5194" s="1"/>
  <c r="K4941"/>
  <c r="S5158" l="1"/>
  <c r="T5205"/>
  <c r="V5171"/>
  <c r="V5158"/>
  <c r="S5196"/>
  <c r="S5171"/>
  <c r="T5196"/>
  <c r="T5171"/>
  <c r="T5178" s="1"/>
  <c r="K5308"/>
  <c r="K5064"/>
  <c r="L5063"/>
  <c r="L5062"/>
  <c r="L5061"/>
  <c r="K5059"/>
  <c r="L5058"/>
  <c r="L5057"/>
  <c r="L5056"/>
  <c r="K5053"/>
  <c r="L5052"/>
  <c r="L5053" s="1"/>
  <c r="L5250"/>
  <c r="L5249"/>
  <c r="L5248"/>
  <c r="L5247"/>
  <c r="L5246"/>
  <c r="L5245"/>
  <c r="K5243"/>
  <c r="L5242"/>
  <c r="L5241"/>
  <c r="L5240"/>
  <c r="L5239"/>
  <c r="E5268"/>
  <c r="T5206" l="1"/>
  <c r="V5178"/>
  <c r="L5251"/>
  <c r="L5064"/>
  <c r="L5243"/>
  <c r="L5059"/>
  <c r="L5252" l="1"/>
  <c r="L5065"/>
  <c r="K5420" l="1"/>
  <c r="L5410"/>
  <c r="L5409"/>
  <c r="N5377"/>
  <c r="K5376"/>
  <c r="K5347"/>
  <c r="L5346"/>
  <c r="L5347" s="1"/>
  <c r="K5539"/>
  <c r="L5538"/>
  <c r="L5537"/>
  <c r="L5536"/>
  <c r="K5485"/>
  <c r="L5484"/>
  <c r="L5483"/>
  <c r="L5419"/>
  <c r="L5418"/>
  <c r="L5417"/>
  <c r="L5416"/>
  <c r="L5415"/>
  <c r="M5377"/>
  <c r="L5375"/>
  <c r="L5374"/>
  <c r="L5373"/>
  <c r="L5372"/>
  <c r="K5342"/>
  <c r="L5341"/>
  <c r="L5340"/>
  <c r="L5339"/>
  <c r="L5307"/>
  <c r="L5306"/>
  <c r="L5305"/>
  <c r="L5342" l="1"/>
  <c r="L5485"/>
  <c r="L5308"/>
  <c r="L5376"/>
  <c r="L5420"/>
  <c r="L5539"/>
  <c r="N5527" l="1"/>
  <c r="N5529" s="1"/>
  <c r="N5530" s="1"/>
  <c r="N5489"/>
  <c r="N5425"/>
  <c r="M5425"/>
  <c r="L5424"/>
  <c r="L5425" s="1"/>
  <c r="N5403"/>
  <c r="N5402"/>
  <c r="N5401"/>
  <c r="N5398"/>
  <c r="N5397"/>
  <c r="N5396"/>
  <c r="N5395"/>
  <c r="N5393"/>
  <c r="N5392"/>
  <c r="N5391"/>
  <c r="N5390"/>
  <c r="N5389"/>
  <c r="N5388"/>
  <c r="N5320"/>
  <c r="N5326" s="1"/>
  <c r="N5312"/>
  <c r="N5313" s="1"/>
  <c r="N5299"/>
  <c r="N5300" s="1"/>
  <c r="N5296"/>
  <c r="M5472"/>
  <c r="N5472" s="1"/>
  <c r="M5473"/>
  <c r="N5473" s="1"/>
  <c r="M5467"/>
  <c r="M5470" s="1"/>
  <c r="M5300"/>
  <c r="M5297"/>
  <c r="M5326"/>
  <c r="M5313"/>
  <c r="N5480"/>
  <c r="N5481" s="1"/>
  <c r="N5469"/>
  <c r="N5468"/>
  <c r="N5467"/>
  <c r="N5466"/>
  <c r="N5463"/>
  <c r="N5464" s="1"/>
  <c r="M5481"/>
  <c r="M5464"/>
  <c r="N5492"/>
  <c r="M5492"/>
  <c r="M5496" s="1"/>
  <c r="M5529"/>
  <c r="M5530" s="1"/>
  <c r="L5528"/>
  <c r="L5527"/>
  <c r="K5529"/>
  <c r="M5394"/>
  <c r="M5404"/>
  <c r="N5447"/>
  <c r="N5446"/>
  <c r="N5444"/>
  <c r="N5443"/>
  <c r="N5440"/>
  <c r="N5441" s="1"/>
  <c r="N5437"/>
  <c r="N5436"/>
  <c r="N5435"/>
  <c r="N5434"/>
  <c r="N5433"/>
  <c r="N5430"/>
  <c r="N5429"/>
  <c r="N5428"/>
  <c r="M5448"/>
  <c r="M5441"/>
  <c r="M5438"/>
  <c r="L5447"/>
  <c r="L5446"/>
  <c r="L5445"/>
  <c r="L5444"/>
  <c r="L5443"/>
  <c r="K5441"/>
  <c r="L5440"/>
  <c r="L5441" s="1"/>
  <c r="N5394" l="1"/>
  <c r="M5309"/>
  <c r="N5431"/>
  <c r="L5448"/>
  <c r="N5404"/>
  <c r="M5343"/>
  <c r="M5478"/>
  <c r="M5486" s="1"/>
  <c r="N5297"/>
  <c r="N5309" s="1"/>
  <c r="N5478"/>
  <c r="N5343"/>
  <c r="L5529"/>
  <c r="M5399"/>
  <c r="M5421" s="1"/>
  <c r="N5496"/>
  <c r="N5445"/>
  <c r="N5448" s="1"/>
  <c r="N5399"/>
  <c r="N5438"/>
  <c r="M5449"/>
  <c r="N5470"/>
  <c r="N5421" l="1"/>
  <c r="N5449"/>
  <c r="N5486"/>
  <c r="K5438"/>
  <c r="L5437"/>
  <c r="L5436"/>
  <c r="L5435"/>
  <c r="L5434"/>
  <c r="L5433"/>
  <c r="K5431"/>
  <c r="L5430"/>
  <c r="L5429"/>
  <c r="L5428"/>
  <c r="K5425"/>
  <c r="N5574" l="1"/>
  <c r="L5438"/>
  <c r="L5431"/>
  <c r="W4251"/>
  <c r="W4252" s="1"/>
  <c r="W4247"/>
  <c r="W4246"/>
  <c r="W4245"/>
  <c r="W4243"/>
  <c r="W4234"/>
  <c r="W4233"/>
  <c r="V4252"/>
  <c r="V4248"/>
  <c r="V4235"/>
  <c r="L5449" l="1"/>
  <c r="V4262"/>
  <c r="W4248"/>
  <c r="W4235"/>
  <c r="L5613"/>
  <c r="L5614" s="1"/>
  <c r="K5621"/>
  <c r="L5620"/>
  <c r="L5619"/>
  <c r="L5618"/>
  <c r="L5617"/>
  <c r="L5616"/>
  <c r="K5614"/>
  <c r="W4262" l="1"/>
  <c r="L5621"/>
  <c r="L5623" s="1"/>
  <c r="K5520"/>
  <c r="L5336"/>
  <c r="L5337" s="1"/>
  <c r="L5494" l="1"/>
  <c r="L5495" s="1"/>
  <c r="L5299"/>
  <c r="L5300" s="1"/>
  <c r="L5296"/>
  <c r="L5297" s="1"/>
  <c r="L5293"/>
  <c r="L5312"/>
  <c r="K5337"/>
  <c r="K5367"/>
  <c r="L5366"/>
  <c r="L5367" s="1"/>
  <c r="K5370"/>
  <c r="L5369"/>
  <c r="L5370" s="1"/>
  <c r="K5481"/>
  <c r="L5480"/>
  <c r="L5481" s="1"/>
  <c r="K5457"/>
  <c r="L5456"/>
  <c r="K5534"/>
  <c r="K5540" s="1"/>
  <c r="L5533"/>
  <c r="K5492"/>
  <c r="L5491"/>
  <c r="L5490"/>
  <c r="L5489"/>
  <c r="K5504"/>
  <c r="L5503"/>
  <c r="L5502"/>
  <c r="K5350"/>
  <c r="L5349"/>
  <c r="K5413"/>
  <c r="L5412"/>
  <c r="L5411"/>
  <c r="L5408"/>
  <c r="L5407"/>
  <c r="L5406"/>
  <c r="K5461"/>
  <c r="L5460"/>
  <c r="L5459"/>
  <c r="K5334"/>
  <c r="L5333"/>
  <c r="L5332"/>
  <c r="K5404"/>
  <c r="L5403"/>
  <c r="L5402"/>
  <c r="L5401"/>
  <c r="K5514"/>
  <c r="L5513"/>
  <c r="L5512"/>
  <c r="K5300"/>
  <c r="K5330"/>
  <c r="L5329"/>
  <c r="L5328"/>
  <c r="K5364"/>
  <c r="L5363"/>
  <c r="L5362"/>
  <c r="L5361"/>
  <c r="L5360"/>
  <c r="L5359"/>
  <c r="L5358"/>
  <c r="K5399"/>
  <c r="L5398"/>
  <c r="L5397"/>
  <c r="L5396"/>
  <c r="L5395"/>
  <c r="L5394"/>
  <c r="L5393"/>
  <c r="L5392"/>
  <c r="L5391"/>
  <c r="L5390"/>
  <c r="L5389"/>
  <c r="L5388"/>
  <c r="K5478"/>
  <c r="L5477"/>
  <c r="L5476"/>
  <c r="L5475"/>
  <c r="L5474"/>
  <c r="L5473"/>
  <c r="L5472"/>
  <c r="K5495"/>
  <c r="K5510"/>
  <c r="L5509"/>
  <c r="L5508"/>
  <c r="L5507"/>
  <c r="L5506"/>
  <c r="K5303"/>
  <c r="L5302"/>
  <c r="L5303" s="1"/>
  <c r="K5326"/>
  <c r="L5325"/>
  <c r="L5324"/>
  <c r="L5323"/>
  <c r="L5322"/>
  <c r="L5321"/>
  <c r="L5320"/>
  <c r="L5319"/>
  <c r="K5313"/>
  <c r="K5464"/>
  <c r="L5463"/>
  <c r="K5500"/>
  <c r="L5499"/>
  <c r="K5297"/>
  <c r="K5294"/>
  <c r="K5317"/>
  <c r="L5316"/>
  <c r="L5315"/>
  <c r="K5356"/>
  <c r="L5355"/>
  <c r="L5354"/>
  <c r="L5353"/>
  <c r="L5352"/>
  <c r="K5386"/>
  <c r="L5385"/>
  <c r="L5384"/>
  <c r="L5383"/>
  <c r="K5470"/>
  <c r="L5469"/>
  <c r="L5468"/>
  <c r="L5467"/>
  <c r="L5466"/>
  <c r="L5519"/>
  <c r="L5518"/>
  <c r="L5517"/>
  <c r="L5516"/>
  <c r="K5525"/>
  <c r="K5530" s="1"/>
  <c r="L5524"/>
  <c r="K5381"/>
  <c r="L5380"/>
  <c r="K5454"/>
  <c r="L5453"/>
  <c r="N5230"/>
  <c r="N5229"/>
  <c r="N5228"/>
  <c r="N5224"/>
  <c r="N5223"/>
  <c r="N5215"/>
  <c r="N5209"/>
  <c r="N5187"/>
  <c r="N5186"/>
  <c r="N5183"/>
  <c r="N5182"/>
  <c r="N5181"/>
  <c r="L5326" l="1"/>
  <c r="K5421"/>
  <c r="N5231"/>
  <c r="K5309"/>
  <c r="K5486"/>
  <c r="K5496"/>
  <c r="K5377"/>
  <c r="L5350"/>
  <c r="K5343"/>
  <c r="L5520"/>
  <c r="K5521"/>
  <c r="L5313"/>
  <c r="L5454"/>
  <c r="L5381"/>
  <c r="L5525"/>
  <c r="L5530" s="1"/>
  <c r="E5585" s="1"/>
  <c r="L5413"/>
  <c r="L5294"/>
  <c r="L5309" s="1"/>
  <c r="L5386"/>
  <c r="L5356"/>
  <c r="L5399"/>
  <c r="L5470"/>
  <c r="L5317"/>
  <c r="L5464"/>
  <c r="L5478"/>
  <c r="L5330"/>
  <c r="L5514"/>
  <c r="L5334"/>
  <c r="L5492"/>
  <c r="L5496" s="1"/>
  <c r="E5583" s="1"/>
  <c r="L5534"/>
  <c r="L5540" s="1"/>
  <c r="E5586" s="1"/>
  <c r="L5500"/>
  <c r="L5510"/>
  <c r="L5364"/>
  <c r="L5404"/>
  <c r="L5461"/>
  <c r="L5504"/>
  <c r="L5457"/>
  <c r="N5213"/>
  <c r="M5213"/>
  <c r="M5231"/>
  <c r="N5226"/>
  <c r="M5226"/>
  <c r="N5219"/>
  <c r="M5219"/>
  <c r="N5184"/>
  <c r="N5188" s="1"/>
  <c r="M5184"/>
  <c r="M5188" s="1"/>
  <c r="L5186"/>
  <c r="L5187" s="1"/>
  <c r="L5421" l="1"/>
  <c r="E5581" s="1"/>
  <c r="N5232"/>
  <c r="L5343"/>
  <c r="L5377"/>
  <c r="E5580" s="1"/>
  <c r="L5486"/>
  <c r="E5582" s="1"/>
  <c r="L5521"/>
  <c r="E5584" s="1"/>
  <c r="M5232"/>
  <c r="N5220"/>
  <c r="M5220"/>
  <c r="E5589" l="1"/>
  <c r="L5574"/>
  <c r="N5256"/>
  <c r="K3881"/>
  <c r="L3880"/>
  <c r="L3881" s="1"/>
  <c r="T3872" l="1"/>
  <c r="T3871"/>
  <c r="T3870"/>
  <c r="T3868"/>
  <c r="T3867"/>
  <c r="T3865"/>
  <c r="T3864"/>
  <c r="T3863"/>
  <c r="T3862"/>
  <c r="S3869"/>
  <c r="T3869" s="1"/>
  <c r="T3853"/>
  <c r="T3852"/>
  <c r="S3851"/>
  <c r="T3851" s="1"/>
  <c r="S3876"/>
  <c r="T3876" s="1"/>
  <c r="T3875"/>
  <c r="T3859"/>
  <c r="T3860" s="1"/>
  <c r="T3845"/>
  <c r="T3844"/>
  <c r="T3843"/>
  <c r="S3860"/>
  <c r="S3846"/>
  <c r="S3877"/>
  <c r="T3877" s="1"/>
  <c r="E4118"/>
  <c r="K4093"/>
  <c r="L4092"/>
  <c r="L4091"/>
  <c r="L4090"/>
  <c r="L4089"/>
  <c r="L4088"/>
  <c r="L4087"/>
  <c r="L4086"/>
  <c r="L4085"/>
  <c r="L4084"/>
  <c r="L4083"/>
  <c r="L4082"/>
  <c r="K4079"/>
  <c r="L4078"/>
  <c r="L4077"/>
  <c r="L4076"/>
  <c r="L4075"/>
  <c r="L4074"/>
  <c r="L4073"/>
  <c r="K4071"/>
  <c r="L4070"/>
  <c r="L4069"/>
  <c r="L4068"/>
  <c r="L4067"/>
  <c r="L4066"/>
  <c r="L4065"/>
  <c r="L5176"/>
  <c r="L5177" s="1"/>
  <c r="S3854" l="1"/>
  <c r="T3846"/>
  <c r="L4079"/>
  <c r="T3854"/>
  <c r="S3873"/>
  <c r="T3878"/>
  <c r="T3873"/>
  <c r="S3878"/>
  <c r="L4093"/>
  <c r="E4121" s="1"/>
  <c r="L4071"/>
  <c r="K5236"/>
  <c r="L5235"/>
  <c r="L5236" s="1"/>
  <c r="L4080" l="1"/>
  <c r="E4120" s="1"/>
  <c r="S3882"/>
  <c r="T3882"/>
  <c r="K5177"/>
  <c r="K5174"/>
  <c r="L5173"/>
  <c r="L5174" s="1"/>
  <c r="K5219"/>
  <c r="L5218"/>
  <c r="L5217"/>
  <c r="L5216"/>
  <c r="L5215"/>
  <c r="K5226"/>
  <c r="L5225"/>
  <c r="L5224"/>
  <c r="L5223"/>
  <c r="K5171"/>
  <c r="L5170"/>
  <c r="L5169"/>
  <c r="L5168"/>
  <c r="L5167"/>
  <c r="L5166"/>
  <c r="L5165"/>
  <c r="L5164"/>
  <c r="K5187"/>
  <c r="K5205"/>
  <c r="L5204"/>
  <c r="L5203"/>
  <c r="L5202"/>
  <c r="L5201"/>
  <c r="L5200"/>
  <c r="L5199"/>
  <c r="L5198"/>
  <c r="K5158"/>
  <c r="L5157"/>
  <c r="L5156"/>
  <c r="K5213"/>
  <c r="L5212"/>
  <c r="L5211"/>
  <c r="L5210"/>
  <c r="L5209"/>
  <c r="L5208"/>
  <c r="K5231"/>
  <c r="L5230"/>
  <c r="L5229"/>
  <c r="L5228"/>
  <c r="K5162"/>
  <c r="L5161"/>
  <c r="L5160"/>
  <c r="K5184"/>
  <c r="L5183"/>
  <c r="L5182"/>
  <c r="L5181"/>
  <c r="K5196"/>
  <c r="K5206" s="1"/>
  <c r="L5195"/>
  <c r="L5194"/>
  <c r="L5193"/>
  <c r="L5192"/>
  <c r="L5191"/>
  <c r="L5190"/>
  <c r="K5132"/>
  <c r="L5131"/>
  <c r="L5130"/>
  <c r="L5129"/>
  <c r="L5128"/>
  <c r="L5127"/>
  <c r="L5126"/>
  <c r="K5124"/>
  <c r="L5123"/>
  <c r="L5122"/>
  <c r="L5121"/>
  <c r="L5120"/>
  <c r="L5119"/>
  <c r="L5118"/>
  <c r="K5146"/>
  <c r="L5145"/>
  <c r="L5144"/>
  <c r="L5143"/>
  <c r="L5142"/>
  <c r="L5141"/>
  <c r="L5140"/>
  <c r="L5139"/>
  <c r="L5138"/>
  <c r="L5137"/>
  <c r="L5136"/>
  <c r="L5135"/>
  <c r="K5220" l="1"/>
  <c r="K5188"/>
  <c r="L5231"/>
  <c r="K5178"/>
  <c r="K5232"/>
  <c r="L5146"/>
  <c r="L5196"/>
  <c r="L5213"/>
  <c r="L5158"/>
  <c r="L5184"/>
  <c r="L5162"/>
  <c r="L5205"/>
  <c r="L5171"/>
  <c r="L5226"/>
  <c r="L5219"/>
  <c r="L5132"/>
  <c r="L5124"/>
  <c r="L5206" l="1"/>
  <c r="E5264" s="1"/>
  <c r="L5232"/>
  <c r="L5178"/>
  <c r="E5262" s="1"/>
  <c r="L5188"/>
  <c r="E5263" s="1"/>
  <c r="L5220"/>
  <c r="E5265" s="1"/>
  <c r="L5133"/>
  <c r="L5149" s="1"/>
  <c r="L5256" l="1"/>
  <c r="E5266"/>
  <c r="E5271" s="1"/>
  <c r="K5017" l="1"/>
  <c r="K4991"/>
  <c r="N5044"/>
  <c r="N5045" s="1"/>
  <c r="N5021"/>
  <c r="N5022" s="1"/>
  <c r="M5045"/>
  <c r="M5049" s="1"/>
  <c r="M5024"/>
  <c r="N5024" s="1"/>
  <c r="N5025" s="1"/>
  <c r="M5022"/>
  <c r="L5030"/>
  <c r="L5031" s="1"/>
  <c r="M5025" l="1"/>
  <c r="M5032" s="1"/>
  <c r="N5049"/>
  <c r="N5032"/>
  <c r="K5031" l="1"/>
  <c r="N4969" l="1"/>
  <c r="N4970" s="1"/>
  <c r="N5068" s="1"/>
  <c r="M4970"/>
  <c r="L5035" l="1"/>
  <c r="L5036" s="1"/>
  <c r="K5110"/>
  <c r="L5109"/>
  <c r="L5108"/>
  <c r="L5107"/>
  <c r="L5106"/>
  <c r="L4964"/>
  <c r="L4965" s="1"/>
  <c r="K4965"/>
  <c r="K4977"/>
  <c r="L4976"/>
  <c r="L4977" s="1"/>
  <c r="K5036"/>
  <c r="K5028"/>
  <c r="L5027"/>
  <c r="K5048"/>
  <c r="L5047"/>
  <c r="K5025"/>
  <c r="L5024"/>
  <c r="L5025" s="1"/>
  <c r="K4970"/>
  <c r="L4969"/>
  <c r="L4970" s="1"/>
  <c r="K4962"/>
  <c r="L4961"/>
  <c r="L4962" s="1"/>
  <c r="K4959"/>
  <c r="L4958"/>
  <c r="L4957"/>
  <c r="L4956"/>
  <c r="L4955"/>
  <c r="L4954"/>
  <c r="K5022"/>
  <c r="K5032" s="1"/>
  <c r="L5021"/>
  <c r="K5045"/>
  <c r="L5044"/>
  <c r="L5043"/>
  <c r="L5042"/>
  <c r="K5040"/>
  <c r="L5039"/>
  <c r="L4990"/>
  <c r="L4989"/>
  <c r="L4988"/>
  <c r="L4987"/>
  <c r="L4986"/>
  <c r="L5016"/>
  <c r="L5015"/>
  <c r="L5014"/>
  <c r="L5013"/>
  <c r="L5012"/>
  <c r="L5011"/>
  <c r="K4952"/>
  <c r="L4951"/>
  <c r="L4950"/>
  <c r="L4949"/>
  <c r="L4948"/>
  <c r="L4947"/>
  <c r="L4946"/>
  <c r="K5009"/>
  <c r="L5008"/>
  <c r="L5009" s="1"/>
  <c r="K4944"/>
  <c r="L4943"/>
  <c r="L4944" s="1"/>
  <c r="K4999"/>
  <c r="L4998"/>
  <c r="L4999" s="1"/>
  <c r="K4984"/>
  <c r="L4983"/>
  <c r="L4982"/>
  <c r="L4981"/>
  <c r="L4980"/>
  <c r="L4979"/>
  <c r="K5006"/>
  <c r="L5005"/>
  <c r="L5004"/>
  <c r="L5003"/>
  <c r="L5002"/>
  <c r="L5001"/>
  <c r="L4940"/>
  <c r="L4939"/>
  <c r="L4938"/>
  <c r="L4937"/>
  <c r="L4936"/>
  <c r="L4935"/>
  <c r="L4934"/>
  <c r="L4933"/>
  <c r="K4974"/>
  <c r="L4973"/>
  <c r="K4996"/>
  <c r="L4995"/>
  <c r="L4941" l="1"/>
  <c r="L4991"/>
  <c r="E5079"/>
  <c r="K4966"/>
  <c r="L5017"/>
  <c r="K5049"/>
  <c r="K5018"/>
  <c r="K4992"/>
  <c r="L4974"/>
  <c r="L5040"/>
  <c r="L4996"/>
  <c r="L5022"/>
  <c r="L5110"/>
  <c r="L5048"/>
  <c r="L5045"/>
  <c r="L4952"/>
  <c r="L5006"/>
  <c r="L4984"/>
  <c r="L4959"/>
  <c r="L5028"/>
  <c r="U3802"/>
  <c r="U3804" s="1"/>
  <c r="V3821"/>
  <c r="V3812"/>
  <c r="V3813" s="1"/>
  <c r="U3813"/>
  <c r="U3815"/>
  <c r="V3815" s="1"/>
  <c r="S3802"/>
  <c r="S3816"/>
  <c r="S3815"/>
  <c r="V3831"/>
  <c r="V3833" s="1"/>
  <c r="U3833"/>
  <c r="V3825"/>
  <c r="V3822"/>
  <c r="U3819"/>
  <c r="V3816"/>
  <c r="U3824"/>
  <c r="U3826" s="1"/>
  <c r="U3808"/>
  <c r="V3808" s="1"/>
  <c r="V3809" s="1"/>
  <c r="L4992" l="1"/>
  <c r="E5074" s="1"/>
  <c r="L5018"/>
  <c r="E5075" s="1"/>
  <c r="L5049"/>
  <c r="E5080" s="1"/>
  <c r="L4966"/>
  <c r="E5073" s="1"/>
  <c r="L5032"/>
  <c r="E5078" s="1"/>
  <c r="U3809"/>
  <c r="V3802"/>
  <c r="V3804" s="1"/>
  <c r="V3824"/>
  <c r="V3826" s="1"/>
  <c r="V3819"/>
  <c r="K4923"/>
  <c r="L4922"/>
  <c r="L4923" s="1"/>
  <c r="K4920"/>
  <c r="L4919"/>
  <c r="K4917"/>
  <c r="L4916"/>
  <c r="L4917" s="1"/>
  <c r="K4914"/>
  <c r="L4913"/>
  <c r="L4914" s="1"/>
  <c r="K4910"/>
  <c r="L4909"/>
  <c r="K4903"/>
  <c r="L4902"/>
  <c r="L4901"/>
  <c r="L4900"/>
  <c r="L4899"/>
  <c r="K4897"/>
  <c r="L4896"/>
  <c r="L4897" s="1"/>
  <c r="K4895"/>
  <c r="L4894"/>
  <c r="L4895" s="1"/>
  <c r="K4892"/>
  <c r="L4891"/>
  <c r="L4892" s="1"/>
  <c r="K4890"/>
  <c r="L4889"/>
  <c r="L4890" s="1"/>
  <c r="K4888"/>
  <c r="L4887"/>
  <c r="L4888" s="1"/>
  <c r="K4886"/>
  <c r="L4885"/>
  <c r="L4886" s="1"/>
  <c r="K4884"/>
  <c r="L4883"/>
  <c r="L4884" s="1"/>
  <c r="K4882"/>
  <c r="L4881"/>
  <c r="L4882" s="1"/>
  <c r="K4879"/>
  <c r="L4878"/>
  <c r="L4877"/>
  <c r="K4876"/>
  <c r="L4875"/>
  <c r="L4874"/>
  <c r="K4873"/>
  <c r="L4872"/>
  <c r="L4871"/>
  <c r="K4870"/>
  <c r="L4869"/>
  <c r="L4868"/>
  <c r="K4867"/>
  <c r="L4866"/>
  <c r="L4865"/>
  <c r="K4863"/>
  <c r="L4862"/>
  <c r="L4863" s="1"/>
  <c r="K4861"/>
  <c r="L4860"/>
  <c r="L4859"/>
  <c r="L4858"/>
  <c r="K4857"/>
  <c r="L4856"/>
  <c r="L4855"/>
  <c r="L4852"/>
  <c r="L4853" s="1"/>
  <c r="E5083" l="1"/>
  <c r="L5068"/>
  <c r="L4920"/>
  <c r="V3834"/>
  <c r="L4861"/>
  <c r="L4870"/>
  <c r="L4876"/>
  <c r="L4857"/>
  <c r="L4867"/>
  <c r="L4873"/>
  <c r="L4879"/>
  <c r="L4903"/>
  <c r="L4910"/>
  <c r="K4853"/>
  <c r="K4849" l="1"/>
  <c r="L4848"/>
  <c r="L4849" s="1"/>
  <c r="K4847"/>
  <c r="L4846"/>
  <c r="L4847" s="1"/>
  <c r="K4844"/>
  <c r="L4843"/>
  <c r="L4844" s="1"/>
  <c r="K4842"/>
  <c r="L4841"/>
  <c r="L4840"/>
  <c r="L4839"/>
  <c r="K4838"/>
  <c r="L4837"/>
  <c r="L4836"/>
  <c r="K4835"/>
  <c r="L4834"/>
  <c r="L4833"/>
  <c r="K4832"/>
  <c r="L4831"/>
  <c r="L4832" s="1"/>
  <c r="K4830"/>
  <c r="L4829"/>
  <c r="L4828"/>
  <c r="L4827"/>
  <c r="L4826"/>
  <c r="L4825"/>
  <c r="L4824"/>
  <c r="L4823"/>
  <c r="K4822"/>
  <c r="L4821"/>
  <c r="L4820"/>
  <c r="K4819"/>
  <c r="L4818"/>
  <c r="L4819" s="1"/>
  <c r="K4817"/>
  <c r="L4816"/>
  <c r="L4817" s="1"/>
  <c r="K4814"/>
  <c r="L4813"/>
  <c r="L4814" s="1"/>
  <c r="K4812"/>
  <c r="L4811"/>
  <c r="L4810"/>
  <c r="K4809"/>
  <c r="L4808"/>
  <c r="L4807"/>
  <c r="L4806"/>
  <c r="K4805"/>
  <c r="L4804"/>
  <c r="L4803"/>
  <c r="L4802"/>
  <c r="L4801"/>
  <c r="L4800"/>
  <c r="L4822" l="1"/>
  <c r="L4842"/>
  <c r="L4830"/>
  <c r="L4838"/>
  <c r="L4805"/>
  <c r="L4809"/>
  <c r="L4812"/>
  <c r="L4835"/>
  <c r="K4798"/>
  <c r="L4797"/>
  <c r="L4796"/>
  <c r="K4795"/>
  <c r="L4794"/>
  <c r="L4795" s="1"/>
  <c r="K4793"/>
  <c r="L4792"/>
  <c r="L4791"/>
  <c r="L4790"/>
  <c r="K4788"/>
  <c r="L4787"/>
  <c r="L4786"/>
  <c r="L4785"/>
  <c r="L4784"/>
  <c r="L4783"/>
  <c r="K4782"/>
  <c r="L4781"/>
  <c r="L4780"/>
  <c r="K4779"/>
  <c r="L4778"/>
  <c r="L4777"/>
  <c r="L4776"/>
  <c r="K4775"/>
  <c r="L4774"/>
  <c r="L4773"/>
  <c r="K4772"/>
  <c r="L4771"/>
  <c r="L4770"/>
  <c r="L4769"/>
  <c r="L4768"/>
  <c r="L4767"/>
  <c r="K4766"/>
  <c r="L4765"/>
  <c r="L4764"/>
  <c r="L4763"/>
  <c r="K4762"/>
  <c r="L4761"/>
  <c r="L4760"/>
  <c r="L4759"/>
  <c r="L4758"/>
  <c r="K4757"/>
  <c r="L4756"/>
  <c r="L4755"/>
  <c r="L4754"/>
  <c r="L4753"/>
  <c r="L4752"/>
  <c r="L4751"/>
  <c r="K4749"/>
  <c r="L4748"/>
  <c r="L4749" s="1"/>
  <c r="K4746"/>
  <c r="L4745"/>
  <c r="L4746" s="1"/>
  <c r="K4744"/>
  <c r="L4743"/>
  <c r="L4744" s="1"/>
  <c r="K4742"/>
  <c r="L4741"/>
  <c r="L4742" s="1"/>
  <c r="K4740"/>
  <c r="L4739"/>
  <c r="L4740" s="1"/>
  <c r="K4738"/>
  <c r="L4737"/>
  <c r="L4738" s="1"/>
  <c r="K4735"/>
  <c r="L4734"/>
  <c r="L4733"/>
  <c r="L4732"/>
  <c r="L4731"/>
  <c r="L4730"/>
  <c r="L4729"/>
  <c r="L4728"/>
  <c r="L4727"/>
  <c r="K4726"/>
  <c r="L4725"/>
  <c r="L4724"/>
  <c r="K4723"/>
  <c r="L4722"/>
  <c r="L4721"/>
  <c r="L4720"/>
  <c r="L4719"/>
  <c r="L4718"/>
  <c r="L4717"/>
  <c r="L4716"/>
  <c r="K4715"/>
  <c r="L4714"/>
  <c r="L4713"/>
  <c r="L4712"/>
  <c r="L4711"/>
  <c r="L4710"/>
  <c r="L4709"/>
  <c r="K4708"/>
  <c r="L4707"/>
  <c r="L4708" s="1"/>
  <c r="K4706"/>
  <c r="L4705"/>
  <c r="L4704"/>
  <c r="K4703"/>
  <c r="L4702"/>
  <c r="L4701"/>
  <c r="L4700"/>
  <c r="L4699"/>
  <c r="L4698"/>
  <c r="L4697"/>
  <c r="K4696"/>
  <c r="L4695"/>
  <c r="L4694"/>
  <c r="L4693"/>
  <c r="L4692"/>
  <c r="L4691"/>
  <c r="L4690"/>
  <c r="L4689"/>
  <c r="L4688"/>
  <c r="L4687"/>
  <c r="L4686"/>
  <c r="L4685"/>
  <c r="K4684"/>
  <c r="L4683"/>
  <c r="L4682"/>
  <c r="L4681"/>
  <c r="L4680"/>
  <c r="L4679"/>
  <c r="L4678"/>
  <c r="K4677"/>
  <c r="L4676"/>
  <c r="L4677" s="1"/>
  <c r="K4675"/>
  <c r="L4674"/>
  <c r="L4673"/>
  <c r="L4672"/>
  <c r="L4671"/>
  <c r="K4670"/>
  <c r="L4669"/>
  <c r="L4668"/>
  <c r="K4667"/>
  <c r="L4666"/>
  <c r="L4665"/>
  <c r="L4664"/>
  <c r="L4663"/>
  <c r="K4662"/>
  <c r="L4661"/>
  <c r="L4660"/>
  <c r="L4659"/>
  <c r="K4658"/>
  <c r="L4657"/>
  <c r="L4656"/>
  <c r="L4655"/>
  <c r="L4654"/>
  <c r="L4653"/>
  <c r="L4652"/>
  <c r="L4651"/>
  <c r="K4650"/>
  <c r="L4649"/>
  <c r="L4650" s="1"/>
  <c r="K4648"/>
  <c r="L4647"/>
  <c r="L4646"/>
  <c r="L4645"/>
  <c r="L4644"/>
  <c r="L4643"/>
  <c r="L4642"/>
  <c r="L4641"/>
  <c r="K4640"/>
  <c r="L4639"/>
  <c r="L4638"/>
  <c r="L4637"/>
  <c r="L4636"/>
  <c r="L4635"/>
  <c r="K4634"/>
  <c r="L4633"/>
  <c r="L4632"/>
  <c r="L4631"/>
  <c r="L4630"/>
  <c r="L4629"/>
  <c r="L4628"/>
  <c r="K4627"/>
  <c r="L4626"/>
  <c r="L4625"/>
  <c r="L4624"/>
  <c r="L4623"/>
  <c r="L4622"/>
  <c r="L4621"/>
  <c r="K4619"/>
  <c r="L4618"/>
  <c r="L4617"/>
  <c r="L4616"/>
  <c r="K4615"/>
  <c r="L4614"/>
  <c r="L4615" s="1"/>
  <c r="K4613"/>
  <c r="L4612"/>
  <c r="L4611"/>
  <c r="L4610"/>
  <c r="L4609"/>
  <c r="L4608"/>
  <c r="L4607"/>
  <c r="L4606"/>
  <c r="K4605"/>
  <c r="L4604"/>
  <c r="L4603"/>
  <c r="K4602"/>
  <c r="L4601"/>
  <c r="L4602" s="1"/>
  <c r="K4600"/>
  <c r="L4599"/>
  <c r="L4600" s="1"/>
  <c r="K4597"/>
  <c r="L4596"/>
  <c r="L4595"/>
  <c r="K4594"/>
  <c r="L4593"/>
  <c r="L4592"/>
  <c r="K4591"/>
  <c r="L4590"/>
  <c r="L4589"/>
  <c r="K4588"/>
  <c r="L4587"/>
  <c r="L4588" s="1"/>
  <c r="K4584"/>
  <c r="L4583"/>
  <c r="L4582"/>
  <c r="L4581"/>
  <c r="K4579"/>
  <c r="L4578"/>
  <c r="L4577"/>
  <c r="L4576"/>
  <c r="L4575"/>
  <c r="K4573"/>
  <c r="L4572"/>
  <c r="L4573" s="1"/>
  <c r="K4571"/>
  <c r="L4570"/>
  <c r="L4569"/>
  <c r="L4568"/>
  <c r="L4567"/>
  <c r="K4566"/>
  <c r="L4565"/>
  <c r="L4564"/>
  <c r="L4563"/>
  <c r="K4562"/>
  <c r="L4561"/>
  <c r="L4560"/>
  <c r="L4559"/>
  <c r="L4558"/>
  <c r="L4557"/>
  <c r="L4556"/>
  <c r="L4555"/>
  <c r="L4554"/>
  <c r="K4553"/>
  <c r="L4552"/>
  <c r="L4551"/>
  <c r="L4550"/>
  <c r="L4549"/>
  <c r="L4548"/>
  <c r="K4546"/>
  <c r="L4545"/>
  <c r="L4546" s="1"/>
  <c r="K4544"/>
  <c r="L4543"/>
  <c r="L4542"/>
  <c r="K4541"/>
  <c r="L4540"/>
  <c r="L4539"/>
  <c r="L4538"/>
  <c r="L4537"/>
  <c r="K4536"/>
  <c r="L4535"/>
  <c r="L4534"/>
  <c r="L4533"/>
  <c r="K4532"/>
  <c r="L4531"/>
  <c r="L4530"/>
  <c r="L4529"/>
  <c r="L4528"/>
  <c r="K4527"/>
  <c r="L4526"/>
  <c r="L4525"/>
  <c r="L4524"/>
  <c r="L4523"/>
  <c r="K4522"/>
  <c r="L4521"/>
  <c r="L4522" s="1"/>
  <c r="K4471"/>
  <c r="L4470"/>
  <c r="L4471" s="1"/>
  <c r="K4469"/>
  <c r="L4468"/>
  <c r="L4469" s="1"/>
  <c r="K4518"/>
  <c r="L4517"/>
  <c r="L4516"/>
  <c r="L4515"/>
  <c r="L4514"/>
  <c r="L4513"/>
  <c r="K4512"/>
  <c r="L4511"/>
  <c r="L4510"/>
  <c r="L4509"/>
  <c r="K4508"/>
  <c r="L4507"/>
  <c r="L4506"/>
  <c r="K4505"/>
  <c r="L4504"/>
  <c r="L4503"/>
  <c r="L4502"/>
  <c r="K4501"/>
  <c r="L4500"/>
  <c r="L4499"/>
  <c r="L4498"/>
  <c r="L4497"/>
  <c r="L4496"/>
  <c r="L4495"/>
  <c r="K4494"/>
  <c r="L4493"/>
  <c r="L4492"/>
  <c r="L4491"/>
  <c r="L4490"/>
  <c r="L4489"/>
  <c r="K4488"/>
  <c r="L4487"/>
  <c r="L4486"/>
  <c r="L4485"/>
  <c r="L4484"/>
  <c r="L4483"/>
  <c r="K4482"/>
  <c r="L4481"/>
  <c r="L4480"/>
  <c r="L4479"/>
  <c r="L4478"/>
  <c r="L4477"/>
  <c r="L4476"/>
  <c r="L4475"/>
  <c r="L4474"/>
  <c r="K4466"/>
  <c r="L4465"/>
  <c r="L4466" s="1"/>
  <c r="K4464"/>
  <c r="L4463"/>
  <c r="L4464" s="1"/>
  <c r="L4482" l="1"/>
  <c r="L4488"/>
  <c r="L4494"/>
  <c r="L4512"/>
  <c r="L4518"/>
  <c r="L4527"/>
  <c r="L4536"/>
  <c r="L4544"/>
  <c r="L4553"/>
  <c r="L4562"/>
  <c r="L4571"/>
  <c r="L4579"/>
  <c r="L4594"/>
  <c r="L4675"/>
  <c r="L4723"/>
  <c r="L4684"/>
  <c r="L4735"/>
  <c r="L4613"/>
  <c r="L4619"/>
  <c r="L4627"/>
  <c r="L4640"/>
  <c r="L4648"/>
  <c r="L4658"/>
  <c r="L4662"/>
  <c r="L4696"/>
  <c r="L4706"/>
  <c r="L4762"/>
  <c r="L4779"/>
  <c r="L4605"/>
  <c r="L4584"/>
  <c r="L4715"/>
  <c r="L4670"/>
  <c r="L4726"/>
  <c r="L4501"/>
  <c r="L4505"/>
  <c r="L4508"/>
  <c r="L4532"/>
  <c r="L4541"/>
  <c r="L4566"/>
  <c r="L4591"/>
  <c r="L4597"/>
  <c r="L4634"/>
  <c r="L4667"/>
  <c r="L4703"/>
  <c r="L4757"/>
  <c r="L4766"/>
  <c r="L4772"/>
  <c r="L4775"/>
  <c r="L4782"/>
  <c r="L4788"/>
  <c r="L4793"/>
  <c r="L4798"/>
  <c r="M4240" l="1"/>
  <c r="M4241" s="1"/>
  <c r="M4174"/>
  <c r="N4159"/>
  <c r="N4163" s="1"/>
  <c r="N4155"/>
  <c r="N4153"/>
  <c r="T3832"/>
  <c r="T3828"/>
  <c r="T3829" s="1"/>
  <c r="T3821"/>
  <c r="T3818"/>
  <c r="T3817"/>
  <c r="T3815"/>
  <c r="T3806"/>
  <c r="S3829"/>
  <c r="S3804"/>
  <c r="T3802"/>
  <c r="S3808"/>
  <c r="T3808" s="1"/>
  <c r="S3807"/>
  <c r="T3807" s="1"/>
  <c r="S3831"/>
  <c r="T3831" s="1"/>
  <c r="S3823"/>
  <c r="T3823" s="1"/>
  <c r="S3822"/>
  <c r="T3822" s="1"/>
  <c r="S3819"/>
  <c r="S3825"/>
  <c r="T3825" s="1"/>
  <c r="S3824"/>
  <c r="T3824" s="1"/>
  <c r="E3708"/>
  <c r="T3833" l="1"/>
  <c r="T3816"/>
  <c r="T3819" s="1"/>
  <c r="T3809"/>
  <c r="T3826"/>
  <c r="T3804"/>
  <c r="S3809"/>
  <c r="S3833"/>
  <c r="S3826"/>
  <c r="T3834" l="1"/>
  <c r="N4411"/>
  <c r="L4382"/>
  <c r="L4383" s="1"/>
  <c r="L4374"/>
  <c r="L4375" s="1"/>
  <c r="L4368"/>
  <c r="L4369" s="1"/>
  <c r="L4365"/>
  <c r="L4366" s="1"/>
  <c r="L4362"/>
  <c r="L4363" s="1"/>
  <c r="K4360"/>
  <c r="L4359"/>
  <c r="L4358"/>
  <c r="L4357"/>
  <c r="L4354"/>
  <c r="L4355" s="1"/>
  <c r="K4307"/>
  <c r="L4304"/>
  <c r="L4183"/>
  <c r="L4182"/>
  <c r="L4181"/>
  <c r="L4180"/>
  <c r="L4179"/>
  <c r="L4178"/>
  <c r="L4177"/>
  <c r="L4176"/>
  <c r="L4151"/>
  <c r="K4160"/>
  <c r="L4160" s="1"/>
  <c r="K4248"/>
  <c r="L4247"/>
  <c r="L4245"/>
  <c r="L4244"/>
  <c r="L4243"/>
  <c r="L4240"/>
  <c r="K4239"/>
  <c r="L4239" s="1"/>
  <c r="L4184" l="1"/>
  <c r="L4360"/>
  <c r="K4184" l="1"/>
  <c r="K3833"/>
  <c r="N4166"/>
  <c r="N4226"/>
  <c r="M4226"/>
  <c r="L4224"/>
  <c r="L4225" s="1"/>
  <c r="N4335"/>
  <c r="M4335"/>
  <c r="N4394"/>
  <c r="M4394"/>
  <c r="M4411"/>
  <c r="N4384"/>
  <c r="M4384"/>
  <c r="N4201"/>
  <c r="M4201"/>
  <c r="N4168"/>
  <c r="N4167"/>
  <c r="N4165"/>
  <c r="M4163"/>
  <c r="N4238"/>
  <c r="N4237"/>
  <c r="N4286"/>
  <c r="M4286"/>
  <c r="N4303"/>
  <c r="N4305"/>
  <c r="M4150"/>
  <c r="N4150" s="1"/>
  <c r="N4156" s="1"/>
  <c r="N4174" l="1"/>
  <c r="M4156"/>
  <c r="N4307"/>
  <c r="N4308" s="1"/>
  <c r="M4307"/>
  <c r="M4308" s="1"/>
  <c r="N4248" l="1"/>
  <c r="M4248"/>
  <c r="N4185"/>
  <c r="M4185"/>
  <c r="N4240" l="1"/>
  <c r="N4241" s="1"/>
  <c r="M4262"/>
  <c r="K4210"/>
  <c r="L4209"/>
  <c r="L4208"/>
  <c r="L4207"/>
  <c r="K4163"/>
  <c r="L4162"/>
  <c r="L4161"/>
  <c r="L4159"/>
  <c r="L4158"/>
  <c r="K4193"/>
  <c r="L4192"/>
  <c r="L4191"/>
  <c r="K4261"/>
  <c r="L4260"/>
  <c r="L4261" s="1"/>
  <c r="K4390"/>
  <c r="L4389"/>
  <c r="L4388"/>
  <c r="K4410"/>
  <c r="L4409"/>
  <c r="L4410" s="1"/>
  <c r="K4372"/>
  <c r="L4371"/>
  <c r="K4350"/>
  <c r="L4349"/>
  <c r="L4350" s="1"/>
  <c r="K4334"/>
  <c r="L4333"/>
  <c r="L4334" s="1"/>
  <c r="K4407"/>
  <c r="L4406"/>
  <c r="L4407" s="1"/>
  <c r="K4375"/>
  <c r="K4347"/>
  <c r="L4346"/>
  <c r="L4347" s="1"/>
  <c r="K4331"/>
  <c r="L4330"/>
  <c r="L4331" s="1"/>
  <c r="K4295"/>
  <c r="L4294"/>
  <c r="L4293"/>
  <c r="K4291"/>
  <c r="L4290"/>
  <c r="L4289"/>
  <c r="K4272"/>
  <c r="L4271"/>
  <c r="K4156"/>
  <c r="L4155"/>
  <c r="L4154"/>
  <c r="L4153"/>
  <c r="L4152"/>
  <c r="L4150"/>
  <c r="K4197"/>
  <c r="L4196"/>
  <c r="L4195"/>
  <c r="L4163" l="1"/>
  <c r="L4372"/>
  <c r="L4376" s="1"/>
  <c r="E4432" s="1"/>
  <c r="N4262"/>
  <c r="N4414" s="1"/>
  <c r="L4272"/>
  <c r="L4197"/>
  <c r="L4291"/>
  <c r="L4295"/>
  <c r="L4210"/>
  <c r="L4156"/>
  <c r="L4390"/>
  <c r="L4193"/>
  <c r="K4213" l="1"/>
  <c r="L4212"/>
  <c r="L4213" s="1"/>
  <c r="K4268"/>
  <c r="L4267"/>
  <c r="L4268" s="1"/>
  <c r="K4241"/>
  <c r="L4238"/>
  <c r="L4237"/>
  <c r="K4252"/>
  <c r="L4251"/>
  <c r="L4250"/>
  <c r="L4241" l="1"/>
  <c r="L4252"/>
  <c r="K4205"/>
  <c r="L4204"/>
  <c r="K4258"/>
  <c r="L4257"/>
  <c r="L4258" s="1"/>
  <c r="L4205" l="1"/>
  <c r="K4285"/>
  <c r="L4284"/>
  <c r="L4285" s="1"/>
  <c r="K4225"/>
  <c r="K4301"/>
  <c r="L4300"/>
  <c r="K4311"/>
  <c r="L4310"/>
  <c r="L4311" s="1"/>
  <c r="K4279"/>
  <c r="L4278"/>
  <c r="L4279" l="1"/>
  <c r="L4301"/>
  <c r="K4189"/>
  <c r="L4188"/>
  <c r="K4230"/>
  <c r="L4229"/>
  <c r="L4230" s="1"/>
  <c r="K4222"/>
  <c r="K4226" s="1"/>
  <c r="L4221"/>
  <c r="L4220"/>
  <c r="L4219"/>
  <c r="L4218"/>
  <c r="L4217"/>
  <c r="L4216"/>
  <c r="L4215"/>
  <c r="K4174"/>
  <c r="L4173"/>
  <c r="L4172"/>
  <c r="L4171"/>
  <c r="L4170"/>
  <c r="L4169"/>
  <c r="L4168"/>
  <c r="L4167"/>
  <c r="L4166"/>
  <c r="L4165"/>
  <c r="L4246"/>
  <c r="L4248" s="1"/>
  <c r="K4404"/>
  <c r="L4403"/>
  <c r="L4404" s="1"/>
  <c r="K4148"/>
  <c r="L4147"/>
  <c r="K4200"/>
  <c r="L4199"/>
  <c r="L4200" s="1"/>
  <c r="K4255"/>
  <c r="L4254"/>
  <c r="L4255" s="1"/>
  <c r="L4306"/>
  <c r="L4305"/>
  <c r="L4303"/>
  <c r="K4282"/>
  <c r="L4281"/>
  <c r="L4282" s="1"/>
  <c r="K4235"/>
  <c r="L4234"/>
  <c r="L4233"/>
  <c r="K4398"/>
  <c r="L4397"/>
  <c r="K4369"/>
  <c r="K4328"/>
  <c r="L4327"/>
  <c r="L4328" s="1"/>
  <c r="K4366"/>
  <c r="K4325"/>
  <c r="L4324"/>
  <c r="L4325" s="1"/>
  <c r="K4401"/>
  <c r="L4400"/>
  <c r="L4401" s="1"/>
  <c r="K4393"/>
  <c r="K4394" s="1"/>
  <c r="L4392"/>
  <c r="K4363"/>
  <c r="K4344"/>
  <c r="L4343"/>
  <c r="L4344" s="1"/>
  <c r="K4322"/>
  <c r="L4321"/>
  <c r="L4322" s="1"/>
  <c r="K4383"/>
  <c r="K4341"/>
  <c r="L4340"/>
  <c r="L4339"/>
  <c r="L4338"/>
  <c r="L4337"/>
  <c r="K4319"/>
  <c r="L4318"/>
  <c r="L4317"/>
  <c r="K4380"/>
  <c r="L4379"/>
  <c r="K4315"/>
  <c r="L4314"/>
  <c r="K4355"/>
  <c r="K4276"/>
  <c r="L4275"/>
  <c r="L4274"/>
  <c r="K4298"/>
  <c r="L4297"/>
  <c r="K4262" l="1"/>
  <c r="K4376"/>
  <c r="K4384"/>
  <c r="K4351"/>
  <c r="K4411"/>
  <c r="L4307"/>
  <c r="K4185"/>
  <c r="K4335"/>
  <c r="L4315"/>
  <c r="L4380"/>
  <c r="L4384" s="1"/>
  <c r="L4393"/>
  <c r="L4394" s="1"/>
  <c r="L4398"/>
  <c r="L4411" s="1"/>
  <c r="L4148"/>
  <c r="L4189"/>
  <c r="L4201" s="1"/>
  <c r="E4420" s="1"/>
  <c r="K4201"/>
  <c r="K4286"/>
  <c r="L4298"/>
  <c r="K4308"/>
  <c r="L4341"/>
  <c r="L4235"/>
  <c r="L4262" s="1"/>
  <c r="L4276"/>
  <c r="L4286" s="1"/>
  <c r="E4426" s="1"/>
  <c r="L4319"/>
  <c r="L4174"/>
  <c r="L4222"/>
  <c r="L4226" s="1"/>
  <c r="E4421" s="1"/>
  <c r="L4308" l="1"/>
  <c r="E4427" s="1"/>
  <c r="L4185"/>
  <c r="E4419" s="1"/>
  <c r="L4335"/>
  <c r="E4430" s="1"/>
  <c r="L4351"/>
  <c r="E4431" s="1"/>
  <c r="E4423"/>
  <c r="E4440" l="1"/>
  <c r="L4414"/>
  <c r="T3569"/>
  <c r="T3570" s="1"/>
  <c r="S3570"/>
  <c r="L3569"/>
  <c r="L3570" s="1"/>
  <c r="T3547"/>
  <c r="W3555"/>
  <c r="W3554"/>
  <c r="W3553"/>
  <c r="W3552"/>
  <c r="W3551"/>
  <c r="W3550"/>
  <c r="W3549"/>
  <c r="V3561"/>
  <c r="V3559"/>
  <c r="W3559" s="1"/>
  <c r="S3559"/>
  <c r="T3559" s="1"/>
  <c r="S3558"/>
  <c r="T3558" s="1"/>
  <c r="S3551"/>
  <c r="T3551" s="1"/>
  <c r="S3550"/>
  <c r="T3550" s="1"/>
  <c r="W3563"/>
  <c r="W3562"/>
  <c r="W3561"/>
  <c r="W3560"/>
  <c r="W3558"/>
  <c r="W3557"/>
  <c r="W3556"/>
  <c r="S3561"/>
  <c r="T3561" s="1"/>
  <c r="S3562"/>
  <c r="T3562" s="1"/>
  <c r="S3566"/>
  <c r="T3566" s="1"/>
  <c r="T3567" s="1"/>
  <c r="S3563"/>
  <c r="T3563" s="1"/>
  <c r="S3554"/>
  <c r="S3555" s="1"/>
  <c r="S3548"/>
  <c r="S3567"/>
  <c r="T3560"/>
  <c r="T3557"/>
  <c r="N3544"/>
  <c r="S3574"/>
  <c r="T3574" s="1"/>
  <c r="T3575" s="1"/>
  <c r="S3578"/>
  <c r="S3579" s="1"/>
  <c r="T3577"/>
  <c r="N3416"/>
  <c r="N3415"/>
  <c r="T3554" l="1"/>
  <c r="T3555" s="1"/>
  <c r="S3575"/>
  <c r="S3580" s="1"/>
  <c r="T3578"/>
  <c r="T3579" s="1"/>
  <c r="S3564"/>
  <c r="S3552"/>
  <c r="T3552"/>
  <c r="N3545"/>
  <c r="T3548"/>
  <c r="W3564"/>
  <c r="T3564"/>
  <c r="S3571" l="1"/>
  <c r="T3580"/>
  <c r="T3571"/>
  <c r="N4040" l="1"/>
  <c r="N4048"/>
  <c r="N4053"/>
  <c r="N4063"/>
  <c r="N3786"/>
  <c r="N3788" s="1"/>
  <c r="N3954"/>
  <c r="N3955" s="1"/>
  <c r="M3957"/>
  <c r="M3959" s="1"/>
  <c r="M3955"/>
  <c r="N3951"/>
  <c r="N3952" s="1"/>
  <c r="N3948"/>
  <c r="M3949"/>
  <c r="M3952"/>
  <c r="N3958"/>
  <c r="N3937"/>
  <c r="N3938" s="1"/>
  <c r="M3938"/>
  <c r="N3934"/>
  <c r="N3935" s="1"/>
  <c r="M3935"/>
  <c r="N3925"/>
  <c r="M3926"/>
  <c r="M3940"/>
  <c r="N3940" s="1"/>
  <c r="M3931"/>
  <c r="M3932" s="1"/>
  <c r="K3860"/>
  <c r="L3859"/>
  <c r="L3860" s="1"/>
  <c r="M3788"/>
  <c r="M3799" s="1"/>
  <c r="N3928"/>
  <c r="N3929" s="1"/>
  <c r="M3929"/>
  <c r="N3931" l="1"/>
  <c r="N3932" s="1"/>
  <c r="N3957"/>
  <c r="N3959" s="1"/>
  <c r="M3941"/>
  <c r="M3945" s="1"/>
  <c r="M3960"/>
  <c r="N3926"/>
  <c r="N3949"/>
  <c r="N3799"/>
  <c r="N3941"/>
  <c r="M4096" l="1"/>
  <c r="N3960"/>
  <c r="N3945"/>
  <c r="L3797"/>
  <c r="K3826"/>
  <c r="L3825"/>
  <c r="L3824"/>
  <c r="L3823"/>
  <c r="L3822"/>
  <c r="L3821"/>
  <c r="K3878"/>
  <c r="L3877"/>
  <c r="L3876"/>
  <c r="L3875"/>
  <c r="K3910"/>
  <c r="L3909"/>
  <c r="L3908"/>
  <c r="L3907"/>
  <c r="L3906"/>
  <c r="L3905"/>
  <c r="L3904"/>
  <c r="L3903"/>
  <c r="L3902"/>
  <c r="L3901"/>
  <c r="L3900"/>
  <c r="L3794"/>
  <c r="L3793"/>
  <c r="L3792"/>
  <c r="L3791"/>
  <c r="L3790"/>
  <c r="K3795"/>
  <c r="K3788"/>
  <c r="L3787"/>
  <c r="L3786"/>
  <c r="L4061"/>
  <c r="L4062" s="1"/>
  <c r="L3856"/>
  <c r="L3857" s="1"/>
  <c r="L3920"/>
  <c r="L3921" s="1"/>
  <c r="K3970"/>
  <c r="L3969"/>
  <c r="L3970" s="1"/>
  <c r="K3959"/>
  <c r="L3958"/>
  <c r="L3957"/>
  <c r="L3943"/>
  <c r="L3944" s="1"/>
  <c r="K3944"/>
  <c r="L3966"/>
  <c r="L3967" s="1"/>
  <c r="L3940"/>
  <c r="L3941" s="1"/>
  <c r="K3967"/>
  <c r="K3941"/>
  <c r="L3832"/>
  <c r="L3831"/>
  <c r="L3853"/>
  <c r="L3852"/>
  <c r="L3851"/>
  <c r="K3854"/>
  <c r="K3887"/>
  <c r="L3886"/>
  <c r="L3885"/>
  <c r="K3964"/>
  <c r="K3938"/>
  <c r="K3955"/>
  <c r="L3963"/>
  <c r="L3964" s="1"/>
  <c r="L3937"/>
  <c r="L3938" s="1"/>
  <c r="L3954"/>
  <c r="L3955" s="1"/>
  <c r="K3991"/>
  <c r="K4039"/>
  <c r="K3819"/>
  <c r="L3990"/>
  <c r="L3991" s="1"/>
  <c r="L4038"/>
  <c r="L4039" s="1"/>
  <c r="L3818"/>
  <c r="L3817"/>
  <c r="L3816"/>
  <c r="L3815"/>
  <c r="K3873"/>
  <c r="L3872"/>
  <c r="L3871"/>
  <c r="L3870"/>
  <c r="L3869"/>
  <c r="L3868"/>
  <c r="L3867"/>
  <c r="L3866"/>
  <c r="L3865"/>
  <c r="L3864"/>
  <c r="L3863"/>
  <c r="L3862"/>
  <c r="K3898"/>
  <c r="L3897"/>
  <c r="L3896"/>
  <c r="L3895"/>
  <c r="L3894"/>
  <c r="L3893"/>
  <c r="L3892"/>
  <c r="L3891"/>
  <c r="L3890"/>
  <c r="L3889"/>
  <c r="K3777"/>
  <c r="L3776"/>
  <c r="L3775"/>
  <c r="L3774"/>
  <c r="L3773"/>
  <c r="L3772"/>
  <c r="L3771"/>
  <c r="K3952"/>
  <c r="L3951"/>
  <c r="L3952" s="1"/>
  <c r="K3857"/>
  <c r="K3813"/>
  <c r="L3812"/>
  <c r="L3813" s="1"/>
  <c r="L3934"/>
  <c r="L3935" s="1"/>
  <c r="K3935"/>
  <c r="K3839"/>
  <c r="L3838"/>
  <c r="K3997"/>
  <c r="L3996"/>
  <c r="L3997" s="1"/>
  <c r="K4033"/>
  <c r="L4032"/>
  <c r="L4033" s="1"/>
  <c r="K4047"/>
  <c r="L4046"/>
  <c r="L4047" s="1"/>
  <c r="K4062"/>
  <c r="K3984"/>
  <c r="L3983"/>
  <c r="L3984" s="1"/>
  <c r="K3994"/>
  <c r="L3993"/>
  <c r="L3994" s="1"/>
  <c r="K4036"/>
  <c r="L4035"/>
  <c r="L4036" s="1"/>
  <c r="K3932"/>
  <c r="L3931"/>
  <c r="L3932" s="1"/>
  <c r="K3829"/>
  <c r="L3828"/>
  <c r="L3829" s="1"/>
  <c r="K3849"/>
  <c r="L3848"/>
  <c r="L3849" s="1"/>
  <c r="K3921"/>
  <c r="L3839" l="1"/>
  <c r="N4096"/>
  <c r="L3833"/>
  <c r="L3798"/>
  <c r="L3788"/>
  <c r="L3795"/>
  <c r="L3878"/>
  <c r="L3826"/>
  <c r="L3910"/>
  <c r="L3971"/>
  <c r="L3854"/>
  <c r="L3873"/>
  <c r="L3819"/>
  <c r="L3777"/>
  <c r="L3887"/>
  <c r="L3959"/>
  <c r="L3898"/>
  <c r="K4053"/>
  <c r="L4052"/>
  <c r="L4051"/>
  <c r="L4050"/>
  <c r="K4059"/>
  <c r="L4058"/>
  <c r="L4057"/>
  <c r="K3981"/>
  <c r="L3980"/>
  <c r="L3981" s="1"/>
  <c r="K4000"/>
  <c r="L3999"/>
  <c r="L4000" s="1"/>
  <c r="K4030"/>
  <c r="L4029"/>
  <c r="L4030" s="1"/>
  <c r="K3978"/>
  <c r="L3977"/>
  <c r="L3978" s="1"/>
  <c r="K4003"/>
  <c r="L4002"/>
  <c r="L4003" s="1"/>
  <c r="K4027"/>
  <c r="L4026"/>
  <c r="L4027" s="1"/>
  <c r="K3949"/>
  <c r="K3960" s="1"/>
  <c r="L3948"/>
  <c r="K3929"/>
  <c r="L3928"/>
  <c r="L3929" s="1"/>
  <c r="K3798"/>
  <c r="K3926"/>
  <c r="L3925"/>
  <c r="K4044"/>
  <c r="L4043"/>
  <c r="K3846"/>
  <c r="K3882" s="1"/>
  <c r="L3845"/>
  <c r="L3844"/>
  <c r="L3843"/>
  <c r="L3842"/>
  <c r="L3841"/>
  <c r="K3918"/>
  <c r="L3917"/>
  <c r="L3916"/>
  <c r="L3915"/>
  <c r="L3914"/>
  <c r="L3913"/>
  <c r="L3912"/>
  <c r="E4108" l="1"/>
  <c r="K3945"/>
  <c r="L4053"/>
  <c r="L3926"/>
  <c r="L3945" s="1"/>
  <c r="E4106" s="1"/>
  <c r="L3949"/>
  <c r="L3960" s="1"/>
  <c r="E4107" s="1"/>
  <c r="L4044"/>
  <c r="L4048" s="1"/>
  <c r="L3918"/>
  <c r="L3846"/>
  <c r="L3882" s="1"/>
  <c r="L4059"/>
  <c r="L4063" s="1"/>
  <c r="L3922" l="1"/>
  <c r="E4104" s="1"/>
  <c r="E4103"/>
  <c r="K3975"/>
  <c r="L3974"/>
  <c r="L3973"/>
  <c r="K4013"/>
  <c r="L4012"/>
  <c r="L4011"/>
  <c r="L4010"/>
  <c r="L4009"/>
  <c r="L4008"/>
  <c r="K4024"/>
  <c r="L4023"/>
  <c r="L4022"/>
  <c r="L4021"/>
  <c r="L4020"/>
  <c r="L4019"/>
  <c r="L4024" l="1"/>
  <c r="L4013"/>
  <c r="L3975"/>
  <c r="L3985" s="1"/>
  <c r="E4111" s="1"/>
  <c r="K4006" l="1"/>
  <c r="L4005"/>
  <c r="K4017"/>
  <c r="L4016"/>
  <c r="L4017" l="1"/>
  <c r="L4040" s="1"/>
  <c r="E4113" s="1"/>
  <c r="L4006"/>
  <c r="L4014" s="1"/>
  <c r="K3809"/>
  <c r="L3808"/>
  <c r="L3807"/>
  <c r="L3806"/>
  <c r="L3783"/>
  <c r="L3782"/>
  <c r="K3784"/>
  <c r="L3803"/>
  <c r="L3802"/>
  <c r="K3804"/>
  <c r="L3779"/>
  <c r="K3780"/>
  <c r="E4112" l="1"/>
  <c r="K3799"/>
  <c r="K3834"/>
  <c r="L3780"/>
  <c r="L3804"/>
  <c r="L3809"/>
  <c r="L3784"/>
  <c r="E3709"/>
  <c r="K3692"/>
  <c r="L3691"/>
  <c r="L3692" s="1"/>
  <c r="K3689"/>
  <c r="L3688"/>
  <c r="L3687"/>
  <c r="L3686"/>
  <c r="L3685"/>
  <c r="L3684"/>
  <c r="K3682"/>
  <c r="L3681"/>
  <c r="L3680"/>
  <c r="L3679"/>
  <c r="L3678"/>
  <c r="L3677"/>
  <c r="L3676"/>
  <c r="L3673"/>
  <c r="L3674" s="1"/>
  <c r="K3674"/>
  <c r="K3648"/>
  <c r="N3666"/>
  <c r="N3665"/>
  <c r="N3664"/>
  <c r="N3659"/>
  <c r="N3658"/>
  <c r="N3657"/>
  <c r="N3656"/>
  <c r="M3667"/>
  <c r="K3660"/>
  <c r="M3660"/>
  <c r="M3661" s="1"/>
  <c r="K3667"/>
  <c r="L3666"/>
  <c r="L3665"/>
  <c r="L3664"/>
  <c r="L3834" l="1"/>
  <c r="E4102" s="1"/>
  <c r="K4096"/>
  <c r="L3799"/>
  <c r="E4101" s="1"/>
  <c r="L3682"/>
  <c r="N3667"/>
  <c r="L3689"/>
  <c r="L3667"/>
  <c r="N3660"/>
  <c r="N3661" s="1"/>
  <c r="E4123" l="1"/>
  <c r="L4096"/>
  <c r="L3694"/>
  <c r="N3669"/>
  <c r="L3659"/>
  <c r="L3658"/>
  <c r="L3657"/>
  <c r="L3656"/>
  <c r="K3654"/>
  <c r="K3661" s="1"/>
  <c r="L3653"/>
  <c r="L3652"/>
  <c r="L3647"/>
  <c r="L3646"/>
  <c r="L3645"/>
  <c r="L3644"/>
  <c r="L3643"/>
  <c r="L3642"/>
  <c r="L3641"/>
  <c r="K3639"/>
  <c r="L3638"/>
  <c r="L3639" s="1"/>
  <c r="L3648" l="1"/>
  <c r="L3649" s="1"/>
  <c r="L3660"/>
  <c r="K3649"/>
  <c r="L3654"/>
  <c r="L3661" l="1"/>
  <c r="L3669" s="1"/>
  <c r="E3740"/>
  <c r="E3739"/>
  <c r="E3749" l="1"/>
  <c r="S3404"/>
  <c r="T3404" s="1"/>
  <c r="T3405" s="1"/>
  <c r="S3408"/>
  <c r="T3408" s="1"/>
  <c r="S3409"/>
  <c r="T3409" s="1"/>
  <c r="P3221"/>
  <c r="O3160"/>
  <c r="P3160" s="1"/>
  <c r="O3159"/>
  <c r="P3159" s="1"/>
  <c r="T3355"/>
  <c r="T3359" s="1"/>
  <c r="S3359"/>
  <c r="T3350"/>
  <c r="T3349"/>
  <c r="S3348"/>
  <c r="T3348" s="1"/>
  <c r="V3325"/>
  <c r="V3326" s="1"/>
  <c r="U3326"/>
  <c r="V3335"/>
  <c r="V3334"/>
  <c r="U3336"/>
  <c r="V3331"/>
  <c r="V3321"/>
  <c r="V3320"/>
  <c r="V3319"/>
  <c r="U3323"/>
  <c r="S3325"/>
  <c r="S3322"/>
  <c r="K3497"/>
  <c r="L3496"/>
  <c r="L3497" s="1"/>
  <c r="L3493"/>
  <c r="L3494" s="1"/>
  <c r="K3494"/>
  <c r="K3491"/>
  <c r="L3490"/>
  <c r="L3489"/>
  <c r="L3488"/>
  <c r="K3484"/>
  <c r="L3483"/>
  <c r="L3482"/>
  <c r="L3479"/>
  <c r="L3480" s="1"/>
  <c r="K3480"/>
  <c r="K3477"/>
  <c r="L3476"/>
  <c r="L3477" s="1"/>
  <c r="K3474"/>
  <c r="L3473"/>
  <c r="L3472"/>
  <c r="L3471"/>
  <c r="K3458"/>
  <c r="L3457"/>
  <c r="L3456"/>
  <c r="L3455"/>
  <c r="L3454"/>
  <c r="L3453"/>
  <c r="K3451"/>
  <c r="L3450"/>
  <c r="L3449"/>
  <c r="L3448"/>
  <c r="L3447"/>
  <c r="L3446"/>
  <c r="L3445"/>
  <c r="L3444"/>
  <c r="L3443"/>
  <c r="L3442"/>
  <c r="L3441"/>
  <c r="L3436"/>
  <c r="L3435"/>
  <c r="V3323" l="1"/>
  <c r="T3351"/>
  <c r="U3337"/>
  <c r="T3410"/>
  <c r="K3498"/>
  <c r="V3336"/>
  <c r="P3162"/>
  <c r="S3410"/>
  <c r="S3351"/>
  <c r="O3162"/>
  <c r="S3405"/>
  <c r="K3485"/>
  <c r="L3437"/>
  <c r="L3458"/>
  <c r="L3484"/>
  <c r="L3491"/>
  <c r="L3498" s="1"/>
  <c r="L3474"/>
  <c r="K3459"/>
  <c r="L3451"/>
  <c r="K3437"/>
  <c r="L3432"/>
  <c r="L3433" s="1"/>
  <c r="K3433"/>
  <c r="V3337" l="1"/>
  <c r="L3485"/>
  <c r="L3459"/>
  <c r="L3438"/>
  <c r="K3438"/>
  <c r="L3500" l="1"/>
  <c r="T3335"/>
  <c r="T3334"/>
  <c r="T3333"/>
  <c r="T3332"/>
  <c r="T3331"/>
  <c r="T3325"/>
  <c r="T3322"/>
  <c r="T3321"/>
  <c r="T3320"/>
  <c r="T3319"/>
  <c r="T3309" l="1"/>
  <c r="T3308"/>
  <c r="T3303"/>
  <c r="T3297"/>
  <c r="T3296"/>
  <c r="S3284"/>
  <c r="T3284" s="1"/>
  <c r="T3288"/>
  <c r="T3287"/>
  <c r="T3286"/>
  <c r="T3285"/>
  <c r="T3283"/>
  <c r="T3274"/>
  <c r="S3279"/>
  <c r="T3279" s="1"/>
  <c r="S3280"/>
  <c r="T3280" s="1"/>
  <c r="S3273"/>
  <c r="T3273" s="1"/>
  <c r="S3278"/>
  <c r="T3278" s="1"/>
  <c r="T3304"/>
  <c r="S3304"/>
  <c r="S3300"/>
  <c r="T3300" s="1"/>
  <c r="T3301" s="1"/>
  <c r="S3271"/>
  <c r="T3271" s="1"/>
  <c r="S3272"/>
  <c r="T3272" s="1"/>
  <c r="S3277"/>
  <c r="T3277" s="1"/>
  <c r="S3293"/>
  <c r="T3293" s="1"/>
  <c r="T3294" s="1"/>
  <c r="S3307"/>
  <c r="T3307" s="1"/>
  <c r="S3306"/>
  <c r="T3306" s="1"/>
  <c r="V3221"/>
  <c r="V3220"/>
  <c r="V3218"/>
  <c r="V3217"/>
  <c r="V3216"/>
  <c r="V3214"/>
  <c r="U3219"/>
  <c r="V3219" s="1"/>
  <c r="P3143"/>
  <c r="P3146" s="1"/>
  <c r="P3140"/>
  <c r="P3139"/>
  <c r="O3146"/>
  <c r="O3138"/>
  <c r="P3138" s="1"/>
  <c r="S3138"/>
  <c r="T3323"/>
  <c r="S3323"/>
  <c r="T3326"/>
  <c r="S3326"/>
  <c r="T3336"/>
  <c r="S3336"/>
  <c r="S3298"/>
  <c r="T3281" l="1"/>
  <c r="S3289"/>
  <c r="P3141"/>
  <c r="S3275"/>
  <c r="T3298"/>
  <c r="S3310"/>
  <c r="T3289"/>
  <c r="T3310"/>
  <c r="S3301"/>
  <c r="T3337"/>
  <c r="S3294"/>
  <c r="S3281"/>
  <c r="S3337"/>
  <c r="U3222"/>
  <c r="V3222"/>
  <c r="T3275"/>
  <c r="O3141"/>
  <c r="T3314" l="1"/>
  <c r="T3290"/>
  <c r="T3171" l="1"/>
  <c r="T3172" s="1"/>
  <c r="T3168"/>
  <c r="T3169" s="1"/>
  <c r="T3165"/>
  <c r="T3164"/>
  <c r="T3161"/>
  <c r="T3158"/>
  <c r="S3172"/>
  <c r="S3169"/>
  <c r="S3166"/>
  <c r="S3162"/>
  <c r="T3220"/>
  <c r="T3217"/>
  <c r="T3213"/>
  <c r="S3219"/>
  <c r="T3219" s="1"/>
  <c r="T3202"/>
  <c r="T3200"/>
  <c r="T3199"/>
  <c r="T3193"/>
  <c r="T3192"/>
  <c r="T3145"/>
  <c r="T3144"/>
  <c r="T3137"/>
  <c r="S3201"/>
  <c r="T3201" s="1"/>
  <c r="S3198"/>
  <c r="T3198" s="1"/>
  <c r="S3197"/>
  <c r="T3197" s="1"/>
  <c r="S3194"/>
  <c r="S3196"/>
  <c r="T3196" s="1"/>
  <c r="S3195"/>
  <c r="T3195" s="1"/>
  <c r="S3143"/>
  <c r="T3143" s="1"/>
  <c r="S3136"/>
  <c r="T3136" s="1"/>
  <c r="S3139"/>
  <c r="T3139" s="1"/>
  <c r="T3138"/>
  <c r="S3140"/>
  <c r="T3140" s="1"/>
  <c r="N3602"/>
  <c r="M3602"/>
  <c r="N3609"/>
  <c r="N3608"/>
  <c r="N3607"/>
  <c r="N3606"/>
  <c r="N3605"/>
  <c r="N3621"/>
  <c r="N3620"/>
  <c r="N3619"/>
  <c r="N3618"/>
  <c r="N3617"/>
  <c r="N3614"/>
  <c r="N3613"/>
  <c r="N3585"/>
  <c r="N3586" s="1"/>
  <c r="M3610"/>
  <c r="M3586"/>
  <c r="M3615"/>
  <c r="M3622"/>
  <c r="T3162" l="1"/>
  <c r="T3166"/>
  <c r="T3222"/>
  <c r="T3146"/>
  <c r="S3222"/>
  <c r="S3203"/>
  <c r="T3141"/>
  <c r="S3141"/>
  <c r="S3146"/>
  <c r="T3194"/>
  <c r="T3203" s="1"/>
  <c r="M3623"/>
  <c r="N3622"/>
  <c r="N3615"/>
  <c r="N3610"/>
  <c r="T3173" l="1"/>
  <c r="N3623"/>
  <c r="K3548" l="1"/>
  <c r="L3547"/>
  <c r="L3548" s="1"/>
  <c r="K3632"/>
  <c r="L3631"/>
  <c r="L3630"/>
  <c r="L3629"/>
  <c r="L3628"/>
  <c r="L3627"/>
  <c r="L3626"/>
  <c r="K3610"/>
  <c r="L3609"/>
  <c r="L3608"/>
  <c r="L3607"/>
  <c r="L3606"/>
  <c r="L3605"/>
  <c r="L3604"/>
  <c r="K3622"/>
  <c r="L3621"/>
  <c r="L3620"/>
  <c r="L3619"/>
  <c r="L3618"/>
  <c r="L3617"/>
  <c r="K3570"/>
  <c r="K3579"/>
  <c r="L3578"/>
  <c r="L3577"/>
  <c r="K3564"/>
  <c r="L3563"/>
  <c r="L3562"/>
  <c r="L3561"/>
  <c r="L3560"/>
  <c r="L3559"/>
  <c r="L3558"/>
  <c r="L3557"/>
  <c r="K3586"/>
  <c r="L3585"/>
  <c r="L3584"/>
  <c r="L3583"/>
  <c r="K3567"/>
  <c r="L3566"/>
  <c r="L3567" s="1"/>
  <c r="K3555"/>
  <c r="L3554"/>
  <c r="L3579" l="1"/>
  <c r="L3622"/>
  <c r="L3610"/>
  <c r="L3586"/>
  <c r="E3705" s="1"/>
  <c r="L3564"/>
  <c r="L3632"/>
  <c r="L3555"/>
  <c r="K3359" l="1"/>
  <c r="L3358"/>
  <c r="L3357"/>
  <c r="L3356"/>
  <c r="L3355"/>
  <c r="L3359" l="1"/>
  <c r="L3362"/>
  <c r="L3363" s="1"/>
  <c r="E3378" l="1"/>
  <c r="L3312"/>
  <c r="L3313" s="1"/>
  <c r="K3289"/>
  <c r="K3294"/>
  <c r="L3293"/>
  <c r="L3294" s="1"/>
  <c r="N3153" l="1"/>
  <c r="N3154" s="1"/>
  <c r="N3150"/>
  <c r="N3149"/>
  <c r="N3148"/>
  <c r="L3150"/>
  <c r="L3149"/>
  <c r="L3148"/>
  <c r="K3151"/>
  <c r="N3151" l="1"/>
  <c r="L3151"/>
  <c r="N3359"/>
  <c r="M3359"/>
  <c r="N3362"/>
  <c r="N3363" s="1"/>
  <c r="N3350"/>
  <c r="N3349"/>
  <c r="N3348"/>
  <c r="M3351"/>
  <c r="M3352" s="1"/>
  <c r="M3363"/>
  <c r="K3363"/>
  <c r="M3334"/>
  <c r="M3336" s="1"/>
  <c r="N3335"/>
  <c r="N3333"/>
  <c r="N3332"/>
  <c r="N3331"/>
  <c r="N3351" l="1"/>
  <c r="N3352" s="1"/>
  <c r="N3334"/>
  <c r="N3336" s="1"/>
  <c r="K3351" l="1"/>
  <c r="L3350"/>
  <c r="L3349"/>
  <c r="L3348"/>
  <c r="K3346"/>
  <c r="L3345"/>
  <c r="L3346" s="1"/>
  <c r="K3343"/>
  <c r="L3342"/>
  <c r="K3313"/>
  <c r="K3352" l="1"/>
  <c r="L3343"/>
  <c r="L3351"/>
  <c r="L3352" l="1"/>
  <c r="E3377" s="1"/>
  <c r="K3310" l="1"/>
  <c r="L3309"/>
  <c r="L3308"/>
  <c r="L3307"/>
  <c r="L3306"/>
  <c r="K3304"/>
  <c r="L3303"/>
  <c r="L3304" s="1"/>
  <c r="K3336"/>
  <c r="L3335"/>
  <c r="L3334"/>
  <c r="L3333"/>
  <c r="L3332"/>
  <c r="L3331"/>
  <c r="L3288"/>
  <c r="L3287"/>
  <c r="L3286"/>
  <c r="L3285"/>
  <c r="L3284"/>
  <c r="L3283"/>
  <c r="L3289" l="1"/>
  <c r="L3310"/>
  <c r="L3336"/>
  <c r="L3228" l="1"/>
  <c r="L3227"/>
  <c r="L3229" l="1"/>
  <c r="N3214" l="1"/>
  <c r="N3213"/>
  <c r="N3229"/>
  <c r="M3229"/>
  <c r="M3222"/>
  <c r="N3182"/>
  <c r="N3183" s="1"/>
  <c r="M3183"/>
  <c r="N3185"/>
  <c r="N3186" s="1"/>
  <c r="M3186"/>
  <c r="N3188"/>
  <c r="N3189" s="1"/>
  <c r="M3189"/>
  <c r="K3189"/>
  <c r="L3188"/>
  <c r="L3189" s="1"/>
  <c r="K3229"/>
  <c r="L3185"/>
  <c r="L3186" s="1"/>
  <c r="K3186"/>
  <c r="L3202"/>
  <c r="L3201"/>
  <c r="L3200"/>
  <c r="L3199"/>
  <c r="L3198"/>
  <c r="L3197"/>
  <c r="L3196"/>
  <c r="L3195"/>
  <c r="L3194"/>
  <c r="L3193"/>
  <c r="K3203"/>
  <c r="L3192"/>
  <c r="L3208"/>
  <c r="L3207"/>
  <c r="L3206"/>
  <c r="L3205"/>
  <c r="K3209"/>
  <c r="K3222"/>
  <c r="L3221"/>
  <c r="L3220"/>
  <c r="L3219"/>
  <c r="L3218"/>
  <c r="L3217"/>
  <c r="L3216"/>
  <c r="L3215"/>
  <c r="L3214"/>
  <c r="L3213"/>
  <c r="L3182"/>
  <c r="L3183" s="1"/>
  <c r="K3183"/>
  <c r="N3222" l="1"/>
  <c r="N3231" s="1"/>
  <c r="L3222"/>
  <c r="L3209"/>
  <c r="E3242" s="1"/>
  <c r="L3203"/>
  <c r="E3245"/>
  <c r="L3231" l="1"/>
  <c r="T2932"/>
  <c r="T2933" s="1"/>
  <c r="T2929"/>
  <c r="S2933"/>
  <c r="S2919"/>
  <c r="T2919" s="1"/>
  <c r="T2924"/>
  <c r="T2917"/>
  <c r="S2916"/>
  <c r="T2916" s="1"/>
  <c r="S2927"/>
  <c r="S2923"/>
  <c r="T2923" s="1"/>
  <c r="T2925" s="1"/>
  <c r="S2918"/>
  <c r="T2918" s="1"/>
  <c r="S2915"/>
  <c r="T2915" s="1"/>
  <c r="S2928"/>
  <c r="T2928" s="1"/>
  <c r="S2914"/>
  <c r="T2914" s="1"/>
  <c r="N3574"/>
  <c r="K3601"/>
  <c r="L3409"/>
  <c r="L3408"/>
  <c r="M3550"/>
  <c r="N3550" s="1"/>
  <c r="L3600"/>
  <c r="L3599"/>
  <c r="L3598"/>
  <c r="N3551"/>
  <c r="L3595"/>
  <c r="L3594"/>
  <c r="L3591"/>
  <c r="L3590"/>
  <c r="L3589"/>
  <c r="K3596"/>
  <c r="N3575" l="1"/>
  <c r="N3580" s="1"/>
  <c r="L3601"/>
  <c r="N3552"/>
  <c r="N3571" s="1"/>
  <c r="S2930"/>
  <c r="T2920"/>
  <c r="S2925"/>
  <c r="S2920"/>
  <c r="T2927"/>
  <c r="T2930" s="1"/>
  <c r="L3410"/>
  <c r="E3510" s="1"/>
  <c r="L3596"/>
  <c r="L3592"/>
  <c r="N3697" l="1"/>
  <c r="L3602"/>
  <c r="E3712" s="1"/>
  <c r="T2934"/>
  <c r="M3575" l="1"/>
  <c r="M3580" s="1"/>
  <c r="M3552"/>
  <c r="M3545"/>
  <c r="N3428"/>
  <c r="M3428"/>
  <c r="N3425"/>
  <c r="M3425"/>
  <c r="N3409"/>
  <c r="N3404"/>
  <c r="N3405" s="1"/>
  <c r="M3405"/>
  <c r="M3408"/>
  <c r="N3408" s="1"/>
  <c r="M3414"/>
  <c r="N3414" s="1"/>
  <c r="N3417" s="1"/>
  <c r="N3322"/>
  <c r="N3321"/>
  <c r="N3320"/>
  <c r="N3319"/>
  <c r="M3571" l="1"/>
  <c r="M3697" s="1"/>
  <c r="N3410"/>
  <c r="N3503" s="1"/>
  <c r="M3410"/>
  <c r="M3417"/>
  <c r="N3323"/>
  <c r="N3337" s="1"/>
  <c r="M3323"/>
  <c r="K3575"/>
  <c r="K3580" s="1"/>
  <c r="L3574"/>
  <c r="K3552"/>
  <c r="L3551"/>
  <c r="L3550"/>
  <c r="K3545"/>
  <c r="L3544"/>
  <c r="K3635"/>
  <c r="L3634"/>
  <c r="L3635" s="1"/>
  <c r="K3615"/>
  <c r="K3623" s="1"/>
  <c r="L3614"/>
  <c r="L3613"/>
  <c r="K3592"/>
  <c r="K3602" s="1"/>
  <c r="K3571" l="1"/>
  <c r="K3697" s="1"/>
  <c r="E3714"/>
  <c r="L3575"/>
  <c r="L3580" s="1"/>
  <c r="E3704" s="1"/>
  <c r="L3545"/>
  <c r="N3367"/>
  <c r="M3337"/>
  <c r="M3367" s="1"/>
  <c r="L3552"/>
  <c r="M3503"/>
  <c r="L3615"/>
  <c r="L3571" l="1"/>
  <c r="E3703" s="1"/>
  <c r="L3623"/>
  <c r="K3405"/>
  <c r="L3404"/>
  <c r="L3405" s="1"/>
  <c r="E3509" s="1"/>
  <c r="K3428"/>
  <c r="L3427"/>
  <c r="L3428" s="1"/>
  <c r="E3519" s="1"/>
  <c r="K3410"/>
  <c r="K3425"/>
  <c r="L3424"/>
  <c r="L3423"/>
  <c r="L3422"/>
  <c r="L3421"/>
  <c r="K3417"/>
  <c r="L3416"/>
  <c r="L3415"/>
  <c r="L3414"/>
  <c r="K3301"/>
  <c r="L3300"/>
  <c r="L3301" s="1"/>
  <c r="K3329"/>
  <c r="L3328"/>
  <c r="L3329" s="1"/>
  <c r="K3298"/>
  <c r="L3297"/>
  <c r="L3296"/>
  <c r="L3697" l="1"/>
  <c r="E3713"/>
  <c r="E3717" s="1"/>
  <c r="K3314"/>
  <c r="K3503"/>
  <c r="L3425"/>
  <c r="E3514" s="1"/>
  <c r="L3298"/>
  <c r="L3314" s="1"/>
  <c r="L3417"/>
  <c r="E3512" s="1"/>
  <c r="K3281"/>
  <c r="L3280"/>
  <c r="L3279"/>
  <c r="L3278"/>
  <c r="L3277"/>
  <c r="E3523" l="1"/>
  <c r="L3503"/>
  <c r="L3281"/>
  <c r="K3326"/>
  <c r="L3325"/>
  <c r="L3326" s="1"/>
  <c r="K3275"/>
  <c r="L3274"/>
  <c r="L3273"/>
  <c r="L3272"/>
  <c r="L3271"/>
  <c r="K3323"/>
  <c r="L3322"/>
  <c r="L3321"/>
  <c r="L3320"/>
  <c r="L3319"/>
  <c r="K3337" l="1"/>
  <c r="K3367" s="1"/>
  <c r="L3275"/>
  <c r="L3290" s="1"/>
  <c r="E3373" s="1"/>
  <c r="L3323"/>
  <c r="L3337" s="1"/>
  <c r="L3367" l="1"/>
  <c r="E3374"/>
  <c r="E3382" s="1"/>
  <c r="U2867"/>
  <c r="S2868"/>
  <c r="T2868" s="1"/>
  <c r="S2867"/>
  <c r="T2867" s="1"/>
  <c r="U2778"/>
  <c r="V2776"/>
  <c r="V2774"/>
  <c r="V2771"/>
  <c r="V2770"/>
  <c r="V2769"/>
  <c r="U2768"/>
  <c r="V2768" s="1"/>
  <c r="U2784"/>
  <c r="V2784" s="1"/>
  <c r="V2787" s="1"/>
  <c r="U2772"/>
  <c r="T2881"/>
  <c r="T2882" s="1"/>
  <c r="T2878"/>
  <c r="T2877"/>
  <c r="T2876"/>
  <c r="T2875"/>
  <c r="T2865"/>
  <c r="T2864"/>
  <c r="T2862"/>
  <c r="T2856"/>
  <c r="T2855"/>
  <c r="S2879"/>
  <c r="S2866"/>
  <c r="T2866" s="1"/>
  <c r="S2882"/>
  <c r="S2858"/>
  <c r="T2858" s="1"/>
  <c r="S2857"/>
  <c r="T2857" s="1"/>
  <c r="S2869"/>
  <c r="T2869" s="1"/>
  <c r="S2863"/>
  <c r="T2863" s="1"/>
  <c r="S2859"/>
  <c r="T2859" s="1"/>
  <c r="P2866"/>
  <c r="P2863"/>
  <c r="P2862"/>
  <c r="P2860"/>
  <c r="V2778" l="1"/>
  <c r="T2879"/>
  <c r="U2787"/>
  <c r="U2792" s="1"/>
  <c r="P2870"/>
  <c r="T2870"/>
  <c r="T2860"/>
  <c r="S2860"/>
  <c r="S2870"/>
  <c r="V2772"/>
  <c r="V2792" l="1"/>
  <c r="T2883"/>
  <c r="N2685"/>
  <c r="N2686" s="1"/>
  <c r="N2708" l="1"/>
  <c r="N2707"/>
  <c r="O2813" l="1"/>
  <c r="P2810"/>
  <c r="P2809"/>
  <c r="P2803"/>
  <c r="P2802"/>
  <c r="P2811" l="1"/>
  <c r="P2804"/>
  <c r="P2813" l="1"/>
  <c r="P2814" s="1"/>
  <c r="P2806"/>
  <c r="P2807" s="1"/>
  <c r="O2811"/>
  <c r="O2804"/>
  <c r="O2807"/>
  <c r="O2814"/>
  <c r="T2796"/>
  <c r="U2796" s="1"/>
  <c r="O2796"/>
  <c r="P2796" s="1"/>
  <c r="T2797"/>
  <c r="U2797" s="1"/>
  <c r="O2797"/>
  <c r="P2797" s="1"/>
  <c r="O2795"/>
  <c r="P2795" s="1"/>
  <c r="P2798"/>
  <c r="O2762"/>
  <c r="P2762" s="1"/>
  <c r="O2761"/>
  <c r="P2761" s="1"/>
  <c r="P2758"/>
  <c r="P2759" s="1"/>
  <c r="O2759"/>
  <c r="P2790"/>
  <c r="P2786"/>
  <c r="P2780"/>
  <c r="P2769"/>
  <c r="O2789"/>
  <c r="P2789" s="1"/>
  <c r="P2791" s="1"/>
  <c r="O2774"/>
  <c r="P2774" s="1"/>
  <c r="O2775"/>
  <c r="P2775" s="1"/>
  <c r="O2767"/>
  <c r="O2768"/>
  <c r="P2768" s="1"/>
  <c r="O2785"/>
  <c r="P2785" s="1"/>
  <c r="O2784"/>
  <c r="P2784" s="1"/>
  <c r="O2783"/>
  <c r="P2783" s="1"/>
  <c r="O2771"/>
  <c r="P2771" s="1"/>
  <c r="O2770"/>
  <c r="P2770" s="1"/>
  <c r="P2781"/>
  <c r="O2781"/>
  <c r="O2791"/>
  <c r="M3137"/>
  <c r="N3176"/>
  <c r="N3177" s="1"/>
  <c r="M3177"/>
  <c r="M3151"/>
  <c r="M3154"/>
  <c r="L3176"/>
  <c r="L3177" s="1"/>
  <c r="L3153"/>
  <c r="L3154" s="1"/>
  <c r="K3177"/>
  <c r="K3154"/>
  <c r="K3172"/>
  <c r="L3171"/>
  <c r="L3172" s="1"/>
  <c r="K3169"/>
  <c r="L3168"/>
  <c r="L3169" s="1"/>
  <c r="K3146"/>
  <c r="L3145"/>
  <c r="L3144"/>
  <c r="L3143"/>
  <c r="K3166"/>
  <c r="L3165"/>
  <c r="L3164"/>
  <c r="K3141"/>
  <c r="L3140"/>
  <c r="L3139"/>
  <c r="L3138"/>
  <c r="L3137"/>
  <c r="L3136"/>
  <c r="K3162"/>
  <c r="L3161"/>
  <c r="L3160"/>
  <c r="L3159"/>
  <c r="L3158"/>
  <c r="K3069"/>
  <c r="L3068"/>
  <c r="L3069" s="1"/>
  <c r="K3097"/>
  <c r="L3096"/>
  <c r="L3097" s="1"/>
  <c r="N3137" l="1"/>
  <c r="N3141" s="1"/>
  <c r="T2799"/>
  <c r="O2763"/>
  <c r="O2764" s="1"/>
  <c r="O2799"/>
  <c r="U2799"/>
  <c r="O2787"/>
  <c r="P2787"/>
  <c r="O2778"/>
  <c r="O2772"/>
  <c r="P2767"/>
  <c r="P2772" s="1"/>
  <c r="P2763"/>
  <c r="P2764" s="1"/>
  <c r="P2815"/>
  <c r="P2778"/>
  <c r="P2799"/>
  <c r="K3173"/>
  <c r="K3155"/>
  <c r="M3141"/>
  <c r="M3155" s="1"/>
  <c r="L3162"/>
  <c r="L3166"/>
  <c r="L3146"/>
  <c r="L3141"/>
  <c r="L3155" l="1"/>
  <c r="E3241" s="1"/>
  <c r="N3155"/>
  <c r="N3235" s="1"/>
  <c r="P2792"/>
  <c r="O2792"/>
  <c r="L3173"/>
  <c r="E3243" s="1"/>
  <c r="E3248" l="1"/>
  <c r="L3235"/>
  <c r="K3094" l="1"/>
  <c r="L3093"/>
  <c r="L3094" s="1"/>
  <c r="K3050"/>
  <c r="L3049"/>
  <c r="L3050" s="1"/>
  <c r="K3081" l="1"/>
  <c r="L3080"/>
  <c r="L3079"/>
  <c r="L3078"/>
  <c r="K3033"/>
  <c r="L3032"/>
  <c r="L3033" s="1"/>
  <c r="E3107" s="1"/>
  <c r="K3042"/>
  <c r="L3041"/>
  <c r="L3040"/>
  <c r="L3042" l="1"/>
  <c r="L3081"/>
  <c r="K3066" l="1"/>
  <c r="L3065"/>
  <c r="L3066" s="1"/>
  <c r="K3091"/>
  <c r="L3090"/>
  <c r="L3089"/>
  <c r="K3087"/>
  <c r="L3086"/>
  <c r="L3087" s="1"/>
  <c r="K3084"/>
  <c r="L3083"/>
  <c r="L3084" s="1"/>
  <c r="K3047"/>
  <c r="L3046"/>
  <c r="L3045"/>
  <c r="L3044"/>
  <c r="K3063"/>
  <c r="L3062"/>
  <c r="L3061"/>
  <c r="L3060"/>
  <c r="L3059"/>
  <c r="L3058"/>
  <c r="L3057"/>
  <c r="L3056"/>
  <c r="L3055"/>
  <c r="L3054"/>
  <c r="K3076"/>
  <c r="L3075"/>
  <c r="L3074"/>
  <c r="L3073"/>
  <c r="K3038"/>
  <c r="K3051" s="1"/>
  <c r="L3037"/>
  <c r="L3036"/>
  <c r="K3098" l="1"/>
  <c r="K3070"/>
  <c r="L3076"/>
  <c r="L3063"/>
  <c r="L3070" s="1"/>
  <c r="E3109" s="1"/>
  <c r="L3047"/>
  <c r="L3091"/>
  <c r="L3038"/>
  <c r="T2653"/>
  <c r="T2652"/>
  <c r="T2651"/>
  <c r="T2650"/>
  <c r="S2647"/>
  <c r="T2647" s="1"/>
  <c r="T2648" s="1"/>
  <c r="S2654"/>
  <c r="T2658"/>
  <c r="T2659" s="1"/>
  <c r="S2659"/>
  <c r="T2762"/>
  <c r="S2761"/>
  <c r="S2763" s="1"/>
  <c r="T2775"/>
  <c r="T2774"/>
  <c r="S2771"/>
  <c r="T2771" s="1"/>
  <c r="S2768"/>
  <c r="T2768" s="1"/>
  <c r="S2777"/>
  <c r="T2777" s="1"/>
  <c r="S2776"/>
  <c r="T2758"/>
  <c r="T2759" s="1"/>
  <c r="S2759"/>
  <c r="E2587"/>
  <c r="L3051" l="1"/>
  <c r="E3108" s="1"/>
  <c r="S2648"/>
  <c r="S2764"/>
  <c r="L3098"/>
  <c r="E3110" s="1"/>
  <c r="S2778"/>
  <c r="T2772"/>
  <c r="T2761"/>
  <c r="T2763" s="1"/>
  <c r="T2764" s="1"/>
  <c r="T2654"/>
  <c r="S2772"/>
  <c r="T2776"/>
  <c r="T2778" s="1"/>
  <c r="M2866"/>
  <c r="N2988"/>
  <c r="T2792" l="1"/>
  <c r="S2792"/>
  <c r="L3101"/>
  <c r="E3114"/>
  <c r="N2989"/>
  <c r="K2979" l="1"/>
  <c r="L2978"/>
  <c r="L2979" s="1"/>
  <c r="N2972"/>
  <c r="M2972"/>
  <c r="N2982"/>
  <c r="N2981"/>
  <c r="M2983"/>
  <c r="M2989"/>
  <c r="N2947"/>
  <c r="N2948" s="1"/>
  <c r="N2958" s="1"/>
  <c r="M2948"/>
  <c r="M2958" s="1"/>
  <c r="M2990" l="1"/>
  <c r="N2983"/>
  <c r="N2990" s="1"/>
  <c r="N2869" l="1"/>
  <c r="N2868"/>
  <c r="N2867"/>
  <c r="N2865"/>
  <c r="N2864"/>
  <c r="N2863"/>
  <c r="N2859"/>
  <c r="N2858"/>
  <c r="N2857"/>
  <c r="N2856"/>
  <c r="N2855"/>
  <c r="N2862"/>
  <c r="N2866"/>
  <c r="M2860"/>
  <c r="M2870"/>
  <c r="N2939"/>
  <c r="N2940" s="1"/>
  <c r="M2940"/>
  <c r="K2989"/>
  <c r="L2988"/>
  <c r="L2989" s="1"/>
  <c r="K2962"/>
  <c r="L2961"/>
  <c r="K2957"/>
  <c r="L2956"/>
  <c r="L2957" s="1"/>
  <c r="K2971"/>
  <c r="L2970"/>
  <c r="L2971" s="1"/>
  <c r="K2882"/>
  <c r="L2881"/>
  <c r="L2882" s="1"/>
  <c r="K2911"/>
  <c r="L2910"/>
  <c r="L2911" s="1"/>
  <c r="K2933"/>
  <c r="L2932"/>
  <c r="L2933" s="1"/>
  <c r="K2986"/>
  <c r="L2985"/>
  <c r="L2986" s="1"/>
  <c r="K2965"/>
  <c r="L2964"/>
  <c r="L2965" s="1"/>
  <c r="K2954"/>
  <c r="L2953"/>
  <c r="L2954" s="1"/>
  <c r="K2873"/>
  <c r="L2872"/>
  <c r="L2873" s="1"/>
  <c r="K2908"/>
  <c r="L2907"/>
  <c r="L2906"/>
  <c r="L2962" l="1"/>
  <c r="M2883"/>
  <c r="M2993" s="1"/>
  <c r="N2860"/>
  <c r="N2870"/>
  <c r="L2908"/>
  <c r="N2883" l="1"/>
  <c r="N2993" s="1"/>
  <c r="K2860" l="1"/>
  <c r="L2859"/>
  <c r="L2858"/>
  <c r="L2857"/>
  <c r="L2856"/>
  <c r="L2855"/>
  <c r="K2890"/>
  <c r="L2889"/>
  <c r="L2888"/>
  <c r="L2887"/>
  <c r="L2886"/>
  <c r="K2925"/>
  <c r="L2924"/>
  <c r="L2923"/>
  <c r="L2922"/>
  <c r="L2925" l="1"/>
  <c r="L2890"/>
  <c r="L2860"/>
  <c r="K2983"/>
  <c r="L2982"/>
  <c r="L2981"/>
  <c r="K2968"/>
  <c r="K2972" s="1"/>
  <c r="L2967"/>
  <c r="K2951"/>
  <c r="L2950"/>
  <c r="L2951" s="1"/>
  <c r="K2948"/>
  <c r="L2947"/>
  <c r="L2948" s="1"/>
  <c r="K2879"/>
  <c r="L2878"/>
  <c r="L2877"/>
  <c r="L2876"/>
  <c r="L2875"/>
  <c r="K2904"/>
  <c r="L2903"/>
  <c r="L2902"/>
  <c r="L2901"/>
  <c r="K2930"/>
  <c r="L2929"/>
  <c r="L2928"/>
  <c r="L2927"/>
  <c r="K2976"/>
  <c r="K2990" s="1"/>
  <c r="L2975"/>
  <c r="K2945"/>
  <c r="L2944"/>
  <c r="L2943"/>
  <c r="K2940"/>
  <c r="L2939"/>
  <c r="L2940" s="1"/>
  <c r="K2870"/>
  <c r="K2883" s="1"/>
  <c r="L2869"/>
  <c r="L2868"/>
  <c r="L2867"/>
  <c r="L2866"/>
  <c r="L2865"/>
  <c r="L2864"/>
  <c r="L2863"/>
  <c r="L2862"/>
  <c r="K2899"/>
  <c r="L2898"/>
  <c r="L2897"/>
  <c r="L2896"/>
  <c r="L2895"/>
  <c r="L2894"/>
  <c r="L2893"/>
  <c r="L2892"/>
  <c r="K2920"/>
  <c r="L2919"/>
  <c r="L2918"/>
  <c r="L2917"/>
  <c r="L2916"/>
  <c r="L2915"/>
  <c r="L2914"/>
  <c r="K2958" l="1"/>
  <c r="K2993" s="1"/>
  <c r="L2976"/>
  <c r="L2968"/>
  <c r="L2972" s="1"/>
  <c r="E3005" s="1"/>
  <c r="L2920"/>
  <c r="L2870"/>
  <c r="L2945"/>
  <c r="L2958" s="1"/>
  <c r="E3004" s="1"/>
  <c r="L2983"/>
  <c r="L2899"/>
  <c r="L2930"/>
  <c r="L2904"/>
  <c r="L2879"/>
  <c r="E2039"/>
  <c r="L2990" l="1"/>
  <c r="E3006" s="1"/>
  <c r="L2912"/>
  <c r="E3000" s="1"/>
  <c r="L2883"/>
  <c r="E2999" s="1"/>
  <c r="L2934"/>
  <c r="E3001" s="1"/>
  <c r="V1888"/>
  <c r="V1881"/>
  <c r="V1882" s="1"/>
  <c r="U1882"/>
  <c r="U1885"/>
  <c r="V1885" s="1"/>
  <c r="U1889"/>
  <c r="U1890" s="1"/>
  <c r="U1884"/>
  <c r="V1884" s="1"/>
  <c r="L2813"/>
  <c r="L2814" s="1"/>
  <c r="E3010" l="1"/>
  <c r="L2993"/>
  <c r="V1889"/>
  <c r="V1890" s="1"/>
  <c r="N2754"/>
  <c r="N2755" s="1"/>
  <c r="N2818" s="1"/>
  <c r="M2755"/>
  <c r="L2762"/>
  <c r="L2761"/>
  <c r="N2819"/>
  <c r="K2814"/>
  <c r="L2763" l="1"/>
  <c r="K2791" l="1"/>
  <c r="L2790"/>
  <c r="L2789"/>
  <c r="L2791" l="1"/>
  <c r="K2807"/>
  <c r="L2806"/>
  <c r="L2807" s="1"/>
  <c r="K2778" l="1"/>
  <c r="L2777"/>
  <c r="L2776"/>
  <c r="L2775"/>
  <c r="L2774"/>
  <c r="L2778" l="1"/>
  <c r="K2787" l="1"/>
  <c r="L2786"/>
  <c r="L2785"/>
  <c r="L2784"/>
  <c r="L2783"/>
  <c r="K2804"/>
  <c r="L2803"/>
  <c r="L2802"/>
  <c r="K2799"/>
  <c r="L2798"/>
  <c r="L2797"/>
  <c r="L2796"/>
  <c r="L2795"/>
  <c r="K2772"/>
  <c r="L2771"/>
  <c r="L2770"/>
  <c r="L2769"/>
  <c r="L2768"/>
  <c r="L2767"/>
  <c r="K2763"/>
  <c r="K2811"/>
  <c r="L2810"/>
  <c r="L2809"/>
  <c r="L2799" l="1"/>
  <c r="E2827" s="1"/>
  <c r="L2787"/>
  <c r="L2804"/>
  <c r="L2772"/>
  <c r="L2811"/>
  <c r="L2815" l="1"/>
  <c r="E2828" s="1"/>
  <c r="L2758"/>
  <c r="L2759" s="1"/>
  <c r="L2754"/>
  <c r="L2755" s="1"/>
  <c r="K2781"/>
  <c r="K2792" s="1"/>
  <c r="L2780"/>
  <c r="L2781" s="1"/>
  <c r="L2792" s="1"/>
  <c r="E2826" s="1"/>
  <c r="K2759"/>
  <c r="K2764" s="1"/>
  <c r="K2755"/>
  <c r="E2728"/>
  <c r="M2709"/>
  <c r="K2709"/>
  <c r="L2708"/>
  <c r="L2707"/>
  <c r="L2705"/>
  <c r="L2700"/>
  <c r="K2697"/>
  <c r="L2696"/>
  <c r="L2695"/>
  <c r="K2692"/>
  <c r="L2691"/>
  <c r="L2692" s="1"/>
  <c r="M2686"/>
  <c r="K2686"/>
  <c r="L2685"/>
  <c r="L2686" s="1"/>
  <c r="K2683"/>
  <c r="N2682"/>
  <c r="L2682"/>
  <c r="N2681"/>
  <c r="L2681"/>
  <c r="N2680"/>
  <c r="L2680"/>
  <c r="M2679"/>
  <c r="M2683" s="1"/>
  <c r="L2679"/>
  <c r="M2677"/>
  <c r="K2677"/>
  <c r="N2676"/>
  <c r="L2676"/>
  <c r="N2675"/>
  <c r="L2675"/>
  <c r="L2677" s="1"/>
  <c r="M2673"/>
  <c r="K2673"/>
  <c r="N2672"/>
  <c r="L2672"/>
  <c r="N2671"/>
  <c r="L2671"/>
  <c r="N2670"/>
  <c r="L2670"/>
  <c r="K2668"/>
  <c r="L2667"/>
  <c r="K2663"/>
  <c r="L2662"/>
  <c r="L2663" s="1"/>
  <c r="K2659"/>
  <c r="L2658"/>
  <c r="L2659" s="1"/>
  <c r="E2720" s="1"/>
  <c r="N2654"/>
  <c r="M2654"/>
  <c r="K2654"/>
  <c r="L2653"/>
  <c r="L2652"/>
  <c r="L2651"/>
  <c r="L2650"/>
  <c r="K2648"/>
  <c r="L2647"/>
  <c r="L2648" s="1"/>
  <c r="M2645"/>
  <c r="K2645"/>
  <c r="N2644"/>
  <c r="L2644"/>
  <c r="N2643"/>
  <c r="L2643"/>
  <c r="K2639"/>
  <c r="L2638"/>
  <c r="L2637"/>
  <c r="L2636"/>
  <c r="L2633"/>
  <c r="L2632"/>
  <c r="L2631"/>
  <c r="L2630"/>
  <c r="L2629"/>
  <c r="K2628"/>
  <c r="K2634" s="1"/>
  <c r="L2627"/>
  <c r="L2626"/>
  <c r="L2625"/>
  <c r="L2624"/>
  <c r="L2623"/>
  <c r="K2621"/>
  <c r="L2620"/>
  <c r="L2621" s="1"/>
  <c r="K2618"/>
  <c r="L2617"/>
  <c r="L2618" s="1"/>
  <c r="K2615"/>
  <c r="L2614"/>
  <c r="L2613"/>
  <c r="L2645" l="1"/>
  <c r="L2683"/>
  <c r="L2673"/>
  <c r="N2645"/>
  <c r="N2655" s="1"/>
  <c r="N2673"/>
  <c r="L2668"/>
  <c r="N2677"/>
  <c r="L2764"/>
  <c r="L2654"/>
  <c r="L2615"/>
  <c r="K2655"/>
  <c r="L2639"/>
  <c r="M2655"/>
  <c r="K2687"/>
  <c r="L2697"/>
  <c r="L2701" s="1"/>
  <c r="L2709"/>
  <c r="L2628"/>
  <c r="L2634" s="1"/>
  <c r="N2679"/>
  <c r="N2683" s="1"/>
  <c r="M2687"/>
  <c r="L2655" l="1"/>
  <c r="E2719" s="1"/>
  <c r="L2687"/>
  <c r="E2723" s="1"/>
  <c r="N2687"/>
  <c r="E2825"/>
  <c r="E2832" s="1"/>
  <c r="L2818"/>
  <c r="L2640"/>
  <c r="E2718" s="1"/>
  <c r="N2709"/>
  <c r="E2731" l="1"/>
  <c r="N2712"/>
  <c r="L2712"/>
  <c r="E2584"/>
  <c r="E2581"/>
  <c r="K2477" l="1"/>
  <c r="K2480"/>
  <c r="L2479"/>
  <c r="L2480" s="1"/>
  <c r="L2476" l="1"/>
  <c r="L2475"/>
  <c r="L2467"/>
  <c r="L2477" l="1"/>
  <c r="E2585"/>
  <c r="E2591" s="1"/>
  <c r="L2566"/>
  <c r="L2567" s="1"/>
  <c r="K2567"/>
  <c r="K2470"/>
  <c r="L2470" s="1"/>
  <c r="L2471" s="1"/>
  <c r="L2562"/>
  <c r="L2561"/>
  <c r="K2563"/>
  <c r="K2558"/>
  <c r="L2557"/>
  <c r="L2556"/>
  <c r="L2563" l="1"/>
  <c r="L2558"/>
  <c r="L2569" l="1"/>
  <c r="T1992"/>
  <c r="T1990"/>
  <c r="S1988"/>
  <c r="T1988" s="1"/>
  <c r="S1987"/>
  <c r="T1987" s="1"/>
  <c r="S1991"/>
  <c r="T1991" s="1"/>
  <c r="S1989"/>
  <c r="T1989" s="1"/>
  <c r="S1995"/>
  <c r="T1995" s="1"/>
  <c r="S1994"/>
  <c r="T1994" s="1"/>
  <c r="S1993"/>
  <c r="T1993" s="1"/>
  <c r="S1974"/>
  <c r="T1974" s="1"/>
  <c r="T1975" s="1"/>
  <c r="S1975" l="1"/>
  <c r="T1996"/>
  <c r="S1996"/>
  <c r="K2021"/>
  <c r="L2020"/>
  <c r="L2019"/>
  <c r="U1886" l="1"/>
  <c r="L2021"/>
  <c r="V1886"/>
  <c r="K2521" l="1"/>
  <c r="K2548" l="1"/>
  <c r="L2547"/>
  <c r="L2546"/>
  <c r="K2535"/>
  <c r="L2534"/>
  <c r="L2533"/>
  <c r="L2532"/>
  <c r="L2531"/>
  <c r="L2530"/>
  <c r="K2501"/>
  <c r="L2500"/>
  <c r="L2499"/>
  <c r="L2498"/>
  <c r="L2497"/>
  <c r="L2496"/>
  <c r="L2495"/>
  <c r="L2520"/>
  <c r="L2519"/>
  <c r="L2518"/>
  <c r="L2517"/>
  <c r="L2516"/>
  <c r="L2515"/>
  <c r="L2514"/>
  <c r="K2493"/>
  <c r="L2492"/>
  <c r="L2491"/>
  <c r="K2512"/>
  <c r="L2511"/>
  <c r="L2512" s="1"/>
  <c r="K2544"/>
  <c r="L2543"/>
  <c r="L2542"/>
  <c r="L2541"/>
  <c r="L2540"/>
  <c r="L2539"/>
  <c r="K2528"/>
  <c r="L2525"/>
  <c r="L2526"/>
  <c r="L2527"/>
  <c r="K2489"/>
  <c r="L2488"/>
  <c r="L2501" l="1"/>
  <c r="K2549"/>
  <c r="K2536"/>
  <c r="K2502"/>
  <c r="L2489"/>
  <c r="L2535"/>
  <c r="L2548"/>
  <c r="L2521"/>
  <c r="L2493"/>
  <c r="L2544"/>
  <c r="L2528"/>
  <c r="L2536" l="1"/>
  <c r="L2549"/>
  <c r="L2502"/>
  <c r="L2508"/>
  <c r="L2507"/>
  <c r="L2506"/>
  <c r="L2505"/>
  <c r="K2509"/>
  <c r="K2522" s="1"/>
  <c r="K2471"/>
  <c r="K2468"/>
  <c r="L2466"/>
  <c r="L2463"/>
  <c r="K2464"/>
  <c r="L2484"/>
  <c r="L2485" s="1"/>
  <c r="E2441"/>
  <c r="K2396"/>
  <c r="L2391"/>
  <c r="L2395"/>
  <c r="L2393"/>
  <c r="L2392"/>
  <c r="L2390"/>
  <c r="L2394"/>
  <c r="K2420"/>
  <c r="L2419"/>
  <c r="L2418"/>
  <c r="L2417"/>
  <c r="K2413"/>
  <c r="L2412"/>
  <c r="L2411"/>
  <c r="L2410"/>
  <c r="L2409"/>
  <c r="L2408"/>
  <c r="L2407"/>
  <c r="K2423"/>
  <c r="L2422"/>
  <c r="L2423" s="1"/>
  <c r="K2405"/>
  <c r="L2404"/>
  <c r="L2405" s="1"/>
  <c r="L2382"/>
  <c r="L2381"/>
  <c r="K2383"/>
  <c r="K2402"/>
  <c r="L2401"/>
  <c r="L2400"/>
  <c r="K2388"/>
  <c r="L2387"/>
  <c r="L2386"/>
  <c r="L2385"/>
  <c r="K2472" l="1"/>
  <c r="L2509"/>
  <c r="L2522" s="1"/>
  <c r="L2464"/>
  <c r="L2468"/>
  <c r="L2396"/>
  <c r="L2420"/>
  <c r="L2424" s="1"/>
  <c r="L2413"/>
  <c r="L2388"/>
  <c r="L2402"/>
  <c r="L2383"/>
  <c r="L2472" l="1"/>
  <c r="L2575" s="1"/>
  <c r="L2414"/>
  <c r="L2397"/>
  <c r="L2426" l="1"/>
  <c r="L2376" l="1"/>
  <c r="K2376"/>
  <c r="E2353" l="1"/>
  <c r="E2310" l="1"/>
  <c r="E2317" s="1"/>
  <c r="E2287" l="1"/>
  <c r="S1876" l="1"/>
  <c r="T1876" s="1"/>
  <c r="U1875"/>
  <c r="U1876" s="1"/>
  <c r="U1872"/>
  <c r="U1871"/>
  <c r="U1870"/>
  <c r="U1869"/>
  <c r="U1868"/>
  <c r="U1867"/>
  <c r="U1864"/>
  <c r="U1863"/>
  <c r="U1860"/>
  <c r="U1859"/>
  <c r="U1858"/>
  <c r="U1852"/>
  <c r="U1851"/>
  <c r="U1848"/>
  <c r="U1847"/>
  <c r="U1843"/>
  <c r="T1888"/>
  <c r="S1889"/>
  <c r="S1881"/>
  <c r="T1881" s="1"/>
  <c r="T1872"/>
  <c r="T1871"/>
  <c r="T1870"/>
  <c r="T1869"/>
  <c r="T1868"/>
  <c r="T1867"/>
  <c r="T1864"/>
  <c r="T1863"/>
  <c r="T1860"/>
  <c r="T1859"/>
  <c r="T1858"/>
  <c r="T1857"/>
  <c r="S1873"/>
  <c r="S1865"/>
  <c r="S1861"/>
  <c r="T1852"/>
  <c r="T1851"/>
  <c r="T1848"/>
  <c r="T1847"/>
  <c r="T1873" l="1"/>
  <c r="U1849"/>
  <c r="U1853"/>
  <c r="S1877"/>
  <c r="T1861"/>
  <c r="T1865"/>
  <c r="U1865"/>
  <c r="T1877" l="1"/>
  <c r="U1873"/>
  <c r="T1853" l="1"/>
  <c r="S1853"/>
  <c r="T1849"/>
  <c r="S1849"/>
  <c r="T1843"/>
  <c r="T1842"/>
  <c r="T1840"/>
  <c r="S1841"/>
  <c r="U1841" s="1"/>
  <c r="T1889"/>
  <c r="T1890" s="1"/>
  <c r="S1884"/>
  <c r="S1886" s="1"/>
  <c r="S1880"/>
  <c r="T1880" s="1"/>
  <c r="T1882" s="1"/>
  <c r="S1890"/>
  <c r="T1933"/>
  <c r="S1932"/>
  <c r="T1932" s="1"/>
  <c r="S1928"/>
  <c r="S1929" s="1"/>
  <c r="S1931"/>
  <c r="T1935"/>
  <c r="S1923"/>
  <c r="T1923" s="1"/>
  <c r="T1944"/>
  <c r="T1945" s="1"/>
  <c r="T1949"/>
  <c r="S1945"/>
  <c r="S1948"/>
  <c r="T1948" s="1"/>
  <c r="S1947"/>
  <c r="T1947" s="1"/>
  <c r="E2038"/>
  <c r="E2035"/>
  <c r="T1928" l="1"/>
  <c r="T1929" s="1"/>
  <c r="S1936"/>
  <c r="T1950"/>
  <c r="T1951" s="1"/>
  <c r="S1926"/>
  <c r="T1926"/>
  <c r="T1931"/>
  <c r="T1936" s="1"/>
  <c r="S1882"/>
  <c r="T1884"/>
  <c r="T1886" s="1"/>
  <c r="S1844"/>
  <c r="T1841"/>
  <c r="T1844" s="1"/>
  <c r="S1950"/>
  <c r="L1995"/>
  <c r="L1993"/>
  <c r="L1992"/>
  <c r="L1990"/>
  <c r="L1989"/>
  <c r="L1988"/>
  <c r="K1994"/>
  <c r="L1994" s="1"/>
  <c r="K1991"/>
  <c r="L1991" s="1"/>
  <c r="K1987"/>
  <c r="K2004"/>
  <c r="L2003"/>
  <c r="L2002"/>
  <c r="L2001"/>
  <c r="L1998"/>
  <c r="L1999" s="1"/>
  <c r="K1999"/>
  <c r="K2012"/>
  <c r="L2011"/>
  <c r="L2010"/>
  <c r="L2009"/>
  <c r="L2008"/>
  <c r="L2007"/>
  <c r="T1937" l="1"/>
  <c r="K1996"/>
  <c r="L1987"/>
  <c r="L1996" s="1"/>
  <c r="L2012"/>
  <c r="L2004"/>
  <c r="L2005" s="1"/>
  <c r="L2015" l="1"/>
  <c r="K1982" l="1"/>
  <c r="L1981"/>
  <c r="L1980"/>
  <c r="L1979"/>
  <c r="L1978"/>
  <c r="L1974"/>
  <c r="L1975" s="1"/>
  <c r="E2036" s="1"/>
  <c r="L1961"/>
  <c r="L1962" s="1"/>
  <c r="L1982" l="1"/>
  <c r="E2037" s="1"/>
  <c r="K1975"/>
  <c r="K1971"/>
  <c r="L1970"/>
  <c r="L1969"/>
  <c r="L1968"/>
  <c r="L1967"/>
  <c r="L1958"/>
  <c r="L1957"/>
  <c r="L1956"/>
  <c r="K1962"/>
  <c r="K1959"/>
  <c r="L1959" l="1"/>
  <c r="L1963" s="1"/>
  <c r="L1971"/>
  <c r="L1984" l="1"/>
  <c r="L2235" l="1"/>
  <c r="L2236" s="1"/>
  <c r="K1838" l="1"/>
  <c r="L1837"/>
  <c r="L1838" s="1"/>
  <c r="L1947"/>
  <c r="L1799" l="1"/>
  <c r="L1800" s="1"/>
  <c r="K1800" l="1"/>
  <c r="K2211"/>
  <c r="L2210"/>
  <c r="L2209"/>
  <c r="L2208"/>
  <c r="L2207"/>
  <c r="L2206"/>
  <c r="K2163"/>
  <c r="L2162"/>
  <c r="L2161"/>
  <c r="L2160"/>
  <c r="L2159"/>
  <c r="L2158"/>
  <c r="L2157"/>
  <c r="L2156"/>
  <c r="L2163" l="1"/>
  <c r="L2211"/>
  <c r="E1604"/>
  <c r="L2191" l="1"/>
  <c r="L2192" s="1"/>
  <c r="N2188"/>
  <c r="N2187"/>
  <c r="N2186"/>
  <c r="N2185"/>
  <c r="M2189"/>
  <c r="N2189" l="1"/>
  <c r="N2196" s="1"/>
  <c r="K2215"/>
  <c r="L2214"/>
  <c r="L2213"/>
  <c r="L2215" l="1"/>
  <c r="E2246" s="1"/>
  <c r="E2253" s="1"/>
  <c r="L2216" l="1"/>
  <c r="K1797" l="1"/>
  <c r="K1801" s="1"/>
  <c r="L1796"/>
  <c r="L1795"/>
  <c r="L1794"/>
  <c r="L1791"/>
  <c r="L1790"/>
  <c r="L1789"/>
  <c r="K1792"/>
  <c r="K2236"/>
  <c r="L1797" l="1"/>
  <c r="E1810" s="1"/>
  <c r="L1792"/>
  <c r="E1809" s="1"/>
  <c r="M2196"/>
  <c r="L1801" l="1"/>
  <c r="L2188"/>
  <c r="L2187"/>
  <c r="L2186"/>
  <c r="L2185"/>
  <c r="K2175"/>
  <c r="L2174"/>
  <c r="L2173"/>
  <c r="L2172"/>
  <c r="L2171"/>
  <c r="L2170"/>
  <c r="L2169"/>
  <c r="L2168"/>
  <c r="L2167"/>
  <c r="L2166"/>
  <c r="L2165"/>
  <c r="E2070"/>
  <c r="E2068"/>
  <c r="E2067"/>
  <c r="E2100"/>
  <c r="E2101"/>
  <c r="E2099"/>
  <c r="E2104" l="1"/>
  <c r="E2076"/>
  <c r="L2175"/>
  <c r="L2189"/>
  <c r="L1875"/>
  <c r="L1876" s="1"/>
  <c r="L1872"/>
  <c r="L1871"/>
  <c r="L1870"/>
  <c r="L1869"/>
  <c r="L1868"/>
  <c r="L1867"/>
  <c r="N1889"/>
  <c r="N1888"/>
  <c r="N1872"/>
  <c r="N1871"/>
  <c r="N1870"/>
  <c r="N1869"/>
  <c r="N1868"/>
  <c r="N1867"/>
  <c r="M1873"/>
  <c r="N1873" l="1"/>
  <c r="N1890"/>
  <c r="L1873"/>
  <c r="K1873"/>
  <c r="K1913"/>
  <c r="L1912"/>
  <c r="L1911"/>
  <c r="K1745"/>
  <c r="L1744"/>
  <c r="L1745" s="1"/>
  <c r="K1775"/>
  <c r="L1774"/>
  <c r="L1775" s="1"/>
  <c r="L1913" l="1"/>
  <c r="N1885" l="1"/>
  <c r="N1884"/>
  <c r="N1881"/>
  <c r="N1880"/>
  <c r="M1882"/>
  <c r="M1886"/>
  <c r="M1890"/>
  <c r="N1843"/>
  <c r="N1841"/>
  <c r="K1844"/>
  <c r="N1886" l="1"/>
  <c r="N1882"/>
  <c r="M1891"/>
  <c r="N1891" l="1"/>
  <c r="N1854"/>
  <c r="M1854"/>
  <c r="N1936"/>
  <c r="N1937" s="1"/>
  <c r="K1950" l="1"/>
  <c r="L1949"/>
  <c r="L1948"/>
  <c r="L1944"/>
  <c r="L1945" s="1"/>
  <c r="L1889"/>
  <c r="L1888"/>
  <c r="N1950"/>
  <c r="N1951" s="1"/>
  <c r="M1950"/>
  <c r="M1951" s="1"/>
  <c r="K1890"/>
  <c r="M1936"/>
  <c r="M1937" s="1"/>
  <c r="K1936"/>
  <c r="L1935"/>
  <c r="L1934"/>
  <c r="L1933"/>
  <c r="L1932"/>
  <c r="L1931"/>
  <c r="N1532"/>
  <c r="N1533" s="1"/>
  <c r="L1528"/>
  <c r="L1936" l="1"/>
  <c r="L1950"/>
  <c r="L1890"/>
  <c r="N1906"/>
  <c r="N1909" s="1"/>
  <c r="M1840"/>
  <c r="U1840" s="1"/>
  <c r="N1875"/>
  <c r="N1876" s="1"/>
  <c r="N1864"/>
  <c r="N1863"/>
  <c r="N1860"/>
  <c r="N1859"/>
  <c r="N1858"/>
  <c r="M1857"/>
  <c r="U1857" s="1"/>
  <c r="M1876"/>
  <c r="M1865"/>
  <c r="M1909"/>
  <c r="M1920" s="1"/>
  <c r="M1842"/>
  <c r="K1919"/>
  <c r="L1918"/>
  <c r="N1842" l="1"/>
  <c r="U1842"/>
  <c r="U1844" s="1"/>
  <c r="U1861"/>
  <c r="U1877" s="1"/>
  <c r="L1919"/>
  <c r="M1844"/>
  <c r="N1840"/>
  <c r="N1865"/>
  <c r="N1920"/>
  <c r="N1857"/>
  <c r="N1861" s="1"/>
  <c r="M1861"/>
  <c r="M1877" s="1"/>
  <c r="N1844" l="1"/>
  <c r="M2028"/>
  <c r="N1877"/>
  <c r="N2148"/>
  <c r="M2148"/>
  <c r="N2144"/>
  <c r="M2144"/>
  <c r="N2137"/>
  <c r="M2137"/>
  <c r="K2183"/>
  <c r="L2182"/>
  <c r="L2181"/>
  <c r="L2180"/>
  <c r="L2179"/>
  <c r="L2178"/>
  <c r="L2177"/>
  <c r="K2189"/>
  <c r="K2224"/>
  <c r="L2223"/>
  <c r="L2222"/>
  <c r="L2221"/>
  <c r="L2220"/>
  <c r="L2219"/>
  <c r="K2233"/>
  <c r="L2232"/>
  <c r="L2231"/>
  <c r="L2230"/>
  <c r="L2229"/>
  <c r="L2228"/>
  <c r="L2227"/>
  <c r="L2226"/>
  <c r="K2216"/>
  <c r="K2192"/>
  <c r="N2028" l="1"/>
  <c r="L2233"/>
  <c r="K2196"/>
  <c r="L2183"/>
  <c r="L2196" s="1"/>
  <c r="L2224"/>
  <c r="N2150"/>
  <c r="K2148"/>
  <c r="K2137"/>
  <c r="L2147"/>
  <c r="L2146"/>
  <c r="K2144"/>
  <c r="L2143"/>
  <c r="L2142"/>
  <c r="L2141"/>
  <c r="L2140"/>
  <c r="L2139"/>
  <c r="L2136"/>
  <c r="L2135"/>
  <c r="L2134"/>
  <c r="L1928"/>
  <c r="L1929" s="1"/>
  <c r="K1886"/>
  <c r="L1885"/>
  <c r="L1884"/>
  <c r="K1882"/>
  <c r="L1881"/>
  <c r="L1880"/>
  <c r="L2240" l="1"/>
  <c r="K1891"/>
  <c r="L2144"/>
  <c r="L2148"/>
  <c r="L2137"/>
  <c r="L1886"/>
  <c r="L1882"/>
  <c r="L1891" l="1"/>
  <c r="L2150"/>
  <c r="L1512"/>
  <c r="L1513" s="1"/>
  <c r="N1509"/>
  <c r="N1510" s="1"/>
  <c r="L1509"/>
  <c r="L1510" s="1"/>
  <c r="O1891" l="1"/>
  <c r="W1373"/>
  <c r="W1372"/>
  <c r="W1371"/>
  <c r="W1370"/>
  <c r="W1369"/>
  <c r="W1368"/>
  <c r="W1361"/>
  <c r="W1360"/>
  <c r="W1359"/>
  <c r="S1359"/>
  <c r="T1359" s="1"/>
  <c r="T1360" s="1"/>
  <c r="L1766"/>
  <c r="L1767" s="1"/>
  <c r="S1360" l="1"/>
  <c r="W1374"/>
  <c r="K1767" l="1"/>
  <c r="K1785"/>
  <c r="L1784"/>
  <c r="L1785" s="1"/>
  <c r="K1764"/>
  <c r="L1763"/>
  <c r="L1762"/>
  <c r="K1782"/>
  <c r="L1781"/>
  <c r="L1780"/>
  <c r="K1778"/>
  <c r="L1777"/>
  <c r="L1778" s="1"/>
  <c r="L1764" l="1"/>
  <c r="L1782"/>
  <c r="K1929" l="1"/>
  <c r="K1926"/>
  <c r="L1925"/>
  <c r="L1924"/>
  <c r="L1923"/>
  <c r="K1853"/>
  <c r="L1852"/>
  <c r="L1851"/>
  <c r="K1916"/>
  <c r="L1915"/>
  <c r="L1916" s="1"/>
  <c r="K1937" l="1"/>
  <c r="L1926"/>
  <c r="L1937" s="1"/>
  <c r="L1853"/>
  <c r="K1945" l="1"/>
  <c r="M1520" l="1"/>
  <c r="N1576" l="1"/>
  <c r="M1576"/>
  <c r="N1588"/>
  <c r="M1588"/>
  <c r="N1585"/>
  <c r="M1585"/>
  <c r="N1513"/>
  <c r="N1514" s="1"/>
  <c r="M1513"/>
  <c r="M1589" l="1"/>
  <c r="N1589"/>
  <c r="N1521" l="1"/>
  <c r="N1520"/>
  <c r="N1519"/>
  <c r="N1518"/>
  <c r="N1517"/>
  <c r="N1522" l="1"/>
  <c r="M1522"/>
  <c r="N1524"/>
  <c r="M1529"/>
  <c r="N1529" s="1"/>
  <c r="N1525"/>
  <c r="M1525"/>
  <c r="M1528"/>
  <c r="N1528" s="1"/>
  <c r="M1533"/>
  <c r="L1587"/>
  <c r="L1588" s="1"/>
  <c r="L1584"/>
  <c r="L1583"/>
  <c r="L1582"/>
  <c r="L1581"/>
  <c r="L1580"/>
  <c r="L1579"/>
  <c r="K1513"/>
  <c r="N1530" l="1"/>
  <c r="N1534" s="1"/>
  <c r="M1530"/>
  <c r="M1534" s="1"/>
  <c r="L1585"/>
  <c r="L1589" s="1"/>
  <c r="E1600" s="1"/>
  <c r="M1510" l="1"/>
  <c r="M1514" s="1"/>
  <c r="K1575" l="1"/>
  <c r="L1574"/>
  <c r="L1575" s="1"/>
  <c r="K1495"/>
  <c r="L1494"/>
  <c r="L1495" s="1"/>
  <c r="L1547" l="1"/>
  <c r="L1548" s="1"/>
  <c r="K1548"/>
  <c r="K1525"/>
  <c r="L1524"/>
  <c r="L1525" s="1"/>
  <c r="K1510"/>
  <c r="K1556" l="1"/>
  <c r="L1555"/>
  <c r="L1554"/>
  <c r="L1553"/>
  <c r="L1552"/>
  <c r="L1556" l="1"/>
  <c r="L1656" l="1"/>
  <c r="L1657" s="1"/>
  <c r="L1653"/>
  <c r="L1654" s="1"/>
  <c r="X1447" l="1"/>
  <c r="X1444"/>
  <c r="X1443"/>
  <c r="X1440"/>
  <c r="X1441" s="1"/>
  <c r="W1448"/>
  <c r="W1441"/>
  <c r="W1185"/>
  <c r="W1184"/>
  <c r="W1183"/>
  <c r="W1180"/>
  <c r="W1179"/>
  <c r="W1175"/>
  <c r="W1174"/>
  <c r="W1171"/>
  <c r="W1169"/>
  <c r="V1186"/>
  <c r="W1186" s="1"/>
  <c r="V1181"/>
  <c r="L1663"/>
  <c r="L1662"/>
  <c r="L1661"/>
  <c r="L1680"/>
  <c r="L1681" s="1"/>
  <c r="K1681"/>
  <c r="K1657"/>
  <c r="W1181" l="1"/>
  <c r="X1448"/>
  <c r="W1187"/>
  <c r="V1187"/>
  <c r="L1664"/>
  <c r="K1698"/>
  <c r="L1697"/>
  <c r="L1696"/>
  <c r="L1695"/>
  <c r="K1638"/>
  <c r="L1637"/>
  <c r="L1636"/>
  <c r="K1693"/>
  <c r="L1692"/>
  <c r="L1691"/>
  <c r="L1690"/>
  <c r="L1689"/>
  <c r="V1212"/>
  <c r="W1211"/>
  <c r="W1210"/>
  <c r="W1207"/>
  <c r="W1206"/>
  <c r="W1203"/>
  <c r="W1201"/>
  <c r="V1204"/>
  <c r="T1419"/>
  <c r="T1420" s="1"/>
  <c r="T1409"/>
  <c r="T1411" s="1"/>
  <c r="S1420"/>
  <c r="S1411"/>
  <c r="T1450"/>
  <c r="T1451" s="1"/>
  <c r="T1447"/>
  <c r="T1448" s="1"/>
  <c r="T1440"/>
  <c r="T1439"/>
  <c r="S1451"/>
  <c r="S1448"/>
  <c r="S1441"/>
  <c r="W1204" l="1"/>
  <c r="W1212"/>
  <c r="L1698"/>
  <c r="T1441"/>
  <c r="L1693"/>
  <c r="E1712" s="1"/>
  <c r="L1638"/>
  <c r="S1404"/>
  <c r="T1404" s="1"/>
  <c r="T1405" s="1"/>
  <c r="L1699" l="1"/>
  <c r="S1405"/>
  <c r="L1677" l="1"/>
  <c r="L1675"/>
  <c r="K1676"/>
  <c r="K1678" s="1"/>
  <c r="L1676" l="1"/>
  <c r="L1678" s="1"/>
  <c r="O1217"/>
  <c r="P1217" s="1"/>
  <c r="O1206"/>
  <c r="P1206" s="1"/>
  <c r="O1211"/>
  <c r="P1211" s="1"/>
  <c r="O1220"/>
  <c r="P1220" s="1"/>
  <c r="P1209"/>
  <c r="P1208"/>
  <c r="P1207"/>
  <c r="O1203"/>
  <c r="P1203" s="1"/>
  <c r="O1185"/>
  <c r="P1185" s="1"/>
  <c r="O1184"/>
  <c r="O1183"/>
  <c r="P1183" s="1"/>
  <c r="U1179"/>
  <c r="U1178"/>
  <c r="U1174"/>
  <c r="U1168"/>
  <c r="T1181"/>
  <c r="O1179"/>
  <c r="P1179" s="1"/>
  <c r="O1178"/>
  <c r="O1174"/>
  <c r="P1174" s="1"/>
  <c r="O1168"/>
  <c r="P1168" s="1"/>
  <c r="T1185"/>
  <c r="U1185" s="1"/>
  <c r="U1187" s="1"/>
  <c r="U1211"/>
  <c r="U1210"/>
  <c r="U1207"/>
  <c r="U1206"/>
  <c r="T1212"/>
  <c r="O1196"/>
  <c r="P1193"/>
  <c r="P1192"/>
  <c r="P1178"/>
  <c r="P1172"/>
  <c r="O1180"/>
  <c r="P1180" s="1"/>
  <c r="O1186"/>
  <c r="P1186" s="1"/>
  <c r="O1177"/>
  <c r="P1177" s="1"/>
  <c r="O1175"/>
  <c r="P1175" s="1"/>
  <c r="O1173"/>
  <c r="P1173" s="1"/>
  <c r="O1171"/>
  <c r="P1171" s="1"/>
  <c r="O1170"/>
  <c r="O1169"/>
  <c r="P1169" s="1"/>
  <c r="O1176"/>
  <c r="P1176" s="1"/>
  <c r="O1210"/>
  <c r="P1210" s="1"/>
  <c r="P1219"/>
  <c r="P1218"/>
  <c r="P1214"/>
  <c r="P1215" s="1"/>
  <c r="P1202"/>
  <c r="P1200"/>
  <c r="P1201"/>
  <c r="O1215"/>
  <c r="O1221"/>
  <c r="P1221" s="1"/>
  <c r="O1181" l="1"/>
  <c r="O1222"/>
  <c r="P1196"/>
  <c r="O1212"/>
  <c r="U1212"/>
  <c r="O1187"/>
  <c r="P1222"/>
  <c r="U1181"/>
  <c r="U1197" s="1"/>
  <c r="P1170"/>
  <c r="P1181" s="1"/>
  <c r="T1187"/>
  <c r="T1197" s="1"/>
  <c r="P1184"/>
  <c r="P1187" s="1"/>
  <c r="P1212"/>
  <c r="O1204"/>
  <c r="P1204"/>
  <c r="O1197" l="1"/>
  <c r="O1223"/>
  <c r="P1197"/>
  <c r="P1223"/>
  <c r="N1675" l="1"/>
  <c r="N1678" s="1"/>
  <c r="N1682" s="1"/>
  <c r="M1678"/>
  <c r="M1682" s="1"/>
  <c r="K1654" l="1"/>
  <c r="K1320" l="1"/>
  <c r="L1344"/>
  <c r="L1345" s="1"/>
  <c r="N1354" l="1"/>
  <c r="N1355" s="1"/>
  <c r="N1351"/>
  <c r="N1352" s="1"/>
  <c r="M1352"/>
  <c r="L1354"/>
  <c r="L1355" s="1"/>
  <c r="M1355"/>
  <c r="M1356" l="1"/>
  <c r="N1356"/>
  <c r="L1359" l="1"/>
  <c r="L1360" s="1"/>
  <c r="E1380" s="1"/>
  <c r="L1351"/>
  <c r="L1352" s="1"/>
  <c r="L1356" s="1"/>
  <c r="E1378" s="1"/>
  <c r="L1321"/>
  <c r="L1319"/>
  <c r="L1318"/>
  <c r="K1355"/>
  <c r="K1352"/>
  <c r="K1360" l="1"/>
  <c r="K1345"/>
  <c r="L1315"/>
  <c r="L1316" s="1"/>
  <c r="K1316"/>
  <c r="L1312"/>
  <c r="L1311"/>
  <c r="K1313"/>
  <c r="K1322" l="1"/>
  <c r="L1320"/>
  <c r="L1313"/>
  <c r="L1322" l="1"/>
  <c r="S1017" l="1"/>
  <c r="T1016"/>
  <c r="T1017" s="1"/>
  <c r="T1011"/>
  <c r="T1014" s="1"/>
  <c r="T1006"/>
  <c r="T1005"/>
  <c r="T1004"/>
  <c r="S1014"/>
  <c r="S1009"/>
  <c r="S1028"/>
  <c r="T1028" s="1"/>
  <c r="S1027"/>
  <c r="S1024"/>
  <c r="T1024" s="1"/>
  <c r="S1023"/>
  <c r="T1023" s="1"/>
  <c r="S1020"/>
  <c r="T1020" s="1"/>
  <c r="S1019"/>
  <c r="L1426"/>
  <c r="L1425"/>
  <c r="K1427"/>
  <c r="T1009" l="1"/>
  <c r="L1427"/>
  <c r="S1021"/>
  <c r="S1030"/>
  <c r="T1025"/>
  <c r="T1027"/>
  <c r="T1030" s="1"/>
  <c r="T1019"/>
  <c r="T1021" s="1"/>
  <c r="S1025"/>
  <c r="N1645" l="1"/>
  <c r="N1647" s="1"/>
  <c r="L1642"/>
  <c r="L1641"/>
  <c r="L1640"/>
  <c r="N1651"/>
  <c r="M1651"/>
  <c r="N1640"/>
  <c r="M1647"/>
  <c r="M1643"/>
  <c r="M1658" l="1"/>
  <c r="M1703" s="1"/>
  <c r="N1643"/>
  <c r="L1643"/>
  <c r="N1658" l="1"/>
  <c r="N1703" s="1"/>
  <c r="L1453" l="1"/>
  <c r="L1454" s="1"/>
  <c r="L1247" l="1"/>
  <c r="L1248" s="1"/>
  <c r="K1196"/>
  <c r="L1195"/>
  <c r="L1194"/>
  <c r="L1193"/>
  <c r="L1192"/>
  <c r="L1235"/>
  <c r="L1236" s="1"/>
  <c r="L1189"/>
  <c r="L1190" s="1"/>
  <c r="L1186"/>
  <c r="L1185"/>
  <c r="L1184"/>
  <c r="L1183"/>
  <c r="K1187"/>
  <c r="L1187" l="1"/>
  <c r="L1196"/>
  <c r="L1544"/>
  <c r="L1545" s="1"/>
  <c r="L1541"/>
  <c r="L1540"/>
  <c r="L1539"/>
  <c r="L1538"/>
  <c r="L1537"/>
  <c r="L1571"/>
  <c r="L1570"/>
  <c r="L1569"/>
  <c r="L1013"/>
  <c r="L1012"/>
  <c r="L1011"/>
  <c r="M1099"/>
  <c r="N1098"/>
  <c r="N1097"/>
  <c r="N1099" l="1"/>
  <c r="L1572"/>
  <c r="L1014"/>
  <c r="L1542"/>
  <c r="L1549" s="1"/>
  <c r="K1532"/>
  <c r="L1532" s="1"/>
  <c r="L1533" s="1"/>
  <c r="K1529"/>
  <c r="L1529" s="1"/>
  <c r="L1530" s="1"/>
  <c r="K1530" l="1"/>
  <c r="M1007"/>
  <c r="L1685"/>
  <c r="L1686" s="1"/>
  <c r="E1713" s="1"/>
  <c r="K1686"/>
  <c r="L1097" l="1"/>
  <c r="N1203"/>
  <c r="N1200"/>
  <c r="N1247"/>
  <c r="N1248" s="1"/>
  <c r="L1244"/>
  <c r="L1245" s="1"/>
  <c r="L1249" s="1"/>
  <c r="L1232"/>
  <c r="L1231"/>
  <c r="L1228"/>
  <c r="L1227"/>
  <c r="L1226"/>
  <c r="L1422"/>
  <c r="L1423" s="1"/>
  <c r="S1211"/>
  <c r="S1210"/>
  <c r="S1209"/>
  <c r="S1207"/>
  <c r="S1206"/>
  <c r="S1176"/>
  <c r="S1174"/>
  <c r="S1171"/>
  <c r="L1151"/>
  <c r="L1150"/>
  <c r="L1163"/>
  <c r="L1162"/>
  <c r="L1159"/>
  <c r="L1158"/>
  <c r="N1147"/>
  <c r="N1146"/>
  <c r="N1145"/>
  <c r="N1144"/>
  <c r="N1143"/>
  <c r="L1233" l="1"/>
  <c r="L1160"/>
  <c r="L1164"/>
  <c r="L1229"/>
  <c r="L1237" l="1"/>
  <c r="E1262" s="1"/>
  <c r="L1098" l="1"/>
  <c r="L1099" s="1"/>
  <c r="L1221"/>
  <c r="L1220"/>
  <c r="L1219"/>
  <c r="L1218"/>
  <c r="L1217"/>
  <c r="L1222" l="1"/>
  <c r="O906"/>
  <c r="L1843" l="1"/>
  <c r="L1842"/>
  <c r="L1841"/>
  <c r="L1840"/>
  <c r="L1844" l="1"/>
  <c r="K1876"/>
  <c r="K1865"/>
  <c r="L1864"/>
  <c r="L1863"/>
  <c r="K1895"/>
  <c r="L1894"/>
  <c r="L1895" s="1"/>
  <c r="K1909"/>
  <c r="L1908"/>
  <c r="L1907"/>
  <c r="L1906"/>
  <c r="K1849"/>
  <c r="K1854" s="1"/>
  <c r="L1848"/>
  <c r="L1847"/>
  <c r="K1861"/>
  <c r="L1860"/>
  <c r="L1859"/>
  <c r="L1858"/>
  <c r="L1857"/>
  <c r="K1904"/>
  <c r="L1903"/>
  <c r="L1902"/>
  <c r="L1901"/>
  <c r="L1900"/>
  <c r="L1899"/>
  <c r="L1898"/>
  <c r="K1942"/>
  <c r="K1951" s="1"/>
  <c r="L1941"/>
  <c r="L1940"/>
  <c r="K1760"/>
  <c r="L1759"/>
  <c r="L1760" s="1"/>
  <c r="K1757"/>
  <c r="L1756"/>
  <c r="L1757" s="1"/>
  <c r="K1754"/>
  <c r="L1753"/>
  <c r="L1752"/>
  <c r="K1742"/>
  <c r="L1741"/>
  <c r="L1740"/>
  <c r="L1739"/>
  <c r="L1738"/>
  <c r="K1772"/>
  <c r="K1786" s="1"/>
  <c r="L1771"/>
  <c r="L1770"/>
  <c r="K1750"/>
  <c r="L1749"/>
  <c r="L1748"/>
  <c r="L1747"/>
  <c r="K1647"/>
  <c r="L1646"/>
  <c r="L1645"/>
  <c r="K1920" l="1"/>
  <c r="K1768"/>
  <c r="L1909"/>
  <c r="K1877"/>
  <c r="L1904"/>
  <c r="L1849"/>
  <c r="L1942"/>
  <c r="L1861"/>
  <c r="L1865"/>
  <c r="L1772"/>
  <c r="L1754"/>
  <c r="L1647"/>
  <c r="L1750"/>
  <c r="L1742"/>
  <c r="K1643"/>
  <c r="K1667"/>
  <c r="L1666"/>
  <c r="L1667" s="1"/>
  <c r="K2028" l="1"/>
  <c r="L1877"/>
  <c r="L1854"/>
  <c r="L1951"/>
  <c r="E2034" s="1"/>
  <c r="E2042" s="1"/>
  <c r="L1768"/>
  <c r="E1812" s="1"/>
  <c r="L1920"/>
  <c r="L1786"/>
  <c r="E1813" s="1"/>
  <c r="L2028" l="1"/>
  <c r="E1816"/>
  <c r="L1803"/>
  <c r="K1651"/>
  <c r="L1650"/>
  <c r="L1649"/>
  <c r="K1664"/>
  <c r="K1634"/>
  <c r="L1633"/>
  <c r="L1632"/>
  <c r="L1631"/>
  <c r="L1630"/>
  <c r="K1673"/>
  <c r="L1672"/>
  <c r="L1671"/>
  <c r="L1670"/>
  <c r="L1669"/>
  <c r="K1658" l="1"/>
  <c r="K1682"/>
  <c r="L1651"/>
  <c r="L1673"/>
  <c r="L1634"/>
  <c r="L1658" l="1"/>
  <c r="E1709" s="1"/>
  <c r="L1682"/>
  <c r="E1710" s="1"/>
  <c r="K1703"/>
  <c r="E1716" l="1"/>
  <c r="L1703"/>
  <c r="K1093" l="1"/>
  <c r="L1092"/>
  <c r="L1091"/>
  <c r="L1090"/>
  <c r="L1089"/>
  <c r="P906"/>
  <c r="P908" s="1"/>
  <c r="O908"/>
  <c r="T934"/>
  <c r="T933"/>
  <c r="T932"/>
  <c r="T891"/>
  <c r="T884"/>
  <c r="T883"/>
  <c r="T882"/>
  <c r="S893"/>
  <c r="T893" l="1"/>
  <c r="L1093"/>
  <c r="K1099"/>
  <c r="N1404" l="1"/>
  <c r="L961" l="1"/>
  <c r="L960"/>
  <c r="L959"/>
  <c r="L958"/>
  <c r="L1078"/>
  <c r="L1079" s="1"/>
  <c r="L1075"/>
  <c r="L1074"/>
  <c r="L1073"/>
  <c r="L1072"/>
  <c r="L1071"/>
  <c r="K1087"/>
  <c r="L1086"/>
  <c r="L1085"/>
  <c r="L1084"/>
  <c r="L1076" l="1"/>
  <c r="L962"/>
  <c r="L1087"/>
  <c r="L1094" s="1"/>
  <c r="E1114" s="1"/>
  <c r="T931" l="1"/>
  <c r="T935" s="1"/>
  <c r="T924"/>
  <c r="T922"/>
  <c r="S935"/>
  <c r="S926"/>
  <c r="T926" l="1"/>
  <c r="N1538" l="1"/>
  <c r="N1544"/>
  <c r="N1545" s="1"/>
  <c r="N1537"/>
  <c r="M1545"/>
  <c r="N1542" l="1"/>
  <c r="N1549" s="1"/>
  <c r="N1593" s="1"/>
  <c r="M1542"/>
  <c r="M1549" s="1"/>
  <c r="K1572" l="1"/>
  <c r="K1533"/>
  <c r="K1585"/>
  <c r="K1567"/>
  <c r="L1566"/>
  <c r="L1565"/>
  <c r="L1564"/>
  <c r="L1563"/>
  <c r="L1562"/>
  <c r="L1561"/>
  <c r="L1560"/>
  <c r="L1559"/>
  <c r="L1558"/>
  <c r="K1588"/>
  <c r="K1589" l="1"/>
  <c r="K1576"/>
  <c r="L1567"/>
  <c r="L1576" s="1"/>
  <c r="E1599" s="1"/>
  <c r="E1608" s="1"/>
  <c r="L1491"/>
  <c r="L1492" s="1"/>
  <c r="L1496" s="1"/>
  <c r="L1506"/>
  <c r="N1416"/>
  <c r="N1413"/>
  <c r="N1414"/>
  <c r="M1417" l="1"/>
  <c r="M1428" s="1"/>
  <c r="N1415"/>
  <c r="N1417" s="1"/>
  <c r="N1428" s="1"/>
  <c r="N1405"/>
  <c r="N1453"/>
  <c r="N1454" s="1"/>
  <c r="M1405"/>
  <c r="N1447"/>
  <c r="N1445"/>
  <c r="N1443"/>
  <c r="N1446"/>
  <c r="N1444"/>
  <c r="N1448" l="1"/>
  <c r="N1455" s="1"/>
  <c r="N1458" s="1"/>
  <c r="M1448"/>
  <c r="M1454"/>
  <c r="L1419"/>
  <c r="L1420" s="1"/>
  <c r="L1416"/>
  <c r="L1415"/>
  <c r="L1414"/>
  <c r="L1413"/>
  <c r="L1410"/>
  <c r="L1409"/>
  <c r="L1408"/>
  <c r="K1411"/>
  <c r="L1404"/>
  <c r="L1405" s="1"/>
  <c r="E1464" s="1"/>
  <c r="L1411" l="1"/>
  <c r="M1455"/>
  <c r="M1458" s="1"/>
  <c r="L1417"/>
  <c r="K1423"/>
  <c r="K1451"/>
  <c r="L1450"/>
  <c r="L1451" s="1"/>
  <c r="L1428" l="1"/>
  <c r="E1465" s="1"/>
  <c r="L1432"/>
  <c r="L1431"/>
  <c r="K1433"/>
  <c r="K1420"/>
  <c r="K1417"/>
  <c r="K1405"/>
  <c r="K1454"/>
  <c r="K1448"/>
  <c r="L1447"/>
  <c r="L1446"/>
  <c r="L1445"/>
  <c r="L1444"/>
  <c r="L1443"/>
  <c r="K1441"/>
  <c r="L1440"/>
  <c r="L1439"/>
  <c r="K1437"/>
  <c r="L1436"/>
  <c r="L1437" s="1"/>
  <c r="N1296"/>
  <c r="N1292"/>
  <c r="N1287"/>
  <c r="N1293"/>
  <c r="K1428" l="1"/>
  <c r="K1455"/>
  <c r="L1441"/>
  <c r="L1448"/>
  <c r="L1433"/>
  <c r="M1299"/>
  <c r="N1299"/>
  <c r="L1455" l="1"/>
  <c r="E1467" s="1"/>
  <c r="E1466"/>
  <c r="N1290"/>
  <c r="N1323" s="1"/>
  <c r="M1290"/>
  <c r="M1323" s="1"/>
  <c r="N1341"/>
  <c r="N1342" s="1"/>
  <c r="N1328"/>
  <c r="N1327"/>
  <c r="N1329"/>
  <c r="N1333"/>
  <c r="N1334"/>
  <c r="N1335"/>
  <c r="L1458" l="1"/>
  <c r="E1470"/>
  <c r="M1330"/>
  <c r="M1336"/>
  <c r="N1332"/>
  <c r="N1336" s="1"/>
  <c r="N1326"/>
  <c r="T953"/>
  <c r="T952"/>
  <c r="T944"/>
  <c r="T943"/>
  <c r="S942"/>
  <c r="T942" s="1"/>
  <c r="T947" l="1"/>
  <c r="N1330"/>
  <c r="S947"/>
  <c r="N1346" l="1"/>
  <c r="N1369" s="1"/>
  <c r="L1032"/>
  <c r="L1033" s="1"/>
  <c r="L1016"/>
  <c r="L1017" s="1"/>
  <c r="K1033"/>
  <c r="K1017"/>
  <c r="O914" l="1"/>
  <c r="P952"/>
  <c r="P954" s="1"/>
  <c r="O954"/>
  <c r="O888"/>
  <c r="O931"/>
  <c r="O932"/>
  <c r="P916" l="1"/>
  <c r="P917"/>
  <c r="P949" l="1"/>
  <c r="P950" s="1"/>
  <c r="O950"/>
  <c r="P892"/>
  <c r="P889"/>
  <c r="P888"/>
  <c r="P885"/>
  <c r="P884"/>
  <c r="P883"/>
  <c r="P880"/>
  <c r="P922"/>
  <c r="P923"/>
  <c r="P944"/>
  <c r="P943"/>
  <c r="P914" l="1"/>
  <c r="P915"/>
  <c r="O918"/>
  <c r="P918" l="1"/>
  <c r="N1060"/>
  <c r="M1060"/>
  <c r="N1079"/>
  <c r="M1079"/>
  <c r="K1522"/>
  <c r="L1521"/>
  <c r="L1520"/>
  <c r="L1519"/>
  <c r="L1518"/>
  <c r="L1517"/>
  <c r="K1545"/>
  <c r="L1522" l="1"/>
  <c r="L1534" l="1"/>
  <c r="K1339" l="1"/>
  <c r="L1338"/>
  <c r="L1339" s="1"/>
  <c r="K1306"/>
  <c r="L1305"/>
  <c r="L1304"/>
  <c r="L1303"/>
  <c r="L1302"/>
  <c r="L1301"/>
  <c r="L1306" l="1"/>
  <c r="P925" l="1"/>
  <c r="P924"/>
  <c r="P921"/>
  <c r="O937"/>
  <c r="M924"/>
  <c r="O926"/>
  <c r="P926" l="1"/>
  <c r="O934"/>
  <c r="P947" l="1"/>
  <c r="P955" s="1"/>
  <c r="O947"/>
  <c r="O955" s="1"/>
  <c r="P933"/>
  <c r="O938"/>
  <c r="P938" s="1"/>
  <c r="P937"/>
  <c r="P934"/>
  <c r="P932"/>
  <c r="P931"/>
  <c r="O935"/>
  <c r="O939" l="1"/>
  <c r="O940" s="1"/>
  <c r="P939"/>
  <c r="P935"/>
  <c r="P940" l="1"/>
  <c r="K1009" l="1"/>
  <c r="L1147"/>
  <c r="L1146"/>
  <c r="L1145"/>
  <c r="L1144"/>
  <c r="L1143"/>
  <c r="K1222"/>
  <c r="K1160"/>
  <c r="N1007" l="1"/>
  <c r="L1148"/>
  <c r="L1059"/>
  <c r="L1058"/>
  <c r="K1060"/>
  <c r="L1020"/>
  <c r="L1044"/>
  <c r="L1045" s="1"/>
  <c r="K1019"/>
  <c r="L1019" s="1"/>
  <c r="K1076"/>
  <c r="K1079"/>
  <c r="M1011"/>
  <c r="L1021" l="1"/>
  <c r="E1111" s="1"/>
  <c r="L1060"/>
  <c r="K1021"/>
  <c r="K1164" l="1"/>
  <c r="O912" l="1"/>
  <c r="P912"/>
  <c r="P903"/>
  <c r="P900"/>
  <c r="O904"/>
  <c r="P961"/>
  <c r="P959"/>
  <c r="P958"/>
  <c r="O960"/>
  <c r="P960" s="1"/>
  <c r="P891"/>
  <c r="P893" s="1"/>
  <c r="O893"/>
  <c r="O897" s="1"/>
  <c r="O962" l="1"/>
  <c r="P904"/>
  <c r="P897"/>
  <c r="P962"/>
  <c r="P965" l="1"/>
  <c r="L1041" l="1"/>
  <c r="L1042" s="1"/>
  <c r="K1035"/>
  <c r="K1045"/>
  <c r="M1056"/>
  <c r="M1014"/>
  <c r="N1055"/>
  <c r="N1056" s="1"/>
  <c r="N1013"/>
  <c r="N1012"/>
  <c r="N1011"/>
  <c r="K1056"/>
  <c r="L1055"/>
  <c r="L1056" s="1"/>
  <c r="K1014"/>
  <c r="K954"/>
  <c r="L953"/>
  <c r="L952"/>
  <c r="L946"/>
  <c r="L945"/>
  <c r="L944"/>
  <c r="L943"/>
  <c r="L942"/>
  <c r="K947"/>
  <c r="L938"/>
  <c r="L937"/>
  <c r="K939"/>
  <c r="K931"/>
  <c r="N1014" l="1"/>
  <c r="L954"/>
  <c r="L947"/>
  <c r="L939"/>
  <c r="K1542" l="1"/>
  <c r="K1492"/>
  <c r="K1507"/>
  <c r="L1505"/>
  <c r="L1504"/>
  <c r="L1503"/>
  <c r="L1502"/>
  <c r="L1501"/>
  <c r="L1500"/>
  <c r="L1499"/>
  <c r="L1507" l="1"/>
  <c r="L1514" s="1"/>
  <c r="L1593" l="1"/>
  <c r="L1341"/>
  <c r="L1342" s="1"/>
  <c r="M1342"/>
  <c r="M1346" s="1"/>
  <c r="N1208"/>
  <c r="N1206"/>
  <c r="N1209"/>
  <c r="N1210"/>
  <c r="N1211"/>
  <c r="N1207"/>
  <c r="N1201"/>
  <c r="N1202"/>
  <c r="N1180"/>
  <c r="N1179"/>
  <c r="N1178"/>
  <c r="N1177"/>
  <c r="N1175"/>
  <c r="N1173"/>
  <c r="N1172"/>
  <c r="N1170"/>
  <c r="N1169"/>
  <c r="N1168"/>
  <c r="N1150"/>
  <c r="N1174"/>
  <c r="N1176"/>
  <c r="N1151"/>
  <c r="N1152"/>
  <c r="N1148"/>
  <c r="M1148"/>
  <c r="N1153" l="1"/>
  <c r="N1204"/>
  <c r="M1212"/>
  <c r="M1204"/>
  <c r="N1165"/>
  <c r="N1212"/>
  <c r="M1153"/>
  <c r="M1165" s="1"/>
  <c r="N1171"/>
  <c r="N1181" s="1"/>
  <c r="M1181"/>
  <c r="M1197" s="1"/>
  <c r="N1223" l="1"/>
  <c r="N1197"/>
  <c r="M1223"/>
  <c r="K1336"/>
  <c r="K1299"/>
  <c r="L1335"/>
  <c r="L1334"/>
  <c r="L1333"/>
  <c r="L1332"/>
  <c r="L1298"/>
  <c r="L1297"/>
  <c r="L1296"/>
  <c r="L1295"/>
  <c r="L1294"/>
  <c r="L1293"/>
  <c r="L1292"/>
  <c r="K1342"/>
  <c r="K1309"/>
  <c r="L1308"/>
  <c r="L1309" s="1"/>
  <c r="K1330"/>
  <c r="L1329"/>
  <c r="L1328"/>
  <c r="L1327"/>
  <c r="L1326"/>
  <c r="K1290"/>
  <c r="L1289"/>
  <c r="L1288"/>
  <c r="L1287"/>
  <c r="K1323" l="1"/>
  <c r="K1346"/>
  <c r="L1299"/>
  <c r="L1330"/>
  <c r="L1336"/>
  <c r="L1290"/>
  <c r="L1323" l="1"/>
  <c r="E1375" s="1"/>
  <c r="L1346"/>
  <c r="E1376" s="1"/>
  <c r="N1244"/>
  <c r="N1245" s="1"/>
  <c r="N1249" s="1"/>
  <c r="N1253" s="1"/>
  <c r="M1248"/>
  <c r="M1245"/>
  <c r="L1240"/>
  <c r="L1241" s="1"/>
  <c r="E1263" s="1"/>
  <c r="U831"/>
  <c r="K1181"/>
  <c r="L1180"/>
  <c r="L1179"/>
  <c r="L1178"/>
  <c r="L1177"/>
  <c r="L1176"/>
  <c r="L1175"/>
  <c r="L1174"/>
  <c r="L1173"/>
  <c r="L1172"/>
  <c r="L1171"/>
  <c r="L1170"/>
  <c r="L1169"/>
  <c r="L1168"/>
  <c r="K1204"/>
  <c r="L1203"/>
  <c r="L1202"/>
  <c r="L1201"/>
  <c r="L1200"/>
  <c r="E1383" l="1"/>
  <c r="L1369"/>
  <c r="L1204"/>
  <c r="L1181"/>
  <c r="L1197" s="1"/>
  <c r="E1260" s="1"/>
  <c r="M1249"/>
  <c r="M1253" s="1"/>
  <c r="L1211" l="1"/>
  <c r="L1210"/>
  <c r="L1209"/>
  <c r="L1208"/>
  <c r="L1207"/>
  <c r="L1206"/>
  <c r="L1212" l="1"/>
  <c r="L1214" l="1"/>
  <c r="L1215" s="1"/>
  <c r="L1223" s="1"/>
  <c r="S1223" s="1"/>
  <c r="L1155"/>
  <c r="L1156" s="1"/>
  <c r="L1152"/>
  <c r="K1248"/>
  <c r="K1215"/>
  <c r="K1190"/>
  <c r="K1197" s="1"/>
  <c r="K1156"/>
  <c r="K1236"/>
  <c r="K1153"/>
  <c r="K1233"/>
  <c r="K1245"/>
  <c r="K1212"/>
  <c r="K1148"/>
  <c r="K1229"/>
  <c r="K1241"/>
  <c r="K1237" l="1"/>
  <c r="E1261"/>
  <c r="K1223"/>
  <c r="K1165"/>
  <c r="K1249"/>
  <c r="L1153"/>
  <c r="L1165" s="1"/>
  <c r="E1259" s="1"/>
  <c r="N829"/>
  <c r="N828"/>
  <c r="N827"/>
  <c r="N826"/>
  <c r="N825"/>
  <c r="M830"/>
  <c r="M834" s="1"/>
  <c r="E1265" l="1"/>
  <c r="L1253"/>
  <c r="K1253"/>
  <c r="N830"/>
  <c r="N834" s="1"/>
  <c r="N847" s="1"/>
  <c r="K844"/>
  <c r="L843"/>
  <c r="L842"/>
  <c r="L841"/>
  <c r="L844" l="1"/>
  <c r="N1076" l="1"/>
  <c r="M1076"/>
  <c r="M1065"/>
  <c r="N1068"/>
  <c r="N1067"/>
  <c r="M1069"/>
  <c r="N1029"/>
  <c r="N1028"/>
  <c r="N1023"/>
  <c r="N1024"/>
  <c r="N1027"/>
  <c r="M1030"/>
  <c r="M1008"/>
  <c r="N1052"/>
  <c r="N1049"/>
  <c r="N1008" l="1"/>
  <c r="M1080"/>
  <c r="N1064"/>
  <c r="N1065" s="1"/>
  <c r="N1069"/>
  <c r="N1025"/>
  <c r="M1009"/>
  <c r="N1030"/>
  <c r="M1025"/>
  <c r="N1053"/>
  <c r="N1050"/>
  <c r="M1050"/>
  <c r="M1053"/>
  <c r="M788"/>
  <c r="N788" s="1"/>
  <c r="N789" s="1"/>
  <c r="M1046" l="1"/>
  <c r="N1009"/>
  <c r="N1046" s="1"/>
  <c r="N1061"/>
  <c r="N1080"/>
  <c r="M1061"/>
  <c r="N1103" l="1"/>
  <c r="L788"/>
  <c r="L789" s="1"/>
  <c r="M781"/>
  <c r="N781" s="1"/>
  <c r="N782" s="1"/>
  <c r="N784"/>
  <c r="N785" s="1"/>
  <c r="M789"/>
  <c r="M785"/>
  <c r="K789"/>
  <c r="K785"/>
  <c r="L784"/>
  <c r="L785" s="1"/>
  <c r="K782"/>
  <c r="L781"/>
  <c r="L782" s="1"/>
  <c r="M782" l="1"/>
  <c r="M786" s="1"/>
  <c r="M791" s="1"/>
  <c r="L786"/>
  <c r="L791" s="1"/>
  <c r="K786"/>
  <c r="N786"/>
  <c r="N791" s="1"/>
  <c r="L910" l="1"/>
  <c r="L911" s="1"/>
  <c r="L949"/>
  <c r="M961"/>
  <c r="N961" s="1"/>
  <c r="M958"/>
  <c r="M959"/>
  <c r="N959" s="1"/>
  <c r="M960"/>
  <c r="N884"/>
  <c r="N883"/>
  <c r="M892"/>
  <c r="N892" s="1"/>
  <c r="M888"/>
  <c r="N888" s="1"/>
  <c r="N902"/>
  <c r="N901"/>
  <c r="M899"/>
  <c r="N899" s="1"/>
  <c r="M903"/>
  <c r="N903" s="1"/>
  <c r="M900"/>
  <c r="N900" s="1"/>
  <c r="N907"/>
  <c r="N906"/>
  <c r="N914"/>
  <c r="M908"/>
  <c r="M912" s="1"/>
  <c r="M915"/>
  <c r="N915" s="1"/>
  <c r="N925"/>
  <c r="N924"/>
  <c r="M921"/>
  <c r="N921" s="1"/>
  <c r="M922"/>
  <c r="M923"/>
  <c r="N923" s="1"/>
  <c r="N943"/>
  <c r="N942"/>
  <c r="N945"/>
  <c r="M946"/>
  <c r="N946" s="1"/>
  <c r="M944"/>
  <c r="K929"/>
  <c r="K962"/>
  <c r="K896"/>
  <c r="K935"/>
  <c r="L934"/>
  <c r="L933"/>
  <c r="L932"/>
  <c r="L931"/>
  <c r="L895"/>
  <c r="L896" s="1"/>
  <c r="K911"/>
  <c r="L928"/>
  <c r="L929" s="1"/>
  <c r="K950"/>
  <c r="K955" s="1"/>
  <c r="K893"/>
  <c r="L892"/>
  <c r="L891"/>
  <c r="L890"/>
  <c r="L889"/>
  <c r="L888"/>
  <c r="L887"/>
  <c r="L886"/>
  <c r="L885"/>
  <c r="L884"/>
  <c r="L883"/>
  <c r="L882"/>
  <c r="L881"/>
  <c r="L880"/>
  <c r="L879"/>
  <c r="K904"/>
  <c r="L903"/>
  <c r="L902"/>
  <c r="L901"/>
  <c r="L900"/>
  <c r="L899"/>
  <c r="L906"/>
  <c r="K908"/>
  <c r="L907"/>
  <c r="K918"/>
  <c r="L917"/>
  <c r="L916"/>
  <c r="L915"/>
  <c r="L914"/>
  <c r="K926"/>
  <c r="L925"/>
  <c r="L924"/>
  <c r="L923"/>
  <c r="L922"/>
  <c r="L921"/>
  <c r="K1053"/>
  <c r="L1052"/>
  <c r="L1053" s="1"/>
  <c r="M947" l="1"/>
  <c r="M955" s="1"/>
  <c r="K940"/>
  <c r="N958"/>
  <c r="M962"/>
  <c r="L950"/>
  <c r="L955" s="1"/>
  <c r="M918"/>
  <c r="M893"/>
  <c r="M897" s="1"/>
  <c r="L904"/>
  <c r="E972" s="1"/>
  <c r="L935"/>
  <c r="N918"/>
  <c r="N904"/>
  <c r="N944"/>
  <c r="N947" s="1"/>
  <c r="N908"/>
  <c r="N912" s="1"/>
  <c r="M904"/>
  <c r="N893"/>
  <c r="N897" s="1"/>
  <c r="N922"/>
  <c r="N926" s="1"/>
  <c r="N960"/>
  <c r="M926"/>
  <c r="M940" s="1"/>
  <c r="L893"/>
  <c r="L897" s="1"/>
  <c r="L918"/>
  <c r="E974" s="1"/>
  <c r="L908"/>
  <c r="L912" s="1"/>
  <c r="L926"/>
  <c r="N962" l="1"/>
  <c r="L940"/>
  <c r="E975" s="1"/>
  <c r="E971"/>
  <c r="N955"/>
  <c r="N940"/>
  <c r="E976"/>
  <c r="E973"/>
  <c r="N965" l="1"/>
  <c r="L965"/>
  <c r="E980"/>
  <c r="L1029" l="1"/>
  <c r="L1028"/>
  <c r="L1027"/>
  <c r="L1024"/>
  <c r="L1023"/>
  <c r="L1008"/>
  <c r="L1007"/>
  <c r="L1006"/>
  <c r="L1005"/>
  <c r="L1004"/>
  <c r="K1042"/>
  <c r="L1038"/>
  <c r="L1037"/>
  <c r="K1039"/>
  <c r="L1036"/>
  <c r="L1035"/>
  <c r="L1068"/>
  <c r="L1067"/>
  <c r="K1069"/>
  <c r="K1065"/>
  <c r="L1064"/>
  <c r="K1050"/>
  <c r="K1061" s="1"/>
  <c r="L1049"/>
  <c r="L1050" s="1"/>
  <c r="L1061" s="1"/>
  <c r="E1112" s="1"/>
  <c r="K1030"/>
  <c r="K1025"/>
  <c r="K1080" l="1"/>
  <c r="L1009"/>
  <c r="K1046"/>
  <c r="L1025"/>
  <c r="L1030"/>
  <c r="L1039"/>
  <c r="L1069"/>
  <c r="L1065"/>
  <c r="L1080" l="1"/>
  <c r="E1110" s="1"/>
  <c r="L1046"/>
  <c r="E1109" s="1"/>
  <c r="L691"/>
  <c r="L692" s="1"/>
  <c r="L1103" l="1"/>
  <c r="E1117"/>
  <c r="K833" l="1"/>
  <c r="L832"/>
  <c r="L833" s="1"/>
  <c r="L838" l="1"/>
  <c r="L837"/>
  <c r="L836"/>
  <c r="L829"/>
  <c r="L828"/>
  <c r="L827"/>
  <c r="L826"/>
  <c r="L825"/>
  <c r="K839"/>
  <c r="K830"/>
  <c r="K834" s="1"/>
  <c r="M761"/>
  <c r="M762"/>
  <c r="M749"/>
  <c r="M748"/>
  <c r="M729"/>
  <c r="M727"/>
  <c r="M728"/>
  <c r="M726"/>
  <c r="L839" l="1"/>
  <c r="L845" s="1"/>
  <c r="L830"/>
  <c r="L834" s="1"/>
  <c r="E854" s="1"/>
  <c r="K779"/>
  <c r="E853" l="1"/>
  <c r="E858" s="1"/>
  <c r="L847"/>
  <c r="K650" l="1"/>
  <c r="L663" l="1"/>
  <c r="K692" l="1"/>
  <c r="T137"/>
  <c r="S139"/>
  <c r="T139" s="1"/>
  <c r="S138"/>
  <c r="T138" s="1"/>
  <c r="S135"/>
  <c r="T135" s="1"/>
  <c r="S134"/>
  <c r="V198"/>
  <c r="V190"/>
  <c r="U197"/>
  <c r="V197" s="1"/>
  <c r="U196"/>
  <c r="V196" s="1"/>
  <c r="U195"/>
  <c r="V195" s="1"/>
  <c r="U194"/>
  <c r="V194" s="1"/>
  <c r="U192"/>
  <c r="V192" s="1"/>
  <c r="U191"/>
  <c r="V191" s="1"/>
  <c r="U193"/>
  <c r="V193" s="1"/>
  <c r="K199"/>
  <c r="L198"/>
  <c r="L197"/>
  <c r="L196"/>
  <c r="L195"/>
  <c r="L194"/>
  <c r="L193"/>
  <c r="L192"/>
  <c r="L191"/>
  <c r="L190"/>
  <c r="L558"/>
  <c r="L559" s="1"/>
  <c r="L555"/>
  <c r="L556" s="1"/>
  <c r="L551"/>
  <c r="L552" s="1"/>
  <c r="L546"/>
  <c r="L547" s="1"/>
  <c r="N546"/>
  <c r="N547" s="1"/>
  <c r="N561" s="1"/>
  <c r="M547"/>
  <c r="K547"/>
  <c r="K559"/>
  <c r="K556"/>
  <c r="N535"/>
  <c r="N536" s="1"/>
  <c r="K552"/>
  <c r="N10"/>
  <c r="N8"/>
  <c r="N7"/>
  <c r="M9"/>
  <c r="N9" s="1"/>
  <c r="L561" l="1"/>
  <c r="V199"/>
  <c r="L199"/>
  <c r="S140"/>
  <c r="U199"/>
  <c r="T134"/>
  <c r="T140" s="1"/>
  <c r="T119" l="1"/>
  <c r="S121"/>
  <c r="T121" s="1"/>
  <c r="S120"/>
  <c r="T120" s="1"/>
  <c r="S122"/>
  <c r="T122" s="1"/>
  <c r="S117"/>
  <c r="L112"/>
  <c r="L111"/>
  <c r="L110"/>
  <c r="L107"/>
  <c r="L106"/>
  <c r="L105"/>
  <c r="L108" l="1"/>
  <c r="S123"/>
  <c r="L113"/>
  <c r="T117"/>
  <c r="T123" s="1"/>
  <c r="M113"/>
  <c r="L114" l="1"/>
  <c r="N523"/>
  <c r="N522"/>
  <c r="N521"/>
  <c r="N520"/>
  <c r="N518"/>
  <c r="N517"/>
  <c r="S530"/>
  <c r="S528"/>
  <c r="M528"/>
  <c r="S531"/>
  <c r="S527"/>
  <c r="M507"/>
  <c r="S524"/>
  <c r="M512"/>
  <c r="M519"/>
  <c r="M524" s="1"/>
  <c r="S510"/>
  <c r="S515" s="1"/>
  <c r="M510"/>
  <c r="M509"/>
  <c r="N496"/>
  <c r="N493"/>
  <c r="N491"/>
  <c r="N490"/>
  <c r="M492"/>
  <c r="N492" s="1"/>
  <c r="M488"/>
  <c r="N488" s="1"/>
  <c r="M489"/>
  <c r="N489" s="1"/>
  <c r="M495"/>
  <c r="N495" s="1"/>
  <c r="L542"/>
  <c r="L540"/>
  <c r="K543"/>
  <c r="L543" l="1"/>
  <c r="S532"/>
  <c r="N519"/>
  <c r="N524" s="1"/>
  <c r="S525"/>
  <c r="L153"/>
  <c r="L154" s="1"/>
  <c r="N760"/>
  <c r="N763"/>
  <c r="N762"/>
  <c r="M773"/>
  <c r="N766"/>
  <c r="N761"/>
  <c r="N772"/>
  <c r="N771"/>
  <c r="N770"/>
  <c r="N769"/>
  <c r="N765"/>
  <c r="N764"/>
  <c r="N748"/>
  <c r="N750"/>
  <c r="N756"/>
  <c r="N755"/>
  <c r="N754"/>
  <c r="N753"/>
  <c r="N749"/>
  <c r="N747"/>
  <c r="N746"/>
  <c r="N745"/>
  <c r="N744"/>
  <c r="M757"/>
  <c r="N729"/>
  <c r="N740"/>
  <c r="N739"/>
  <c r="N738"/>
  <c r="N737"/>
  <c r="N731"/>
  <c r="N730"/>
  <c r="N727"/>
  <c r="N728"/>
  <c r="N734"/>
  <c r="N735"/>
  <c r="N726"/>
  <c r="N736"/>
  <c r="N732" l="1"/>
  <c r="N757"/>
  <c r="M751"/>
  <c r="M758" s="1"/>
  <c r="N773"/>
  <c r="M767"/>
  <c r="M774" s="1"/>
  <c r="N741"/>
  <c r="N767"/>
  <c r="N751"/>
  <c r="M732"/>
  <c r="N758" l="1"/>
  <c r="M742"/>
  <c r="N742"/>
  <c r="N774"/>
  <c r="N794" l="1"/>
  <c r="N507" l="1"/>
  <c r="M513"/>
  <c r="N513" s="1"/>
  <c r="N509"/>
  <c r="M487"/>
  <c r="N487" s="1"/>
  <c r="M486"/>
  <c r="N486" s="1"/>
  <c r="M497"/>
  <c r="N497" s="1"/>
  <c r="M494"/>
  <c r="N494" s="1"/>
  <c r="N531"/>
  <c r="N530"/>
  <c r="N529"/>
  <c r="N528"/>
  <c r="N527"/>
  <c r="N514"/>
  <c r="N512"/>
  <c r="N511"/>
  <c r="N510"/>
  <c r="N508"/>
  <c r="N503"/>
  <c r="N502"/>
  <c r="N501"/>
  <c r="N500"/>
  <c r="N498" l="1"/>
  <c r="N515"/>
  <c r="N525" s="1"/>
  <c r="L535" l="1"/>
  <c r="L536" s="1"/>
  <c r="M536"/>
  <c r="N532"/>
  <c r="M532"/>
  <c r="M515"/>
  <c r="N504"/>
  <c r="N505" s="1"/>
  <c r="M504"/>
  <c r="M498"/>
  <c r="L769"/>
  <c r="K757"/>
  <c r="L756"/>
  <c r="L755"/>
  <c r="L754"/>
  <c r="L753"/>
  <c r="K773"/>
  <c r="L772"/>
  <c r="L771"/>
  <c r="L770"/>
  <c r="K741"/>
  <c r="L740"/>
  <c r="L739"/>
  <c r="L738"/>
  <c r="L737"/>
  <c r="L736"/>
  <c r="L735"/>
  <c r="L734"/>
  <c r="K751"/>
  <c r="L750"/>
  <c r="L749"/>
  <c r="L748"/>
  <c r="L747"/>
  <c r="L746"/>
  <c r="L745"/>
  <c r="L744"/>
  <c r="K767"/>
  <c r="L766"/>
  <c r="L765"/>
  <c r="L764"/>
  <c r="L763"/>
  <c r="L762"/>
  <c r="L761"/>
  <c r="L760"/>
  <c r="L778"/>
  <c r="L777"/>
  <c r="L776"/>
  <c r="K732"/>
  <c r="L731"/>
  <c r="L730"/>
  <c r="L729"/>
  <c r="L728"/>
  <c r="L727"/>
  <c r="L726"/>
  <c r="K679"/>
  <c r="L678"/>
  <c r="L677"/>
  <c r="L676"/>
  <c r="L675"/>
  <c r="K689"/>
  <c r="L688"/>
  <c r="L689" s="1"/>
  <c r="K618"/>
  <c r="L617"/>
  <c r="L616"/>
  <c r="L615"/>
  <c r="L614"/>
  <c r="L613"/>
  <c r="L612"/>
  <c r="L611"/>
  <c r="L610"/>
  <c r="K661"/>
  <c r="L660"/>
  <c r="L659"/>
  <c r="L658"/>
  <c r="L657"/>
  <c r="L656"/>
  <c r="L655"/>
  <c r="L654"/>
  <c r="L653"/>
  <c r="L652"/>
  <c r="K673"/>
  <c r="L672"/>
  <c r="L671"/>
  <c r="L670"/>
  <c r="L669"/>
  <c r="L668"/>
  <c r="L667"/>
  <c r="L666"/>
  <c r="K686"/>
  <c r="L685"/>
  <c r="L684"/>
  <c r="L683"/>
  <c r="L682"/>
  <c r="K622"/>
  <c r="L621"/>
  <c r="L622" s="1"/>
  <c r="K608"/>
  <c r="L607"/>
  <c r="L606"/>
  <c r="L605"/>
  <c r="L604"/>
  <c r="L603"/>
  <c r="L602"/>
  <c r="L601"/>
  <c r="L600"/>
  <c r="K636"/>
  <c r="L635"/>
  <c r="L634"/>
  <c r="L633"/>
  <c r="L632"/>
  <c r="L631"/>
  <c r="L630"/>
  <c r="L629"/>
  <c r="L628"/>
  <c r="L627"/>
  <c r="L626"/>
  <c r="L625"/>
  <c r="L624"/>
  <c r="L649"/>
  <c r="L648"/>
  <c r="L647"/>
  <c r="L646"/>
  <c r="L645"/>
  <c r="L644"/>
  <c r="L643"/>
  <c r="L642"/>
  <c r="L641"/>
  <c r="L640"/>
  <c r="L639"/>
  <c r="L638"/>
  <c r="K532"/>
  <c r="L531"/>
  <c r="L530"/>
  <c r="L529"/>
  <c r="L528"/>
  <c r="L527"/>
  <c r="K524"/>
  <c r="L523"/>
  <c r="L522"/>
  <c r="L521"/>
  <c r="L520"/>
  <c r="L519"/>
  <c r="L518"/>
  <c r="L517"/>
  <c r="K504"/>
  <c r="L503"/>
  <c r="L502"/>
  <c r="L501"/>
  <c r="L500"/>
  <c r="K536"/>
  <c r="K515"/>
  <c r="L514"/>
  <c r="L513"/>
  <c r="L512"/>
  <c r="L511"/>
  <c r="L510"/>
  <c r="L509"/>
  <c r="L508"/>
  <c r="L507"/>
  <c r="K498"/>
  <c r="L497"/>
  <c r="L496"/>
  <c r="L495"/>
  <c r="L494"/>
  <c r="L493"/>
  <c r="L492"/>
  <c r="L491"/>
  <c r="L490"/>
  <c r="L489"/>
  <c r="L488"/>
  <c r="L487"/>
  <c r="L486"/>
  <c r="K479"/>
  <c r="L478"/>
  <c r="L477"/>
  <c r="L476"/>
  <c r="K475"/>
  <c r="L474"/>
  <c r="L473"/>
  <c r="L472"/>
  <c r="L471"/>
  <c r="K470"/>
  <c r="L469"/>
  <c r="L470" s="1"/>
  <c r="K468"/>
  <c r="L467"/>
  <c r="L466"/>
  <c r="L465"/>
  <c r="L464"/>
  <c r="L463"/>
  <c r="L462"/>
  <c r="L461"/>
  <c r="L460"/>
  <c r="K459"/>
  <c r="L458"/>
  <c r="L457"/>
  <c r="L456"/>
  <c r="L455"/>
  <c r="L454"/>
  <c r="L453"/>
  <c r="L452"/>
  <c r="L451"/>
  <c r="L450"/>
  <c r="K449"/>
  <c r="L448"/>
  <c r="L447"/>
  <c r="L446"/>
  <c r="L445"/>
  <c r="K444"/>
  <c r="L443"/>
  <c r="L442"/>
  <c r="L441"/>
  <c r="L440"/>
  <c r="K439"/>
  <c r="L438"/>
  <c r="L437"/>
  <c r="L436"/>
  <c r="L435"/>
  <c r="L434"/>
  <c r="L433"/>
  <c r="L432"/>
  <c r="K431"/>
  <c r="L430"/>
  <c r="L429"/>
  <c r="L428"/>
  <c r="L427"/>
  <c r="L426"/>
  <c r="K425"/>
  <c r="L424"/>
  <c r="L423"/>
  <c r="L422"/>
  <c r="L421"/>
  <c r="L420"/>
  <c r="L419"/>
  <c r="L418"/>
  <c r="K417"/>
  <c r="L416"/>
  <c r="L415"/>
  <c r="L414"/>
  <c r="L413"/>
  <c r="K412"/>
  <c r="L411"/>
  <c r="L412" s="1"/>
  <c r="K409"/>
  <c r="L408"/>
  <c r="L407"/>
  <c r="L406"/>
  <c r="K405"/>
  <c r="L404"/>
  <c r="L403"/>
  <c r="L402"/>
  <c r="L401"/>
  <c r="L400"/>
  <c r="K399"/>
  <c r="L398"/>
  <c r="L397"/>
  <c r="L396"/>
  <c r="L395"/>
  <c r="L394"/>
  <c r="L393"/>
  <c r="L392"/>
  <c r="K391"/>
  <c r="L390"/>
  <c r="L389"/>
  <c r="L388"/>
  <c r="L387"/>
  <c r="K386"/>
  <c r="L385"/>
  <c r="L386" s="1"/>
  <c r="K384"/>
  <c r="L383"/>
  <c r="L382"/>
  <c r="L381"/>
  <c r="L380"/>
  <c r="L379"/>
  <c r="L378"/>
  <c r="L377"/>
  <c r="L376"/>
  <c r="K375"/>
  <c r="L374"/>
  <c r="L373"/>
  <c r="L372"/>
  <c r="L371"/>
  <c r="L370"/>
  <c r="L369"/>
  <c r="L368"/>
  <c r="L367"/>
  <c r="L366"/>
  <c r="L365"/>
  <c r="L364"/>
  <c r="L363"/>
  <c r="K362"/>
  <c r="L361"/>
  <c r="L360"/>
  <c r="L359"/>
  <c r="L358"/>
  <c r="L357"/>
  <c r="L356"/>
  <c r="L355"/>
  <c r="L354"/>
  <c r="L353"/>
  <c r="L352"/>
  <c r="L351"/>
  <c r="L350"/>
  <c r="K349"/>
  <c r="L348"/>
  <c r="L347"/>
  <c r="L346"/>
  <c r="L345"/>
  <c r="L344"/>
  <c r="L343"/>
  <c r="L342"/>
  <c r="K341"/>
  <c r="L340"/>
  <c r="L339"/>
  <c r="L338"/>
  <c r="L337"/>
  <c r="L336"/>
  <c r="L335"/>
  <c r="L334"/>
  <c r="K333"/>
  <c r="L332"/>
  <c r="L331"/>
  <c r="L330"/>
  <c r="K329"/>
  <c r="L328"/>
  <c r="L327"/>
  <c r="L326"/>
  <c r="L325"/>
  <c r="L324"/>
  <c r="L323"/>
  <c r="K322"/>
  <c r="L321"/>
  <c r="L320"/>
  <c r="L319"/>
  <c r="L318"/>
  <c r="L317"/>
  <c r="L316"/>
  <c r="L315"/>
  <c r="L314"/>
  <c r="K313"/>
  <c r="L312"/>
  <c r="L311"/>
  <c r="L310"/>
  <c r="L309"/>
  <c r="L308"/>
  <c r="L307"/>
  <c r="L306"/>
  <c r="L305"/>
  <c r="L304"/>
  <c r="L303"/>
  <c r="L302"/>
  <c r="L301"/>
  <c r="L779" l="1"/>
  <c r="M505"/>
  <c r="L650"/>
  <c r="N564"/>
  <c r="L524"/>
  <c r="M525"/>
  <c r="K758"/>
  <c r="L618"/>
  <c r="K742"/>
  <c r="K774"/>
  <c r="K619"/>
  <c r="K505"/>
  <c r="K525"/>
  <c r="L773"/>
  <c r="L767"/>
  <c r="L322"/>
  <c r="L333"/>
  <c r="L341"/>
  <c r="L399"/>
  <c r="L405"/>
  <c r="L409"/>
  <c r="L732"/>
  <c r="L741"/>
  <c r="L757"/>
  <c r="L375"/>
  <c r="L449"/>
  <c r="L475"/>
  <c r="L515"/>
  <c r="L661"/>
  <c r="L751"/>
  <c r="L468"/>
  <c r="L532"/>
  <c r="E572" s="1"/>
  <c r="L679"/>
  <c r="L608"/>
  <c r="L686"/>
  <c r="L693" s="1"/>
  <c r="L349"/>
  <c r="L636"/>
  <c r="E701" s="1"/>
  <c r="L673"/>
  <c r="L313"/>
  <c r="L329"/>
  <c r="L362"/>
  <c r="L384"/>
  <c r="L391"/>
  <c r="L417"/>
  <c r="L425"/>
  <c r="L431"/>
  <c r="L439"/>
  <c r="L444"/>
  <c r="L459"/>
  <c r="L479"/>
  <c r="L498"/>
  <c r="L504"/>
  <c r="E803" l="1"/>
  <c r="L619"/>
  <c r="E699" s="1"/>
  <c r="E704"/>
  <c r="L680"/>
  <c r="L664"/>
  <c r="E702" s="1"/>
  <c r="L774"/>
  <c r="L758"/>
  <c r="E801" s="1"/>
  <c r="L742"/>
  <c r="E800" s="1"/>
  <c r="L525"/>
  <c r="E571" s="1"/>
  <c r="L505"/>
  <c r="E570" s="1"/>
  <c r="L794" l="1"/>
  <c r="E802"/>
  <c r="E804" s="1"/>
  <c r="L695"/>
  <c r="E703"/>
  <c r="E706" s="1"/>
  <c r="E578"/>
  <c r="L564"/>
  <c r="N262" l="1"/>
  <c r="N263" s="1"/>
  <c r="L262"/>
  <c r="L263" s="1"/>
  <c r="N223"/>
  <c r="N221"/>
  <c r="M229"/>
  <c r="M240" s="1"/>
  <c r="N206"/>
  <c r="L210"/>
  <c r="L209"/>
  <c r="L208"/>
  <c r="L207"/>
  <c r="L206"/>
  <c r="L205"/>
  <c r="L204"/>
  <c r="L203"/>
  <c r="L202"/>
  <c r="M207"/>
  <c r="M211" s="1"/>
  <c r="N214"/>
  <c r="M214"/>
  <c r="N199"/>
  <c r="M199"/>
  <c r="N255"/>
  <c r="N256" s="1"/>
  <c r="N252"/>
  <c r="N253" s="1"/>
  <c r="M215" l="1"/>
  <c r="N229"/>
  <c r="N240" s="1"/>
  <c r="L211"/>
  <c r="N257"/>
  <c r="N207"/>
  <c r="N211" s="1"/>
  <c r="N215" s="1"/>
  <c r="S242" l="1"/>
  <c r="S243"/>
  <c r="S223"/>
  <c r="T223" s="1"/>
  <c r="S221"/>
  <c r="T221" s="1"/>
  <c r="S233"/>
  <c r="S239" s="1"/>
  <c r="S246" l="1"/>
  <c r="S229"/>
  <c r="S203"/>
  <c r="S207"/>
  <c r="T207" s="1"/>
  <c r="S210"/>
  <c r="S206"/>
  <c r="T206" s="1"/>
  <c r="S211" l="1"/>
  <c r="S194"/>
  <c r="S199" s="1"/>
  <c r="M256"/>
  <c r="M253" l="1"/>
  <c r="M257" s="1"/>
  <c r="N112"/>
  <c r="N111"/>
  <c r="N110"/>
  <c r="M107"/>
  <c r="N107" s="1"/>
  <c r="M117"/>
  <c r="N117" s="1"/>
  <c r="N121"/>
  <c r="N118"/>
  <c r="M122"/>
  <c r="N122" s="1"/>
  <c r="M119"/>
  <c r="N119" s="1"/>
  <c r="N139"/>
  <c r="N136"/>
  <c r="N135"/>
  <c r="M140"/>
  <c r="N120"/>
  <c r="M105"/>
  <c r="N105" s="1"/>
  <c r="N113" l="1"/>
  <c r="M123"/>
  <c r="M131" s="1"/>
  <c r="N108"/>
  <c r="N123"/>
  <c r="N131" s="1"/>
  <c r="N140"/>
  <c r="M108"/>
  <c r="M114" s="1"/>
  <c r="N114" l="1"/>
  <c r="N16"/>
  <c r="N14"/>
  <c r="M18"/>
  <c r="M24" s="1"/>
  <c r="N18" l="1"/>
  <c r="N24" s="1"/>
  <c r="N259"/>
  <c r="N260" s="1"/>
  <c r="N264" s="1"/>
  <c r="N266" s="1"/>
  <c r="M263"/>
  <c r="M260"/>
  <c r="L255"/>
  <c r="L256" s="1"/>
  <c r="L252"/>
  <c r="L253" s="1"/>
  <c r="K260"/>
  <c r="L259"/>
  <c r="L260" s="1"/>
  <c r="L264" s="1"/>
  <c r="K249"/>
  <c r="L248"/>
  <c r="L249" s="1"/>
  <c r="K239"/>
  <c r="L238"/>
  <c r="L237"/>
  <c r="L236"/>
  <c r="L235"/>
  <c r="L234"/>
  <c r="L233"/>
  <c r="L232"/>
  <c r="L231"/>
  <c r="K214"/>
  <c r="L213"/>
  <c r="L214" s="1"/>
  <c r="K256"/>
  <c r="K246"/>
  <c r="L245"/>
  <c r="L244"/>
  <c r="L243"/>
  <c r="L242"/>
  <c r="K229"/>
  <c r="L228"/>
  <c r="L227"/>
  <c r="L226"/>
  <c r="L225"/>
  <c r="L224"/>
  <c r="L223"/>
  <c r="L222"/>
  <c r="L221"/>
  <c r="L220"/>
  <c r="L219"/>
  <c r="L218"/>
  <c r="K211"/>
  <c r="K263"/>
  <c r="K253"/>
  <c r="L257" l="1"/>
  <c r="E276" s="1"/>
  <c r="L239"/>
  <c r="L246"/>
  <c r="L250" s="1"/>
  <c r="E275" s="1"/>
  <c r="E272"/>
  <c r="L215"/>
  <c r="E273" s="1"/>
  <c r="L229"/>
  <c r="L240" l="1"/>
  <c r="E274" s="1"/>
  <c r="E279" s="1"/>
  <c r="L266" l="1"/>
  <c r="L149"/>
  <c r="L150" s="1"/>
  <c r="N153"/>
  <c r="N154" s="1"/>
  <c r="M154"/>
  <c r="N149" l="1"/>
  <c r="N150" s="1"/>
  <c r="N143"/>
  <c r="N144" s="1"/>
  <c r="M144"/>
  <c r="M150"/>
  <c r="M146"/>
  <c r="N146" s="1"/>
  <c r="N147" s="1"/>
  <c r="M147" l="1"/>
  <c r="M151" s="1"/>
  <c r="N151"/>
  <c r="N156" s="1"/>
  <c r="K154" l="1"/>
  <c r="K150"/>
  <c r="K113"/>
  <c r="K130"/>
  <c r="L129"/>
  <c r="L128"/>
  <c r="L127"/>
  <c r="L126"/>
  <c r="L125"/>
  <c r="K147"/>
  <c r="L146"/>
  <c r="L147" s="1"/>
  <c r="K108"/>
  <c r="K123"/>
  <c r="L122"/>
  <c r="L121"/>
  <c r="L120"/>
  <c r="L119"/>
  <c r="L118"/>
  <c r="L117"/>
  <c r="K140"/>
  <c r="L139"/>
  <c r="L138"/>
  <c r="L137"/>
  <c r="L136"/>
  <c r="L135"/>
  <c r="L134"/>
  <c r="K144"/>
  <c r="L143"/>
  <c r="L144" s="1"/>
  <c r="E162" l="1"/>
  <c r="L151"/>
  <c r="L140"/>
  <c r="E164" s="1"/>
  <c r="L130"/>
  <c r="L123"/>
  <c r="L131" l="1"/>
  <c r="L156" s="1"/>
  <c r="E163" l="1"/>
  <c r="E168" s="1"/>
  <c r="M50"/>
  <c r="N49"/>
  <c r="N50" s="1"/>
  <c r="M39"/>
  <c r="N39" s="1"/>
  <c r="M40"/>
  <c r="N40" s="1"/>
  <c r="N42"/>
  <c r="N41"/>
  <c r="N38"/>
  <c r="N37"/>
  <c r="N36"/>
  <c r="E77"/>
  <c r="L64"/>
  <c r="K64"/>
  <c r="L49"/>
  <c r="L48"/>
  <c r="L47"/>
  <c r="L46"/>
  <c r="L45"/>
  <c r="K50"/>
  <c r="K58"/>
  <c r="L57"/>
  <c r="L56"/>
  <c r="L55"/>
  <c r="L54"/>
  <c r="L53"/>
  <c r="K43"/>
  <c r="L42"/>
  <c r="L41"/>
  <c r="L40"/>
  <c r="L39"/>
  <c r="L38"/>
  <c r="L37"/>
  <c r="L36"/>
  <c r="N34"/>
  <c r="M34"/>
  <c r="M43" l="1"/>
  <c r="M51" s="1"/>
  <c r="L50"/>
  <c r="N43"/>
  <c r="L43"/>
  <c r="L58"/>
  <c r="L65" s="1"/>
  <c r="E81" s="1"/>
  <c r="N51" l="1"/>
  <c r="K29"/>
  <c r="L28"/>
  <c r="L27"/>
  <c r="L29" l="1"/>
  <c r="L17" l="1"/>
  <c r="L16"/>
  <c r="L15"/>
  <c r="L14"/>
  <c r="L22"/>
  <c r="L21"/>
  <c r="L20"/>
  <c r="L18" l="1"/>
  <c r="L23"/>
  <c r="M6"/>
  <c r="N6" s="1"/>
  <c r="N11" s="1"/>
  <c r="M11" l="1"/>
  <c r="N69"/>
  <c r="L24"/>
  <c r="K23" l="1"/>
  <c r="K34"/>
  <c r="L33"/>
  <c r="L32"/>
  <c r="K18"/>
  <c r="K11"/>
  <c r="L10"/>
  <c r="L9"/>
  <c r="L8"/>
  <c r="L7"/>
  <c r="L6"/>
  <c r="L34" l="1"/>
  <c r="L51" s="1"/>
  <c r="E80" s="1"/>
  <c r="E84" s="1"/>
  <c r="L11"/>
  <c r="L69" l="1"/>
</calcChain>
</file>

<file path=xl/sharedStrings.xml><?xml version="1.0" encoding="utf-8"?>
<sst xmlns="http://schemas.openxmlformats.org/spreadsheetml/2006/main" count="37125" uniqueCount="1942">
  <si>
    <t>DOC. NO. VIL/PLN/F/01</t>
  </si>
  <si>
    <t xml:space="preserve">Rolling Plan  -                      </t>
  </si>
  <si>
    <t>Mill :</t>
  </si>
  <si>
    <t>Date :</t>
  </si>
  <si>
    <t>Party</t>
  </si>
  <si>
    <t>PO No.</t>
  </si>
  <si>
    <t>Insp</t>
  </si>
  <si>
    <t>Emb.</t>
  </si>
  <si>
    <t>Specf.</t>
  </si>
  <si>
    <t>RADIUS</t>
  </si>
  <si>
    <t>Gr.</t>
  </si>
  <si>
    <t>Size</t>
  </si>
  <si>
    <t>Sec.Wt.</t>
  </si>
  <si>
    <t>Length</t>
  </si>
  <si>
    <t>Ord. Pcs</t>
  </si>
  <si>
    <t>Ord.  Qty</t>
  </si>
  <si>
    <t>Stock Pcs</t>
  </si>
  <si>
    <t>Stock Qty</t>
  </si>
  <si>
    <t>RM Use</t>
  </si>
  <si>
    <t>NPG</t>
  </si>
  <si>
    <t>VIL HT</t>
  </si>
  <si>
    <t>HT</t>
  </si>
  <si>
    <t>Sr. No.</t>
  </si>
  <si>
    <t>Section's</t>
  </si>
  <si>
    <t>Qty.</t>
  </si>
  <si>
    <t>Radius</t>
  </si>
  <si>
    <t>Embossing</t>
  </si>
  <si>
    <t>Billet use</t>
  </si>
  <si>
    <t>1)</t>
  </si>
  <si>
    <t>2)</t>
  </si>
  <si>
    <t>3)</t>
  </si>
  <si>
    <t>CC:</t>
  </si>
  <si>
    <t xml:space="preserve">Receiver's </t>
  </si>
  <si>
    <t>Receiver's Signs</t>
  </si>
  <si>
    <t>Received date</t>
  </si>
  <si>
    <t>Time</t>
  </si>
  <si>
    <t>REMARK IF ANY</t>
  </si>
  <si>
    <t>1) Production (Foreman)</t>
  </si>
  <si>
    <t>2) Quality Control</t>
  </si>
  <si>
    <t xml:space="preserve">3) Raw Material </t>
  </si>
  <si>
    <t>4) Planning</t>
  </si>
  <si>
    <t>5) Workshop Incharge</t>
  </si>
  <si>
    <t>CHECKED &amp; VARIFIED BY</t>
  </si>
  <si>
    <t>ISSUED BY</t>
  </si>
  <si>
    <t>( RAW MATERIAL)</t>
  </si>
  <si>
    <t>(PLANNING)</t>
  </si>
  <si>
    <t>4)</t>
  </si>
  <si>
    <t>355 J2</t>
  </si>
  <si>
    <t>VINAR ISPAT LTD, BUTIBORI</t>
  </si>
  <si>
    <t>VIL  HT</t>
  </si>
  <si>
    <t>Lot No.</t>
  </si>
  <si>
    <t>A572 GR 60</t>
  </si>
  <si>
    <t>SAUDI</t>
  </si>
  <si>
    <t>90X90X6</t>
  </si>
  <si>
    <t>90X90X7</t>
  </si>
  <si>
    <t>HT 90X90X6</t>
  </si>
  <si>
    <t>HT 90X90X7</t>
  </si>
  <si>
    <t>355 JO</t>
  </si>
  <si>
    <t>5)</t>
  </si>
  <si>
    <t>KECDubai</t>
  </si>
  <si>
    <t>VIL MS</t>
  </si>
  <si>
    <t>MS</t>
  </si>
  <si>
    <t>ASTM GR 36</t>
  </si>
  <si>
    <t>275 JO</t>
  </si>
  <si>
    <t>DSP MS-125X125</t>
  </si>
  <si>
    <t>DSP HT-125X125</t>
  </si>
  <si>
    <t>Centaur</t>
  </si>
  <si>
    <t>GCCIA</t>
  </si>
  <si>
    <t>LOI-1937(Mar-24-31)</t>
  </si>
  <si>
    <t>75X75X6</t>
  </si>
  <si>
    <t>75X75X5</t>
  </si>
  <si>
    <t>HT 75X75X6</t>
  </si>
  <si>
    <t>MS-75X75X6</t>
  </si>
  <si>
    <t>BTR</t>
  </si>
  <si>
    <t>VIL/001/2023-24</t>
  </si>
  <si>
    <t>VIL/002/2023-24</t>
  </si>
  <si>
    <t>VIL/002-A/2023-24</t>
  </si>
  <si>
    <t>JSPL HT-150X150(J2)</t>
  </si>
  <si>
    <t>HT 75X75X5</t>
  </si>
  <si>
    <t>HT 90X90X5</t>
  </si>
  <si>
    <t>JSPL HT-150X150(GR60)</t>
  </si>
  <si>
    <t>LOI-2020(Apr 08-15)</t>
  </si>
  <si>
    <t>LOI-2021(Apr 08-15)</t>
  </si>
  <si>
    <t>KEC BB</t>
  </si>
  <si>
    <t>OMAN</t>
  </si>
  <si>
    <t>LOI-2022(Apr 08-15)</t>
  </si>
  <si>
    <t>VIL/003/2023-24</t>
  </si>
  <si>
    <t>VIL/004/2023-24</t>
  </si>
  <si>
    <t>MEXICO</t>
  </si>
  <si>
    <t>LOI-2019(Apr 01-07)</t>
  </si>
  <si>
    <t>275 JR</t>
  </si>
  <si>
    <t>90X90X5</t>
  </si>
  <si>
    <t>110X110X10</t>
  </si>
  <si>
    <t>Georgia</t>
  </si>
  <si>
    <t xml:space="preserve">MS </t>
  </si>
  <si>
    <t>110X110X8</t>
  </si>
  <si>
    <t>Mexico</t>
  </si>
  <si>
    <t>110X110X6</t>
  </si>
  <si>
    <t>110X110X7</t>
  </si>
  <si>
    <t>110X110X9</t>
  </si>
  <si>
    <t>HT 110X110X6</t>
  </si>
  <si>
    <t>HT 110X110X7</t>
  </si>
  <si>
    <t>HT 110X110X8</t>
  </si>
  <si>
    <t>HT 110X110X9</t>
  </si>
  <si>
    <t>HT 110X110X10</t>
  </si>
  <si>
    <t>VIL/008-A/23-24</t>
  </si>
  <si>
    <t>VIL/008/23-24</t>
  </si>
  <si>
    <t>VIL/007/23-24</t>
  </si>
  <si>
    <t>VIL/006/23-24</t>
  </si>
  <si>
    <t>VIL/005/23-24</t>
  </si>
  <si>
    <t>VIL/009/23-24</t>
  </si>
  <si>
    <t>VIL/010/23-24</t>
  </si>
  <si>
    <t>VIL/011/23-24</t>
  </si>
  <si>
    <t>VIL/012/23-24</t>
  </si>
  <si>
    <t>VIL/013/23-24</t>
  </si>
  <si>
    <t>VIL/014/23-24</t>
  </si>
  <si>
    <t>VIL/014-A/23-24</t>
  </si>
  <si>
    <t>VIL/015/23-24</t>
  </si>
  <si>
    <t>100X100X6</t>
  </si>
  <si>
    <t>100X100X7</t>
  </si>
  <si>
    <t>120X120X10</t>
  </si>
  <si>
    <t>120X120X7</t>
  </si>
  <si>
    <t>120X120X8</t>
  </si>
  <si>
    <t>120X120X9</t>
  </si>
  <si>
    <t>130X130X10</t>
  </si>
  <si>
    <t>130X130X11</t>
  </si>
  <si>
    <t>130X130X12</t>
  </si>
  <si>
    <t>130X130X13</t>
  </si>
  <si>
    <t>130X130X8</t>
  </si>
  <si>
    <t>130X130X9</t>
  </si>
  <si>
    <t>80X80X5</t>
  </si>
  <si>
    <t>80X80X6</t>
  </si>
  <si>
    <t>LOI-12(Apr 08-15)</t>
  </si>
  <si>
    <t>100X100X10</t>
  </si>
  <si>
    <t>100X100X8</t>
  </si>
  <si>
    <t>LOI-13(Apr 08-15)</t>
  </si>
  <si>
    <t>HT 100X100X6</t>
  </si>
  <si>
    <t>HT 100X100X7</t>
  </si>
  <si>
    <t>HT 100X100X8</t>
  </si>
  <si>
    <t>HT 130X130X12</t>
  </si>
  <si>
    <t>HT 130X130X11</t>
  </si>
  <si>
    <t>HT 130X130X10</t>
  </si>
  <si>
    <t>HT 130X130X9</t>
  </si>
  <si>
    <t>HT 130X130X8</t>
  </si>
  <si>
    <t>HT 120X120X10</t>
  </si>
  <si>
    <t>HT 120X120X9</t>
  </si>
  <si>
    <t>HT 120X120X8</t>
  </si>
  <si>
    <t>HT 120X120X7</t>
  </si>
  <si>
    <t>Total qty offered on dt 07.04.2023</t>
  </si>
  <si>
    <t>12.861 qty offered on dt 07.04.2023</t>
  </si>
  <si>
    <t>12.254 qty offered on dt 07.04.2023</t>
  </si>
  <si>
    <t>short rolling</t>
  </si>
  <si>
    <t>GCCIA-BTR SEPARATE LOT</t>
  </si>
  <si>
    <t>OR</t>
  </si>
  <si>
    <t>MS 100X100X6</t>
  </si>
  <si>
    <t>VIL  MS</t>
  </si>
  <si>
    <t>IISCO MS-150X150</t>
  </si>
  <si>
    <t>Heat No</t>
  </si>
  <si>
    <t>Total qty offered on dt 08.04.2023</t>
  </si>
  <si>
    <t>HT 100X100X10</t>
  </si>
  <si>
    <t>Total qty offered on dt 09.04.2023</t>
  </si>
  <si>
    <t>LOI-42(May 01-07)</t>
  </si>
  <si>
    <t>LOI-41(Apr 16-23)</t>
  </si>
  <si>
    <t>6)</t>
  </si>
  <si>
    <t>HT 130X130X13</t>
  </si>
  <si>
    <t>Total qty offered on dt 10.04.2023</t>
  </si>
  <si>
    <t>Total qty offered on dt 11.04.2023</t>
  </si>
  <si>
    <t>ASTM A-36</t>
  </si>
  <si>
    <t>OK</t>
  </si>
  <si>
    <t>38.311 MT Qty offered on 18.04.23</t>
  </si>
  <si>
    <t>Total Qty offered on 18.04.23</t>
  </si>
  <si>
    <t>41.814 MT Qty offered on 18.04.23</t>
  </si>
  <si>
    <t>Total qty offered on 19.04.23</t>
  </si>
  <si>
    <t>Remaining qty offered on 19.04.23</t>
  </si>
  <si>
    <t>KEC Dubai</t>
  </si>
  <si>
    <t>355 JR</t>
  </si>
  <si>
    <t>150X150X10</t>
  </si>
  <si>
    <t>150X150X12</t>
  </si>
  <si>
    <t>150X150X14</t>
  </si>
  <si>
    <t>150X150X15</t>
  </si>
  <si>
    <t>150X150X16</t>
  </si>
  <si>
    <t>150X150X18</t>
  </si>
  <si>
    <t>150X150X20</t>
  </si>
  <si>
    <t>HT 150X150X18</t>
  </si>
  <si>
    <t>HT 150X150X16</t>
  </si>
  <si>
    <t>HT 150X150X15</t>
  </si>
  <si>
    <t>HT 150X150X14</t>
  </si>
  <si>
    <t>HT 150X150X12</t>
  </si>
  <si>
    <t>HT 150X150X10</t>
  </si>
  <si>
    <t>JSPL HT-150X150(J2/JO/Gr 60)</t>
  </si>
  <si>
    <t>JSPL HT-200X200(J2/JO)</t>
  </si>
  <si>
    <t>JSPL HT-200X200(J2/JO/GR 60)</t>
  </si>
  <si>
    <t>Lot No./Heat no</t>
  </si>
  <si>
    <t>21 BL</t>
  </si>
  <si>
    <t>8 BL</t>
  </si>
  <si>
    <t>Lot No./Heat No</t>
  </si>
  <si>
    <t>4 BL</t>
  </si>
  <si>
    <t>Total qty offered on 22.04.23</t>
  </si>
  <si>
    <t>HT 80X80X6</t>
  </si>
  <si>
    <t>HT 80X80X5</t>
  </si>
  <si>
    <t>JSPL HT-150X150(GR60/j2)</t>
  </si>
  <si>
    <t>Total qty offered on 23.04.23</t>
  </si>
  <si>
    <t>Total qty offered on dt 25.04.23</t>
  </si>
  <si>
    <t>100X100X12</t>
  </si>
  <si>
    <t>Bangladesh</t>
  </si>
  <si>
    <t>100X100X9</t>
  </si>
  <si>
    <t>GCCIA-Saudi</t>
  </si>
  <si>
    <t>Elsewedy/TRANSCO</t>
  </si>
  <si>
    <t>NCC/ADNOC</t>
  </si>
  <si>
    <t>HT 100X100X12</t>
  </si>
  <si>
    <t>JSPL HT-150X150(J2/JO)</t>
  </si>
  <si>
    <t>total qty offered on 25.04.2023</t>
  </si>
  <si>
    <t>117.635 MT qty offered on 21.04.2023</t>
  </si>
  <si>
    <t>24.065 MT qty offered on 16.04.2023</t>
  </si>
  <si>
    <t>32.704 MT qty offered on 15.04.2023</t>
  </si>
  <si>
    <t>total qty offered on 16.04.2023</t>
  </si>
  <si>
    <t>Total qty offered on 15.04.2023</t>
  </si>
  <si>
    <t>Total qty offered on 12.04.2023</t>
  </si>
  <si>
    <t>Total qty offered on 13.04.2023</t>
  </si>
  <si>
    <t>Total qty offered on dt 27/04/2023</t>
  </si>
  <si>
    <t>Total qty offered on 27.04.23</t>
  </si>
  <si>
    <t>16.944 mt offered on dt 27/04/2023</t>
  </si>
  <si>
    <t>LOI-122(May 01-07)</t>
  </si>
  <si>
    <t>LOI-123(May -01-07)</t>
  </si>
  <si>
    <t>LOI-124(May 16-23)</t>
  </si>
  <si>
    <t>GCCIA/GCCIA-Saudi</t>
  </si>
  <si>
    <t>LOI-124(May -16-23)</t>
  </si>
  <si>
    <t>JSPL HT-150X150(J2/JO/GR 60)</t>
  </si>
  <si>
    <t>Total qty offered on 27.04.2023</t>
  </si>
  <si>
    <t>120X120X12</t>
  </si>
  <si>
    <t>LOI-123(May 01-07)</t>
  </si>
  <si>
    <t>GCCIA-Saudi/GCCIA</t>
  </si>
  <si>
    <t>Cegelec/Kuwait</t>
  </si>
  <si>
    <t>LOI-125(Jun 16-23)</t>
  </si>
  <si>
    <t>GCCIA-Saudi/EEE saudi</t>
  </si>
  <si>
    <t>14.089 mt offered on dt 02/05/2023</t>
  </si>
  <si>
    <t>65.031 MT Qty offered on 02.05.23</t>
  </si>
  <si>
    <t>Total qty offered on dt 05.05.23</t>
  </si>
  <si>
    <t>MOLDOVA</t>
  </si>
  <si>
    <t>LOI-138(May 16-23)</t>
  </si>
  <si>
    <t>BTR - SEPARATE LOT</t>
  </si>
  <si>
    <t>REWORK OK</t>
  </si>
  <si>
    <t>LOI-173(May 16-23)</t>
  </si>
  <si>
    <t>LOI-174(Jun 16-23)</t>
  </si>
  <si>
    <t>GCCIA-Kuwait</t>
  </si>
  <si>
    <t>LOI-173(May -16-23)</t>
  </si>
  <si>
    <t>GCCIA-Saudi/NCC/ADNOC</t>
  </si>
  <si>
    <t>ASTM A 36</t>
  </si>
  <si>
    <t>GCCIA-Saudi /GCCIA/CEGELEC/KUWAI</t>
  </si>
  <si>
    <t>GCCIA-Saudi /GCCIA</t>
  </si>
  <si>
    <t>EEE/Saudi</t>
  </si>
  <si>
    <t>EEE/Saudi /GCCIA KUWAIL</t>
  </si>
  <si>
    <t>MS 120X120X9</t>
  </si>
  <si>
    <t>RINL MS-150X150</t>
  </si>
  <si>
    <t>MS 120X120X8</t>
  </si>
  <si>
    <t>6 BL</t>
  </si>
  <si>
    <t>ASTM GR A36</t>
  </si>
  <si>
    <t>MS 130X130X9</t>
  </si>
  <si>
    <t>RINLMS-150X150(JR)</t>
  </si>
  <si>
    <t>E350A</t>
  </si>
  <si>
    <t>150X150X17</t>
  </si>
  <si>
    <t>E250A</t>
  </si>
  <si>
    <t>70X70X5</t>
  </si>
  <si>
    <t>70X70X6</t>
  </si>
  <si>
    <t>355 Jr</t>
  </si>
  <si>
    <t>Total qty offered on dt 12.05.23</t>
  </si>
  <si>
    <t>JSPL/RINL HT-150X150(J2/JO)</t>
  </si>
  <si>
    <t>Total qty offered on 12.05.23</t>
  </si>
  <si>
    <t>MS-75X75X8</t>
  </si>
  <si>
    <r>
      <t xml:space="preserve">VIL  MS </t>
    </r>
    <r>
      <rPr>
        <b/>
        <sz val="12"/>
        <rFont val="Copperplate Gothic Bold"/>
        <family val="2"/>
      </rPr>
      <t xml:space="preserve"> </t>
    </r>
    <r>
      <rPr>
        <b/>
        <i/>
        <sz val="12"/>
        <rFont val="Copperplate Gothic Bold"/>
        <family val="2"/>
      </rPr>
      <t>L</t>
    </r>
    <r>
      <rPr>
        <b/>
        <sz val="12"/>
        <rFont val="Times New Roman"/>
        <family val="1"/>
      </rPr>
      <t xml:space="preserve"> 75 IR</t>
    </r>
  </si>
  <si>
    <t>IS: 2062-E250 A</t>
  </si>
  <si>
    <t>RAILWAY</t>
  </si>
  <si>
    <t>KEC JBP</t>
  </si>
  <si>
    <t>LOI-191(May 24-30)</t>
  </si>
  <si>
    <t>75X75X8</t>
  </si>
  <si>
    <t xml:space="preserve">EEE/Saudi </t>
  </si>
  <si>
    <t>RINL HT-150X150(J2/JO)</t>
  </si>
  <si>
    <t>STERLITE</t>
  </si>
  <si>
    <t>Email(May 24-31)</t>
  </si>
  <si>
    <t>MS 90X90X7</t>
  </si>
  <si>
    <t>MS 90X90X6</t>
  </si>
  <si>
    <r>
      <t xml:space="preserve">VIL  MS </t>
    </r>
    <r>
      <rPr>
        <b/>
        <sz val="12"/>
        <rFont val="Copperplate Gothic Bold"/>
        <family val="2"/>
      </rPr>
      <t xml:space="preserve"> </t>
    </r>
    <r>
      <rPr>
        <b/>
        <i/>
        <sz val="12"/>
        <rFont val="Copperplate Gothic Bold"/>
        <family val="2"/>
      </rPr>
      <t>L</t>
    </r>
    <r>
      <rPr>
        <b/>
        <sz val="12"/>
        <rFont val="Times New Roman"/>
        <family val="1"/>
      </rPr>
      <t xml:space="preserve"> 90 IR</t>
    </r>
  </si>
  <si>
    <t>EMAIL (May -24-31)</t>
  </si>
  <si>
    <t>RINL HT-150X150(JO/J2)</t>
  </si>
  <si>
    <t>275JR</t>
  </si>
  <si>
    <t>A36M</t>
  </si>
  <si>
    <t>Total qty offered on dt 22.05.23</t>
  </si>
  <si>
    <t>Total Stock qty offered on dt 18.05.23</t>
  </si>
  <si>
    <t>31.555 mt qty offered on dt 23.05.23</t>
  </si>
  <si>
    <t>22.204 mt qty offered on dt 23.05.23</t>
  </si>
  <si>
    <t>Total qty offered on dt 23.05.23</t>
  </si>
  <si>
    <t>Total qty offered on dt 24.05.23</t>
  </si>
  <si>
    <t>Email(May 24-30)</t>
  </si>
  <si>
    <t>LOI-215(Jun 01-07)</t>
  </si>
  <si>
    <t>LOI-218(May 24-31)</t>
  </si>
  <si>
    <t>LOI-216(Jun 01-07)</t>
  </si>
  <si>
    <t>LOI-217(Jun 01-07)</t>
  </si>
  <si>
    <t>LOI-218 (May -24-31)</t>
  </si>
  <si>
    <t>LOI-215 (Jun 01-07)</t>
  </si>
  <si>
    <t>LOI-192(Jun 01-07)</t>
  </si>
  <si>
    <t>LOI-193(Jun 16-23)</t>
  </si>
  <si>
    <t>HT 150X150X20</t>
  </si>
  <si>
    <t>7)</t>
  </si>
  <si>
    <t>LOI-218(May -24-31)</t>
  </si>
  <si>
    <t>Total qty offered on dt 27.05.2023</t>
  </si>
  <si>
    <t>Total qty offered on dt 26.05.2023</t>
  </si>
  <si>
    <t>16.324 qty offered on dt 26.05.2023</t>
  </si>
  <si>
    <t>24.353 qty offered on dt 26.05.2023</t>
  </si>
  <si>
    <t>EMAIL</t>
  </si>
  <si>
    <t>LOI-215 (May -24-31)</t>
  </si>
  <si>
    <t>Total qty offered on dt 29.05.2023</t>
  </si>
  <si>
    <t>Total qty offered on dt 30.05.23</t>
  </si>
  <si>
    <t>Total qty offered on dt 01.06.23</t>
  </si>
  <si>
    <t>Total qty offered on dt 02.06.23</t>
  </si>
  <si>
    <t>pcs</t>
  </si>
  <si>
    <t>LOI-267(Jun 01-07)</t>
  </si>
  <si>
    <t>BHUSHAN HT-160X160</t>
  </si>
  <si>
    <t>MS-80X80X8</t>
  </si>
  <si>
    <t>MS-80X80X6</t>
  </si>
  <si>
    <r>
      <t xml:space="preserve">VIL  MS </t>
    </r>
    <r>
      <rPr>
        <b/>
        <sz val="12"/>
        <rFont val="Copperplate Gothic Bold"/>
        <family val="2"/>
      </rPr>
      <t xml:space="preserve"> </t>
    </r>
    <r>
      <rPr>
        <b/>
        <i/>
        <sz val="12"/>
        <rFont val="Copperplate Gothic Bold"/>
        <family val="2"/>
      </rPr>
      <t>L</t>
    </r>
    <r>
      <rPr>
        <b/>
        <sz val="12"/>
        <rFont val="Times New Roman"/>
        <family val="1"/>
      </rPr>
      <t xml:space="preserve"> 80 IR</t>
    </r>
  </si>
  <si>
    <t>BHUSHAN-HT-180X180</t>
  </si>
  <si>
    <t>JSPL HT-200X200(J2/JO/Gr 60)</t>
  </si>
  <si>
    <t>80X80X8</t>
  </si>
  <si>
    <t>275 J2</t>
  </si>
  <si>
    <t>LOI-272(Jun 24-31)</t>
  </si>
  <si>
    <t xml:space="preserve"> HT-200X200(J2/JO)/HT-180X180</t>
  </si>
  <si>
    <t>Total qty offered on dt 08.06.23</t>
  </si>
  <si>
    <t>Total qty offered on dt 09.06.2023</t>
  </si>
  <si>
    <t>BTR- Elsewedy/TRANSCO</t>
  </si>
  <si>
    <t>Total qty offered on dt 11.06.2023</t>
  </si>
  <si>
    <t>EMAIL(Jun 24-31)</t>
  </si>
  <si>
    <t>ESSEL</t>
  </si>
  <si>
    <t>KEC BUB</t>
  </si>
  <si>
    <t>WBSETCL</t>
  </si>
  <si>
    <t>Georgia/Bozlaryapi</t>
  </si>
  <si>
    <t>length</t>
  </si>
  <si>
    <t>Total qty offered on dt 10.06.2023</t>
  </si>
  <si>
    <t>Total qty offered on dt 13.06.23</t>
  </si>
  <si>
    <t>BHUSHAN-180X180</t>
  </si>
  <si>
    <t>BHUSHAN-180X180/JSPL HT-200X200</t>
  </si>
  <si>
    <t>MALDOVA</t>
  </si>
  <si>
    <t>EMAIL(Jul -08-15)</t>
  </si>
  <si>
    <t>MS-75X75X5</t>
  </si>
  <si>
    <t>RINL MS-150X150(J2/Normal)</t>
  </si>
  <si>
    <t>E00404</t>
  </si>
  <si>
    <t>D00418</t>
  </si>
  <si>
    <t>RINL HT-150X150(J2/Normal)</t>
  </si>
  <si>
    <t>MS-90X90X8</t>
  </si>
  <si>
    <t>MS-90X90X6</t>
  </si>
  <si>
    <t>RINL MS-150X150(Normal)</t>
  </si>
  <si>
    <t>MS-65X65X5</t>
  </si>
  <si>
    <t>MS-70X70X5</t>
  </si>
  <si>
    <t>HT 70X70X5</t>
  </si>
  <si>
    <t>HT 70X70X6</t>
  </si>
  <si>
    <t>Total qty offered on dt 15.06.23</t>
  </si>
  <si>
    <t>Total qty offered on dt 14.06.23</t>
  </si>
  <si>
    <t>65X65X5</t>
  </si>
  <si>
    <t>10 To 12.0 mtr</t>
  </si>
  <si>
    <t>EMAIL(Jul 01-07)</t>
  </si>
  <si>
    <t>IS: 2062-E350 A</t>
  </si>
  <si>
    <t>EMAIL(Jun 24-30)</t>
  </si>
  <si>
    <t>KECBB</t>
  </si>
  <si>
    <t>11 To 12.00</t>
  </si>
  <si>
    <t>EMAIL(Jul-01-07)</t>
  </si>
  <si>
    <t>BTR- SEPARATE LOT</t>
  </si>
  <si>
    <t>ADDITIONAL-RAILWAY</t>
  </si>
  <si>
    <t>90X90X8</t>
  </si>
  <si>
    <t>ASTM GR 50</t>
  </si>
  <si>
    <t>152X152X14.3</t>
  </si>
  <si>
    <t>Total qty offered on dt 16.06.23</t>
  </si>
  <si>
    <t>Total qty offered on dt 17.06.23</t>
  </si>
  <si>
    <t>LOI-338(Jun 16-23)</t>
  </si>
  <si>
    <t>LOI-340(Jun 24-30)</t>
  </si>
  <si>
    <t>LOI-338(Jun -16-23)</t>
  </si>
  <si>
    <t>Total qty offered on dt 18.06.23</t>
  </si>
  <si>
    <t>RINL HT-150X150(Normal)</t>
  </si>
  <si>
    <t>MS-90X90X5</t>
  </si>
  <si>
    <t>RINL MS-150X150(Normal/JO/J2)</t>
  </si>
  <si>
    <t>MS-90X90X7</t>
  </si>
  <si>
    <t>RINL MS-150X150(JO/J2)</t>
  </si>
  <si>
    <t>8)</t>
  </si>
  <si>
    <t>LOI-337(Jul -01-07)</t>
  </si>
  <si>
    <t>LOI-336(Jul -01-07)</t>
  </si>
  <si>
    <t>KEC DUBAI</t>
  </si>
  <si>
    <t>LOI-347(Jul -08-15)</t>
  </si>
  <si>
    <t>LOI-341(Jul -01-07)</t>
  </si>
  <si>
    <t>LOI-215(Jun -01-07)</t>
  </si>
  <si>
    <t>BTR -WBSETCL</t>
  </si>
  <si>
    <t>LOI-123(May-01-07)</t>
  </si>
  <si>
    <t>BTR -Elsewedy/TRANSCO</t>
  </si>
  <si>
    <t>Total Qty offered on dt 19.06.2023</t>
  </si>
  <si>
    <t>Total Qty offered on dt 20.06.2023</t>
  </si>
  <si>
    <t>117.286  qty offered on dt 20.06.23</t>
  </si>
  <si>
    <t>Total Qty offered on dt 21.06.23</t>
  </si>
  <si>
    <t>Email(Jul -01-07)</t>
  </si>
  <si>
    <t>KEC jbp</t>
  </si>
  <si>
    <t>EMAIL(Jul -01-07)</t>
  </si>
  <si>
    <t>MS-100X100X6</t>
  </si>
  <si>
    <t>MS-100X100X7</t>
  </si>
  <si>
    <t>MS-100X100X8</t>
  </si>
  <si>
    <t>KECDUBAI</t>
  </si>
  <si>
    <t>REMANING Qty offered on dt 22/06/23</t>
  </si>
  <si>
    <t>44.210  qty offered on dt 22.06.23</t>
  </si>
  <si>
    <t>Total QTY offered on dt 23/06/23</t>
  </si>
  <si>
    <t>Bhushan HT-160X160</t>
  </si>
  <si>
    <t>HT 120X120X12</t>
  </si>
  <si>
    <t>Total QTY offered on dt 24/06/23</t>
  </si>
  <si>
    <t>Total QTY offered on dt 25/06/23</t>
  </si>
  <si>
    <t>LOI-384(Jul -08-15)</t>
  </si>
  <si>
    <t>Elsewedy/Etihad</t>
  </si>
  <si>
    <t>LOI-337(Jul -01-08)</t>
  </si>
  <si>
    <t>KEC Bub</t>
  </si>
  <si>
    <t>BTR-SEPARATE LOT</t>
  </si>
  <si>
    <t>HT 90X90X8</t>
  </si>
  <si>
    <t>11.240 mt Offered On date 26.06.2023</t>
  </si>
  <si>
    <t>51.433 mt Offered On date 26.06.2023</t>
  </si>
  <si>
    <t>4.458 mt Offered On date 26.06.2023</t>
  </si>
  <si>
    <t>Total Qty offered on dt 26.06.2023</t>
  </si>
  <si>
    <t>Total QTY offered on dt 26/06/23</t>
  </si>
  <si>
    <t>MS 130X130X10</t>
  </si>
  <si>
    <t>ASTM GR 60</t>
  </si>
  <si>
    <t>MOROCCO</t>
  </si>
  <si>
    <t>80X80X6.5</t>
  </si>
  <si>
    <t>BANGLADESH</t>
  </si>
  <si>
    <t>MS-80X80X6.5</t>
  </si>
  <si>
    <t>RINL/JSPL HT-150X150(J2)</t>
  </si>
  <si>
    <t>Total Qty offered on dt 27.06.2023</t>
  </si>
  <si>
    <t>KEC Jbp</t>
  </si>
  <si>
    <t>RINL HT-150X150(J2)/160x160</t>
  </si>
  <si>
    <t>HT-160x160/HT-150X150(J2</t>
  </si>
  <si>
    <t>RINL HT-150X150(J2)</t>
  </si>
  <si>
    <t>Total Qty Offered on dt 30.06.2023</t>
  </si>
  <si>
    <t>Total Qty Offered on dt 01.07.2023</t>
  </si>
  <si>
    <t>RINL/IISCO HT-150X150(Normal)/J2</t>
  </si>
  <si>
    <t>9)</t>
  </si>
  <si>
    <t>Total Qty Offered on dt 02.07.2023</t>
  </si>
  <si>
    <t>JSPL HT-150X150</t>
  </si>
  <si>
    <t>JSPL MS-150X150</t>
  </si>
  <si>
    <t>EMAIL(Jul 24-31)</t>
  </si>
  <si>
    <t>GEORGIA</t>
  </si>
  <si>
    <t>Total Qty Offered on dt 03.07.2023</t>
  </si>
  <si>
    <t>Total Qty Offered on dt 04.07.2023</t>
  </si>
  <si>
    <t>LOI-517(Jul -24-31)</t>
  </si>
  <si>
    <t>TAS-Iraq</t>
  </si>
  <si>
    <t xml:space="preserve">HT </t>
  </si>
  <si>
    <t xml:space="preserve">KECBub </t>
  </si>
  <si>
    <t>PG</t>
  </si>
  <si>
    <t>VIL PG HT 23</t>
  </si>
  <si>
    <t>LOI-420(Jul -01-07)</t>
  </si>
  <si>
    <t>LOI-421(Jul -01-07)</t>
  </si>
  <si>
    <t>VIL PG MS 23</t>
  </si>
  <si>
    <t>KECjBP</t>
  </si>
  <si>
    <t>LOI-422(Jul -01-07)</t>
  </si>
  <si>
    <t>GR INFRA</t>
  </si>
  <si>
    <t>LOI-423(Jul -01-07)</t>
  </si>
  <si>
    <t>LOI-424(Jul -01-07)</t>
  </si>
  <si>
    <t>LOI-425(Jul -01-07)</t>
  </si>
  <si>
    <t>LOI-426(Jul -01-07)</t>
  </si>
  <si>
    <t>KEC JPR</t>
  </si>
  <si>
    <t>LOI-427(Jul -01-07)</t>
  </si>
  <si>
    <t>LOI-428(Jul -01-07)</t>
  </si>
  <si>
    <t>LOI-429(Jul -01-07)</t>
  </si>
  <si>
    <t>LOI-442(Jul -08-15)</t>
  </si>
  <si>
    <t>LOI-443(Jul -08-15)</t>
  </si>
  <si>
    <t>355J2</t>
  </si>
  <si>
    <t>LOI-444(Jul -08-15)</t>
  </si>
  <si>
    <t>LOI-445(Jul -08-15)</t>
  </si>
  <si>
    <t>LOI-446(Jul -08-15)</t>
  </si>
  <si>
    <t>LOI-447(Jul -08-15)</t>
  </si>
  <si>
    <t>LOI-495(Aug -08-15)</t>
  </si>
  <si>
    <t>LOI-498(Aug -01-07)</t>
  </si>
  <si>
    <t>275J2</t>
  </si>
  <si>
    <t>LOI-501(Aug -01-07)</t>
  </si>
  <si>
    <t>MS-100X100X10</t>
  </si>
  <si>
    <t>10)</t>
  </si>
  <si>
    <t>11)</t>
  </si>
  <si>
    <t>12)</t>
  </si>
  <si>
    <t>13)</t>
  </si>
  <si>
    <t>355 Jo</t>
  </si>
  <si>
    <t>LOI-494(Aug-01-07)</t>
  </si>
  <si>
    <t>LOI-498(Aug-01-07)</t>
  </si>
  <si>
    <t>DUBAI</t>
  </si>
  <si>
    <t>BTR-SEPARATE LOTE</t>
  </si>
  <si>
    <t>18.05.2023</t>
  </si>
  <si>
    <t>LOI-419(Jul -01-07)</t>
  </si>
  <si>
    <t>LOI-495(Aug-08-15)</t>
  </si>
  <si>
    <t>LOI-496(Jul -08-15)</t>
  </si>
  <si>
    <t>LOI-497(Jul -16-23)</t>
  </si>
  <si>
    <t>LOI-498(Aug 01-07)</t>
  </si>
  <si>
    <t>LOI-499(Aug 01-07)</t>
  </si>
  <si>
    <t>LOI-501(Aug 01-07)</t>
  </si>
  <si>
    <t>SOUDI</t>
  </si>
  <si>
    <t>LOI-427(Jul -08-15)</t>
  </si>
  <si>
    <t xml:space="preserve"> Dubai</t>
  </si>
  <si>
    <t>110X110X12</t>
  </si>
  <si>
    <t>KECJBP</t>
  </si>
  <si>
    <t>LOI-504(Jul -08-15)</t>
  </si>
  <si>
    <t>MS-110X110X7</t>
  </si>
  <si>
    <t>MS-110X110X8</t>
  </si>
  <si>
    <t>MS-110X110X10</t>
  </si>
  <si>
    <t>MS-110X110X6</t>
  </si>
  <si>
    <t>14)</t>
  </si>
  <si>
    <t>HT 110X110X12</t>
  </si>
  <si>
    <t>Total QTY offered on date 09.07.23</t>
  </si>
  <si>
    <t>15)</t>
  </si>
  <si>
    <t>Total QTY offered on date 10.07.23</t>
  </si>
  <si>
    <t>Total QTY offered on date 11.07.23</t>
  </si>
  <si>
    <t>120X120X8N</t>
  </si>
  <si>
    <t>120X120X9N</t>
  </si>
  <si>
    <t>130X130X8N</t>
  </si>
  <si>
    <t>150X150X11</t>
  </si>
  <si>
    <t>80X80X5N</t>
  </si>
  <si>
    <t>LOI-436(Aug 01-07)</t>
  </si>
  <si>
    <t>LOI-493(Aug 01-07)</t>
  </si>
  <si>
    <t>150X15014</t>
  </si>
  <si>
    <t>150X15018</t>
  </si>
  <si>
    <t>LOI-500(Jul 16-23)</t>
  </si>
  <si>
    <t>LOI-494(Aug 01-07)</t>
  </si>
  <si>
    <t>150X150X13</t>
  </si>
  <si>
    <t>LOI-495(Aug 08-15)</t>
  </si>
  <si>
    <t>LOI-517(Jul 24-31)</t>
  </si>
  <si>
    <t>80X80X7</t>
  </si>
  <si>
    <t>LOI-440(Jul -08-15)</t>
  </si>
  <si>
    <t>KECJbp</t>
  </si>
  <si>
    <t>LOI-503(Jul -16-23)</t>
  </si>
  <si>
    <t>LOI-502(Aug 01-07)</t>
  </si>
  <si>
    <t>LOI-505(Aug 01-07)</t>
  </si>
  <si>
    <t>LOI-537(Aug 01-07)</t>
  </si>
  <si>
    <t>Total Qty offered on 12.07.2023</t>
  </si>
  <si>
    <t>7.148 MT offered on 12.07.2023</t>
  </si>
  <si>
    <t>11.822 MT offered on 12.07.2023</t>
  </si>
  <si>
    <t>Total qty offered on 12.07.2023</t>
  </si>
  <si>
    <t>33.995 MT offered on 12.07.2023</t>
  </si>
  <si>
    <t>15.104 MT offered on 12.07.2023</t>
  </si>
  <si>
    <t>Sec. Wt.</t>
  </si>
  <si>
    <t>MS-120X120X8</t>
  </si>
  <si>
    <t>MS-120X120X10</t>
  </si>
  <si>
    <t>MS-120X120X9</t>
  </si>
  <si>
    <t>LOI-272(Jul 24-31)</t>
  </si>
  <si>
    <t>LOI-272(Jul -16-23)</t>
  </si>
  <si>
    <t>BTR -SEPARATE LOT</t>
  </si>
  <si>
    <t>Dubai</t>
  </si>
  <si>
    <t>MS-130X130X9</t>
  </si>
  <si>
    <t>LOI-502(Jul -08-15)</t>
  </si>
  <si>
    <t>NOT PLANNED</t>
  </si>
  <si>
    <t>22.797 MT offered on 15.07.2023</t>
  </si>
  <si>
    <t>3.664 MT offered on 15.07.2023</t>
  </si>
  <si>
    <t>9.473 MT offered on 15.07.2023</t>
  </si>
  <si>
    <t>10.976 MT offered on 15.07.2023</t>
  </si>
  <si>
    <t>Total QTY  offered on 15.07.2023</t>
  </si>
  <si>
    <t>Total Qty offered on 16.07.2023</t>
  </si>
  <si>
    <t>BTR SEPARATE LOT</t>
  </si>
  <si>
    <t>LOI-193(Jul -16-23)</t>
  </si>
  <si>
    <t>Total Qty offered on 18.07.2023</t>
  </si>
  <si>
    <t>Total Qty offered on 20.07.2023</t>
  </si>
  <si>
    <t>HT 150X150X13</t>
  </si>
  <si>
    <t>HT 150X150X11</t>
  </si>
  <si>
    <t>JSPL HT-200X200</t>
  </si>
  <si>
    <t>VINCI-Kuwait</t>
  </si>
  <si>
    <t>LOI-553(Aug 08-15)</t>
  </si>
  <si>
    <t>VINCI-Saudi/GCCIA-Kuwait</t>
  </si>
  <si>
    <t>LOI-554(Aug 24-31)</t>
  </si>
  <si>
    <t>32.928 Qty offered on 20.07.2023</t>
  </si>
  <si>
    <t>HT-200X200/Bhusan-180 (92mt)</t>
  </si>
  <si>
    <t>TRANSCO</t>
  </si>
  <si>
    <t>7 mt planned</t>
  </si>
  <si>
    <t>39.936 Qty offered on 21.07.2023</t>
  </si>
  <si>
    <t>Total Qty offered on 21.07.2023</t>
  </si>
  <si>
    <t>Total Qty offered on 22.07.2023</t>
  </si>
  <si>
    <t>Total Qty offered on 23.07.2023</t>
  </si>
  <si>
    <t>MS 80X80X5</t>
  </si>
  <si>
    <t>LOI-436(Jul 01-07)</t>
  </si>
  <si>
    <t>275 Jr</t>
  </si>
  <si>
    <t>MS 75X75X5</t>
  </si>
  <si>
    <t>MS 75X75X8</t>
  </si>
  <si>
    <t>.</t>
  </si>
  <si>
    <t>LOI-498(Aug-08-15)</t>
  </si>
  <si>
    <t>dispatched</t>
  </si>
  <si>
    <t>LOI-574(Aug-08-15)</t>
  </si>
  <si>
    <t>LOI-563(Aug-01-07)</t>
  </si>
  <si>
    <t>LOI-569(Aug-01-07)</t>
  </si>
  <si>
    <t>LOI-570(Aug-01-07)</t>
  </si>
  <si>
    <t xml:space="preserve">VIL  MS </t>
  </si>
  <si>
    <t>LOI-565(Aug-01-07)</t>
  </si>
  <si>
    <t>Email(Aug-01-07)</t>
  </si>
  <si>
    <t>Zellinskis</t>
  </si>
  <si>
    <t>MS 120X120X7</t>
  </si>
  <si>
    <t>MS 120X120X10</t>
  </si>
  <si>
    <t>LOI-568(Aug-08-15)</t>
  </si>
  <si>
    <t>LOI-571(Aug-08-15)</t>
  </si>
  <si>
    <t>BHUSHAN-160X160</t>
  </si>
  <si>
    <t>LOI-565(Aug 01-07)</t>
  </si>
  <si>
    <r>
      <t xml:space="preserve">VIL  MS </t>
    </r>
    <r>
      <rPr>
        <b/>
        <sz val="14"/>
        <rFont val="Copperplate Gothic Bold"/>
        <family val="2"/>
      </rPr>
      <t xml:space="preserve"> </t>
    </r>
    <r>
      <rPr>
        <b/>
        <i/>
        <sz val="14"/>
        <rFont val="Copperplate Gothic Bold"/>
        <family val="2"/>
      </rPr>
      <t>L</t>
    </r>
    <r>
      <rPr>
        <b/>
        <sz val="14"/>
        <rFont val="Times New Roman"/>
        <family val="1"/>
      </rPr>
      <t xml:space="preserve"> 75 IR</t>
    </r>
  </si>
  <si>
    <t>LOI-570(Aug 01-07)</t>
  </si>
  <si>
    <t>LOI-567(Aug 01-07)</t>
  </si>
  <si>
    <t>MS 80X80X6</t>
  </si>
  <si>
    <t xml:space="preserve">add </t>
  </si>
  <si>
    <t>less</t>
  </si>
  <si>
    <t>ADD WASTAGE</t>
  </si>
  <si>
    <t>150 MM</t>
  </si>
  <si>
    <t>Total qty offered on 24.07.2023</t>
  </si>
  <si>
    <t>Total qty offered on 25.07.2023</t>
  </si>
  <si>
    <t>Total qty offered on 28.07.2023</t>
  </si>
  <si>
    <t>Total qty offered on 30.07.2023</t>
  </si>
  <si>
    <t>32.585 qty offered on 30.07.2023</t>
  </si>
  <si>
    <t>Remaining 56.013 qty offered on 31.07.2023</t>
  </si>
  <si>
    <t>Total qty offered on 31.07.2023</t>
  </si>
  <si>
    <t>Total qty offerd on 31.07.2023</t>
  </si>
  <si>
    <t>Total qty offered on 03.08.23</t>
  </si>
  <si>
    <t>14.831 MT qty offered on 03.08.23</t>
  </si>
  <si>
    <t>Total qty offered on 03.08.2023</t>
  </si>
  <si>
    <t>LOI-619(Aug-01-07)</t>
  </si>
  <si>
    <t>LOI-625(Aug-16-23)</t>
  </si>
  <si>
    <t>LOI-613(Aug-16-23)</t>
  </si>
  <si>
    <t>offered</t>
  </si>
  <si>
    <t>18.537 mt offered</t>
  </si>
  <si>
    <t>pcs offered</t>
  </si>
  <si>
    <t>Total qty offered on 04.08.23</t>
  </si>
  <si>
    <t>LOI-564(Jul -08-15)</t>
  </si>
  <si>
    <t>INDIGRID</t>
  </si>
  <si>
    <t>LOI-642(Aug 08-15)</t>
  </si>
  <si>
    <t>ZILLINSKIS - HIGH SI</t>
  </si>
  <si>
    <t>LOI-641(Aug 16-23)</t>
  </si>
  <si>
    <t>MS 75X75X6</t>
  </si>
  <si>
    <t>LOI-615(Aug-16-23)</t>
  </si>
  <si>
    <t xml:space="preserve"> DSP-125(40MT)/JSP-150(3MT)</t>
  </si>
  <si>
    <t>JSPL HT-150/130X130(92 mt)</t>
  </si>
  <si>
    <t>BTR - RAILWAY</t>
  </si>
  <si>
    <t>VIL/49</t>
  </si>
  <si>
    <t>VIL 49A</t>
  </si>
  <si>
    <t>VIL 49B</t>
  </si>
  <si>
    <t>VIL 49C</t>
  </si>
  <si>
    <t>VIL/50</t>
  </si>
  <si>
    <t>VIL/50A</t>
  </si>
  <si>
    <t>VIL/50B</t>
  </si>
  <si>
    <t>VIL/51</t>
  </si>
  <si>
    <t>VIL/51A</t>
  </si>
  <si>
    <t>VIL/51B</t>
  </si>
  <si>
    <t>VIL/52</t>
  </si>
  <si>
    <t>VIL/52A</t>
  </si>
  <si>
    <t>VIL/53</t>
  </si>
  <si>
    <t>VIL/49D</t>
  </si>
  <si>
    <t>LOI-641(Aug -16-23)</t>
  </si>
  <si>
    <t>LOI-642(Aug -08-15)</t>
  </si>
  <si>
    <t>JSPL HT-150(108mt)/HT-130(136MT)</t>
  </si>
  <si>
    <t>HT-130X130(26MT)/HT-125 (12MT)</t>
  </si>
  <si>
    <t>LOI-614(Aug-08-15)</t>
  </si>
  <si>
    <t>Total Qty Offered on 05.08.2023</t>
  </si>
  <si>
    <t>VIL/54</t>
  </si>
  <si>
    <t>VIL/54A</t>
  </si>
  <si>
    <t>VIL/54B</t>
  </si>
  <si>
    <t>VIL/54C</t>
  </si>
  <si>
    <t>VIL/54D</t>
  </si>
  <si>
    <t>VIL/55</t>
  </si>
  <si>
    <t>VIL/55A</t>
  </si>
  <si>
    <t>VIL/55B</t>
  </si>
  <si>
    <t>VIL/56</t>
  </si>
  <si>
    <t>VIL/56A</t>
  </si>
  <si>
    <t>VIL/57</t>
  </si>
  <si>
    <t>VIL/57A</t>
  </si>
  <si>
    <t>VIL/58</t>
  </si>
  <si>
    <t>VIL/59</t>
  </si>
  <si>
    <t>VIL/60</t>
  </si>
  <si>
    <t>VIL/61</t>
  </si>
  <si>
    <t>MS 75X75X4</t>
  </si>
  <si>
    <t>Total qty offered on 08.08.2023</t>
  </si>
  <si>
    <t>Offered on different date.</t>
  </si>
  <si>
    <t>Total Qty Offered on 07.08.2023</t>
  </si>
  <si>
    <t>Total Qty offered on 07.08.2023</t>
  </si>
  <si>
    <t>Remaing Qty offered on 07.08.2023</t>
  </si>
  <si>
    <t>Total qty offered on 07.08.2023</t>
  </si>
  <si>
    <t>Total Qty Offered on 06.08.2023</t>
  </si>
  <si>
    <t>LOI-430(Aug 01-07)</t>
  </si>
  <si>
    <t>LOI-567(Aug-01-08)</t>
  </si>
  <si>
    <t>LOI-402(Aug-01-07)</t>
  </si>
  <si>
    <t>DISPATCH FROM STOCK</t>
  </si>
  <si>
    <t>MS 90X90X5</t>
  </si>
  <si>
    <t>BHUSHAN-160/130X130(14MT)</t>
  </si>
  <si>
    <t>JSP HT-130(15.50)/125X125(16MT)</t>
  </si>
  <si>
    <t>Total Qty Offered on 09.08.2023</t>
  </si>
  <si>
    <t>Total qty offered on 09.08.2023</t>
  </si>
  <si>
    <t>Total qty offered on 06.08.2023</t>
  </si>
  <si>
    <t>LOI-571(Aug-01-07)</t>
  </si>
  <si>
    <t>KEC jBP</t>
  </si>
  <si>
    <t>EMAIL-10.08.23</t>
  </si>
  <si>
    <t>Total qty offered on 11.08.2023</t>
  </si>
  <si>
    <t>Total qty offered on 12.08.2023</t>
  </si>
  <si>
    <t>LOI-501 (Aug-07)</t>
  </si>
  <si>
    <t>LOI-619 (Aug-07)</t>
  </si>
  <si>
    <t>LOI-625 (Aug-02)</t>
  </si>
  <si>
    <t>E-mail (Aug-31)</t>
  </si>
  <si>
    <t>VIL/084</t>
  </si>
  <si>
    <t>VIL/085</t>
  </si>
  <si>
    <t>VIL/086</t>
  </si>
  <si>
    <t>VIL/087</t>
  </si>
  <si>
    <t>VIL/088</t>
  </si>
  <si>
    <t>VIL/089</t>
  </si>
  <si>
    <t>VIL/089A</t>
  </si>
  <si>
    <t>VIL/089B</t>
  </si>
  <si>
    <t>VIL/090</t>
  </si>
  <si>
    <t>VIL/091</t>
  </si>
  <si>
    <t>LOI-554 (Aug-31)</t>
  </si>
  <si>
    <t xml:space="preserve">Zellinskis </t>
  </si>
  <si>
    <t>12.720 MT qty offered on 13.08.2023</t>
  </si>
  <si>
    <t>Total qty offered on 13.08.2023</t>
  </si>
  <si>
    <t>Remaining l qty offered on 14.08.2023</t>
  </si>
  <si>
    <t>Total Qty offered on 14.08.2023</t>
  </si>
  <si>
    <t>Total qty offered on 14.08.2023</t>
  </si>
  <si>
    <t>Total qty offered on 17.08.2023</t>
  </si>
  <si>
    <t>Total qty offered on 18.08.2023</t>
  </si>
  <si>
    <t>rolled</t>
  </si>
  <si>
    <t>part rolled</t>
  </si>
  <si>
    <t>LOI-713 (Aug-16-23)</t>
  </si>
  <si>
    <t>75X75X4</t>
  </si>
  <si>
    <t>LOI-719(Aug-16-23)</t>
  </si>
  <si>
    <t>KECBub</t>
  </si>
  <si>
    <t>ASTM 36</t>
  </si>
  <si>
    <t>VIL</t>
  </si>
  <si>
    <t>SEPARATE LOT</t>
  </si>
  <si>
    <t>JSP MS-130X130</t>
  </si>
  <si>
    <t>HT 75X75X4</t>
  </si>
  <si>
    <t>JSPL 130X130(30 MT)/125(6 MT)</t>
  </si>
  <si>
    <t>VIL/092</t>
  </si>
  <si>
    <t>VIL/092A</t>
  </si>
  <si>
    <t>VIL/093</t>
  </si>
  <si>
    <t>VIL/094</t>
  </si>
  <si>
    <t>VIL/095</t>
  </si>
  <si>
    <t>VIL/096</t>
  </si>
  <si>
    <t>VIL/094A</t>
  </si>
  <si>
    <t>DSP-125X125/JSP130X130</t>
  </si>
  <si>
    <t>JSPL 130X130</t>
  </si>
  <si>
    <t>VIL/098</t>
  </si>
  <si>
    <t>VIL/099</t>
  </si>
  <si>
    <t>JSP-130X130</t>
  </si>
  <si>
    <t>VIL/097</t>
  </si>
  <si>
    <t>LOI-517(Aug 01-07)</t>
  </si>
  <si>
    <t>BTR-serarate lot</t>
  </si>
  <si>
    <t>LOI-569(Aug-01-08)</t>
  </si>
  <si>
    <t>LOI-570(Aug-08-15)</t>
  </si>
  <si>
    <t>LOI-717(Aug-16-23)</t>
  </si>
  <si>
    <t>add wastage 100 mm</t>
  </si>
  <si>
    <t>HT 100X100X9</t>
  </si>
  <si>
    <t>Bhushan-160x160</t>
  </si>
  <si>
    <t>VIL/100</t>
  </si>
  <si>
    <t>LOI-510(Aug-31)</t>
  </si>
  <si>
    <t>BHUSHAN-180X180/200x200 (40MT)</t>
  </si>
  <si>
    <t>LOI-643(Oct 08-15)</t>
  </si>
  <si>
    <t>VIL/096 A</t>
  </si>
  <si>
    <t>LOI-712(Aug-16-23)</t>
  </si>
  <si>
    <t>ASTM 50</t>
  </si>
  <si>
    <t>JSP HT-130X130/HT-125X125</t>
  </si>
  <si>
    <t>JSPL MS-130X130</t>
  </si>
  <si>
    <t>VIL/101</t>
  </si>
  <si>
    <t>VIL/101 A</t>
  </si>
  <si>
    <t>VIL/101 B</t>
  </si>
  <si>
    <t>VIL/101 C</t>
  </si>
  <si>
    <t>VIL/102</t>
  </si>
  <si>
    <t>VIL/102A</t>
  </si>
  <si>
    <t>VIL/102B</t>
  </si>
  <si>
    <t>VIL/102C</t>
  </si>
  <si>
    <t>VIL/103</t>
  </si>
  <si>
    <t>VIL/104</t>
  </si>
  <si>
    <t>VIL/105</t>
  </si>
  <si>
    <t>VIL/106</t>
  </si>
  <si>
    <t>VIL/107</t>
  </si>
  <si>
    <t>VIL/107A</t>
  </si>
  <si>
    <t>VIL/108</t>
  </si>
  <si>
    <t>Total qty offered on 19.08.2023</t>
  </si>
  <si>
    <t>17.648 MT qty offered on 19.08.2023 (remaining qty is balanced to roll)</t>
  </si>
  <si>
    <t>9.716 MT qty offered on 19.08.2023 (remaining qty is balanced to roll)</t>
  </si>
  <si>
    <t>Total qty offered on 20.08.2023</t>
  </si>
  <si>
    <t>52.439 MT qty offered on 20.08.2023</t>
  </si>
  <si>
    <t xml:space="preserve">Remaining 72.560 MT qty is offered on 21.08.2023 </t>
  </si>
  <si>
    <t>Total qty offered on 21.08.2023</t>
  </si>
  <si>
    <t>31.001 MT qty offered on 21.08.2023</t>
  </si>
  <si>
    <t>Remaining qty 157.137 MT qty offered on 22.08.2023</t>
  </si>
  <si>
    <t>Total qty offered on 22.08.2023</t>
  </si>
  <si>
    <t>LOI-570(Aug-01-08)</t>
  </si>
  <si>
    <t>LOI-719(Aug 16-23)</t>
  </si>
  <si>
    <t>VIL/109</t>
  </si>
  <si>
    <t>VIL/102D</t>
  </si>
  <si>
    <t>VIL/107B</t>
  </si>
  <si>
    <t>Total qty offered on 23.08.2023</t>
  </si>
  <si>
    <t>Total qty offered on 23.08.2023 in revised call letter</t>
  </si>
  <si>
    <t>Total qty offered on 24.08.2023</t>
  </si>
  <si>
    <t>Total qty offered on 25.08.2023</t>
  </si>
  <si>
    <t>LOI-643(Oct 16-23)</t>
  </si>
  <si>
    <t>VIL/110</t>
  </si>
  <si>
    <t>VIL/110 A</t>
  </si>
  <si>
    <t>VIL/111</t>
  </si>
  <si>
    <t>VIL/111 A</t>
  </si>
  <si>
    <t>VIL/112</t>
  </si>
  <si>
    <t>VIL/112A</t>
  </si>
  <si>
    <t>VIL/113</t>
  </si>
  <si>
    <t>VIL/113A</t>
  </si>
  <si>
    <t>VIL/114</t>
  </si>
  <si>
    <t>VIL/115</t>
  </si>
  <si>
    <t>VIL/116</t>
  </si>
  <si>
    <t>E233326</t>
  </si>
  <si>
    <t>Total qty offered on 26.08.2023</t>
  </si>
  <si>
    <t>Urgent</t>
  </si>
  <si>
    <t>LOI-714(SEP-16-23)</t>
  </si>
  <si>
    <t>EMAIL (SEP-01-07)</t>
  </si>
  <si>
    <t>EMAIL(SEP-01-07)</t>
  </si>
  <si>
    <t>LOI-713(Aug 01-07)</t>
  </si>
  <si>
    <t>GR60</t>
  </si>
  <si>
    <t>KECBUB</t>
  </si>
  <si>
    <t>LOI-613A(Aug-16-23)</t>
  </si>
  <si>
    <t>EMAIL (AUG -23-31)</t>
  </si>
  <si>
    <t xml:space="preserve"> RAILWAY</t>
  </si>
  <si>
    <t>EMAIL (OCT -01.07)</t>
  </si>
  <si>
    <t>LOI-614(Sep 08-15)</t>
  </si>
  <si>
    <t>VIL/111A</t>
  </si>
  <si>
    <t>VIL/112B</t>
  </si>
  <si>
    <t>VIL/114 A</t>
  </si>
  <si>
    <t>VIL/117</t>
  </si>
  <si>
    <t>VIL/118</t>
  </si>
  <si>
    <t>VIL/119</t>
  </si>
  <si>
    <t>JSP-150X150</t>
  </si>
  <si>
    <t>LOI-501 (Aug-01-07)</t>
  </si>
  <si>
    <t>LOI-554 (Aug-24-31)</t>
  </si>
  <si>
    <t>GR A 36</t>
  </si>
  <si>
    <t>ADD 100 MM WASTAGE</t>
  </si>
  <si>
    <t>LOI-714(Sep-08-15)</t>
  </si>
  <si>
    <t>VIL/120</t>
  </si>
  <si>
    <t>VIL/121</t>
  </si>
  <si>
    <t>VIL/122</t>
  </si>
  <si>
    <t>VIL/123</t>
  </si>
  <si>
    <t>VIL/124</t>
  </si>
  <si>
    <t>Total qty offered on 27.08.2023</t>
  </si>
  <si>
    <t>LOI-723(Aug-16-23)</t>
  </si>
  <si>
    <t>LOI-714(Sep 08-15)</t>
  </si>
  <si>
    <t>Zellinskis -BTR - SEPARATE LOT</t>
  </si>
  <si>
    <t>LOI-711 (Aug-16-23)</t>
  </si>
  <si>
    <t>Bhushan-180X180</t>
  </si>
  <si>
    <t>HT 150X150X17</t>
  </si>
  <si>
    <t>Bhushan-180X180/JSPL-200X200(12)</t>
  </si>
  <si>
    <t>Total qty offered on 29.08.2023</t>
  </si>
  <si>
    <t>VIL/125</t>
  </si>
  <si>
    <t>VIL/126</t>
  </si>
  <si>
    <t>VIL/127</t>
  </si>
  <si>
    <t>VIL/128</t>
  </si>
  <si>
    <t>VIL/129</t>
  </si>
  <si>
    <t>VIL/130</t>
  </si>
  <si>
    <t>VIL/131</t>
  </si>
  <si>
    <t>LOI-714 (Sep 08-15)</t>
  </si>
  <si>
    <t>VIL/126 A</t>
  </si>
  <si>
    <t>Total qty offered on 28.08.2023</t>
  </si>
  <si>
    <t>10.581 MT offered on 28.08.2023</t>
  </si>
  <si>
    <t>9.903 MT offered on 29.08.2023</t>
  </si>
  <si>
    <t>Total qty offered on 30.08.2023</t>
  </si>
  <si>
    <t>Remaining qty of 14.795 MT offered on 30.08.2023</t>
  </si>
  <si>
    <t>LOI-764 (Aug-16-23)</t>
  </si>
  <si>
    <t>LOI-767(Sep 01-07)</t>
  </si>
  <si>
    <t xml:space="preserve">VIL  HT </t>
  </si>
  <si>
    <t>VIL/129 A</t>
  </si>
  <si>
    <t>Total qty offered on 31.08.2023</t>
  </si>
  <si>
    <t>LOI-715 (Sep 08-15)</t>
  </si>
  <si>
    <t>Astm Gr 50</t>
  </si>
  <si>
    <t>LOI-615(Aug 16-23)</t>
  </si>
  <si>
    <t>LOI-766(Sep 24-31)</t>
  </si>
  <si>
    <t>LOI-720(Sep 24-31)</t>
  </si>
  <si>
    <t>LOI-613A(Aug 16-23)</t>
  </si>
  <si>
    <t>LOI-717(Aug 16-23)</t>
  </si>
  <si>
    <t>VIL/132</t>
  </si>
  <si>
    <t>VIL/133</t>
  </si>
  <si>
    <t>VIL/134</t>
  </si>
  <si>
    <t>VIL/134 A</t>
  </si>
  <si>
    <t>VIL/135</t>
  </si>
  <si>
    <t>VIL/135 A</t>
  </si>
  <si>
    <t>VIL/136</t>
  </si>
  <si>
    <t>VIL/137</t>
  </si>
  <si>
    <t>VIL/138</t>
  </si>
  <si>
    <t>JSP/IISCO/RINL-150</t>
  </si>
  <si>
    <t>BTR- SAUDI</t>
  </si>
  <si>
    <t>Total qty offered on 01.09.2023</t>
  </si>
  <si>
    <t>Total qty offered on 02.09.2023</t>
  </si>
  <si>
    <t>70.902 MT qty offered on 02.09.2023</t>
  </si>
  <si>
    <t>355JR</t>
  </si>
  <si>
    <t>ASTM Gr 60</t>
  </si>
  <si>
    <t>LOI-716 (Sep 08-15)</t>
  </si>
  <si>
    <t>LOI-713 (Aug 16-23)</t>
  </si>
  <si>
    <t>LOI-567 (Aug 16-23)</t>
  </si>
  <si>
    <t>ASTM A36M</t>
  </si>
  <si>
    <t>BTR -Zellinskis SEPARATE LOT</t>
  </si>
  <si>
    <t>LOI-613(Sep 08-15)</t>
  </si>
  <si>
    <t>loi-768 (AUG -23-31)</t>
  </si>
  <si>
    <t>Bhushan MS-160X160</t>
  </si>
  <si>
    <t>BTR ZILLINSKIS - HIGH SI</t>
  </si>
  <si>
    <t>LOI-642(Aug 08-15</t>
  </si>
  <si>
    <t>loi-765 (Oct 08-15)</t>
  </si>
  <si>
    <t>LOI-567 (Aug 08-15)</t>
  </si>
  <si>
    <t>LOI-716(Sep 08-15)</t>
  </si>
  <si>
    <t>LOI-768(Sep 24-31)</t>
  </si>
  <si>
    <t>MS-80X80X5</t>
  </si>
  <si>
    <t>MS 80X80X8</t>
  </si>
  <si>
    <r>
      <t xml:space="preserve">VIL  MS </t>
    </r>
    <r>
      <rPr>
        <b/>
        <sz val="14"/>
        <rFont val="Copperplate Gothic Bold"/>
        <family val="2"/>
      </rPr>
      <t xml:space="preserve"> </t>
    </r>
    <r>
      <rPr>
        <b/>
        <i/>
        <sz val="14"/>
        <rFont val="Copperplate Gothic Bold"/>
        <family val="2"/>
      </rPr>
      <t>L</t>
    </r>
    <r>
      <rPr>
        <b/>
        <sz val="14"/>
        <rFont val="Times New Roman"/>
        <family val="1"/>
      </rPr>
      <t xml:space="preserve"> 80 IR</t>
    </r>
  </si>
  <si>
    <t>JSPL HT-130X130</t>
  </si>
  <si>
    <t>JSPL 150X150 (6MT)/HT-130X130</t>
  </si>
  <si>
    <t>VIL/139</t>
  </si>
  <si>
    <t>VIL/139 A</t>
  </si>
  <si>
    <t>VIL/140</t>
  </si>
  <si>
    <t>VIL/142</t>
  </si>
  <si>
    <t>VIL/142 A</t>
  </si>
  <si>
    <t>VIL/143</t>
  </si>
  <si>
    <t>VIL/144</t>
  </si>
  <si>
    <t>VIL/144 A</t>
  </si>
  <si>
    <t>VIL/146</t>
  </si>
  <si>
    <t>VIL/147</t>
  </si>
  <si>
    <t>VIL/148</t>
  </si>
  <si>
    <t>VIL/149</t>
  </si>
  <si>
    <t>VIL/150</t>
  </si>
  <si>
    <t>VIL/151</t>
  </si>
  <si>
    <t>Bhushan HT-160/125X125(21MT)</t>
  </si>
  <si>
    <t xml:space="preserve">VIL/141 </t>
  </si>
  <si>
    <t>VIL/145</t>
  </si>
  <si>
    <t>VIL/147 A</t>
  </si>
  <si>
    <t>12.740 MT offered on 03.09.2023</t>
  </si>
  <si>
    <t>Total qty offered on 03.09.2023</t>
  </si>
  <si>
    <t>22.203 MT qty offered on 03.09.2023</t>
  </si>
  <si>
    <t>13.912 MT qty offered on  03.09.2023</t>
  </si>
  <si>
    <t>Remaining 26.705 MT qty offered on 05.09.2023</t>
  </si>
  <si>
    <t>Total qty offered on 05.09.2023</t>
  </si>
  <si>
    <t>10.917 MT qty offered 05.09.2023 (IISCO)</t>
  </si>
  <si>
    <t>10.356 MT qty offered 05.09.2023 (RINL)</t>
  </si>
  <si>
    <t>1.599 MT qty offered 05.09.2023 (IISCO)</t>
  </si>
  <si>
    <t>1.579 MT qty offered 05.09.2023 (RINL)</t>
  </si>
  <si>
    <t>1.836 MT qty offered 05.09.2023 (RINL)</t>
  </si>
  <si>
    <t>7.834 MT qty offered 05.09.2023 (IISCO)</t>
  </si>
  <si>
    <t>7.262 MT qty offered 05.09.2023 (RINL)</t>
  </si>
  <si>
    <t>3.815 MT qty offered 05.09.2023 (IISCO)</t>
  </si>
  <si>
    <t>Remaining 47.847 MT qty offered on 06.09.2023</t>
  </si>
  <si>
    <t>Remaining 57.453 MT qty offered on 06.09.2023</t>
  </si>
  <si>
    <t>Remaining 6.481 MT qty offered on 06.09.2023</t>
  </si>
  <si>
    <t>Remaining 4.763 MT qty offered on 06.09.2023</t>
  </si>
  <si>
    <t>Remaining 24.286 MT qty offered on 06.09.2023</t>
  </si>
  <si>
    <t>Remaining 3.929 MT qty offered on 06.09.2023</t>
  </si>
  <si>
    <t>Total qty offered on 06.09.2023</t>
  </si>
  <si>
    <t>dispd</t>
  </si>
  <si>
    <t>LOI-613(Aug 16-23)</t>
  </si>
  <si>
    <t>LOI-574(Aug 08-15)</t>
  </si>
  <si>
    <t>VIL/152</t>
  </si>
  <si>
    <t>VIL/152 A</t>
  </si>
  <si>
    <t>VIL/153</t>
  </si>
  <si>
    <t>VIL/153 A</t>
  </si>
  <si>
    <t>VIL/153 B</t>
  </si>
  <si>
    <t>VIL/154</t>
  </si>
  <si>
    <t>VIL/155</t>
  </si>
  <si>
    <t>VIL/155 A</t>
  </si>
  <si>
    <t>VIL/156</t>
  </si>
  <si>
    <t>VIL/157</t>
  </si>
  <si>
    <t>VIL/158</t>
  </si>
  <si>
    <t>LOI-794 (Sep 24-30)</t>
  </si>
  <si>
    <t>Bhushan-160x160/150X150</t>
  </si>
  <si>
    <t>MS-130X130X10</t>
  </si>
  <si>
    <t>JSP-HT 150X150</t>
  </si>
  <si>
    <t>JSP-HT 200X200</t>
  </si>
  <si>
    <t>JSP-HT 200X200/180X180</t>
  </si>
  <si>
    <t>BHUSHAN -180X180</t>
  </si>
  <si>
    <t>LOI-766(Sep 08-15)</t>
  </si>
  <si>
    <t>LOI-720(Sep 08-15)</t>
  </si>
  <si>
    <t>LOI-720(Sep 24-30)</t>
  </si>
  <si>
    <t>LOI-554 (Aug 24-31)</t>
  </si>
  <si>
    <t>BTR- separate lot</t>
  </si>
  <si>
    <t>Total qty offered on 07.09.2023</t>
  </si>
  <si>
    <t>Total qty offered on 09.09.2023</t>
  </si>
  <si>
    <t>Total qty offered on 08.09.2023</t>
  </si>
  <si>
    <t>9.151  MT qty offered on  08.09.2023</t>
  </si>
  <si>
    <t>VIL/143A</t>
  </si>
  <si>
    <t>Total qty offered on 07.09.2023 in revised offer letter.</t>
  </si>
  <si>
    <t>VIL/159</t>
  </si>
  <si>
    <t>VIL/160</t>
  </si>
  <si>
    <t>VIL/161</t>
  </si>
  <si>
    <t>VIL/162</t>
  </si>
  <si>
    <t>VIL/163</t>
  </si>
  <si>
    <t>VIL/164</t>
  </si>
  <si>
    <t>VIL/165</t>
  </si>
  <si>
    <t>VIL/166</t>
  </si>
  <si>
    <t>VIL/167</t>
  </si>
  <si>
    <t>VIL/168</t>
  </si>
  <si>
    <t>BTR-SEPRATE LOT</t>
  </si>
  <si>
    <t>JSPL/IISCO HT-150X150</t>
  </si>
  <si>
    <t>MS-130X130X8</t>
  </si>
  <si>
    <t>VIL/169</t>
  </si>
  <si>
    <t>VIL/170</t>
  </si>
  <si>
    <t>VIL/171</t>
  </si>
  <si>
    <t>VIL/172</t>
  </si>
  <si>
    <t>VIL/173</t>
  </si>
  <si>
    <t>VIL/174</t>
  </si>
  <si>
    <t>VIL/175</t>
  </si>
  <si>
    <t>355JO</t>
  </si>
  <si>
    <t>LOI- 554(Sep 24-30)</t>
  </si>
  <si>
    <t>Total qty offered on 10.09.2023</t>
  </si>
  <si>
    <t>Bhusahn-HT 180x180/JSP-200</t>
  </si>
  <si>
    <t>Total qty offered on 11.09.2023</t>
  </si>
  <si>
    <t>Total qty offered on 12.09.2023</t>
  </si>
  <si>
    <t>VIL/176</t>
  </si>
  <si>
    <t>VIL/177</t>
  </si>
  <si>
    <t>VIL/177 A</t>
  </si>
  <si>
    <t>VIL/178</t>
  </si>
  <si>
    <t>VIL/178 A</t>
  </si>
  <si>
    <t>VIL/179</t>
  </si>
  <si>
    <t>VIL/180</t>
  </si>
  <si>
    <t>VIL/180 A</t>
  </si>
  <si>
    <t>VIL/180 B</t>
  </si>
  <si>
    <t>VIL/181</t>
  </si>
  <si>
    <t>VIL/182</t>
  </si>
  <si>
    <t>VIL/182A</t>
  </si>
  <si>
    <t>VIL/183</t>
  </si>
  <si>
    <t>VIL/184</t>
  </si>
  <si>
    <t>VIL/185</t>
  </si>
  <si>
    <t>VIL/185 A</t>
  </si>
  <si>
    <t>VIL/185 B</t>
  </si>
  <si>
    <t>VIL/186</t>
  </si>
  <si>
    <t>VIL/187</t>
  </si>
  <si>
    <t>LOI-766(Sep 24-30)</t>
  </si>
  <si>
    <t>LOI-765 (Oct 01-07)</t>
  </si>
  <si>
    <t>45 mt planned</t>
  </si>
  <si>
    <t>Lot No./Heat No.</t>
  </si>
  <si>
    <t>Total qty offered on 13.09.2023</t>
  </si>
  <si>
    <t>Total qty offered on 15.09.2023</t>
  </si>
  <si>
    <t>35.831 MT qty offered on 15.09.2023</t>
  </si>
  <si>
    <t>Remaining 97.421 MT offered on 18.09.2023</t>
  </si>
  <si>
    <t>Total qty offered on 18.09.2023</t>
  </si>
  <si>
    <t>44.097 MT qty offered on 18.09.2023 (only 45 MT material rolled).</t>
  </si>
  <si>
    <t>SAIL-HT-230X160</t>
  </si>
  <si>
    <t>LOI-835 (Oct 01-07)</t>
  </si>
  <si>
    <t>NEPAL</t>
  </si>
  <si>
    <t>IS: 2062-E350 C</t>
  </si>
  <si>
    <t>LOI-836 (Oct 01-07)</t>
  </si>
  <si>
    <t>PUERTO PENASCO</t>
  </si>
  <si>
    <t>LOI-832 (Sep 24-30)</t>
  </si>
  <si>
    <t>Total qty offered on 19.09.2023</t>
  </si>
  <si>
    <t>105.922 MT qty offered on 19.09.2023</t>
  </si>
  <si>
    <t>79.264 MT qty offered on 20.09.2023</t>
  </si>
  <si>
    <t>38.491 MT qty offered on 20.09.2023</t>
  </si>
  <si>
    <t>JSP HT-130X130/DSP HT-125</t>
  </si>
  <si>
    <t>bal</t>
  </si>
  <si>
    <t>LOI-835(Oct 01-07)</t>
  </si>
  <si>
    <t>LOI-836(Oct 01-07)</t>
  </si>
  <si>
    <t>LOI-833(Oct 01-07)</t>
  </si>
  <si>
    <t>ASTM A36</t>
  </si>
  <si>
    <t>LOI-765(Oct 01-07)</t>
  </si>
  <si>
    <t>LOI-715(Oct 01-07)</t>
  </si>
  <si>
    <t>DSP HT-125X125/150X150</t>
  </si>
  <si>
    <t>JSP-150X150/DSP HT-125X125</t>
  </si>
  <si>
    <t>JSP HT-150X150</t>
  </si>
  <si>
    <t>VIL/188</t>
  </si>
  <si>
    <t>VIL/188A</t>
  </si>
  <si>
    <t>VIL/188B</t>
  </si>
  <si>
    <t>VIL/189</t>
  </si>
  <si>
    <t>VIL/190</t>
  </si>
  <si>
    <t>VIL/191</t>
  </si>
  <si>
    <t>VIL/191 A</t>
  </si>
  <si>
    <t>VIL/191 B</t>
  </si>
  <si>
    <t>VIL/192</t>
  </si>
  <si>
    <t>VIL/193</t>
  </si>
  <si>
    <t>VIL/194</t>
  </si>
  <si>
    <t>VIL/195</t>
  </si>
  <si>
    <t>VIL/195 A</t>
  </si>
  <si>
    <t>VIL/196</t>
  </si>
  <si>
    <t>VIL/197</t>
  </si>
  <si>
    <t>VIL/198</t>
  </si>
  <si>
    <t>VIL/199</t>
  </si>
  <si>
    <t>VIL/199 A</t>
  </si>
  <si>
    <t>VIL/199 B</t>
  </si>
  <si>
    <t>VIL/199 C</t>
  </si>
  <si>
    <t>VIL/200</t>
  </si>
  <si>
    <t>VIL/200 A</t>
  </si>
  <si>
    <t>VIL/200 B</t>
  </si>
  <si>
    <t>VIL/201</t>
  </si>
  <si>
    <t>VIL/201 A</t>
  </si>
  <si>
    <t>VIL/202</t>
  </si>
  <si>
    <t>VIL/203</t>
  </si>
  <si>
    <t>VIL/204</t>
  </si>
  <si>
    <t>VIL/205</t>
  </si>
  <si>
    <t>VIL/205 A</t>
  </si>
  <si>
    <t>VIL/204 A</t>
  </si>
  <si>
    <t>VIL/204 B</t>
  </si>
  <si>
    <t>VIL/205 B</t>
  </si>
  <si>
    <t>VIL/206</t>
  </si>
  <si>
    <t>VIL/207</t>
  </si>
  <si>
    <t>LOI-832 (Oct 01-07)</t>
  </si>
  <si>
    <t>40.381 MT qty offered on 23.09.2023</t>
  </si>
  <si>
    <t>Total qty offered on 23.09.2023</t>
  </si>
  <si>
    <t>2 PCS FROM 11.80 MTR</t>
  </si>
  <si>
    <t>4 PCS FROM 11.2-2, 11.1, 11.8-1</t>
  </si>
  <si>
    <t>5 PC FROM 9.7-2, 10-3</t>
  </si>
  <si>
    <t>4 PCS FROM 9.1, 10-3</t>
  </si>
  <si>
    <t>SHORT - UNDER ROLLING</t>
  </si>
  <si>
    <t>Remaining 73.488 MT qty offered on 24.09.2023</t>
  </si>
  <si>
    <t>Remaining 39.478 MT qty offered on 24.09.2023</t>
  </si>
  <si>
    <t>Total qty offered on 24.09.2023</t>
  </si>
  <si>
    <t>LOI-614(Sep 24-30)</t>
  </si>
  <si>
    <t>LOI-645 (Oct 16-23)</t>
  </si>
  <si>
    <t>E350C</t>
  </si>
  <si>
    <t>E250C</t>
  </si>
  <si>
    <t>EMAIL(Oct 01-07)</t>
  </si>
  <si>
    <t>VIL/208</t>
  </si>
  <si>
    <t>20 MT</t>
  </si>
  <si>
    <t>110X110X11</t>
  </si>
  <si>
    <t>NEPAL/STERLTE/WBSETCL</t>
  </si>
  <si>
    <t>WBSETCL/IRCON</t>
  </si>
  <si>
    <t>WBSETCL/NEPAL</t>
  </si>
  <si>
    <t>IS: 2062-E250 C</t>
  </si>
  <si>
    <t>LOI-836(Sep 24-30)</t>
  </si>
  <si>
    <t>LOI-834(Sep 24-30)</t>
  </si>
  <si>
    <t>VIL/209</t>
  </si>
  <si>
    <t>VIL/210</t>
  </si>
  <si>
    <t>VIL/210 A</t>
  </si>
  <si>
    <t>VIL/211</t>
  </si>
  <si>
    <t>VIL/212</t>
  </si>
  <si>
    <t>VIL/213</t>
  </si>
  <si>
    <t>VIL/214</t>
  </si>
  <si>
    <t>VIL/215</t>
  </si>
  <si>
    <t>VIL/216</t>
  </si>
  <si>
    <t>Total qty offered on 25.09.2023</t>
  </si>
  <si>
    <t>Total qty offered on 28.09.2023</t>
  </si>
  <si>
    <t>20.516 MT qty offered on 28.09.2023</t>
  </si>
  <si>
    <t>LOI-896 (Oct 16-23)</t>
  </si>
  <si>
    <t>90X90X9</t>
  </si>
  <si>
    <t>LOI-899(Oct 01-07)</t>
  </si>
  <si>
    <t>LOI-900(Oct 08-15)</t>
  </si>
  <si>
    <t>LOI-902(Oct 01-07)</t>
  </si>
  <si>
    <t>LOI-903(Oct 01-07)</t>
  </si>
  <si>
    <t>LOI-904(Oct 01-07)</t>
  </si>
  <si>
    <t>VIL/217</t>
  </si>
  <si>
    <t>VIL/218</t>
  </si>
  <si>
    <t>VIL/219</t>
  </si>
  <si>
    <t>HT 90X90X9</t>
  </si>
  <si>
    <t>MS 90X90X8</t>
  </si>
  <si>
    <r>
      <t xml:space="preserve">VIL  MS </t>
    </r>
    <r>
      <rPr>
        <b/>
        <sz val="14"/>
        <rFont val="Copperplate Gothic Bold"/>
        <family val="2"/>
      </rPr>
      <t xml:space="preserve"> </t>
    </r>
    <r>
      <rPr>
        <b/>
        <i/>
        <sz val="14"/>
        <rFont val="Copperplate Gothic Bold"/>
        <family val="2"/>
      </rPr>
      <t>L</t>
    </r>
    <r>
      <rPr>
        <b/>
        <sz val="14"/>
        <rFont val="Times New Roman"/>
        <family val="1"/>
      </rPr>
      <t xml:space="preserve"> 90 IR</t>
    </r>
  </si>
  <si>
    <t>VIL/213 A</t>
  </si>
  <si>
    <t>AGN 110X6</t>
  </si>
  <si>
    <t>LOI-833 (Sep 08-15)</t>
  </si>
  <si>
    <t>MALAYSIA</t>
  </si>
  <si>
    <t>MS 110X110X8</t>
  </si>
  <si>
    <t>MS 110X110X10</t>
  </si>
  <si>
    <t>JSP MS-150X150</t>
  </si>
  <si>
    <t>MS 110X110X6</t>
  </si>
  <si>
    <t>LOI-896(Oct 01-07)</t>
  </si>
  <si>
    <t>LOI-898(Sep 24-30)</t>
  </si>
  <si>
    <t>VIL/220</t>
  </si>
  <si>
    <t>VIL/220 A</t>
  </si>
  <si>
    <t>VIL/220 B</t>
  </si>
  <si>
    <t>VIL/220 C</t>
  </si>
  <si>
    <t>VIL/221</t>
  </si>
  <si>
    <t>VIL/221 A</t>
  </si>
  <si>
    <t>VIL/221 B</t>
  </si>
  <si>
    <t>VIL/221 C</t>
  </si>
  <si>
    <t>VIL/221 D</t>
  </si>
  <si>
    <t>VIL/221 E</t>
  </si>
  <si>
    <t>VIL/222</t>
  </si>
  <si>
    <t>VIL/223</t>
  </si>
  <si>
    <t>VIL/223 A</t>
  </si>
  <si>
    <t>VIL/224</t>
  </si>
  <si>
    <t>VIL/225</t>
  </si>
  <si>
    <t>VIL/225 A</t>
  </si>
  <si>
    <t>VIL/225 B</t>
  </si>
  <si>
    <t>VIL/225 C</t>
  </si>
  <si>
    <t>VIL/226</t>
  </si>
  <si>
    <t>VIL/227</t>
  </si>
  <si>
    <t>VIL/228</t>
  </si>
  <si>
    <t>EMAIL (Oct 16-23)</t>
  </si>
  <si>
    <t>VIL/220 D</t>
  </si>
  <si>
    <t>LOI-614(Aug 01-8)</t>
  </si>
  <si>
    <t>LOI-715(Aug 01-8)</t>
  </si>
  <si>
    <t>A572 GR60</t>
  </si>
  <si>
    <t>LOI-716(Sep  08-15)</t>
  </si>
  <si>
    <t>LOI-720(Sep 23-30)</t>
  </si>
  <si>
    <t>LOI-766 (SEP 01-8)</t>
  </si>
  <si>
    <t>A36</t>
  </si>
  <si>
    <t>LOI-833 (Oct 01-07)</t>
  </si>
  <si>
    <t xml:space="preserve">KEC Bub </t>
  </si>
  <si>
    <t>LOI-834 (OCT 01-8)</t>
  </si>
  <si>
    <t>LOI-836 (OCT 01-8)</t>
  </si>
  <si>
    <t>LOI-896 (OCT 15-23)</t>
  </si>
  <si>
    <t>LOI-897 (OCT 15-23)</t>
  </si>
  <si>
    <t>ZILLINKIS</t>
  </si>
  <si>
    <t>LOI-898(OCT 01-8)</t>
  </si>
  <si>
    <t>LOI-902(Oct 08-15)</t>
  </si>
  <si>
    <t>LOI-905(Oct 01-07)</t>
  </si>
  <si>
    <t>MS 100X100X7</t>
  </si>
  <si>
    <t>MS 100X100X8</t>
  </si>
  <si>
    <t>MS 100X100X10</t>
  </si>
  <si>
    <r>
      <t xml:space="preserve">VIL  MS </t>
    </r>
    <r>
      <rPr>
        <b/>
        <sz val="14"/>
        <rFont val="Copperplate Gothic Bold"/>
        <family val="2"/>
      </rPr>
      <t xml:space="preserve"> </t>
    </r>
    <r>
      <rPr>
        <b/>
        <i/>
        <sz val="14"/>
        <rFont val="Copperplate Gothic Bold"/>
        <family val="2"/>
      </rPr>
      <t>L</t>
    </r>
    <r>
      <rPr>
        <b/>
        <sz val="14"/>
        <rFont val="Times New Roman"/>
        <family val="1"/>
      </rPr>
      <t xml:space="preserve"> 100 IR</t>
    </r>
  </si>
  <si>
    <t>MS 100X100X12</t>
  </si>
  <si>
    <t>16)</t>
  </si>
  <si>
    <t>17)</t>
  </si>
  <si>
    <t>18)</t>
  </si>
  <si>
    <t>VIL/229</t>
  </si>
  <si>
    <t>VIL/230</t>
  </si>
  <si>
    <t>VIL/231</t>
  </si>
  <si>
    <t>VIL/232</t>
  </si>
  <si>
    <t>VIL/234</t>
  </si>
  <si>
    <t>VIL/235</t>
  </si>
  <si>
    <t>VIL/236</t>
  </si>
  <si>
    <t>VIL/236A</t>
  </si>
  <si>
    <t>VIL/236B</t>
  </si>
  <si>
    <t>VIL/237</t>
  </si>
  <si>
    <t>VIL/237A</t>
  </si>
  <si>
    <t>VIL/237B</t>
  </si>
  <si>
    <t>VIL/238</t>
  </si>
  <si>
    <t>VIL/238A</t>
  </si>
  <si>
    <t>VIL/238B</t>
  </si>
  <si>
    <t>VIL/239</t>
  </si>
  <si>
    <t>VIL/240A</t>
  </si>
  <si>
    <t>VIL/240B</t>
  </si>
  <si>
    <t>VIL/241</t>
  </si>
  <si>
    <t>VIL/241B</t>
  </si>
  <si>
    <t>VIL/241C</t>
  </si>
  <si>
    <t>VIL/241D</t>
  </si>
  <si>
    <t>VIL/241E</t>
  </si>
  <si>
    <t>VIL/242</t>
  </si>
  <si>
    <t>VIL/242A</t>
  </si>
  <si>
    <t>VIL/242B</t>
  </si>
  <si>
    <t>VIL/243</t>
  </si>
  <si>
    <t>VIL/244</t>
  </si>
  <si>
    <t>VIL/245</t>
  </si>
  <si>
    <t>20.516 MT offered on 28.09.2023</t>
  </si>
  <si>
    <t>26.297 MT qty offered on 28.09.2023</t>
  </si>
  <si>
    <t>Remaining 17.158 MT offered on 01.10.2023</t>
  </si>
  <si>
    <t>Remaining 36.062 MT qty offered on 01.10.2023</t>
  </si>
  <si>
    <t>Total qty offered on 01.10.2023</t>
  </si>
  <si>
    <t>19.940 MT qty offered on 02.05.2023 (only 19.94 MT rolled)</t>
  </si>
  <si>
    <t>Total MT qty offered on 02.10.2023</t>
  </si>
  <si>
    <t>Total MT qty offered on 03.10.2023</t>
  </si>
  <si>
    <t>Total qty offered on 03.10.2023</t>
  </si>
  <si>
    <t>VIL/233</t>
  </si>
  <si>
    <t>Total qty offered on 06.10.2023</t>
  </si>
  <si>
    <t>Total qty offered on 05.10.2023</t>
  </si>
  <si>
    <t>34.234 MT oty offered on 05.10.2023</t>
  </si>
  <si>
    <t>27.191 MT oty offered on 05.10.2023</t>
  </si>
  <si>
    <t>Remaining 31.062 MT qty offered on 06.10.2023</t>
  </si>
  <si>
    <t>VIL/240</t>
  </si>
  <si>
    <t>VIL/246</t>
  </si>
  <si>
    <t>VIL/247</t>
  </si>
  <si>
    <t>JSP HT-130X130(HIGH SI)</t>
  </si>
  <si>
    <t>VIL/248</t>
  </si>
  <si>
    <t>VIL/249</t>
  </si>
  <si>
    <t>32 MT</t>
  </si>
  <si>
    <t>HT-150X150/JSP HT-130(HIGH SI)</t>
  </si>
  <si>
    <t>VIL/250</t>
  </si>
  <si>
    <t>EMAIL(Oct 08-15)</t>
  </si>
  <si>
    <t>LOI-794(Sep 24-30)</t>
  </si>
  <si>
    <t>LOI-795(Sep 24-30)</t>
  </si>
  <si>
    <t>Cegelec/Kuwait/GCCIA-Kuwait</t>
  </si>
  <si>
    <t>1ST PRIORITY</t>
  </si>
  <si>
    <t>4 mt</t>
  </si>
  <si>
    <t>5 MT</t>
  </si>
  <si>
    <t>VIL/242 C</t>
  </si>
  <si>
    <t>Remaining 35.717 MT qty offered on 09.10.2023</t>
  </si>
  <si>
    <t>Total qty offered on 09.10.2023</t>
  </si>
  <si>
    <t>Total qty offered on 10.10.2023</t>
  </si>
  <si>
    <t>Total qty offered on 11.10.2023</t>
  </si>
  <si>
    <t>LOI-901(Oct 01-07)</t>
  </si>
  <si>
    <t>LOI-906(Oct 01-07)</t>
  </si>
  <si>
    <t>VIL/251</t>
  </si>
  <si>
    <t>VIL/252</t>
  </si>
  <si>
    <t>VIL/252 A</t>
  </si>
  <si>
    <t>VIL/253</t>
  </si>
  <si>
    <t>VIL/253 A</t>
  </si>
  <si>
    <t>VIL/254</t>
  </si>
  <si>
    <t>VIL/255</t>
  </si>
  <si>
    <t>VIL/256</t>
  </si>
  <si>
    <t>Email(Oct 16-23)</t>
  </si>
  <si>
    <t>HT 80X80X8</t>
  </si>
  <si>
    <t>VIL/257</t>
  </si>
  <si>
    <t>VIL/258</t>
  </si>
  <si>
    <t>VIL/259</t>
  </si>
  <si>
    <t>VIL/260</t>
  </si>
  <si>
    <t>VIL/261</t>
  </si>
  <si>
    <t>VIL/262</t>
  </si>
  <si>
    <t>VIL/263</t>
  </si>
  <si>
    <t>Total qty offered on 12.10.2023</t>
  </si>
  <si>
    <t>27.294 MT offered on 12.10.2023 (Rolled qty)</t>
  </si>
  <si>
    <t>65.771 MT qty offered on 13.10.2023</t>
  </si>
  <si>
    <t>Total qty offered on 13.10.2023</t>
  </si>
  <si>
    <t>17.882 MT qty offered on 13.10.2023</t>
  </si>
  <si>
    <t>135.599 MT qty offered on 14.10.2023</t>
  </si>
  <si>
    <t>VIL/259 A</t>
  </si>
  <si>
    <t>VIL/261 A</t>
  </si>
  <si>
    <t>VIL/262 A</t>
  </si>
  <si>
    <t>LOI-965(Oct 16-23)</t>
  </si>
  <si>
    <t>VIL/264</t>
  </si>
  <si>
    <t>EMAIL(Oct 16-23)</t>
  </si>
  <si>
    <t>VIL/264 A</t>
  </si>
  <si>
    <t>VIL/265</t>
  </si>
  <si>
    <t>VIL/265 A</t>
  </si>
  <si>
    <t>LOI-966(Oct 16-23)</t>
  </si>
  <si>
    <t>LOI-967(Oct 16-23)</t>
  </si>
  <si>
    <t>VIL/266</t>
  </si>
  <si>
    <t>VIL/267</t>
  </si>
  <si>
    <t>VIL/268</t>
  </si>
  <si>
    <t>VIL/269</t>
  </si>
  <si>
    <t>VIL/270</t>
  </si>
  <si>
    <t>VIL/271</t>
  </si>
  <si>
    <t>Total qty offered on 15.10.2023</t>
  </si>
  <si>
    <t>27.257 MT qty offered on 15.10.2023</t>
  </si>
  <si>
    <t>Total qty offered on 16.10.2023</t>
  </si>
  <si>
    <t>10.365 MT qty offered on 16.10.2023(from stock and new rolled) only rolled qty offered.</t>
  </si>
  <si>
    <t>Total qty offered on 17.10.2023</t>
  </si>
  <si>
    <t>22.411 MT qty offered on 17.10.2023</t>
  </si>
  <si>
    <t>41.576 MT qty offered on 17.10.2023</t>
  </si>
  <si>
    <t xml:space="preserve">Dispatched on 17.10.2023 </t>
  </si>
  <si>
    <t>Total qty offered on 19.10.2023</t>
  </si>
  <si>
    <t>Paper will be made with GR60 130X130X10</t>
  </si>
  <si>
    <t>VIL/272</t>
  </si>
  <si>
    <t>VIL/273</t>
  </si>
  <si>
    <t>VIL/274</t>
  </si>
  <si>
    <t>VIL/275</t>
  </si>
  <si>
    <t>VIL/276</t>
  </si>
  <si>
    <t>VIL/277</t>
  </si>
  <si>
    <t>VIL/278</t>
  </si>
  <si>
    <t>LOI-795 (Nov 01-07)</t>
  </si>
  <si>
    <t>BHUSHAN HT-180X180</t>
  </si>
  <si>
    <t>SAIL HT-210X160(Gr 60)</t>
  </si>
  <si>
    <t>Remaining 17.731 MT qty offered on 21.10.2023</t>
  </si>
  <si>
    <t>Total qty offered on 21.10.2023</t>
  </si>
  <si>
    <t>EMAIL(Oct 24-31)</t>
  </si>
  <si>
    <t>DSP HT -125X125</t>
  </si>
  <si>
    <t>LOI-1008(Oct 24-31)</t>
  </si>
  <si>
    <t>LOI-1009(Oct 24-31)</t>
  </si>
  <si>
    <t>JSP HT-130x130/DSP-125X125</t>
  </si>
  <si>
    <t>LOI-1010(Oct 24-31)</t>
  </si>
  <si>
    <t>KPTCL</t>
  </si>
  <si>
    <t>LOI-1007(Oct 24-31)</t>
  </si>
  <si>
    <t>LOI-1006(Oct 24-31)</t>
  </si>
  <si>
    <t>BTR- Zellinskis</t>
  </si>
  <si>
    <t>LOI-643 (Oct 16-23)</t>
  </si>
  <si>
    <t>VIL/279</t>
  </si>
  <si>
    <t>VIL/280</t>
  </si>
  <si>
    <t>VIL/281</t>
  </si>
  <si>
    <t>VIL/282</t>
  </si>
  <si>
    <t>VIL/283</t>
  </si>
  <si>
    <t>VIL/284</t>
  </si>
  <si>
    <t>25 MT</t>
  </si>
  <si>
    <t>VIL/285</t>
  </si>
  <si>
    <t>VIL/286</t>
  </si>
  <si>
    <t>VIL/286 A</t>
  </si>
  <si>
    <t>VIL/287</t>
  </si>
  <si>
    <t>EMAIL(Nov 08-15)</t>
  </si>
  <si>
    <t>JSP HT-130/125( 43)/150X150( 65MT)</t>
  </si>
  <si>
    <t>JSP HT-150X150(115)/125X125(16MT)</t>
  </si>
  <si>
    <t>VIL/282 A</t>
  </si>
  <si>
    <t>VIL/283 A</t>
  </si>
  <si>
    <t>VIL/288</t>
  </si>
  <si>
    <t>MS 110X110X7</t>
  </si>
  <si>
    <t>VIL/289</t>
  </si>
  <si>
    <t>VIL/290</t>
  </si>
  <si>
    <t>VIL/291</t>
  </si>
  <si>
    <t>VIL/292</t>
  </si>
  <si>
    <t>VIL/293</t>
  </si>
  <si>
    <t>VIL/294</t>
  </si>
  <si>
    <t>VIL/295</t>
  </si>
  <si>
    <t>VIL/296</t>
  </si>
  <si>
    <t>VIL/297</t>
  </si>
  <si>
    <t>VIL/298</t>
  </si>
  <si>
    <t>VIL/299</t>
  </si>
  <si>
    <t>LOI-1023(Nov 08-15)</t>
  </si>
  <si>
    <t>LOI-1022(Nov 08-15)</t>
  </si>
  <si>
    <t>LOI-1024(Nov 08-15)</t>
  </si>
  <si>
    <t>LOI-1025(Nov 08-15)</t>
  </si>
  <si>
    <t>LOI-1026(Nov 08-15)</t>
  </si>
  <si>
    <t>LOI-1028(Nov 08-15)</t>
  </si>
  <si>
    <t>LOI-1029(Dec 01-07)</t>
  </si>
  <si>
    <t>BHUSHAN HT-180X180/210X160</t>
  </si>
  <si>
    <t>VIL/300</t>
  </si>
  <si>
    <t>VIL/300 A</t>
  </si>
  <si>
    <t>VIL/301</t>
  </si>
  <si>
    <t>VIL/301 A</t>
  </si>
  <si>
    <t>VIL/302</t>
  </si>
  <si>
    <t>VIL/303</t>
  </si>
  <si>
    <t>VIL/304</t>
  </si>
  <si>
    <t>VIL/304 A</t>
  </si>
  <si>
    <t>VIL/305</t>
  </si>
  <si>
    <t>VIL/305 A</t>
  </si>
  <si>
    <t>VIL/306</t>
  </si>
  <si>
    <t>VIL/307</t>
  </si>
  <si>
    <t>VIL/308</t>
  </si>
  <si>
    <t>VIL/308 A</t>
  </si>
  <si>
    <t>VIL/309</t>
  </si>
  <si>
    <t>VIL/310</t>
  </si>
  <si>
    <t>VIL/311</t>
  </si>
  <si>
    <t>VIL/311 A</t>
  </si>
  <si>
    <t>VIL/312</t>
  </si>
  <si>
    <t>VIL/313</t>
  </si>
  <si>
    <t>VIL/314</t>
  </si>
  <si>
    <t>VIL/314 A</t>
  </si>
  <si>
    <t>Total qty offered on 29.10.2023</t>
  </si>
  <si>
    <t>Total qty offered on 27.10.2023</t>
  </si>
  <si>
    <t>Total qty offered on 28.10.2023</t>
  </si>
  <si>
    <t>1.200 MT qty offered on 28.10.2023</t>
  </si>
  <si>
    <t>24.748 MT qty offered on 28.10.2023</t>
  </si>
  <si>
    <t>Remaining 55.476 MT qty offered on 29.10.2023</t>
  </si>
  <si>
    <t>Remaining 47.934 MT qty offered on 29.10.2023</t>
  </si>
  <si>
    <t>LOI-973(Oct 16-23)</t>
  </si>
  <si>
    <t>LOI-973(Oct 24-31)</t>
  </si>
  <si>
    <t>LOI-973</t>
  </si>
  <si>
    <t xml:space="preserve">BTR- </t>
  </si>
  <si>
    <t>JAIPUR</t>
  </si>
  <si>
    <t xml:space="preserve"> </t>
  </si>
  <si>
    <t>Total qty offered on 30.10.2023</t>
  </si>
  <si>
    <t>Total qty offered on 30.10.2023 (7.627)</t>
  </si>
  <si>
    <t>Total qty offered on 30.10.2023 (14.655)</t>
  </si>
  <si>
    <t>Total qty offered on 31.10.2023</t>
  </si>
  <si>
    <t>LOI-1046(Nov 08-15)</t>
  </si>
  <si>
    <t>ZILLINSKIS</t>
  </si>
  <si>
    <t>LOI-1045(Nov 08-15)</t>
  </si>
  <si>
    <t>CANCELLED</t>
  </si>
  <si>
    <t>LOI-1048(Nov 08-15)</t>
  </si>
  <si>
    <t>LOI-1029(Dec 01-08)</t>
  </si>
  <si>
    <t>VIL/315</t>
  </si>
  <si>
    <t>VIL/316</t>
  </si>
  <si>
    <t>VIL/316 A</t>
  </si>
  <si>
    <t>VIL/316 B</t>
  </si>
  <si>
    <t>VIL/317</t>
  </si>
  <si>
    <t>VIL/318</t>
  </si>
  <si>
    <t>VIL/319</t>
  </si>
  <si>
    <t>VIL/319 A</t>
  </si>
  <si>
    <t>VIL/320</t>
  </si>
  <si>
    <t>VIL/321</t>
  </si>
  <si>
    <t>VIL/322</t>
  </si>
  <si>
    <t>VIL/323</t>
  </si>
  <si>
    <t>VIL/324</t>
  </si>
  <si>
    <t>VIL/325</t>
  </si>
  <si>
    <t>VIL/326</t>
  </si>
  <si>
    <t>VIL/325 A</t>
  </si>
  <si>
    <t xml:space="preserve">VIL/325 </t>
  </si>
  <si>
    <t>VIL/327</t>
  </si>
  <si>
    <t>VIL/327 A</t>
  </si>
  <si>
    <t>BTR STERLITE</t>
  </si>
  <si>
    <t>VIL/328</t>
  </si>
  <si>
    <t>VIL/329</t>
  </si>
  <si>
    <t>VIL/308 B</t>
  </si>
  <si>
    <t>Total qty offered on 02.11.2023</t>
  </si>
  <si>
    <t>40.935 MT qty offered on 02.11.2023</t>
  </si>
  <si>
    <t>101.208 MT qty offered on 02.11.2023</t>
  </si>
  <si>
    <t>23.907 MT qty offered on 03.11.2023</t>
  </si>
  <si>
    <t>Total qty offered on 03.11.2023</t>
  </si>
  <si>
    <t>23.510 MT qty offered on 03.11.2023</t>
  </si>
  <si>
    <t>VIL/330</t>
  </si>
  <si>
    <t>VIL/331</t>
  </si>
  <si>
    <t>VIL/332</t>
  </si>
  <si>
    <t>VIL/333 A</t>
  </si>
  <si>
    <t>VIL/333 B</t>
  </si>
  <si>
    <t>VIL/334 A</t>
  </si>
  <si>
    <t>VIL/335</t>
  </si>
  <si>
    <t>VIL/336</t>
  </si>
  <si>
    <t>VIL/337</t>
  </si>
  <si>
    <t>VIL/338</t>
  </si>
  <si>
    <t>VIL/339</t>
  </si>
  <si>
    <t>Total qty offered on 04.11.2023</t>
  </si>
  <si>
    <t>LOI-1045(Nov 01-07)</t>
  </si>
  <si>
    <t>120X120X11</t>
  </si>
  <si>
    <t>LOI-1049(Nov 24-30)</t>
  </si>
  <si>
    <t>LOI-1047(Dec 01-07)</t>
  </si>
  <si>
    <t>KUDUS</t>
  </si>
  <si>
    <t>HT 120X120X11</t>
  </si>
  <si>
    <t>VIL/340</t>
  </si>
  <si>
    <t>VIL/340 A</t>
  </si>
  <si>
    <t>VIL/340 B</t>
  </si>
  <si>
    <t>VIL/341</t>
  </si>
  <si>
    <t>VIL/342</t>
  </si>
  <si>
    <t>VIL/342 A</t>
  </si>
  <si>
    <t>VIL/343</t>
  </si>
  <si>
    <t>VIL/343 A</t>
  </si>
  <si>
    <t>VIL/343 B</t>
  </si>
  <si>
    <t>VIL/343 C</t>
  </si>
  <si>
    <t>VIL/344</t>
  </si>
  <si>
    <t>VIL/345</t>
  </si>
  <si>
    <t>VIL/346</t>
  </si>
  <si>
    <t>VIL/347</t>
  </si>
  <si>
    <t>VIL/348</t>
  </si>
  <si>
    <t>VIL/349</t>
  </si>
  <si>
    <t>Total qty offered on 05.11.2023</t>
  </si>
  <si>
    <t>Total qty offered on 06.11.2023</t>
  </si>
  <si>
    <t>Total qty offered on 07.11.2023</t>
  </si>
  <si>
    <t>33 mt</t>
  </si>
  <si>
    <t>BTR -STERLITE</t>
  </si>
  <si>
    <t>MS 130X130X12</t>
  </si>
  <si>
    <t>HT 80X80X7</t>
  </si>
  <si>
    <t>Total qty offered on 08.11.2023</t>
  </si>
  <si>
    <t>Total qty offered on 07.11.2023 (For BB 0.777 MT offered on 08.11.2023)</t>
  </si>
  <si>
    <t>Total qty offered on 08.11.2023 (only single length offered of 7.800 mtr)</t>
  </si>
  <si>
    <t>Email(Nov 08-15)</t>
  </si>
  <si>
    <t>VIL/350</t>
  </si>
  <si>
    <t>VIL/350 A</t>
  </si>
  <si>
    <t>VIL/351</t>
  </si>
  <si>
    <t>VIL/352</t>
  </si>
  <si>
    <t>VIL/352 A</t>
  </si>
  <si>
    <t>VIL/353</t>
  </si>
  <si>
    <t>VIL/353 A</t>
  </si>
  <si>
    <t>VIL/354</t>
  </si>
  <si>
    <t>VIL/355</t>
  </si>
  <si>
    <t>VIL/356</t>
  </si>
  <si>
    <t>VIL/357</t>
  </si>
  <si>
    <t xml:space="preserve">VIL/358 </t>
  </si>
  <si>
    <t>VIL/358 A</t>
  </si>
  <si>
    <t>VIL/359</t>
  </si>
  <si>
    <t>VIL/360</t>
  </si>
  <si>
    <t>Total qty offered on 10.11.2023</t>
  </si>
  <si>
    <t>Total qty offered on 11.11.2023</t>
  </si>
  <si>
    <t>Total qty offered on 11.11.2023 (Available lengths)</t>
  </si>
  <si>
    <t>Total qty offered on 15.11.2023</t>
  </si>
  <si>
    <t>75.166 MT qty offered on 15.11.2023</t>
  </si>
  <si>
    <t>0.861 MT qty offered on 15.11.2023</t>
  </si>
  <si>
    <t>31.446 MT qty offered on 15.11.2023</t>
  </si>
  <si>
    <t>ZILLINSKIS- HIGH SI</t>
  </si>
  <si>
    <t>Not planned</t>
  </si>
  <si>
    <t>Jaipur</t>
  </si>
  <si>
    <t>LOI-965(Nov 01-07)</t>
  </si>
  <si>
    <t>STERLITE-BTR SEPARATE LOT</t>
  </si>
  <si>
    <t>MS 80X80X7</t>
  </si>
  <si>
    <t>VIL/361</t>
  </si>
  <si>
    <t>VIL/362</t>
  </si>
  <si>
    <t>VIL/363</t>
  </si>
  <si>
    <t>VIL/364</t>
  </si>
  <si>
    <t>VIL/364 A</t>
  </si>
  <si>
    <t>VIL/365</t>
  </si>
  <si>
    <t>VIL/366</t>
  </si>
  <si>
    <t>VIL/367</t>
  </si>
  <si>
    <t>VIL/368</t>
  </si>
  <si>
    <t>VIL/369</t>
  </si>
  <si>
    <t>VIL/369 A</t>
  </si>
  <si>
    <t>VIL/370</t>
  </si>
  <si>
    <t>cancelled</t>
  </si>
  <si>
    <t>jaipur</t>
  </si>
  <si>
    <t>Remaining 27.596 MT qty offered on 16.11.2023</t>
  </si>
  <si>
    <t>Remaining 0.739 MT qty offered on 16.11.2023</t>
  </si>
  <si>
    <t>4.894 MT qty offered on 16.11.2023</t>
  </si>
  <si>
    <t>Total qty offered on 16.11.2023</t>
  </si>
  <si>
    <t>67.664 MT qty offered on 17.11.2023 (Rolled qty)</t>
  </si>
  <si>
    <t>Remaining 78.579 MT qty offered on 17.11.2023</t>
  </si>
  <si>
    <t>Remaining 63.818 MT qty offered on 17.11.2023</t>
  </si>
  <si>
    <t>Total qty offered on 17.11.2023</t>
  </si>
  <si>
    <t>VIL/371</t>
  </si>
  <si>
    <t>VIL/371 A</t>
  </si>
  <si>
    <t>VIL/372</t>
  </si>
  <si>
    <t>VIL/373</t>
  </si>
  <si>
    <t>VIL/374</t>
  </si>
  <si>
    <t>VIL/375</t>
  </si>
  <si>
    <t>VIL/375 A</t>
  </si>
  <si>
    <t>VIL/375 B</t>
  </si>
  <si>
    <t>HOLD FOR ROLLING</t>
  </si>
  <si>
    <t>Total qty offered on 18.11.2023</t>
  </si>
  <si>
    <t>Total qty offered on 19.11.2023</t>
  </si>
  <si>
    <t>JSPL HT-200X200/BHUSHAN-180</t>
  </si>
  <si>
    <t>BHUSHAN HT -180X180</t>
  </si>
  <si>
    <t>VIL/376</t>
  </si>
  <si>
    <t>VIL/376 A</t>
  </si>
  <si>
    <t>VIL/377</t>
  </si>
  <si>
    <t>VIL/378</t>
  </si>
  <si>
    <t>VIL/379</t>
  </si>
  <si>
    <t>VIL/380</t>
  </si>
  <si>
    <t>VIL/381</t>
  </si>
  <si>
    <t>VIL/382</t>
  </si>
  <si>
    <t>SAUDI - 1ST PRIORITY</t>
  </si>
  <si>
    <t>LOI-1133(Dec 01-07)</t>
  </si>
  <si>
    <t>LOI-1131(Dec 01-07)</t>
  </si>
  <si>
    <t>LOI-1137(Dec 01-07)</t>
  </si>
  <si>
    <t>LOI-1136(Dec 01-07)</t>
  </si>
  <si>
    <t>LOI-1136(Dec 24-30)</t>
  </si>
  <si>
    <t>VIL/383</t>
  </si>
  <si>
    <t>VIL/383 A</t>
  </si>
  <si>
    <t>VIL/384</t>
  </si>
  <si>
    <t>VIL/384 A</t>
  </si>
  <si>
    <t>VIL/385</t>
  </si>
  <si>
    <t>VIL/385 A</t>
  </si>
  <si>
    <t>VIL/386</t>
  </si>
  <si>
    <t>VIL/386 A</t>
  </si>
  <si>
    <t>VIL/386 B</t>
  </si>
  <si>
    <t>VIL/387</t>
  </si>
  <si>
    <t>VIL/388</t>
  </si>
  <si>
    <t>VIL/388 A</t>
  </si>
  <si>
    <t>LOI-1137(Dec 24-30)</t>
  </si>
  <si>
    <t>STERLITE- BTR SEPARATE LOT</t>
  </si>
  <si>
    <t>3 BL</t>
  </si>
  <si>
    <t>VIL/389</t>
  </si>
  <si>
    <t>VIL/390</t>
  </si>
  <si>
    <t>VIL/391</t>
  </si>
  <si>
    <t>Total qty offered on 20.11.2023</t>
  </si>
  <si>
    <t>Total qty offered on 21.11.2023</t>
  </si>
  <si>
    <t>Total qty offered on 22.11.2023</t>
  </si>
  <si>
    <t>Total qty offered on 24.11.2023</t>
  </si>
  <si>
    <t>130.305 MT qty offered on 25.11.2023</t>
  </si>
  <si>
    <t>40.980 MT qty offered on 25.11.2023</t>
  </si>
  <si>
    <t>Remaining 42.009 MT offered on 27.11.2023</t>
  </si>
  <si>
    <t>Remaining 51.631 MT offered on 27.11.2023</t>
  </si>
  <si>
    <t>Total qty offered on 27.11.2023</t>
  </si>
  <si>
    <t xml:space="preserve">NOT PLANNED </t>
  </si>
  <si>
    <t>Total qty offered on 28.11.2023</t>
  </si>
  <si>
    <t>LOI-1045(Nov 24-30)</t>
  </si>
  <si>
    <t>Zellinskis (High Si)</t>
  </si>
  <si>
    <t>LOI-1134(Nov 24-30)</t>
  </si>
  <si>
    <t>NEPAL/WBSETCL</t>
  </si>
  <si>
    <t>LOI-1036(Dec 24-30)</t>
  </si>
  <si>
    <t>LOI-1037(Dec 24-30)</t>
  </si>
  <si>
    <t>LOI-1138(Dec 01-07)</t>
  </si>
  <si>
    <t>197.774 MT qty offered on 29.11.2023</t>
  </si>
  <si>
    <t>Total qty offered on 29.11.2023</t>
  </si>
  <si>
    <t>SAUDI - BTR SEPARATE LOT</t>
  </si>
  <si>
    <t>BTR - SEPARAT ELOT</t>
  </si>
  <si>
    <t>New rolling</t>
  </si>
  <si>
    <t>20 mt planned</t>
  </si>
  <si>
    <t>VIL/387 A</t>
  </si>
  <si>
    <t>VIL/389 A</t>
  </si>
  <si>
    <t>VIL/390 A</t>
  </si>
  <si>
    <t>VIL/390 B</t>
  </si>
  <si>
    <t>VIL/391 A</t>
  </si>
  <si>
    <t>VIL/392</t>
  </si>
  <si>
    <t>VIL/393</t>
  </si>
  <si>
    <t>VIL/393 A</t>
  </si>
  <si>
    <t>VIL/393 B</t>
  </si>
  <si>
    <t>VIL/394</t>
  </si>
  <si>
    <t>EMAIL(Dec 24-31)</t>
  </si>
  <si>
    <t>EMAIL(Jan 01-07)</t>
  </si>
  <si>
    <t>VIL/395</t>
  </si>
  <si>
    <t>VIL/395 A</t>
  </si>
  <si>
    <t>VIL/395 B</t>
  </si>
  <si>
    <t>VIL/396</t>
  </si>
  <si>
    <t>VIL/396 A</t>
  </si>
  <si>
    <t>VIL/396 B</t>
  </si>
  <si>
    <t>VIL/397</t>
  </si>
  <si>
    <t>VIL/398</t>
  </si>
  <si>
    <t>VIL/399</t>
  </si>
  <si>
    <t>VIL/400</t>
  </si>
  <si>
    <t>VIL/401</t>
  </si>
  <si>
    <t>LOI-645(Dec 01-07)</t>
  </si>
  <si>
    <t>LOI-795(Dec 01-07)</t>
  </si>
  <si>
    <t>SAIL HT-150/JSP-150X150</t>
  </si>
  <si>
    <t>SAIL HT-150X150</t>
  </si>
  <si>
    <t>SAL HT-150X150</t>
  </si>
  <si>
    <t>Remaining 97.920 MT qty offered on 30.11.2023</t>
  </si>
  <si>
    <t>Total qty offered on 01.12.2023</t>
  </si>
  <si>
    <t>Total qty offered on 02.12.2023</t>
  </si>
  <si>
    <t>Total qty offered on 03.12.2023</t>
  </si>
  <si>
    <t>20.961 MT qty offered on 03.12.2023 (Rolled Qty only)</t>
  </si>
  <si>
    <t>Toyal qty offered on 03.12.2023.</t>
  </si>
  <si>
    <t>Total qty offered on 04.12.2023</t>
  </si>
  <si>
    <t>Toyal qty offered on 04.12.2023.</t>
  </si>
  <si>
    <t>25.199 MT qty offered on 04.12.2023.</t>
  </si>
  <si>
    <t>60.507 MT qty offered on 04.12.2023.</t>
  </si>
  <si>
    <t>randam length</t>
  </si>
  <si>
    <t>Remaining 39.531 MT qty offered on 05.12.2023.</t>
  </si>
  <si>
    <t>Total qty offered on 05.12.2023.</t>
  </si>
  <si>
    <t>Remaining 60.782 MT qty offered on 05.12.2023.</t>
  </si>
  <si>
    <t>Total qty offered on 06.12.2023.</t>
  </si>
  <si>
    <t>LOI-1232(Jan 01-07)</t>
  </si>
  <si>
    <t>LOI-1230(Jan 01-07)</t>
  </si>
  <si>
    <t>LOI-1231(Jan 01-07)</t>
  </si>
  <si>
    <t>JSP-150 (12 MT)/125X125</t>
  </si>
  <si>
    <t>VIL/402</t>
  </si>
  <si>
    <t>VIL/403</t>
  </si>
  <si>
    <t>VIL/404</t>
  </si>
  <si>
    <t>VIL/404 A</t>
  </si>
  <si>
    <t>VIL/404 B</t>
  </si>
  <si>
    <t>VIL/405</t>
  </si>
  <si>
    <t>VIL/405 A</t>
  </si>
  <si>
    <t>VIL/405 B</t>
  </si>
  <si>
    <t>VIL/406</t>
  </si>
  <si>
    <t>VIL/406 A</t>
  </si>
  <si>
    <t>VIL/407</t>
  </si>
  <si>
    <t>LOI-1193(Dec 01-07)</t>
  </si>
  <si>
    <t>LOI-1228(Dec 24-31)</t>
  </si>
  <si>
    <t>LOI-1229(Jan 01-07)</t>
  </si>
  <si>
    <t>VIL/408</t>
  </si>
  <si>
    <t>VIL/408 A</t>
  </si>
  <si>
    <t>VIL/408 B</t>
  </si>
  <si>
    <t>VIL/408 C</t>
  </si>
  <si>
    <t>VIL/409</t>
  </si>
  <si>
    <t>VIL/410</t>
  </si>
  <si>
    <t>VIL/410 A</t>
  </si>
  <si>
    <t>VIL/411</t>
  </si>
  <si>
    <t>VIL/410 B</t>
  </si>
  <si>
    <t>VIL/411 A</t>
  </si>
  <si>
    <t>VIL/411 B</t>
  </si>
  <si>
    <t>VIL/411 C</t>
  </si>
  <si>
    <t>VIL/412</t>
  </si>
  <si>
    <t>VIL/413</t>
  </si>
  <si>
    <t>VIL/414</t>
  </si>
  <si>
    <t>VIL/415</t>
  </si>
  <si>
    <t>VIL/416</t>
  </si>
  <si>
    <t>VIL/417</t>
  </si>
  <si>
    <t>VIL/407 A</t>
  </si>
  <si>
    <t>VIL/418</t>
  </si>
  <si>
    <t>VIL/418 A</t>
  </si>
  <si>
    <t>VIL/418 B</t>
  </si>
  <si>
    <t>VIL/419</t>
  </si>
  <si>
    <t>VIL/419 A</t>
  </si>
  <si>
    <t>VIL/420</t>
  </si>
  <si>
    <t>VIL/421</t>
  </si>
  <si>
    <t>LOI-1132(Dec 01-07)</t>
  </si>
  <si>
    <t>new rolling</t>
  </si>
  <si>
    <t>5 pcs randam</t>
  </si>
  <si>
    <t>SAIL HT-150X150/JSP-150</t>
  </si>
  <si>
    <t>Total qty offered on 08.12.2023.</t>
  </si>
  <si>
    <t>Total qty offered on 09.12.2023.</t>
  </si>
  <si>
    <t>Total qty offered on 10.12.2023</t>
  </si>
  <si>
    <t>Total qty offered on 11.12.2023</t>
  </si>
  <si>
    <t>VIL/422</t>
  </si>
  <si>
    <t>VIL/422 A</t>
  </si>
  <si>
    <t>VIL/423</t>
  </si>
  <si>
    <t>VIL/424</t>
  </si>
  <si>
    <t>VIL/424 A</t>
  </si>
  <si>
    <t>VIL/425</t>
  </si>
  <si>
    <t>VIL/426</t>
  </si>
  <si>
    <t>VIL/427</t>
  </si>
  <si>
    <t>Total qty offered on 12.12.2023</t>
  </si>
  <si>
    <t>Total qty offered on 13.12.2023</t>
  </si>
  <si>
    <t>LOI-1136(Dec 24-31)</t>
  </si>
  <si>
    <t>INDI GRID</t>
  </si>
  <si>
    <t>BTR - STERLITE</t>
  </si>
  <si>
    <t>LOI-1135(Jan 01-07)</t>
  </si>
  <si>
    <t>LOI-1291(Dec 16-23)</t>
  </si>
  <si>
    <t>NPCC</t>
  </si>
  <si>
    <t>VIL/428</t>
  </si>
  <si>
    <t>VIL/428 A</t>
  </si>
  <si>
    <t>VIL/429</t>
  </si>
  <si>
    <t>VIL/430</t>
  </si>
  <si>
    <t>VIL/431</t>
  </si>
  <si>
    <t>VIL/432</t>
  </si>
  <si>
    <t>VIL/433</t>
  </si>
  <si>
    <t>VIL/434</t>
  </si>
  <si>
    <t>VIL/435</t>
  </si>
  <si>
    <t>LOI-1340(Jan 01-07)</t>
  </si>
  <si>
    <t>ADANI- TESTTOWER</t>
  </si>
  <si>
    <t>VIL/436</t>
  </si>
  <si>
    <t>LOI-1293(Dec 16-23)</t>
  </si>
  <si>
    <t>NCC-ADNOC</t>
  </si>
  <si>
    <t>LOI-1332(Jan 01-07)</t>
  </si>
  <si>
    <t>LOI-1333(Jan 01-07)</t>
  </si>
  <si>
    <t>LOI-1334(Jan 01-07)</t>
  </si>
  <si>
    <t>JSPL HT-150X150(GR 60)</t>
  </si>
  <si>
    <t>MS 130X130X8</t>
  </si>
  <si>
    <t>VIL/437</t>
  </si>
  <si>
    <t>VIL/438</t>
  </si>
  <si>
    <t>VIL/439</t>
  </si>
  <si>
    <t>VIL/440</t>
  </si>
  <si>
    <t>VIL/441</t>
  </si>
  <si>
    <t>VIL/442</t>
  </si>
  <si>
    <t>VIL/442 A</t>
  </si>
  <si>
    <t>VIL/443</t>
  </si>
  <si>
    <t>VIL/444</t>
  </si>
  <si>
    <t>VIL/444 A</t>
  </si>
  <si>
    <t>LOI-1359(Feb 01-07)</t>
  </si>
  <si>
    <t>LOI-1357(Jan 08-15)</t>
  </si>
  <si>
    <t>LOI-1356(Jan 01-07)</t>
  </si>
  <si>
    <t>LOI-1358(Jan 08-15)</t>
  </si>
  <si>
    <t>JSPL HT-150X150(GR 60)/SAIL-150</t>
  </si>
  <si>
    <t>VIL/438 A</t>
  </si>
  <si>
    <t>VIL/438 B</t>
  </si>
  <si>
    <t>VIL/440 A</t>
  </si>
  <si>
    <t>VIL/441 A</t>
  </si>
  <si>
    <t>VIL/441 B</t>
  </si>
  <si>
    <t>Total Qty offered on 16.12.2023</t>
  </si>
  <si>
    <t>Total qty offered on 17.12.2023</t>
  </si>
  <si>
    <t>Total qty offered on 18.12.2023</t>
  </si>
  <si>
    <t>LOI-1339(Jan 01-07)</t>
  </si>
  <si>
    <t>LOI-1338(Jan 01-07)</t>
  </si>
  <si>
    <t xml:space="preserve">randam </t>
  </si>
  <si>
    <t>VIL/445</t>
  </si>
  <si>
    <t>VIL/446</t>
  </si>
  <si>
    <t>VIL/447</t>
  </si>
  <si>
    <t>VIL/448</t>
  </si>
  <si>
    <t>LOI-1359(Jan 01-07)</t>
  </si>
  <si>
    <t>VIL/449</t>
  </si>
  <si>
    <t>VIL/450</t>
  </si>
  <si>
    <t>VIL/451</t>
  </si>
  <si>
    <t>VIL/452</t>
  </si>
  <si>
    <t>VIL/453</t>
  </si>
  <si>
    <t>VIL/453 A</t>
  </si>
  <si>
    <t>VIL/453 B</t>
  </si>
  <si>
    <t xml:space="preserve">STERLITE - BTR </t>
  </si>
  <si>
    <t>ALTERNATE AGAINT 90X5</t>
  </si>
  <si>
    <t>LOI-1131(Jan 01-07)</t>
  </si>
  <si>
    <t>LOI-1137(Jan 01-07)</t>
  </si>
  <si>
    <t>LOI-1138(Jan 01-07)</t>
  </si>
  <si>
    <t>LOI-1337(Jan 01-07)</t>
  </si>
  <si>
    <t>LOI-1341(Jan 01-07)</t>
  </si>
  <si>
    <t>ADANI</t>
  </si>
  <si>
    <t>LOI-1335(Jan 01-07)</t>
  </si>
  <si>
    <t>LOI-1336(Jan 01-07)</t>
  </si>
  <si>
    <t>LOI-1331(Jan 01-07)</t>
  </si>
  <si>
    <t xml:space="preserve">Total qty offered on 19.12.2023 </t>
  </si>
  <si>
    <t>LOI-1190(Jan 01-07)</t>
  </si>
  <si>
    <t>Total qty offered on 22.12.2023</t>
  </si>
  <si>
    <t>VIL/456</t>
  </si>
  <si>
    <t>VIL/457</t>
  </si>
  <si>
    <t>VIL/458</t>
  </si>
  <si>
    <t>VIL/459</t>
  </si>
  <si>
    <t>VIL/460</t>
  </si>
  <si>
    <t>VIL/461</t>
  </si>
  <si>
    <t>VIL/462</t>
  </si>
  <si>
    <t>VIL/463</t>
  </si>
  <si>
    <t>Total qty offered on 15.12.2023</t>
  </si>
  <si>
    <t>Total qty offered on 14.12.2023</t>
  </si>
  <si>
    <t>Total qty offered on 23.12.2023</t>
  </si>
  <si>
    <t>Total qty offered on 24.12.2023</t>
  </si>
  <si>
    <t>VIL/457 A</t>
  </si>
  <si>
    <t>VIL/460 A</t>
  </si>
  <si>
    <t>VIL/460 B</t>
  </si>
  <si>
    <t>VIL/461 A</t>
  </si>
  <si>
    <t>VIL/464</t>
  </si>
  <si>
    <t>VIL/465</t>
  </si>
  <si>
    <t>VIL/465 A</t>
  </si>
  <si>
    <t>LOI-643(Jan 01-07)</t>
  </si>
  <si>
    <t>LOI-1191(Dec 01-07)</t>
  </si>
  <si>
    <t>LOI-1193(Jan 01-07)</t>
  </si>
  <si>
    <t>LOI-1192(Jan 01-07)</t>
  </si>
  <si>
    <t>Total qty offered on 25.12.2023</t>
  </si>
  <si>
    <t>Total qty offered on 26.12.2023</t>
  </si>
  <si>
    <t>Total qty offered on 29.12.2023</t>
  </si>
  <si>
    <t>16.952 MT qty offered on 29.12.2023</t>
  </si>
  <si>
    <t>71.099 MT qty offered on 29.12.2023</t>
  </si>
  <si>
    <t>AUSNET</t>
  </si>
  <si>
    <t>LOI-1396(Jan 08-15)</t>
  </si>
  <si>
    <t>LOI-1397(Feb 01-07)</t>
  </si>
  <si>
    <t>LOI-1359( Feb 01-07)</t>
  </si>
  <si>
    <t>LOI-1395( Feb 01-07)</t>
  </si>
  <si>
    <t>ADANI KUDUS</t>
  </si>
  <si>
    <t>BTR -Zellinskis (High Si)</t>
  </si>
  <si>
    <t>LOI-1358( Jan 01-07)</t>
  </si>
  <si>
    <t>22 BL</t>
  </si>
  <si>
    <t>JSP HT-130X130/90X90(8MT)</t>
  </si>
  <si>
    <t>MS 70X70X5</t>
  </si>
  <si>
    <t>VIL/466</t>
  </si>
  <si>
    <t>VIL/467</t>
  </si>
  <si>
    <t>VIL/467 A</t>
  </si>
  <si>
    <t>VIL/467 B</t>
  </si>
  <si>
    <t>VIL/467 C</t>
  </si>
  <si>
    <t>VIL/468</t>
  </si>
  <si>
    <t>VIL/468 A</t>
  </si>
  <si>
    <t>VIL/468 B</t>
  </si>
  <si>
    <t>VIL/468 C</t>
  </si>
  <si>
    <t>VIL/468 D</t>
  </si>
  <si>
    <t>VIL/469</t>
  </si>
  <si>
    <t>VIL/470</t>
  </si>
  <si>
    <t>VIL/470 A</t>
  </si>
  <si>
    <t>VIL/470 B</t>
  </si>
  <si>
    <t>VIL/470 C</t>
  </si>
  <si>
    <t>VIL/471</t>
  </si>
  <si>
    <t>SAIL HT-230X160</t>
  </si>
  <si>
    <t>LOI-1137(Dec 24-31)</t>
  </si>
  <si>
    <t>LOI-1227(Dec 16-23)</t>
  </si>
  <si>
    <t>NCC-TRANSCO</t>
  </si>
  <si>
    <t>LOI-1441(Jan 01-07)</t>
  </si>
  <si>
    <t>LOI-1398(Feb 01-07)</t>
  </si>
  <si>
    <t>LOI-1132(Jan 01-07)</t>
  </si>
  <si>
    <t>LOI-1357(Jan 01-07)</t>
  </si>
  <si>
    <t>LOI-1399(Feb 01-07)</t>
  </si>
  <si>
    <t>LOI-1396(Feb 01-07)</t>
  </si>
  <si>
    <t>LOI-1397(Jan 01-07)</t>
  </si>
  <si>
    <t>A</t>
  </si>
  <si>
    <t>DSP HT-125/130X130(3 MT)</t>
  </si>
  <si>
    <t>VIL/472</t>
  </si>
  <si>
    <t>VIL/472 A</t>
  </si>
  <si>
    <t>VIL/473</t>
  </si>
  <si>
    <t>VIL/474</t>
  </si>
  <si>
    <t>VIL/475</t>
  </si>
  <si>
    <t>VIL/475 A</t>
  </si>
  <si>
    <t>VIL/476</t>
  </si>
  <si>
    <t>VIL/476 A</t>
  </si>
  <si>
    <t>VIL/477</t>
  </si>
  <si>
    <t>VIL/477 A</t>
  </si>
  <si>
    <t>VIL/477 B</t>
  </si>
  <si>
    <t>VIL/477 C</t>
  </si>
  <si>
    <t>VIL/478</t>
  </si>
  <si>
    <t>VIL/479</t>
  </si>
  <si>
    <t>VIL/480</t>
  </si>
  <si>
    <t>VIL/481</t>
  </si>
  <si>
    <t>VIL/482</t>
  </si>
  <si>
    <t>VIL/483</t>
  </si>
  <si>
    <t>VIL/484</t>
  </si>
  <si>
    <t>VIL/484 A</t>
  </si>
  <si>
    <t>VIL/484 B</t>
  </si>
  <si>
    <t>DMRC</t>
  </si>
  <si>
    <t>LOI-1401(Jan 08-15)</t>
  </si>
  <si>
    <t>LOI-1402(Jan 08-15)</t>
  </si>
  <si>
    <t xml:space="preserve">ZILLINSKIS </t>
  </si>
  <si>
    <t>LOI-1339(fEB 01-07)</t>
  </si>
  <si>
    <t>LOI-1395(Jan 01-07)</t>
  </si>
  <si>
    <t>FROM IR</t>
  </si>
  <si>
    <t>ZILLINSKIS (HIGH SI</t>
  </si>
  <si>
    <t>A572 GR 50</t>
  </si>
  <si>
    <t>A572 GR 36</t>
  </si>
  <si>
    <t>LOI-1395(Jan 01-08)</t>
  </si>
  <si>
    <t>LOI-1136(Jan 01-07)</t>
  </si>
  <si>
    <t>LOI-1402(fEB 01-07)</t>
  </si>
  <si>
    <t>BL</t>
  </si>
  <si>
    <t>DSP HT-125X125/JSP-150</t>
  </si>
  <si>
    <t>VIL/485</t>
  </si>
  <si>
    <t>VIL/485 A</t>
  </si>
  <si>
    <t>VIL/486</t>
  </si>
  <si>
    <t>VIL/486 A</t>
  </si>
  <si>
    <t>VIL/487</t>
  </si>
  <si>
    <t>VIL/488</t>
  </si>
  <si>
    <t>VIL/488 A</t>
  </si>
  <si>
    <t>VIL/489</t>
  </si>
  <si>
    <t>VIL/489 A</t>
  </si>
  <si>
    <t>LOI-1400(Feb 01-07)</t>
  </si>
  <si>
    <t>LOI-1402(Feb 01-07)</t>
  </si>
  <si>
    <t>LOI-1397(Jan 08-15)</t>
  </si>
  <si>
    <t>LOI-1395(Jan 08-15)</t>
  </si>
  <si>
    <t>LOI-1343(Jan 01-07)</t>
  </si>
  <si>
    <t>2pcs BL</t>
  </si>
  <si>
    <t>from new rolling</t>
  </si>
  <si>
    <t>randam</t>
  </si>
  <si>
    <t>10 bl</t>
  </si>
  <si>
    <t>LOI-1452(Jan 08-15)</t>
  </si>
  <si>
    <t>Elsewedy</t>
  </si>
  <si>
    <t>100 mt</t>
  </si>
  <si>
    <t>VIL/474 A</t>
  </si>
  <si>
    <t>BTR -RAILWAY</t>
  </si>
  <si>
    <t>DISPATCHED</t>
  </si>
  <si>
    <t>VIL/490</t>
  </si>
  <si>
    <t>VIL/491</t>
  </si>
  <si>
    <t>VIL/492</t>
  </si>
  <si>
    <t xml:space="preserve">HOLD </t>
  </si>
  <si>
    <t>VIL/493</t>
  </si>
  <si>
    <t>VIL/494</t>
  </si>
  <si>
    <t>VIL/494 A</t>
  </si>
  <si>
    <t>VIL/495</t>
  </si>
  <si>
    <t>VIL/495 A</t>
  </si>
  <si>
    <t>VIL/495 B</t>
  </si>
  <si>
    <t>VIL/496</t>
  </si>
  <si>
    <t>VIL/496 A</t>
  </si>
  <si>
    <t>VIL/496 B</t>
  </si>
  <si>
    <t>VIL/497</t>
  </si>
  <si>
    <t>VIL/498</t>
  </si>
  <si>
    <t>VIL/499</t>
  </si>
  <si>
    <t>VIL/499 A</t>
  </si>
  <si>
    <t>VIL/499 B</t>
  </si>
  <si>
    <t>VIL/499 C</t>
  </si>
  <si>
    <t>VIL/500</t>
  </si>
  <si>
    <t>VIL/500 A</t>
  </si>
  <si>
    <t>VIL/500 B</t>
  </si>
  <si>
    <t>VIL/500 C</t>
  </si>
  <si>
    <t>VIL/501</t>
  </si>
  <si>
    <t>VIL/501 A</t>
  </si>
  <si>
    <t>VIL/502</t>
  </si>
  <si>
    <t>VIL/502 A</t>
  </si>
</sst>
</file>

<file path=xl/styles.xml><?xml version="1.0" encoding="utf-8"?>
<styleSheet xmlns="http://schemas.openxmlformats.org/spreadsheetml/2006/main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"/>
    <numFmt numFmtId="167" formatCode="0.0"/>
    <numFmt numFmtId="169" formatCode="0.0000"/>
    <numFmt numFmtId="170" formatCode="#,##0.000"/>
  </numFmts>
  <fonts count="10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rgb="FF9C5700"/>
      <name val="Calibri"/>
      <family val="2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8"/>
      <color theme="3"/>
      <name val="Cambria"/>
      <family val="2"/>
      <scheme val="major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0"/>
      <name val="Times New Roman"/>
      <family val="1"/>
    </font>
    <font>
      <b/>
      <sz val="11"/>
      <color theme="1"/>
      <name val="Times New Roman"/>
      <family val="1"/>
    </font>
    <font>
      <b/>
      <u/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u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name val="Times New Roman"/>
      <family val="1"/>
    </font>
    <font>
      <b/>
      <sz val="12"/>
      <color rgb="FF203864"/>
      <name val="Calibri"/>
      <family val="2"/>
    </font>
    <font>
      <sz val="12"/>
      <color rgb="FF203864"/>
      <name val="Calibri"/>
      <family val="2"/>
    </font>
    <font>
      <b/>
      <sz val="12"/>
      <color rgb="FF203864"/>
      <name val="Times New Roman"/>
      <family val="1"/>
    </font>
    <font>
      <b/>
      <sz val="11"/>
      <color rgb="FFFF0000"/>
      <name val="Times New Roman"/>
      <family val="1"/>
    </font>
    <font>
      <sz val="10"/>
      <color rgb="FF203864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Copperplate Gothic Bold"/>
      <family val="2"/>
    </font>
    <font>
      <b/>
      <i/>
      <sz val="12"/>
      <name val="Copperplate Gothic Bold"/>
      <family val="2"/>
    </font>
    <font>
      <b/>
      <sz val="11"/>
      <color rgb="FF203864"/>
      <name val="Times New Roman"/>
      <family val="1"/>
    </font>
    <font>
      <sz val="11"/>
      <color rgb="FF203864"/>
      <name val="Times New Roman"/>
      <family val="1"/>
    </font>
    <font>
      <sz val="12"/>
      <color rgb="FF203864"/>
      <name val="Times New Roman"/>
      <family val="1"/>
    </font>
    <font>
      <sz val="11"/>
      <name val="Times New Roman"/>
      <family val="1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rgb="FF222222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color rgb="FF203864"/>
      <name val="Times New Roman"/>
      <family val="1"/>
    </font>
    <font>
      <b/>
      <sz val="14"/>
      <color rgb="FF000000"/>
      <name val="Times New Roman"/>
      <family val="1"/>
    </font>
    <font>
      <sz val="10"/>
      <color rgb="FF222222"/>
      <name val="Arial"/>
      <family val="2"/>
    </font>
    <font>
      <b/>
      <sz val="14"/>
      <color rgb="FFFF0000"/>
      <name val="Times New Roman"/>
      <family val="1"/>
    </font>
    <font>
      <b/>
      <u/>
      <sz val="14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222222"/>
      <name val="Times New Roman"/>
      <family val="1"/>
    </font>
    <font>
      <sz val="10"/>
      <name val="Calibri"/>
      <family val="2"/>
      <scheme val="minor"/>
    </font>
    <font>
      <b/>
      <sz val="14"/>
      <color rgb="FF203864"/>
      <name val="Arial"/>
      <family val="2"/>
    </font>
    <font>
      <sz val="14"/>
      <color rgb="FF203864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sz val="14"/>
      <color rgb="FF000000"/>
      <name val="Arial"/>
      <family val="2"/>
    </font>
    <font>
      <sz val="14"/>
      <color rgb="FF203864"/>
      <name val="Times New Roman"/>
      <family val="1"/>
    </font>
    <font>
      <sz val="14"/>
      <color rgb="FF000000"/>
      <name val="Times New Roman"/>
      <family val="1"/>
    </font>
    <font>
      <b/>
      <sz val="14"/>
      <name val="Arial"/>
      <family val="2"/>
    </font>
    <font>
      <b/>
      <sz val="14"/>
      <color rgb="FF000000"/>
      <name val="Arial"/>
      <family val="2"/>
    </font>
    <font>
      <b/>
      <sz val="14"/>
      <name val="Copperplate Gothic Bold"/>
      <family val="2"/>
    </font>
    <font>
      <b/>
      <i/>
      <sz val="14"/>
      <name val="Copperplate Gothic Bold"/>
      <family val="2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16"/>
      <color theme="1"/>
      <name val="Times New Roman"/>
      <family val="1"/>
    </font>
    <font>
      <sz val="12"/>
      <color rgb="FF203864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222222"/>
      <name val="Arial"/>
      <family val="2"/>
    </font>
    <font>
      <b/>
      <sz val="18"/>
      <color theme="1"/>
      <name val="Calibri"/>
      <family val="2"/>
      <scheme val="minor"/>
    </font>
  </fonts>
  <fills count="7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36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39" borderId="0" applyNumberFormat="0" applyBorder="0" applyAlignment="0" applyProtection="0"/>
    <xf numFmtId="0" fontId="6" fillId="39" borderId="0" applyNumberFormat="0" applyBorder="0" applyAlignment="0" applyProtection="0"/>
    <xf numFmtId="0" fontId="6" fillId="39" borderId="0" applyNumberFormat="0" applyBorder="0" applyAlignment="0" applyProtection="0"/>
    <xf numFmtId="0" fontId="6" fillId="39" borderId="0" applyNumberFormat="0" applyBorder="0" applyAlignment="0" applyProtection="0"/>
    <xf numFmtId="0" fontId="6" fillId="39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42" borderId="20" applyNumberFormat="0" applyAlignment="0" applyProtection="0"/>
    <xf numFmtId="0" fontId="8" fillId="42" borderId="20" applyNumberFormat="0" applyAlignment="0" applyProtection="0"/>
    <xf numFmtId="0" fontId="8" fillId="42" borderId="20" applyNumberFormat="0" applyAlignment="0" applyProtection="0"/>
    <xf numFmtId="0" fontId="8" fillId="42" borderId="20" applyNumberFormat="0" applyAlignment="0" applyProtection="0"/>
    <xf numFmtId="0" fontId="8" fillId="42" borderId="20" applyNumberFormat="0" applyAlignment="0" applyProtection="0"/>
    <xf numFmtId="0" fontId="8" fillId="42" borderId="20" applyNumberFormat="0" applyAlignment="0" applyProtection="0"/>
    <xf numFmtId="0" fontId="9" fillId="43" borderId="21" applyNumberFormat="0" applyAlignment="0" applyProtection="0"/>
    <xf numFmtId="0" fontId="9" fillId="43" borderId="21" applyNumberFormat="0" applyAlignment="0" applyProtection="0"/>
    <xf numFmtId="0" fontId="9" fillId="43" borderId="21" applyNumberFormat="0" applyAlignment="0" applyProtection="0"/>
    <xf numFmtId="0" fontId="9" fillId="43" borderId="21" applyNumberFormat="0" applyAlignment="0" applyProtection="0"/>
    <xf numFmtId="0" fontId="9" fillId="43" borderId="21" applyNumberFormat="0" applyAlignment="0" applyProtection="0"/>
    <xf numFmtId="0" fontId="9" fillId="43" borderId="21" applyNumberFormat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3" fillId="0" borderId="23" applyNumberFormat="0" applyFill="0" applyAlignment="0" applyProtection="0"/>
    <xf numFmtId="0" fontId="13" fillId="0" borderId="23" applyNumberFormat="0" applyFill="0" applyAlignment="0" applyProtection="0"/>
    <xf numFmtId="0" fontId="13" fillId="0" borderId="23" applyNumberFormat="0" applyFill="0" applyAlignment="0" applyProtection="0"/>
    <xf numFmtId="0" fontId="13" fillId="0" borderId="23" applyNumberFormat="0" applyFill="0" applyAlignment="0" applyProtection="0"/>
    <xf numFmtId="0" fontId="13" fillId="0" borderId="23" applyNumberFormat="0" applyFill="0" applyAlignment="0" applyProtection="0"/>
    <xf numFmtId="0" fontId="13" fillId="0" borderId="23" applyNumberFormat="0" applyFill="0" applyAlignment="0" applyProtection="0"/>
    <xf numFmtId="0" fontId="14" fillId="0" borderId="24" applyNumberFormat="0" applyFill="0" applyAlignment="0" applyProtection="0"/>
    <xf numFmtId="0" fontId="14" fillId="0" borderId="24" applyNumberFormat="0" applyFill="0" applyAlignment="0" applyProtection="0"/>
    <xf numFmtId="0" fontId="14" fillId="0" borderId="24" applyNumberFormat="0" applyFill="0" applyAlignment="0" applyProtection="0"/>
    <xf numFmtId="0" fontId="14" fillId="0" borderId="24" applyNumberFormat="0" applyFill="0" applyAlignment="0" applyProtection="0"/>
    <xf numFmtId="0" fontId="14" fillId="0" borderId="24" applyNumberFormat="0" applyFill="0" applyAlignment="0" applyProtection="0"/>
    <xf numFmtId="0" fontId="14" fillId="0" borderId="24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20" applyNumberFormat="0" applyAlignment="0" applyProtection="0"/>
    <xf numFmtId="0" fontId="15" fillId="29" borderId="20" applyNumberFormat="0" applyAlignment="0" applyProtection="0"/>
    <xf numFmtId="0" fontId="15" fillId="29" borderId="20" applyNumberFormat="0" applyAlignment="0" applyProtection="0"/>
    <xf numFmtId="0" fontId="15" fillId="29" borderId="20" applyNumberFormat="0" applyAlignment="0" applyProtection="0"/>
    <xf numFmtId="0" fontId="15" fillId="29" borderId="20" applyNumberFormat="0" applyAlignment="0" applyProtection="0"/>
    <xf numFmtId="0" fontId="15" fillId="29" borderId="20" applyNumberFormat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3" fillId="45" borderId="26" applyNumberFormat="0" applyFont="0" applyAlignment="0" applyProtection="0"/>
    <xf numFmtId="0" fontId="3" fillId="45" borderId="26" applyNumberFormat="0" applyFont="0" applyAlignment="0" applyProtection="0"/>
    <xf numFmtId="0" fontId="3" fillId="45" borderId="26" applyNumberFormat="0" applyFont="0" applyAlignment="0" applyProtection="0"/>
    <xf numFmtId="0" fontId="3" fillId="45" borderId="26" applyNumberFormat="0" applyFont="0" applyAlignment="0" applyProtection="0"/>
    <xf numFmtId="0" fontId="3" fillId="45" borderId="26" applyNumberFormat="0" applyFont="0" applyAlignment="0" applyProtection="0"/>
    <xf numFmtId="0" fontId="3" fillId="45" borderId="26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9" fillId="42" borderId="27" applyNumberFormat="0" applyAlignment="0" applyProtection="0"/>
    <xf numFmtId="0" fontId="19" fillId="42" borderId="27" applyNumberFormat="0" applyAlignment="0" applyProtection="0"/>
    <xf numFmtId="0" fontId="19" fillId="42" borderId="27" applyNumberFormat="0" applyAlignment="0" applyProtection="0"/>
    <xf numFmtId="0" fontId="19" fillId="42" borderId="27" applyNumberFormat="0" applyAlignment="0" applyProtection="0"/>
    <xf numFmtId="0" fontId="19" fillId="42" borderId="27" applyNumberFormat="0" applyAlignment="0" applyProtection="0"/>
    <xf numFmtId="0" fontId="19" fillId="42" borderId="27" applyNumberForma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28" applyNumberFormat="0" applyFill="0" applyAlignment="0" applyProtection="0"/>
    <xf numFmtId="0" fontId="22" fillId="0" borderId="28" applyNumberFormat="0" applyFill="0" applyAlignment="0" applyProtection="0"/>
    <xf numFmtId="0" fontId="22" fillId="0" borderId="28" applyNumberFormat="0" applyFill="0" applyAlignment="0" applyProtection="0"/>
    <xf numFmtId="0" fontId="22" fillId="0" borderId="28" applyNumberFormat="0" applyFill="0" applyAlignment="0" applyProtection="0"/>
    <xf numFmtId="0" fontId="22" fillId="0" borderId="28" applyNumberFormat="0" applyFill="0" applyAlignment="0" applyProtection="0"/>
    <xf numFmtId="0" fontId="22" fillId="0" borderId="28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2" fillId="0" borderId="0"/>
    <xf numFmtId="0" fontId="25" fillId="0" borderId="0" applyNumberFormat="0" applyFill="0" applyBorder="0" applyAlignment="0" applyProtection="0"/>
    <xf numFmtId="0" fontId="26" fillId="0" borderId="29" applyNumberFormat="0" applyFill="0" applyAlignment="0" applyProtection="0"/>
    <xf numFmtId="0" fontId="27" fillId="0" borderId="30" applyNumberFormat="0" applyFill="0" applyAlignment="0" applyProtection="0"/>
    <xf numFmtId="0" fontId="28" fillId="0" borderId="31" applyNumberFormat="0" applyFill="0" applyAlignment="0" applyProtection="0"/>
    <xf numFmtId="0" fontId="28" fillId="0" borderId="0" applyNumberFormat="0" applyFill="0" applyBorder="0" applyAlignment="0" applyProtection="0"/>
    <xf numFmtId="0" fontId="29" fillId="46" borderId="0" applyNumberFormat="0" applyBorder="0" applyAlignment="0" applyProtection="0"/>
    <xf numFmtId="0" fontId="30" fillId="47" borderId="0" applyNumberFormat="0" applyBorder="0" applyAlignment="0" applyProtection="0"/>
    <xf numFmtId="0" fontId="31" fillId="2" borderId="0" applyNumberFormat="0" applyBorder="0" applyAlignment="0" applyProtection="0"/>
    <xf numFmtId="0" fontId="32" fillId="48" borderId="32" applyNumberFormat="0" applyAlignment="0" applyProtection="0"/>
    <xf numFmtId="0" fontId="33" fillId="49" borderId="33" applyNumberFormat="0" applyAlignment="0" applyProtection="0"/>
    <xf numFmtId="0" fontId="34" fillId="49" borderId="32" applyNumberFormat="0" applyAlignment="0" applyProtection="0"/>
    <xf numFmtId="0" fontId="35" fillId="0" borderId="34" applyNumberFormat="0" applyFill="0" applyAlignment="0" applyProtection="0"/>
    <xf numFmtId="0" fontId="36" fillId="50" borderId="35" applyNumberFormat="0" applyAlignment="0" applyProtection="0"/>
    <xf numFmtId="0" fontId="37" fillId="0" borderId="0" applyNumberFormat="0" applyFill="0" applyBorder="0" applyAlignment="0" applyProtection="0"/>
    <xf numFmtId="0" fontId="1" fillId="3" borderId="1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36" applyNumberFormat="0" applyFill="0" applyAlignment="0" applyProtection="0"/>
    <xf numFmtId="0" fontId="40" fillId="51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52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53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5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5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5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0" fillId="21" borderId="0" applyNumberFormat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03">
    <xf numFmtId="0" fontId="0" fillId="0" borderId="0" xfId="0"/>
    <xf numFmtId="0" fontId="41" fillId="0" borderId="0" xfId="0" applyFont="1" applyFill="1"/>
    <xf numFmtId="0" fontId="24" fillId="0" borderId="0" xfId="0" applyFont="1" applyFill="1"/>
    <xf numFmtId="0" fontId="24" fillId="0" borderId="0" xfId="0" applyFont="1" applyFill="1" applyAlignment="1">
      <alignment horizontal="center"/>
    </xf>
    <xf numFmtId="2" fontId="24" fillId="0" borderId="0" xfId="0" applyNumberFormat="1" applyFont="1" applyFill="1" applyAlignment="1">
      <alignment horizontal="center"/>
    </xf>
    <xf numFmtId="166" fontId="24" fillId="0" borderId="0" xfId="0" applyNumberFormat="1" applyFont="1" applyFill="1"/>
    <xf numFmtId="0" fontId="4" fillId="22" borderId="2" xfId="0" applyFont="1" applyFill="1" applyBorder="1" applyAlignment="1">
      <alignment horizontal="center" vertical="center"/>
    </xf>
    <xf numFmtId="0" fontId="42" fillId="22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top" wrapText="1"/>
    </xf>
    <xf numFmtId="0" fontId="42" fillId="22" borderId="2" xfId="0" applyFont="1" applyFill="1" applyBorder="1"/>
    <xf numFmtId="0" fontId="43" fillId="0" borderId="2" xfId="1279" applyFont="1" applyFill="1" applyBorder="1"/>
    <xf numFmtId="0" fontId="4" fillId="0" borderId="2" xfId="1279" applyFont="1" applyFill="1" applyBorder="1"/>
    <xf numFmtId="0" fontId="4" fillId="0" borderId="2" xfId="1279" applyFont="1" applyFill="1" applyBorder="1" applyAlignment="1">
      <alignment horizontal="center"/>
    </xf>
    <xf numFmtId="2" fontId="4" fillId="0" borderId="2" xfId="1279" applyNumberFormat="1" applyFont="1" applyFill="1" applyBorder="1" applyAlignment="1">
      <alignment horizontal="center"/>
    </xf>
    <xf numFmtId="0" fontId="4" fillId="0" borderId="39" xfId="1279" applyFont="1" applyFill="1" applyBorder="1"/>
    <xf numFmtId="0" fontId="4" fillId="0" borderId="39" xfId="1279" applyFont="1" applyFill="1" applyBorder="1" applyAlignment="1">
      <alignment horizontal="left"/>
    </xf>
    <xf numFmtId="0" fontId="4" fillId="0" borderId="39" xfId="1279" applyFont="1" applyFill="1" applyBorder="1" applyAlignment="1">
      <alignment horizontal="center"/>
    </xf>
    <xf numFmtId="2" fontId="4" fillId="0" borderId="39" xfId="1279" applyNumberFormat="1" applyFont="1" applyFill="1" applyBorder="1" applyAlignment="1">
      <alignment horizontal="center"/>
    </xf>
    <xf numFmtId="0" fontId="42" fillId="0" borderId="2" xfId="0" applyFont="1" applyBorder="1"/>
    <xf numFmtId="0" fontId="4" fillId="0" borderId="43" xfId="1279" applyFont="1" applyFill="1" applyBorder="1"/>
    <xf numFmtId="0" fontId="46" fillId="0" borderId="2" xfId="0" applyFont="1" applyBorder="1"/>
    <xf numFmtId="0" fontId="45" fillId="22" borderId="2" xfId="0" applyFont="1" applyFill="1" applyBorder="1" applyAlignment="1">
      <alignment horizontal="center" vertical="center"/>
    </xf>
    <xf numFmtId="0" fontId="46" fillId="22" borderId="2" xfId="0" applyFont="1" applyFill="1" applyBorder="1" applyAlignment="1">
      <alignment horizontal="center"/>
    </xf>
    <xf numFmtId="166" fontId="46" fillId="0" borderId="2" xfId="0" applyNumberFormat="1" applyFont="1" applyBorder="1"/>
    <xf numFmtId="2" fontId="46" fillId="0" borderId="2" xfId="0" applyNumberFormat="1" applyFont="1" applyBorder="1"/>
    <xf numFmtId="1" fontId="46" fillId="0" borderId="2" xfId="0" applyNumberFormat="1" applyFont="1" applyBorder="1"/>
    <xf numFmtId="166" fontId="47" fillId="22" borderId="6" xfId="1278" applyNumberFormat="1" applyFont="1" applyFill="1" applyBorder="1" applyAlignment="1">
      <alignment horizontal="center"/>
    </xf>
    <xf numFmtId="0" fontId="45" fillId="0" borderId="2" xfId="0" applyFont="1" applyFill="1" applyBorder="1"/>
    <xf numFmtId="0" fontId="45" fillId="0" borderId="2" xfId="0" applyFont="1" applyFill="1" applyBorder="1" applyAlignment="1">
      <alignment horizontal="left"/>
    </xf>
    <xf numFmtId="0" fontId="45" fillId="0" borderId="2" xfId="0" applyFont="1" applyFill="1" applyBorder="1" applyAlignment="1">
      <alignment horizontal="center"/>
    </xf>
    <xf numFmtId="2" fontId="45" fillId="0" borderId="2" xfId="0" applyNumberFormat="1" applyFont="1" applyFill="1" applyBorder="1" applyAlignment="1">
      <alignment horizontal="center"/>
    </xf>
    <xf numFmtId="166" fontId="45" fillId="0" borderId="2" xfId="0" applyNumberFormat="1" applyFont="1" applyFill="1" applyBorder="1" applyAlignment="1">
      <alignment horizontal="center"/>
    </xf>
    <xf numFmtId="0" fontId="45" fillId="0" borderId="2" xfId="0" applyFont="1" applyFill="1" applyBorder="1" applyAlignment="1">
      <alignment horizontal="left" vertical="top"/>
    </xf>
    <xf numFmtId="0" fontId="45" fillId="0" borderId="2" xfId="0" applyFont="1" applyFill="1" applyBorder="1" applyAlignment="1">
      <alignment horizontal="center" vertical="top" wrapText="1"/>
    </xf>
    <xf numFmtId="0" fontId="45" fillId="0" borderId="2" xfId="0" applyFont="1" applyFill="1" applyBorder="1" applyAlignment="1">
      <alignment horizontal="center" vertical="top"/>
    </xf>
    <xf numFmtId="2" fontId="45" fillId="0" borderId="2" xfId="0" applyNumberFormat="1" applyFont="1" applyFill="1" applyBorder="1" applyAlignment="1">
      <alignment horizontal="center" vertical="top"/>
    </xf>
    <xf numFmtId="166" fontId="45" fillId="0" borderId="2" xfId="0" applyNumberFormat="1" applyFont="1" applyFill="1" applyBorder="1" applyAlignment="1">
      <alignment horizontal="center" vertical="top"/>
    </xf>
    <xf numFmtId="0" fontId="46" fillId="22" borderId="2" xfId="0" applyFont="1" applyFill="1" applyBorder="1"/>
    <xf numFmtId="0" fontId="45" fillId="0" borderId="6" xfId="1278" applyFont="1" applyFill="1" applyBorder="1" applyAlignment="1">
      <alignment horizontal="center"/>
    </xf>
    <xf numFmtId="0" fontId="47" fillId="0" borderId="14" xfId="1278" applyFont="1" applyFill="1" applyBorder="1" applyAlignment="1">
      <alignment horizontal="center"/>
    </xf>
    <xf numFmtId="0" fontId="47" fillId="0" borderId="15" xfId="1278" applyFont="1" applyFill="1" applyBorder="1" applyAlignment="1">
      <alignment horizontal="center"/>
    </xf>
    <xf numFmtId="0" fontId="45" fillId="0" borderId="9" xfId="1279" applyFont="1" applyFill="1" applyBorder="1"/>
    <xf numFmtId="0" fontId="45" fillId="0" borderId="10" xfId="1279" applyFont="1" applyFill="1" applyBorder="1"/>
    <xf numFmtId="0" fontId="45" fillId="0" borderId="11" xfId="1279" applyFont="1" applyFill="1" applyBorder="1"/>
    <xf numFmtId="0" fontId="45" fillId="0" borderId="11" xfId="1279" applyFont="1" applyFill="1" applyBorder="1" applyAlignment="1">
      <alignment horizontal="center"/>
    </xf>
    <xf numFmtId="0" fontId="45" fillId="0" borderId="12" xfId="1279" applyFont="1" applyFill="1" applyBorder="1"/>
    <xf numFmtId="0" fontId="45" fillId="0" borderId="10" xfId="1279" applyFont="1" applyFill="1" applyBorder="1" applyAlignment="1">
      <alignment horizontal="center"/>
    </xf>
    <xf numFmtId="0" fontId="45" fillId="0" borderId="13" xfId="1279" applyFont="1" applyFill="1" applyBorder="1"/>
    <xf numFmtId="0" fontId="45" fillId="0" borderId="14" xfId="1279" applyFont="1" applyFill="1" applyBorder="1"/>
    <xf numFmtId="0" fontId="45" fillId="0" borderId="15" xfId="1279" applyFont="1" applyFill="1" applyBorder="1"/>
    <xf numFmtId="0" fontId="45" fillId="0" borderId="15" xfId="1279" applyFont="1" applyFill="1" applyBorder="1" applyAlignment="1">
      <alignment horizontal="center"/>
    </xf>
    <xf numFmtId="0" fontId="45" fillId="0" borderId="16" xfId="1279" applyFont="1" applyFill="1" applyBorder="1"/>
    <xf numFmtId="0" fontId="45" fillId="0" borderId="14" xfId="1279" applyFont="1" applyFill="1" applyBorder="1" applyAlignment="1">
      <alignment horizontal="center"/>
    </xf>
    <xf numFmtId="0" fontId="47" fillId="0" borderId="10" xfId="1279" applyFont="1" applyFill="1" applyBorder="1"/>
    <xf numFmtId="0" fontId="45" fillId="0" borderId="7" xfId="1279" applyFont="1" applyFill="1" applyBorder="1"/>
    <xf numFmtId="0" fontId="45" fillId="0" borderId="0" xfId="1279" applyFont="1" applyFill="1" applyBorder="1"/>
    <xf numFmtId="0" fontId="45" fillId="0" borderId="0" xfId="1279" applyFont="1" applyFill="1" applyBorder="1" applyAlignment="1"/>
    <xf numFmtId="0" fontId="45" fillId="0" borderId="2" xfId="1279" applyFont="1" applyFill="1" applyBorder="1" applyAlignment="1">
      <alignment horizontal="center" vertical="top"/>
    </xf>
    <xf numFmtId="0" fontId="45" fillId="0" borderId="42" xfId="1279" applyFont="1" applyFill="1" applyBorder="1" applyAlignment="1">
      <alignment horizontal="center"/>
    </xf>
    <xf numFmtId="0" fontId="44" fillId="0" borderId="0" xfId="1279" applyFont="1" applyFill="1" applyBorder="1" applyAlignment="1">
      <alignment horizontal="center"/>
    </xf>
    <xf numFmtId="2" fontId="44" fillId="0" borderId="0" xfId="1279" applyNumberFormat="1" applyFont="1" applyFill="1" applyBorder="1" applyAlignment="1">
      <alignment horizontal="center"/>
    </xf>
    <xf numFmtId="2" fontId="44" fillId="0" borderId="0" xfId="1279" applyNumberFormat="1" applyFont="1" applyFill="1" applyBorder="1"/>
    <xf numFmtId="0" fontId="45" fillId="0" borderId="7" xfId="1279" applyFont="1" applyFill="1" applyBorder="1" applyAlignment="1"/>
    <xf numFmtId="0" fontId="45" fillId="23" borderId="2" xfId="0" applyFont="1" applyFill="1" applyBorder="1" applyAlignment="1">
      <alignment horizontal="center" vertical="center"/>
    </xf>
    <xf numFmtId="0" fontId="39" fillId="0" borderId="0" xfId="0" applyFont="1"/>
    <xf numFmtId="0" fontId="48" fillId="0" borderId="2" xfId="0" applyFont="1" applyBorder="1"/>
    <xf numFmtId="166" fontId="48" fillId="0" borderId="2" xfId="0" applyNumberFormat="1" applyFont="1" applyBorder="1"/>
    <xf numFmtId="0" fontId="39" fillId="0" borderId="5" xfId="0" applyFont="1" applyBorder="1"/>
    <xf numFmtId="0" fontId="45" fillId="0" borderId="0" xfId="1279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166" fontId="42" fillId="0" borderId="2" xfId="0" applyNumberFormat="1" applyFont="1" applyBorder="1" applyAlignment="1">
      <alignment horizontal="right" vertical="center"/>
    </xf>
    <xf numFmtId="0" fontId="42" fillId="0" borderId="2" xfId="0" applyFont="1" applyBorder="1" applyAlignment="1">
      <alignment horizontal="right" vertical="center"/>
    </xf>
    <xf numFmtId="166" fontId="42" fillId="0" borderId="2" xfId="0" applyNumberFormat="1" applyFont="1" applyBorder="1"/>
    <xf numFmtId="0" fontId="4" fillId="23" borderId="2" xfId="0" applyFont="1" applyFill="1" applyBorder="1" applyAlignment="1">
      <alignment horizontal="center" vertical="center"/>
    </xf>
    <xf numFmtId="0" fontId="42" fillId="0" borderId="2" xfId="0" applyFont="1" applyBorder="1" applyAlignment="1">
      <alignment vertical="center"/>
    </xf>
    <xf numFmtId="166" fontId="45" fillId="0" borderId="2" xfId="0" applyNumberFormat="1" applyFont="1" applyFill="1" applyBorder="1" applyAlignment="1">
      <alignment horizontal="right" vertical="top" wrapText="1"/>
    </xf>
    <xf numFmtId="1" fontId="42" fillId="0" borderId="2" xfId="0" applyNumberFormat="1" applyFont="1" applyBorder="1"/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0" fontId="45" fillId="0" borderId="0" xfId="1279" applyFont="1" applyFill="1" applyBorder="1" applyAlignment="1">
      <alignment horizontal="center"/>
    </xf>
    <xf numFmtId="0" fontId="4" fillId="0" borderId="2" xfId="1279" applyFont="1" applyFill="1" applyBorder="1" applyAlignment="1">
      <alignment horizontal="center"/>
    </xf>
    <xf numFmtId="166" fontId="42" fillId="22" borderId="2" xfId="0" applyNumberFormat="1" applyFont="1" applyFill="1" applyBorder="1"/>
    <xf numFmtId="0" fontId="42" fillId="23" borderId="2" xfId="0" applyFont="1" applyFill="1" applyBorder="1" applyAlignment="1">
      <alignment horizontal="center"/>
    </xf>
    <xf numFmtId="0" fontId="42" fillId="23" borderId="2" xfId="0" applyFont="1" applyFill="1" applyBorder="1" applyAlignment="1">
      <alignment vertical="center"/>
    </xf>
    <xf numFmtId="166" fontId="42" fillId="23" borderId="2" xfId="0" applyNumberFormat="1" applyFont="1" applyFill="1" applyBorder="1" applyAlignment="1">
      <alignment horizontal="right" vertical="center"/>
    </xf>
    <xf numFmtId="0" fontId="42" fillId="23" borderId="2" xfId="0" applyFont="1" applyFill="1" applyBorder="1" applyAlignment="1">
      <alignment horizontal="right" vertical="center"/>
    </xf>
    <xf numFmtId="0" fontId="42" fillId="23" borderId="2" xfId="0" applyFont="1" applyFill="1" applyBorder="1"/>
    <xf numFmtId="1" fontId="42" fillId="22" borderId="2" xfId="0" applyNumberFormat="1" applyFont="1" applyFill="1" applyBorder="1"/>
    <xf numFmtId="166" fontId="45" fillId="22" borderId="2" xfId="0" applyNumberFormat="1" applyFont="1" applyFill="1" applyBorder="1" applyAlignment="1">
      <alignment horizontal="right"/>
    </xf>
    <xf numFmtId="1" fontId="48" fillId="0" borderId="2" xfId="0" applyNumberFormat="1" applyFont="1" applyBorder="1"/>
    <xf numFmtId="2" fontId="48" fillId="0" borderId="2" xfId="0" applyNumberFormat="1" applyFont="1" applyBorder="1"/>
    <xf numFmtId="0" fontId="50" fillId="0" borderId="2" xfId="0" applyFont="1" applyBorder="1"/>
    <xf numFmtId="1" fontId="46" fillId="0" borderId="2" xfId="0" applyNumberFormat="1" applyFont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0" fontId="45" fillId="0" borderId="0" xfId="1279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0" fillId="0" borderId="2" xfId="0" applyBorder="1"/>
    <xf numFmtId="166" fontId="50" fillId="0" borderId="2" xfId="0" applyNumberFormat="1" applyFont="1" applyBorder="1"/>
    <xf numFmtId="0" fontId="46" fillId="0" borderId="39" xfId="0" applyFont="1" applyBorder="1"/>
    <xf numFmtId="2" fontId="46" fillId="0" borderId="2" xfId="0" applyNumberFormat="1" applyFont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22" borderId="2" xfId="0" applyFont="1" applyFill="1" applyBorder="1" applyAlignment="1">
      <alignment horizontal="center" vertical="top"/>
    </xf>
    <xf numFmtId="2" fontId="45" fillId="22" borderId="2" xfId="0" applyNumberFormat="1" applyFont="1" applyFill="1" applyBorder="1" applyAlignment="1">
      <alignment horizontal="center" vertical="top"/>
    </xf>
    <xf numFmtId="166" fontId="46" fillId="22" borderId="2" xfId="0" applyNumberFormat="1" applyFont="1" applyFill="1" applyBorder="1" applyAlignment="1">
      <alignment horizontal="center" vertical="center"/>
    </xf>
    <xf numFmtId="166" fontId="45" fillId="22" borderId="2" xfId="0" applyNumberFormat="1" applyFont="1" applyFill="1" applyBorder="1" applyAlignment="1">
      <alignment horizontal="center" vertical="top"/>
    </xf>
    <xf numFmtId="0" fontId="48" fillId="22" borderId="2" xfId="0" applyFont="1" applyFill="1" applyBorder="1"/>
    <xf numFmtId="166" fontId="46" fillId="0" borderId="2" xfId="0" applyNumberFormat="1" applyFont="1" applyBorder="1" applyAlignment="1">
      <alignment horizontal="right"/>
    </xf>
    <xf numFmtId="0" fontId="52" fillId="0" borderId="2" xfId="0" applyFont="1" applyBorder="1"/>
    <xf numFmtId="166" fontId="0" fillId="0" borderId="0" xfId="0" applyNumberFormat="1"/>
    <xf numFmtId="0" fontId="49" fillId="0" borderId="2" xfId="0" applyFont="1" applyBorder="1" applyAlignment="1">
      <alignment horizontal="center"/>
    </xf>
    <xf numFmtId="166" fontId="46" fillId="0" borderId="2" xfId="0" applyNumberFormat="1" applyFont="1" applyBorder="1" applyAlignment="1">
      <alignment horizontal="center"/>
    </xf>
    <xf numFmtId="166" fontId="42" fillId="0" borderId="2" xfId="0" applyNumberFormat="1" applyFont="1" applyBorder="1" applyAlignment="1">
      <alignment horizontal="center"/>
    </xf>
    <xf numFmtId="166" fontId="45" fillId="22" borderId="2" xfId="0" applyNumberFormat="1" applyFont="1" applyFill="1" applyBorder="1" applyAlignment="1">
      <alignment horizontal="center"/>
    </xf>
    <xf numFmtId="0" fontId="46" fillId="0" borderId="2" xfId="0" applyFont="1" applyBorder="1" applyAlignment="1">
      <alignment horizontal="center"/>
    </xf>
    <xf numFmtId="166" fontId="46" fillId="0" borderId="39" xfId="0" applyNumberFormat="1" applyFont="1" applyBorder="1" applyAlignment="1">
      <alignment horizontal="center"/>
    </xf>
    <xf numFmtId="166" fontId="39" fillId="0" borderId="2" xfId="0" applyNumberFormat="1" applyFont="1" applyBorder="1"/>
    <xf numFmtId="166" fontId="46" fillId="0" borderId="0" xfId="0" applyNumberFormat="1" applyFont="1" applyBorder="1"/>
    <xf numFmtId="1" fontId="46" fillId="0" borderId="0" xfId="0" applyNumberFormat="1" applyFont="1" applyBorder="1"/>
    <xf numFmtId="0" fontId="46" fillId="0" borderId="37" xfId="0" applyFont="1" applyBorder="1"/>
    <xf numFmtId="0" fontId="45" fillId="22" borderId="37" xfId="0" applyFont="1" applyFill="1" applyBorder="1" applyAlignment="1">
      <alignment horizontal="center" vertical="center"/>
    </xf>
    <xf numFmtId="166" fontId="46" fillId="0" borderId="37" xfId="0" applyNumberFormat="1" applyFont="1" applyBorder="1"/>
    <xf numFmtId="1" fontId="46" fillId="0" borderId="37" xfId="0" applyNumberFormat="1" applyFont="1" applyBorder="1"/>
    <xf numFmtId="1" fontId="39" fillId="0" borderId="2" xfId="0" applyNumberFormat="1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46" fillId="59" borderId="2" xfId="0" applyFont="1" applyFill="1" applyBorder="1"/>
    <xf numFmtId="166" fontId="46" fillId="59" borderId="2" xfId="0" applyNumberFormat="1" applyFont="1" applyFill="1" applyBorder="1"/>
    <xf numFmtId="166" fontId="48" fillId="59" borderId="2" xfId="0" applyNumberFormat="1" applyFont="1" applyFill="1" applyBorder="1"/>
    <xf numFmtId="0" fontId="48" fillId="59" borderId="2" xfId="0" applyFont="1" applyFill="1" applyBorder="1"/>
    <xf numFmtId="0" fontId="42" fillId="59" borderId="2" xfId="0" applyFont="1" applyFill="1" applyBorder="1" applyAlignment="1">
      <alignment vertical="center"/>
    </xf>
    <xf numFmtId="0" fontId="48" fillId="60" borderId="2" xfId="0" applyFont="1" applyFill="1" applyBorder="1"/>
    <xf numFmtId="0" fontId="39" fillId="0" borderId="2" xfId="0" applyFont="1" applyBorder="1"/>
    <xf numFmtId="0" fontId="0" fillId="22" borderId="0" xfId="0" applyFill="1"/>
    <xf numFmtId="166" fontId="4" fillId="22" borderId="2" xfId="0" applyNumberFormat="1" applyFont="1" applyFill="1" applyBorder="1" applyAlignment="1">
      <alignment horizontal="center"/>
    </xf>
    <xf numFmtId="0" fontId="42" fillId="0" borderId="2" xfId="0" applyFont="1" applyBorder="1" applyAlignment="1">
      <alignment horizontal="center"/>
    </xf>
    <xf numFmtId="1" fontId="42" fillId="0" borderId="2" xfId="0" applyNumberFormat="1" applyFont="1" applyBorder="1" applyAlignment="1">
      <alignment horizontal="center"/>
    </xf>
    <xf numFmtId="1" fontId="46" fillId="0" borderId="2" xfId="0" applyNumberFormat="1" applyFont="1" applyBorder="1" applyAlignment="1">
      <alignment horizontal="right"/>
    </xf>
    <xf numFmtId="0" fontId="46" fillId="0" borderId="0" xfId="0" applyFont="1" applyBorder="1"/>
    <xf numFmtId="166" fontId="46" fillId="0" borderId="0" xfId="0" applyNumberFormat="1" applyFont="1" applyBorder="1" applyAlignment="1">
      <alignment horizontal="center"/>
    </xf>
    <xf numFmtId="167" fontId="46" fillId="0" borderId="2" xfId="0" applyNumberFormat="1" applyFont="1" applyBorder="1"/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0" fontId="45" fillId="0" borderId="0" xfId="1279" applyFont="1" applyFill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54" fillId="61" borderId="2" xfId="0" applyFont="1" applyFill="1" applyBorder="1" applyAlignment="1">
      <alignment wrapText="1"/>
    </xf>
    <xf numFmtId="0" fontId="55" fillId="61" borderId="2" xfId="0" applyFont="1" applyFill="1" applyBorder="1" applyAlignment="1">
      <alignment horizontal="right" wrapText="1"/>
    </xf>
    <xf numFmtId="0" fontId="56" fillId="61" borderId="2" xfId="0" applyFont="1" applyFill="1" applyBorder="1" applyAlignment="1">
      <alignment horizontal="right" wrapText="1"/>
    </xf>
    <xf numFmtId="1" fontId="0" fillId="0" borderId="0" xfId="0" applyNumberFormat="1"/>
    <xf numFmtId="0" fontId="45" fillId="0" borderId="0" xfId="1279" applyFont="1" applyFill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0" fillId="0" borderId="0" xfId="0" applyAlignment="1">
      <alignment horizontal="right"/>
    </xf>
    <xf numFmtId="0" fontId="54" fillId="59" borderId="2" xfId="0" applyFont="1" applyFill="1" applyBorder="1" applyAlignment="1">
      <alignment wrapText="1"/>
    </xf>
    <xf numFmtId="2" fontId="45" fillId="0" borderId="2" xfId="0" applyNumberFormat="1" applyFont="1" applyBorder="1" applyAlignment="1">
      <alignment horizontal="center" vertical="top"/>
    </xf>
    <xf numFmtId="166" fontId="45" fillId="0" borderId="2" xfId="0" applyNumberFormat="1" applyFont="1" applyBorder="1" applyAlignment="1">
      <alignment horizontal="center" vertical="top"/>
    </xf>
    <xf numFmtId="166" fontId="45" fillId="22" borderId="2" xfId="0" applyNumberFormat="1" applyFont="1" applyFill="1" applyBorder="1" applyAlignment="1"/>
    <xf numFmtId="166" fontId="46" fillId="0" borderId="2" xfId="0" applyNumberFormat="1" applyFont="1" applyBorder="1" applyAlignment="1"/>
    <xf numFmtId="166" fontId="45" fillId="0" borderId="2" xfId="0" applyNumberFormat="1" applyFont="1" applyBorder="1" applyAlignment="1">
      <alignment vertical="top"/>
    </xf>
    <xf numFmtId="166" fontId="45" fillId="0" borderId="2" xfId="0" applyNumberFormat="1" applyFont="1" applyBorder="1" applyAlignment="1">
      <alignment vertical="center"/>
    </xf>
    <xf numFmtId="0" fontId="45" fillId="0" borderId="2" xfId="0" applyFont="1" applyBorder="1" applyAlignment="1">
      <alignment horizontal="left" vertical="top"/>
    </xf>
    <xf numFmtId="0" fontId="45" fillId="0" borderId="2" xfId="0" applyFont="1" applyBorder="1" applyAlignment="1">
      <alignment horizontal="left"/>
    </xf>
    <xf numFmtId="2" fontId="45" fillId="0" borderId="2" xfId="0" applyNumberFormat="1" applyFont="1" applyBorder="1" applyAlignment="1">
      <alignment horizontal="center" vertical="center"/>
    </xf>
    <xf numFmtId="0" fontId="45" fillId="0" borderId="3" xfId="1279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0" xfId="1279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1" fontId="45" fillId="0" borderId="2" xfId="0" applyNumberFormat="1" applyFont="1" applyBorder="1" applyAlignment="1">
      <alignment horizontal="right" vertical="top"/>
    </xf>
    <xf numFmtId="166" fontId="45" fillId="0" borderId="2" xfId="0" applyNumberFormat="1" applyFont="1" applyBorder="1" applyAlignment="1">
      <alignment horizontal="right" vertical="top"/>
    </xf>
    <xf numFmtId="0" fontId="24" fillId="0" borderId="0" xfId="0" applyFont="1" applyFill="1" applyAlignment="1">
      <alignment horizontal="right"/>
    </xf>
    <xf numFmtId="0" fontId="45" fillId="0" borderId="3" xfId="0" applyFont="1" applyFill="1" applyBorder="1" applyAlignment="1">
      <alignment horizontal="right"/>
    </xf>
    <xf numFmtId="0" fontId="45" fillId="0" borderId="2" xfId="0" applyFont="1" applyFill="1" applyBorder="1" applyAlignment="1">
      <alignment horizontal="right" vertical="top" wrapText="1"/>
    </xf>
    <xf numFmtId="0" fontId="42" fillId="0" borderId="2" xfId="0" applyFont="1" applyBorder="1" applyAlignment="1">
      <alignment horizontal="right"/>
    </xf>
    <xf numFmtId="1" fontId="42" fillId="0" borderId="2" xfId="0" applyNumberFormat="1" applyFont="1" applyBorder="1" applyAlignment="1">
      <alignment horizontal="right"/>
    </xf>
    <xf numFmtId="1" fontId="42" fillId="22" borderId="2" xfId="0" applyNumberFormat="1" applyFont="1" applyFill="1" applyBorder="1" applyAlignment="1">
      <alignment horizontal="right"/>
    </xf>
    <xf numFmtId="0" fontId="4" fillId="0" borderId="2" xfId="1279" applyFont="1" applyFill="1" applyBorder="1" applyAlignment="1">
      <alignment horizontal="right"/>
    </xf>
    <xf numFmtId="0" fontId="4" fillId="0" borderId="39" xfId="1279" applyFont="1" applyFill="1" applyBorder="1" applyAlignment="1">
      <alignment horizontal="right"/>
    </xf>
    <xf numFmtId="0" fontId="47" fillId="0" borderId="8" xfId="1278" applyFont="1" applyFill="1" applyBorder="1" applyAlignment="1">
      <alignment horizontal="right"/>
    </xf>
    <xf numFmtId="0" fontId="45" fillId="0" borderId="12" xfId="1279" applyFont="1" applyFill="1" applyBorder="1" applyAlignment="1">
      <alignment horizontal="right"/>
    </xf>
    <xf numFmtId="0" fontId="45" fillId="0" borderId="16" xfId="1279" applyFont="1" applyFill="1" applyBorder="1" applyAlignment="1">
      <alignment horizontal="right"/>
    </xf>
    <xf numFmtId="0" fontId="45" fillId="0" borderId="11" xfId="1279" applyFont="1" applyFill="1" applyBorder="1" applyAlignment="1">
      <alignment horizontal="right"/>
    </xf>
    <xf numFmtId="0" fontId="45" fillId="0" borderId="0" xfId="1279" applyFont="1" applyFill="1" applyBorder="1" applyAlignment="1">
      <alignment horizontal="right"/>
    </xf>
    <xf numFmtId="0" fontId="44" fillId="0" borderId="0" xfId="1279" applyFont="1" applyFill="1" applyBorder="1" applyAlignment="1">
      <alignment horizontal="right"/>
    </xf>
    <xf numFmtId="0" fontId="45" fillId="0" borderId="15" xfId="1279" applyFont="1" applyFill="1" applyBorder="1" applyAlignment="1">
      <alignment horizontal="right"/>
    </xf>
    <xf numFmtId="0" fontId="46" fillId="0" borderId="2" xfId="0" applyFont="1" applyBorder="1" applyAlignment="1">
      <alignment horizontal="right"/>
    </xf>
    <xf numFmtId="0" fontId="48" fillId="0" borderId="2" xfId="0" applyFont="1" applyBorder="1" applyAlignment="1">
      <alignment horizontal="right"/>
    </xf>
    <xf numFmtId="1" fontId="48" fillId="0" borderId="2" xfId="0" applyNumberFormat="1" applyFont="1" applyBorder="1" applyAlignment="1">
      <alignment horizontal="right"/>
    </xf>
    <xf numFmtId="1" fontId="50" fillId="0" borderId="2" xfId="0" applyNumberFormat="1" applyFont="1" applyBorder="1" applyAlignment="1">
      <alignment horizontal="right"/>
    </xf>
    <xf numFmtId="0" fontId="50" fillId="0" borderId="2" xfId="0" applyFont="1" applyBorder="1" applyAlignment="1">
      <alignment horizontal="right"/>
    </xf>
    <xf numFmtId="0" fontId="46" fillId="22" borderId="2" xfId="0" applyFont="1" applyFill="1" applyBorder="1" applyAlignment="1">
      <alignment horizontal="right" vertical="center"/>
    </xf>
    <xf numFmtId="1" fontId="46" fillId="0" borderId="0" xfId="0" applyNumberFormat="1" applyFont="1" applyBorder="1" applyAlignment="1">
      <alignment horizontal="right"/>
    </xf>
    <xf numFmtId="1" fontId="39" fillId="0" borderId="2" xfId="0" applyNumberFormat="1" applyFont="1" applyBorder="1" applyAlignment="1">
      <alignment horizontal="right"/>
    </xf>
    <xf numFmtId="1" fontId="48" fillId="59" borderId="2" xfId="0" applyNumberFormat="1" applyFont="1" applyFill="1" applyBorder="1" applyAlignment="1">
      <alignment horizontal="right"/>
    </xf>
    <xf numFmtId="1" fontId="46" fillId="59" borderId="2" xfId="0" applyNumberFormat="1" applyFont="1" applyFill="1" applyBorder="1" applyAlignment="1">
      <alignment horizontal="right"/>
    </xf>
    <xf numFmtId="0" fontId="45" fillId="0" borderId="2" xfId="0" applyFont="1" applyBorder="1" applyAlignment="1">
      <alignment horizontal="right" vertical="center"/>
    </xf>
    <xf numFmtId="0" fontId="45" fillId="0" borderId="0" xfId="1279" applyFont="1" applyFill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45" fillId="0" borderId="2" xfId="0" applyFont="1" applyBorder="1"/>
    <xf numFmtId="0" fontId="45" fillId="59" borderId="2" xfId="0" applyFont="1" applyFill="1" applyBorder="1" applyAlignment="1">
      <alignment horizontal="center" vertical="top"/>
    </xf>
    <xf numFmtId="0" fontId="45" fillId="0" borderId="3" xfId="1279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0" xfId="1279" applyFont="1" applyFill="1" applyBorder="1" applyAlignment="1">
      <alignment horizontal="center"/>
    </xf>
    <xf numFmtId="0" fontId="53" fillId="0" borderId="2" xfId="0" applyFont="1" applyBorder="1"/>
    <xf numFmtId="0" fontId="54" fillId="61" borderId="2" xfId="0" applyFont="1" applyFill="1" applyBorder="1" applyAlignment="1">
      <alignment horizontal="right" wrapText="1"/>
    </xf>
    <xf numFmtId="0" fontId="53" fillId="0" borderId="2" xfId="0" applyFont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166" fontId="47" fillId="0" borderId="9" xfId="1279" applyNumberFormat="1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56" fillId="0" borderId="2" xfId="0" applyFont="1" applyBorder="1"/>
    <xf numFmtId="0" fontId="45" fillId="0" borderId="2" xfId="0" applyFont="1" applyBorder="1" applyAlignment="1">
      <alignment horizontal="center"/>
    </xf>
    <xf numFmtId="0" fontId="45" fillId="58" borderId="2" xfId="0" applyFont="1" applyFill="1" applyBorder="1"/>
    <xf numFmtId="1" fontId="46" fillId="0" borderId="2" xfId="0" applyNumberFormat="1" applyFont="1" applyBorder="1" applyAlignment="1"/>
    <xf numFmtId="1" fontId="45" fillId="0" borderId="2" xfId="0" applyNumberFormat="1" applyFont="1" applyBorder="1" applyAlignment="1">
      <alignment vertical="center"/>
    </xf>
    <xf numFmtId="0" fontId="0" fillId="0" borderId="0" xfId="0"/>
    <xf numFmtId="0" fontId="48" fillId="22" borderId="2" xfId="0" applyFont="1" applyFill="1" applyBorder="1" applyAlignment="1">
      <alignment horizontal="center"/>
    </xf>
    <xf numFmtId="0" fontId="49" fillId="0" borderId="2" xfId="0" applyFont="1" applyBorder="1"/>
    <xf numFmtId="166" fontId="46" fillId="22" borderId="2" xfId="0" applyNumberFormat="1" applyFont="1" applyFill="1" applyBorder="1"/>
    <xf numFmtId="166" fontId="46" fillId="22" borderId="2" xfId="0" applyNumberFormat="1" applyFont="1" applyFill="1" applyBorder="1" applyAlignment="1">
      <alignment horizontal="center"/>
    </xf>
    <xf numFmtId="1" fontId="46" fillId="22" borderId="2" xfId="0" applyNumberFormat="1" applyFont="1" applyFill="1" applyBorder="1"/>
    <xf numFmtId="2" fontId="42" fillId="0" borderId="2" xfId="0" applyNumberFormat="1" applyFont="1" applyBorder="1" applyAlignment="1">
      <alignment horizontal="center"/>
    </xf>
    <xf numFmtId="0" fontId="4" fillId="0" borderId="2" xfId="0" applyFont="1" applyBorder="1"/>
    <xf numFmtId="0" fontId="50" fillId="0" borderId="2" xfId="0" applyFont="1" applyBorder="1" applyAlignment="1">
      <alignment horizontal="center"/>
    </xf>
    <xf numFmtId="166" fontId="48" fillId="0" borderId="2" xfId="0" applyNumberFormat="1" applyFont="1" applyBorder="1" applyAlignment="1">
      <alignment horizontal="center"/>
    </xf>
    <xf numFmtId="0" fontId="54" fillId="22" borderId="2" xfId="0" applyFont="1" applyFill="1" applyBorder="1" applyAlignment="1">
      <alignment wrapText="1"/>
    </xf>
    <xf numFmtId="166" fontId="48" fillId="22" borderId="2" xfId="0" applyNumberFormat="1" applyFont="1" applyFill="1" applyBorder="1"/>
    <xf numFmtId="0" fontId="54" fillId="22" borderId="2" xfId="0" applyFont="1" applyFill="1" applyBorder="1" applyAlignment="1">
      <alignment horizontal="right" wrapText="1"/>
    </xf>
    <xf numFmtId="0" fontId="45" fillId="22" borderId="2" xfId="0" applyFont="1" applyFill="1" applyBorder="1"/>
    <xf numFmtId="1" fontId="46" fillId="22" borderId="2" xfId="0" applyNumberFormat="1" applyFont="1" applyFill="1" applyBorder="1" applyAlignment="1">
      <alignment horizontal="right"/>
    </xf>
    <xf numFmtId="1" fontId="48" fillId="22" borderId="2" xfId="0" applyNumberFormat="1" applyFont="1" applyFill="1" applyBorder="1"/>
    <xf numFmtId="166" fontId="39" fillId="0" borderId="2" xfId="0" applyNumberFormat="1" applyFont="1" applyBorder="1" applyAlignment="1">
      <alignment horizontal="center"/>
    </xf>
    <xf numFmtId="0" fontId="45" fillId="0" borderId="0" xfId="1279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57" fillId="0" borderId="0" xfId="0" applyFont="1"/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0" fillId="0" borderId="0" xfId="0" applyAlignment="1">
      <alignment horizontal="center"/>
    </xf>
    <xf numFmtId="0" fontId="45" fillId="0" borderId="0" xfId="1279" applyFont="1" applyFill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166" fontId="42" fillId="22" borderId="2" xfId="0" applyNumberFormat="1" applyFont="1" applyFill="1" applyBorder="1" applyAlignment="1">
      <alignment horizontal="center"/>
    </xf>
    <xf numFmtId="166" fontId="46" fillId="22" borderId="0" xfId="0" applyNumberFormat="1" applyFont="1" applyFill="1" applyBorder="1"/>
    <xf numFmtId="0" fontId="59" fillId="61" borderId="2" xfId="0" applyFont="1" applyFill="1" applyBorder="1" applyAlignment="1">
      <alignment vertical="center"/>
    </xf>
    <xf numFmtId="0" fontId="59" fillId="61" borderId="2" xfId="0" applyFont="1" applyFill="1" applyBorder="1" applyAlignment="1">
      <alignment horizontal="right" vertical="center"/>
    </xf>
    <xf numFmtId="0" fontId="45" fillId="61" borderId="2" xfId="0" applyFont="1" applyFill="1" applyBorder="1" applyAlignment="1">
      <alignment horizontal="right"/>
    </xf>
    <xf numFmtId="0" fontId="59" fillId="61" borderId="2" xfId="0" applyFont="1" applyFill="1" applyBorder="1"/>
    <xf numFmtId="0" fontId="45" fillId="22" borderId="2" xfId="0" applyFont="1" applyFill="1" applyBorder="1" applyAlignment="1">
      <alignment horizontal="center"/>
    </xf>
    <xf numFmtId="0" fontId="59" fillId="61" borderId="2" xfId="0" applyFont="1" applyFill="1" applyBorder="1" applyAlignment="1">
      <alignment horizontal="center"/>
    </xf>
    <xf numFmtId="0" fontId="52" fillId="61" borderId="2" xfId="0" applyFont="1" applyFill="1" applyBorder="1" applyAlignment="1">
      <alignment vertical="center"/>
    </xf>
    <xf numFmtId="0" fontId="46" fillId="61" borderId="2" xfId="0" applyFont="1" applyFill="1" applyBorder="1"/>
    <xf numFmtId="166" fontId="45" fillId="0" borderId="2" xfId="0" applyNumberFormat="1" applyFont="1" applyFill="1" applyBorder="1" applyAlignment="1">
      <alignment horizontal="center" vertical="top" wrapText="1"/>
    </xf>
    <xf numFmtId="166" fontId="42" fillId="0" borderId="2" xfId="0" applyNumberFormat="1" applyFont="1" applyBorder="1" applyAlignment="1">
      <alignment horizontal="center" vertical="center"/>
    </xf>
    <xf numFmtId="166" fontId="4" fillId="23" borderId="2" xfId="0" applyNumberFormat="1" applyFont="1" applyFill="1" applyBorder="1" applyAlignment="1">
      <alignment horizontal="center"/>
    </xf>
    <xf numFmtId="166" fontId="42" fillId="23" borderId="2" xfId="0" applyNumberFormat="1" applyFont="1" applyFill="1" applyBorder="1" applyAlignment="1">
      <alignment horizontal="center" vertical="center"/>
    </xf>
    <xf numFmtId="166" fontId="44" fillId="0" borderId="0" xfId="1279" applyNumberFormat="1" applyFont="1" applyFill="1" applyBorder="1" applyAlignment="1">
      <alignment horizontal="center"/>
    </xf>
    <xf numFmtId="166" fontId="45" fillId="0" borderId="0" xfId="1279" applyNumberFormat="1" applyFont="1" applyFill="1" applyBorder="1" applyAlignment="1">
      <alignment horizontal="center"/>
    </xf>
    <xf numFmtId="0" fontId="48" fillId="0" borderId="2" xfId="0" applyFont="1" applyBorder="1" applyAlignment="1">
      <alignment horizontal="center"/>
    </xf>
    <xf numFmtId="166" fontId="44" fillId="22" borderId="2" xfId="0" applyNumberFormat="1" applyFont="1" applyFill="1" applyBorder="1" applyAlignment="1">
      <alignment horizontal="center"/>
    </xf>
    <xf numFmtId="166" fontId="46" fillId="0" borderId="37" xfId="0" applyNumberFormat="1" applyFont="1" applyBorder="1" applyAlignment="1">
      <alignment horizontal="center"/>
    </xf>
    <xf numFmtId="166" fontId="45" fillId="59" borderId="2" xfId="0" applyNumberFormat="1" applyFont="1" applyFill="1" applyBorder="1" applyAlignment="1">
      <alignment horizontal="center"/>
    </xf>
    <xf numFmtId="166" fontId="46" fillId="59" borderId="2" xfId="0" applyNumberFormat="1" applyFont="1" applyFill="1" applyBorder="1" applyAlignment="1">
      <alignment horizontal="center"/>
    </xf>
    <xf numFmtId="166" fontId="48" fillId="22" borderId="2" xfId="0" applyNumberFormat="1" applyFont="1" applyFill="1" applyBorder="1" applyAlignment="1">
      <alignment horizontal="center"/>
    </xf>
    <xf numFmtId="0" fontId="46" fillId="61" borderId="2" xfId="0" applyFont="1" applyFill="1" applyBorder="1" applyAlignment="1">
      <alignment horizontal="center"/>
    </xf>
    <xf numFmtId="0" fontId="45" fillId="61" borderId="2" xfId="0" applyFont="1" applyFill="1" applyBorder="1" applyAlignment="1">
      <alignment horizontal="center"/>
    </xf>
    <xf numFmtId="0" fontId="59" fillId="61" borderId="2" xfId="0" applyFont="1" applyFill="1" applyBorder="1" applyAlignment="1">
      <alignment horizontal="center" vertical="center"/>
    </xf>
    <xf numFmtId="166" fontId="46" fillId="61" borderId="2" xfId="0" applyNumberFormat="1" applyFont="1" applyFill="1" applyBorder="1" applyAlignment="1">
      <alignment horizontal="center"/>
    </xf>
    <xf numFmtId="0" fontId="45" fillId="59" borderId="2" xfId="0" applyFont="1" applyFill="1" applyBorder="1" applyAlignment="1">
      <alignment horizontal="center" vertical="center"/>
    </xf>
    <xf numFmtId="0" fontId="46" fillId="59" borderId="2" xfId="0" applyFont="1" applyFill="1" applyBorder="1" applyAlignment="1">
      <alignment horizontal="center"/>
    </xf>
    <xf numFmtId="2" fontId="46" fillId="59" borderId="2" xfId="0" applyNumberFormat="1" applyFont="1" applyFill="1" applyBorder="1" applyAlignment="1">
      <alignment horizontal="center"/>
    </xf>
    <xf numFmtId="1" fontId="46" fillId="59" borderId="2" xfId="0" applyNumberFormat="1" applyFont="1" applyFill="1" applyBorder="1"/>
    <xf numFmtId="0" fontId="45" fillId="59" borderId="2" xfId="0" applyFont="1" applyFill="1" applyBorder="1"/>
    <xf numFmtId="0" fontId="52" fillId="59" borderId="2" xfId="0" applyFont="1" applyFill="1" applyBorder="1"/>
    <xf numFmtId="0" fontId="42" fillId="59" borderId="2" xfId="0" applyFont="1" applyFill="1" applyBorder="1"/>
    <xf numFmtId="166" fontId="4" fillId="59" borderId="2" xfId="0" applyNumberFormat="1" applyFont="1" applyFill="1" applyBorder="1" applyAlignment="1">
      <alignment horizontal="center"/>
    </xf>
    <xf numFmtId="0" fontId="43" fillId="0" borderId="0" xfId="0" applyFont="1" applyFill="1"/>
    <xf numFmtId="0" fontId="4" fillId="0" borderId="0" xfId="0" applyFont="1" applyFill="1"/>
    <xf numFmtId="0" fontId="4" fillId="0" borderId="0" xfId="0" applyFont="1" applyFill="1" applyAlignment="1">
      <alignment horizontal="center"/>
    </xf>
    <xf numFmtId="2" fontId="4" fillId="0" borderId="0" xfId="0" applyNumberFormat="1" applyFont="1" applyFill="1" applyAlignment="1">
      <alignment horizontal="center"/>
    </xf>
    <xf numFmtId="166" fontId="4" fillId="0" borderId="0" xfId="0" applyNumberFormat="1" applyFont="1" applyFill="1"/>
    <xf numFmtId="0" fontId="4" fillId="0" borderId="0" xfId="0" applyFont="1" applyFill="1" applyAlignment="1">
      <alignment horizontal="right"/>
    </xf>
    <xf numFmtId="0" fontId="4" fillId="0" borderId="2" xfId="0" applyFont="1" applyFill="1" applyBorder="1"/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center"/>
    </xf>
    <xf numFmtId="2" fontId="4" fillId="0" borderId="2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right"/>
    </xf>
    <xf numFmtId="0" fontId="4" fillId="0" borderId="2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center" vertical="top"/>
    </xf>
    <xf numFmtId="2" fontId="4" fillId="0" borderId="2" xfId="0" applyNumberFormat="1" applyFont="1" applyFill="1" applyBorder="1" applyAlignment="1">
      <alignment horizontal="center" vertical="top"/>
    </xf>
    <xf numFmtId="166" fontId="4" fillId="0" borderId="2" xfId="0" applyNumberFormat="1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right" vertical="top" wrapText="1"/>
    </xf>
    <xf numFmtId="166" fontId="4" fillId="0" borderId="2" xfId="0" applyNumberFormat="1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/>
    </xf>
    <xf numFmtId="2" fontId="4" fillId="0" borderId="2" xfId="0" applyNumberFormat="1" applyFont="1" applyBorder="1" applyAlignment="1">
      <alignment horizontal="center" vertical="top"/>
    </xf>
    <xf numFmtId="166" fontId="4" fillId="0" borderId="2" xfId="0" applyNumberFormat="1" applyFont="1" applyBorder="1" applyAlignment="1">
      <alignment horizontal="center" vertical="top"/>
    </xf>
    <xf numFmtId="1" fontId="4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vertical="top"/>
    </xf>
    <xf numFmtId="0" fontId="4" fillId="0" borderId="2" xfId="0" applyFont="1" applyBorder="1" applyAlignment="1">
      <alignment horizontal="left"/>
    </xf>
    <xf numFmtId="2" fontId="4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166" fontId="42" fillId="0" borderId="2" xfId="0" applyNumberFormat="1" applyFont="1" applyBorder="1" applyAlignment="1"/>
    <xf numFmtId="1" fontId="4" fillId="22" borderId="2" xfId="0" applyNumberFormat="1" applyFont="1" applyFill="1" applyBorder="1"/>
    <xf numFmtId="0" fontId="4" fillId="58" borderId="2" xfId="0" applyFont="1" applyFill="1" applyBorder="1"/>
    <xf numFmtId="1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horizontal="right" vertical="top"/>
    </xf>
    <xf numFmtId="1" fontId="42" fillId="0" borderId="2" xfId="0" applyNumberFormat="1" applyFont="1" applyBorder="1" applyAlignment="1"/>
    <xf numFmtId="166" fontId="42" fillId="22" borderId="2" xfId="0" applyNumberFormat="1" applyFont="1" applyFill="1" applyBorder="1" applyAlignment="1"/>
    <xf numFmtId="1" fontId="4" fillId="0" borderId="2" xfId="0" applyNumberFormat="1" applyFont="1" applyBorder="1" applyAlignment="1">
      <alignment horizontal="right" vertical="center"/>
    </xf>
    <xf numFmtId="0" fontId="47" fillId="0" borderId="0" xfId="1278" applyFont="1" applyFill="1" applyBorder="1" applyAlignment="1">
      <alignment horizontal="center"/>
    </xf>
    <xf numFmtId="0" fontId="4" fillId="59" borderId="2" xfId="0" applyFont="1" applyFill="1" applyBorder="1" applyAlignment="1">
      <alignment horizontal="left"/>
    </xf>
    <xf numFmtId="2" fontId="4" fillId="59" borderId="2" xfId="0" applyNumberFormat="1" applyFont="1" applyFill="1" applyBorder="1" applyAlignment="1">
      <alignment horizontal="center" vertical="center"/>
    </xf>
    <xf numFmtId="166" fontId="4" fillId="59" borderId="2" xfId="0" applyNumberFormat="1" applyFont="1" applyFill="1" applyBorder="1" applyAlignment="1">
      <alignment horizontal="center" vertical="center"/>
    </xf>
    <xf numFmtId="0" fontId="4" fillId="59" borderId="2" xfId="0" applyFont="1" applyFill="1" applyBorder="1" applyAlignment="1">
      <alignment horizontal="right" vertical="center"/>
    </xf>
    <xf numFmtId="0" fontId="42" fillId="59" borderId="2" xfId="0" applyFont="1" applyFill="1" applyBorder="1" applyAlignment="1">
      <alignment horizontal="right"/>
    </xf>
    <xf numFmtId="0" fontId="4" fillId="22" borderId="2" xfId="0" applyFont="1" applyFill="1" applyBorder="1" applyAlignment="1">
      <alignment horizontal="left"/>
    </xf>
    <xf numFmtId="2" fontId="4" fillId="22" borderId="2" xfId="0" applyNumberFormat="1" applyFont="1" applyFill="1" applyBorder="1" applyAlignment="1">
      <alignment horizontal="center" vertical="center"/>
    </xf>
    <xf numFmtId="166" fontId="4" fillId="22" borderId="2" xfId="0" applyNumberFormat="1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right" vertical="center"/>
    </xf>
    <xf numFmtId="0" fontId="42" fillId="22" borderId="2" xfId="0" applyFont="1" applyFill="1" applyBorder="1" applyAlignment="1">
      <alignment horizontal="right"/>
    </xf>
    <xf numFmtId="0" fontId="45" fillId="0" borderId="0" xfId="1278" applyFont="1" applyFill="1" applyBorder="1" applyAlignment="1">
      <alignment horizontal="center"/>
    </xf>
    <xf numFmtId="166" fontId="47" fillId="22" borderId="0" xfId="1278" applyNumberFormat="1" applyFont="1" applyFill="1" applyBorder="1" applyAlignment="1">
      <alignment horizontal="center"/>
    </xf>
    <xf numFmtId="1" fontId="45" fillId="61" borderId="2" xfId="0" applyNumberFormat="1" applyFont="1" applyFill="1" applyBorder="1" applyAlignment="1">
      <alignment horizontal="right"/>
    </xf>
    <xf numFmtId="166" fontId="45" fillId="61" borderId="2" xfId="0" applyNumberFormat="1" applyFont="1" applyFill="1" applyBorder="1" applyAlignment="1">
      <alignment horizontal="center"/>
    </xf>
    <xf numFmtId="2" fontId="50" fillId="0" borderId="2" xfId="0" applyNumberFormat="1" applyFont="1" applyBorder="1"/>
    <xf numFmtId="1" fontId="50" fillId="0" borderId="2" xfId="0" applyNumberFormat="1" applyFont="1" applyBorder="1"/>
    <xf numFmtId="1" fontId="46" fillId="61" borderId="2" xfId="0" applyNumberFormat="1" applyFont="1" applyFill="1" applyBorder="1" applyAlignment="1">
      <alignment horizontal="center"/>
    </xf>
    <xf numFmtId="166" fontId="46" fillId="62" borderId="2" xfId="0" applyNumberFormat="1" applyFont="1" applyFill="1" applyBorder="1"/>
    <xf numFmtId="166" fontId="4" fillId="0" borderId="2" xfId="0" applyNumberFormat="1" applyFont="1" applyFill="1" applyBorder="1" applyAlignment="1">
      <alignment horizontal="center"/>
    </xf>
    <xf numFmtId="167" fontId="0" fillId="0" borderId="0" xfId="0" applyNumberFormat="1"/>
    <xf numFmtId="1" fontId="46" fillId="22" borderId="2" xfId="0" applyNumberFormat="1" applyFont="1" applyFill="1" applyBorder="1" applyAlignment="1">
      <alignment horizontal="center"/>
    </xf>
    <xf numFmtId="0" fontId="42" fillId="0" borderId="0" xfId="0" applyFont="1"/>
    <xf numFmtId="0" fontId="42" fillId="0" borderId="5" xfId="0" applyFont="1" applyBorder="1"/>
    <xf numFmtId="2" fontId="42" fillId="22" borderId="2" xfId="0" applyNumberFormat="1" applyFont="1" applyFill="1" applyBorder="1" applyAlignment="1">
      <alignment horizontal="center"/>
    </xf>
    <xf numFmtId="2" fontId="46" fillId="22" borderId="2" xfId="0" applyNumberFormat="1" applyFont="1" applyFill="1" applyBorder="1" applyAlignment="1">
      <alignment horizontal="center"/>
    </xf>
    <xf numFmtId="1" fontId="45" fillId="0" borderId="2" xfId="0" applyNumberFormat="1" applyFont="1" applyBorder="1" applyAlignment="1">
      <alignment horizontal="center" vertical="top"/>
    </xf>
    <xf numFmtId="2" fontId="59" fillId="22" borderId="2" xfId="0" applyNumberFormat="1" applyFont="1" applyFill="1" applyBorder="1" applyAlignment="1">
      <alignment horizontal="center" vertical="center"/>
    </xf>
    <xf numFmtId="2" fontId="42" fillId="23" borderId="2" xfId="0" applyNumberFormat="1" applyFont="1" applyFill="1" applyBorder="1" applyAlignment="1">
      <alignment horizontal="center"/>
    </xf>
    <xf numFmtId="166" fontId="42" fillId="23" borderId="2" xfId="0" applyNumberFormat="1" applyFont="1" applyFill="1" applyBorder="1"/>
    <xf numFmtId="1" fontId="42" fillId="23" borderId="2" xfId="0" applyNumberFormat="1" applyFont="1" applyFill="1" applyBorder="1"/>
    <xf numFmtId="166" fontId="42" fillId="23" borderId="2" xfId="0" applyNumberFormat="1" applyFont="1" applyFill="1" applyBorder="1" applyAlignment="1">
      <alignment horizontal="center"/>
    </xf>
    <xf numFmtId="0" fontId="62" fillId="23" borderId="2" xfId="0" applyFont="1" applyFill="1" applyBorder="1" applyAlignment="1">
      <alignment horizontal="center"/>
    </xf>
    <xf numFmtId="166" fontId="62" fillId="23" borderId="2" xfId="0" applyNumberFormat="1" applyFont="1" applyFill="1" applyBorder="1" applyAlignment="1">
      <alignment horizontal="right"/>
    </xf>
    <xf numFmtId="0" fontId="62" fillId="23" borderId="2" xfId="0" applyFont="1" applyFill="1" applyBorder="1" applyAlignment="1">
      <alignment horizontal="right"/>
    </xf>
    <xf numFmtId="0" fontId="46" fillId="0" borderId="39" xfId="0" applyFont="1" applyBorder="1" applyAlignment="1">
      <alignment horizontal="right"/>
    </xf>
    <xf numFmtId="166" fontId="46" fillId="0" borderId="39" xfId="0" applyNumberFormat="1" applyFont="1" applyBorder="1"/>
    <xf numFmtId="166" fontId="0" fillId="0" borderId="0" xfId="0" applyNumberFormat="1" applyAlignment="1">
      <alignment horizontal="right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0" xfId="1278" applyFont="1" applyFill="1" applyBorder="1" applyAlignment="1">
      <alignment horizontal="center"/>
    </xf>
    <xf numFmtId="0" fontId="56" fillId="61" borderId="2" xfId="0" applyFont="1" applyFill="1" applyBorder="1" applyAlignment="1">
      <alignment horizontal="center"/>
    </xf>
    <xf numFmtId="0" fontId="56" fillId="23" borderId="2" xfId="0" applyFont="1" applyFill="1" applyBorder="1" applyAlignment="1">
      <alignment horizontal="center"/>
    </xf>
    <xf numFmtId="0" fontId="56" fillId="22" borderId="2" xfId="0" applyFont="1" applyFill="1" applyBorder="1" applyAlignment="1">
      <alignment horizontal="center"/>
    </xf>
    <xf numFmtId="166" fontId="56" fillId="22" borderId="2" xfId="0" applyNumberFormat="1" applyFont="1" applyFill="1" applyBorder="1" applyAlignment="1">
      <alignment horizontal="right"/>
    </xf>
    <xf numFmtId="0" fontId="56" fillId="22" borderId="2" xfId="0" applyFont="1" applyFill="1" applyBorder="1" applyAlignment="1">
      <alignment horizontal="right"/>
    </xf>
    <xf numFmtId="166" fontId="56" fillId="61" borderId="2" xfId="0" applyNumberFormat="1" applyFont="1" applyFill="1" applyBorder="1" applyAlignment="1">
      <alignment horizontal="right"/>
    </xf>
    <xf numFmtId="0" fontId="56" fillId="61" borderId="2" xfId="0" applyFont="1" applyFill="1" applyBorder="1" applyAlignment="1">
      <alignment horizontal="right"/>
    </xf>
    <xf numFmtId="0" fontId="62" fillId="22" borderId="2" xfId="0" applyFont="1" applyFill="1" applyBorder="1" applyAlignment="1">
      <alignment horizontal="center"/>
    </xf>
    <xf numFmtId="0" fontId="63" fillId="61" borderId="2" xfId="0" applyFont="1" applyFill="1" applyBorder="1" applyAlignment="1">
      <alignment horizontal="right"/>
    </xf>
    <xf numFmtId="0" fontId="46" fillId="64" borderId="2" xfId="0" applyFont="1" applyFill="1" applyBorder="1"/>
    <xf numFmtId="0" fontId="4" fillId="64" borderId="2" xfId="0" applyFont="1" applyFill="1" applyBorder="1" applyAlignment="1">
      <alignment horizontal="left" vertical="top"/>
    </xf>
    <xf numFmtId="0" fontId="4" fillId="64" borderId="2" xfId="0" applyFont="1" applyFill="1" applyBorder="1" applyAlignment="1">
      <alignment horizontal="left"/>
    </xf>
    <xf numFmtId="0" fontId="42" fillId="64" borderId="2" xfId="0" applyFont="1" applyFill="1" applyBorder="1"/>
    <xf numFmtId="0" fontId="42" fillId="65" borderId="2" xfId="0" applyFont="1" applyFill="1" applyBorder="1"/>
    <xf numFmtId="166" fontId="42" fillId="0" borderId="2" xfId="0" applyNumberFormat="1" applyFont="1" applyBorder="1" applyAlignment="1">
      <alignment horizontal="right"/>
    </xf>
    <xf numFmtId="166" fontId="42" fillId="22" borderId="2" xfId="0" applyNumberFormat="1" applyFont="1" applyFill="1" applyBorder="1" applyAlignment="1">
      <alignment horizontal="right"/>
    </xf>
    <xf numFmtId="169" fontId="0" fillId="0" borderId="0" xfId="0" applyNumberFormat="1"/>
    <xf numFmtId="0" fontId="4" fillId="59" borderId="2" xfId="0" applyFont="1" applyFill="1" applyBorder="1" applyAlignment="1">
      <alignment horizontal="left" vertical="top"/>
    </xf>
    <xf numFmtId="0" fontId="64" fillId="61" borderId="2" xfId="0" applyFont="1" applyFill="1" applyBorder="1" applyAlignment="1">
      <alignment horizontal="right"/>
    </xf>
    <xf numFmtId="1" fontId="45" fillId="61" borderId="2" xfId="0" applyNumberFormat="1" applyFont="1" applyFill="1" applyBorder="1" applyAlignment="1">
      <alignment horizontal="center"/>
    </xf>
    <xf numFmtId="166" fontId="45" fillId="61" borderId="2" xfId="0" applyNumberFormat="1" applyFont="1" applyFill="1" applyBorder="1" applyAlignment="1">
      <alignment horizontal="right"/>
    </xf>
    <xf numFmtId="166" fontId="62" fillId="61" borderId="2" xfId="0" applyNumberFormat="1" applyFont="1" applyFill="1" applyBorder="1" applyAlignment="1">
      <alignment horizontal="center" vertical="top" wrapText="1"/>
    </xf>
    <xf numFmtId="0" fontId="62" fillId="61" borderId="2" xfId="0" applyFont="1" applyFill="1" applyBorder="1" applyAlignment="1">
      <alignment horizontal="center" vertical="top" wrapText="1"/>
    </xf>
    <xf numFmtId="0" fontId="63" fillId="61" borderId="2" xfId="0" applyFont="1" applyFill="1" applyBorder="1" applyAlignment="1">
      <alignment horizontal="right" vertical="top" wrapText="1"/>
    </xf>
    <xf numFmtId="166" fontId="64" fillId="61" borderId="2" xfId="0" applyNumberFormat="1" applyFont="1" applyFill="1" applyBorder="1" applyAlignment="1">
      <alignment horizontal="center" vertical="top" wrapText="1"/>
    </xf>
    <xf numFmtId="0" fontId="64" fillId="61" borderId="2" xfId="0" applyFont="1" applyFill="1" applyBorder="1" applyAlignment="1">
      <alignment horizontal="right" vertical="top" wrapText="1"/>
    </xf>
    <xf numFmtId="2" fontId="63" fillId="61" borderId="2" xfId="0" applyNumberFormat="1" applyFont="1" applyFill="1" applyBorder="1" applyAlignment="1">
      <alignment horizontal="right" vertical="top" wrapText="1"/>
    </xf>
    <xf numFmtId="0" fontId="52" fillId="0" borderId="0" xfId="0" applyFont="1"/>
    <xf numFmtId="166" fontId="46" fillId="0" borderId="0" xfId="0" applyNumberFormat="1" applyFont="1"/>
    <xf numFmtId="1" fontId="46" fillId="0" borderId="0" xfId="0" applyNumberFormat="1" applyFont="1"/>
    <xf numFmtId="0" fontId="0" fillId="0" borderId="2" xfId="0" applyBorder="1" applyAlignment="1">
      <alignment horizontal="right"/>
    </xf>
    <xf numFmtId="166" fontId="46" fillId="22" borderId="2" xfId="0" applyNumberFormat="1" applyFont="1" applyFill="1" applyBorder="1" applyAlignment="1">
      <alignment horizontal="right"/>
    </xf>
    <xf numFmtId="166" fontId="39" fillId="0" borderId="0" xfId="0" applyNumberFormat="1" applyFont="1"/>
    <xf numFmtId="2" fontId="0" fillId="0" borderId="0" xfId="0" applyNumberFormat="1"/>
    <xf numFmtId="2" fontId="0" fillId="0" borderId="0" xfId="0" applyNumberFormat="1" applyFill="1" applyBorder="1"/>
    <xf numFmtId="166" fontId="0" fillId="0" borderId="2" xfId="0" applyNumberFormat="1" applyBorder="1"/>
    <xf numFmtId="1" fontId="0" fillId="0" borderId="2" xfId="0" applyNumberFormat="1" applyBorder="1"/>
    <xf numFmtId="166" fontId="65" fillId="22" borderId="2" xfId="0" applyNumberFormat="1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66" fillId="61" borderId="2" xfId="0" applyFont="1" applyFill="1" applyBorder="1"/>
    <xf numFmtId="166" fontId="66" fillId="61" borderId="2" xfId="0" applyNumberFormat="1" applyFont="1" applyFill="1" applyBorder="1" applyAlignment="1">
      <alignment horizontal="right"/>
    </xf>
    <xf numFmtId="0" fontId="66" fillId="61" borderId="2" xfId="0" applyFont="1" applyFill="1" applyBorder="1" applyAlignment="1">
      <alignment horizontal="right"/>
    </xf>
    <xf numFmtId="166" fontId="67" fillId="22" borderId="2" xfId="0" applyNumberFormat="1" applyFont="1" applyFill="1" applyBorder="1" applyAlignment="1">
      <alignment horizontal="right"/>
    </xf>
    <xf numFmtId="0" fontId="68" fillId="61" borderId="2" xfId="0" applyFont="1" applyFill="1" applyBorder="1" applyAlignment="1">
      <alignment horizontal="right"/>
    </xf>
    <xf numFmtId="166" fontId="68" fillId="61" borderId="2" xfId="0" applyNumberFormat="1" applyFont="1" applyFill="1" applyBorder="1" applyAlignment="1">
      <alignment horizontal="right"/>
    </xf>
    <xf numFmtId="166" fontId="46" fillId="61" borderId="2" xfId="0" applyNumberFormat="1" applyFont="1" applyFill="1" applyBorder="1" applyAlignment="1">
      <alignment horizontal="right"/>
    </xf>
    <xf numFmtId="0" fontId="46" fillId="61" borderId="2" xfId="0" applyFont="1" applyFill="1" applyBorder="1" applyAlignment="1">
      <alignment horizontal="right"/>
    </xf>
    <xf numFmtId="2" fontId="42" fillId="0" borderId="2" xfId="0" applyNumberFormat="1" applyFont="1" applyBorder="1" applyAlignment="1">
      <alignment horizontal="center" vertical="center"/>
    </xf>
    <xf numFmtId="2" fontId="42" fillId="23" borderId="2" xfId="0" applyNumberFormat="1" applyFont="1" applyFill="1" applyBorder="1" applyAlignment="1">
      <alignment horizontal="center" vertical="center"/>
    </xf>
    <xf numFmtId="2" fontId="48" fillId="0" borderId="2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39" fillId="0" borderId="2" xfId="0" applyNumberFormat="1" applyFont="1" applyBorder="1" applyAlignment="1">
      <alignment horizontal="center"/>
    </xf>
    <xf numFmtId="0" fontId="52" fillId="61" borderId="2" xfId="0" applyFont="1" applyFill="1" applyBorder="1" applyAlignment="1">
      <alignment horizontal="center" vertical="center"/>
    </xf>
    <xf numFmtId="2" fontId="46" fillId="61" borderId="2" xfId="0" applyNumberFormat="1" applyFont="1" applyFill="1" applyBorder="1" applyAlignment="1">
      <alignment horizontal="center"/>
    </xf>
    <xf numFmtId="1" fontId="48" fillId="0" borderId="2" xfId="0" applyNumberFormat="1" applyFont="1" applyBorder="1" applyAlignment="1">
      <alignment horizontal="center"/>
    </xf>
    <xf numFmtId="2" fontId="66" fillId="61" borderId="2" xfId="0" applyNumberFormat="1" applyFont="1" applyFill="1" applyBorder="1" applyAlignment="1">
      <alignment horizontal="center"/>
    </xf>
    <xf numFmtId="166" fontId="48" fillId="0" borderId="2" xfId="0" applyNumberFormat="1" applyFont="1" applyBorder="1" applyAlignment="1"/>
    <xf numFmtId="166" fontId="46" fillId="61" borderId="2" xfId="0" applyNumberFormat="1" applyFont="1" applyFill="1" applyBorder="1" applyAlignment="1"/>
    <xf numFmtId="166" fontId="0" fillId="0" borderId="2" xfId="0" applyNumberFormat="1" applyBorder="1" applyAlignment="1"/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0" xfId="1279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right"/>
    </xf>
    <xf numFmtId="166" fontId="39" fillId="0" borderId="0" xfId="0" applyNumberFormat="1" applyFont="1" applyBorder="1" applyAlignment="1">
      <alignment horizontal="center"/>
    </xf>
    <xf numFmtId="0" fontId="47" fillId="0" borderId="0" xfId="0" applyFont="1" applyFill="1"/>
    <xf numFmtId="0" fontId="45" fillId="0" borderId="0" xfId="0" applyFont="1" applyFill="1"/>
    <xf numFmtId="0" fontId="45" fillId="0" borderId="0" xfId="0" applyFont="1" applyFill="1" applyAlignment="1">
      <alignment horizontal="center"/>
    </xf>
    <xf numFmtId="2" fontId="45" fillId="0" borderId="0" xfId="0" applyNumberFormat="1" applyFont="1" applyFill="1" applyAlignment="1">
      <alignment horizontal="center"/>
    </xf>
    <xf numFmtId="166" fontId="45" fillId="0" borderId="0" xfId="0" applyNumberFormat="1" applyFont="1" applyFill="1"/>
    <xf numFmtId="0" fontId="45" fillId="0" borderId="0" xfId="0" applyFont="1" applyFill="1" applyAlignment="1">
      <alignment horizontal="right"/>
    </xf>
    <xf numFmtId="0" fontId="46" fillId="0" borderId="0" xfId="0" applyFont="1"/>
    <xf numFmtId="0" fontId="46" fillId="0" borderId="5" xfId="0" applyFont="1" applyBorder="1"/>
    <xf numFmtId="0" fontId="49" fillId="61" borderId="2" xfId="0" applyFont="1" applyFill="1" applyBorder="1"/>
    <xf numFmtId="2" fontId="49" fillId="61" borderId="2" xfId="0" applyNumberFormat="1" applyFont="1" applyFill="1" applyBorder="1" applyAlignment="1">
      <alignment horizontal="center"/>
    </xf>
    <xf numFmtId="166" fontId="49" fillId="61" borderId="2" xfId="0" applyNumberFormat="1" applyFont="1" applyFill="1" applyBorder="1" applyAlignment="1">
      <alignment horizontal="right"/>
    </xf>
    <xf numFmtId="0" fontId="49" fillId="0" borderId="2" xfId="0" applyFont="1" applyBorder="1" applyAlignment="1">
      <alignment horizontal="right"/>
    </xf>
    <xf numFmtId="166" fontId="39" fillId="0" borderId="0" xfId="0" applyNumberFormat="1" applyFont="1" applyAlignment="1">
      <alignment horizontal="right"/>
    </xf>
    <xf numFmtId="166" fontId="45" fillId="0" borderId="2" xfId="0" applyNumberFormat="1" applyFont="1" applyFill="1" applyBorder="1" applyAlignment="1">
      <alignment horizontal="center"/>
    </xf>
    <xf numFmtId="0" fontId="45" fillId="23" borderId="2" xfId="0" applyFont="1" applyFill="1" applyBorder="1"/>
    <xf numFmtId="0" fontId="46" fillId="23" borderId="2" xfId="0" applyFont="1" applyFill="1" applyBorder="1"/>
    <xf numFmtId="1" fontId="46" fillId="61" borderId="2" xfId="0" applyNumberFormat="1" applyFont="1" applyFill="1" applyBorder="1" applyAlignment="1">
      <alignment horizontal="right"/>
    </xf>
    <xf numFmtId="0" fontId="47" fillId="0" borderId="7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5" fillId="0" borderId="0" xfId="1278" applyFont="1" applyFill="1" applyBorder="1" applyAlignment="1">
      <alignment horizontal="center"/>
    </xf>
    <xf numFmtId="0" fontId="46" fillId="59" borderId="2" xfId="0" applyFont="1" applyFill="1" applyBorder="1" applyAlignment="1">
      <alignment horizontal="right"/>
    </xf>
    <xf numFmtId="0" fontId="46" fillId="22" borderId="2" xfId="0" applyFont="1" applyFill="1" applyBorder="1" applyAlignment="1">
      <alignment horizontal="right"/>
    </xf>
    <xf numFmtId="0" fontId="58" fillId="0" borderId="2" xfId="0" applyFont="1" applyBorder="1" applyAlignment="1">
      <alignment horizontal="center"/>
    </xf>
    <xf numFmtId="166" fontId="42" fillId="0" borderId="0" xfId="0" applyNumberFormat="1" applyFont="1" applyBorder="1" applyAlignment="1">
      <alignment horizontal="right"/>
    </xf>
    <xf numFmtId="0" fontId="45" fillId="58" borderId="2" xfId="0" applyFont="1" applyFill="1" applyBorder="1" applyAlignment="1">
      <alignment horizontal="center" vertical="center"/>
    </xf>
    <xf numFmtId="0" fontId="46" fillId="58" borderId="2" xfId="0" applyFont="1" applyFill="1" applyBorder="1"/>
    <xf numFmtId="2" fontId="56" fillId="0" borderId="2" xfId="0" applyNumberFormat="1" applyFont="1" applyBorder="1" applyAlignment="1">
      <alignment horizontal="center" vertical="top"/>
    </xf>
    <xf numFmtId="0" fontId="56" fillId="0" borderId="2" xfId="0" applyFont="1" applyBorder="1" applyAlignment="1">
      <alignment horizontal="center" vertical="top"/>
    </xf>
    <xf numFmtId="0" fontId="0" fillId="0" borderId="0" xfId="0"/>
    <xf numFmtId="166" fontId="69" fillId="61" borderId="2" xfId="0" applyNumberFormat="1" applyFont="1" applyFill="1" applyBorder="1" applyAlignment="1">
      <alignment horizontal="center"/>
    </xf>
    <xf numFmtId="0" fontId="69" fillId="61" borderId="2" xfId="0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2" xfId="0" applyFont="1" applyBorder="1" applyAlignment="1">
      <alignment horizontal="center" vertical="top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0" fontId="45" fillId="0" borderId="0" xfId="1279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45" fillId="0" borderId="0" xfId="1278" applyFont="1" applyFill="1" applyBorder="1" applyAlignment="1">
      <alignment horizontal="center"/>
    </xf>
    <xf numFmtId="0" fontId="0" fillId="0" borderId="0" xfId="0" applyFill="1" applyBorder="1"/>
    <xf numFmtId="0" fontId="47" fillId="0" borderId="0" xfId="1278" applyFont="1" applyFill="1" applyBorder="1" applyAlignment="1">
      <alignment horizontal="center"/>
    </xf>
    <xf numFmtId="0" fontId="45" fillId="0" borderId="0" xfId="1278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0" fontId="45" fillId="0" borderId="0" xfId="1279" applyFont="1" applyFill="1" applyBorder="1" applyAlignment="1">
      <alignment horizontal="center"/>
    </xf>
    <xf numFmtId="0" fontId="45" fillId="0" borderId="0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5" fillId="0" borderId="0" xfId="1278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0" fontId="45" fillId="0" borderId="0" xfId="1279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0" xfId="1278" applyFont="1" applyFill="1" applyBorder="1" applyAlignment="1">
      <alignment horizontal="center"/>
    </xf>
    <xf numFmtId="0" fontId="56" fillId="59" borderId="2" xfId="0" applyFont="1" applyFill="1" applyBorder="1" applyAlignment="1">
      <alignment horizontal="center"/>
    </xf>
    <xf numFmtId="166" fontId="45" fillId="59" borderId="2" xfId="0" applyNumberFormat="1" applyFont="1" applyFill="1" applyBorder="1" applyAlignment="1">
      <alignment horizontal="right"/>
    </xf>
    <xf numFmtId="166" fontId="46" fillId="59" borderId="2" xfId="0" applyNumberFormat="1" applyFont="1" applyFill="1" applyBorder="1" applyAlignment="1">
      <alignment horizontal="right"/>
    </xf>
    <xf numFmtId="0" fontId="45" fillId="0" borderId="3" xfId="1279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45" fillId="0" borderId="0" xfId="1278" applyFont="1" applyFill="1" applyBorder="1" applyAlignment="1">
      <alignment horizontal="center"/>
    </xf>
    <xf numFmtId="0" fontId="45" fillId="0" borderId="0" xfId="1279" applyFont="1" applyFill="1" applyBorder="1" applyAlignment="1">
      <alignment horizontal="center"/>
    </xf>
    <xf numFmtId="166" fontId="45" fillId="0" borderId="2" xfId="0" applyNumberFormat="1" applyFont="1" applyFill="1" applyBorder="1" applyAlignment="1">
      <alignment horizontal="center"/>
    </xf>
    <xf numFmtId="0" fontId="70" fillId="22" borderId="2" xfId="0" applyFont="1" applyFill="1" applyBorder="1" applyAlignment="1">
      <alignment horizontal="center" vertical="center"/>
    </xf>
    <xf numFmtId="0" fontId="71" fillId="22" borderId="2" xfId="0" applyFont="1" applyFill="1" applyBorder="1" applyAlignment="1">
      <alignment horizontal="center"/>
    </xf>
    <xf numFmtId="0" fontId="71" fillId="0" borderId="2" xfId="0" applyFont="1" applyBorder="1"/>
    <xf numFmtId="0" fontId="71" fillId="22" borderId="2" xfId="0" applyFont="1" applyFill="1" applyBorder="1"/>
    <xf numFmtId="2" fontId="71" fillId="22" borderId="2" xfId="0" applyNumberFormat="1" applyFont="1" applyFill="1" applyBorder="1" applyAlignment="1">
      <alignment horizontal="center"/>
    </xf>
    <xf numFmtId="166" fontId="70" fillId="22" borderId="2" xfId="0" applyNumberFormat="1" applyFont="1" applyFill="1" applyBorder="1" applyAlignment="1">
      <alignment horizontal="right"/>
    </xf>
    <xf numFmtId="0" fontId="73" fillId="61" borderId="2" xfId="0" applyFont="1" applyFill="1" applyBorder="1" applyAlignment="1">
      <alignment vertical="center"/>
    </xf>
    <xf numFmtId="0" fontId="73" fillId="61" borderId="2" xfId="0" applyFont="1" applyFill="1" applyBorder="1" applyAlignment="1">
      <alignment horizontal="center" vertical="center"/>
    </xf>
    <xf numFmtId="0" fontId="73" fillId="61" borderId="2" xfId="0" applyFont="1" applyFill="1" applyBorder="1" applyAlignment="1">
      <alignment horizontal="right" vertical="center"/>
    </xf>
    <xf numFmtId="1" fontId="70" fillId="61" borderId="2" xfId="0" applyNumberFormat="1" applyFont="1" applyFill="1" applyBorder="1" applyAlignment="1">
      <alignment horizontal="center"/>
    </xf>
    <xf numFmtId="166" fontId="70" fillId="61" borderId="2" xfId="0" applyNumberFormat="1" applyFont="1" applyFill="1" applyBorder="1" applyAlignment="1">
      <alignment horizontal="right"/>
    </xf>
    <xf numFmtId="2" fontId="71" fillId="0" borderId="2" xfId="0" applyNumberFormat="1" applyFont="1" applyBorder="1" applyAlignment="1">
      <alignment horizontal="center"/>
    </xf>
    <xf numFmtId="0" fontId="70" fillId="0" borderId="2" xfId="0" applyFont="1" applyBorder="1" applyAlignment="1">
      <alignment horizontal="center" vertical="top"/>
    </xf>
    <xf numFmtId="0" fontId="71" fillId="0" borderId="2" xfId="0" applyFont="1" applyBorder="1" applyAlignment="1">
      <alignment horizontal="center"/>
    </xf>
    <xf numFmtId="0" fontId="71" fillId="0" borderId="2" xfId="0" applyFont="1" applyBorder="1" applyAlignment="1">
      <alignment horizontal="right"/>
    </xf>
    <xf numFmtId="2" fontId="70" fillId="0" borderId="2" xfId="0" applyNumberFormat="1" applyFont="1" applyBorder="1" applyAlignment="1">
      <alignment horizontal="center" vertical="top"/>
    </xf>
    <xf numFmtId="1" fontId="70" fillId="0" borderId="2" xfId="0" applyNumberFormat="1" applyFont="1" applyBorder="1" applyAlignment="1">
      <alignment horizontal="center" vertical="top"/>
    </xf>
    <xf numFmtId="1" fontId="71" fillId="0" borderId="2" xfId="0" applyNumberFormat="1" applyFont="1" applyBorder="1" applyAlignment="1">
      <alignment horizontal="center"/>
    </xf>
    <xf numFmtId="166" fontId="71" fillId="0" borderId="2" xfId="0" applyNumberFormat="1" applyFont="1" applyBorder="1" applyAlignment="1">
      <alignment horizontal="right"/>
    </xf>
    <xf numFmtId="166" fontId="70" fillId="0" borderId="2" xfId="0" applyNumberFormat="1" applyFont="1" applyBorder="1" applyAlignment="1">
      <alignment horizontal="center" vertical="top"/>
    </xf>
    <xf numFmtId="166" fontId="71" fillId="0" borderId="2" xfId="0" applyNumberFormat="1" applyFont="1" applyBorder="1"/>
    <xf numFmtId="166" fontId="71" fillId="0" borderId="2" xfId="0" applyNumberFormat="1" applyFont="1" applyBorder="1" applyAlignment="1">
      <alignment horizontal="center"/>
    </xf>
    <xf numFmtId="166" fontId="45" fillId="0" borderId="2" xfId="0" applyNumberFormat="1" applyFont="1" applyBorder="1" applyAlignment="1">
      <alignment horizontal="center" vertical="top"/>
    </xf>
    <xf numFmtId="0" fontId="45" fillId="23" borderId="2" xfId="0" applyFont="1" applyFill="1" applyBorder="1" applyAlignment="1">
      <alignment horizontal="center" vertical="top"/>
    </xf>
    <xf numFmtId="1" fontId="45" fillId="22" borderId="2" xfId="0" applyNumberFormat="1" applyFont="1" applyFill="1" applyBorder="1" applyAlignment="1">
      <alignment horizontal="center" vertical="top"/>
    </xf>
    <xf numFmtId="2" fontId="0" fillId="0" borderId="2" xfId="0" applyNumberFormat="1" applyBorder="1"/>
    <xf numFmtId="0" fontId="0" fillId="0" borderId="0" xfId="0" applyAlignment="1">
      <alignment horizontal="center"/>
    </xf>
    <xf numFmtId="166" fontId="45" fillId="0" borderId="2" xfId="0" applyNumberFormat="1" applyFont="1" applyBorder="1" applyAlignment="1">
      <alignment horizontal="center" vertical="top"/>
    </xf>
    <xf numFmtId="0" fontId="45" fillId="0" borderId="0" xfId="1279" applyFont="1" applyFill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166" fontId="45" fillId="0" borderId="2" xfId="0" applyNumberFormat="1" applyFont="1" applyFill="1" applyBorder="1" applyAlignment="1">
      <alignment horizontal="center"/>
    </xf>
    <xf numFmtId="166" fontId="45" fillId="0" borderId="2" xfId="0" applyNumberFormat="1" applyFont="1" applyBorder="1" applyAlignment="1">
      <alignment horizontal="center" vertical="top"/>
    </xf>
    <xf numFmtId="0" fontId="45" fillId="0" borderId="2" xfId="1279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0" xfId="1278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0" fontId="45" fillId="0" borderId="0" xfId="1279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45" fillId="0" borderId="0" xfId="1278" applyFont="1" applyFill="1" applyBorder="1" applyAlignment="1">
      <alignment horizontal="center"/>
    </xf>
    <xf numFmtId="166" fontId="45" fillId="0" borderId="2" xfId="0" applyNumberFormat="1" applyFont="1" applyFill="1" applyBorder="1" applyAlignment="1">
      <alignment horizontal="center"/>
    </xf>
    <xf numFmtId="0" fontId="74" fillId="61" borderId="2" xfId="0" applyFont="1" applyFill="1" applyBorder="1" applyAlignment="1">
      <alignment horizontal="center" vertical="top"/>
    </xf>
    <xf numFmtId="0" fontId="74" fillId="61" borderId="2" xfId="0" applyFont="1" applyFill="1" applyBorder="1" applyAlignment="1">
      <alignment vertical="top"/>
    </xf>
    <xf numFmtId="166" fontId="39" fillId="0" borderId="2" xfId="0" applyNumberFormat="1" applyFont="1" applyBorder="1" applyAlignment="1">
      <alignment horizontal="right"/>
    </xf>
    <xf numFmtId="0" fontId="46" fillId="0" borderId="2" xfId="0" applyFont="1" applyBorder="1" applyAlignment="1"/>
    <xf numFmtId="0" fontId="48" fillId="66" borderId="2" xfId="0" applyFont="1" applyFill="1" applyBorder="1"/>
    <xf numFmtId="0" fontId="71" fillId="59" borderId="2" xfId="0" applyFont="1" applyFill="1" applyBorder="1"/>
    <xf numFmtId="0" fontId="45" fillId="0" borderId="0" xfId="1279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0" xfId="1278" applyFont="1" applyFill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166" fontId="45" fillId="0" borderId="2" xfId="0" applyNumberFormat="1" applyFont="1" applyFill="1" applyBorder="1" applyAlignment="1">
      <alignment horizontal="center"/>
    </xf>
    <xf numFmtId="0" fontId="69" fillId="61" borderId="2" xfId="0" applyFont="1" applyFill="1" applyBorder="1" applyAlignment="1">
      <alignment horizontal="right" vertical="top"/>
    </xf>
    <xf numFmtId="166" fontId="69" fillId="61" borderId="2" xfId="0" applyNumberFormat="1" applyFont="1" applyFill="1" applyBorder="1" applyAlignment="1">
      <alignment horizontal="right" vertical="top"/>
    </xf>
    <xf numFmtId="166" fontId="46" fillId="61" borderId="2" xfId="0" applyNumberFormat="1" applyFont="1" applyFill="1" applyBorder="1"/>
    <xf numFmtId="0" fontId="69" fillId="61" borderId="2" xfId="0" applyFont="1" applyFill="1" applyBorder="1" applyAlignment="1">
      <alignment vertical="top"/>
    </xf>
    <xf numFmtId="2" fontId="69" fillId="61" borderId="2" xfId="0" applyNumberFormat="1" applyFont="1" applyFill="1" applyBorder="1" applyAlignment="1">
      <alignment horizontal="center" vertical="top"/>
    </xf>
    <xf numFmtId="1" fontId="69" fillId="61" borderId="2" xfId="0" applyNumberFormat="1" applyFont="1" applyFill="1" applyBorder="1" applyAlignment="1">
      <alignment horizontal="right" vertical="top"/>
    </xf>
    <xf numFmtId="0" fontId="45" fillId="0" borderId="0" xfId="1278" applyFont="1" applyFill="1" applyBorder="1" applyAlignment="1">
      <alignment horizontal="center"/>
    </xf>
    <xf numFmtId="0" fontId="69" fillId="61" borderId="2" xfId="0" applyFont="1" applyFill="1" applyBorder="1" applyAlignment="1">
      <alignment horizontal="center" vertical="top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166" fontId="45" fillId="0" borderId="2" xfId="0" applyNumberFormat="1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45" fillId="0" borderId="0" xfId="1279" applyFont="1" applyFill="1" applyBorder="1" applyAlignment="1">
      <alignment horizontal="center"/>
    </xf>
    <xf numFmtId="0" fontId="0" fillId="0" borderId="0" xfId="0" applyAlignment="1">
      <alignment horizontal="center"/>
    </xf>
    <xf numFmtId="0" fontId="45" fillId="0" borderId="2" xfId="0" applyFont="1" applyBorder="1" applyAlignment="1">
      <alignment vertical="center"/>
    </xf>
    <xf numFmtId="0" fontId="46" fillId="0" borderId="0" xfId="0" applyFont="1" applyBorder="1" applyAlignment="1">
      <alignment horizontal="center"/>
    </xf>
    <xf numFmtId="0" fontId="46" fillId="0" borderId="0" xfId="0" applyFont="1" applyBorder="1" applyAlignment="1">
      <alignment horizontal="right"/>
    </xf>
    <xf numFmtId="0" fontId="45" fillId="59" borderId="2" xfId="0" applyFont="1" applyFill="1" applyBorder="1" applyAlignment="1">
      <alignment horizontal="left"/>
    </xf>
    <xf numFmtId="0" fontId="45" fillId="23" borderId="2" xfId="0" applyFont="1" applyFill="1" applyBorder="1" applyAlignment="1">
      <alignment horizontal="left" vertical="top"/>
    </xf>
    <xf numFmtId="0" fontId="45" fillId="23" borderId="2" xfId="0" applyFont="1" applyFill="1" applyBorder="1" applyAlignment="1">
      <alignment horizontal="center"/>
    </xf>
    <xf numFmtId="0" fontId="45" fillId="0" borderId="0" xfId="1279" applyFont="1" applyFill="1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5" fillId="0" borderId="17" xfId="1279" applyFont="1" applyFill="1" applyBorder="1" applyAlignment="1">
      <alignment horizontal="center"/>
    </xf>
    <xf numFmtId="166" fontId="45" fillId="0" borderId="2" xfId="0" applyNumberFormat="1" applyFont="1" applyFill="1" applyBorder="1" applyAlignment="1">
      <alignment horizontal="center"/>
    </xf>
    <xf numFmtId="0" fontId="70" fillId="0" borderId="2" xfId="0" applyFont="1" applyFill="1" applyBorder="1" applyAlignment="1">
      <alignment horizontal="left" vertical="top"/>
    </xf>
    <xf numFmtId="0" fontId="70" fillId="0" borderId="2" xfId="0" applyFont="1" applyFill="1" applyBorder="1" applyAlignment="1">
      <alignment horizontal="center" vertical="top" wrapText="1"/>
    </xf>
    <xf numFmtId="0" fontId="70" fillId="0" borderId="2" xfId="0" applyFont="1" applyFill="1" applyBorder="1" applyAlignment="1">
      <alignment horizontal="center" vertical="top"/>
    </xf>
    <xf numFmtId="2" fontId="70" fillId="0" borderId="2" xfId="0" applyNumberFormat="1" applyFont="1" applyFill="1" applyBorder="1" applyAlignment="1">
      <alignment horizontal="center" vertical="top"/>
    </xf>
    <xf numFmtId="166" fontId="70" fillId="0" borderId="2" xfId="0" applyNumberFormat="1" applyFont="1" applyFill="1" applyBorder="1" applyAlignment="1">
      <alignment horizontal="center" vertical="top"/>
    </xf>
    <xf numFmtId="0" fontId="70" fillId="0" borderId="2" xfId="0" applyFont="1" applyFill="1" applyBorder="1" applyAlignment="1">
      <alignment horizontal="right" vertical="top" wrapText="1"/>
    </xf>
    <xf numFmtId="166" fontId="70" fillId="0" borderId="2" xfId="0" applyNumberFormat="1" applyFont="1" applyFill="1" applyBorder="1" applyAlignment="1">
      <alignment horizontal="center" vertical="top" wrapText="1"/>
    </xf>
    <xf numFmtId="2" fontId="71" fillId="0" borderId="2" xfId="0" applyNumberFormat="1" applyFont="1" applyBorder="1"/>
    <xf numFmtId="1" fontId="71" fillId="0" borderId="2" xfId="0" applyNumberFormat="1" applyFont="1" applyBorder="1"/>
    <xf numFmtId="0" fontId="73" fillId="0" borderId="2" xfId="33" applyFont="1" applyBorder="1" applyAlignment="1">
      <alignment horizontal="center"/>
    </xf>
    <xf numFmtId="0" fontId="75" fillId="0" borderId="2" xfId="0" applyFont="1" applyBorder="1"/>
    <xf numFmtId="0" fontId="73" fillId="0" borderId="2" xfId="507" applyFont="1" applyBorder="1" applyAlignment="1">
      <alignment horizontal="center"/>
    </xf>
    <xf numFmtId="1" fontId="71" fillId="0" borderId="2" xfId="0" applyNumberFormat="1" applyFont="1" applyBorder="1" applyAlignment="1">
      <alignment horizontal="right"/>
    </xf>
    <xf numFmtId="0" fontId="76" fillId="0" borderId="2" xfId="1279" applyFont="1" applyFill="1" applyBorder="1"/>
    <xf numFmtId="0" fontId="70" fillId="0" borderId="2" xfId="1279" applyFont="1" applyFill="1" applyBorder="1"/>
    <xf numFmtId="0" fontId="70" fillId="0" borderId="2" xfId="1279" applyFont="1" applyFill="1" applyBorder="1" applyAlignment="1">
      <alignment horizontal="center"/>
    </xf>
    <xf numFmtId="2" fontId="70" fillId="0" borderId="2" xfId="1279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right"/>
    </xf>
    <xf numFmtId="0" fontId="70" fillId="0" borderId="39" xfId="1279" applyFont="1" applyFill="1" applyBorder="1"/>
    <xf numFmtId="0" fontId="70" fillId="0" borderId="39" xfId="1279" applyFont="1" applyFill="1" applyBorder="1" applyAlignment="1">
      <alignment horizontal="left"/>
    </xf>
    <xf numFmtId="0" fontId="70" fillId="0" borderId="39" xfId="1279" applyFont="1" applyFill="1" applyBorder="1" applyAlignment="1">
      <alignment horizontal="center"/>
    </xf>
    <xf numFmtId="2" fontId="70" fillId="0" borderId="39" xfId="1279" applyNumberFormat="1" applyFont="1" applyFill="1" applyBorder="1" applyAlignment="1">
      <alignment horizontal="center"/>
    </xf>
    <xf numFmtId="0" fontId="70" fillId="0" borderId="39" xfId="1279" applyFont="1" applyFill="1" applyBorder="1" applyAlignment="1">
      <alignment horizontal="right"/>
    </xf>
    <xf numFmtId="0" fontId="70" fillId="0" borderId="43" xfId="1279" applyFont="1" applyFill="1" applyBorder="1"/>
    <xf numFmtId="0" fontId="70" fillId="0" borderId="6" xfId="1278" applyFont="1" applyFill="1" applyBorder="1" applyAlignment="1">
      <alignment horizontal="center"/>
    </xf>
    <xf numFmtId="166" fontId="76" fillId="22" borderId="6" xfId="1278" applyNumberFormat="1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right"/>
    </xf>
    <xf numFmtId="0" fontId="70" fillId="0" borderId="0" xfId="1278" applyFont="1" applyFill="1" applyBorder="1" applyAlignment="1">
      <alignment horizontal="center"/>
    </xf>
    <xf numFmtId="166" fontId="76" fillId="22" borderId="0" xfId="1278" applyNumberFormat="1" applyFont="1" applyFill="1" applyBorder="1" applyAlignment="1">
      <alignment horizontal="center"/>
    </xf>
    <xf numFmtId="0" fontId="76" fillId="0" borderId="14" xfId="1278" applyFont="1" applyFill="1" applyBorder="1" applyAlignment="1">
      <alignment horizontal="center"/>
    </xf>
    <xf numFmtId="0" fontId="76" fillId="0" borderId="15" xfId="1278" applyFont="1" applyFill="1" applyBorder="1" applyAlignment="1">
      <alignment horizontal="center"/>
    </xf>
    <xf numFmtId="0" fontId="70" fillId="0" borderId="9" xfId="1279" applyFont="1" applyFill="1" applyBorder="1"/>
    <xf numFmtId="0" fontId="70" fillId="0" borderId="10" xfId="1279" applyFont="1" applyFill="1" applyBorder="1"/>
    <xf numFmtId="0" fontId="70" fillId="0" borderId="11" xfId="1279" applyFont="1" applyFill="1" applyBorder="1"/>
    <xf numFmtId="0" fontId="70" fillId="0" borderId="11" xfId="1279" applyFont="1" applyFill="1" applyBorder="1" applyAlignment="1">
      <alignment horizontal="center"/>
    </xf>
    <xf numFmtId="0" fontId="70" fillId="0" borderId="12" xfId="1279" applyFont="1" applyFill="1" applyBorder="1"/>
    <xf numFmtId="0" fontId="70" fillId="0" borderId="10" xfId="1279" applyFont="1" applyFill="1" applyBorder="1" applyAlignment="1">
      <alignment horizontal="center"/>
    </xf>
    <xf numFmtId="0" fontId="70" fillId="0" borderId="12" xfId="1279" applyFont="1" applyFill="1" applyBorder="1" applyAlignment="1">
      <alignment horizontal="right"/>
    </xf>
    <xf numFmtId="0" fontId="70" fillId="0" borderId="13" xfId="1279" applyFont="1" applyFill="1" applyBorder="1"/>
    <xf numFmtId="0" fontId="70" fillId="0" borderId="14" xfId="1279" applyFont="1" applyFill="1" applyBorder="1"/>
    <xf numFmtId="0" fontId="70" fillId="0" borderId="15" xfId="1279" applyFont="1" applyFill="1" applyBorder="1"/>
    <xf numFmtId="0" fontId="70" fillId="0" borderId="15" xfId="1279" applyFont="1" applyFill="1" applyBorder="1" applyAlignment="1">
      <alignment horizontal="center"/>
    </xf>
    <xf numFmtId="0" fontId="70" fillId="0" borderId="16" xfId="1279" applyFont="1" applyFill="1" applyBorder="1"/>
    <xf numFmtId="0" fontId="70" fillId="0" borderId="14" xfId="1279" applyFont="1" applyFill="1" applyBorder="1" applyAlignment="1">
      <alignment horizontal="center"/>
    </xf>
    <xf numFmtId="0" fontId="70" fillId="0" borderId="16" xfId="1279" applyFont="1" applyFill="1" applyBorder="1" applyAlignment="1">
      <alignment horizontal="right"/>
    </xf>
    <xf numFmtId="0" fontId="76" fillId="0" borderId="10" xfId="1279" applyFont="1" applyFill="1" applyBorder="1"/>
    <xf numFmtId="0" fontId="70" fillId="0" borderId="11" xfId="1279" applyFont="1" applyFill="1" applyBorder="1" applyAlignment="1">
      <alignment horizontal="right"/>
    </xf>
    <xf numFmtId="0" fontId="70" fillId="0" borderId="7" xfId="1279" applyFont="1" applyFill="1" applyBorder="1"/>
    <xf numFmtId="0" fontId="70" fillId="0" borderId="0" xfId="1279" applyFont="1" applyFill="1" applyBorder="1"/>
    <xf numFmtId="0" fontId="70" fillId="0" borderId="0" xfId="1279" applyFont="1" applyFill="1" applyBorder="1" applyAlignment="1">
      <alignment horizontal="center"/>
    </xf>
    <xf numFmtId="0" fontId="70" fillId="0" borderId="0" xfId="1279" applyFont="1" applyFill="1" applyBorder="1" applyAlignment="1">
      <alignment horizontal="right"/>
    </xf>
    <xf numFmtId="0" fontId="70" fillId="0" borderId="2" xfId="1279" applyFont="1" applyFill="1" applyBorder="1" applyAlignment="1">
      <alignment horizontal="center" vertical="top"/>
    </xf>
    <xf numFmtId="0" fontId="70" fillId="0" borderId="3" xfId="1279" applyFont="1" applyFill="1" applyBorder="1" applyAlignment="1">
      <alignment horizontal="center"/>
    </xf>
    <xf numFmtId="0" fontId="70" fillId="0" borderId="42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8" fillId="0" borderId="0" xfId="1279" applyFont="1" applyFill="1" applyBorder="1" applyAlignment="1">
      <alignment horizontal="center"/>
    </xf>
    <xf numFmtId="2" fontId="78" fillId="0" borderId="0" xfId="1279" applyNumberFormat="1" applyFont="1" applyFill="1" applyBorder="1" applyAlignment="1">
      <alignment horizontal="center"/>
    </xf>
    <xf numFmtId="2" fontId="78" fillId="0" borderId="0" xfId="1279" applyNumberFormat="1" applyFont="1" applyFill="1" applyBorder="1"/>
    <xf numFmtId="0" fontId="78" fillId="0" borderId="0" xfId="1279" applyFont="1" applyFill="1" applyBorder="1" applyAlignment="1">
      <alignment horizontal="right"/>
    </xf>
    <xf numFmtId="166" fontId="78" fillId="0" borderId="0" xfId="1279" applyNumberFormat="1" applyFont="1" applyFill="1" applyBorder="1" applyAlignment="1">
      <alignment horizontal="center"/>
    </xf>
    <xf numFmtId="0" fontId="70" fillId="0" borderId="7" xfId="1279" applyFont="1" applyFill="1" applyBorder="1" applyAlignment="1"/>
    <xf numFmtId="0" fontId="70" fillId="0" borderId="0" xfId="1279" applyFont="1" applyFill="1" applyBorder="1" applyAlignment="1"/>
    <xf numFmtId="166" fontId="70" fillId="0" borderId="0" xfId="1279" applyNumberFormat="1" applyFont="1" applyFill="1" applyBorder="1" applyAlignment="1">
      <alignment horizontal="center"/>
    </xf>
    <xf numFmtId="0" fontId="70" fillId="0" borderId="15" xfId="1279" applyFont="1" applyFill="1" applyBorder="1" applyAlignment="1">
      <alignment horizontal="right"/>
    </xf>
    <xf numFmtId="0" fontId="77" fillId="0" borderId="2" xfId="0" applyFont="1" applyBorder="1"/>
    <xf numFmtId="1" fontId="71" fillId="22" borderId="2" xfId="0" applyNumberFormat="1" applyFont="1" applyFill="1" applyBorder="1" applyAlignment="1">
      <alignment horizontal="right"/>
    </xf>
    <xf numFmtId="166" fontId="71" fillId="22" borderId="2" xfId="0" applyNumberFormat="1" applyFont="1" applyFill="1" applyBorder="1" applyAlignment="1">
      <alignment horizontal="right"/>
    </xf>
    <xf numFmtId="166" fontId="71" fillId="0" borderId="2" xfId="0" applyNumberFormat="1" applyFont="1" applyBorder="1" applyAlignment="1"/>
    <xf numFmtId="0" fontId="76" fillId="0" borderId="0" xfId="0" applyFont="1" applyFill="1"/>
    <xf numFmtId="0" fontId="70" fillId="0" borderId="0" xfId="0" applyFont="1" applyFill="1"/>
    <xf numFmtId="0" fontId="70" fillId="0" borderId="0" xfId="0" applyFont="1" applyFill="1" applyAlignment="1">
      <alignment horizontal="center"/>
    </xf>
    <xf numFmtId="2" fontId="70" fillId="0" borderId="0" xfId="0" applyNumberFormat="1" applyFont="1" applyFill="1" applyAlignment="1">
      <alignment horizontal="center"/>
    </xf>
    <xf numFmtId="166" fontId="70" fillId="0" borderId="0" xfId="0" applyNumberFormat="1" applyFont="1" applyFill="1"/>
    <xf numFmtId="0" fontId="70" fillId="0" borderId="0" xfId="0" applyFont="1" applyFill="1" applyAlignment="1">
      <alignment horizontal="right"/>
    </xf>
    <xf numFmtId="0" fontId="71" fillId="0" borderId="0" xfId="0" applyFont="1"/>
    <xf numFmtId="0" fontId="70" fillId="0" borderId="2" xfId="0" applyFont="1" applyFill="1" applyBorder="1"/>
    <xf numFmtId="0" fontId="70" fillId="0" borderId="2" xfId="0" applyFont="1" applyFill="1" applyBorder="1" applyAlignment="1">
      <alignment horizontal="left"/>
    </xf>
    <xf numFmtId="0" fontId="70" fillId="0" borderId="2" xfId="0" applyFont="1" applyFill="1" applyBorder="1" applyAlignment="1">
      <alignment horizontal="center"/>
    </xf>
    <xf numFmtId="2" fontId="70" fillId="0" borderId="2" xfId="0" applyNumberFormat="1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3" xfId="0" applyFont="1" applyFill="1" applyBorder="1" applyAlignment="1">
      <alignment horizontal="right"/>
    </xf>
    <xf numFmtId="0" fontId="71" fillId="0" borderId="5" xfId="0" applyFont="1" applyBorder="1"/>
    <xf numFmtId="166" fontId="70" fillId="22" borderId="2" xfId="0" applyNumberFormat="1" applyFont="1" applyFill="1" applyBorder="1" applyAlignment="1"/>
    <xf numFmtId="1" fontId="70" fillId="0" borderId="2" xfId="0" applyNumberFormat="1" applyFont="1" applyBorder="1" applyAlignment="1">
      <alignment horizontal="right" vertical="top"/>
    </xf>
    <xf numFmtId="1" fontId="71" fillId="0" borderId="2" xfId="0" applyNumberFormat="1" applyFont="1" applyBorder="1" applyAlignment="1"/>
    <xf numFmtId="0" fontId="71" fillId="0" borderId="2" xfId="0" applyFont="1" applyBorder="1" applyAlignment="1"/>
    <xf numFmtId="0" fontId="80" fillId="0" borderId="2" xfId="0" applyFont="1" applyBorder="1"/>
    <xf numFmtId="1" fontId="79" fillId="0" borderId="2" xfId="0" applyNumberFormat="1" applyFont="1" applyBorder="1" applyAlignment="1">
      <alignment horizontal="right"/>
    </xf>
    <xf numFmtId="2" fontId="71" fillId="59" borderId="2" xfId="0" applyNumberFormat="1" applyFont="1" applyFill="1" applyBorder="1"/>
    <xf numFmtId="166" fontId="71" fillId="59" borderId="2" xfId="0" applyNumberFormat="1" applyFont="1" applyFill="1" applyBorder="1"/>
    <xf numFmtId="1" fontId="71" fillId="59" borderId="2" xfId="0" applyNumberFormat="1" applyFont="1" applyFill="1" applyBorder="1"/>
    <xf numFmtId="166" fontId="70" fillId="59" borderId="2" xfId="0" applyNumberFormat="1" applyFont="1" applyFill="1" applyBorder="1" applyAlignment="1">
      <alignment horizontal="right"/>
    </xf>
    <xf numFmtId="0" fontId="69" fillId="59" borderId="2" xfId="0" applyFont="1" applyFill="1" applyBorder="1" applyAlignment="1">
      <alignment vertical="top"/>
    </xf>
    <xf numFmtId="0" fontId="47" fillId="0" borderId="7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166" fontId="45" fillId="0" borderId="2" xfId="0" applyNumberFormat="1" applyFont="1" applyBorder="1" applyAlignment="1">
      <alignment horizontal="right"/>
    </xf>
    <xf numFmtId="166" fontId="56" fillId="0" borderId="2" xfId="0" applyNumberFormat="1" applyFont="1" applyBorder="1" applyAlignment="1">
      <alignment horizontal="right"/>
    </xf>
    <xf numFmtId="0" fontId="56" fillId="0" borderId="2" xfId="0" applyFont="1" applyBorder="1" applyAlignment="1">
      <alignment horizontal="right"/>
    </xf>
    <xf numFmtId="0" fontId="56" fillId="0" borderId="2" xfId="0" applyFont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0" fontId="81" fillId="61" borderId="2" xfId="0" applyFont="1" applyFill="1" applyBorder="1" applyAlignment="1">
      <alignment horizontal="center" vertical="top"/>
    </xf>
    <xf numFmtId="0" fontId="81" fillId="61" borderId="2" xfId="0" applyFont="1" applyFill="1" applyBorder="1" applyAlignment="1">
      <alignment vertical="top"/>
    </xf>
    <xf numFmtId="166" fontId="81" fillId="61" borderId="2" xfId="0" applyNumberFormat="1" applyFont="1" applyFill="1" applyBorder="1" applyAlignment="1">
      <alignment horizontal="right" vertical="top"/>
    </xf>
    <xf numFmtId="1" fontId="81" fillId="61" borderId="2" xfId="0" applyNumberFormat="1" applyFont="1" applyFill="1" applyBorder="1" applyAlignment="1">
      <alignment horizontal="right" vertical="top"/>
    </xf>
    <xf numFmtId="0" fontId="81" fillId="61" borderId="2" xfId="0" applyFont="1" applyFill="1" applyBorder="1" applyAlignment="1">
      <alignment horizontal="right" vertical="top"/>
    </xf>
    <xf numFmtId="0" fontId="72" fillId="0" borderId="2" xfId="0" applyFont="1" applyBorder="1" applyAlignment="1">
      <alignment horizontal="center"/>
    </xf>
    <xf numFmtId="0" fontId="72" fillId="22" borderId="2" xfId="0" applyFont="1" applyFill="1" applyBorder="1" applyAlignment="1">
      <alignment horizontal="center"/>
    </xf>
    <xf numFmtId="0" fontId="70" fillId="0" borderId="2" xfId="0" applyFont="1" applyBorder="1" applyAlignment="1">
      <alignment horizontal="left" vertical="top"/>
    </xf>
    <xf numFmtId="0" fontId="71" fillId="23" borderId="2" xfId="0" applyFont="1" applyFill="1" applyBorder="1"/>
    <xf numFmtId="0" fontId="70" fillId="58" borderId="2" xfId="0" applyFont="1" applyFill="1" applyBorder="1" applyAlignment="1">
      <alignment horizontal="center" vertical="center"/>
    </xf>
    <xf numFmtId="166" fontId="72" fillId="0" borderId="2" xfId="0" applyNumberFormat="1" applyFont="1" applyBorder="1" applyAlignment="1">
      <alignment horizontal="right"/>
    </xf>
    <xf numFmtId="0" fontId="72" fillId="0" borderId="2" xfId="0" applyFont="1" applyBorder="1" applyAlignment="1">
      <alignment horizontal="right"/>
    </xf>
    <xf numFmtId="2" fontId="72" fillId="0" borderId="2" xfId="0" applyNumberFormat="1" applyFont="1" applyBorder="1" applyAlignment="1">
      <alignment horizontal="right"/>
    </xf>
    <xf numFmtId="0" fontId="0" fillId="59" borderId="0" xfId="0" applyFill="1"/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166" fontId="71" fillId="22" borderId="2" xfId="0" applyNumberFormat="1" applyFont="1" applyFill="1" applyBorder="1" applyAlignment="1"/>
    <xf numFmtId="2" fontId="71" fillId="22" borderId="2" xfId="0" applyNumberFormat="1" applyFont="1" applyFill="1" applyBorder="1"/>
    <xf numFmtId="166" fontId="71" fillId="22" borderId="2" xfId="0" applyNumberFormat="1" applyFont="1" applyFill="1" applyBorder="1"/>
    <xf numFmtId="1" fontId="71" fillId="22" borderId="2" xfId="0" applyNumberFormat="1" applyFont="1" applyFill="1" applyBorder="1"/>
    <xf numFmtId="0" fontId="73" fillId="22" borderId="2" xfId="507" applyFont="1" applyFill="1" applyBorder="1" applyAlignment="1">
      <alignment horizontal="center"/>
    </xf>
    <xf numFmtId="0" fontId="75" fillId="22" borderId="2" xfId="0" applyFont="1" applyFill="1" applyBorder="1"/>
    <xf numFmtId="0" fontId="71" fillId="22" borderId="2" xfId="0" applyFont="1" applyFill="1" applyBorder="1" applyAlignment="1"/>
    <xf numFmtId="1" fontId="71" fillId="22" borderId="2" xfId="0" applyNumberFormat="1" applyFont="1" applyFill="1" applyBorder="1" applyAlignment="1"/>
    <xf numFmtId="0" fontId="73" fillId="22" borderId="2" xfId="33" applyFont="1" applyFill="1" applyBorder="1" applyAlignment="1">
      <alignment horizontal="center"/>
    </xf>
    <xf numFmtId="0" fontId="71" fillId="22" borderId="2" xfId="0" applyFont="1" applyFill="1" applyBorder="1" applyAlignment="1">
      <alignment horizontal="right"/>
    </xf>
    <xf numFmtId="2" fontId="70" fillId="22" borderId="2" xfId="0" applyNumberFormat="1" applyFont="1" applyFill="1" applyBorder="1" applyAlignment="1">
      <alignment horizontal="center" vertical="top"/>
    </xf>
    <xf numFmtId="166" fontId="70" fillId="22" borderId="2" xfId="0" applyNumberFormat="1" applyFont="1" applyFill="1" applyBorder="1" applyAlignment="1">
      <alignment horizontal="center" vertical="top"/>
    </xf>
    <xf numFmtId="1" fontId="70" fillId="22" borderId="2" xfId="0" applyNumberFormat="1" applyFont="1" applyFill="1" applyBorder="1" applyAlignment="1">
      <alignment horizontal="right" vertical="top"/>
    </xf>
    <xf numFmtId="1" fontId="70" fillId="22" borderId="2" xfId="0" applyNumberFormat="1" applyFont="1" applyFill="1" applyBorder="1" applyAlignment="1">
      <alignment horizontal="center" vertical="top"/>
    </xf>
    <xf numFmtId="166" fontId="72" fillId="22" borderId="2" xfId="0" applyNumberFormat="1" applyFont="1" applyFill="1" applyBorder="1" applyAlignment="1">
      <alignment horizontal="right"/>
    </xf>
    <xf numFmtId="0" fontId="72" fillId="22" borderId="2" xfId="0" applyFont="1" applyFill="1" applyBorder="1" applyAlignment="1">
      <alignment horizontal="right"/>
    </xf>
    <xf numFmtId="0" fontId="72" fillId="22" borderId="2" xfId="0" applyFont="1" applyFill="1" applyBorder="1"/>
    <xf numFmtId="0" fontId="70" fillId="23" borderId="2" xfId="0" applyFont="1" applyFill="1" applyBorder="1" applyAlignment="1">
      <alignment horizontal="center" vertical="center"/>
    </xf>
    <xf numFmtId="0" fontId="71" fillId="23" borderId="2" xfId="0" applyFont="1" applyFill="1" applyBorder="1" applyAlignment="1">
      <alignment horizontal="center"/>
    </xf>
    <xf numFmtId="166" fontId="79" fillId="0" borderId="2" xfId="0" applyNumberFormat="1" applyFont="1" applyBorder="1" applyAlignment="1">
      <alignment horizontal="right"/>
    </xf>
    <xf numFmtId="0" fontId="76" fillId="0" borderId="7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46" fillId="0" borderId="2" xfId="0" applyFont="1" applyFill="1" applyBorder="1"/>
    <xf numFmtId="0" fontId="76" fillId="0" borderId="0" xfId="1278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82" fillId="22" borderId="2" xfId="0" applyFont="1" applyFill="1" applyBorder="1" applyAlignment="1">
      <alignment horizontal="center" vertical="top"/>
    </xf>
    <xf numFmtId="166" fontId="70" fillId="22" borderId="2" xfId="0" applyNumberFormat="1" applyFont="1" applyFill="1" applyBorder="1" applyAlignment="1">
      <alignment horizontal="right" vertical="top"/>
    </xf>
    <xf numFmtId="0" fontId="70" fillId="22" borderId="2" xfId="0" applyFont="1" applyFill="1" applyBorder="1" applyAlignment="1">
      <alignment horizontal="center" vertical="top"/>
    </xf>
    <xf numFmtId="0" fontId="71" fillId="0" borderId="2" xfId="0" applyNumberFormat="1" applyFont="1" applyBorder="1" applyAlignment="1">
      <alignment horizontal="center"/>
    </xf>
    <xf numFmtId="0" fontId="81" fillId="59" borderId="2" xfId="0" applyFont="1" applyFill="1" applyBorder="1" applyAlignment="1">
      <alignment vertical="top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" fontId="71" fillId="22" borderId="2" xfId="0" applyNumberFormat="1" applyFont="1" applyFill="1" applyBorder="1" applyAlignment="1">
      <alignment horizontal="center"/>
    </xf>
    <xf numFmtId="166" fontId="70" fillId="0" borderId="2" xfId="0" applyNumberFormat="1" applyFont="1" applyBorder="1" applyAlignment="1">
      <alignment horizontal="right" vertical="top"/>
    </xf>
    <xf numFmtId="1" fontId="70" fillId="0" borderId="2" xfId="0" applyNumberFormat="1" applyFont="1" applyBorder="1" applyAlignment="1">
      <alignment vertical="top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22" borderId="2" xfId="0" applyFont="1" applyFill="1" applyBorder="1" applyAlignment="1">
      <alignment horizontal="center"/>
    </xf>
    <xf numFmtId="14" fontId="71" fillId="0" borderId="2" xfId="0" applyNumberFormat="1" applyFont="1" applyBorder="1"/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2" fontId="39" fillId="0" borderId="0" xfId="0" applyNumberFormat="1" applyFont="1"/>
    <xf numFmtId="2" fontId="71" fillId="0" borderId="2" xfId="0" applyNumberFormat="1" applyFont="1" applyFill="1" applyBorder="1" applyAlignment="1">
      <alignment horizontal="center"/>
    </xf>
    <xf numFmtId="1" fontId="71" fillId="23" borderId="2" xfId="0" applyNumberFormat="1" applyFont="1" applyFill="1" applyBorder="1" applyAlignment="1">
      <alignment horizontal="right"/>
    </xf>
    <xf numFmtId="166" fontId="71" fillId="23" borderId="2" xfId="0" applyNumberFormat="1" applyFont="1" applyFill="1" applyBorder="1" applyAlignment="1">
      <alignment horizontal="center"/>
    </xf>
    <xf numFmtId="166" fontId="71" fillId="23" borderId="2" xfId="0" applyNumberFormat="1" applyFont="1" applyFill="1" applyBorder="1" applyAlignment="1">
      <alignment horizontal="right"/>
    </xf>
    <xf numFmtId="0" fontId="71" fillId="63" borderId="2" xfId="0" applyFont="1" applyFill="1" applyBorder="1"/>
    <xf numFmtId="0" fontId="71" fillId="67" borderId="2" xfId="0" applyFont="1" applyFill="1" applyBorder="1"/>
    <xf numFmtId="166" fontId="70" fillId="0" borderId="2" xfId="0" applyNumberFormat="1" applyFont="1" applyFill="1" applyBorder="1" applyAlignment="1">
      <alignment horizontal="center"/>
    </xf>
    <xf numFmtId="0" fontId="37" fillId="0" borderId="0" xfId="0" applyFont="1"/>
    <xf numFmtId="0" fontId="70" fillId="0" borderId="2" xfId="0" applyFont="1" applyBorder="1"/>
    <xf numFmtId="2" fontId="70" fillId="0" borderId="2" xfId="0" applyNumberFormat="1" applyFont="1" applyFill="1" applyBorder="1" applyAlignment="1">
      <alignment horizontal="center" vertical="top" wrapText="1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71" fillId="59" borderId="2" xfId="0" applyNumberFormat="1" applyFont="1" applyFill="1" applyBorder="1" applyAlignment="1"/>
    <xf numFmtId="0" fontId="70" fillId="22" borderId="6" xfId="1278" applyFont="1" applyFill="1" applyBorder="1" applyAlignment="1">
      <alignment horizontal="center"/>
    </xf>
    <xf numFmtId="1" fontId="70" fillId="22" borderId="2" xfId="0" applyNumberFormat="1" applyFont="1" applyFill="1" applyBorder="1" applyAlignment="1">
      <alignment horizontal="right"/>
    </xf>
    <xf numFmtId="0" fontId="71" fillId="61" borderId="2" xfId="0" applyFont="1" applyFill="1" applyBorder="1"/>
    <xf numFmtId="166" fontId="71" fillId="61" borderId="2" xfId="0" applyNumberFormat="1" applyFont="1" applyFill="1" applyBorder="1" applyAlignment="1">
      <alignment horizontal="right"/>
    </xf>
    <xf numFmtId="0" fontId="71" fillId="61" borderId="2" xfId="0" applyFont="1" applyFill="1" applyBorder="1" applyAlignment="1">
      <alignment horizontal="right"/>
    </xf>
    <xf numFmtId="0" fontId="70" fillId="59" borderId="2" xfId="0" applyFont="1" applyFill="1" applyBorder="1" applyAlignment="1">
      <alignment horizontal="center" vertical="center"/>
    </xf>
    <xf numFmtId="0" fontId="71" fillId="59" borderId="2" xfId="0" applyFont="1" applyFill="1" applyBorder="1" applyAlignment="1">
      <alignment horizontal="center"/>
    </xf>
    <xf numFmtId="0" fontId="70" fillId="59" borderId="2" xfId="0" applyFont="1" applyFill="1" applyBorder="1" applyAlignment="1">
      <alignment horizontal="center" vertical="top"/>
    </xf>
    <xf numFmtId="0" fontId="0" fillId="59" borderId="2" xfId="0" applyFill="1" applyBorder="1"/>
    <xf numFmtId="166" fontId="70" fillId="0" borderId="2" xfId="0" applyNumberFormat="1" applyFont="1" applyFill="1" applyBorder="1" applyAlignment="1">
      <alignment horizontal="center"/>
    </xf>
    <xf numFmtId="0" fontId="71" fillId="64" borderId="2" xfId="0" applyFont="1" applyFill="1" applyBorder="1"/>
    <xf numFmtId="166" fontId="71" fillId="64" borderId="2" xfId="0" applyNumberFormat="1" applyFont="1" applyFill="1" applyBorder="1"/>
    <xf numFmtId="1" fontId="71" fillId="64" borderId="2" xfId="0" applyNumberFormat="1" applyFont="1" applyFill="1" applyBorder="1"/>
    <xf numFmtId="166" fontId="70" fillId="64" borderId="2" xfId="0" applyNumberFormat="1" applyFont="1" applyFill="1" applyBorder="1" applyAlignment="1">
      <alignment horizontal="right"/>
    </xf>
    <xf numFmtId="0" fontId="76" fillId="0" borderId="0" xfId="1278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2" fillId="0" borderId="2" xfId="0" applyFont="1" applyBorder="1"/>
    <xf numFmtId="166" fontId="72" fillId="0" borderId="2" xfId="0" applyNumberFormat="1" applyFont="1" applyBorder="1" applyAlignment="1"/>
    <xf numFmtId="166" fontId="73" fillId="0" borderId="2" xfId="0" applyNumberFormat="1" applyFont="1" applyBorder="1"/>
    <xf numFmtId="0" fontId="72" fillId="23" borderId="2" xfId="0" applyFont="1" applyFill="1" applyBorder="1"/>
    <xf numFmtId="166" fontId="72" fillId="23" borderId="2" xfId="0" applyNumberFormat="1" applyFont="1" applyFill="1" applyBorder="1" applyAlignment="1">
      <alignment horizontal="right"/>
    </xf>
    <xf numFmtId="0" fontId="72" fillId="23" borderId="2" xfId="0" applyFont="1" applyFill="1" applyBorder="1" applyAlignment="1">
      <alignment horizontal="right"/>
    </xf>
    <xf numFmtId="166" fontId="70" fillId="23" borderId="2" xfId="0" applyNumberFormat="1" applyFont="1" applyFill="1" applyBorder="1" applyAlignment="1"/>
    <xf numFmtId="0" fontId="75" fillId="23" borderId="2" xfId="0" applyFont="1" applyFill="1" applyBorder="1"/>
    <xf numFmtId="166" fontId="73" fillId="23" borderId="2" xfId="0" applyNumberFormat="1" applyFont="1" applyFill="1" applyBorder="1"/>
    <xf numFmtId="166" fontId="72" fillId="23" borderId="2" xfId="0" applyNumberFormat="1" applyFont="1" applyFill="1" applyBorder="1" applyAlignment="1"/>
    <xf numFmtId="0" fontId="71" fillId="23" borderId="2" xfId="0" applyFont="1" applyFill="1" applyBorder="1" applyAlignment="1">
      <alignment horizontal="right"/>
    </xf>
    <xf numFmtId="0" fontId="71" fillId="23" borderId="2" xfId="0" applyFont="1" applyFill="1" applyBorder="1" applyAlignment="1"/>
    <xf numFmtId="166" fontId="71" fillId="23" borderId="2" xfId="0" applyNumberFormat="1" applyFont="1" applyFill="1" applyBorder="1"/>
    <xf numFmtId="1" fontId="71" fillId="23" borderId="2" xfId="0" applyNumberFormat="1" applyFont="1" applyFill="1" applyBorder="1"/>
    <xf numFmtId="0" fontId="83" fillId="0" borderId="2" xfId="0" applyFont="1" applyBorder="1"/>
    <xf numFmtId="166" fontId="84" fillId="0" borderId="2" xfId="0" applyNumberFormat="1" applyFont="1" applyBorder="1" applyAlignment="1">
      <alignment horizontal="right"/>
    </xf>
    <xf numFmtId="0" fontId="84" fillId="0" borderId="2" xfId="0" applyFont="1" applyBorder="1" applyAlignment="1">
      <alignment horizontal="right"/>
    </xf>
    <xf numFmtId="166" fontId="85" fillId="22" borderId="2" xfId="0" applyNumberFormat="1" applyFont="1" applyFill="1" applyBorder="1" applyAlignment="1">
      <alignment horizontal="right"/>
    </xf>
    <xf numFmtId="0" fontId="86" fillId="0" borderId="2" xfId="0" applyFont="1" applyBorder="1"/>
    <xf numFmtId="166" fontId="87" fillId="0" borderId="2" xfId="0" applyNumberFormat="1" applyFont="1" applyBorder="1"/>
    <xf numFmtId="0" fontId="83" fillId="0" borderId="2" xfId="0" applyFont="1" applyBorder="1" applyAlignment="1">
      <alignment horizontal="right"/>
    </xf>
    <xf numFmtId="166" fontId="83" fillId="0" borderId="2" xfId="0" applyNumberFormat="1" applyFont="1" applyBorder="1" applyAlignment="1">
      <alignment horizontal="right"/>
    </xf>
    <xf numFmtId="166" fontId="88" fillId="0" borderId="2" xfId="0" applyNumberFormat="1" applyFont="1" applyBorder="1" applyAlignment="1">
      <alignment horizontal="right"/>
    </xf>
    <xf numFmtId="0" fontId="88" fillId="0" borderId="2" xfId="0" applyFont="1" applyBorder="1" applyAlignment="1">
      <alignment horizontal="right"/>
    </xf>
    <xf numFmtId="166" fontId="78" fillId="22" borderId="2" xfId="0" applyNumberFormat="1" applyFont="1" applyFill="1" applyBorder="1" applyAlignment="1">
      <alignment horizontal="right"/>
    </xf>
    <xf numFmtId="166" fontId="89" fillId="0" borderId="2" xfId="0" applyNumberFormat="1" applyFont="1" applyBorder="1"/>
    <xf numFmtId="166" fontId="90" fillId="22" borderId="2" xfId="0" applyNumberFormat="1" applyFont="1" applyFill="1" applyBorder="1" applyAlignment="1">
      <alignment horizontal="right"/>
    </xf>
    <xf numFmtId="166" fontId="91" fillId="0" borderId="2" xfId="0" applyNumberFormat="1" applyFont="1" applyBorder="1"/>
    <xf numFmtId="1" fontId="72" fillId="0" borderId="2" xfId="0" applyNumberFormat="1" applyFont="1" applyBorder="1" applyAlignment="1">
      <alignment horizontal="right"/>
    </xf>
    <xf numFmtId="0" fontId="79" fillId="0" borderId="2" xfId="0" applyFont="1" applyBorder="1"/>
    <xf numFmtId="0" fontId="71" fillId="60" borderId="2" xfId="0" applyFont="1" applyFill="1" applyBorder="1"/>
    <xf numFmtId="0" fontId="72" fillId="59" borderId="2" xfId="0" applyFont="1" applyFill="1" applyBorder="1"/>
    <xf numFmtId="166" fontId="76" fillId="59" borderId="6" xfId="1278" applyNumberFormat="1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166" fontId="71" fillId="0" borderId="0" xfId="0" applyNumberFormat="1" applyFont="1"/>
    <xf numFmtId="1" fontId="71" fillId="0" borderId="0" xfId="0" applyNumberFormat="1" applyFont="1"/>
    <xf numFmtId="2" fontId="79" fillId="0" borderId="2" xfId="0" applyNumberFormat="1" applyFont="1" applyBorder="1"/>
    <xf numFmtId="166" fontId="79" fillId="0" borderId="2" xfId="0" applyNumberFormat="1" applyFont="1" applyBorder="1"/>
    <xf numFmtId="1" fontId="79" fillId="0" borderId="2" xfId="0" applyNumberFormat="1" applyFont="1" applyBorder="1"/>
    <xf numFmtId="166" fontId="73" fillId="22" borderId="2" xfId="0" applyNumberFormat="1" applyFont="1" applyFill="1" applyBorder="1"/>
    <xf numFmtId="166" fontId="72" fillId="22" borderId="2" xfId="0" applyNumberFormat="1" applyFont="1" applyFill="1" applyBorder="1" applyAlignment="1"/>
    <xf numFmtId="0" fontId="70" fillId="68" borderId="2" xfId="0" applyFont="1" applyFill="1" applyBorder="1" applyAlignment="1">
      <alignment horizontal="center" vertical="center"/>
    </xf>
    <xf numFmtId="0" fontId="71" fillId="68" borderId="2" xfId="0" applyFont="1" applyFill="1" applyBorder="1"/>
    <xf numFmtId="0" fontId="79" fillId="0" borderId="2" xfId="0" applyFont="1" applyBorder="1" applyAlignment="1">
      <alignment horizontal="center"/>
    </xf>
    <xf numFmtId="0" fontId="79" fillId="0" borderId="2" xfId="0" applyFont="1" applyBorder="1" applyAlignment="1">
      <alignment horizontal="right"/>
    </xf>
    <xf numFmtId="166" fontId="70" fillId="0" borderId="2" xfId="0" applyNumberFormat="1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0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1" fontId="72" fillId="22" borderId="2" xfId="0" applyNumberFormat="1" applyFont="1" applyFill="1" applyBorder="1" applyAlignment="1">
      <alignment horizontal="right"/>
    </xf>
    <xf numFmtId="166" fontId="81" fillId="22" borderId="2" xfId="0" applyNumberFormat="1" applyFont="1" applyFill="1" applyBorder="1"/>
    <xf numFmtId="0" fontId="81" fillId="22" borderId="2" xfId="0" applyFont="1" applyFill="1" applyBorder="1"/>
    <xf numFmtId="0" fontId="70" fillId="22" borderId="0" xfId="1278" applyFont="1" applyFill="1" applyBorder="1" applyAlignment="1">
      <alignment horizontal="center"/>
    </xf>
    <xf numFmtId="2" fontId="72" fillId="22" borderId="2" xfId="0" applyNumberFormat="1" applyFont="1" applyFill="1" applyBorder="1" applyAlignment="1">
      <alignment horizontal="center"/>
    </xf>
    <xf numFmtId="166" fontId="79" fillId="0" borderId="2" xfId="0" applyNumberFormat="1" applyFont="1" applyBorder="1" applyAlignment="1"/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6" fillId="22" borderId="0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0" fillId="22" borderId="2" xfId="0" applyFont="1" applyFill="1" applyBorder="1"/>
    <xf numFmtId="166" fontId="72" fillId="61" borderId="2" xfId="0" applyNumberFormat="1" applyFont="1" applyFill="1" applyBorder="1" applyAlignment="1">
      <alignment horizontal="right"/>
    </xf>
    <xf numFmtId="0" fontId="72" fillId="61" borderId="2" xfId="0" applyFont="1" applyFill="1" applyBorder="1" applyAlignment="1">
      <alignment horizontal="right"/>
    </xf>
    <xf numFmtId="0" fontId="72" fillId="61" borderId="2" xfId="0" applyFont="1" applyFill="1" applyBorder="1"/>
    <xf numFmtId="0" fontId="81" fillId="61" borderId="2" xfId="0" applyFont="1" applyFill="1" applyBorder="1"/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166" fontId="0" fillId="59" borderId="0" xfId="0" applyNumberFormat="1" applyFill="1"/>
    <xf numFmtId="0" fontId="72" fillId="59" borderId="2" xfId="0" applyFont="1" applyFill="1" applyBorder="1" applyAlignment="1">
      <alignment horizontal="right"/>
    </xf>
    <xf numFmtId="166" fontId="72" fillId="59" borderId="2" xfId="0" applyNumberFormat="1" applyFont="1" applyFill="1" applyBorder="1" applyAlignment="1">
      <alignment horizontal="right"/>
    </xf>
    <xf numFmtId="166" fontId="70" fillId="59" borderId="2" xfId="0" applyNumberFormat="1" applyFont="1" applyFill="1" applyBorder="1" applyAlignment="1"/>
    <xf numFmtId="0" fontId="75" fillId="59" borderId="2" xfId="0" applyFont="1" applyFill="1" applyBorder="1"/>
    <xf numFmtId="166" fontId="73" fillId="59" borderId="2" xfId="0" applyNumberFormat="1" applyFont="1" applyFill="1" applyBorder="1"/>
    <xf numFmtId="166" fontId="72" fillId="59" borderId="2" xfId="0" applyNumberFormat="1" applyFont="1" applyFill="1" applyBorder="1" applyAlignment="1"/>
    <xf numFmtId="0" fontId="71" fillId="58" borderId="2" xfId="0" applyFont="1" applyFill="1" applyBorder="1"/>
    <xf numFmtId="1" fontId="71" fillId="23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0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0" xfId="1278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6" fontId="80" fillId="0" borderId="2" xfId="0" applyNumberFormat="1" applyFont="1" applyBorder="1"/>
    <xf numFmtId="1" fontId="80" fillId="0" borderId="2" xfId="0" applyNumberFormat="1" applyFont="1" applyBorder="1"/>
    <xf numFmtId="0" fontId="83" fillId="59" borderId="2" xfId="0" applyFont="1" applyFill="1" applyBorder="1"/>
    <xf numFmtId="0" fontId="70" fillId="60" borderId="2" xfId="0" applyFont="1" applyFill="1" applyBorder="1" applyAlignment="1">
      <alignment horizontal="center" vertic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0" xfId="1278" applyFont="1" applyFill="1" applyBorder="1" applyAlignment="1">
      <alignment horizontal="center"/>
    </xf>
    <xf numFmtId="0" fontId="70" fillId="62" borderId="6" xfId="1278" applyFont="1" applyFill="1" applyBorder="1" applyAlignment="1">
      <alignment horizontal="center"/>
    </xf>
    <xf numFmtId="166" fontId="76" fillId="62" borderId="6" xfId="1278" applyNumberFormat="1" applyFont="1" applyFill="1" applyBorder="1" applyAlignment="1">
      <alignment horizontal="center"/>
    </xf>
    <xf numFmtId="0" fontId="76" fillId="62" borderId="7" xfId="1278" applyFont="1" applyFill="1" applyBorder="1" applyAlignment="1">
      <alignment horizontal="center"/>
    </xf>
    <xf numFmtId="0" fontId="76" fillId="62" borderId="0" xfId="1278" applyFont="1" applyFill="1" applyBorder="1" applyAlignment="1">
      <alignment horizontal="center"/>
    </xf>
    <xf numFmtId="0" fontId="76" fillId="62" borderId="8" xfId="1278" applyFont="1" applyFill="1" applyBorder="1" applyAlignment="1">
      <alignment horizontal="center"/>
    </xf>
    <xf numFmtId="0" fontId="70" fillId="62" borderId="2" xfId="0" applyFont="1" applyFill="1" applyBorder="1" applyAlignment="1">
      <alignment horizontal="center" vertical="center"/>
    </xf>
    <xf numFmtId="0" fontId="72" fillId="62" borderId="2" xfId="0" applyFont="1" applyFill="1" applyBorder="1"/>
    <xf numFmtId="0" fontId="0" fillId="0" borderId="0" xfId="0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166" fontId="79" fillId="22" borderId="2" xfId="0" applyNumberFormat="1" applyFont="1" applyFill="1" applyBorder="1"/>
    <xf numFmtId="1" fontId="79" fillId="22" borderId="2" xfId="0" applyNumberFormat="1" applyFont="1" applyFill="1" applyBorder="1"/>
    <xf numFmtId="0" fontId="70" fillId="59" borderId="2" xfId="0" applyFont="1" applyFill="1" applyBorder="1" applyAlignment="1">
      <alignment horizontal="center"/>
    </xf>
    <xf numFmtId="1" fontId="72" fillId="59" borderId="2" xfId="0" applyNumberFormat="1" applyFont="1" applyFill="1" applyBorder="1" applyAlignment="1">
      <alignment horizontal="right"/>
    </xf>
    <xf numFmtId="0" fontId="76" fillId="0" borderId="2" xfId="0" applyFont="1" applyFill="1" applyBorder="1"/>
    <xf numFmtId="166" fontId="70" fillId="0" borderId="2" xfId="0" applyNumberFormat="1" applyFont="1" applyFill="1" applyBorder="1"/>
    <xf numFmtId="0" fontId="70" fillId="0" borderId="2" xfId="0" applyFont="1" applyFill="1" applyBorder="1" applyAlignment="1">
      <alignment horizontal="right"/>
    </xf>
    <xf numFmtId="0" fontId="71" fillId="0" borderId="37" xfId="0" applyFont="1" applyBorder="1" applyAlignment="1">
      <alignment horizontal="center"/>
    </xf>
    <xf numFmtId="0" fontId="71" fillId="0" borderId="38" xfId="0" applyFont="1" applyBorder="1" applyAlignment="1">
      <alignment horizontal="center"/>
    </xf>
    <xf numFmtId="0" fontId="71" fillId="0" borderId="39" xfId="0" applyFont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0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1" fillId="22" borderId="2" xfId="0" applyFont="1" applyFill="1" applyBorder="1" applyAlignment="1">
      <alignment vertical="center"/>
    </xf>
    <xf numFmtId="0" fontId="77" fillId="0" borderId="2" xfId="0" applyFont="1" applyBorder="1" applyAlignment="1">
      <alignment horizontal="right"/>
    </xf>
    <xf numFmtId="2" fontId="77" fillId="0" borderId="2" xfId="0" applyNumberFormat="1" applyFont="1" applyBorder="1"/>
    <xf numFmtId="166" fontId="77" fillId="0" borderId="2" xfId="0" applyNumberFormat="1" applyFont="1" applyBorder="1"/>
    <xf numFmtId="1" fontId="77" fillId="0" borderId="2" xfId="0" applyNumberFormat="1" applyFont="1" applyBorder="1"/>
    <xf numFmtId="0" fontId="72" fillId="58" borderId="2" xfId="0" applyFont="1" applyFill="1" applyBorder="1" applyAlignment="1">
      <alignment horizontal="center"/>
    </xf>
    <xf numFmtId="0" fontId="71" fillId="58" borderId="2" xfId="0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6" fillId="22" borderId="0" xfId="1278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48" fillId="0" borderId="38" xfId="0" applyFont="1" applyBorder="1" applyAlignment="1">
      <alignment horizontal="center" vertical="center" wrapText="1"/>
    </xf>
    <xf numFmtId="0" fontId="46" fillId="0" borderId="37" xfId="0" applyFont="1" applyBorder="1" applyAlignment="1">
      <alignment horizontal="center" vertical="center" wrapText="1"/>
    </xf>
    <xf numFmtId="0" fontId="46" fillId="0" borderId="38" xfId="0" applyFont="1" applyBorder="1" applyAlignment="1">
      <alignment horizontal="center" vertical="center" wrapText="1"/>
    </xf>
    <xf numFmtId="0" fontId="46" fillId="0" borderId="3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9" fillId="0" borderId="0" xfId="0" applyFont="1" applyBorder="1"/>
    <xf numFmtId="0" fontId="4" fillId="0" borderId="0" xfId="0" applyFont="1" applyFill="1" applyBorder="1" applyAlignment="1">
      <alignment horizontal="center" vertical="top" wrapText="1"/>
    </xf>
    <xf numFmtId="0" fontId="42" fillId="0" borderId="0" xfId="0" applyFont="1" applyBorder="1"/>
    <xf numFmtId="0" fontId="42" fillId="0" borderId="0" xfId="0" applyFont="1" applyBorder="1" applyAlignment="1">
      <alignment horizontal="center" vertical="center" wrapText="1"/>
    </xf>
    <xf numFmtId="0" fontId="42" fillId="0" borderId="0" xfId="0" applyFont="1" applyBorder="1" applyAlignment="1">
      <alignment horizontal="center" vertical="center"/>
    </xf>
    <xf numFmtId="0" fontId="46" fillId="0" borderId="0" xfId="0" applyFont="1" applyBorder="1" applyAlignment="1">
      <alignment horizontal="center" vertical="center" wrapText="1"/>
    </xf>
    <xf numFmtId="0" fontId="48" fillId="0" borderId="0" xfId="0" applyFont="1" applyBorder="1"/>
    <xf numFmtId="0" fontId="48" fillId="0" borderId="0" xfId="0" applyFont="1" applyBorder="1" applyAlignment="1">
      <alignment horizontal="center" vertical="center" wrapText="1"/>
    </xf>
    <xf numFmtId="0" fontId="48" fillId="0" borderId="0" xfId="0" applyFont="1" applyBorder="1" applyAlignment="1">
      <alignment horizontal="center"/>
    </xf>
    <xf numFmtId="0" fontId="50" fillId="0" borderId="0" xfId="0" applyFont="1" applyBorder="1"/>
    <xf numFmtId="0" fontId="46" fillId="0" borderId="0" xfId="0" applyFont="1" applyBorder="1" applyAlignment="1">
      <alignment horizontal="center" vertical="center"/>
    </xf>
    <xf numFmtId="166" fontId="48" fillId="0" borderId="0" xfId="0" applyNumberFormat="1" applyFont="1" applyBorder="1"/>
    <xf numFmtId="166" fontId="48" fillId="22" borderId="0" xfId="0" applyNumberFormat="1" applyFont="1" applyFill="1" applyBorder="1"/>
    <xf numFmtId="0" fontId="48" fillId="22" borderId="0" xfId="0" applyFont="1" applyFill="1" applyBorder="1"/>
    <xf numFmtId="166" fontId="4" fillId="0" borderId="0" xfId="0" applyNumberFormat="1" applyFont="1" applyBorder="1" applyAlignment="1">
      <alignment horizontal="center" vertical="top"/>
    </xf>
    <xf numFmtId="166" fontId="42" fillId="0" borderId="0" xfId="0" applyNumberFormat="1" applyFont="1" applyBorder="1" applyAlignment="1">
      <alignment horizontal="center"/>
    </xf>
    <xf numFmtId="0" fontId="42" fillId="0" borderId="0" xfId="0" applyFont="1" applyBorder="1" applyAlignment="1">
      <alignment horizontal="right"/>
    </xf>
    <xf numFmtId="166" fontId="42" fillId="22" borderId="0" xfId="0" applyNumberFormat="1" applyFont="1" applyFill="1" applyBorder="1" applyAlignment="1">
      <alignment horizontal="right"/>
    </xf>
    <xf numFmtId="0" fontId="45" fillId="0" borderId="0" xfId="0" applyFont="1" applyFill="1" applyBorder="1" applyAlignment="1">
      <alignment horizontal="center" vertical="top" wrapText="1"/>
    </xf>
    <xf numFmtId="0" fontId="49" fillId="0" borderId="0" xfId="0" applyFont="1" applyBorder="1"/>
    <xf numFmtId="0" fontId="71" fillId="0" borderId="0" xfId="0" applyFont="1" applyBorder="1"/>
    <xf numFmtId="0" fontId="46" fillId="22" borderId="0" xfId="0" applyFont="1" applyFill="1" applyBorder="1"/>
    <xf numFmtId="166" fontId="46" fillId="0" borderId="0" xfId="0" applyNumberFormat="1" applyFont="1" applyBorder="1" applyAlignment="1">
      <alignment horizontal="right"/>
    </xf>
    <xf numFmtId="2" fontId="46" fillId="0" borderId="0" xfId="0" applyNumberFormat="1" applyFont="1" applyBorder="1"/>
    <xf numFmtId="0" fontId="70" fillId="0" borderId="0" xfId="0" applyFont="1" applyFill="1" applyBorder="1" applyAlignment="1">
      <alignment horizontal="center" vertical="top" wrapText="1"/>
    </xf>
    <xf numFmtId="0" fontId="77" fillId="0" borderId="0" xfId="0" applyFont="1" applyBorder="1" applyAlignment="1">
      <alignment horizontal="center"/>
    </xf>
    <xf numFmtId="0" fontId="71" fillId="22" borderId="0" xfId="0" applyFont="1" applyFill="1" applyBorder="1"/>
    <xf numFmtId="0" fontId="71" fillId="59" borderId="0" xfId="0" applyFont="1" applyFill="1" applyBorder="1"/>
    <xf numFmtId="166" fontId="71" fillId="0" borderId="0" xfId="0" applyNumberFormat="1" applyFont="1" applyBorder="1"/>
    <xf numFmtId="166" fontId="70" fillId="22" borderId="0" xfId="0" applyNumberFormat="1" applyFont="1" applyFill="1" applyBorder="1" applyAlignment="1">
      <alignment horizontal="right"/>
    </xf>
    <xf numFmtId="166" fontId="83" fillId="0" borderId="0" xfId="0" applyNumberFormat="1" applyFont="1" applyBorder="1" applyAlignment="1">
      <alignment horizontal="right"/>
    </xf>
    <xf numFmtId="0" fontId="71" fillId="23" borderId="0" xfId="0" applyFont="1" applyFill="1" applyBorder="1"/>
    <xf numFmtId="0" fontId="71" fillId="0" borderId="0" xfId="0" applyFont="1" applyBorder="1" applyAlignment="1">
      <alignment horizontal="center"/>
    </xf>
    <xf numFmtId="0" fontId="71" fillId="22" borderId="0" xfId="0" applyFont="1" applyFill="1" applyBorder="1" applyAlignment="1">
      <alignment horizontal="center"/>
    </xf>
    <xf numFmtId="0" fontId="71" fillId="22" borderId="0" xfId="0" applyFont="1" applyFill="1" applyBorder="1" applyAlignment="1">
      <alignment horizontal="center" vertical="center"/>
    </xf>
    <xf numFmtId="0" fontId="71" fillId="22" borderId="0" xfId="0" applyFont="1" applyFill="1" applyBorder="1" applyAlignment="1">
      <alignment vertical="center"/>
    </xf>
    <xf numFmtId="0" fontId="79" fillId="0" borderId="0" xfId="0" applyFont="1" applyBorder="1"/>
    <xf numFmtId="0" fontId="77" fillId="0" borderId="0" xfId="0" applyFont="1" applyBorder="1"/>
    <xf numFmtId="0" fontId="76" fillId="0" borderId="7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0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71" fillId="0" borderId="2" xfId="0" applyFont="1" applyFill="1" applyBorder="1" applyAlignment="1">
      <alignment horizontal="center"/>
    </xf>
    <xf numFmtId="1" fontId="94" fillId="0" borderId="2" xfId="0" applyNumberFormat="1" applyFont="1" applyBorder="1"/>
    <xf numFmtId="166" fontId="95" fillId="22" borderId="2" xfId="0" applyNumberFormat="1" applyFont="1" applyFill="1" applyBorder="1" applyAlignment="1">
      <alignment horizontal="right"/>
    </xf>
    <xf numFmtId="0" fontId="77" fillId="0" borderId="37" xfId="0" applyFont="1" applyBorder="1" applyAlignment="1"/>
    <xf numFmtId="0" fontId="77" fillId="0" borderId="38" xfId="0" applyFont="1" applyBorder="1" applyAlignment="1"/>
    <xf numFmtId="0" fontId="77" fillId="0" borderId="39" xfId="0" applyFont="1" applyBorder="1" applyAlignment="1"/>
    <xf numFmtId="0" fontId="47" fillId="0" borderId="45" xfId="1278" applyFont="1" applyFill="1" applyBorder="1" applyAlignment="1">
      <alignment horizontal="center"/>
    </xf>
    <xf numFmtId="166" fontId="94" fillId="0" borderId="2" xfId="0" applyNumberFormat="1" applyFont="1" applyBorder="1" applyAlignment="1">
      <alignment horizontal="center"/>
    </xf>
    <xf numFmtId="0" fontId="96" fillId="0" borderId="2" xfId="0" applyFont="1" applyBorder="1"/>
    <xf numFmtId="2" fontId="94" fillId="0" borderId="2" xfId="0" applyNumberFormat="1" applyFont="1" applyBorder="1" applyAlignment="1">
      <alignment horizontal="center"/>
    </xf>
    <xf numFmtId="0" fontId="70" fillId="22" borderId="2" xfId="0" applyFont="1" applyFill="1" applyBorder="1" applyAlignment="1">
      <alignment horizontal="left" vertical="center"/>
    </xf>
    <xf numFmtId="0" fontId="71" fillId="0" borderId="37" xfId="0" applyFont="1" applyBorder="1"/>
    <xf numFmtId="0" fontId="77" fillId="0" borderId="45" xfId="0" applyFont="1" applyBorder="1" applyAlignment="1"/>
    <xf numFmtId="0" fontId="47" fillId="0" borderId="45" xfId="1278" applyFont="1" applyFill="1" applyBorder="1" applyAlignment="1"/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0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7" fillId="59" borderId="2" xfId="0" applyFont="1" applyFill="1" applyBorder="1"/>
    <xf numFmtId="0" fontId="70" fillId="0" borderId="17" xfId="1279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0" fillId="64" borderId="2" xfId="0" applyFont="1" applyFill="1" applyBorder="1" applyAlignment="1">
      <alignment horizontal="center" vertical="center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0" fillId="0" borderId="0" xfId="1278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170" fontId="97" fillId="22" borderId="2" xfId="0" applyNumberFormat="1" applyFont="1" applyFill="1" applyBorder="1" applyAlignment="1">
      <alignment horizontal="center"/>
    </xf>
    <xf numFmtId="0" fontId="97" fillId="22" borderId="2" xfId="0" applyFont="1" applyFill="1" applyBorder="1" applyAlignment="1">
      <alignment horizontal="center"/>
    </xf>
    <xf numFmtId="0" fontId="77" fillId="22" borderId="2" xfId="0" applyFont="1" applyFill="1" applyBorder="1"/>
    <xf numFmtId="1" fontId="77" fillId="22" borderId="2" xfId="0" applyNumberFormat="1" applyFont="1" applyFill="1" applyBorder="1"/>
    <xf numFmtId="166" fontId="77" fillId="22" borderId="2" xfId="0" applyNumberFormat="1" applyFont="1" applyFill="1" applyBorder="1"/>
    <xf numFmtId="1" fontId="83" fillId="22" borderId="2" xfId="0" applyNumberFormat="1" applyFont="1" applyFill="1" applyBorder="1" applyAlignment="1">
      <alignment horizontal="center"/>
    </xf>
    <xf numFmtId="2" fontId="83" fillId="22" borderId="2" xfId="0" applyNumberFormat="1" applyFont="1" applyFill="1" applyBorder="1" applyAlignment="1">
      <alignment horizontal="center"/>
    </xf>
    <xf numFmtId="0" fontId="83" fillId="22" borderId="2" xfId="0" applyFont="1" applyFill="1" applyBorder="1" applyAlignment="1">
      <alignment horizontal="center"/>
    </xf>
    <xf numFmtId="4" fontId="83" fillId="22" borderId="2" xfId="0" applyNumberFormat="1" applyFont="1" applyFill="1" applyBorder="1" applyAlignment="1">
      <alignment horizontal="center"/>
    </xf>
    <xf numFmtId="3" fontId="83" fillId="22" borderId="2" xfId="0" applyNumberFormat="1" applyFont="1" applyFill="1" applyBorder="1" applyAlignment="1">
      <alignment horizontal="center"/>
    </xf>
    <xf numFmtId="4" fontId="71" fillId="22" borderId="2" xfId="0" applyNumberFormat="1" applyFont="1" applyFill="1" applyBorder="1"/>
    <xf numFmtId="166" fontId="83" fillId="22" borderId="2" xfId="0" applyNumberFormat="1" applyFont="1" applyFill="1" applyBorder="1" applyAlignment="1">
      <alignment horizontal="right"/>
    </xf>
    <xf numFmtId="166" fontId="83" fillId="22" borderId="2" xfId="0" applyNumberFormat="1" applyFont="1" applyFill="1" applyBorder="1" applyAlignment="1">
      <alignment horizontal="center"/>
    </xf>
    <xf numFmtId="166" fontId="71" fillId="22" borderId="0" xfId="0" applyNumberFormat="1" applyFont="1" applyFill="1" applyBorder="1" applyAlignment="1">
      <alignment horizontal="center" vertic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0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0" xfId="1278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2" fillId="59" borderId="2" xfId="0" applyFont="1" applyFill="1" applyBorder="1" applyAlignment="1">
      <alignment horizontal="center"/>
    </xf>
    <xf numFmtId="169" fontId="71" fillId="0" borderId="2" xfId="0" applyNumberFormat="1" applyFont="1" applyBorder="1"/>
    <xf numFmtId="0" fontId="72" fillId="59" borderId="2" xfId="838" applyFont="1" applyFill="1" applyBorder="1"/>
    <xf numFmtId="0" fontId="70" fillId="22" borderId="2" xfId="838" applyFont="1" applyFill="1" applyBorder="1"/>
    <xf numFmtId="166" fontId="76" fillId="22" borderId="46" xfId="1278" applyNumberFormat="1" applyFont="1" applyFill="1" applyBorder="1" applyAlignment="1">
      <alignment horizontal="center"/>
    </xf>
    <xf numFmtId="0" fontId="79" fillId="59" borderId="2" xfId="0" applyFont="1" applyFill="1" applyBorder="1"/>
    <xf numFmtId="166" fontId="79" fillId="59" borderId="2" xfId="0" applyNumberFormat="1" applyFont="1" applyFill="1" applyBorder="1" applyAlignment="1"/>
    <xf numFmtId="1" fontId="79" fillId="59" borderId="2" xfId="0" applyNumberFormat="1" applyFont="1" applyFill="1" applyBorder="1"/>
    <xf numFmtId="0" fontId="70" fillId="22" borderId="2" xfId="838" applyFont="1" applyFill="1" applyBorder="1" applyAlignment="1">
      <alignment horizontal="center"/>
    </xf>
    <xf numFmtId="0" fontId="77" fillId="64" borderId="2" xfId="0" applyFont="1" applyFill="1" applyBorder="1"/>
    <xf numFmtId="0" fontId="70" fillId="0" borderId="0" xfId="1278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0" fillId="63" borderId="2" xfId="0" applyFont="1" applyFill="1" applyBorder="1" applyAlignment="1">
      <alignment horizontal="center" vertical="center"/>
    </xf>
    <xf numFmtId="0" fontId="70" fillId="67" borderId="2" xfId="0" applyFont="1" applyFill="1" applyBorder="1" applyAlignment="1">
      <alignment horizontal="center" vertical="center"/>
    </xf>
    <xf numFmtId="0" fontId="77" fillId="0" borderId="2" xfId="0" applyFont="1" applyBorder="1" applyAlignment="1">
      <alignment horizontal="center" vertic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1" fillId="0" borderId="38" xfId="0" applyFont="1" applyBorder="1" applyAlignment="1">
      <alignment horizontal="center"/>
    </xf>
    <xf numFmtId="0" fontId="71" fillId="0" borderId="39" xfId="0" applyFont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0" fillId="69" borderId="2" xfId="0" applyFont="1" applyFill="1" applyBorder="1" applyAlignment="1">
      <alignment horizontal="center" vertical="center"/>
    </xf>
    <xf numFmtId="0" fontId="0" fillId="69" borderId="0" xfId="0" applyFill="1"/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1" fillId="22" borderId="39" xfId="0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166" fontId="71" fillId="62" borderId="2" xfId="0" applyNumberFormat="1" applyFont="1" applyFill="1" applyBorder="1" applyAlignment="1"/>
    <xf numFmtId="166" fontId="70" fillId="62" borderId="2" xfId="0" applyNumberFormat="1" applyFont="1" applyFill="1" applyBorder="1" applyAlignment="1">
      <alignment horizontal="right"/>
    </xf>
    <xf numFmtId="166" fontId="71" fillId="62" borderId="2" xfId="0" applyNumberFormat="1" applyFont="1" applyFill="1" applyBorder="1"/>
    <xf numFmtId="0" fontId="70" fillId="0" borderId="17" xfId="1279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0" xfId="1278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1" fillId="62" borderId="2" xfId="0" applyFont="1" applyFill="1" applyBorder="1"/>
    <xf numFmtId="0" fontId="76" fillId="0" borderId="7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166" fontId="73" fillId="22" borderId="2" xfId="0" applyNumberFormat="1" applyFont="1" applyFill="1" applyBorder="1" applyAlignment="1">
      <alignment horizontal="right"/>
    </xf>
    <xf numFmtId="0" fontId="70" fillId="22" borderId="2" xfId="0" applyFont="1" applyFill="1" applyBorder="1" applyAlignment="1">
      <alignment horizontal="left" vertical="top"/>
    </xf>
    <xf numFmtId="0" fontId="72" fillId="23" borderId="2" xfId="0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0" fillId="59" borderId="2" xfId="0" applyFont="1" applyFill="1" applyBorder="1" applyAlignment="1">
      <alignment horizontal="left" vertical="top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53" fillId="22" borderId="2" xfId="1042" applyFont="1" applyFill="1" applyBorder="1"/>
    <xf numFmtId="0" fontId="95" fillId="22" borderId="2" xfId="0" applyFont="1" applyFill="1" applyBorder="1" applyAlignment="1">
      <alignment horizontal="center" vertical="center"/>
    </xf>
    <xf numFmtId="0" fontId="95" fillId="22" borderId="2" xfId="0" applyFont="1" applyFill="1" applyBorder="1" applyAlignment="1">
      <alignment horizontal="center"/>
    </xf>
    <xf numFmtId="0" fontId="94" fillId="22" borderId="2" xfId="0" applyFont="1" applyFill="1" applyBorder="1" applyAlignment="1">
      <alignment horizontal="center"/>
    </xf>
    <xf numFmtId="0" fontId="98" fillId="0" borderId="2" xfId="0" applyFont="1" applyBorder="1"/>
    <xf numFmtId="2" fontId="98" fillId="0" borderId="2" xfId="0" applyNumberFormat="1" applyFont="1" applyBorder="1" applyAlignment="1">
      <alignment horizontal="center"/>
    </xf>
    <xf numFmtId="166" fontId="98" fillId="0" borderId="2" xfId="0" applyNumberFormat="1" applyFont="1" applyBorder="1"/>
    <xf numFmtId="1" fontId="98" fillId="0" borderId="2" xfId="0" applyNumberFormat="1" applyFont="1" applyBorder="1"/>
    <xf numFmtId="0" fontId="94" fillId="22" borderId="2" xfId="0" applyFont="1" applyFill="1" applyBorder="1"/>
    <xf numFmtId="0" fontId="94" fillId="0" borderId="2" xfId="0" applyFont="1" applyBorder="1"/>
    <xf numFmtId="0" fontId="70" fillId="0" borderId="0" xfId="1279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99" fillId="0" borderId="2" xfId="0" applyFont="1" applyBorder="1"/>
    <xf numFmtId="166" fontId="99" fillId="0" borderId="2" xfId="0" applyNumberFormat="1" applyFont="1" applyBorder="1"/>
    <xf numFmtId="1" fontId="99" fillId="0" borderId="2" xfId="0" applyNumberFormat="1" applyFont="1" applyBorder="1"/>
    <xf numFmtId="0" fontId="70" fillId="23" borderId="2" xfId="0" applyFont="1" applyFill="1" applyBorder="1"/>
    <xf numFmtId="0" fontId="70" fillId="0" borderId="0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95" fillId="59" borderId="2" xfId="0" applyFont="1" applyFill="1" applyBorder="1" applyAlignment="1">
      <alignment horizontal="center" vertical="center"/>
    </xf>
    <xf numFmtId="1" fontId="70" fillId="22" borderId="2" xfId="0" applyNumberFormat="1" applyFont="1" applyFill="1" applyBorder="1" applyAlignment="1"/>
    <xf numFmtId="0" fontId="98" fillId="59" borderId="2" xfId="0" applyFont="1" applyFill="1" applyBorder="1"/>
    <xf numFmtId="166" fontId="0" fillId="64" borderId="0" xfId="0" applyNumberFormat="1" applyFill="1"/>
    <xf numFmtId="166" fontId="70" fillId="0" borderId="2" xfId="0" applyNumberFormat="1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6" fillId="22" borderId="0" xfId="1278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99" fillId="59" borderId="2" xfId="0" applyFont="1" applyFill="1" applyBorder="1"/>
    <xf numFmtId="0" fontId="70" fillId="63" borderId="2" xfId="0" applyFont="1" applyFill="1" applyBorder="1" applyAlignment="1">
      <alignment horizontal="left" vertical="top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Fill="1" applyBorder="1"/>
    <xf numFmtId="0" fontId="70" fillId="0" borderId="0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2" fillId="0" borderId="2" xfId="838" applyFont="1" applyBorder="1" applyAlignment="1"/>
    <xf numFmtId="0" fontId="71" fillId="22" borderId="2" xfId="0" applyFont="1" applyFill="1" applyBorder="1" applyAlignment="1">
      <alignment horizontal="center"/>
    </xf>
    <xf numFmtId="0" fontId="75" fillId="57" borderId="2" xfId="0" applyFont="1" applyFill="1" applyBorder="1"/>
    <xf numFmtId="0" fontId="0" fillId="0" borderId="0" xfId="0"/>
    <xf numFmtId="166" fontId="72" fillId="61" borderId="2" xfId="0" applyNumberFormat="1" applyFont="1" applyFill="1" applyBorder="1" applyAlignment="1">
      <alignment horizontal="center" vertical="top"/>
    </xf>
    <xf numFmtId="0" fontId="72" fillId="61" borderId="2" xfId="0" applyFont="1" applyFill="1" applyBorder="1" applyAlignment="1">
      <alignment horizontal="center" vertical="top"/>
    </xf>
    <xf numFmtId="0" fontId="72" fillId="61" borderId="2" xfId="0" applyFont="1" applyFill="1" applyBorder="1" applyAlignment="1">
      <alignment horizontal="right" vertical="top"/>
    </xf>
    <xf numFmtId="0" fontId="0" fillId="0" borderId="0" xfId="0"/>
    <xf numFmtId="166" fontId="83" fillId="61" borderId="2" xfId="0" applyNumberFormat="1" applyFont="1" applyFill="1" applyBorder="1" applyAlignment="1">
      <alignment horizontal="center" vertical="top"/>
    </xf>
    <xf numFmtId="0" fontId="83" fillId="61" borderId="2" xfId="0" applyFont="1" applyFill="1" applyBorder="1" applyAlignment="1">
      <alignment horizontal="right" vertical="top"/>
    </xf>
    <xf numFmtId="0" fontId="0" fillId="0" borderId="0" xfId="0"/>
    <xf numFmtId="166" fontId="72" fillId="61" borderId="2" xfId="0" applyNumberFormat="1" applyFont="1" applyFill="1" applyBorder="1" applyAlignment="1">
      <alignment horizontal="right" vertical="top"/>
    </xf>
    <xf numFmtId="0" fontId="70" fillId="58" borderId="2" xfId="0" applyFont="1" applyFill="1" applyBorder="1"/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2" fillId="22" borderId="2" xfId="838" applyFont="1" applyFill="1" applyBorder="1" applyAlignment="1"/>
    <xf numFmtId="0" fontId="100" fillId="0" borderId="2" xfId="0" applyFont="1" applyBorder="1"/>
    <xf numFmtId="166" fontId="39" fillId="22" borderId="2" xfId="0" applyNumberFormat="1" applyFont="1" applyFill="1" applyBorder="1"/>
    <xf numFmtId="1" fontId="39" fillId="22" borderId="2" xfId="0" applyNumberFormat="1" applyFont="1" applyFill="1" applyBorder="1"/>
    <xf numFmtId="0" fontId="71" fillId="22" borderId="2" xfId="0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70" fillId="22" borderId="39" xfId="0" applyNumberFormat="1" applyFont="1" applyFill="1" applyBorder="1" applyAlignment="1">
      <alignment horizontal="right"/>
    </xf>
    <xf numFmtId="166" fontId="73" fillId="59" borderId="2" xfId="0" applyNumberFormat="1" applyFont="1" applyFill="1" applyBorder="1" applyAlignment="1">
      <alignment horizontal="right"/>
    </xf>
    <xf numFmtId="166" fontId="71" fillId="59" borderId="2" xfId="0" applyNumberFormat="1" applyFont="1" applyFill="1" applyBorder="1" applyAlignment="1">
      <alignment horizontal="right"/>
    </xf>
    <xf numFmtId="1" fontId="70" fillId="59" borderId="2" xfId="0" applyNumberFormat="1" applyFont="1" applyFill="1" applyBorder="1" applyAlignment="1">
      <alignment horizontal="right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0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7" fontId="71" fillId="0" borderId="2" xfId="0" applyNumberFormat="1" applyFont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72" fillId="61" borderId="2" xfId="0" applyNumberFormat="1" applyFont="1" applyFill="1" applyBorder="1" applyAlignment="1"/>
    <xf numFmtId="0" fontId="75" fillId="0" borderId="2" xfId="0" applyFont="1" applyBorder="1" applyAlignment="1">
      <alignment horizontal="center"/>
    </xf>
    <xf numFmtId="1" fontId="72" fillId="61" borderId="2" xfId="0" applyNumberFormat="1" applyFont="1" applyFill="1" applyBorder="1" applyAlignment="1"/>
    <xf numFmtId="0" fontId="0" fillId="0" borderId="0" xfId="0"/>
    <xf numFmtId="0" fontId="0" fillId="0" borderId="0" xfId="0"/>
    <xf numFmtId="0" fontId="0" fillId="0" borderId="2" xfId="0" applyBorder="1"/>
    <xf numFmtId="2" fontId="72" fillId="61" borderId="2" xfId="0" applyNumberFormat="1" applyFont="1" applyFill="1" applyBorder="1" applyAlignment="1">
      <alignment horizontal="center"/>
    </xf>
    <xf numFmtId="0" fontId="72" fillId="61" borderId="2" xfId="0" applyFont="1" applyFill="1" applyBorder="1" applyAlignment="1">
      <alignment horizontal="center"/>
    </xf>
    <xf numFmtId="166" fontId="72" fillId="61" borderId="2" xfId="0" applyNumberFormat="1" applyFont="1" applyFill="1" applyBorder="1" applyAlignment="1">
      <alignment horizontal="center"/>
    </xf>
    <xf numFmtId="170" fontId="83" fillId="61" borderId="2" xfId="0" applyNumberFormat="1" applyFont="1" applyFill="1" applyBorder="1" applyAlignment="1">
      <alignment horizontal="right"/>
    </xf>
    <xf numFmtId="0" fontId="83" fillId="61" borderId="2" xfId="0" applyFont="1" applyFill="1" applyBorder="1" applyAlignment="1">
      <alignment horizontal="right"/>
    </xf>
    <xf numFmtId="4" fontId="83" fillId="61" borderId="2" xfId="0" applyNumberFormat="1" applyFont="1" applyFill="1" applyBorder="1" applyAlignment="1">
      <alignment horizontal="right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66" fontId="72" fillId="0" borderId="2" xfId="0" applyNumberFormat="1" applyFont="1" applyBorder="1" applyAlignment="1">
      <alignment horizontal="center" vertical="top"/>
    </xf>
    <xf numFmtId="0" fontId="72" fillId="0" borderId="2" xfId="0" applyFont="1" applyBorder="1" applyAlignment="1">
      <alignment horizontal="center" vertical="top"/>
    </xf>
    <xf numFmtId="2" fontId="72" fillId="0" borderId="2" xfId="0" applyNumberFormat="1" applyFont="1" applyBorder="1" applyAlignment="1">
      <alignment horizontal="center" vertical="top"/>
    </xf>
    <xf numFmtId="0" fontId="72" fillId="61" borderId="2" xfId="0" applyFont="1" applyFill="1" applyBorder="1" applyAlignment="1"/>
    <xf numFmtId="166" fontId="83" fillId="0" borderId="2" xfId="0" applyNumberFormat="1" applyFont="1" applyBorder="1" applyAlignment="1">
      <alignment horizontal="center" vertical="top"/>
    </xf>
    <xf numFmtId="0" fontId="83" fillId="0" borderId="2" xfId="0" applyFont="1" applyBorder="1" applyAlignment="1">
      <alignment horizontal="center" vertical="top"/>
    </xf>
    <xf numFmtId="2" fontId="83" fillId="0" borderId="2" xfId="0" applyNumberFormat="1" applyFont="1" applyBorder="1" applyAlignment="1">
      <alignment horizontal="center" vertical="top"/>
    </xf>
    <xf numFmtId="0" fontId="83" fillId="0" borderId="2" xfId="0" applyFont="1" applyBorder="1" applyAlignment="1">
      <alignment horizontal="right" vertical="top"/>
    </xf>
    <xf numFmtId="170" fontId="81" fillId="61" borderId="2" xfId="0" applyNumberFormat="1" applyFont="1" applyFill="1" applyBorder="1"/>
    <xf numFmtId="166" fontId="81" fillId="61" borderId="2" xfId="0" applyNumberFormat="1" applyFont="1" applyFill="1" applyBorder="1"/>
    <xf numFmtId="170" fontId="72" fillId="61" borderId="2" xfId="0" applyNumberFormat="1" applyFont="1" applyFill="1" applyBorder="1" applyAlignment="1">
      <alignment horizontal="right"/>
    </xf>
    <xf numFmtId="1" fontId="72" fillId="61" borderId="2" xfId="0" applyNumberFormat="1" applyFont="1" applyFill="1" applyBorder="1" applyAlignment="1">
      <alignment horizontal="right"/>
    </xf>
    <xf numFmtId="2" fontId="83" fillId="61" borderId="2" xfId="0" applyNumberFormat="1" applyFont="1" applyFill="1" applyBorder="1" applyAlignment="1">
      <alignment horizontal="center" vertical="top"/>
    </xf>
    <xf numFmtId="0" fontId="83" fillId="61" borderId="2" xfId="0" applyFont="1" applyFill="1" applyBorder="1" applyAlignment="1">
      <alignment horizontal="center" vertical="top"/>
    </xf>
    <xf numFmtId="1" fontId="79" fillId="0" borderId="2" xfId="0" applyNumberFormat="1" applyFont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2" fontId="75" fillId="0" borderId="2" xfId="0" applyNumberFormat="1" applyFont="1" applyBorder="1"/>
    <xf numFmtId="0" fontId="0" fillId="0" borderId="0" xfId="0"/>
    <xf numFmtId="166" fontId="83" fillId="0" borderId="2" xfId="0" applyNumberFormat="1" applyFont="1" applyBorder="1" applyAlignment="1">
      <alignment horizontal="right" vertical="top"/>
    </xf>
    <xf numFmtId="0" fontId="70" fillId="63" borderId="2" xfId="0" applyFont="1" applyFill="1" applyBorder="1"/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0" fillId="23" borderId="2" xfId="0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0" fillId="0" borderId="0" xfId="0"/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59" fillId="61" borderId="2" xfId="0" applyFont="1" applyFill="1" applyBorder="1" applyAlignment="1">
      <alignment wrapText="1"/>
    </xf>
    <xf numFmtId="0" fontId="72" fillId="23" borderId="2" xfId="838" applyFont="1" applyFill="1" applyBorder="1" applyAlignment="1"/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" fontId="82" fillId="0" borderId="2" xfId="0" applyNumberFormat="1" applyFont="1" applyBorder="1" applyAlignment="1">
      <alignment horizontal="right" vertical="top"/>
    </xf>
    <xf numFmtId="0" fontId="101" fillId="0" borderId="2" xfId="0" applyFont="1" applyBorder="1" applyAlignment="1">
      <alignment horizontal="center" vertical="top"/>
    </xf>
    <xf numFmtId="2" fontId="101" fillId="0" borderId="2" xfId="0" applyNumberFormat="1" applyFont="1" applyBorder="1" applyAlignment="1">
      <alignment horizontal="center" vertical="top"/>
    </xf>
    <xf numFmtId="1" fontId="101" fillId="0" borderId="2" xfId="0" applyNumberFormat="1" applyFont="1" applyBorder="1" applyAlignment="1">
      <alignment horizontal="right" vertical="top"/>
    </xf>
    <xf numFmtId="166" fontId="101" fillId="0" borderId="2" xfId="0" applyNumberFormat="1" applyFont="1" applyBorder="1" applyAlignment="1">
      <alignment horizontal="center" vertical="top"/>
    </xf>
    <xf numFmtId="1" fontId="101" fillId="0" borderId="2" xfId="0" applyNumberFormat="1" applyFont="1" applyBorder="1" applyAlignment="1">
      <alignment vertical="top"/>
    </xf>
    <xf numFmtId="166" fontId="82" fillId="0" borderId="2" xfId="0" applyNumberFormat="1" applyFont="1" applyBorder="1" applyAlignment="1">
      <alignment horizontal="right" vertical="top"/>
    </xf>
    <xf numFmtId="0" fontId="70" fillId="0" borderId="2" xfId="0" applyFont="1" applyBorder="1" applyAlignment="1">
      <alignment horizontal="center"/>
    </xf>
    <xf numFmtId="0" fontId="73" fillId="61" borderId="2" xfId="0" applyFont="1" applyFill="1" applyBorder="1" applyAlignment="1">
      <alignment wrapText="1"/>
    </xf>
    <xf numFmtId="2" fontId="45" fillId="0" borderId="2" xfId="0" applyNumberFormat="1" applyFont="1" applyBorder="1" applyAlignment="1">
      <alignment horizontal="right" vertical="top"/>
    </xf>
    <xf numFmtId="2" fontId="70" fillId="0" borderId="2" xfId="0" applyNumberFormat="1" applyFont="1" applyBorder="1" applyAlignment="1">
      <alignment horizontal="right" vertical="top"/>
    </xf>
    <xf numFmtId="166" fontId="45" fillId="0" borderId="2" xfId="0" applyNumberFormat="1" applyFont="1" applyBorder="1" applyAlignment="1">
      <alignment horizontal="center" vertical="top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23" borderId="2" xfId="0" applyFont="1" applyFill="1" applyBorder="1" applyAlignment="1">
      <alignment horizontal="center" vertical="top"/>
    </xf>
    <xf numFmtId="166" fontId="46" fillId="59" borderId="2" xfId="0" applyNumberFormat="1" applyFont="1" applyFill="1" applyBorder="1" applyAlignment="1"/>
    <xf numFmtId="166" fontId="45" fillId="59" borderId="2" xfId="0" applyNumberFormat="1" applyFont="1" applyFill="1" applyBorder="1" applyAlignment="1"/>
    <xf numFmtId="166" fontId="70" fillId="22" borderId="2" xfId="0" applyNumberFormat="1" applyFont="1" applyFill="1" applyBorder="1"/>
    <xf numFmtId="1" fontId="70" fillId="22" borderId="2" xfId="0" applyNumberFormat="1" applyFont="1" applyFill="1" applyBorder="1"/>
    <xf numFmtId="0" fontId="73" fillId="63" borderId="2" xfId="0" applyFont="1" applyFill="1" applyBorder="1" applyAlignment="1">
      <alignment wrapText="1"/>
    </xf>
    <xf numFmtId="0" fontId="76" fillId="0" borderId="0" xfId="1278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59" fillId="59" borderId="2" xfId="0" applyFont="1" applyFill="1" applyBorder="1" applyAlignment="1">
      <alignment wrapText="1"/>
    </xf>
    <xf numFmtId="166" fontId="45" fillId="59" borderId="2" xfId="0" applyNumberFormat="1" applyFont="1" applyFill="1" applyBorder="1" applyAlignment="1">
      <alignment horizontal="center" vertical="top"/>
    </xf>
    <xf numFmtId="1" fontId="45" fillId="59" borderId="2" xfId="0" applyNumberFormat="1" applyFont="1" applyFill="1" applyBorder="1" applyAlignment="1">
      <alignment horizontal="right" vertical="top"/>
    </xf>
    <xf numFmtId="166" fontId="71" fillId="59" borderId="2" xfId="0" applyNumberFormat="1" applyFont="1" applyFill="1" applyBorder="1" applyAlignment="1">
      <alignment horizontal="center"/>
    </xf>
    <xf numFmtId="1" fontId="71" fillId="59" borderId="2" xfId="0" applyNumberFormat="1" applyFont="1" applyFill="1" applyBorder="1" applyAlignment="1">
      <alignment horizontal="right"/>
    </xf>
    <xf numFmtId="1" fontId="50" fillId="59" borderId="2" xfId="0" applyNumberFormat="1" applyFont="1" applyFill="1" applyBorder="1"/>
    <xf numFmtId="1" fontId="48" fillId="59" borderId="2" xfId="0" applyNumberFormat="1" applyFont="1" applyFill="1" applyBorder="1"/>
    <xf numFmtId="0" fontId="73" fillId="59" borderId="2" xfId="0" applyFont="1" applyFill="1" applyBorder="1" applyAlignment="1">
      <alignment wrapText="1"/>
    </xf>
    <xf numFmtId="166" fontId="70" fillId="59" borderId="2" xfId="0" applyNumberFormat="1" applyFont="1" applyFill="1" applyBorder="1" applyAlignment="1">
      <alignment horizontal="center" vertical="top"/>
    </xf>
    <xf numFmtId="1" fontId="70" fillId="59" borderId="2" xfId="0" applyNumberFormat="1" applyFont="1" applyFill="1" applyBorder="1" applyAlignment="1">
      <alignment horizontal="right" vertical="top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1" fillId="22" borderId="2" xfId="0" applyFont="1" applyFill="1" applyBorder="1" applyAlignment="1">
      <alignment horizontal="center"/>
    </xf>
    <xf numFmtId="2" fontId="79" fillId="0" borderId="2" xfId="0" applyNumberFormat="1" applyFont="1" applyBorder="1" applyAlignment="1">
      <alignment horizontal="center"/>
    </xf>
    <xf numFmtId="166" fontId="70" fillId="63" borderId="2" xfId="0" applyNumberFormat="1" applyFont="1" applyFill="1" applyBorder="1" applyAlignment="1">
      <alignment horizontal="right" vertical="top"/>
    </xf>
    <xf numFmtId="1" fontId="70" fillId="63" borderId="2" xfId="0" applyNumberFormat="1" applyFont="1" applyFill="1" applyBorder="1" applyAlignment="1">
      <alignment horizontal="right" vertical="top"/>
    </xf>
    <xf numFmtId="166" fontId="70" fillId="63" borderId="2" xfId="0" applyNumberFormat="1" applyFont="1" applyFill="1" applyBorder="1" applyAlignment="1">
      <alignment horizontal="right"/>
    </xf>
    <xf numFmtId="1" fontId="71" fillId="63" borderId="2" xfId="0" applyNumberFormat="1" applyFont="1" applyFill="1" applyBorder="1"/>
    <xf numFmtId="166" fontId="71" fillId="63" borderId="2" xfId="0" applyNumberFormat="1" applyFont="1" applyFill="1" applyBorder="1"/>
    <xf numFmtId="0" fontId="70" fillId="58" borderId="2" xfId="0" applyFont="1" applyFill="1" applyBorder="1" applyAlignment="1">
      <alignment horizontal="center" vertical="top"/>
    </xf>
    <xf numFmtId="2" fontId="79" fillId="22" borderId="2" xfId="0" applyNumberFormat="1" applyFont="1" applyFill="1" applyBorder="1"/>
    <xf numFmtId="0" fontId="72" fillId="63" borderId="2" xfId="0" applyFont="1" applyFill="1" applyBorder="1" applyAlignment="1">
      <alignment horizontal="right"/>
    </xf>
    <xf numFmtId="0" fontId="70" fillId="63" borderId="2" xfId="0" applyFont="1" applyFill="1" applyBorder="1" applyAlignment="1">
      <alignment horizontal="center"/>
    </xf>
    <xf numFmtId="0" fontId="70" fillId="63" borderId="2" xfId="0" applyFont="1" applyFill="1" applyBorder="1" applyAlignment="1">
      <alignment horizontal="center" vertical="top"/>
    </xf>
    <xf numFmtId="166" fontId="71" fillId="63" borderId="2" xfId="0" applyNumberFormat="1" applyFont="1" applyFill="1" applyBorder="1" applyAlignment="1">
      <alignment horizontal="right"/>
    </xf>
    <xf numFmtId="1" fontId="71" fillId="63" borderId="2" xfId="0" applyNumberFormat="1" applyFont="1" applyFill="1" applyBorder="1" applyAlignment="1">
      <alignment horizontal="right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22" borderId="2" xfId="0" applyFont="1" applyFill="1" applyBorder="1" applyAlignment="1">
      <alignment vertical="top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6" fillId="22" borderId="0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0" fillId="63" borderId="2" xfId="0" applyFont="1" applyFill="1" applyBorder="1" applyAlignment="1">
      <alignment horizontal="left" vertical="center"/>
    </xf>
    <xf numFmtId="0" fontId="79" fillId="63" borderId="2" xfId="0" applyFont="1" applyFill="1" applyBorder="1"/>
    <xf numFmtId="0" fontId="71" fillId="0" borderId="3" xfId="0" applyFont="1" applyBorder="1"/>
    <xf numFmtId="0" fontId="88" fillId="61" borderId="2" xfId="0" applyFont="1" applyFill="1" applyBorder="1" applyAlignment="1">
      <alignment horizontal="center" vertical="top"/>
    </xf>
    <xf numFmtId="0" fontId="77" fillId="61" borderId="2" xfId="0" applyFont="1" applyFill="1" applyBorder="1"/>
    <xf numFmtId="0" fontId="88" fillId="61" borderId="2" xfId="0" applyFont="1" applyFill="1" applyBorder="1" applyAlignment="1">
      <alignment horizontal="center"/>
    </xf>
    <xf numFmtId="166" fontId="88" fillId="61" borderId="2" xfId="0" applyNumberFormat="1" applyFont="1" applyFill="1" applyBorder="1" applyAlignment="1">
      <alignment horizontal="right" vertical="top"/>
    </xf>
    <xf numFmtId="0" fontId="70" fillId="23" borderId="2" xfId="0" applyFont="1" applyFill="1" applyBorder="1" applyAlignment="1">
      <alignment vertical="top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0" fillId="0" borderId="0" xfId="0" applyAlignment="1">
      <alignment horizontal="center"/>
    </xf>
    <xf numFmtId="0" fontId="71" fillId="58" borderId="2" xfId="0" applyFont="1" applyFill="1" applyBorder="1" applyAlignment="1"/>
    <xf numFmtId="0" fontId="70" fillId="58" borderId="2" xfId="0" applyFont="1" applyFill="1" applyBorder="1" applyAlignment="1">
      <alignment vertical="top"/>
    </xf>
    <xf numFmtId="0" fontId="83" fillId="61" borderId="2" xfId="0" applyFont="1" applyFill="1" applyBorder="1"/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2" fontId="71" fillId="23" borderId="2" xfId="0" applyNumberFormat="1" applyFont="1" applyFill="1" applyBorder="1" applyAlignment="1">
      <alignment horizontal="center"/>
    </xf>
    <xf numFmtId="166" fontId="70" fillId="23" borderId="2" xfId="0" applyNumberFormat="1" applyFont="1" applyFill="1" applyBorder="1" applyAlignment="1">
      <alignment horizontal="right"/>
    </xf>
    <xf numFmtId="0" fontId="83" fillId="61" borderId="2" xfId="0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9" fillId="59" borderId="2" xfId="0" applyFont="1" applyFill="1" applyBorder="1" applyAlignment="1">
      <alignment horizontal="center"/>
    </xf>
    <xf numFmtId="1" fontId="79" fillId="59" borderId="2" xfId="0" applyNumberFormat="1" applyFont="1" applyFill="1" applyBorder="1" applyAlignment="1">
      <alignment horizontal="right"/>
    </xf>
    <xf numFmtId="166" fontId="79" fillId="59" borderId="2" xfId="0" applyNumberFormat="1" applyFont="1" applyFill="1" applyBorder="1" applyAlignment="1">
      <alignment horizontal="right"/>
    </xf>
    <xf numFmtId="2" fontId="71" fillId="59" borderId="2" xfId="0" applyNumberFormat="1" applyFont="1" applyFill="1" applyBorder="1" applyAlignment="1">
      <alignment horizontal="center"/>
    </xf>
    <xf numFmtId="0" fontId="51" fillId="59" borderId="2" xfId="0" applyFont="1" applyFill="1" applyBorder="1"/>
    <xf numFmtId="166" fontId="71" fillId="59" borderId="0" xfId="0" applyNumberFormat="1" applyFont="1" applyFill="1" applyAlignment="1">
      <alignment horizontal="center"/>
    </xf>
    <xf numFmtId="1" fontId="71" fillId="59" borderId="0" xfId="0" applyNumberFormat="1" applyFont="1" applyFill="1"/>
    <xf numFmtId="166" fontId="79" fillId="59" borderId="2" xfId="0" applyNumberFormat="1" applyFont="1" applyFill="1" applyBorder="1"/>
    <xf numFmtId="166" fontId="70" fillId="0" borderId="2" xfId="0" applyNumberFormat="1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2" fillId="23" borderId="2" xfId="839" applyFont="1" applyFill="1" applyBorder="1" applyAlignment="1"/>
    <xf numFmtId="166" fontId="70" fillId="0" borderId="2" xfId="0" applyNumberFormat="1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9" fillId="0" borderId="2" xfId="0" applyFont="1" applyBorder="1" applyAlignment="1"/>
    <xf numFmtId="0" fontId="71" fillId="22" borderId="2" xfId="0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6" fillId="22" borderId="0" xfId="1278" applyFont="1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6" fillId="22" borderId="0" xfId="1278" applyFont="1" applyFill="1" applyBorder="1" applyAlignment="1">
      <alignment horizontal="center"/>
    </xf>
    <xf numFmtId="0" fontId="72" fillId="22" borderId="2" xfId="839" applyFont="1" applyFill="1" applyBorder="1" applyAlignment="1"/>
    <xf numFmtId="0" fontId="81" fillId="61" borderId="2" xfId="0" applyFont="1" applyFill="1" applyBorder="1" applyAlignment="1">
      <alignment horizontal="center"/>
    </xf>
    <xf numFmtId="166" fontId="81" fillId="61" borderId="2" xfId="0" applyNumberFormat="1" applyFont="1" applyFill="1" applyBorder="1" applyAlignment="1"/>
    <xf numFmtId="1" fontId="73" fillId="61" borderId="2" xfId="0" applyNumberFormat="1" applyFont="1" applyFill="1" applyBorder="1" applyAlignment="1">
      <alignment horizontal="center"/>
    </xf>
    <xf numFmtId="166" fontId="73" fillId="61" borderId="2" xfId="0" applyNumberFormat="1" applyFont="1" applyFill="1" applyBorder="1" applyAlignment="1"/>
    <xf numFmtId="2" fontId="81" fillId="61" borderId="2" xfId="0" applyNumberFormat="1" applyFont="1" applyFill="1" applyBorder="1" applyAlignment="1">
      <alignment horizontal="center"/>
    </xf>
    <xf numFmtId="0" fontId="81" fillId="61" borderId="2" xfId="0" applyFont="1" applyFill="1" applyBorder="1" applyAlignment="1"/>
    <xf numFmtId="0" fontId="70" fillId="22" borderId="2" xfId="0" applyFont="1" applyFill="1" applyBorder="1" applyAlignment="1">
      <alignment horizontal="right"/>
    </xf>
    <xf numFmtId="0" fontId="70" fillId="57" borderId="2" xfId="0" applyFont="1" applyFill="1" applyBorder="1" applyAlignment="1">
      <alignment horizontal="center" vertical="center"/>
    </xf>
    <xf numFmtId="0" fontId="79" fillId="62" borderId="2" xfId="0" applyFont="1" applyFill="1" applyBorder="1"/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83" fillId="63" borderId="2" xfId="0" applyFont="1" applyFill="1" applyBorder="1"/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81" fillId="59" borderId="2" xfId="0" applyFont="1" applyFill="1" applyBorder="1"/>
    <xf numFmtId="166" fontId="70" fillId="0" borderId="2" xfId="0" applyNumberFormat="1" applyFont="1" applyFill="1" applyBorder="1" applyAlignment="1">
      <alignment horizontal="center"/>
    </xf>
    <xf numFmtId="1" fontId="82" fillId="0" borderId="2" xfId="0" applyNumberFormat="1" applyFont="1" applyBorder="1" applyAlignment="1">
      <alignment horizontal="center" vertical="top"/>
    </xf>
    <xf numFmtId="2" fontId="82" fillId="0" borderId="2" xfId="0" applyNumberFormat="1" applyFont="1" applyBorder="1" applyAlignment="1">
      <alignment horizontal="center" vertical="top"/>
    </xf>
    <xf numFmtId="0" fontId="73" fillId="0" borderId="2" xfId="0" applyFont="1" applyBorder="1"/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1" fillId="0" borderId="2" xfId="0" applyFont="1" applyBorder="1" applyAlignment="1">
      <alignment wrapText="1"/>
    </xf>
    <xf numFmtId="2" fontId="70" fillId="22" borderId="2" xfId="0" applyNumberFormat="1" applyFont="1" applyFill="1" applyBorder="1"/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6" fillId="0" borderId="45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102" fillId="0" borderId="2" xfId="0" applyFont="1" applyBorder="1"/>
    <xf numFmtId="166" fontId="70" fillId="0" borderId="2" xfId="0" applyNumberFormat="1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6" fillId="0" borderId="45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2" fontId="70" fillId="0" borderId="11" xfId="1279" applyNumberFormat="1" applyFont="1" applyFill="1" applyBorder="1" applyAlignment="1">
      <alignment horizontal="center"/>
    </xf>
    <xf numFmtId="2" fontId="70" fillId="0" borderId="0" xfId="1279" applyNumberFormat="1" applyFont="1" applyFill="1" applyBorder="1" applyAlignment="1">
      <alignment horizontal="center"/>
    </xf>
    <xf numFmtId="2" fontId="70" fillId="0" borderId="15" xfId="1279" applyNumberFormat="1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0" xfId="1278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6" fillId="22" borderId="0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76" fillId="62" borderId="0" xfId="1278" applyFont="1" applyFill="1" applyBorder="1" applyAlignment="1">
      <alignment horizontal="center"/>
    </xf>
    <xf numFmtId="2" fontId="45" fillId="0" borderId="11" xfId="1279" applyNumberFormat="1" applyFont="1" applyFill="1" applyBorder="1" applyAlignment="1">
      <alignment horizontal="center"/>
    </xf>
    <xf numFmtId="2" fontId="45" fillId="0" borderId="0" xfId="1279" applyNumberFormat="1" applyFont="1" applyFill="1" applyBorder="1" applyAlignment="1">
      <alignment horizontal="center"/>
    </xf>
    <xf numFmtId="2" fontId="45" fillId="0" borderId="15" xfId="1279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6" fillId="0" borderId="37" xfId="0" applyFont="1" applyBorder="1" applyAlignment="1">
      <alignment horizontal="center"/>
    </xf>
    <xf numFmtId="0" fontId="46" fillId="0" borderId="39" xfId="0" applyFont="1" applyBorder="1" applyAlignment="1">
      <alignment horizontal="center"/>
    </xf>
    <xf numFmtId="0" fontId="0" fillId="0" borderId="0" xfId="0" applyAlignment="1">
      <alignment horizontal="center"/>
    </xf>
    <xf numFmtId="0" fontId="71" fillId="22" borderId="2" xfId="0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2" fontId="70" fillId="0" borderId="11" xfId="1279" applyNumberFormat="1" applyFont="1" applyFill="1" applyBorder="1" applyAlignment="1">
      <alignment horizontal="center"/>
    </xf>
    <xf numFmtId="2" fontId="70" fillId="0" borderId="0" xfId="1279" applyNumberFormat="1" applyFont="1" applyFill="1" applyBorder="1" applyAlignment="1">
      <alignment horizontal="center"/>
    </xf>
    <xf numFmtId="2" fontId="70" fillId="0" borderId="15" xfId="1279" applyNumberFormat="1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2" fontId="77" fillId="0" borderId="2" xfId="0" applyNumberFormat="1" applyFont="1" applyBorder="1" applyAlignment="1">
      <alignment horizontal="center"/>
    </xf>
    <xf numFmtId="2" fontId="81" fillId="61" borderId="2" xfId="0" applyNumberFormat="1" applyFont="1" applyFill="1" applyBorder="1" applyAlignment="1">
      <alignment horizontal="center" vertical="top"/>
    </xf>
    <xf numFmtId="2" fontId="72" fillId="0" borderId="2" xfId="0" applyNumberFormat="1" applyFont="1" applyBorder="1" applyAlignment="1">
      <alignment horizontal="center"/>
    </xf>
    <xf numFmtId="2" fontId="73" fillId="0" borderId="2" xfId="0" applyNumberFormat="1" applyFont="1" applyBorder="1" applyAlignment="1">
      <alignment horizontal="center"/>
    </xf>
    <xf numFmtId="2" fontId="71" fillId="61" borderId="2" xfId="0" applyNumberFormat="1" applyFont="1" applyFill="1" applyBorder="1" applyAlignment="1">
      <alignment horizontal="center"/>
    </xf>
    <xf numFmtId="2" fontId="83" fillId="0" borderId="2" xfId="0" applyNumberFormat="1" applyFont="1" applyBorder="1" applyAlignment="1">
      <alignment horizontal="center"/>
    </xf>
    <xf numFmtId="2" fontId="91" fillId="0" borderId="2" xfId="0" applyNumberFormat="1" applyFont="1" applyBorder="1" applyAlignment="1">
      <alignment horizontal="center"/>
    </xf>
    <xf numFmtId="2" fontId="89" fillId="0" borderId="2" xfId="0" applyNumberFormat="1" applyFont="1" applyBorder="1" applyAlignment="1">
      <alignment horizontal="center"/>
    </xf>
    <xf numFmtId="2" fontId="71" fillId="64" borderId="2" xfId="0" applyNumberFormat="1" applyFont="1" applyFill="1" applyBorder="1" applyAlignment="1">
      <alignment horizontal="center"/>
    </xf>
    <xf numFmtId="2" fontId="72" fillId="59" borderId="2" xfId="0" applyNumberFormat="1" applyFont="1" applyFill="1" applyBorder="1" applyAlignment="1">
      <alignment horizontal="center"/>
    </xf>
    <xf numFmtId="2" fontId="73" fillId="59" borderId="2" xfId="0" applyNumberFormat="1" applyFont="1" applyFill="1" applyBorder="1" applyAlignment="1">
      <alignment horizontal="center"/>
    </xf>
    <xf numFmtId="2" fontId="72" fillId="23" borderId="2" xfId="0" applyNumberFormat="1" applyFont="1" applyFill="1" applyBorder="1" applyAlignment="1">
      <alignment horizontal="center"/>
    </xf>
    <xf numFmtId="2" fontId="73" fillId="23" borderId="2" xfId="0" applyNumberFormat="1" applyFont="1" applyFill="1" applyBorder="1" applyAlignment="1">
      <alignment horizontal="center"/>
    </xf>
    <xf numFmtId="2" fontId="87" fillId="0" borderId="2" xfId="0" applyNumberFormat="1" applyFont="1" applyBorder="1" applyAlignment="1">
      <alignment horizontal="center"/>
    </xf>
    <xf numFmtId="2" fontId="73" fillId="22" borderId="2" xfId="0" applyNumberFormat="1" applyFont="1" applyFill="1" applyBorder="1" applyAlignment="1">
      <alignment horizontal="center"/>
    </xf>
    <xf numFmtId="2" fontId="81" fillId="22" borderId="2" xfId="0" applyNumberFormat="1" applyFont="1" applyFill="1" applyBorder="1" applyAlignment="1">
      <alignment horizontal="center"/>
    </xf>
    <xf numFmtId="0" fontId="81" fillId="22" borderId="2" xfId="0" applyFont="1" applyFill="1" applyBorder="1" applyAlignment="1">
      <alignment horizontal="center"/>
    </xf>
    <xf numFmtId="2" fontId="77" fillId="22" borderId="2" xfId="0" applyNumberFormat="1" applyFont="1" applyFill="1" applyBorder="1" applyAlignment="1">
      <alignment horizontal="center"/>
    </xf>
    <xf numFmtId="2" fontId="79" fillId="59" borderId="2" xfId="0" applyNumberFormat="1" applyFont="1" applyFill="1" applyBorder="1" applyAlignment="1">
      <alignment horizontal="center"/>
    </xf>
    <xf numFmtId="2" fontId="71" fillId="67" borderId="2" xfId="0" applyNumberFormat="1" applyFont="1" applyFill="1" applyBorder="1" applyAlignment="1">
      <alignment horizontal="center"/>
    </xf>
    <xf numFmtId="2" fontId="99" fillId="0" borderId="2" xfId="0" applyNumberFormat="1" applyFont="1" applyBorder="1" applyAlignment="1">
      <alignment horizontal="center"/>
    </xf>
    <xf numFmtId="2" fontId="71" fillId="63" borderId="2" xfId="0" applyNumberFormat="1" applyFont="1" applyFill="1" applyBorder="1" applyAlignment="1">
      <alignment horizontal="center"/>
    </xf>
    <xf numFmtId="0" fontId="71" fillId="63" borderId="2" xfId="0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2" fontId="70" fillId="0" borderId="11" xfId="1279" applyNumberFormat="1" applyFont="1" applyFill="1" applyBorder="1" applyAlignment="1">
      <alignment horizontal="center"/>
    </xf>
    <xf numFmtId="2" fontId="70" fillId="0" borderId="0" xfId="1279" applyNumberFormat="1" applyFont="1" applyFill="1" applyBorder="1" applyAlignment="1">
      <alignment horizontal="center"/>
    </xf>
    <xf numFmtId="2" fontId="70" fillId="0" borderId="15" xfId="1279" applyNumberFormat="1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2" fontId="70" fillId="0" borderId="11" xfId="1279" applyNumberFormat="1" applyFont="1" applyFill="1" applyBorder="1" applyAlignment="1">
      <alignment horizontal="center"/>
    </xf>
    <xf numFmtId="2" fontId="70" fillId="0" borderId="0" xfId="1279" applyNumberFormat="1" applyFont="1" applyFill="1" applyBorder="1" applyAlignment="1">
      <alignment horizontal="center"/>
    </xf>
    <xf numFmtId="2" fontId="70" fillId="0" borderId="15" xfId="1279" applyNumberFormat="1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0" fillId="0" borderId="0" xfId="0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2" fontId="70" fillId="0" borderId="11" xfId="1279" applyNumberFormat="1" applyFont="1" applyFill="1" applyBorder="1" applyAlignment="1">
      <alignment horizontal="center"/>
    </xf>
    <xf numFmtId="2" fontId="70" fillId="0" borderId="0" xfId="1279" applyNumberFormat="1" applyFont="1" applyFill="1" applyBorder="1" applyAlignment="1">
      <alignment horizontal="center"/>
    </xf>
    <xf numFmtId="2" fontId="70" fillId="0" borderId="15" xfId="1279" applyNumberFormat="1" applyFont="1" applyFill="1" applyBorder="1" applyAlignment="1">
      <alignment horizontal="center"/>
    </xf>
    <xf numFmtId="0" fontId="70" fillId="0" borderId="17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166" fontId="103" fillId="0" borderId="0" xfId="0" applyNumberFormat="1" applyFont="1"/>
    <xf numFmtId="0" fontId="103" fillId="0" borderId="0" xfId="0" applyFont="1"/>
    <xf numFmtId="0" fontId="104" fillId="0" borderId="0" xfId="0" applyFont="1"/>
    <xf numFmtId="0" fontId="103" fillId="23" borderId="0" xfId="0" applyFont="1" applyFill="1"/>
    <xf numFmtId="0" fontId="105" fillId="23" borderId="0" xfId="0" applyFont="1" applyFill="1"/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0" xfId="1278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1" fillId="0" borderId="0" xfId="0" applyFont="1" applyBorder="1" applyAlignment="1">
      <alignment horizontal="right"/>
    </xf>
    <xf numFmtId="2" fontId="71" fillId="0" borderId="0" xfId="0" applyNumberFormat="1" applyFont="1" applyBorder="1"/>
    <xf numFmtId="1" fontId="71" fillId="0" borderId="0" xfId="0" applyNumberFormat="1" applyFont="1" applyBorder="1"/>
    <xf numFmtId="166" fontId="71" fillId="0" borderId="0" xfId="0" applyNumberFormat="1" applyFont="1" applyBorder="1" applyAlignment="1">
      <alignment horizontal="center"/>
    </xf>
    <xf numFmtId="0" fontId="70" fillId="58" borderId="2" xfId="0" applyFont="1" applyFill="1" applyBorder="1" applyAlignment="1">
      <alignment horizontal="center"/>
    </xf>
    <xf numFmtId="0" fontId="75" fillId="58" borderId="2" xfId="0" applyFont="1" applyFill="1" applyBorder="1"/>
    <xf numFmtId="2" fontId="71" fillId="58" borderId="2" xfId="0" applyNumberFormat="1" applyFont="1" applyFill="1" applyBorder="1" applyAlignment="1">
      <alignment horizontal="center"/>
    </xf>
    <xf numFmtId="166" fontId="71" fillId="58" borderId="2" xfId="0" applyNumberFormat="1" applyFont="1" applyFill="1" applyBorder="1"/>
    <xf numFmtId="1" fontId="71" fillId="58" borderId="2" xfId="0" applyNumberFormat="1" applyFont="1" applyFill="1" applyBorder="1"/>
    <xf numFmtId="166" fontId="70" fillId="58" borderId="2" xfId="0" applyNumberFormat="1" applyFont="1" applyFill="1" applyBorder="1" applyAlignment="1">
      <alignment horizontal="right"/>
    </xf>
    <xf numFmtId="166" fontId="71" fillId="58" borderId="2" xfId="0" applyNumberFormat="1" applyFont="1" applyFill="1" applyBorder="1" applyAlignment="1">
      <alignment horizontal="right"/>
    </xf>
    <xf numFmtId="0" fontId="76" fillId="22" borderId="7" xfId="1278" applyFont="1" applyFill="1" applyBorder="1" applyAlignment="1">
      <alignment horizontal="center"/>
    </xf>
    <xf numFmtId="0" fontId="76" fillId="22" borderId="8" xfId="1278" applyFont="1" applyFill="1" applyBorder="1" applyAlignment="1">
      <alignment horizontal="center"/>
    </xf>
    <xf numFmtId="0" fontId="76" fillId="0" borderId="7" xfId="1278" applyFont="1" applyFill="1" applyBorder="1" applyAlignment="1">
      <alignment horizontal="center"/>
    </xf>
    <xf numFmtId="0" fontId="76" fillId="0" borderId="0" xfId="1278" applyFont="1" applyFill="1" applyBorder="1" applyAlignment="1">
      <alignment horizontal="center"/>
    </xf>
    <xf numFmtId="0" fontId="76" fillId="0" borderId="8" xfId="1278" applyFont="1" applyFill="1" applyBorder="1" applyAlignment="1">
      <alignment horizontal="center"/>
    </xf>
    <xf numFmtId="166" fontId="70" fillId="0" borderId="2" xfId="0" applyNumberFormat="1" applyFont="1" applyFill="1" applyBorder="1" applyAlignment="1">
      <alignment horizontal="center"/>
    </xf>
    <xf numFmtId="0" fontId="70" fillId="0" borderId="0" xfId="1279" applyFont="1" applyFill="1" applyBorder="1" applyAlignment="1">
      <alignment horizontal="center"/>
    </xf>
    <xf numFmtId="166" fontId="76" fillId="0" borderId="9" xfId="1279" applyNumberFormat="1" applyFont="1" applyFill="1" applyBorder="1" applyAlignment="1">
      <alignment horizontal="center" vertical="center"/>
    </xf>
    <xf numFmtId="166" fontId="76" fillId="0" borderId="13" xfId="1279" applyNumberFormat="1" applyFont="1" applyFill="1" applyBorder="1" applyAlignment="1">
      <alignment horizontal="center" vertical="center"/>
    </xf>
    <xf numFmtId="0" fontId="70" fillId="0" borderId="40" xfId="1279" applyFont="1" applyFill="1" applyBorder="1" applyAlignment="1">
      <alignment horizontal="left" vertical="top"/>
    </xf>
    <xf numFmtId="0" fontId="70" fillId="0" borderId="5" xfId="1279" applyFont="1" applyFill="1" applyBorder="1" applyAlignment="1">
      <alignment horizontal="left" vertical="top"/>
    </xf>
    <xf numFmtId="0" fontId="70" fillId="0" borderId="3" xfId="1279" applyFont="1" applyFill="1" applyBorder="1" applyAlignment="1">
      <alignment horizontal="center" vertical="top"/>
    </xf>
    <xf numFmtId="0" fontId="70" fillId="0" borderId="5" xfId="1279" applyFont="1" applyFill="1" applyBorder="1" applyAlignment="1">
      <alignment horizontal="center" vertical="top"/>
    </xf>
    <xf numFmtId="0" fontId="70" fillId="0" borderId="17" xfId="1279" applyFont="1" applyFill="1" applyBorder="1" applyAlignment="1">
      <alignment horizontal="center" vertical="top"/>
    </xf>
    <xf numFmtId="0" fontId="70" fillId="0" borderId="18" xfId="1279" applyFont="1" applyFill="1" applyBorder="1" applyAlignment="1">
      <alignment horizontal="center" vertical="top"/>
    </xf>
    <xf numFmtId="0" fontId="70" fillId="0" borderId="40" xfId="1279" applyFont="1" applyFill="1" applyBorder="1" applyAlignment="1">
      <alignment horizontal="center"/>
    </xf>
    <xf numFmtId="0" fontId="70" fillId="0" borderId="5" xfId="1279" applyFont="1" applyFill="1" applyBorder="1" applyAlignment="1">
      <alignment horizontal="center"/>
    </xf>
    <xf numFmtId="0" fontId="70" fillId="0" borderId="3" xfId="1279" applyFont="1" applyFill="1" applyBorder="1" applyAlignment="1">
      <alignment horizontal="center"/>
    </xf>
    <xf numFmtId="2" fontId="70" fillId="0" borderId="10" xfId="1279" applyNumberFormat="1" applyFont="1" applyFill="1" applyBorder="1" applyAlignment="1">
      <alignment horizontal="center"/>
    </xf>
    <xf numFmtId="2" fontId="70" fillId="0" borderId="11" xfId="1279" applyNumberFormat="1" applyFont="1" applyFill="1" applyBorder="1" applyAlignment="1">
      <alignment horizontal="center"/>
    </xf>
    <xf numFmtId="2" fontId="70" fillId="0" borderId="7" xfId="1279" applyNumberFormat="1" applyFont="1" applyFill="1" applyBorder="1" applyAlignment="1">
      <alignment horizontal="center"/>
    </xf>
    <xf numFmtId="2" fontId="70" fillId="0" borderId="0" xfId="1279" applyNumberFormat="1" applyFont="1" applyFill="1" applyBorder="1" applyAlignment="1">
      <alignment horizontal="center"/>
    </xf>
    <xf numFmtId="2" fontId="70" fillId="0" borderId="14" xfId="1279" applyNumberFormat="1" applyFont="1" applyFill="1" applyBorder="1" applyAlignment="1">
      <alignment horizontal="center"/>
    </xf>
    <xf numFmtId="2" fontId="70" fillId="0" borderId="15" xfId="1279" applyNumberFormat="1" applyFont="1" applyFill="1" applyBorder="1" applyAlignment="1">
      <alignment horizontal="center"/>
    </xf>
    <xf numFmtId="0" fontId="70" fillId="0" borderId="40" xfId="1279" applyFont="1" applyFill="1" applyBorder="1" applyAlignment="1">
      <alignment horizontal="left" vertical="center"/>
    </xf>
    <xf numFmtId="0" fontId="70" fillId="0" borderId="5" xfId="1279" applyFont="1" applyFill="1" applyBorder="1" applyAlignment="1">
      <alignment horizontal="left" vertical="center"/>
    </xf>
    <xf numFmtId="0" fontId="70" fillId="0" borderId="41" xfId="1279" applyFont="1" applyFill="1" applyBorder="1" applyAlignment="1">
      <alignment horizontal="left" vertical="center"/>
    </xf>
    <xf numFmtId="0" fontId="70" fillId="0" borderId="19" xfId="1279" applyFont="1" applyFill="1" applyBorder="1" applyAlignment="1">
      <alignment horizontal="left" vertical="center"/>
    </xf>
    <xf numFmtId="0" fontId="70" fillId="0" borderId="17" xfId="1279" applyFont="1" applyFill="1" applyBorder="1" applyAlignment="1">
      <alignment horizontal="center"/>
    </xf>
    <xf numFmtId="0" fontId="70" fillId="0" borderId="19" xfId="1279" applyFont="1" applyFill="1" applyBorder="1" applyAlignment="1">
      <alignment horizontal="center"/>
    </xf>
    <xf numFmtId="0" fontId="76" fillId="0" borderId="2" xfId="1279" applyFont="1" applyFill="1" applyBorder="1" applyAlignment="1">
      <alignment horizontal="center"/>
    </xf>
    <xf numFmtId="0" fontId="76" fillId="0" borderId="3" xfId="1279" applyFont="1" applyFill="1" applyBorder="1" applyAlignment="1">
      <alignment horizontal="center"/>
    </xf>
    <xf numFmtId="0" fontId="70" fillId="0" borderId="4" xfId="1279" applyFont="1" applyFill="1" applyBorder="1" applyAlignment="1">
      <alignment horizontal="center"/>
    </xf>
    <xf numFmtId="0" fontId="70" fillId="0" borderId="2" xfId="1279" applyFont="1" applyFill="1" applyBorder="1" applyAlignment="1">
      <alignment horizontal="center"/>
    </xf>
    <xf numFmtId="0" fontId="70" fillId="0" borderId="0" xfId="1278" applyFont="1" applyFill="1" applyBorder="1" applyAlignment="1">
      <alignment horizontal="center"/>
    </xf>
    <xf numFmtId="0" fontId="76" fillId="0" borderId="45" xfId="1278" applyFont="1" applyFill="1" applyBorder="1" applyAlignment="1">
      <alignment horizontal="center"/>
    </xf>
    <xf numFmtId="0" fontId="73" fillId="61" borderId="2" xfId="0" applyFont="1" applyFill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6" fillId="23" borderId="7" xfId="1278" applyFont="1" applyFill="1" applyBorder="1" applyAlignment="1">
      <alignment horizontal="center"/>
    </xf>
    <xf numFmtId="0" fontId="76" fillId="23" borderId="8" xfId="1278" applyFont="1" applyFill="1" applyBorder="1" applyAlignment="1">
      <alignment horizontal="center"/>
    </xf>
    <xf numFmtId="0" fontId="71" fillId="0" borderId="37" xfId="0" applyFont="1" applyBorder="1" applyAlignment="1">
      <alignment horizontal="center"/>
    </xf>
    <xf numFmtId="0" fontId="71" fillId="0" borderId="38" xfId="0" applyFont="1" applyBorder="1" applyAlignment="1">
      <alignment horizontal="center"/>
    </xf>
    <xf numFmtId="0" fontId="71" fillId="0" borderId="39" xfId="0" applyFont="1" applyBorder="1" applyAlignment="1">
      <alignment horizontal="center"/>
    </xf>
    <xf numFmtId="0" fontId="76" fillId="58" borderId="7" xfId="1278" applyFont="1" applyFill="1" applyBorder="1" applyAlignment="1">
      <alignment horizontal="center"/>
    </xf>
    <xf numFmtId="0" fontId="76" fillId="58" borderId="8" xfId="1278" applyFont="1" applyFill="1" applyBorder="1" applyAlignment="1">
      <alignment horizontal="center"/>
    </xf>
    <xf numFmtId="0" fontId="76" fillId="22" borderId="0" xfId="1278" applyFont="1" applyFill="1" applyBorder="1" applyAlignment="1">
      <alignment horizontal="center"/>
    </xf>
    <xf numFmtId="0" fontId="76" fillId="22" borderId="45" xfId="1278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5" fillId="0" borderId="3" xfId="1279" applyFont="1" applyFill="1" applyBorder="1" applyAlignment="1">
      <alignment horizontal="center"/>
    </xf>
    <xf numFmtId="0" fontId="45" fillId="0" borderId="4" xfId="1279" applyFont="1" applyFill="1" applyBorder="1" applyAlignment="1">
      <alignment horizontal="center"/>
    </xf>
    <xf numFmtId="0" fontId="45" fillId="0" borderId="5" xfId="1279" applyFont="1" applyFill="1" applyBorder="1" applyAlignment="1">
      <alignment horizontal="center"/>
    </xf>
    <xf numFmtId="0" fontId="45" fillId="0" borderId="2" xfId="1279" applyFont="1" applyFill="1" applyBorder="1" applyAlignment="1">
      <alignment horizontal="center"/>
    </xf>
    <xf numFmtId="0" fontId="47" fillId="0" borderId="7" xfId="1278" applyFont="1" applyFill="1" applyBorder="1" applyAlignment="1">
      <alignment horizontal="center"/>
    </xf>
    <xf numFmtId="0" fontId="47" fillId="0" borderId="0" xfId="1278" applyFont="1" applyFill="1" applyBorder="1" applyAlignment="1">
      <alignment horizontal="center"/>
    </xf>
    <xf numFmtId="0" fontId="47" fillId="0" borderId="8" xfId="1278" applyFont="1" applyFill="1" applyBorder="1" applyAlignment="1">
      <alignment horizontal="center"/>
    </xf>
    <xf numFmtId="166" fontId="47" fillId="0" borderId="9" xfId="1279" applyNumberFormat="1" applyFont="1" applyFill="1" applyBorder="1" applyAlignment="1">
      <alignment horizontal="center" vertical="center"/>
    </xf>
    <xf numFmtId="166" fontId="47" fillId="0" borderId="13" xfId="1279" applyNumberFormat="1" applyFont="1" applyFill="1" applyBorder="1" applyAlignment="1">
      <alignment horizontal="center" vertical="center"/>
    </xf>
    <xf numFmtId="0" fontId="45" fillId="0" borderId="40" xfId="1279" applyFont="1" applyFill="1" applyBorder="1" applyAlignment="1">
      <alignment horizontal="left" vertical="top"/>
    </xf>
    <xf numFmtId="0" fontId="45" fillId="0" borderId="5" xfId="1279" applyFont="1" applyFill="1" applyBorder="1" applyAlignment="1">
      <alignment horizontal="left" vertical="top"/>
    </xf>
    <xf numFmtId="0" fontId="45" fillId="0" borderId="3" xfId="1279" applyFont="1" applyFill="1" applyBorder="1" applyAlignment="1">
      <alignment horizontal="center" vertical="top"/>
    </xf>
    <xf numFmtId="0" fontId="45" fillId="0" borderId="5" xfId="1279" applyFont="1" applyFill="1" applyBorder="1" applyAlignment="1">
      <alignment horizontal="center" vertical="top"/>
    </xf>
    <xf numFmtId="0" fontId="45" fillId="0" borderId="17" xfId="1279" applyFont="1" applyFill="1" applyBorder="1" applyAlignment="1">
      <alignment horizontal="center" vertical="top"/>
    </xf>
    <xf numFmtId="0" fontId="45" fillId="0" borderId="18" xfId="1279" applyFont="1" applyFill="1" applyBorder="1" applyAlignment="1">
      <alignment horizontal="center" vertical="top"/>
    </xf>
    <xf numFmtId="0" fontId="45" fillId="0" borderId="40" xfId="1279" applyFont="1" applyFill="1" applyBorder="1" applyAlignment="1">
      <alignment horizontal="center"/>
    </xf>
    <xf numFmtId="2" fontId="45" fillId="0" borderId="10" xfId="1279" applyNumberFormat="1" applyFont="1" applyFill="1" applyBorder="1" applyAlignment="1">
      <alignment horizontal="center"/>
    </xf>
    <xf numFmtId="2" fontId="45" fillId="0" borderId="11" xfId="1279" applyNumberFormat="1" applyFont="1" applyFill="1" applyBorder="1" applyAlignment="1">
      <alignment horizontal="center"/>
    </xf>
    <xf numFmtId="2" fontId="45" fillId="0" borderId="7" xfId="1279" applyNumberFormat="1" applyFont="1" applyFill="1" applyBorder="1" applyAlignment="1">
      <alignment horizontal="center"/>
    </xf>
    <xf numFmtId="2" fontId="45" fillId="0" borderId="0" xfId="1279" applyNumberFormat="1" applyFont="1" applyFill="1" applyBorder="1" applyAlignment="1">
      <alignment horizontal="center"/>
    </xf>
    <xf numFmtId="2" fontId="45" fillId="0" borderId="14" xfId="1279" applyNumberFormat="1" applyFont="1" applyFill="1" applyBorder="1" applyAlignment="1">
      <alignment horizontal="center"/>
    </xf>
    <xf numFmtId="2" fontId="45" fillId="0" borderId="15" xfId="1279" applyNumberFormat="1" applyFont="1" applyFill="1" applyBorder="1" applyAlignment="1">
      <alignment horizontal="center"/>
    </xf>
    <xf numFmtId="0" fontId="45" fillId="0" borderId="40" xfId="1279" applyFont="1" applyFill="1" applyBorder="1" applyAlignment="1">
      <alignment horizontal="left" vertical="center"/>
    </xf>
    <xf numFmtId="0" fontId="45" fillId="0" borderId="5" xfId="1279" applyFont="1" applyFill="1" applyBorder="1" applyAlignment="1">
      <alignment horizontal="left" vertical="center"/>
    </xf>
    <xf numFmtId="0" fontId="45" fillId="0" borderId="0" xfId="1279" applyFont="1" applyFill="1" applyBorder="1" applyAlignment="1">
      <alignment horizontal="center"/>
    </xf>
    <xf numFmtId="166" fontId="45" fillId="0" borderId="2" xfId="0" applyNumberFormat="1" applyFont="1" applyFill="1" applyBorder="1" applyAlignment="1">
      <alignment horizontal="center"/>
    </xf>
    <xf numFmtId="0" fontId="43" fillId="0" borderId="2" xfId="1279" applyFont="1" applyFill="1" applyBorder="1" applyAlignment="1">
      <alignment horizontal="center"/>
    </xf>
    <xf numFmtId="0" fontId="43" fillId="0" borderId="3" xfId="1279" applyFont="1" applyFill="1" applyBorder="1" applyAlignment="1">
      <alignment horizontal="center"/>
    </xf>
    <xf numFmtId="0" fontId="45" fillId="0" borderId="41" xfId="1279" applyFont="1" applyFill="1" applyBorder="1" applyAlignment="1">
      <alignment horizontal="left" vertical="center"/>
    </xf>
    <xf numFmtId="0" fontId="45" fillId="0" borderId="19" xfId="1279" applyFont="1" applyFill="1" applyBorder="1" applyAlignment="1">
      <alignment horizontal="left" vertical="center"/>
    </xf>
    <xf numFmtId="0" fontId="45" fillId="0" borderId="17" xfId="1279" applyFont="1" applyFill="1" applyBorder="1" applyAlignment="1">
      <alignment horizontal="center"/>
    </xf>
    <xf numFmtId="0" fontId="45" fillId="0" borderId="19" xfId="1279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5" fillId="0" borderId="0" xfId="1278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24" fillId="0" borderId="2" xfId="0" applyNumberFormat="1" applyFont="1" applyFill="1" applyBorder="1" applyAlignment="1">
      <alignment horizontal="center"/>
    </xf>
    <xf numFmtId="0" fontId="46" fillId="0" borderId="37" xfId="0" applyFont="1" applyBorder="1" applyAlignment="1">
      <alignment horizontal="center"/>
    </xf>
    <xf numFmtId="0" fontId="46" fillId="0" borderId="38" xfId="0" applyFont="1" applyBorder="1" applyAlignment="1">
      <alignment horizontal="center"/>
    </xf>
    <xf numFmtId="0" fontId="46" fillId="0" borderId="39" xfId="0" applyFont="1" applyBorder="1" applyAlignment="1">
      <alignment horizontal="center"/>
    </xf>
    <xf numFmtId="0" fontId="42" fillId="0" borderId="37" xfId="0" applyFont="1" applyBorder="1" applyAlignment="1">
      <alignment horizontal="center" vertical="center"/>
    </xf>
    <xf numFmtId="0" fontId="42" fillId="0" borderId="38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2" fillId="0" borderId="39" xfId="0" applyFont="1" applyBorder="1" applyAlignment="1">
      <alignment horizontal="center" vertical="center" wrapText="1"/>
    </xf>
    <xf numFmtId="0" fontId="46" fillId="0" borderId="37" xfId="0" applyFont="1" applyBorder="1" applyAlignment="1">
      <alignment horizontal="center" vertical="center" wrapText="1"/>
    </xf>
    <xf numFmtId="0" fontId="46" fillId="0" borderId="38" xfId="0" applyFont="1" applyBorder="1" applyAlignment="1">
      <alignment horizontal="center" vertical="center" wrapText="1"/>
    </xf>
    <xf numFmtId="0" fontId="46" fillId="0" borderId="39" xfId="0" applyFont="1" applyBorder="1" applyAlignment="1">
      <alignment horizontal="center" vertical="center" wrapText="1"/>
    </xf>
    <xf numFmtId="0" fontId="48" fillId="0" borderId="37" xfId="0" applyFont="1" applyBorder="1" applyAlignment="1">
      <alignment horizontal="center" vertical="center" wrapText="1"/>
    </xf>
    <xf numFmtId="0" fontId="48" fillId="0" borderId="38" xfId="0" applyFont="1" applyBorder="1" applyAlignment="1">
      <alignment horizontal="center" vertical="center" wrapText="1"/>
    </xf>
    <xf numFmtId="0" fontId="48" fillId="0" borderId="39" xfId="0" applyFont="1" applyBorder="1" applyAlignment="1">
      <alignment horizontal="center" vertical="center" wrapText="1"/>
    </xf>
    <xf numFmtId="0" fontId="48" fillId="0" borderId="37" xfId="0" applyFont="1" applyBorder="1" applyAlignment="1">
      <alignment horizontal="center"/>
    </xf>
    <xf numFmtId="0" fontId="48" fillId="0" borderId="38" xfId="0" applyFont="1" applyBorder="1" applyAlignment="1">
      <alignment horizontal="center"/>
    </xf>
    <xf numFmtId="0" fontId="48" fillId="0" borderId="39" xfId="0" applyFont="1" applyBorder="1" applyAlignment="1">
      <alignment horizontal="center"/>
    </xf>
    <xf numFmtId="166" fontId="4" fillId="0" borderId="2" xfId="0" applyNumberFormat="1" applyFont="1" applyFill="1" applyBorder="1" applyAlignment="1">
      <alignment horizontal="center"/>
    </xf>
    <xf numFmtId="166" fontId="72" fillId="61" borderId="2" xfId="0" applyNumberFormat="1" applyFont="1" applyFill="1" applyBorder="1" applyAlignment="1">
      <alignment horizontal="center" vertical="top" wrapText="1"/>
    </xf>
    <xf numFmtId="166" fontId="45" fillId="0" borderId="3" xfId="0" applyNumberFormat="1" applyFont="1" applyBorder="1" applyAlignment="1">
      <alignment horizontal="center" vertical="top"/>
    </xf>
    <xf numFmtId="166" fontId="45" fillId="0" borderId="5" xfId="0" applyNumberFormat="1" applyFont="1" applyBorder="1" applyAlignment="1">
      <alignment horizontal="center" vertical="top"/>
    </xf>
    <xf numFmtId="166" fontId="45" fillId="0" borderId="2" xfId="0" applyNumberFormat="1" applyFont="1" applyBorder="1" applyAlignment="1">
      <alignment horizontal="center" vertical="top"/>
    </xf>
    <xf numFmtId="0" fontId="76" fillId="62" borderId="7" xfId="1278" applyFont="1" applyFill="1" applyBorder="1" applyAlignment="1">
      <alignment horizontal="center"/>
    </xf>
    <xf numFmtId="0" fontId="76" fillId="62" borderId="0" xfId="1278" applyFont="1" applyFill="1" applyBorder="1" applyAlignment="1">
      <alignment horizontal="center"/>
    </xf>
    <xf numFmtId="0" fontId="76" fillId="62" borderId="8" xfId="1278" applyFont="1" applyFill="1" applyBorder="1" applyAlignment="1">
      <alignment horizontal="center"/>
    </xf>
    <xf numFmtId="0" fontId="71" fillId="22" borderId="37" xfId="0" applyFont="1" applyFill="1" applyBorder="1" applyAlignment="1">
      <alignment horizontal="center"/>
    </xf>
    <xf numFmtId="0" fontId="71" fillId="22" borderId="38" xfId="0" applyFont="1" applyFill="1" applyBorder="1" applyAlignment="1">
      <alignment horizontal="center"/>
    </xf>
    <xf numFmtId="0" fontId="71" fillId="22" borderId="39" xfId="0" applyFont="1" applyFill="1" applyBorder="1" applyAlignment="1">
      <alignment horizontal="center"/>
    </xf>
    <xf numFmtId="0" fontId="71" fillId="22" borderId="37" xfId="0" applyFont="1" applyFill="1" applyBorder="1" applyAlignment="1">
      <alignment horizontal="center" vertical="center"/>
    </xf>
    <xf numFmtId="0" fontId="71" fillId="22" borderId="38" xfId="0" applyFont="1" applyFill="1" applyBorder="1" applyAlignment="1">
      <alignment horizontal="center" vertical="center"/>
    </xf>
    <xf numFmtId="0" fontId="71" fillId="22" borderId="39" xfId="0" applyFont="1" applyFill="1" applyBorder="1" applyAlignment="1">
      <alignment horizontal="center" vertical="center"/>
    </xf>
    <xf numFmtId="0" fontId="71" fillId="22" borderId="2" xfId="0" applyFont="1" applyFill="1" applyBorder="1" applyAlignment="1">
      <alignment horizontal="center" vertical="center"/>
    </xf>
    <xf numFmtId="0" fontId="71" fillId="0" borderId="37" xfId="0" applyFont="1" applyBorder="1" applyAlignment="1">
      <alignment horizontal="center" vertical="center"/>
    </xf>
    <xf numFmtId="0" fontId="71" fillId="0" borderId="38" xfId="0" applyFont="1" applyBorder="1" applyAlignment="1">
      <alignment horizontal="center" vertical="center"/>
    </xf>
    <xf numFmtId="0" fontId="71" fillId="0" borderId="39" xfId="0" applyFont="1" applyBorder="1" applyAlignment="1">
      <alignment horizontal="center" vertical="center"/>
    </xf>
    <xf numFmtId="166" fontId="70" fillId="0" borderId="3" xfId="0" applyNumberFormat="1" applyFont="1" applyFill="1" applyBorder="1" applyAlignment="1">
      <alignment horizontal="center"/>
    </xf>
    <xf numFmtId="166" fontId="70" fillId="0" borderId="4" xfId="0" applyNumberFormat="1" applyFont="1" applyFill="1" applyBorder="1" applyAlignment="1">
      <alignment horizontal="center"/>
    </xf>
    <xf numFmtId="166" fontId="70" fillId="0" borderId="5" xfId="0" applyNumberFormat="1" applyFont="1" applyFill="1" applyBorder="1" applyAlignment="1">
      <alignment horizontal="center"/>
    </xf>
    <xf numFmtId="0" fontId="76" fillId="0" borderId="4" xfId="1279" applyFont="1" applyFill="1" applyBorder="1" applyAlignment="1">
      <alignment horizontal="center"/>
    </xf>
    <xf numFmtId="0" fontId="76" fillId="0" borderId="5" xfId="1279" applyFont="1" applyFill="1" applyBorder="1" applyAlignment="1">
      <alignment horizontal="center"/>
    </xf>
    <xf numFmtId="0" fontId="76" fillId="0" borderId="47" xfId="1278" applyFont="1" applyFill="1" applyBorder="1" applyAlignment="1">
      <alignment horizontal="center"/>
    </xf>
    <xf numFmtId="0" fontId="76" fillId="0" borderId="44" xfId="1278" applyFont="1" applyFill="1" applyBorder="1" applyAlignment="1">
      <alignment horizontal="center"/>
    </xf>
    <xf numFmtId="0" fontId="76" fillId="0" borderId="49" xfId="1278" applyFont="1" applyFill="1" applyBorder="1" applyAlignment="1">
      <alignment horizontal="center"/>
    </xf>
    <xf numFmtId="0" fontId="76" fillId="0" borderId="48" xfId="1278" applyFont="1" applyFill="1" applyBorder="1" applyAlignment="1">
      <alignment horizontal="center"/>
    </xf>
    <xf numFmtId="0" fontId="70" fillId="0" borderId="19" xfId="1279" applyFont="1" applyFill="1" applyBorder="1" applyAlignment="1">
      <alignment horizontal="center" vertical="top"/>
    </xf>
  </cellXfs>
  <cellStyles count="1366">
    <cellStyle name="20% - Accent1" xfId="1303" builtinId="30" customBuiltin="1"/>
    <cellStyle name="20% - Accent1 2" xfId="101"/>
    <cellStyle name="20% - Accent1 2 2" xfId="102"/>
    <cellStyle name="20% - Accent1 2 3" xfId="103"/>
    <cellStyle name="20% - Accent1 3" xfId="104"/>
    <cellStyle name="20% - Accent1 3 2" xfId="105"/>
    <cellStyle name="20% - Accent1 4" xfId="106"/>
    <cellStyle name="20% - Accent1 5" xfId="107"/>
    <cellStyle name="20% - Accent1 5 2" xfId="108"/>
    <cellStyle name="20% - Accent1 6" xfId="109"/>
    <cellStyle name="20% - Accent1 6 2" xfId="110"/>
    <cellStyle name="20% - Accent1 7" xfId="111"/>
    <cellStyle name="20% - Accent1 7 2" xfId="112"/>
    <cellStyle name="20% - Accent1 8" xfId="113"/>
    <cellStyle name="20% - Accent1 8 2" xfId="114"/>
    <cellStyle name="20% - Accent2" xfId="1307" builtinId="34" customBuiltin="1"/>
    <cellStyle name="20% - Accent2 2" xfId="115"/>
    <cellStyle name="20% - Accent2 2 2" xfId="116"/>
    <cellStyle name="20% - Accent2 2 3" xfId="117"/>
    <cellStyle name="20% - Accent2 3" xfId="118"/>
    <cellStyle name="20% - Accent2 3 2" xfId="119"/>
    <cellStyle name="20% - Accent2 4" xfId="120"/>
    <cellStyle name="20% - Accent2 5" xfId="121"/>
    <cellStyle name="20% - Accent2 5 2" xfId="122"/>
    <cellStyle name="20% - Accent2 6" xfId="123"/>
    <cellStyle name="20% - Accent2 6 2" xfId="124"/>
    <cellStyle name="20% - Accent2 7" xfId="125"/>
    <cellStyle name="20% - Accent2 7 2" xfId="126"/>
    <cellStyle name="20% - Accent2 8" xfId="127"/>
    <cellStyle name="20% - Accent2 8 2" xfId="128"/>
    <cellStyle name="20% - Accent3" xfId="1311" builtinId="38" customBuiltin="1"/>
    <cellStyle name="20% - Accent3 2" xfId="129"/>
    <cellStyle name="20% - Accent3 2 2" xfId="130"/>
    <cellStyle name="20% - Accent3 2 3" xfId="131"/>
    <cellStyle name="20% - Accent3 3" xfId="132"/>
    <cellStyle name="20% - Accent3 3 2" xfId="133"/>
    <cellStyle name="20% - Accent3 4" xfId="134"/>
    <cellStyle name="20% - Accent3 5" xfId="135"/>
    <cellStyle name="20% - Accent3 5 2" xfId="136"/>
    <cellStyle name="20% - Accent3 6" xfId="137"/>
    <cellStyle name="20% - Accent3 6 2" xfId="138"/>
    <cellStyle name="20% - Accent3 7" xfId="139"/>
    <cellStyle name="20% - Accent3 7 2" xfId="140"/>
    <cellStyle name="20% - Accent3 8" xfId="141"/>
    <cellStyle name="20% - Accent3 8 2" xfId="142"/>
    <cellStyle name="20% - Accent4" xfId="1315" builtinId="42" customBuiltin="1"/>
    <cellStyle name="20% - Accent4 2" xfId="143"/>
    <cellStyle name="20% - Accent4 2 2" xfId="144"/>
    <cellStyle name="20% - Accent4 2 3" xfId="145"/>
    <cellStyle name="20% - Accent4 3" xfId="146"/>
    <cellStyle name="20% - Accent4 3 2" xfId="147"/>
    <cellStyle name="20% - Accent4 4" xfId="148"/>
    <cellStyle name="20% - Accent4 5" xfId="149"/>
    <cellStyle name="20% - Accent4 5 2" xfId="150"/>
    <cellStyle name="20% - Accent4 6" xfId="151"/>
    <cellStyle name="20% - Accent4 6 2" xfId="152"/>
    <cellStyle name="20% - Accent4 7" xfId="153"/>
    <cellStyle name="20% - Accent4 7 2" xfId="154"/>
    <cellStyle name="20% - Accent4 8" xfId="155"/>
    <cellStyle name="20% - Accent4 8 2" xfId="156"/>
    <cellStyle name="20% - Accent5" xfId="1319" builtinId="46" customBuiltin="1"/>
    <cellStyle name="20% - Accent5 2" xfId="157"/>
    <cellStyle name="20% - Accent5 2 2" xfId="158"/>
    <cellStyle name="20% - Accent5 2 3" xfId="159"/>
    <cellStyle name="20% - Accent5 3" xfId="160"/>
    <cellStyle name="20% - Accent5 3 2" xfId="161"/>
    <cellStyle name="20% - Accent5 4" xfId="162"/>
    <cellStyle name="20% - Accent5 5" xfId="163"/>
    <cellStyle name="20% - Accent5 5 2" xfId="164"/>
    <cellStyle name="20% - Accent5 6" xfId="165"/>
    <cellStyle name="20% - Accent5 6 2" xfId="166"/>
    <cellStyle name="20% - Accent5 7" xfId="167"/>
    <cellStyle name="20% - Accent5 7 2" xfId="168"/>
    <cellStyle name="20% - Accent5 8" xfId="169"/>
    <cellStyle name="20% - Accent5 8 2" xfId="170"/>
    <cellStyle name="20% - Accent6" xfId="1323" builtinId="50" customBuiltin="1"/>
    <cellStyle name="20% - Accent6 2" xfId="171"/>
    <cellStyle name="20% - Accent6 2 2" xfId="172"/>
    <cellStyle name="20% - Accent6 2 3" xfId="173"/>
    <cellStyle name="20% - Accent6 3" xfId="174"/>
    <cellStyle name="20% - Accent6 3 2" xfId="175"/>
    <cellStyle name="20% - Accent6 4" xfId="176"/>
    <cellStyle name="20% - Accent6 5" xfId="177"/>
    <cellStyle name="20% - Accent6 5 2" xfId="178"/>
    <cellStyle name="20% - Accent6 6" xfId="179"/>
    <cellStyle name="20% - Accent6 6 2" xfId="180"/>
    <cellStyle name="20% - Accent6 7" xfId="181"/>
    <cellStyle name="20% - Accent6 7 2" xfId="182"/>
    <cellStyle name="20% - Accent6 8" xfId="183"/>
    <cellStyle name="20% - Accent6 8 2" xfId="184"/>
    <cellStyle name="40% - Accent1" xfId="1304" builtinId="31" customBuiltin="1"/>
    <cellStyle name="40% - Accent1 2" xfId="185"/>
    <cellStyle name="40% - Accent1 2 2" xfId="186"/>
    <cellStyle name="40% - Accent1 2 3" xfId="187"/>
    <cellStyle name="40% - Accent1 3" xfId="188"/>
    <cellStyle name="40% - Accent1 3 2" xfId="189"/>
    <cellStyle name="40% - Accent1 4" xfId="190"/>
    <cellStyle name="40% - Accent1 5" xfId="191"/>
    <cellStyle name="40% - Accent1 5 2" xfId="192"/>
    <cellStyle name="40% - Accent1 6" xfId="193"/>
    <cellStyle name="40% - Accent1 6 2" xfId="194"/>
    <cellStyle name="40% - Accent1 7" xfId="195"/>
    <cellStyle name="40% - Accent1 7 2" xfId="196"/>
    <cellStyle name="40% - Accent1 8" xfId="197"/>
    <cellStyle name="40% - Accent1 8 2" xfId="198"/>
    <cellStyle name="40% - Accent2" xfId="1308" builtinId="35" customBuiltin="1"/>
    <cellStyle name="40% - Accent2 2" xfId="199"/>
    <cellStyle name="40% - Accent2 2 2" xfId="200"/>
    <cellStyle name="40% - Accent2 2 3" xfId="201"/>
    <cellStyle name="40% - Accent2 3" xfId="202"/>
    <cellStyle name="40% - Accent2 3 2" xfId="203"/>
    <cellStyle name="40% - Accent2 4" xfId="204"/>
    <cellStyle name="40% - Accent2 5" xfId="205"/>
    <cellStyle name="40% - Accent2 5 2" xfId="206"/>
    <cellStyle name="40% - Accent2 6" xfId="207"/>
    <cellStyle name="40% - Accent2 6 2" xfId="208"/>
    <cellStyle name="40% - Accent2 7" xfId="209"/>
    <cellStyle name="40% - Accent2 7 2" xfId="210"/>
    <cellStyle name="40% - Accent2 8" xfId="211"/>
    <cellStyle name="40% - Accent2 8 2" xfId="212"/>
    <cellStyle name="40% - Accent3" xfId="1312" builtinId="39" customBuiltin="1"/>
    <cellStyle name="40% - Accent3 2" xfId="213"/>
    <cellStyle name="40% - Accent3 2 2" xfId="214"/>
    <cellStyle name="40% - Accent3 2 3" xfId="215"/>
    <cellStyle name="40% - Accent3 3" xfId="216"/>
    <cellStyle name="40% - Accent3 3 2" xfId="217"/>
    <cellStyle name="40% - Accent3 4" xfId="218"/>
    <cellStyle name="40% - Accent3 5" xfId="219"/>
    <cellStyle name="40% - Accent3 5 2" xfId="220"/>
    <cellStyle name="40% - Accent3 6" xfId="221"/>
    <cellStyle name="40% - Accent3 6 2" xfId="222"/>
    <cellStyle name="40% - Accent3 7" xfId="223"/>
    <cellStyle name="40% - Accent3 7 2" xfId="224"/>
    <cellStyle name="40% - Accent3 8" xfId="225"/>
    <cellStyle name="40% - Accent3 8 2" xfId="226"/>
    <cellStyle name="40% - Accent4" xfId="1316" builtinId="43" customBuiltin="1"/>
    <cellStyle name="40% - Accent4 2" xfId="227"/>
    <cellStyle name="40% - Accent4 2 2" xfId="228"/>
    <cellStyle name="40% - Accent4 2 3" xfId="229"/>
    <cellStyle name="40% - Accent4 3" xfId="230"/>
    <cellStyle name="40% - Accent4 3 2" xfId="231"/>
    <cellStyle name="40% - Accent4 4" xfId="232"/>
    <cellStyle name="40% - Accent4 5" xfId="233"/>
    <cellStyle name="40% - Accent4 5 2" xfId="234"/>
    <cellStyle name="40% - Accent4 6" xfId="235"/>
    <cellStyle name="40% - Accent4 6 2" xfId="236"/>
    <cellStyle name="40% - Accent4 7" xfId="237"/>
    <cellStyle name="40% - Accent4 7 2" xfId="238"/>
    <cellStyle name="40% - Accent4 8" xfId="239"/>
    <cellStyle name="40% - Accent4 8 2" xfId="240"/>
    <cellStyle name="40% - Accent5" xfId="1320" builtinId="47" customBuiltin="1"/>
    <cellStyle name="40% - Accent5 2" xfId="241"/>
    <cellStyle name="40% - Accent5 2 2" xfId="242"/>
    <cellStyle name="40% - Accent5 2 3" xfId="243"/>
    <cellStyle name="40% - Accent5 3" xfId="244"/>
    <cellStyle name="40% - Accent5 3 2" xfId="245"/>
    <cellStyle name="40% - Accent5 4" xfId="246"/>
    <cellStyle name="40% - Accent5 5" xfId="247"/>
    <cellStyle name="40% - Accent5 5 2" xfId="248"/>
    <cellStyle name="40% - Accent5 6" xfId="249"/>
    <cellStyle name="40% - Accent5 6 2" xfId="250"/>
    <cellStyle name="40% - Accent5 7" xfId="251"/>
    <cellStyle name="40% - Accent5 7 2" xfId="252"/>
    <cellStyle name="40% - Accent5 8" xfId="253"/>
    <cellStyle name="40% - Accent5 8 2" xfId="254"/>
    <cellStyle name="40% - Accent6" xfId="1324" builtinId="51" customBuiltin="1"/>
    <cellStyle name="40% - Accent6 2" xfId="255"/>
    <cellStyle name="40% - Accent6 2 2" xfId="256"/>
    <cellStyle name="40% - Accent6 2 3" xfId="257"/>
    <cellStyle name="40% - Accent6 3" xfId="258"/>
    <cellStyle name="40% - Accent6 3 2" xfId="259"/>
    <cellStyle name="40% - Accent6 4" xfId="260"/>
    <cellStyle name="40% - Accent6 5" xfId="261"/>
    <cellStyle name="40% - Accent6 5 2" xfId="262"/>
    <cellStyle name="40% - Accent6 6" xfId="263"/>
    <cellStyle name="40% - Accent6 6 2" xfId="264"/>
    <cellStyle name="40% - Accent6 7" xfId="265"/>
    <cellStyle name="40% - Accent6 7 2" xfId="266"/>
    <cellStyle name="40% - Accent6 8" xfId="267"/>
    <cellStyle name="40% - Accent6 8 2" xfId="268"/>
    <cellStyle name="60% - Accent1" xfId="1305" builtinId="32" customBuiltin="1"/>
    <cellStyle name="60% - Accent1 2" xfId="269"/>
    <cellStyle name="60% - Accent1 2 2" xfId="270"/>
    <cellStyle name="60% - Accent1 2 3" xfId="271"/>
    <cellStyle name="60% - Accent1 3" xfId="272"/>
    <cellStyle name="60% - Accent1 3 2" xfId="273"/>
    <cellStyle name="60% - Accent1 4" xfId="274"/>
    <cellStyle name="60% - Accent1 5" xfId="275"/>
    <cellStyle name="60% - Accent1 5 2" xfId="276"/>
    <cellStyle name="60% - Accent1 6" xfId="277"/>
    <cellStyle name="60% - Accent1 6 2" xfId="278"/>
    <cellStyle name="60% - Accent1 7" xfId="279"/>
    <cellStyle name="60% - Accent1 7 2" xfId="280"/>
    <cellStyle name="60% - Accent2" xfId="1309" builtinId="36" customBuiltin="1"/>
    <cellStyle name="60% - Accent2 2" xfId="281"/>
    <cellStyle name="60% - Accent2 2 2" xfId="282"/>
    <cellStyle name="60% - Accent2 2 3" xfId="283"/>
    <cellStyle name="60% - Accent2 3" xfId="284"/>
    <cellStyle name="60% - Accent2 3 2" xfId="285"/>
    <cellStyle name="60% - Accent2 4" xfId="286"/>
    <cellStyle name="60% - Accent2 5" xfId="287"/>
    <cellStyle name="60% - Accent2 5 2" xfId="288"/>
    <cellStyle name="60% - Accent2 6" xfId="289"/>
    <cellStyle name="60% - Accent2 6 2" xfId="290"/>
    <cellStyle name="60% - Accent2 7" xfId="291"/>
    <cellStyle name="60% - Accent2 7 2" xfId="292"/>
    <cellStyle name="60% - Accent3" xfId="1313" builtinId="40" customBuiltin="1"/>
    <cellStyle name="60% - Accent3 2" xfId="293"/>
    <cellStyle name="60% - Accent3 2 2" xfId="294"/>
    <cellStyle name="60% - Accent3 2 3" xfId="295"/>
    <cellStyle name="60% - Accent3 3" xfId="296"/>
    <cellStyle name="60% - Accent3 3 2" xfId="297"/>
    <cellStyle name="60% - Accent3 4" xfId="298"/>
    <cellStyle name="60% - Accent3 5" xfId="299"/>
    <cellStyle name="60% - Accent3 5 2" xfId="300"/>
    <cellStyle name="60% - Accent3 6" xfId="301"/>
    <cellStyle name="60% - Accent3 6 2" xfId="302"/>
    <cellStyle name="60% - Accent3 7" xfId="303"/>
    <cellStyle name="60% - Accent3 7 2" xfId="304"/>
    <cellStyle name="60% - Accent4" xfId="1317" builtinId="44" customBuiltin="1"/>
    <cellStyle name="60% - Accent4 2" xfId="305"/>
    <cellStyle name="60% - Accent4 2 2" xfId="306"/>
    <cellStyle name="60% - Accent4 2 3" xfId="307"/>
    <cellStyle name="60% - Accent4 3" xfId="308"/>
    <cellStyle name="60% - Accent4 3 2" xfId="309"/>
    <cellStyle name="60% - Accent4 4" xfId="310"/>
    <cellStyle name="60% - Accent4 5" xfId="311"/>
    <cellStyle name="60% - Accent4 5 2" xfId="312"/>
    <cellStyle name="60% - Accent4 6" xfId="313"/>
    <cellStyle name="60% - Accent4 6 2" xfId="314"/>
    <cellStyle name="60% - Accent4 7" xfId="315"/>
    <cellStyle name="60% - Accent4 7 2" xfId="316"/>
    <cellStyle name="60% - Accent5" xfId="1321" builtinId="48" customBuiltin="1"/>
    <cellStyle name="60% - Accent5 2" xfId="317"/>
    <cellStyle name="60% - Accent5 2 2" xfId="318"/>
    <cellStyle name="60% - Accent5 2 3" xfId="319"/>
    <cellStyle name="60% - Accent5 3" xfId="320"/>
    <cellStyle name="60% - Accent5 3 2" xfId="321"/>
    <cellStyle name="60% - Accent5 4" xfId="322"/>
    <cellStyle name="60% - Accent5 5" xfId="323"/>
    <cellStyle name="60% - Accent5 5 2" xfId="324"/>
    <cellStyle name="60% - Accent5 6" xfId="325"/>
    <cellStyle name="60% - Accent5 6 2" xfId="326"/>
    <cellStyle name="60% - Accent5 7" xfId="327"/>
    <cellStyle name="60% - Accent5 7 2" xfId="328"/>
    <cellStyle name="60% - Accent6" xfId="1325" builtinId="52" customBuiltin="1"/>
    <cellStyle name="60% - Accent6 2" xfId="329"/>
    <cellStyle name="60% - Accent6 2 2" xfId="330"/>
    <cellStyle name="60% - Accent6 2 3" xfId="331"/>
    <cellStyle name="60% - Accent6 3" xfId="332"/>
    <cellStyle name="60% - Accent6 3 2" xfId="333"/>
    <cellStyle name="60% - Accent6 4" xfId="334"/>
    <cellStyle name="60% - Accent6 5" xfId="335"/>
    <cellStyle name="60% - Accent6 5 2" xfId="336"/>
    <cellStyle name="60% - Accent6 6" xfId="337"/>
    <cellStyle name="60% - Accent6 6 2" xfId="338"/>
    <cellStyle name="60% - Accent6 7" xfId="339"/>
    <cellStyle name="60% - Accent6 7 2" xfId="340"/>
    <cellStyle name="Accent1" xfId="1302" builtinId="29" customBuiltin="1"/>
    <cellStyle name="Accent1 2" xfId="341"/>
    <cellStyle name="Accent1 2 2" xfId="342"/>
    <cellStyle name="Accent1 2 3" xfId="343"/>
    <cellStyle name="Accent1 3" xfId="344"/>
    <cellStyle name="Accent1 3 2" xfId="345"/>
    <cellStyle name="Accent1 4" xfId="346"/>
    <cellStyle name="Accent2" xfId="1306" builtinId="33" customBuiltin="1"/>
    <cellStyle name="Accent2 2" xfId="347"/>
    <cellStyle name="Accent2 2 2" xfId="348"/>
    <cellStyle name="Accent2 2 3" xfId="349"/>
    <cellStyle name="Accent2 3" xfId="350"/>
    <cellStyle name="Accent2 3 2" xfId="351"/>
    <cellStyle name="Accent2 4" xfId="352"/>
    <cellStyle name="Accent3" xfId="1310" builtinId="37" customBuiltin="1"/>
    <cellStyle name="Accent3 2" xfId="353"/>
    <cellStyle name="Accent3 2 2" xfId="354"/>
    <cellStyle name="Accent3 2 3" xfId="355"/>
    <cellStyle name="Accent3 3" xfId="356"/>
    <cellStyle name="Accent3 3 2" xfId="357"/>
    <cellStyle name="Accent3 4" xfId="358"/>
    <cellStyle name="Accent4" xfId="1314" builtinId="41" customBuiltin="1"/>
    <cellStyle name="Accent4 2" xfId="359"/>
    <cellStyle name="Accent4 2 2" xfId="360"/>
    <cellStyle name="Accent4 2 3" xfId="361"/>
    <cellStyle name="Accent4 3" xfId="362"/>
    <cellStyle name="Accent4 3 2" xfId="363"/>
    <cellStyle name="Accent4 4" xfId="364"/>
    <cellStyle name="Accent5" xfId="1318" builtinId="45" customBuiltin="1"/>
    <cellStyle name="Accent5 2" xfId="365"/>
    <cellStyle name="Accent5 2 2" xfId="366"/>
    <cellStyle name="Accent5 2 3" xfId="367"/>
    <cellStyle name="Accent5 3" xfId="368"/>
    <cellStyle name="Accent5 3 2" xfId="369"/>
    <cellStyle name="Accent5 4" xfId="370"/>
    <cellStyle name="Accent6" xfId="1322" builtinId="49" customBuiltin="1"/>
    <cellStyle name="Accent6 2" xfId="371"/>
    <cellStyle name="Accent6 2 2" xfId="372"/>
    <cellStyle name="Accent6 2 3" xfId="373"/>
    <cellStyle name="Accent6 3" xfId="374"/>
    <cellStyle name="Accent6 3 2" xfId="375"/>
    <cellStyle name="Accent6 4" xfId="376"/>
    <cellStyle name="Bad" xfId="1291" builtinId="27" customBuiltin="1"/>
    <cellStyle name="Bad 2" xfId="377"/>
    <cellStyle name="Bad 2 2" xfId="378"/>
    <cellStyle name="Bad 2 3" xfId="379"/>
    <cellStyle name="Bad 3" xfId="380"/>
    <cellStyle name="Bad 3 2" xfId="381"/>
    <cellStyle name="Bad 4" xfId="382"/>
    <cellStyle name="Calculation" xfId="1295" builtinId="22" customBuiltin="1"/>
    <cellStyle name="Calculation 2" xfId="383"/>
    <cellStyle name="Calculation 2 2" xfId="384"/>
    <cellStyle name="Calculation 2 3" xfId="385"/>
    <cellStyle name="Calculation 3" xfId="386"/>
    <cellStyle name="Calculation 3 2" xfId="387"/>
    <cellStyle name="Calculation 4" xfId="388"/>
    <cellStyle name="Check Cell" xfId="1297" builtinId="23" customBuiltin="1"/>
    <cellStyle name="Check Cell 2" xfId="389"/>
    <cellStyle name="Check Cell 2 2" xfId="390"/>
    <cellStyle name="Check Cell 2 3" xfId="391"/>
    <cellStyle name="Check Cell 3" xfId="392"/>
    <cellStyle name="Check Cell 3 2" xfId="393"/>
    <cellStyle name="Check Cell 4" xfId="394"/>
    <cellStyle name="Comma 2" xfId="395"/>
    <cellStyle name="Comma 2 2" xfId="1328"/>
    <cellStyle name="Comma 2 3" xfId="1335"/>
    <cellStyle name="Comma 2 4" xfId="1343"/>
    <cellStyle name="Comma 2 5" xfId="1349"/>
    <cellStyle name="Comma 2 6" xfId="1355"/>
    <cellStyle name="Currency 2 2" xfId="396"/>
    <cellStyle name="Currency 2 2 2" xfId="397"/>
    <cellStyle name="Currency 2 2 3" xfId="398"/>
    <cellStyle name="Currency 3 2" xfId="399"/>
    <cellStyle name="Currency 3 3" xfId="400"/>
    <cellStyle name="Explanatory Text" xfId="1300" builtinId="53" customBuiltin="1"/>
    <cellStyle name="Explanatory Text 2" xfId="401"/>
    <cellStyle name="Explanatory Text 2 2" xfId="402"/>
    <cellStyle name="Explanatory Text 2 3" xfId="403"/>
    <cellStyle name="Explanatory Text 3" xfId="404"/>
    <cellStyle name="Explanatory Text 3 2" xfId="405"/>
    <cellStyle name="Explanatory Text 4" xfId="406"/>
    <cellStyle name="Good" xfId="1290" builtinId="26" customBuiltin="1"/>
    <cellStyle name="Good 2" xfId="407"/>
    <cellStyle name="Good 2 2" xfId="408"/>
    <cellStyle name="Good 2 3" xfId="409"/>
    <cellStyle name="Good 3" xfId="410"/>
    <cellStyle name="Good 3 2" xfId="411"/>
    <cellStyle name="Good 4" xfId="412"/>
    <cellStyle name="Heading 1" xfId="1286" builtinId="16" customBuiltin="1"/>
    <cellStyle name="Heading 1 2" xfId="413"/>
    <cellStyle name="Heading 1 2 2" xfId="414"/>
    <cellStyle name="Heading 1 2 3" xfId="415"/>
    <cellStyle name="Heading 1 3" xfId="416"/>
    <cellStyle name="Heading 1 3 2" xfId="417"/>
    <cellStyle name="Heading 1 4" xfId="418"/>
    <cellStyle name="Heading 2" xfId="1287" builtinId="17" customBuiltin="1"/>
    <cellStyle name="Heading 2 2" xfId="419"/>
    <cellStyle name="Heading 2 2 2" xfId="420"/>
    <cellStyle name="Heading 2 2 3" xfId="421"/>
    <cellStyle name="Heading 2 3" xfId="422"/>
    <cellStyle name="Heading 2 3 2" xfId="423"/>
    <cellStyle name="Heading 2 4" xfId="424"/>
    <cellStyle name="Heading 3" xfId="1288" builtinId="18" customBuiltin="1"/>
    <cellStyle name="Heading 3 2" xfId="425"/>
    <cellStyle name="Heading 3 2 2" xfId="426"/>
    <cellStyle name="Heading 3 2 3" xfId="427"/>
    <cellStyle name="Heading 3 3" xfId="428"/>
    <cellStyle name="Heading 3 3 2" xfId="429"/>
    <cellStyle name="Heading 3 4" xfId="430"/>
    <cellStyle name="Heading 4" xfId="1289" builtinId="19" customBuiltin="1"/>
    <cellStyle name="Heading 4 2" xfId="431"/>
    <cellStyle name="Heading 4 2 2" xfId="432"/>
    <cellStyle name="Heading 4 2 3" xfId="433"/>
    <cellStyle name="Heading 4 3" xfId="434"/>
    <cellStyle name="Heading 4 3 2" xfId="435"/>
    <cellStyle name="Heading 4 4" xfId="436"/>
    <cellStyle name="Input" xfId="1293" builtinId="20" customBuiltin="1"/>
    <cellStyle name="Input 2" xfId="437"/>
    <cellStyle name="Input 2 2" xfId="438"/>
    <cellStyle name="Input 2 3" xfId="439"/>
    <cellStyle name="Input 3" xfId="440"/>
    <cellStyle name="Input 3 2" xfId="441"/>
    <cellStyle name="Input 4" xfId="442"/>
    <cellStyle name="Linked Cell" xfId="1296" builtinId="24" customBuiltin="1"/>
    <cellStyle name="Linked Cell 2" xfId="443"/>
    <cellStyle name="Linked Cell 2 2" xfId="444"/>
    <cellStyle name="Linked Cell 2 3" xfId="445"/>
    <cellStyle name="Linked Cell 3" xfId="446"/>
    <cellStyle name="Linked Cell 3 2" xfId="447"/>
    <cellStyle name="Linked Cell 4" xfId="448"/>
    <cellStyle name="Neutral" xfId="1292" builtinId="28" customBuiltin="1"/>
    <cellStyle name="Neutral 2" xfId="449"/>
    <cellStyle name="Neutral 2 2" xfId="450"/>
    <cellStyle name="Neutral 2 3" xfId="451"/>
    <cellStyle name="Neutral 3" xfId="452"/>
    <cellStyle name="Neutral 3 2" xfId="453"/>
    <cellStyle name="Neutral 4" xfId="454"/>
    <cellStyle name="Neutral 5" xfId="455"/>
    <cellStyle name="Neutral 6" xfId="456"/>
    <cellStyle name="Neutral 7" xfId="457"/>
    <cellStyle name="Normal" xfId="0" builtinId="0"/>
    <cellStyle name="Normal 10" xfId="458"/>
    <cellStyle name="Normal 10 10" xfId="459"/>
    <cellStyle name="Normal 10 11" xfId="460"/>
    <cellStyle name="Normal 10 12" xfId="461"/>
    <cellStyle name="Normal 10 13" xfId="462"/>
    <cellStyle name="Normal 10 14" xfId="463"/>
    <cellStyle name="Normal 10 15" xfId="464"/>
    <cellStyle name="Normal 10 2" xfId="465"/>
    <cellStyle name="Normal 10 2 2" xfId="466"/>
    <cellStyle name="Normal 10 2 2 2" xfId="1329"/>
    <cellStyle name="Normal 10 2 2 3" xfId="1336"/>
    <cellStyle name="Normal 10 2 2 4" xfId="1344"/>
    <cellStyle name="Normal 10 2 2 5" xfId="1350"/>
    <cellStyle name="Normal 10 2 2 6" xfId="1356"/>
    <cellStyle name="Normal 10 2 3" xfId="467"/>
    <cellStyle name="Normal 10 3" xfId="468"/>
    <cellStyle name="Normal 10 3 2" xfId="469"/>
    <cellStyle name="Normal 10 4" xfId="470"/>
    <cellStyle name="Normal 10 5" xfId="471"/>
    <cellStyle name="Normal 10 6" xfId="472"/>
    <cellStyle name="Normal 10 7" xfId="473"/>
    <cellStyle name="Normal 10 8" xfId="474"/>
    <cellStyle name="Normal 10 9" xfId="475"/>
    <cellStyle name="Normal 100" xfId="12"/>
    <cellStyle name="Normal 100 2" xfId="476"/>
    <cellStyle name="Normal 101" xfId="13"/>
    <cellStyle name="Normal 101 2" xfId="477"/>
    <cellStyle name="Normal 102" xfId="5"/>
    <cellStyle name="Normal 102 2" xfId="478"/>
    <cellStyle name="Normal 103" xfId="14"/>
    <cellStyle name="Normal 103 2" xfId="479"/>
    <cellStyle name="Normal 104" xfId="19"/>
    <cellStyle name="Normal 104 2" xfId="480"/>
    <cellStyle name="Normal 105" xfId="20"/>
    <cellStyle name="Normal 105 2" xfId="481"/>
    <cellStyle name="Normal 106" xfId="21"/>
    <cellStyle name="Normal 106 2" xfId="482"/>
    <cellStyle name="Normal 107" xfId="23"/>
    <cellStyle name="Normal 107 2" xfId="483"/>
    <cellStyle name="Normal 108" xfId="22"/>
    <cellStyle name="Normal 108 2" xfId="484"/>
    <cellStyle name="Normal 109" xfId="26"/>
    <cellStyle name="Normal 109 2" xfId="485"/>
    <cellStyle name="Normal 11" xfId="486"/>
    <cellStyle name="Normal 11 10" xfId="487"/>
    <cellStyle name="Normal 11 11" xfId="488"/>
    <cellStyle name="Normal 11 12" xfId="489"/>
    <cellStyle name="Normal 11 13" xfId="490"/>
    <cellStyle name="Normal 11 14" xfId="491"/>
    <cellStyle name="Normal 11 2" xfId="492"/>
    <cellStyle name="Normal 11 2 2" xfId="493"/>
    <cellStyle name="Normal 11 3" xfId="494"/>
    <cellStyle name="Normal 11 4" xfId="495"/>
    <cellStyle name="Normal 11 5" xfId="496"/>
    <cellStyle name="Normal 11 6" xfId="497"/>
    <cellStyle name="Normal 11 7" xfId="498"/>
    <cellStyle name="Normal 11 8" xfId="499"/>
    <cellStyle name="Normal 11 9" xfId="500"/>
    <cellStyle name="Normal 110" xfId="24"/>
    <cellStyle name="Normal 110 2" xfId="501"/>
    <cellStyle name="Normal 111" xfId="27"/>
    <cellStyle name="Normal 111 2" xfId="502"/>
    <cellStyle name="Normal 112" xfId="31"/>
    <cellStyle name="Normal 112 2" xfId="503"/>
    <cellStyle name="Normal 113" xfId="32"/>
    <cellStyle name="Normal 113 2" xfId="504"/>
    <cellStyle name="Normal 114" xfId="505"/>
    <cellStyle name="Normal 114 2" xfId="506"/>
    <cellStyle name="Normal 115" xfId="507"/>
    <cellStyle name="Normal 115 2" xfId="508"/>
    <cellStyle name="Normal 116" xfId="33"/>
    <cellStyle name="Normal 116 2" xfId="509"/>
    <cellStyle name="Normal 117" xfId="28"/>
    <cellStyle name="Normal 117 2" xfId="510"/>
    <cellStyle name="Normal 118" xfId="29"/>
    <cellStyle name="Normal 118 2" xfId="511"/>
    <cellStyle name="Normal 119" xfId="30"/>
    <cellStyle name="Normal 119 2" xfId="512"/>
    <cellStyle name="Normal 12" xfId="513"/>
    <cellStyle name="Normal 12 2" xfId="514"/>
    <cellStyle name="Normal 12 2 2" xfId="515"/>
    <cellStyle name="Normal 12 2 3" xfId="516"/>
    <cellStyle name="Normal 120" xfId="34"/>
    <cellStyle name="Normal 120 2" xfId="517"/>
    <cellStyle name="Normal 121" xfId="35"/>
    <cellStyle name="Normal 121 2" xfId="518"/>
    <cellStyle name="Normal 122" xfId="41"/>
    <cellStyle name="Normal 122 2" xfId="519"/>
    <cellStyle name="Normal 123" xfId="38"/>
    <cellStyle name="Normal 123 2" xfId="520"/>
    <cellStyle name="Normal 124" xfId="36"/>
    <cellStyle name="Normal 124 2" xfId="521"/>
    <cellStyle name="Normal 125" xfId="46"/>
    <cellStyle name="Normal 125 2" xfId="522"/>
    <cellStyle name="Normal 126" xfId="42"/>
    <cellStyle name="Normal 126 2" xfId="523"/>
    <cellStyle name="Normal 127" xfId="524"/>
    <cellStyle name="Normal 127 2" xfId="525"/>
    <cellStyle name="Normal 128" xfId="47"/>
    <cellStyle name="Normal 128 2" xfId="526"/>
    <cellStyle name="Normal 129" xfId="527"/>
    <cellStyle name="Normal 129 2" xfId="528"/>
    <cellStyle name="Normal 13" xfId="529"/>
    <cellStyle name="Normal 13 10" xfId="530"/>
    <cellStyle name="Normal 13 11" xfId="531"/>
    <cellStyle name="Normal 13 12" xfId="532"/>
    <cellStyle name="Normal 13 13" xfId="533"/>
    <cellStyle name="Normal 13 14" xfId="534"/>
    <cellStyle name="Normal 13 15" xfId="535"/>
    <cellStyle name="Normal 13 2" xfId="536"/>
    <cellStyle name="Normal 13 2 2" xfId="537"/>
    <cellStyle name="Normal 13 2 3" xfId="538"/>
    <cellStyle name="Normal 13 3" xfId="539"/>
    <cellStyle name="Normal 13 3 2" xfId="540"/>
    <cellStyle name="Normal 13 4" xfId="541"/>
    <cellStyle name="Normal 13 5" xfId="542"/>
    <cellStyle name="Normal 13 6" xfId="543"/>
    <cellStyle name="Normal 13 7" xfId="544"/>
    <cellStyle name="Normal 13 8" xfId="545"/>
    <cellStyle name="Normal 13 9" xfId="546"/>
    <cellStyle name="Normal 130" xfId="48"/>
    <cellStyle name="Normal 130 2" xfId="547"/>
    <cellStyle name="Normal 131" xfId="37"/>
    <cellStyle name="Normal 131 2" xfId="548"/>
    <cellStyle name="Normal 132" xfId="44"/>
    <cellStyle name="Normal 132 2" xfId="549"/>
    <cellStyle name="Normal 133" xfId="43"/>
    <cellStyle name="Normal 133 2" xfId="550"/>
    <cellStyle name="Normal 134" xfId="45"/>
    <cellStyle name="Normal 134 2" xfId="551"/>
    <cellStyle name="Normal 135" xfId="39"/>
    <cellStyle name="Normal 135 2" xfId="552"/>
    <cellStyle name="Normal 136" xfId="553"/>
    <cellStyle name="Normal 136 2" xfId="554"/>
    <cellStyle name="Normal 137" xfId="40"/>
    <cellStyle name="Normal 137 2" xfId="555"/>
    <cellStyle name="Normal 138" xfId="556"/>
    <cellStyle name="Normal 138 2" xfId="557"/>
    <cellStyle name="Normal 139" xfId="558"/>
    <cellStyle name="Normal 139 2" xfId="559"/>
    <cellStyle name="Normal 14" xfId="560"/>
    <cellStyle name="Normal 14 2" xfId="561"/>
    <cellStyle name="Normal 14 2 2" xfId="562"/>
    <cellStyle name="Normal 14 2 3" xfId="563"/>
    <cellStyle name="Normal 140" xfId="55"/>
    <cellStyle name="Normal 140 2" xfId="564"/>
    <cellStyle name="Normal 141" xfId="51"/>
    <cellStyle name="Normal 141 2" xfId="565"/>
    <cellStyle name="Normal 142" xfId="53"/>
    <cellStyle name="Normal 142 2" xfId="566"/>
    <cellStyle name="Normal 143" xfId="56"/>
    <cellStyle name="Normal 143 2" xfId="567"/>
    <cellStyle name="Normal 144" xfId="54"/>
    <cellStyle name="Normal 144 2" xfId="568"/>
    <cellStyle name="Normal 145" xfId="52"/>
    <cellStyle name="Normal 145 2" xfId="569"/>
    <cellStyle name="Normal 146" xfId="58"/>
    <cellStyle name="Normal 146 2" xfId="570"/>
    <cellStyle name="Normal 147" xfId="59"/>
    <cellStyle name="Normal 147 2" xfId="571"/>
    <cellStyle name="Normal 148" xfId="60"/>
    <cellStyle name="Normal 148 2" xfId="572"/>
    <cellStyle name="Normal 149" xfId="57"/>
    <cellStyle name="Normal 149 2" xfId="573"/>
    <cellStyle name="Normal 15" xfId="574"/>
    <cellStyle name="Normal 15 2" xfId="575"/>
    <cellStyle name="Normal 15 2 2" xfId="576"/>
    <cellStyle name="Normal 15 2 3" xfId="577"/>
    <cellStyle name="Normal 150" xfId="61"/>
    <cellStyle name="Normal 150 2" xfId="578"/>
    <cellStyle name="Normal 151" xfId="63"/>
    <cellStyle name="Normal 151 2" xfId="579"/>
    <cellStyle name="Normal 152" xfId="64"/>
    <cellStyle name="Normal 152 2" xfId="580"/>
    <cellStyle name="Normal 153" xfId="65"/>
    <cellStyle name="Normal 153 2" xfId="581"/>
    <cellStyle name="Normal 154" xfId="66"/>
    <cellStyle name="Normal 154 2" xfId="582"/>
    <cellStyle name="Normal 155" xfId="62"/>
    <cellStyle name="Normal 155 2" xfId="583"/>
    <cellStyle name="Normal 156" xfId="67"/>
    <cellStyle name="Normal 156 2" xfId="584"/>
    <cellStyle name="Normal 157" xfId="68"/>
    <cellStyle name="Normal 157 2" xfId="585"/>
    <cellStyle name="Normal 158" xfId="69"/>
    <cellStyle name="Normal 158 2" xfId="586"/>
    <cellStyle name="Normal 159" xfId="70"/>
    <cellStyle name="Normal 159 2" xfId="587"/>
    <cellStyle name="Normal 16" xfId="588"/>
    <cellStyle name="Normal 16 10" xfId="589"/>
    <cellStyle name="Normal 16 11" xfId="590"/>
    <cellStyle name="Normal 16 12" xfId="591"/>
    <cellStyle name="Normal 16 13" xfId="592"/>
    <cellStyle name="Normal 16 14" xfId="593"/>
    <cellStyle name="Normal 16 15" xfId="594"/>
    <cellStyle name="Normal 16 2" xfId="595"/>
    <cellStyle name="Normal 16 2 2" xfId="596"/>
    <cellStyle name="Normal 16 2 3" xfId="597"/>
    <cellStyle name="Normal 16 3" xfId="598"/>
    <cellStyle name="Normal 16 3 2" xfId="599"/>
    <cellStyle name="Normal 16 4" xfId="600"/>
    <cellStyle name="Normal 16 5" xfId="601"/>
    <cellStyle name="Normal 16 6" xfId="602"/>
    <cellStyle name="Normal 16 7" xfId="603"/>
    <cellStyle name="Normal 16 8" xfId="604"/>
    <cellStyle name="Normal 16 9" xfId="605"/>
    <cellStyle name="Normal 160" xfId="71"/>
    <cellStyle name="Normal 160 2" xfId="606"/>
    <cellStyle name="Normal 161" xfId="72"/>
    <cellStyle name="Normal 161 2" xfId="607"/>
    <cellStyle name="Normal 162" xfId="73"/>
    <cellStyle name="Normal 162 2" xfId="608"/>
    <cellStyle name="Normal 163" xfId="74"/>
    <cellStyle name="Normal 163 2" xfId="609"/>
    <cellStyle name="Normal 164" xfId="75"/>
    <cellStyle name="Normal 164 2" xfId="610"/>
    <cellStyle name="Normal 165" xfId="77"/>
    <cellStyle name="Normal 165 2" xfId="611"/>
    <cellStyle name="Normal 166" xfId="78"/>
    <cellStyle name="Normal 166 2" xfId="612"/>
    <cellStyle name="Normal 167" xfId="79"/>
    <cellStyle name="Normal 167 2" xfId="613"/>
    <cellStyle name="Normal 168" xfId="80"/>
    <cellStyle name="Normal 168 2" xfId="614"/>
    <cellStyle name="Normal 169" xfId="81"/>
    <cellStyle name="Normal 169 2" xfId="615"/>
    <cellStyle name="Normal 17" xfId="616"/>
    <cellStyle name="Normal 17 10" xfId="617"/>
    <cellStyle name="Normal 17 11" xfId="618"/>
    <cellStyle name="Normal 17 12" xfId="619"/>
    <cellStyle name="Normal 17 13" xfId="620"/>
    <cellStyle name="Normal 17 14" xfId="621"/>
    <cellStyle name="Normal 17 15" xfId="622"/>
    <cellStyle name="Normal 17 2" xfId="623"/>
    <cellStyle name="Normal 17 2 2" xfId="624"/>
    <cellStyle name="Normal 17 2 3" xfId="625"/>
    <cellStyle name="Normal 17 3" xfId="626"/>
    <cellStyle name="Normal 17 3 2" xfId="627"/>
    <cellStyle name="Normal 17 4" xfId="628"/>
    <cellStyle name="Normal 17 5" xfId="629"/>
    <cellStyle name="Normal 17 6" xfId="630"/>
    <cellStyle name="Normal 17 7" xfId="631"/>
    <cellStyle name="Normal 17 8" xfId="632"/>
    <cellStyle name="Normal 17 9" xfId="633"/>
    <cellStyle name="Normal 170" xfId="82"/>
    <cellStyle name="Normal 170 2" xfId="634"/>
    <cellStyle name="Normal 171" xfId="83"/>
    <cellStyle name="Normal 171 2" xfId="635"/>
    <cellStyle name="Normal 172" xfId="86"/>
    <cellStyle name="Normal 172 2" xfId="636"/>
    <cellStyle name="Normal 173" xfId="87"/>
    <cellStyle name="Normal 173 2" xfId="637"/>
    <cellStyle name="Normal 174" xfId="88"/>
    <cellStyle name="Normal 174 2" xfId="638"/>
    <cellStyle name="Normal 175" xfId="84"/>
    <cellStyle name="Normal 175 2" xfId="639"/>
    <cellStyle name="Normal 176" xfId="85"/>
    <cellStyle name="Normal 176 2" xfId="640"/>
    <cellStyle name="Normal 177" xfId="89"/>
    <cellStyle name="Normal 178" xfId="90"/>
    <cellStyle name="Normal 179" xfId="91"/>
    <cellStyle name="Normal 18" xfId="641"/>
    <cellStyle name="Normal 18 2" xfId="642"/>
    <cellStyle name="Normal 18 3" xfId="643"/>
    <cellStyle name="Normal 18 3 2" xfId="1330"/>
    <cellStyle name="Normal 18 3 3" xfId="1337"/>
    <cellStyle name="Normal 18 3 4" xfId="1345"/>
    <cellStyle name="Normal 18 3 5" xfId="1351"/>
    <cellStyle name="Normal 18 3 6" xfId="1357"/>
    <cellStyle name="Normal 18 4" xfId="644"/>
    <cellStyle name="Normal 18 4 2" xfId="645"/>
    <cellStyle name="Normal 18 5" xfId="646"/>
    <cellStyle name="Normal 180" xfId="92"/>
    <cellStyle name="Normal 181" xfId="94"/>
    <cellStyle name="Normal 181 2" xfId="647"/>
    <cellStyle name="Normal 182" xfId="93"/>
    <cellStyle name="Normal 182 2" xfId="648"/>
    <cellStyle name="Normal 183" xfId="95"/>
    <cellStyle name="Normal 183 2" xfId="649"/>
    <cellStyle name="Normal 184" xfId="96"/>
    <cellStyle name="Normal 184 2" xfId="650"/>
    <cellStyle name="Normal 185" xfId="97"/>
    <cellStyle name="Normal 185 2" xfId="651"/>
    <cellStyle name="Normal 186" xfId="98"/>
    <cellStyle name="Normal 186 2" xfId="652"/>
    <cellStyle name="Normal 187" xfId="99"/>
    <cellStyle name="Normal 187 2" xfId="653"/>
    <cellStyle name="Normal 188" xfId="1278"/>
    <cellStyle name="Normal 189" xfId="1361"/>
    <cellStyle name="Normal 19" xfId="654"/>
    <cellStyle name="Normal 19 10" xfId="655"/>
    <cellStyle name="Normal 19 11" xfId="656"/>
    <cellStyle name="Normal 19 12" xfId="657"/>
    <cellStyle name="Normal 19 13" xfId="658"/>
    <cellStyle name="Normal 19 14" xfId="659"/>
    <cellStyle name="Normal 19 2" xfId="660"/>
    <cellStyle name="Normal 19 2 2" xfId="661"/>
    <cellStyle name="Normal 19 3" xfId="662"/>
    <cellStyle name="Normal 19 4" xfId="663"/>
    <cellStyle name="Normal 19 5" xfId="664"/>
    <cellStyle name="Normal 19 6" xfId="665"/>
    <cellStyle name="Normal 19 7" xfId="666"/>
    <cellStyle name="Normal 19 8" xfId="667"/>
    <cellStyle name="Normal 19 9" xfId="668"/>
    <cellStyle name="Normal 190" xfId="1362"/>
    <cellStyle name="Normal 191" xfId="1363"/>
    <cellStyle name="Normal 192" xfId="1364"/>
    <cellStyle name="Normal 193" xfId="1365"/>
    <cellStyle name="Normal 2" xfId="1284"/>
    <cellStyle name="Normal 2 10" xfId="669"/>
    <cellStyle name="Normal 2 11" xfId="670"/>
    <cellStyle name="Normal 2 12" xfId="671"/>
    <cellStyle name="Normal 2 13" xfId="672"/>
    <cellStyle name="Normal 2 14" xfId="673"/>
    <cellStyle name="Normal 2 15" xfId="674"/>
    <cellStyle name="Normal 2 15 2" xfId="675"/>
    <cellStyle name="Normal 2 16" xfId="676"/>
    <cellStyle name="Normal 2 16 2" xfId="677"/>
    <cellStyle name="Normal 2 17" xfId="678"/>
    <cellStyle name="Normal 2 17 2" xfId="679"/>
    <cellStyle name="Normal 2 18" xfId="680"/>
    <cellStyle name="Normal 2 18 2" xfId="681"/>
    <cellStyle name="Normal 2 19" xfId="682"/>
    <cellStyle name="Normal 2 19 2" xfId="683"/>
    <cellStyle name="Normal 2 2" xfId="15"/>
    <cellStyle name="Normal 2 2 10" xfId="684"/>
    <cellStyle name="Normal 2 2 11" xfId="685"/>
    <cellStyle name="Normal 2 2 12" xfId="686"/>
    <cellStyle name="Normal 2 2 13" xfId="687"/>
    <cellStyle name="Normal 2 2 14" xfId="688"/>
    <cellStyle name="Normal 2 2 15" xfId="689"/>
    <cellStyle name="Normal 2 2 15 2" xfId="690"/>
    <cellStyle name="Normal 2 2 16" xfId="691"/>
    <cellStyle name="Normal 2 2 16 2" xfId="692"/>
    <cellStyle name="Normal 2 2 17" xfId="693"/>
    <cellStyle name="Normal 2 2 17 2" xfId="694"/>
    <cellStyle name="Normal 2 2 18" xfId="695"/>
    <cellStyle name="Normal 2 2 18 2" xfId="696"/>
    <cellStyle name="Normal 2 2 19" xfId="697"/>
    <cellStyle name="Normal 2 2 19 2" xfId="698"/>
    <cellStyle name="Normal 2 2 2" xfId="16"/>
    <cellStyle name="Normal 2 2 2 2" xfId="699"/>
    <cellStyle name="Normal 2 2 2 2 2" xfId="700"/>
    <cellStyle name="Normal 2 2 2 2 2 2" xfId="701"/>
    <cellStyle name="Normal 2 2 2 2 2 3" xfId="1283"/>
    <cellStyle name="Normal 2 2 2 2 3" xfId="702"/>
    <cellStyle name="Normal 2 2 2 2 4" xfId="1282"/>
    <cellStyle name="Normal 2 2 2 3" xfId="1281"/>
    <cellStyle name="Normal 2 2 20" xfId="703"/>
    <cellStyle name="Normal 2 2 20 2" xfId="704"/>
    <cellStyle name="Normal 2 2 21" xfId="705"/>
    <cellStyle name="Normal 2 2 21 2" xfId="706"/>
    <cellStyle name="Normal 2 2 22" xfId="707"/>
    <cellStyle name="Normal 2 2 22 2" xfId="708"/>
    <cellStyle name="Normal 2 2 23" xfId="709"/>
    <cellStyle name="Normal 2 2 23 2" xfId="710"/>
    <cellStyle name="Normal 2 2 24" xfId="711"/>
    <cellStyle name="Normal 2 2 24 2" xfId="712"/>
    <cellStyle name="Normal 2 2 25" xfId="713"/>
    <cellStyle name="Normal 2 2 25 2" xfId="714"/>
    <cellStyle name="Normal 2 2 26" xfId="715"/>
    <cellStyle name="Normal 2 2 26 2" xfId="716"/>
    <cellStyle name="Normal 2 2 27" xfId="717"/>
    <cellStyle name="Normal 2 2 27 2" xfId="718"/>
    <cellStyle name="Normal 2 2 28" xfId="719"/>
    <cellStyle name="Normal 2 2 28 2" xfId="720"/>
    <cellStyle name="Normal 2 2 29" xfId="721"/>
    <cellStyle name="Normal 2 2 29 2" xfId="722"/>
    <cellStyle name="Normal 2 2 3" xfId="723"/>
    <cellStyle name="Normal 2 2 30" xfId="724"/>
    <cellStyle name="Normal 2 2 30 2" xfId="725"/>
    <cellStyle name="Normal 2 2 31" xfId="726"/>
    <cellStyle name="Normal 2 2 31 2" xfId="727"/>
    <cellStyle name="Normal 2 2 32" xfId="728"/>
    <cellStyle name="Normal 2 2 32 2" xfId="729"/>
    <cellStyle name="Normal 2 2 33" xfId="730"/>
    <cellStyle name="Normal 2 2 33 2" xfId="731"/>
    <cellStyle name="Normal 2 2 34" xfId="732"/>
    <cellStyle name="Normal 2 2 34 2" xfId="733"/>
    <cellStyle name="Normal 2 2 35" xfId="734"/>
    <cellStyle name="Normal 2 2 35 2" xfId="735"/>
    <cellStyle name="Normal 2 2 36" xfId="736"/>
    <cellStyle name="Normal 2 2 37" xfId="1280"/>
    <cellStyle name="Normal 2 2 4" xfId="737"/>
    <cellStyle name="Normal 2 2 5" xfId="738"/>
    <cellStyle name="Normal 2 2 6" xfId="739"/>
    <cellStyle name="Normal 2 2 7" xfId="740"/>
    <cellStyle name="Normal 2 2 8" xfId="741"/>
    <cellStyle name="Normal 2 2 9" xfId="742"/>
    <cellStyle name="Normal 2 20" xfId="1279"/>
    <cellStyle name="Normal 2 3" xfId="76"/>
    <cellStyle name="Normal 2 3 10" xfId="743"/>
    <cellStyle name="Normal 2 3 10 2" xfId="744"/>
    <cellStyle name="Normal 2 3 10 2 2" xfId="745"/>
    <cellStyle name="Normal 2 3 10 3" xfId="746"/>
    <cellStyle name="Normal 2 3 11" xfId="747"/>
    <cellStyle name="Normal 2 3 11 2" xfId="748"/>
    <cellStyle name="Normal 2 3 11 2 2" xfId="749"/>
    <cellStyle name="Normal 2 3 11 3" xfId="750"/>
    <cellStyle name="Normal 2 3 12" xfId="751"/>
    <cellStyle name="Normal 2 3 12 2" xfId="752"/>
    <cellStyle name="Normal 2 3 12 2 2" xfId="753"/>
    <cellStyle name="Normal 2 3 12 3" xfId="754"/>
    <cellStyle name="Normal 2 3 13" xfId="755"/>
    <cellStyle name="Normal 2 3 13 2" xfId="756"/>
    <cellStyle name="Normal 2 3 14" xfId="757"/>
    <cellStyle name="Normal 2 3 14 2" xfId="758"/>
    <cellStyle name="Normal 2 3 15" xfId="759"/>
    <cellStyle name="Normal 2 3 15 2" xfId="760"/>
    <cellStyle name="Normal 2 3 16" xfId="761"/>
    <cellStyle name="Normal 2 3 16 2" xfId="762"/>
    <cellStyle name="Normal 2 3 17" xfId="763"/>
    <cellStyle name="Normal 2 3 17 2" xfId="764"/>
    <cellStyle name="Normal 2 3 18" xfId="765"/>
    <cellStyle name="Normal 2 3 18 2" xfId="766"/>
    <cellStyle name="Normal 2 3 19" xfId="767"/>
    <cellStyle name="Normal 2 3 19 2" xfId="768"/>
    <cellStyle name="Normal 2 3 2" xfId="769"/>
    <cellStyle name="Normal 2 3 2 2" xfId="770"/>
    <cellStyle name="Normal 2 3 2 2 2" xfId="771"/>
    <cellStyle name="Normal 2 3 2 3" xfId="772"/>
    <cellStyle name="Normal 2 3 20" xfId="773"/>
    <cellStyle name="Normal 2 3 20 2" xfId="774"/>
    <cellStyle name="Normal 2 3 21" xfId="775"/>
    <cellStyle name="Normal 2 3 21 2" xfId="776"/>
    <cellStyle name="Normal 2 3 22" xfId="777"/>
    <cellStyle name="Normal 2 3 22 2" xfId="778"/>
    <cellStyle name="Normal 2 3 23" xfId="779"/>
    <cellStyle name="Normal 2 3 3" xfId="780"/>
    <cellStyle name="Normal 2 3 3 2" xfId="781"/>
    <cellStyle name="Normal 2 3 3 2 2" xfId="782"/>
    <cellStyle name="Normal 2 3 3 3" xfId="783"/>
    <cellStyle name="Normal 2 3 4" xfId="784"/>
    <cellStyle name="Normal 2 3 4 2" xfId="785"/>
    <cellStyle name="Normal 2 3 4 2 2" xfId="786"/>
    <cellStyle name="Normal 2 3 4 3" xfId="787"/>
    <cellStyle name="Normal 2 3 5" xfId="788"/>
    <cellStyle name="Normal 2 3 5 2" xfId="789"/>
    <cellStyle name="Normal 2 3 5 2 2" xfId="790"/>
    <cellStyle name="Normal 2 3 5 3" xfId="791"/>
    <cellStyle name="Normal 2 3 6" xfId="792"/>
    <cellStyle name="Normal 2 3 6 2" xfId="793"/>
    <cellStyle name="Normal 2 3 6 2 2" xfId="794"/>
    <cellStyle name="Normal 2 3 6 3" xfId="795"/>
    <cellStyle name="Normal 2 3 7" xfId="796"/>
    <cellStyle name="Normal 2 3 7 2" xfId="797"/>
    <cellStyle name="Normal 2 3 7 2 2" xfId="798"/>
    <cellStyle name="Normal 2 3 7 3" xfId="799"/>
    <cellStyle name="Normal 2 3 8" xfId="800"/>
    <cellStyle name="Normal 2 3 8 2" xfId="801"/>
    <cellStyle name="Normal 2 3 8 2 2" xfId="802"/>
    <cellStyle name="Normal 2 3 8 3" xfId="803"/>
    <cellStyle name="Normal 2 3 9" xfId="804"/>
    <cellStyle name="Normal 2 3 9 2" xfId="805"/>
    <cellStyle name="Normal 2 3 9 2 2" xfId="806"/>
    <cellStyle name="Normal 2 3 9 3" xfId="807"/>
    <cellStyle name="Normal 2 4" xfId="808"/>
    <cellStyle name="Normal 2 4 10" xfId="809"/>
    <cellStyle name="Normal 2 4 11" xfId="810"/>
    <cellStyle name="Normal 2 4 12" xfId="811"/>
    <cellStyle name="Normal 2 4 13" xfId="812"/>
    <cellStyle name="Normal 2 4 13 2" xfId="813"/>
    <cellStyle name="Normal 2 4 14" xfId="814"/>
    <cellStyle name="Normal 2 4 2" xfId="815"/>
    <cellStyle name="Normal 2 4 3" xfId="816"/>
    <cellStyle name="Normal 2 4 4" xfId="817"/>
    <cellStyle name="Normal 2 4 5" xfId="818"/>
    <cellStyle name="Normal 2 4 6" xfId="819"/>
    <cellStyle name="Normal 2 4 7" xfId="820"/>
    <cellStyle name="Normal 2 4 8" xfId="821"/>
    <cellStyle name="Normal 2 4 9" xfId="822"/>
    <cellStyle name="Normal 2 5" xfId="823"/>
    <cellStyle name="Normal 2 5 10" xfId="824"/>
    <cellStyle name="Normal 2 5 11" xfId="825"/>
    <cellStyle name="Normal 2 5 12" xfId="826"/>
    <cellStyle name="Normal 2 5 13" xfId="827"/>
    <cellStyle name="Normal 2 5 13 2" xfId="828"/>
    <cellStyle name="Normal 2 5 14" xfId="829"/>
    <cellStyle name="Normal 2 5 2" xfId="830"/>
    <cellStyle name="Normal 2 5 3" xfId="831"/>
    <cellStyle name="Normal 2 5 4" xfId="832"/>
    <cellStyle name="Normal 2 5 5" xfId="833"/>
    <cellStyle name="Normal 2 5 6" xfId="834"/>
    <cellStyle name="Normal 2 5 7" xfId="835"/>
    <cellStyle name="Normal 2 5 8" xfId="836"/>
    <cellStyle name="Normal 2 5 9" xfId="837"/>
    <cellStyle name="Normal 2 6" xfId="838"/>
    <cellStyle name="Normal 2 6 10" xfId="839"/>
    <cellStyle name="Normal 2 6 11" xfId="840"/>
    <cellStyle name="Normal 2 6 12" xfId="841"/>
    <cellStyle name="Normal 2 6 13" xfId="842"/>
    <cellStyle name="Normal 2 6 13 2" xfId="843"/>
    <cellStyle name="Normal 2 6 14" xfId="844"/>
    <cellStyle name="Normal 2 6 2" xfId="845"/>
    <cellStyle name="Normal 2 6 3" xfId="846"/>
    <cellStyle name="Normal 2 6 4" xfId="847"/>
    <cellStyle name="Normal 2 6 5" xfId="848"/>
    <cellStyle name="Normal 2 6 6" xfId="849"/>
    <cellStyle name="Normal 2 6 7" xfId="850"/>
    <cellStyle name="Normal 2 6 8" xfId="851"/>
    <cellStyle name="Normal 2 6 9" xfId="852"/>
    <cellStyle name="Normal 2 7" xfId="853"/>
    <cellStyle name="Normal 2 8" xfId="854"/>
    <cellStyle name="Normal 2 9" xfId="855"/>
    <cellStyle name="Normal 20" xfId="856"/>
    <cellStyle name="Normal 20 10" xfId="857"/>
    <cellStyle name="Normal 20 11" xfId="858"/>
    <cellStyle name="Normal 20 12" xfId="859"/>
    <cellStyle name="Normal 20 13" xfId="860"/>
    <cellStyle name="Normal 20 14" xfId="861"/>
    <cellStyle name="Normal 20 2" xfId="862"/>
    <cellStyle name="Normal 20 2 2" xfId="863"/>
    <cellStyle name="Normal 20 3" xfId="864"/>
    <cellStyle name="Normal 20 4" xfId="865"/>
    <cellStyle name="Normal 20 5" xfId="866"/>
    <cellStyle name="Normal 20 6" xfId="867"/>
    <cellStyle name="Normal 20 7" xfId="868"/>
    <cellStyle name="Normal 20 8" xfId="869"/>
    <cellStyle name="Normal 20 9" xfId="870"/>
    <cellStyle name="Normal 21" xfId="871"/>
    <cellStyle name="Normal 21 10" xfId="872"/>
    <cellStyle name="Normal 21 11" xfId="873"/>
    <cellStyle name="Normal 21 12" xfId="874"/>
    <cellStyle name="Normal 21 13" xfId="875"/>
    <cellStyle name="Normal 21 14" xfId="876"/>
    <cellStyle name="Normal 21 2" xfId="877"/>
    <cellStyle name="Normal 21 2 2" xfId="878"/>
    <cellStyle name="Normal 21 3" xfId="879"/>
    <cellStyle name="Normal 21 4" xfId="880"/>
    <cellStyle name="Normal 21 5" xfId="881"/>
    <cellStyle name="Normal 21 6" xfId="882"/>
    <cellStyle name="Normal 21 7" xfId="883"/>
    <cellStyle name="Normal 21 8" xfId="884"/>
    <cellStyle name="Normal 21 9" xfId="885"/>
    <cellStyle name="Normal 22" xfId="886"/>
    <cellStyle name="Normal 22 10" xfId="887"/>
    <cellStyle name="Normal 22 11" xfId="888"/>
    <cellStyle name="Normal 22 12" xfId="889"/>
    <cellStyle name="Normal 22 13" xfId="890"/>
    <cellStyle name="Normal 22 14" xfId="891"/>
    <cellStyle name="Normal 22 2" xfId="892"/>
    <cellStyle name="Normal 22 2 2" xfId="893"/>
    <cellStyle name="Normal 22 3" xfId="894"/>
    <cellStyle name="Normal 22 4" xfId="895"/>
    <cellStyle name="Normal 22 5" xfId="896"/>
    <cellStyle name="Normal 22 6" xfId="897"/>
    <cellStyle name="Normal 22 7" xfId="898"/>
    <cellStyle name="Normal 22 8" xfId="899"/>
    <cellStyle name="Normal 22 9" xfId="900"/>
    <cellStyle name="Normal 23" xfId="901"/>
    <cellStyle name="Normal 23 2" xfId="902"/>
    <cellStyle name="Normal 23 2 2" xfId="903"/>
    <cellStyle name="Normal 23 3" xfId="904"/>
    <cellStyle name="Normal 24" xfId="905"/>
    <cellStyle name="Normal 24 10" xfId="906"/>
    <cellStyle name="Normal 24 11" xfId="907"/>
    <cellStyle name="Normal 24 12" xfId="908"/>
    <cellStyle name="Normal 24 13" xfId="909"/>
    <cellStyle name="Normal 24 14" xfId="910"/>
    <cellStyle name="Normal 24 2" xfId="911"/>
    <cellStyle name="Normal 24 2 2" xfId="912"/>
    <cellStyle name="Normal 24 3" xfId="913"/>
    <cellStyle name="Normal 24 4" xfId="914"/>
    <cellStyle name="Normal 24 5" xfId="915"/>
    <cellStyle name="Normal 24 6" xfId="916"/>
    <cellStyle name="Normal 24 7" xfId="917"/>
    <cellStyle name="Normal 24 8" xfId="918"/>
    <cellStyle name="Normal 24 9" xfId="919"/>
    <cellStyle name="Normal 25" xfId="920"/>
    <cellStyle name="Normal 25 10" xfId="921"/>
    <cellStyle name="Normal 25 11" xfId="922"/>
    <cellStyle name="Normal 25 12" xfId="923"/>
    <cellStyle name="Normal 25 13" xfId="924"/>
    <cellStyle name="Normal 25 2" xfId="925"/>
    <cellStyle name="Normal 25 3" xfId="926"/>
    <cellStyle name="Normal 25 4" xfId="927"/>
    <cellStyle name="Normal 25 5" xfId="928"/>
    <cellStyle name="Normal 25 6" xfId="929"/>
    <cellStyle name="Normal 25 7" xfId="930"/>
    <cellStyle name="Normal 25 8" xfId="931"/>
    <cellStyle name="Normal 25 9" xfId="932"/>
    <cellStyle name="Normal 26" xfId="933"/>
    <cellStyle name="Normal 26 10" xfId="934"/>
    <cellStyle name="Normal 26 11" xfId="935"/>
    <cellStyle name="Normal 26 12" xfId="936"/>
    <cellStyle name="Normal 26 2" xfId="937"/>
    <cellStyle name="Normal 26 3" xfId="938"/>
    <cellStyle name="Normal 26 4" xfId="939"/>
    <cellStyle name="Normal 26 5" xfId="940"/>
    <cellStyle name="Normal 26 6" xfId="941"/>
    <cellStyle name="Normal 26 7" xfId="942"/>
    <cellStyle name="Normal 26 8" xfId="943"/>
    <cellStyle name="Normal 26 9" xfId="944"/>
    <cellStyle name="Normal 27" xfId="945"/>
    <cellStyle name="Normal 28" xfId="946"/>
    <cellStyle name="Normal 29" xfId="947"/>
    <cellStyle name="Normal 3" xfId="18"/>
    <cellStyle name="Normal 3 2" xfId="49"/>
    <cellStyle name="Normal 3 2 10" xfId="948"/>
    <cellStyle name="Normal 3 2 10 2" xfId="949"/>
    <cellStyle name="Normal 3 2 11" xfId="950"/>
    <cellStyle name="Normal 3 2 11 2" xfId="951"/>
    <cellStyle name="Normal 3 2 12" xfId="952"/>
    <cellStyle name="Normal 3 2 12 2" xfId="953"/>
    <cellStyle name="Normal 3 2 13" xfId="954"/>
    <cellStyle name="Normal 3 2 13 2" xfId="955"/>
    <cellStyle name="Normal 3 2 14" xfId="956"/>
    <cellStyle name="Normal 3 2 14 2" xfId="957"/>
    <cellStyle name="Normal 3 2 15" xfId="958"/>
    <cellStyle name="Normal 3 2 15 2" xfId="959"/>
    <cellStyle name="Normal 3 2 16" xfId="960"/>
    <cellStyle name="Normal 3 2 16 2" xfId="961"/>
    <cellStyle name="Normal 3 2 17" xfId="962"/>
    <cellStyle name="Normal 3 2 17 2" xfId="963"/>
    <cellStyle name="Normal 3 2 18" xfId="964"/>
    <cellStyle name="Normal 3 2 18 2" xfId="965"/>
    <cellStyle name="Normal 3 2 19" xfId="966"/>
    <cellStyle name="Normal 3 2 19 2" xfId="967"/>
    <cellStyle name="Normal 3 2 2" xfId="968"/>
    <cellStyle name="Normal 3 2 20" xfId="969"/>
    <cellStyle name="Normal 3 2 20 2" xfId="970"/>
    <cellStyle name="Normal 3 2 21" xfId="971"/>
    <cellStyle name="Normal 3 2 21 2" xfId="972"/>
    <cellStyle name="Normal 3 2 22" xfId="973"/>
    <cellStyle name="Normal 3 2 22 2" xfId="974"/>
    <cellStyle name="Normal 3 2 23" xfId="975"/>
    <cellStyle name="Normal 3 2 23 2" xfId="976"/>
    <cellStyle name="Normal 3 2 24" xfId="1331"/>
    <cellStyle name="Normal 3 2 25" xfId="1338"/>
    <cellStyle name="Normal 3 2 26" xfId="1346"/>
    <cellStyle name="Normal 3 2 27" xfId="1352"/>
    <cellStyle name="Normal 3 2 28" xfId="1358"/>
    <cellStyle name="Normal 3 2 3" xfId="977"/>
    <cellStyle name="Normal 3 2 4" xfId="978"/>
    <cellStyle name="Normal 3 2 4 2" xfId="979"/>
    <cellStyle name="Normal 3 2 5" xfId="980"/>
    <cellStyle name="Normal 3 2 5 2" xfId="981"/>
    <cellStyle name="Normal 3 2 6" xfId="982"/>
    <cellStyle name="Normal 3 2 6 2" xfId="983"/>
    <cellStyle name="Normal 3 2 7" xfId="984"/>
    <cellStyle name="Normal 3 2 7 2" xfId="985"/>
    <cellStyle name="Normal 3 2 8" xfId="986"/>
    <cellStyle name="Normal 3 2 8 2" xfId="987"/>
    <cellStyle name="Normal 3 2 9" xfId="988"/>
    <cellStyle name="Normal 3 2 9 2" xfId="989"/>
    <cellStyle name="Normal 3 3" xfId="990"/>
    <cellStyle name="Normal 3 3 2" xfId="991"/>
    <cellStyle name="Normal 3 4" xfId="992"/>
    <cellStyle name="Normal 3 4 2" xfId="993"/>
    <cellStyle name="Normal 3 5" xfId="1333"/>
    <cellStyle name="Normal 3 6" xfId="1340"/>
    <cellStyle name="Normal 3 7" xfId="1348"/>
    <cellStyle name="Normal 3 8" xfId="1354"/>
    <cellStyle name="Normal 3 9" xfId="1360"/>
    <cellStyle name="Normal 30" xfId="994"/>
    <cellStyle name="Normal 31" xfId="995"/>
    <cellStyle name="Normal 32" xfId="996"/>
    <cellStyle name="Normal 33" xfId="997"/>
    <cellStyle name="Normal 34" xfId="998"/>
    <cellStyle name="Normal 35" xfId="999"/>
    <cellStyle name="Normal 36" xfId="1000"/>
    <cellStyle name="Normal 37" xfId="1001"/>
    <cellStyle name="Normal 38" xfId="1002"/>
    <cellStyle name="Normal 39" xfId="1003"/>
    <cellStyle name="Normal 4" xfId="1004"/>
    <cellStyle name="Normal 4 10" xfId="1005"/>
    <cellStyle name="Normal 4 10 2" xfId="1006"/>
    <cellStyle name="Normal 4 11" xfId="1007"/>
    <cellStyle name="Normal 4 12" xfId="1008"/>
    <cellStyle name="Normal 4 13" xfId="1009"/>
    <cellStyle name="Normal 4 14" xfId="1010"/>
    <cellStyle name="Normal 4 15" xfId="1011"/>
    <cellStyle name="Normal 4 16" xfId="1012"/>
    <cellStyle name="Normal 4 16 2" xfId="1013"/>
    <cellStyle name="Normal 4 17" xfId="1014"/>
    <cellStyle name="Normal 4 18" xfId="1015"/>
    <cellStyle name="Normal 4 19" xfId="1016"/>
    <cellStyle name="Normal 4 2" xfId="50"/>
    <cellStyle name="Normal 4 2 2" xfId="1017"/>
    <cellStyle name="Normal 4 2 3" xfId="1018"/>
    <cellStyle name="Normal 4 20" xfId="1019"/>
    <cellStyle name="Normal 4 21" xfId="1020"/>
    <cellStyle name="Normal 4 22" xfId="1021"/>
    <cellStyle name="Normal 4 23" xfId="1022"/>
    <cellStyle name="Normal 4 24" xfId="1023"/>
    <cellStyle name="Normal 4 25" xfId="1332"/>
    <cellStyle name="Normal 4 26" xfId="1339"/>
    <cellStyle name="Normal 4 27" xfId="1347"/>
    <cellStyle name="Normal 4 28" xfId="1353"/>
    <cellStyle name="Normal 4 29" xfId="1359"/>
    <cellStyle name="Normal 4 3" xfId="1024"/>
    <cellStyle name="Normal 4 3 2" xfId="1025"/>
    <cellStyle name="Normal 4 4" xfId="1026"/>
    <cellStyle name="Normal 4 5" xfId="1027"/>
    <cellStyle name="Normal 4 6" xfId="1028"/>
    <cellStyle name="Normal 4 6 2" xfId="1029"/>
    <cellStyle name="Normal 4 7" xfId="1030"/>
    <cellStyle name="Normal 4 7 2" xfId="1031"/>
    <cellStyle name="Normal 4 8" xfId="1032"/>
    <cellStyle name="Normal 4 8 2" xfId="1033"/>
    <cellStyle name="Normal 4 9" xfId="1034"/>
    <cellStyle name="Normal 4 9 2" xfId="1035"/>
    <cellStyle name="Normal 40" xfId="1036"/>
    <cellStyle name="Normal 41" xfId="1037"/>
    <cellStyle name="Normal 42" xfId="1038"/>
    <cellStyle name="Normal 43" xfId="1039"/>
    <cellStyle name="Normal 44" xfId="1040"/>
    <cellStyle name="Normal 45" xfId="1041"/>
    <cellStyle name="Normal 46" xfId="1042"/>
    <cellStyle name="Normal 47" xfId="1043"/>
    <cellStyle name="Normal 48" xfId="1044"/>
    <cellStyle name="Normal 48 2" xfId="1045"/>
    <cellStyle name="Normal 49" xfId="1046"/>
    <cellStyle name="Normal 5" xfId="1047"/>
    <cellStyle name="Normal 5 10" xfId="1048"/>
    <cellStyle name="Normal 5 10 2" xfId="1049"/>
    <cellStyle name="Normal 5 11" xfId="1050"/>
    <cellStyle name="Normal 5 11 2" xfId="1051"/>
    <cellStyle name="Normal 5 12" xfId="1052"/>
    <cellStyle name="Normal 5 12 2" xfId="1053"/>
    <cellStyle name="Normal 5 13" xfId="1054"/>
    <cellStyle name="Normal 5 13 2" xfId="1055"/>
    <cellStyle name="Normal 5 14" xfId="1056"/>
    <cellStyle name="Normal 5 14 2" xfId="1057"/>
    <cellStyle name="Normal 5 15" xfId="1058"/>
    <cellStyle name="Normal 5 15 2" xfId="1059"/>
    <cellStyle name="Normal 5 16" xfId="1060"/>
    <cellStyle name="Normal 5 16 2" xfId="1061"/>
    <cellStyle name="Normal 5 17" xfId="1062"/>
    <cellStyle name="Normal 5 17 2" xfId="1063"/>
    <cellStyle name="Normal 5 18" xfId="1064"/>
    <cellStyle name="Normal 5 18 2" xfId="1065"/>
    <cellStyle name="Normal 5 19" xfId="1066"/>
    <cellStyle name="Normal 5 19 2" xfId="1067"/>
    <cellStyle name="Normal 5 2" xfId="1068"/>
    <cellStyle name="Normal 5 2 2" xfId="1069"/>
    <cellStyle name="Normal 5 2 3" xfId="1070"/>
    <cellStyle name="Normal 5 20" xfId="1071"/>
    <cellStyle name="Normal 5 20 2" xfId="1072"/>
    <cellStyle name="Normal 5 21" xfId="1073"/>
    <cellStyle name="Normal 5 21 2" xfId="1074"/>
    <cellStyle name="Normal 5 22" xfId="1075"/>
    <cellStyle name="Normal 5 22 2" xfId="1076"/>
    <cellStyle name="Normal 5 23" xfId="1077"/>
    <cellStyle name="Normal 5 23 2" xfId="1078"/>
    <cellStyle name="Normal 5 24" xfId="1079"/>
    <cellStyle name="Normal 5 24 2" xfId="1080"/>
    <cellStyle name="Normal 5 25" xfId="1081"/>
    <cellStyle name="Normal 5 25 2" xfId="1082"/>
    <cellStyle name="Normal 5 26" xfId="1083"/>
    <cellStyle name="Normal 5 26 2" xfId="1084"/>
    <cellStyle name="Normal 5 27" xfId="1085"/>
    <cellStyle name="Normal 5 27 2" xfId="1086"/>
    <cellStyle name="Normal 5 28" xfId="1087"/>
    <cellStyle name="Normal 5 3" xfId="1088"/>
    <cellStyle name="Normal 5 3 2" xfId="1089"/>
    <cellStyle name="Normal 5 4" xfId="1090"/>
    <cellStyle name="Normal 5 4 2" xfId="1091"/>
    <cellStyle name="Normal 5 5" xfId="1092"/>
    <cellStyle name="Normal 5 5 2" xfId="1093"/>
    <cellStyle name="Normal 5 6" xfId="1094"/>
    <cellStyle name="Normal 5 6 2" xfId="1095"/>
    <cellStyle name="Normal 5 7" xfId="1096"/>
    <cellStyle name="Normal 5 7 2" xfId="1097"/>
    <cellStyle name="Normal 5 8" xfId="1098"/>
    <cellStyle name="Normal 5 8 2" xfId="1099"/>
    <cellStyle name="Normal 5 9" xfId="1100"/>
    <cellStyle name="Normal 5 9 2" xfId="1101"/>
    <cellStyle name="Normal 50" xfId="1102"/>
    <cellStyle name="Normal 51" xfId="1103"/>
    <cellStyle name="Normal 52" xfId="1104"/>
    <cellStyle name="Normal 53" xfId="1105"/>
    <cellStyle name="Normal 54" xfId="1106"/>
    <cellStyle name="Normal 55" xfId="1107"/>
    <cellStyle name="Normal 56" xfId="1108"/>
    <cellStyle name="Normal 57" xfId="1109"/>
    <cellStyle name="Normal 58" xfId="1110"/>
    <cellStyle name="Normal 59" xfId="1111"/>
    <cellStyle name="Normal 6" xfId="1112"/>
    <cellStyle name="Normal 6 2" xfId="1113"/>
    <cellStyle name="Normal 6 2 2" xfId="1114"/>
    <cellStyle name="Normal 6 2 3" xfId="1115"/>
    <cellStyle name="Normal 6 3" xfId="1116"/>
    <cellStyle name="Normal 6 3 2" xfId="1117"/>
    <cellStyle name="Normal 6 4" xfId="1118"/>
    <cellStyle name="Normal 60" xfId="1119"/>
    <cellStyle name="Normal 61" xfId="1120"/>
    <cellStyle name="Normal 62" xfId="1121"/>
    <cellStyle name="Normal 63" xfId="1122"/>
    <cellStyle name="Normal 64" xfId="1123"/>
    <cellStyle name="Normal 65" xfId="1124"/>
    <cellStyle name="Normal 66" xfId="1125"/>
    <cellStyle name="Normal 66 2" xfId="1126"/>
    <cellStyle name="Normal 67" xfId="1127"/>
    <cellStyle name="Normal 67 2" xfId="1128"/>
    <cellStyle name="Normal 68" xfId="1129"/>
    <cellStyle name="Normal 68 2" xfId="1130"/>
    <cellStyle name="Normal 69" xfId="1131"/>
    <cellStyle name="Normal 69 2" xfId="1132"/>
    <cellStyle name="Normal 7" xfId="1133"/>
    <cellStyle name="Normal 7 2" xfId="100"/>
    <cellStyle name="Normal 7 2 2" xfId="1134"/>
    <cellStyle name="Normal 7 2 3" xfId="1135"/>
    <cellStyle name="Normal 7 3" xfId="1136"/>
    <cellStyle name="Normal 7 3 2" xfId="1137"/>
    <cellStyle name="Normal 7 4" xfId="1138"/>
    <cellStyle name="Normal 70" xfId="1139"/>
    <cellStyle name="Normal 70 2" xfId="1140"/>
    <cellStyle name="Normal 71" xfId="1141"/>
    <cellStyle name="Normal 71 2" xfId="1142"/>
    <cellStyle name="Normal 72" xfId="1143"/>
    <cellStyle name="Normal 72 2" xfId="1144"/>
    <cellStyle name="Normal 73" xfId="1145"/>
    <cellStyle name="Normal 73 2" xfId="1146"/>
    <cellStyle name="Normal 74" xfId="1147"/>
    <cellStyle name="Normal 74 2" xfId="1148"/>
    <cellStyle name="Normal 75" xfId="1149"/>
    <cellStyle name="Normal 75 2" xfId="1150"/>
    <cellStyle name="Normal 76" xfId="1151"/>
    <cellStyle name="Normal 76 2" xfId="1152"/>
    <cellStyle name="Normal 77" xfId="1153"/>
    <cellStyle name="Normal 77 2" xfId="1154"/>
    <cellStyle name="Normal 78" xfId="1155"/>
    <cellStyle name="Normal 78 2" xfId="1156"/>
    <cellStyle name="Normal 79" xfId="1157"/>
    <cellStyle name="Normal 79 2" xfId="1158"/>
    <cellStyle name="Normal 8" xfId="1159"/>
    <cellStyle name="Normal 8 10" xfId="1160"/>
    <cellStyle name="Normal 8 11" xfId="1161"/>
    <cellStyle name="Normal 8 12" xfId="1162"/>
    <cellStyle name="Normal 8 13" xfId="1163"/>
    <cellStyle name="Normal 8 13 2" xfId="1164"/>
    <cellStyle name="Normal 8 14" xfId="1165"/>
    <cellStyle name="Normal 8 2" xfId="1166"/>
    <cellStyle name="Normal 8 2 2" xfId="1167"/>
    <cellStyle name="Normal 8 2 3" xfId="1168"/>
    <cellStyle name="Normal 8 3" xfId="1169"/>
    <cellStyle name="Normal 8 4" xfId="1170"/>
    <cellStyle name="Normal 8 5" xfId="1171"/>
    <cellStyle name="Normal 8 6" xfId="1172"/>
    <cellStyle name="Normal 8 7" xfId="1173"/>
    <cellStyle name="Normal 8 8" xfId="1174"/>
    <cellStyle name="Normal 8 9" xfId="1175"/>
    <cellStyle name="Normal 80" xfId="1176"/>
    <cellStyle name="Normal 80 2" xfId="1177"/>
    <cellStyle name="Normal 81" xfId="1178"/>
    <cellStyle name="Normal 81 2" xfId="1179"/>
    <cellStyle name="Normal 82" xfId="1180"/>
    <cellStyle name="Normal 82 2" xfId="1181"/>
    <cellStyle name="Normal 83" xfId="1182"/>
    <cellStyle name="Normal 83 2" xfId="1183"/>
    <cellStyle name="Normal 84" xfId="1184"/>
    <cellStyle name="Normal 84 2" xfId="1185"/>
    <cellStyle name="Normal 85" xfId="1186"/>
    <cellStyle name="Normal 85 2" xfId="1187"/>
    <cellStyle name="Normal 86" xfId="1188"/>
    <cellStyle name="Normal 86 2" xfId="1189"/>
    <cellStyle name="Normal 87" xfId="17"/>
    <cellStyle name="Normal 87 2" xfId="1190"/>
    <cellStyle name="Normal 88" xfId="1191"/>
    <cellStyle name="Normal 88 2" xfId="1192"/>
    <cellStyle name="Normal 89" xfId="1"/>
    <cellStyle name="Normal 89 2" xfId="1193"/>
    <cellStyle name="Normal 9" xfId="1194"/>
    <cellStyle name="Normal 9 10" xfId="1195"/>
    <cellStyle name="Normal 9 11" xfId="1196"/>
    <cellStyle name="Normal 9 12" xfId="1197"/>
    <cellStyle name="Normal 9 13" xfId="1198"/>
    <cellStyle name="Normal 9 14" xfId="1199"/>
    <cellStyle name="Normal 9 15" xfId="1200"/>
    <cellStyle name="Normal 9 16" xfId="1201"/>
    <cellStyle name="Normal 9 17" xfId="1327"/>
    <cellStyle name="Normal 9 18" xfId="1334"/>
    <cellStyle name="Normal 9 19" xfId="1342"/>
    <cellStyle name="Normal 9 2" xfId="1202"/>
    <cellStyle name="Normal 9 2 2" xfId="1203"/>
    <cellStyle name="Normal 9 2 3" xfId="1204"/>
    <cellStyle name="Normal 9 20" xfId="1326"/>
    <cellStyle name="Normal 9 21" xfId="1341"/>
    <cellStyle name="Normal 9 3" xfId="1205"/>
    <cellStyle name="Normal 9 3 2" xfId="1206"/>
    <cellStyle name="Normal 9 4" xfId="1207"/>
    <cellStyle name="Normal 9 5" xfId="1208"/>
    <cellStyle name="Normal 9 6" xfId="1209"/>
    <cellStyle name="Normal 9 7" xfId="1210"/>
    <cellStyle name="Normal 9 8" xfId="1211"/>
    <cellStyle name="Normal 9 9" xfId="1212"/>
    <cellStyle name="Normal 90" xfId="25"/>
    <cellStyle name="Normal 90 2" xfId="1213"/>
    <cellStyle name="Normal 91" xfId="7"/>
    <cellStyle name="Normal 91 2" xfId="1214"/>
    <cellStyle name="Normal 92" xfId="2"/>
    <cellStyle name="Normal 92 2" xfId="1215"/>
    <cellStyle name="Normal 93" xfId="8"/>
    <cellStyle name="Normal 93 2" xfId="1216"/>
    <cellStyle name="Normal 94" xfId="3"/>
    <cellStyle name="Normal 94 2" xfId="1217"/>
    <cellStyle name="Normal 95" xfId="9"/>
    <cellStyle name="Normal 95 2" xfId="1218"/>
    <cellStyle name="Normal 96" xfId="6"/>
    <cellStyle name="Normal 96 2" xfId="1219"/>
    <cellStyle name="Normal 97" xfId="4"/>
    <cellStyle name="Normal 97 2" xfId="1220"/>
    <cellStyle name="Normal 98" xfId="10"/>
    <cellStyle name="Normal 98 2" xfId="1221"/>
    <cellStyle name="Normal 99" xfId="11"/>
    <cellStyle name="Normal 99 2" xfId="1222"/>
    <cellStyle name="Note" xfId="1299" builtinId="10" customBuiltin="1"/>
    <cellStyle name="Note 10" xfId="1223"/>
    <cellStyle name="Note 10 2" xfId="1224"/>
    <cellStyle name="Note 11" xfId="1225"/>
    <cellStyle name="Note 11 2" xfId="1226"/>
    <cellStyle name="Note 2" xfId="1227"/>
    <cellStyle name="Note 2 2" xfId="1228"/>
    <cellStyle name="Note 2 3" xfId="1229"/>
    <cellStyle name="Note 3" xfId="1230"/>
    <cellStyle name="Note 3 2" xfId="1231"/>
    <cellStyle name="Note 4" xfId="1232"/>
    <cellStyle name="Note 5" xfId="1233"/>
    <cellStyle name="Note 5 2" xfId="1234"/>
    <cellStyle name="Note 5 2 2" xfId="1235"/>
    <cellStyle name="Note 5 3" xfId="1236"/>
    <cellStyle name="Note 6" xfId="1237"/>
    <cellStyle name="Note 6 2" xfId="1238"/>
    <cellStyle name="Note 6 2 2" xfId="1239"/>
    <cellStyle name="Note 6 3" xfId="1240"/>
    <cellStyle name="Note 7" xfId="1241"/>
    <cellStyle name="Note 7 2" xfId="1242"/>
    <cellStyle name="Note 7 2 2" xfId="1243"/>
    <cellStyle name="Note 7 3" xfId="1244"/>
    <cellStyle name="Note 8" xfId="1245"/>
    <cellStyle name="Note 8 2" xfId="1246"/>
    <cellStyle name="Note 8 2 2" xfId="1247"/>
    <cellStyle name="Note 8 3" xfId="1248"/>
    <cellStyle name="Note 9" xfId="1249"/>
    <cellStyle name="Note 9 2" xfId="1250"/>
    <cellStyle name="Output" xfId="1294" builtinId="21" customBuiltin="1"/>
    <cellStyle name="Output 2" xfId="1251"/>
    <cellStyle name="Output 2 2" xfId="1252"/>
    <cellStyle name="Output 2 3" xfId="1253"/>
    <cellStyle name="Output 3" xfId="1254"/>
    <cellStyle name="Output 3 2" xfId="1255"/>
    <cellStyle name="Output 4" xfId="1256"/>
    <cellStyle name="Title" xfId="1285" builtinId="15" customBuiltin="1"/>
    <cellStyle name="Title 2" xfId="1257"/>
    <cellStyle name="Title 2 2" xfId="1258"/>
    <cellStyle name="Title 2 3" xfId="1259"/>
    <cellStyle name="Title 3" xfId="1260"/>
    <cellStyle name="Title 3 2" xfId="1261"/>
    <cellStyle name="Title 4" xfId="1262"/>
    <cellStyle name="Title 5" xfId="1263"/>
    <cellStyle name="Title 6" xfId="1264"/>
    <cellStyle name="Title 7" xfId="1265"/>
    <cellStyle name="Total" xfId="1301" builtinId="25" customBuiltin="1"/>
    <cellStyle name="Total 2" xfId="1266"/>
    <cellStyle name="Total 2 2" xfId="1267"/>
    <cellStyle name="Total 2 3" xfId="1268"/>
    <cellStyle name="Total 3" xfId="1269"/>
    <cellStyle name="Total 3 2" xfId="1270"/>
    <cellStyle name="Total 4" xfId="1271"/>
    <cellStyle name="Warning Text" xfId="1298" builtinId="11" customBuiltin="1"/>
    <cellStyle name="Warning Text 2" xfId="1272"/>
    <cellStyle name="Warning Text 2 2" xfId="1273"/>
    <cellStyle name="Warning Text 2 3" xfId="1274"/>
    <cellStyle name="Warning Text 3" xfId="1275"/>
    <cellStyle name="Warning Text 3 2" xfId="1276"/>
    <cellStyle name="Warning Text 4" xfId="1277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J17131"/>
  <sheetViews>
    <sheetView tabSelected="1" topLeftCell="A15947" zoomScale="75" zoomScaleNormal="75" workbookViewId="0">
      <selection activeCell="B15993" sqref="B15993"/>
    </sheetView>
  </sheetViews>
  <sheetFormatPr defaultRowHeight="14.4"/>
  <cols>
    <col min="1" max="1" width="12.33203125" customWidth="1"/>
    <col min="2" max="2" width="25.109375" customWidth="1"/>
    <col min="3" max="3" width="7.6640625" customWidth="1"/>
    <col min="4" max="5" width="21.109375" customWidth="1"/>
    <col min="6" max="6" width="6.33203125" customWidth="1"/>
    <col min="7" max="7" width="7" customWidth="1"/>
    <col min="8" max="8" width="16.5546875" customWidth="1"/>
    <col min="9" max="9" width="11.109375" style="1864" bestFit="1" customWidth="1"/>
    <col min="10" max="10" width="10.33203125" customWidth="1"/>
    <col min="11" max="11" width="7.5546875" style="176" customWidth="1"/>
    <col min="12" max="12" width="11.109375" style="282" customWidth="1"/>
    <col min="13" max="13" width="8.33203125" customWidth="1"/>
    <col min="14" max="14" width="9" customWidth="1"/>
    <col min="15" max="15" width="9.6640625" customWidth="1"/>
    <col min="16" max="16" width="13.5546875" customWidth="1"/>
    <col min="17" max="17" width="14.44140625" style="497" customWidth="1"/>
    <col min="18" max="18" width="10.5546875" style="497" customWidth="1"/>
    <col min="20" max="20" width="10.6640625" customWidth="1"/>
    <col min="21" max="21" width="9.33203125" bestFit="1" customWidth="1"/>
    <col min="22" max="22" width="12" bestFit="1" customWidth="1"/>
    <col min="24" max="24" width="9.33203125" bestFit="1" customWidth="1"/>
    <col min="26" max="26" width="9.33203125" bestFit="1" customWidth="1"/>
    <col min="34" max="34" width="12.44140625" bestFit="1" customWidth="1"/>
  </cols>
  <sheetData>
    <row r="2" spans="1:19">
      <c r="A2" s="1" t="s">
        <v>48</v>
      </c>
      <c r="B2" s="1"/>
      <c r="C2" s="2"/>
      <c r="D2" s="2"/>
      <c r="E2" s="2"/>
      <c r="F2" s="3"/>
      <c r="G2" s="2"/>
      <c r="H2" s="2"/>
      <c r="I2" s="4"/>
      <c r="J2" s="5"/>
      <c r="K2" s="196"/>
      <c r="L2" s="2056" t="s">
        <v>0</v>
      </c>
      <c r="M2" s="2056"/>
      <c r="N2" s="2056"/>
      <c r="O2" s="2056"/>
      <c r="P2" s="64"/>
      <c r="Q2" s="64"/>
      <c r="R2" s="64"/>
    </row>
    <row r="3" spans="1:19" ht="15.6">
      <c r="A3" s="27" t="s">
        <v>1</v>
      </c>
      <c r="B3" s="27"/>
      <c r="C3" s="27"/>
      <c r="D3" s="28" t="s">
        <v>2</v>
      </c>
      <c r="E3" s="28"/>
      <c r="F3" s="29"/>
      <c r="G3" s="29"/>
      <c r="H3" s="29"/>
      <c r="I3" s="30"/>
      <c r="J3" s="31"/>
      <c r="K3" s="197" t="s">
        <v>3</v>
      </c>
      <c r="L3" s="31"/>
      <c r="M3" s="27"/>
      <c r="N3" s="29"/>
      <c r="O3" s="27"/>
      <c r="P3" s="67"/>
      <c r="Q3" s="1039"/>
      <c r="R3" s="1039"/>
    </row>
    <row r="4" spans="1:19" ht="31.2">
      <c r="A4" s="32" t="s">
        <v>4</v>
      </c>
      <c r="B4" s="32" t="s">
        <v>5</v>
      </c>
      <c r="C4" s="32" t="s">
        <v>6</v>
      </c>
      <c r="D4" s="32" t="s">
        <v>7</v>
      </c>
      <c r="E4" s="32" t="s">
        <v>8</v>
      </c>
      <c r="F4" s="33" t="s">
        <v>9</v>
      </c>
      <c r="G4" s="34" t="s">
        <v>10</v>
      </c>
      <c r="H4" s="34" t="s">
        <v>11</v>
      </c>
      <c r="I4" s="35" t="s">
        <v>12</v>
      </c>
      <c r="J4" s="36" t="s">
        <v>13</v>
      </c>
      <c r="K4" s="198" t="s">
        <v>14</v>
      </c>
      <c r="L4" s="297" t="s">
        <v>15</v>
      </c>
      <c r="M4" s="33" t="s">
        <v>16</v>
      </c>
      <c r="N4" s="33" t="s">
        <v>17</v>
      </c>
      <c r="O4" s="34" t="s">
        <v>18</v>
      </c>
      <c r="P4" s="8" t="s">
        <v>50</v>
      </c>
      <c r="Q4" s="1040"/>
      <c r="R4" s="1040"/>
    </row>
    <row r="5" spans="1:19">
      <c r="A5" s="18"/>
      <c r="B5" s="18"/>
      <c r="C5" s="18"/>
      <c r="D5" s="18"/>
      <c r="E5" s="18"/>
      <c r="F5" s="18"/>
      <c r="G5" s="18"/>
      <c r="H5" s="18"/>
      <c r="I5" s="152"/>
      <c r="J5" s="18"/>
      <c r="K5" s="199"/>
      <c r="L5" s="152"/>
      <c r="M5" s="18"/>
      <c r="N5" s="18"/>
      <c r="O5" s="18"/>
      <c r="P5" s="18"/>
      <c r="Q5" s="1041"/>
      <c r="R5" s="1041"/>
    </row>
    <row r="6" spans="1:19" ht="15.6">
      <c r="A6" s="6" t="s">
        <v>59</v>
      </c>
      <c r="B6" s="6" t="s">
        <v>68</v>
      </c>
      <c r="C6" s="6" t="s">
        <v>19</v>
      </c>
      <c r="D6" s="6" t="s">
        <v>20</v>
      </c>
      <c r="E6" s="6" t="s">
        <v>57</v>
      </c>
      <c r="F6" s="7">
        <v>9</v>
      </c>
      <c r="G6" s="79" t="s">
        <v>21</v>
      </c>
      <c r="H6" s="147" t="s">
        <v>69</v>
      </c>
      <c r="I6" s="446">
        <v>6.85</v>
      </c>
      <c r="J6" s="75">
        <v>6.7</v>
      </c>
      <c r="K6" s="76">
        <v>30</v>
      </c>
      <c r="L6" s="151">
        <f t="shared" ref="L6:L10" si="0">(I6*J6*K6/1000)</f>
        <v>1.3768499999999999</v>
      </c>
      <c r="M6" s="18">
        <f>19+4+2+1+4</f>
        <v>30</v>
      </c>
      <c r="N6" s="80">
        <f>J6*M6*I6/1000</f>
        <v>1.3768499999999999</v>
      </c>
      <c r="O6" s="18"/>
      <c r="P6" s="2063" t="s">
        <v>74</v>
      </c>
      <c r="Q6" s="1042"/>
      <c r="R6" s="1042"/>
      <c r="S6" t="s">
        <v>148</v>
      </c>
    </row>
    <row r="7" spans="1:19" ht="15.6">
      <c r="A7" s="6"/>
      <c r="B7" s="6" t="s">
        <v>66</v>
      </c>
      <c r="C7" s="6"/>
      <c r="D7" s="6"/>
      <c r="E7" s="6"/>
      <c r="F7" s="7"/>
      <c r="G7" s="79" t="s">
        <v>21</v>
      </c>
      <c r="H7" s="79" t="s">
        <v>69</v>
      </c>
      <c r="I7" s="446">
        <v>6.85</v>
      </c>
      <c r="J7" s="75">
        <v>10</v>
      </c>
      <c r="K7" s="76">
        <v>117</v>
      </c>
      <c r="L7" s="151">
        <f t="shared" si="0"/>
        <v>8.0145</v>
      </c>
      <c r="M7" s="18">
        <v>2</v>
      </c>
      <c r="N7" s="80">
        <f>J7*M7*I7/1000</f>
        <v>0.13700000000000001</v>
      </c>
      <c r="O7" s="18"/>
      <c r="P7" s="2064"/>
      <c r="Q7" s="1042"/>
      <c r="R7" s="1042"/>
    </row>
    <row r="8" spans="1:19" ht="15.6">
      <c r="A8" s="18"/>
      <c r="B8" s="18"/>
      <c r="C8" s="18"/>
      <c r="D8" s="18"/>
      <c r="E8" s="18"/>
      <c r="F8" s="18"/>
      <c r="G8" s="79" t="s">
        <v>21</v>
      </c>
      <c r="H8" s="79" t="s">
        <v>69</v>
      </c>
      <c r="I8" s="446">
        <v>6.85</v>
      </c>
      <c r="J8" s="75">
        <v>10.199999999999999</v>
      </c>
      <c r="K8" s="76">
        <v>59</v>
      </c>
      <c r="L8" s="151">
        <f t="shared" si="0"/>
        <v>4.1223299999999989</v>
      </c>
      <c r="M8" s="18">
        <v>5</v>
      </c>
      <c r="N8" s="80">
        <f>J8*M8*I8/1000</f>
        <v>0.34934999999999994</v>
      </c>
      <c r="O8" s="18"/>
      <c r="P8" s="2064"/>
      <c r="Q8" s="1042"/>
      <c r="R8" s="1042"/>
    </row>
    <row r="9" spans="1:19" ht="15.6">
      <c r="A9" s="18"/>
      <c r="B9" s="18"/>
      <c r="C9" s="18"/>
      <c r="D9" s="18"/>
      <c r="E9" s="18"/>
      <c r="F9" s="18"/>
      <c r="G9" s="79" t="s">
        <v>21</v>
      </c>
      <c r="H9" s="79" t="s">
        <v>69</v>
      </c>
      <c r="I9" s="446">
        <v>6.85</v>
      </c>
      <c r="J9" s="75">
        <v>11</v>
      </c>
      <c r="K9" s="76">
        <v>143</v>
      </c>
      <c r="L9" s="151">
        <f t="shared" si="0"/>
        <v>10.775049999999998</v>
      </c>
      <c r="M9" s="18">
        <f>67-11</f>
        <v>56</v>
      </c>
      <c r="N9" s="80">
        <f>J9*M9*I9/1000</f>
        <v>4.2195999999999998</v>
      </c>
      <c r="O9" s="18"/>
      <c r="P9" s="2064"/>
      <c r="Q9" s="1042"/>
      <c r="R9" s="1042"/>
    </row>
    <row r="10" spans="1:19" ht="15.6">
      <c r="A10" s="18"/>
      <c r="B10" s="18"/>
      <c r="C10" s="18"/>
      <c r="D10" s="18"/>
      <c r="E10" s="18"/>
      <c r="F10" s="18"/>
      <c r="G10" s="79" t="s">
        <v>21</v>
      </c>
      <c r="H10" s="79" t="s">
        <v>69</v>
      </c>
      <c r="I10" s="446">
        <v>6.85</v>
      </c>
      <c r="J10" s="75">
        <v>11.9</v>
      </c>
      <c r="K10" s="76">
        <v>182</v>
      </c>
      <c r="L10" s="151">
        <f t="shared" si="0"/>
        <v>14.83573</v>
      </c>
      <c r="M10" s="18"/>
      <c r="N10" s="80">
        <f>J10*M10*I10/1000</f>
        <v>0</v>
      </c>
      <c r="O10" s="18"/>
      <c r="P10" s="2065"/>
      <c r="Q10" s="1042"/>
      <c r="R10" s="1042"/>
    </row>
    <row r="11" spans="1:19">
      <c r="A11" s="18"/>
      <c r="B11" s="18"/>
      <c r="C11" s="18"/>
      <c r="D11" s="18"/>
      <c r="E11" s="18"/>
      <c r="F11" s="18"/>
      <c r="G11" s="79"/>
      <c r="H11" s="79"/>
      <c r="I11" s="446"/>
      <c r="J11" s="75"/>
      <c r="K11" s="76">
        <f t="shared" ref="K11:L11" si="1">SUM(K6:K10)</f>
        <v>531</v>
      </c>
      <c r="L11" s="298">
        <f t="shared" si="1"/>
        <v>39.124459999999992</v>
      </c>
      <c r="M11" s="76">
        <f>SUM(M6:M10)</f>
        <v>93</v>
      </c>
      <c r="N11" s="75">
        <f>SUM(N6:N10)</f>
        <v>6.0827999999999998</v>
      </c>
      <c r="O11" s="18"/>
      <c r="P11" s="18"/>
      <c r="Q11" s="1041"/>
      <c r="R11" s="1041"/>
    </row>
    <row r="12" spans="1:19">
      <c r="A12" s="18"/>
      <c r="B12" s="18"/>
      <c r="C12" s="18"/>
      <c r="D12" s="18"/>
      <c r="E12" s="18"/>
      <c r="F12" s="18"/>
      <c r="G12" s="79"/>
      <c r="H12" s="79"/>
      <c r="I12" s="446"/>
      <c r="J12" s="75"/>
      <c r="K12" s="76"/>
      <c r="L12" s="298"/>
      <c r="M12" s="18"/>
      <c r="N12" s="18"/>
      <c r="O12" s="18"/>
      <c r="P12" s="18"/>
      <c r="Q12" s="1041"/>
      <c r="R12" s="1041"/>
    </row>
    <row r="13" spans="1:19">
      <c r="A13" s="18"/>
      <c r="B13" s="18"/>
      <c r="C13" s="18"/>
      <c r="D13" s="18"/>
      <c r="E13" s="18"/>
      <c r="F13" s="18"/>
      <c r="G13" s="18"/>
      <c r="H13" s="18"/>
      <c r="I13" s="152"/>
      <c r="J13" s="18"/>
      <c r="K13" s="199"/>
      <c r="L13" s="152"/>
      <c r="M13" s="18"/>
      <c r="N13" s="18"/>
      <c r="O13" s="18"/>
      <c r="P13" s="18"/>
      <c r="Q13" s="1041"/>
      <c r="R13" s="1041"/>
    </row>
    <row r="14" spans="1:19" ht="15.6">
      <c r="A14" s="6" t="s">
        <v>59</v>
      </c>
      <c r="B14" s="6" t="s">
        <v>68</v>
      </c>
      <c r="C14" s="6" t="s">
        <v>19</v>
      </c>
      <c r="D14" s="6" t="s">
        <v>60</v>
      </c>
      <c r="E14" s="6" t="s">
        <v>63</v>
      </c>
      <c r="F14" s="7">
        <v>9</v>
      </c>
      <c r="G14" s="79" t="s">
        <v>61</v>
      </c>
      <c r="H14" s="147" t="s">
        <v>69</v>
      </c>
      <c r="I14" s="446">
        <v>6.85</v>
      </c>
      <c r="J14" s="75">
        <v>6.9</v>
      </c>
      <c r="K14" s="76">
        <v>107</v>
      </c>
      <c r="L14" s="151">
        <f>(I14*J14*K14/1000)</f>
        <v>5.0573550000000003</v>
      </c>
      <c r="M14" s="18">
        <v>1</v>
      </c>
      <c r="N14" s="80">
        <f>J14*M14*I14/1000</f>
        <v>4.7265000000000001E-2</v>
      </c>
      <c r="O14" s="18"/>
      <c r="P14" s="2063" t="s">
        <v>75</v>
      </c>
      <c r="Q14" s="1042"/>
      <c r="R14" s="1042"/>
      <c r="S14" t="s">
        <v>149</v>
      </c>
    </row>
    <row r="15" spans="1:19">
      <c r="A15" s="18"/>
      <c r="B15" s="6" t="s">
        <v>66</v>
      </c>
      <c r="C15" s="18"/>
      <c r="D15" s="18"/>
      <c r="E15" s="9"/>
      <c r="F15" s="18"/>
      <c r="G15" s="79" t="s">
        <v>61</v>
      </c>
      <c r="H15" s="79" t="s">
        <v>69</v>
      </c>
      <c r="I15" s="446">
        <v>6.85</v>
      </c>
      <c r="J15" s="75">
        <v>8.5</v>
      </c>
      <c r="K15" s="76">
        <v>173</v>
      </c>
      <c r="L15" s="151">
        <f>(I15*J15*K15/1000)</f>
        <v>10.072925</v>
      </c>
      <c r="M15" s="18"/>
      <c r="N15" s="18"/>
      <c r="O15" s="18"/>
      <c r="P15" s="2064"/>
      <c r="Q15" s="1042"/>
      <c r="R15" s="1042"/>
    </row>
    <row r="16" spans="1:19" ht="15.6">
      <c r="A16" s="18"/>
      <c r="B16" s="18"/>
      <c r="C16" s="18"/>
      <c r="D16" s="18"/>
      <c r="E16" s="18"/>
      <c r="F16" s="18"/>
      <c r="G16" s="79" t="s">
        <v>61</v>
      </c>
      <c r="H16" s="79" t="s">
        <v>69</v>
      </c>
      <c r="I16" s="446">
        <v>6.85</v>
      </c>
      <c r="J16" s="75">
        <v>10.5</v>
      </c>
      <c r="K16" s="76">
        <v>99</v>
      </c>
      <c r="L16" s="151">
        <f>(I16*J16*K16/1000)</f>
        <v>7.1205749999999997</v>
      </c>
      <c r="M16" s="18">
        <v>4</v>
      </c>
      <c r="N16" s="80">
        <f>J16*M16*I16/1000</f>
        <v>0.28770000000000001</v>
      </c>
      <c r="O16" s="18"/>
      <c r="P16" s="2064"/>
      <c r="Q16" s="1042"/>
      <c r="R16" s="1042"/>
      <c r="S16" t="s">
        <v>151</v>
      </c>
    </row>
    <row r="17" spans="1:19">
      <c r="A17" s="18"/>
      <c r="B17" s="18"/>
      <c r="C17" s="18"/>
      <c r="D17" s="18"/>
      <c r="E17" s="18"/>
      <c r="F17" s="18"/>
      <c r="G17" s="79" t="s">
        <v>61</v>
      </c>
      <c r="H17" s="79" t="s">
        <v>69</v>
      </c>
      <c r="I17" s="446">
        <v>6.85</v>
      </c>
      <c r="J17" s="75">
        <v>11.3</v>
      </c>
      <c r="K17" s="76">
        <v>54</v>
      </c>
      <c r="L17" s="151">
        <f>(I17*J17*K17/1000)</f>
        <v>4.1798700000000002</v>
      </c>
      <c r="M17" s="18"/>
      <c r="N17" s="18"/>
      <c r="O17" s="18"/>
      <c r="P17" s="2065"/>
      <c r="Q17" s="1042"/>
      <c r="R17" s="1042"/>
    </row>
    <row r="18" spans="1:19">
      <c r="A18" s="18"/>
      <c r="B18" s="18"/>
      <c r="C18" s="18"/>
      <c r="D18" s="18"/>
      <c r="E18" s="18"/>
      <c r="F18" s="18"/>
      <c r="G18" s="79"/>
      <c r="H18" s="79"/>
      <c r="I18" s="446"/>
      <c r="J18" s="75"/>
      <c r="K18" s="76">
        <f t="shared" ref="K18:M18" si="2">SUM(K14:K17)</f>
        <v>433</v>
      </c>
      <c r="L18" s="298">
        <f>SUM(L14:L17)</f>
        <v>26.430724999999999</v>
      </c>
      <c r="M18" s="76">
        <f t="shared" si="2"/>
        <v>5</v>
      </c>
      <c r="N18" s="75">
        <f>SUM(N14:N17)</f>
        <v>0.33496500000000001</v>
      </c>
      <c r="O18" s="18"/>
      <c r="P18" s="18"/>
      <c r="Q18" s="1041"/>
      <c r="R18" s="1041"/>
    </row>
    <row r="19" spans="1:19">
      <c r="A19" s="18"/>
      <c r="B19" s="18"/>
      <c r="C19" s="18"/>
      <c r="D19" s="18"/>
      <c r="E19" s="18"/>
      <c r="F19" s="18"/>
      <c r="G19" s="18"/>
      <c r="H19" s="18"/>
      <c r="I19" s="152"/>
      <c r="J19" s="18"/>
      <c r="K19" s="199"/>
      <c r="L19" s="152"/>
      <c r="M19" s="18"/>
      <c r="N19" s="18"/>
      <c r="O19" s="18"/>
      <c r="P19" s="18"/>
      <c r="Q19" s="1041"/>
      <c r="R19" s="1041"/>
    </row>
    <row r="20" spans="1:19">
      <c r="A20" s="6" t="s">
        <v>59</v>
      </c>
      <c r="B20" s="6" t="s">
        <v>68</v>
      </c>
      <c r="C20" s="6" t="s">
        <v>19</v>
      </c>
      <c r="D20" s="6" t="s">
        <v>60</v>
      </c>
      <c r="E20" s="78" t="s">
        <v>62</v>
      </c>
      <c r="F20" s="7">
        <v>9</v>
      </c>
      <c r="G20" s="79" t="s">
        <v>61</v>
      </c>
      <c r="H20" s="147" t="s">
        <v>69</v>
      </c>
      <c r="I20" s="446">
        <v>6.85</v>
      </c>
      <c r="J20" s="75">
        <v>8.1</v>
      </c>
      <c r="K20" s="76">
        <v>123</v>
      </c>
      <c r="L20" s="151">
        <f>(I20*J20*K20/1000)</f>
        <v>6.824654999999999</v>
      </c>
      <c r="M20" s="18"/>
      <c r="N20" s="18"/>
      <c r="O20" s="18"/>
      <c r="P20" s="2063" t="s">
        <v>76</v>
      </c>
      <c r="Q20" s="1042"/>
      <c r="R20" s="1042"/>
      <c r="S20" t="s">
        <v>150</v>
      </c>
    </row>
    <row r="21" spans="1:19">
      <c r="A21" s="18"/>
      <c r="B21" s="6" t="s">
        <v>67</v>
      </c>
      <c r="C21" s="18"/>
      <c r="D21" s="18"/>
      <c r="E21" s="18"/>
      <c r="F21" s="18"/>
      <c r="G21" s="79" t="s">
        <v>61</v>
      </c>
      <c r="H21" s="79" t="s">
        <v>69</v>
      </c>
      <c r="I21" s="446">
        <v>6.85</v>
      </c>
      <c r="J21" s="75">
        <v>11.2</v>
      </c>
      <c r="K21" s="76">
        <v>84</v>
      </c>
      <c r="L21" s="151">
        <f>(I21*J21*K21/1000)</f>
        <v>6.4444799999999987</v>
      </c>
      <c r="M21" s="18"/>
      <c r="N21" s="18"/>
      <c r="O21" s="18"/>
      <c r="P21" s="2064"/>
      <c r="Q21" s="1042"/>
      <c r="R21" s="1042"/>
      <c r="S21" t="s">
        <v>151</v>
      </c>
    </row>
    <row r="22" spans="1:19">
      <c r="A22" s="18"/>
      <c r="B22" s="18"/>
      <c r="C22" s="18"/>
      <c r="D22" s="18"/>
      <c r="E22" s="18"/>
      <c r="F22" s="18"/>
      <c r="G22" s="79" t="s">
        <v>61</v>
      </c>
      <c r="H22" s="79" t="s">
        <v>69</v>
      </c>
      <c r="I22" s="446">
        <v>6.85</v>
      </c>
      <c r="J22" s="75">
        <v>11.9</v>
      </c>
      <c r="K22" s="76">
        <v>100</v>
      </c>
      <c r="L22" s="151">
        <f>(I22*J22*K22/1000)</f>
        <v>8.1515000000000004</v>
      </c>
      <c r="M22" s="18"/>
      <c r="N22" s="18"/>
      <c r="O22" s="18"/>
      <c r="P22" s="2065"/>
      <c r="Q22" s="1042"/>
      <c r="R22" s="1042"/>
    </row>
    <row r="23" spans="1:19">
      <c r="A23" s="18"/>
      <c r="B23" s="18"/>
      <c r="C23" s="18"/>
      <c r="D23" s="18"/>
      <c r="E23" s="18"/>
      <c r="F23" s="18"/>
      <c r="G23" s="79"/>
      <c r="H23" s="79"/>
      <c r="I23" s="446"/>
      <c r="J23" s="75"/>
      <c r="K23" s="76">
        <f t="shared" ref="K23" si="3">SUM(K20:K22)</f>
        <v>307</v>
      </c>
      <c r="L23" s="298">
        <f>SUM(L20:L22)</f>
        <v>21.420634999999997</v>
      </c>
      <c r="M23" s="18"/>
      <c r="N23" s="18"/>
      <c r="O23" s="18"/>
      <c r="P23" s="18"/>
      <c r="Q23" s="1041"/>
      <c r="R23" s="1041"/>
    </row>
    <row r="24" spans="1:19">
      <c r="A24" s="18"/>
      <c r="B24" s="18"/>
      <c r="C24" s="18"/>
      <c r="D24" s="18"/>
      <c r="E24" s="18"/>
      <c r="F24" s="18"/>
      <c r="G24" s="18"/>
      <c r="H24" s="18"/>
      <c r="I24" s="152"/>
      <c r="J24" s="18"/>
      <c r="K24" s="199"/>
      <c r="L24" s="129">
        <f>+L23+L18</f>
        <v>47.85136</v>
      </c>
      <c r="M24" s="81">
        <f>+M23+M18</f>
        <v>5</v>
      </c>
      <c r="N24" s="77">
        <f>+N23+N18</f>
        <v>0.33496500000000001</v>
      </c>
      <c r="O24" s="18"/>
      <c r="P24" s="18"/>
      <c r="Q24" s="1041"/>
      <c r="R24" s="1041"/>
    </row>
    <row r="25" spans="1:19">
      <c r="A25" s="18"/>
      <c r="B25" s="18"/>
      <c r="C25" s="18"/>
      <c r="D25" s="18"/>
      <c r="E25" s="18"/>
      <c r="F25" s="18"/>
      <c r="G25" s="18"/>
      <c r="H25" s="18"/>
      <c r="I25" s="152"/>
      <c r="J25" s="18"/>
      <c r="K25" s="199"/>
      <c r="L25" s="152"/>
      <c r="M25" s="18"/>
      <c r="N25" s="18"/>
      <c r="O25" s="18"/>
      <c r="P25" s="18"/>
      <c r="Q25" s="1041"/>
      <c r="R25" s="1041"/>
    </row>
    <row r="26" spans="1:19">
      <c r="A26" s="18"/>
      <c r="B26" s="18"/>
      <c r="C26" s="18"/>
      <c r="D26" s="18"/>
      <c r="E26" s="18"/>
      <c r="F26" s="18"/>
      <c r="G26" s="79"/>
      <c r="H26" s="79"/>
      <c r="I26" s="446"/>
      <c r="J26" s="75"/>
      <c r="K26" s="76"/>
      <c r="L26" s="298"/>
      <c r="M26" s="9"/>
      <c r="N26" s="18"/>
      <c r="O26" s="18"/>
      <c r="P26" s="18"/>
      <c r="Q26" s="1041"/>
      <c r="R26" s="1041"/>
    </row>
    <row r="27" spans="1:19">
      <c r="A27" s="78" t="s">
        <v>59</v>
      </c>
      <c r="B27" s="78" t="s">
        <v>68</v>
      </c>
      <c r="C27" s="78" t="s">
        <v>19</v>
      </c>
      <c r="D27" s="78" t="s">
        <v>60</v>
      </c>
      <c r="E27" s="78" t="s">
        <v>63</v>
      </c>
      <c r="F27" s="94">
        <v>9</v>
      </c>
      <c r="G27" s="95" t="s">
        <v>61</v>
      </c>
      <c r="H27" s="95" t="s">
        <v>70</v>
      </c>
      <c r="I27" s="447">
        <v>5.76</v>
      </c>
      <c r="J27" s="96">
        <v>7.7</v>
      </c>
      <c r="K27" s="97">
        <v>28</v>
      </c>
      <c r="L27" s="299">
        <f>(I27*J27*K27/1000)</f>
        <v>1.2418560000000001</v>
      </c>
      <c r="M27" s="98"/>
      <c r="N27" s="98"/>
      <c r="O27" s="18"/>
      <c r="P27" s="18"/>
      <c r="Q27" s="1041"/>
      <c r="R27" s="1041"/>
    </row>
    <row r="28" spans="1:19">
      <c r="A28" s="98"/>
      <c r="B28" s="78" t="s">
        <v>66</v>
      </c>
      <c r="C28" s="98"/>
      <c r="D28" s="98"/>
      <c r="E28" s="98"/>
      <c r="F28" s="98"/>
      <c r="G28" s="95" t="s">
        <v>61</v>
      </c>
      <c r="H28" s="95" t="s">
        <v>70</v>
      </c>
      <c r="I28" s="447">
        <v>5.76</v>
      </c>
      <c r="J28" s="96">
        <v>12</v>
      </c>
      <c r="K28" s="97">
        <v>17</v>
      </c>
      <c r="L28" s="299">
        <f>(I28*J28*K28/1000)</f>
        <v>1.1750399999999999</v>
      </c>
      <c r="M28" s="98"/>
      <c r="N28" s="98"/>
      <c r="O28" s="18"/>
      <c r="P28" s="18"/>
      <c r="Q28" s="1041"/>
      <c r="R28" s="1041"/>
    </row>
    <row r="29" spans="1:19">
      <c r="A29" s="98"/>
      <c r="B29" s="98"/>
      <c r="C29" s="98"/>
      <c r="D29" s="98"/>
      <c r="E29" s="98"/>
      <c r="F29" s="98"/>
      <c r="G29" s="95"/>
      <c r="H29" s="95"/>
      <c r="I29" s="447"/>
      <c r="J29" s="96"/>
      <c r="K29" s="97">
        <f t="shared" ref="K29" si="4">SUM(K27:K28)</f>
        <v>45</v>
      </c>
      <c r="L29" s="300">
        <f>SUM(L27:L28)</f>
        <v>2.4168959999999999</v>
      </c>
      <c r="M29" s="98" t="s">
        <v>73</v>
      </c>
      <c r="N29" s="98"/>
      <c r="O29" s="18"/>
      <c r="P29" s="18"/>
      <c r="Q29" s="1041"/>
      <c r="R29" s="1041"/>
    </row>
    <row r="30" spans="1:19">
      <c r="A30" s="18"/>
      <c r="B30" s="18"/>
      <c r="C30" s="18"/>
      <c r="D30" s="18"/>
      <c r="E30" s="18"/>
      <c r="F30" s="18"/>
      <c r="G30" s="79"/>
      <c r="H30" s="79"/>
      <c r="I30" s="446"/>
      <c r="J30" s="75"/>
      <c r="K30" s="76"/>
      <c r="L30" s="298"/>
      <c r="M30" s="9"/>
      <c r="N30" s="18"/>
      <c r="O30" s="18"/>
      <c r="P30" s="18"/>
      <c r="Q30" s="1041"/>
      <c r="R30" s="1041"/>
    </row>
    <row r="31" spans="1:19">
      <c r="A31" s="18"/>
      <c r="B31" s="18"/>
      <c r="C31" s="18"/>
      <c r="D31" s="18"/>
      <c r="E31" s="18"/>
      <c r="F31" s="18"/>
      <c r="G31" s="79"/>
      <c r="H31" s="79"/>
      <c r="I31" s="446"/>
      <c r="J31" s="75"/>
      <c r="K31" s="76"/>
      <c r="L31" s="298"/>
      <c r="M31" s="9"/>
      <c r="N31" s="18"/>
      <c r="O31" s="18"/>
      <c r="P31" s="18"/>
      <c r="Q31" s="1041"/>
      <c r="R31" s="1041"/>
    </row>
    <row r="32" spans="1:19">
      <c r="A32" s="6" t="s">
        <v>59</v>
      </c>
      <c r="B32" s="6" t="s">
        <v>68</v>
      </c>
      <c r="C32" s="6" t="s">
        <v>19</v>
      </c>
      <c r="D32" s="6" t="s">
        <v>20</v>
      </c>
      <c r="E32" s="78" t="s">
        <v>51</v>
      </c>
      <c r="F32" s="7">
        <v>9</v>
      </c>
      <c r="G32" s="79" t="s">
        <v>21</v>
      </c>
      <c r="H32" s="147" t="s">
        <v>69</v>
      </c>
      <c r="I32" s="446">
        <v>6.85</v>
      </c>
      <c r="J32" s="75">
        <v>9.8000000000000007</v>
      </c>
      <c r="K32" s="76">
        <v>39</v>
      </c>
      <c r="L32" s="151">
        <f t="shared" ref="L32:L33" si="5">(I32*J32*K32/1000)</f>
        <v>2.6180699999999999</v>
      </c>
      <c r="M32" s="18"/>
      <c r="N32" s="18"/>
      <c r="O32" s="18"/>
      <c r="P32" s="2060" t="s">
        <v>86</v>
      </c>
      <c r="Q32" s="1043"/>
      <c r="R32" s="1043"/>
      <c r="S32" t="s">
        <v>158</v>
      </c>
    </row>
    <row r="33" spans="1:19">
      <c r="A33" s="18"/>
      <c r="B33" s="6" t="s">
        <v>67</v>
      </c>
      <c r="C33" s="18"/>
      <c r="D33" s="18"/>
      <c r="E33" s="18"/>
      <c r="F33" s="18"/>
      <c r="G33" s="79" t="s">
        <v>21</v>
      </c>
      <c r="H33" s="79" t="s">
        <v>69</v>
      </c>
      <c r="I33" s="446">
        <v>6.85</v>
      </c>
      <c r="J33" s="75">
        <v>11.8</v>
      </c>
      <c r="K33" s="76">
        <v>14</v>
      </c>
      <c r="L33" s="151">
        <f t="shared" si="5"/>
        <v>1.1316199999999998</v>
      </c>
      <c r="M33" s="18"/>
      <c r="N33" s="18"/>
      <c r="O33" s="18"/>
      <c r="P33" s="2061"/>
      <c r="Q33" s="1043"/>
      <c r="R33" s="1043"/>
    </row>
    <row r="34" spans="1:19">
      <c r="A34" s="18"/>
      <c r="B34" s="18"/>
      <c r="C34" s="18"/>
      <c r="D34" s="18"/>
      <c r="E34" s="18"/>
      <c r="F34" s="18"/>
      <c r="G34" s="79"/>
      <c r="H34" s="79"/>
      <c r="I34" s="446"/>
      <c r="J34" s="75"/>
      <c r="K34" s="76">
        <f t="shared" ref="K34:M34" si="6">SUM(K32:K33)</f>
        <v>53</v>
      </c>
      <c r="L34" s="298">
        <f>SUM(L32:L33)</f>
        <v>3.7496899999999997</v>
      </c>
      <c r="M34" s="76">
        <f t="shared" si="6"/>
        <v>0</v>
      </c>
      <c r="N34" s="75">
        <f>SUM(N32:N33)</f>
        <v>0</v>
      </c>
      <c r="O34" s="18"/>
      <c r="P34" s="2061"/>
      <c r="Q34" s="1043"/>
      <c r="R34" s="1043"/>
    </row>
    <row r="35" spans="1:19">
      <c r="A35" s="18"/>
      <c r="B35" s="18"/>
      <c r="C35" s="18"/>
      <c r="D35" s="18"/>
      <c r="E35" s="18"/>
      <c r="F35" s="18"/>
      <c r="G35" s="79"/>
      <c r="H35" s="79"/>
      <c r="I35" s="446"/>
      <c r="J35" s="75"/>
      <c r="K35" s="76"/>
      <c r="L35" s="298"/>
      <c r="M35" s="9"/>
      <c r="N35" s="18"/>
      <c r="O35" s="18"/>
      <c r="P35" s="2061"/>
      <c r="Q35" s="1043"/>
      <c r="R35" s="1043"/>
    </row>
    <row r="36" spans="1:19">
      <c r="A36" s="6" t="s">
        <v>83</v>
      </c>
      <c r="B36" s="6" t="s">
        <v>82</v>
      </c>
      <c r="C36" s="6" t="s">
        <v>19</v>
      </c>
      <c r="D36" s="6" t="s">
        <v>20</v>
      </c>
      <c r="E36" s="78" t="s">
        <v>51</v>
      </c>
      <c r="F36" s="7">
        <v>9</v>
      </c>
      <c r="G36" s="79" t="s">
        <v>21</v>
      </c>
      <c r="H36" s="147" t="s">
        <v>69</v>
      </c>
      <c r="I36" s="446">
        <v>6.85</v>
      </c>
      <c r="J36" s="77">
        <v>12</v>
      </c>
      <c r="K36" s="200">
        <v>47</v>
      </c>
      <c r="L36" s="151">
        <f t="shared" ref="L36:L42" si="7">(I36*J36*K36/1000)</f>
        <v>3.8633999999999995</v>
      </c>
      <c r="M36" s="99">
        <v>2</v>
      </c>
      <c r="N36" s="77">
        <f t="shared" ref="N36:N42" si="8">J36*M36*I36/1000</f>
        <v>0.16439999999999999</v>
      </c>
      <c r="O36" s="18"/>
      <c r="P36" s="2061"/>
      <c r="Q36" s="1043"/>
      <c r="R36" s="1043"/>
      <c r="S36" t="s">
        <v>158</v>
      </c>
    </row>
    <row r="37" spans="1:19">
      <c r="A37" s="18"/>
      <c r="B37" s="6" t="s">
        <v>84</v>
      </c>
      <c r="C37" s="18"/>
      <c r="D37" s="18"/>
      <c r="E37" s="18"/>
      <c r="F37" s="18"/>
      <c r="G37" s="79" t="s">
        <v>21</v>
      </c>
      <c r="H37" s="79" t="s">
        <v>69</v>
      </c>
      <c r="I37" s="446">
        <v>6.85</v>
      </c>
      <c r="J37" s="77">
        <v>11.5</v>
      </c>
      <c r="K37" s="200">
        <v>20</v>
      </c>
      <c r="L37" s="151">
        <f t="shared" si="7"/>
        <v>1.5754999999999997</v>
      </c>
      <c r="M37" s="99"/>
      <c r="N37" s="77">
        <f t="shared" si="8"/>
        <v>0</v>
      </c>
      <c r="O37" s="18"/>
      <c r="P37" s="2061"/>
      <c r="Q37" s="1043"/>
      <c r="R37" s="1043"/>
    </row>
    <row r="38" spans="1:19">
      <c r="A38" s="18"/>
      <c r="B38" s="18"/>
      <c r="C38" s="18"/>
      <c r="D38" s="18"/>
      <c r="E38" s="18"/>
      <c r="F38" s="18"/>
      <c r="G38" s="79" t="s">
        <v>21</v>
      </c>
      <c r="H38" s="79" t="s">
        <v>69</v>
      </c>
      <c r="I38" s="446">
        <v>6.85</v>
      </c>
      <c r="J38" s="77">
        <v>11</v>
      </c>
      <c r="K38" s="200">
        <v>18</v>
      </c>
      <c r="L38" s="151">
        <f t="shared" si="7"/>
        <v>1.3563000000000001</v>
      </c>
      <c r="M38" s="99"/>
      <c r="N38" s="77">
        <f t="shared" si="8"/>
        <v>0</v>
      </c>
      <c r="O38" s="18"/>
      <c r="P38" s="2061"/>
      <c r="Q38" s="1043"/>
      <c r="R38" s="1043"/>
    </row>
    <row r="39" spans="1:19">
      <c r="A39" s="18"/>
      <c r="B39" s="18"/>
      <c r="C39" s="18"/>
      <c r="D39" s="18"/>
      <c r="E39" s="18"/>
      <c r="F39" s="18"/>
      <c r="G39" s="79" t="s">
        <v>21</v>
      </c>
      <c r="H39" s="79" t="s">
        <v>69</v>
      </c>
      <c r="I39" s="446">
        <v>6.85</v>
      </c>
      <c r="J39" s="77">
        <v>10.7</v>
      </c>
      <c r="K39" s="200">
        <v>31</v>
      </c>
      <c r="L39" s="151">
        <f t="shared" si="7"/>
        <v>2.2721449999999996</v>
      </c>
      <c r="M39" s="99">
        <f>7+10+10+4</f>
        <v>31</v>
      </c>
      <c r="N39" s="77">
        <f t="shared" si="8"/>
        <v>2.2721450000000001</v>
      </c>
      <c r="O39" s="18"/>
      <c r="P39" s="2061"/>
      <c r="Q39" s="1043"/>
      <c r="R39" s="1043"/>
    </row>
    <row r="40" spans="1:19">
      <c r="A40" s="18"/>
      <c r="B40" s="18"/>
      <c r="C40" s="18"/>
      <c r="D40" s="18"/>
      <c r="E40" s="18"/>
      <c r="F40" s="18"/>
      <c r="G40" s="79" t="s">
        <v>21</v>
      </c>
      <c r="H40" s="79" t="s">
        <v>69</v>
      </c>
      <c r="I40" s="446">
        <v>6.85</v>
      </c>
      <c r="J40" s="77">
        <v>9.35</v>
      </c>
      <c r="K40" s="200">
        <v>40</v>
      </c>
      <c r="L40" s="151">
        <f t="shared" si="7"/>
        <v>2.5619000000000001</v>
      </c>
      <c r="M40" s="99">
        <f>4+6</f>
        <v>10</v>
      </c>
      <c r="N40" s="77">
        <f t="shared" si="8"/>
        <v>0.64047500000000002</v>
      </c>
      <c r="O40" s="18"/>
      <c r="P40" s="2061"/>
      <c r="Q40" s="1043"/>
      <c r="R40" s="1043"/>
    </row>
    <row r="41" spans="1:19">
      <c r="A41" s="18"/>
      <c r="B41" s="18"/>
      <c r="C41" s="18"/>
      <c r="D41" s="18"/>
      <c r="E41" s="18"/>
      <c r="F41" s="18"/>
      <c r="G41" s="79" t="s">
        <v>21</v>
      </c>
      <c r="H41" s="79" t="s">
        <v>69</v>
      </c>
      <c r="I41" s="446">
        <v>6.85</v>
      </c>
      <c r="J41" s="77">
        <v>9.85</v>
      </c>
      <c r="K41" s="200">
        <v>160</v>
      </c>
      <c r="L41" s="151">
        <f t="shared" si="7"/>
        <v>10.795599999999999</v>
      </c>
      <c r="M41" s="99"/>
      <c r="N41" s="77">
        <f t="shared" si="8"/>
        <v>0</v>
      </c>
      <c r="O41" s="18"/>
      <c r="P41" s="2061"/>
      <c r="Q41" s="1043"/>
      <c r="R41" s="1043"/>
    </row>
    <row r="42" spans="1:19">
      <c r="A42" s="18"/>
      <c r="B42" s="18"/>
      <c r="C42" s="18"/>
      <c r="D42" s="18"/>
      <c r="E42" s="18"/>
      <c r="F42" s="18"/>
      <c r="G42" s="79" t="s">
        <v>21</v>
      </c>
      <c r="H42" s="79" t="s">
        <v>69</v>
      </c>
      <c r="I42" s="446">
        <v>6.85</v>
      </c>
      <c r="J42" s="77">
        <v>9.5500000000000007</v>
      </c>
      <c r="K42" s="200">
        <v>71</v>
      </c>
      <c r="L42" s="151">
        <f t="shared" si="7"/>
        <v>4.6446424999999998</v>
      </c>
      <c r="M42" s="99"/>
      <c r="N42" s="77">
        <f t="shared" si="8"/>
        <v>0</v>
      </c>
      <c r="O42" s="18"/>
      <c r="P42" s="2061"/>
      <c r="Q42" s="1043"/>
      <c r="R42" s="1043"/>
    </row>
    <row r="43" spans="1:19">
      <c r="A43" s="18"/>
      <c r="B43" s="18"/>
      <c r="C43" s="18"/>
      <c r="D43" s="18"/>
      <c r="E43" s="18"/>
      <c r="F43" s="18"/>
      <c r="G43" s="18"/>
      <c r="H43" s="18"/>
      <c r="I43" s="153"/>
      <c r="J43" s="81"/>
      <c r="K43" s="201">
        <f>SUM(K36:K42)</f>
        <v>387</v>
      </c>
      <c r="L43" s="287">
        <f>SUM(L36:L42)</f>
        <v>27.069487499999997</v>
      </c>
      <c r="M43" s="99">
        <f>SUM(M36:M42)</f>
        <v>43</v>
      </c>
      <c r="N43" s="93">
        <f>SUM(N36:N42)</f>
        <v>3.0770200000000001</v>
      </c>
      <c r="O43" s="18"/>
      <c r="P43" s="2061"/>
      <c r="Q43" s="1043"/>
      <c r="R43" s="1043"/>
    </row>
    <row r="44" spans="1:19">
      <c r="A44" s="18"/>
      <c r="B44" s="18"/>
      <c r="C44" s="18"/>
      <c r="D44" s="18"/>
      <c r="E44" s="18"/>
      <c r="F44" s="18"/>
      <c r="G44" s="18"/>
      <c r="H44" s="18"/>
      <c r="I44" s="153"/>
      <c r="J44" s="81"/>
      <c r="K44" s="201"/>
      <c r="L44" s="287"/>
      <c r="M44" s="9"/>
      <c r="N44" s="18"/>
      <c r="O44" s="18"/>
      <c r="P44" s="2061"/>
      <c r="Q44" s="1043"/>
      <c r="R44" s="1043"/>
    </row>
    <row r="45" spans="1:19">
      <c r="A45" s="6" t="s">
        <v>83</v>
      </c>
      <c r="B45" s="6" t="s">
        <v>85</v>
      </c>
      <c r="C45" s="6" t="s">
        <v>19</v>
      </c>
      <c r="D45" s="6" t="s">
        <v>20</v>
      </c>
      <c r="E45" s="78" t="s">
        <v>51</v>
      </c>
      <c r="F45" s="7">
        <v>9</v>
      </c>
      <c r="G45" s="79" t="s">
        <v>21</v>
      </c>
      <c r="H45" s="147" t="s">
        <v>69</v>
      </c>
      <c r="I45" s="446">
        <v>6.85</v>
      </c>
      <c r="J45" s="77">
        <v>12</v>
      </c>
      <c r="K45" s="200">
        <v>16</v>
      </c>
      <c r="L45" s="151">
        <f>(I45*J45*K45/1000)</f>
        <v>1.3151999999999999</v>
      </c>
      <c r="M45" s="93"/>
      <c r="N45" s="18"/>
      <c r="O45" s="18"/>
      <c r="P45" s="2061"/>
      <c r="Q45" s="1043"/>
      <c r="R45" s="1043"/>
      <c r="S45" t="s">
        <v>158</v>
      </c>
    </row>
    <row r="46" spans="1:19">
      <c r="A46" s="18"/>
      <c r="B46" s="6" t="s">
        <v>52</v>
      </c>
      <c r="C46" s="18"/>
      <c r="D46" s="18"/>
      <c r="E46" s="18"/>
      <c r="F46" s="18"/>
      <c r="G46" s="79" t="s">
        <v>21</v>
      </c>
      <c r="H46" s="79" t="s">
        <v>69</v>
      </c>
      <c r="I46" s="446">
        <v>6.85</v>
      </c>
      <c r="J46" s="77">
        <v>11.5</v>
      </c>
      <c r="K46" s="200">
        <v>10</v>
      </c>
      <c r="L46" s="151">
        <f>(I46*J46*K46/1000)</f>
        <v>0.78774999999999984</v>
      </c>
      <c r="M46" s="93"/>
      <c r="N46" s="18"/>
      <c r="O46" s="18"/>
      <c r="P46" s="2061"/>
      <c r="Q46" s="1043"/>
      <c r="R46" s="1043"/>
    </row>
    <row r="47" spans="1:19">
      <c r="A47" s="18"/>
      <c r="B47" s="18"/>
      <c r="C47" s="18"/>
      <c r="D47" s="18"/>
      <c r="E47" s="18"/>
      <c r="F47" s="18"/>
      <c r="G47" s="79" t="s">
        <v>21</v>
      </c>
      <c r="H47" s="79" t="s">
        <v>69</v>
      </c>
      <c r="I47" s="446">
        <v>6.85</v>
      </c>
      <c r="J47" s="77">
        <v>11</v>
      </c>
      <c r="K47" s="200">
        <v>13</v>
      </c>
      <c r="L47" s="151">
        <f>(I47*J47*K47/1000)</f>
        <v>0.97954999999999992</v>
      </c>
      <c r="M47" s="93"/>
      <c r="N47" s="18"/>
      <c r="O47" s="18"/>
      <c r="P47" s="2061"/>
      <c r="Q47" s="1043"/>
      <c r="R47" s="1043"/>
    </row>
    <row r="48" spans="1:19">
      <c r="A48" s="18"/>
      <c r="B48" s="18"/>
      <c r="C48" s="18"/>
      <c r="D48" s="18"/>
      <c r="E48" s="18"/>
      <c r="F48" s="18"/>
      <c r="G48" s="79" t="s">
        <v>21</v>
      </c>
      <c r="H48" s="79" t="s">
        <v>69</v>
      </c>
      <c r="I48" s="446">
        <v>6.85</v>
      </c>
      <c r="J48" s="77">
        <v>10.7</v>
      </c>
      <c r="K48" s="200">
        <v>16</v>
      </c>
      <c r="L48" s="151">
        <f>(I48*J48*K48/1000)</f>
        <v>1.1727199999999998</v>
      </c>
      <c r="M48" s="93"/>
      <c r="N48" s="18"/>
      <c r="O48" s="18"/>
      <c r="P48" s="2061"/>
      <c r="Q48" s="1043"/>
      <c r="R48" s="1043"/>
    </row>
    <row r="49" spans="1:19">
      <c r="A49" s="18"/>
      <c r="B49" s="18"/>
      <c r="C49" s="18"/>
      <c r="D49" s="18"/>
      <c r="E49" s="18"/>
      <c r="F49" s="18"/>
      <c r="G49" s="79" t="s">
        <v>21</v>
      </c>
      <c r="H49" s="79" t="s">
        <v>69</v>
      </c>
      <c r="I49" s="446">
        <v>6.85</v>
      </c>
      <c r="J49" s="77">
        <v>8.4</v>
      </c>
      <c r="K49" s="200">
        <v>42</v>
      </c>
      <c r="L49" s="151">
        <f>(I49*J49*K49/1000)</f>
        <v>2.4166799999999999</v>
      </c>
      <c r="M49" s="99">
        <v>8</v>
      </c>
      <c r="N49" s="77">
        <f>J49*M49*I49/1000</f>
        <v>0.46032000000000001</v>
      </c>
      <c r="O49" s="18"/>
      <c r="P49" s="2061"/>
      <c r="Q49" s="1043"/>
      <c r="R49" s="1043"/>
    </row>
    <row r="50" spans="1:19">
      <c r="A50" s="18"/>
      <c r="B50" s="18"/>
      <c r="C50" s="18"/>
      <c r="D50" s="18"/>
      <c r="E50" s="18"/>
      <c r="F50" s="18"/>
      <c r="G50" s="79"/>
      <c r="H50" s="79"/>
      <c r="I50" s="446"/>
      <c r="J50" s="81"/>
      <c r="K50" s="201">
        <f>SUM(K45:K49)</f>
        <v>97</v>
      </c>
      <c r="L50" s="287">
        <f>SUM(L45:L49)</f>
        <v>6.6718999999999991</v>
      </c>
      <c r="M50" s="99">
        <f>SUM(M45:M49)</f>
        <v>8</v>
      </c>
      <c r="N50" s="93">
        <f>SUM(N45:N49)</f>
        <v>0.46032000000000001</v>
      </c>
      <c r="O50" s="18"/>
      <c r="P50" s="2062"/>
      <c r="Q50" s="1043"/>
      <c r="R50" s="1043"/>
    </row>
    <row r="51" spans="1:19">
      <c r="A51" s="18"/>
      <c r="B51" s="18"/>
      <c r="C51" s="18"/>
      <c r="D51" s="18"/>
      <c r="E51" s="18"/>
      <c r="F51" s="18"/>
      <c r="G51" s="79"/>
      <c r="H51" s="79"/>
      <c r="I51" s="446"/>
      <c r="J51" s="81"/>
      <c r="K51" s="201"/>
      <c r="L51" s="287">
        <f>+L50+L43+L34</f>
        <v>37.491077499999996</v>
      </c>
      <c r="M51" s="99">
        <f>+M50+M43+M34</f>
        <v>51</v>
      </c>
      <c r="N51" s="93">
        <f>+N50+N43+N34</f>
        <v>3.5373399999999999</v>
      </c>
      <c r="O51" s="18"/>
      <c r="P51" s="18"/>
      <c r="Q51" s="1041"/>
      <c r="R51" s="1041"/>
    </row>
    <row r="52" spans="1:19">
      <c r="A52" s="18"/>
      <c r="B52" s="18"/>
      <c r="C52" s="18"/>
      <c r="D52" s="18"/>
      <c r="E52" s="18"/>
      <c r="F52" s="18"/>
      <c r="G52" s="79"/>
      <c r="H52" s="79"/>
      <c r="I52" s="446"/>
      <c r="J52" s="75"/>
      <c r="K52" s="76"/>
      <c r="L52" s="298"/>
      <c r="M52" s="9"/>
      <c r="N52" s="18"/>
      <c r="O52" s="18"/>
      <c r="P52" s="18"/>
      <c r="Q52" s="1041"/>
      <c r="R52" s="1041"/>
    </row>
    <row r="53" spans="1:19">
      <c r="A53" s="6" t="s">
        <v>83</v>
      </c>
      <c r="B53" s="6" t="s">
        <v>82</v>
      </c>
      <c r="C53" s="6" t="s">
        <v>19</v>
      </c>
      <c r="D53" s="6" t="s">
        <v>20</v>
      </c>
      <c r="E53" s="78" t="s">
        <v>51</v>
      </c>
      <c r="F53" s="7">
        <v>9</v>
      </c>
      <c r="G53" s="79" t="s">
        <v>21</v>
      </c>
      <c r="H53" s="147" t="s">
        <v>70</v>
      </c>
      <c r="I53" s="446">
        <v>5.76</v>
      </c>
      <c r="J53" s="77">
        <v>12</v>
      </c>
      <c r="K53" s="200">
        <v>148</v>
      </c>
      <c r="L53" s="151">
        <f t="shared" ref="L53:L57" si="9">(I53*J53*K53/1000)</f>
        <v>10.229760000000001</v>
      </c>
      <c r="M53" s="93"/>
      <c r="N53" s="18"/>
      <c r="O53" s="18"/>
      <c r="P53" s="2063" t="s">
        <v>87</v>
      </c>
      <c r="Q53" s="1042"/>
      <c r="R53" s="1042"/>
    </row>
    <row r="54" spans="1:19">
      <c r="A54" s="18"/>
      <c r="B54" s="6" t="s">
        <v>84</v>
      </c>
      <c r="C54" s="18"/>
      <c r="D54" s="18"/>
      <c r="E54" s="18"/>
      <c r="F54" s="18"/>
      <c r="G54" s="79" t="s">
        <v>21</v>
      </c>
      <c r="H54" s="79" t="s">
        <v>70</v>
      </c>
      <c r="I54" s="446">
        <v>5.76</v>
      </c>
      <c r="J54" s="77">
        <v>11</v>
      </c>
      <c r="K54" s="200">
        <v>138</v>
      </c>
      <c r="L54" s="151">
        <f t="shared" si="9"/>
        <v>8.7436799999999995</v>
      </c>
      <c r="M54" s="93"/>
      <c r="N54" s="18"/>
      <c r="O54" s="18"/>
      <c r="P54" s="2064"/>
      <c r="Q54" s="1042"/>
      <c r="R54" s="1042"/>
      <c r="S54" t="s">
        <v>158</v>
      </c>
    </row>
    <row r="55" spans="1:19">
      <c r="A55" s="18"/>
      <c r="B55" s="18"/>
      <c r="C55" s="18"/>
      <c r="D55" s="18"/>
      <c r="E55" s="18"/>
      <c r="F55" s="18"/>
      <c r="G55" s="79" t="s">
        <v>21</v>
      </c>
      <c r="H55" s="79" t="s">
        <v>70</v>
      </c>
      <c r="I55" s="446">
        <v>5.76</v>
      </c>
      <c r="J55" s="77">
        <v>10</v>
      </c>
      <c r="K55" s="200">
        <v>27</v>
      </c>
      <c r="L55" s="151">
        <f t="shared" si="9"/>
        <v>1.5551999999999999</v>
      </c>
      <c r="M55" s="93"/>
      <c r="N55" s="18"/>
      <c r="O55" s="18"/>
      <c r="P55" s="2064"/>
      <c r="Q55" s="1042"/>
      <c r="R55" s="1042"/>
    </row>
    <row r="56" spans="1:19">
      <c r="A56" s="18"/>
      <c r="B56" s="18"/>
      <c r="C56" s="18"/>
      <c r="D56" s="18"/>
      <c r="E56" s="18"/>
      <c r="F56" s="18"/>
      <c r="G56" s="79" t="s">
        <v>21</v>
      </c>
      <c r="H56" s="79" t="s">
        <v>70</v>
      </c>
      <c r="I56" s="446">
        <v>5.76</v>
      </c>
      <c r="J56" s="77">
        <v>11.9</v>
      </c>
      <c r="K56" s="200">
        <v>56</v>
      </c>
      <c r="L56" s="151">
        <f t="shared" si="9"/>
        <v>3.8384640000000001</v>
      </c>
      <c r="M56" s="93"/>
      <c r="N56" s="18"/>
      <c r="O56" s="18"/>
      <c r="P56" s="2064"/>
      <c r="Q56" s="1042"/>
      <c r="R56" s="1042"/>
    </row>
    <row r="57" spans="1:19">
      <c r="A57" s="18"/>
      <c r="B57" s="18"/>
      <c r="C57" s="18"/>
      <c r="D57" s="18"/>
      <c r="E57" s="18"/>
      <c r="F57" s="18"/>
      <c r="G57" s="79" t="s">
        <v>21</v>
      </c>
      <c r="H57" s="79" t="s">
        <v>70</v>
      </c>
      <c r="I57" s="446">
        <v>5.76</v>
      </c>
      <c r="J57" s="77">
        <v>11.1</v>
      </c>
      <c r="K57" s="200">
        <v>40</v>
      </c>
      <c r="L57" s="151">
        <f t="shared" si="9"/>
        <v>2.5574399999999997</v>
      </c>
      <c r="M57" s="93"/>
      <c r="N57" s="18"/>
      <c r="O57" s="18"/>
      <c r="P57" s="2064"/>
      <c r="Q57" s="1042"/>
      <c r="R57" s="1042"/>
    </row>
    <row r="58" spans="1:19">
      <c r="A58" s="18"/>
      <c r="B58" s="18"/>
      <c r="C58" s="18"/>
      <c r="D58" s="18"/>
      <c r="E58" s="18"/>
      <c r="F58" s="18"/>
      <c r="G58" s="79"/>
      <c r="H58" s="79"/>
      <c r="I58" s="446"/>
      <c r="J58" s="81"/>
      <c r="K58" s="200">
        <f>SUM(K53:K57)</f>
        <v>409</v>
      </c>
      <c r="L58" s="287">
        <f>SUM(L53:L57)</f>
        <v>26.924543999999997</v>
      </c>
      <c r="M58" s="9"/>
      <c r="N58" s="18"/>
      <c r="O58" s="18"/>
      <c r="P58" s="2064"/>
      <c r="Q58" s="1042"/>
      <c r="R58" s="1042"/>
    </row>
    <row r="59" spans="1:19">
      <c r="A59" s="18"/>
      <c r="B59" s="18"/>
      <c r="C59" s="18"/>
      <c r="D59" s="18"/>
      <c r="E59" s="18"/>
      <c r="F59" s="18"/>
      <c r="G59" s="79"/>
      <c r="H59" s="79"/>
      <c r="I59" s="446"/>
      <c r="J59" s="75"/>
      <c r="K59" s="76"/>
      <c r="L59" s="298"/>
      <c r="M59" s="9"/>
      <c r="N59" s="18"/>
      <c r="O59" s="18"/>
      <c r="P59" s="2064"/>
      <c r="Q59" s="1042"/>
      <c r="R59" s="1042"/>
    </row>
    <row r="60" spans="1:19">
      <c r="A60" s="6" t="s">
        <v>83</v>
      </c>
      <c r="B60" s="6" t="s">
        <v>85</v>
      </c>
      <c r="C60" s="6" t="s">
        <v>19</v>
      </c>
      <c r="D60" s="6" t="s">
        <v>20</v>
      </c>
      <c r="E60" s="78" t="s">
        <v>51</v>
      </c>
      <c r="F60" s="7">
        <v>9</v>
      </c>
      <c r="G60" s="79" t="s">
        <v>21</v>
      </c>
      <c r="H60" s="147" t="s">
        <v>70</v>
      </c>
      <c r="I60" s="446">
        <v>5.76</v>
      </c>
      <c r="J60" s="77">
        <v>12</v>
      </c>
      <c r="K60" s="200">
        <v>20</v>
      </c>
      <c r="L60" s="129">
        <v>1.3824000000000001</v>
      </c>
      <c r="M60" s="93"/>
      <c r="N60" s="18"/>
      <c r="O60" s="18"/>
      <c r="P60" s="2064"/>
      <c r="Q60" s="1042"/>
      <c r="R60" s="1042"/>
      <c r="S60" t="s">
        <v>158</v>
      </c>
    </row>
    <row r="61" spans="1:19">
      <c r="A61" s="18"/>
      <c r="B61" s="6" t="s">
        <v>52</v>
      </c>
      <c r="C61" s="18"/>
      <c r="D61" s="18"/>
      <c r="E61" s="18"/>
      <c r="F61" s="18"/>
      <c r="G61" s="79" t="s">
        <v>21</v>
      </c>
      <c r="H61" s="79" t="s">
        <v>70</v>
      </c>
      <c r="I61" s="446">
        <v>5.76</v>
      </c>
      <c r="J61" s="77">
        <v>11</v>
      </c>
      <c r="K61" s="200">
        <v>35</v>
      </c>
      <c r="L61" s="129">
        <v>2.2176</v>
      </c>
      <c r="M61" s="93"/>
      <c r="N61" s="18"/>
      <c r="O61" s="18"/>
      <c r="P61" s="2064"/>
      <c r="Q61" s="1042"/>
      <c r="R61" s="1042"/>
    </row>
    <row r="62" spans="1:19">
      <c r="A62" s="18"/>
      <c r="B62" s="18"/>
      <c r="C62" s="18"/>
      <c r="D62" s="18"/>
      <c r="E62" s="18"/>
      <c r="F62" s="18"/>
      <c r="G62" s="79" t="s">
        <v>21</v>
      </c>
      <c r="H62" s="79" t="s">
        <v>70</v>
      </c>
      <c r="I62" s="446">
        <v>5.76</v>
      </c>
      <c r="J62" s="77">
        <v>10</v>
      </c>
      <c r="K62" s="200">
        <v>29</v>
      </c>
      <c r="L62" s="129">
        <v>1.6704000000000003</v>
      </c>
      <c r="M62" s="93"/>
      <c r="N62" s="18"/>
      <c r="O62" s="18"/>
      <c r="P62" s="2064"/>
      <c r="Q62" s="1042"/>
      <c r="R62" s="1042"/>
    </row>
    <row r="63" spans="1:19">
      <c r="A63" s="18"/>
      <c r="B63" s="18"/>
      <c r="C63" s="18"/>
      <c r="D63" s="18"/>
      <c r="E63" s="18"/>
      <c r="F63" s="18"/>
      <c r="G63" s="79" t="s">
        <v>21</v>
      </c>
      <c r="H63" s="79" t="s">
        <v>70</v>
      </c>
      <c r="I63" s="446">
        <v>5.76</v>
      </c>
      <c r="J63" s="77">
        <v>11.9</v>
      </c>
      <c r="K63" s="200">
        <v>24</v>
      </c>
      <c r="L63" s="129">
        <v>1.6450560000000001</v>
      </c>
      <c r="M63" s="93"/>
      <c r="N63" s="18"/>
      <c r="O63" s="18"/>
      <c r="P63" s="2064"/>
      <c r="Q63" s="1042"/>
      <c r="R63" s="1042"/>
    </row>
    <row r="64" spans="1:19">
      <c r="A64" s="18"/>
      <c r="B64" s="18"/>
      <c r="C64" s="18"/>
      <c r="D64" s="18"/>
      <c r="E64" s="18"/>
      <c r="F64" s="18"/>
      <c r="G64" s="79"/>
      <c r="H64" s="79"/>
      <c r="I64" s="446"/>
      <c r="J64" s="81"/>
      <c r="K64" s="201">
        <f>SUM(K60:K63)</f>
        <v>108</v>
      </c>
      <c r="L64" s="287">
        <f>SUM(L60:L63)</f>
        <v>6.9154560000000007</v>
      </c>
      <c r="M64" s="9"/>
      <c r="N64" s="18"/>
      <c r="O64" s="18"/>
      <c r="P64" s="2065"/>
      <c r="Q64" s="1042"/>
      <c r="R64" s="1042"/>
    </row>
    <row r="65" spans="1:18">
      <c r="A65" s="18"/>
      <c r="B65" s="18"/>
      <c r="C65" s="18"/>
      <c r="D65" s="18"/>
      <c r="E65" s="18"/>
      <c r="F65" s="18"/>
      <c r="G65" s="79"/>
      <c r="H65" s="79"/>
      <c r="I65" s="446"/>
      <c r="J65" s="75"/>
      <c r="K65" s="76"/>
      <c r="L65" s="298">
        <f>+L64+L58</f>
        <v>33.839999999999996</v>
      </c>
      <c r="M65" s="9"/>
      <c r="N65" s="18"/>
      <c r="O65" s="18"/>
      <c r="P65" s="18"/>
      <c r="Q65" s="1041"/>
      <c r="R65" s="1041"/>
    </row>
    <row r="66" spans="1:18">
      <c r="A66" s="18"/>
      <c r="B66" s="18"/>
      <c r="C66" s="18"/>
      <c r="D66" s="18"/>
      <c r="E66" s="18"/>
      <c r="F66" s="18"/>
      <c r="G66" s="79"/>
      <c r="H66" s="79"/>
      <c r="I66" s="446"/>
      <c r="J66" s="75"/>
      <c r="K66" s="76"/>
      <c r="L66" s="298"/>
      <c r="M66" s="9"/>
      <c r="N66" s="18"/>
      <c r="O66" s="18"/>
      <c r="P66" s="18"/>
      <c r="Q66" s="1041"/>
      <c r="R66" s="1041"/>
    </row>
    <row r="67" spans="1:18">
      <c r="A67" s="18"/>
      <c r="B67" s="18"/>
      <c r="C67" s="18"/>
      <c r="D67" s="18"/>
      <c r="E67" s="18"/>
      <c r="F67" s="18"/>
      <c r="G67" s="79"/>
      <c r="H67" s="79"/>
      <c r="I67" s="446"/>
      <c r="J67" s="75"/>
      <c r="K67" s="76"/>
      <c r="L67" s="298"/>
      <c r="M67" s="9"/>
      <c r="N67" s="18"/>
      <c r="O67" s="18"/>
      <c r="P67" s="18"/>
      <c r="Q67" s="1041"/>
      <c r="R67" s="1041"/>
    </row>
    <row r="68" spans="1:18">
      <c r="A68" s="18"/>
      <c r="B68" s="18"/>
      <c r="C68" s="18"/>
      <c r="D68" s="18"/>
      <c r="E68" s="18"/>
      <c r="F68" s="18"/>
      <c r="G68" s="18"/>
      <c r="H68" s="18"/>
      <c r="I68" s="152"/>
      <c r="J68" s="18"/>
      <c r="K68" s="199"/>
      <c r="L68" s="152"/>
      <c r="M68" s="18"/>
      <c r="N68" s="18"/>
      <c r="O68" s="18"/>
      <c r="P68" s="18"/>
      <c r="Q68" s="1041"/>
      <c r="R68" s="1041"/>
    </row>
    <row r="69" spans="1:18">
      <c r="A69" s="18"/>
      <c r="B69" s="18"/>
      <c r="C69" s="18"/>
      <c r="D69" s="18"/>
      <c r="E69" s="18"/>
      <c r="F69" s="18"/>
      <c r="G69" s="18"/>
      <c r="H69" s="18"/>
      <c r="I69" s="152"/>
      <c r="J69" s="18"/>
      <c r="K69" s="199"/>
      <c r="L69" s="129">
        <f>+L65+L51+L29+L24+L11</f>
        <v>160.72379349999997</v>
      </c>
      <c r="M69" s="18"/>
      <c r="N69" s="77">
        <f>+N65+N51+N29+N24+N11</f>
        <v>9.9551049999999996</v>
      </c>
      <c r="O69" s="77"/>
      <c r="P69" s="18"/>
      <c r="Q69" s="1041"/>
      <c r="R69" s="1041"/>
    </row>
    <row r="70" spans="1:18">
      <c r="A70" s="10" t="s">
        <v>48</v>
      </c>
      <c r="B70" s="10"/>
      <c r="C70" s="11"/>
      <c r="D70" s="11"/>
      <c r="E70" s="11"/>
      <c r="F70" s="12"/>
      <c r="G70" s="11"/>
      <c r="H70" s="12"/>
      <c r="I70" s="13"/>
      <c r="J70" s="11"/>
      <c r="K70" s="202"/>
      <c r="L70" s="2047" t="s">
        <v>0</v>
      </c>
      <c r="M70" s="2047"/>
      <c r="N70" s="2047"/>
      <c r="O70" s="2048"/>
      <c r="P70" s="2020"/>
      <c r="Q70" s="142"/>
      <c r="R70" s="142"/>
    </row>
    <row r="71" spans="1:18">
      <c r="A71" s="14" t="s">
        <v>1</v>
      </c>
      <c r="B71" s="14"/>
      <c r="C71" s="14"/>
      <c r="D71" s="15" t="s">
        <v>2</v>
      </c>
      <c r="E71" s="15"/>
      <c r="F71" s="16"/>
      <c r="G71" s="16"/>
      <c r="H71" s="16"/>
      <c r="I71" s="17"/>
      <c r="J71" s="16"/>
      <c r="K71" s="203" t="s">
        <v>3</v>
      </c>
      <c r="L71" s="16"/>
      <c r="M71" s="14"/>
      <c r="N71" s="16"/>
      <c r="O71" s="19"/>
      <c r="P71" s="2020"/>
      <c r="Q71" s="142"/>
      <c r="R71" s="142"/>
    </row>
    <row r="72" spans="1:18" ht="15.6">
      <c r="A72" s="73" t="s">
        <v>22</v>
      </c>
      <c r="B72" s="2021" t="s">
        <v>23</v>
      </c>
      <c r="C72" s="2022"/>
      <c r="D72" s="2023"/>
      <c r="E72" s="73" t="s">
        <v>24</v>
      </c>
      <c r="F72" s="2021" t="s">
        <v>25</v>
      </c>
      <c r="G72" s="2023"/>
      <c r="H72" s="2021" t="s">
        <v>26</v>
      </c>
      <c r="I72" s="2022"/>
      <c r="J72" s="2022"/>
      <c r="K72" s="2023"/>
      <c r="L72" s="2024" t="s">
        <v>27</v>
      </c>
      <c r="M72" s="2024"/>
      <c r="N72" s="2024"/>
      <c r="O72" s="2021"/>
      <c r="P72" s="2020"/>
      <c r="Q72" s="142"/>
      <c r="R72" s="142"/>
    </row>
    <row r="73" spans="1:18" ht="15.6">
      <c r="A73" s="38"/>
      <c r="B73" s="2025"/>
      <c r="C73" s="2026"/>
      <c r="D73" s="2027"/>
      <c r="E73" s="26"/>
      <c r="F73" s="2025"/>
      <c r="G73" s="2027"/>
      <c r="H73" s="2025"/>
      <c r="I73" s="2026"/>
      <c r="J73" s="2026"/>
      <c r="K73" s="2027"/>
      <c r="L73" s="2025"/>
      <c r="M73" s="2026"/>
      <c r="N73" s="2026"/>
      <c r="O73" s="2026"/>
      <c r="P73" s="2020"/>
      <c r="Q73" s="142"/>
      <c r="R73" s="142"/>
    </row>
    <row r="74" spans="1:18" ht="15.6">
      <c r="A74" s="38"/>
      <c r="B74" s="69"/>
      <c r="C74" s="70"/>
      <c r="D74" s="71"/>
      <c r="E74" s="26"/>
      <c r="F74" s="69"/>
      <c r="G74" s="71"/>
      <c r="H74" s="69"/>
      <c r="I74" s="1856"/>
      <c r="J74" s="70"/>
      <c r="K74" s="204"/>
      <c r="L74" s="279"/>
      <c r="M74" s="70"/>
      <c r="N74" s="70"/>
      <c r="O74" s="70"/>
      <c r="P74" s="2020"/>
      <c r="Q74" s="142"/>
      <c r="R74" s="142"/>
    </row>
    <row r="75" spans="1:18" ht="15.6">
      <c r="A75" s="38" t="s">
        <v>28</v>
      </c>
      <c r="B75" s="2025" t="s">
        <v>71</v>
      </c>
      <c r="C75" s="2026"/>
      <c r="D75" s="2027"/>
      <c r="E75" s="26">
        <v>38</v>
      </c>
      <c r="F75" s="2025">
        <v>9</v>
      </c>
      <c r="G75" s="2027"/>
      <c r="H75" s="2025" t="s">
        <v>49</v>
      </c>
      <c r="I75" s="2026"/>
      <c r="J75" s="2026"/>
      <c r="K75" s="2027"/>
      <c r="L75" s="2025" t="s">
        <v>65</v>
      </c>
      <c r="M75" s="2026"/>
      <c r="N75" s="2026"/>
      <c r="O75" s="2026"/>
      <c r="P75" s="2020"/>
      <c r="Q75" s="142"/>
      <c r="R75" s="142"/>
    </row>
    <row r="76" spans="1:18" ht="15.6">
      <c r="A76" s="38"/>
      <c r="B76" s="69"/>
      <c r="C76" s="70"/>
      <c r="D76" s="71"/>
      <c r="E76" s="26"/>
      <c r="F76" s="69"/>
      <c r="G76" s="71"/>
      <c r="H76" s="69"/>
      <c r="I76" s="1856"/>
      <c r="J76" s="70"/>
      <c r="K76" s="204"/>
      <c r="L76" s="279"/>
      <c r="M76" s="70"/>
      <c r="N76" s="70"/>
      <c r="O76" s="70"/>
      <c r="P76" s="2020"/>
      <c r="Q76" s="142"/>
      <c r="R76" s="142"/>
    </row>
    <row r="77" spans="1:18" ht="15.6">
      <c r="A77" s="38" t="s">
        <v>29</v>
      </c>
      <c r="B77" s="2025" t="s">
        <v>72</v>
      </c>
      <c r="C77" s="2026"/>
      <c r="D77" s="2027"/>
      <c r="E77" s="26">
        <f>23+5</f>
        <v>28</v>
      </c>
      <c r="F77" s="2025">
        <v>9</v>
      </c>
      <c r="G77" s="2027"/>
      <c r="H77" s="2025" t="s">
        <v>60</v>
      </c>
      <c r="I77" s="2026"/>
      <c r="J77" s="2026"/>
      <c r="K77" s="2027"/>
      <c r="L77" s="2025" t="s">
        <v>64</v>
      </c>
      <c r="M77" s="2026"/>
      <c r="N77" s="2026"/>
      <c r="O77" s="2026"/>
      <c r="P77" s="2020"/>
      <c r="Q77" s="142"/>
      <c r="R77" s="142"/>
    </row>
    <row r="78" spans="1:18" ht="15.6">
      <c r="A78" s="38"/>
      <c r="B78" s="2025"/>
      <c r="C78" s="2026"/>
      <c r="D78" s="2027"/>
      <c r="E78" s="26"/>
      <c r="F78" s="2025"/>
      <c r="G78" s="2027"/>
      <c r="H78" s="2025"/>
      <c r="I78" s="2026"/>
      <c r="J78" s="2026"/>
      <c r="K78" s="2027"/>
      <c r="L78" s="2025"/>
      <c r="M78" s="2026"/>
      <c r="N78" s="2026"/>
      <c r="O78" s="2026"/>
      <c r="P78" s="2020"/>
      <c r="Q78" s="142"/>
      <c r="R78" s="142"/>
    </row>
    <row r="79" spans="1:18" ht="15.6">
      <c r="A79" s="38"/>
      <c r="B79" s="82"/>
      <c r="C79" s="83"/>
      <c r="D79" s="84"/>
      <c r="E79" s="26"/>
      <c r="F79" s="82"/>
      <c r="G79" s="84"/>
      <c r="H79" s="82"/>
      <c r="I79" s="1856"/>
      <c r="J79" s="83"/>
      <c r="K79" s="204"/>
      <c r="L79" s="279"/>
      <c r="M79" s="83"/>
      <c r="N79" s="83"/>
      <c r="O79" s="83"/>
      <c r="P79" s="2020"/>
      <c r="Q79" s="142"/>
      <c r="R79" s="142"/>
    </row>
    <row r="80" spans="1:18" ht="15.6">
      <c r="A80" s="38" t="s">
        <v>30</v>
      </c>
      <c r="B80" s="2025" t="s">
        <v>71</v>
      </c>
      <c r="C80" s="2026"/>
      <c r="D80" s="2027"/>
      <c r="E80" s="26">
        <f>+L51-3.537</f>
        <v>33.954077499999997</v>
      </c>
      <c r="F80" s="2025">
        <v>9</v>
      </c>
      <c r="G80" s="2027"/>
      <c r="H80" s="2025" t="s">
        <v>49</v>
      </c>
      <c r="I80" s="2026"/>
      <c r="J80" s="2026"/>
      <c r="K80" s="2027"/>
      <c r="L80" s="2025" t="s">
        <v>77</v>
      </c>
      <c r="M80" s="2026"/>
      <c r="N80" s="2026"/>
      <c r="O80" s="2026"/>
      <c r="P80" s="2020"/>
      <c r="Q80" s="142"/>
      <c r="R80" s="142"/>
    </row>
    <row r="81" spans="1:18" ht="15.6">
      <c r="A81" s="38" t="s">
        <v>46</v>
      </c>
      <c r="B81" s="2025" t="s">
        <v>78</v>
      </c>
      <c r="C81" s="2026"/>
      <c r="D81" s="2027"/>
      <c r="E81" s="26">
        <f>+L65</f>
        <v>33.839999999999996</v>
      </c>
      <c r="F81" s="2025">
        <v>9</v>
      </c>
      <c r="G81" s="2027"/>
      <c r="H81" s="2025" t="s">
        <v>49</v>
      </c>
      <c r="I81" s="2026"/>
      <c r="J81" s="2026"/>
      <c r="K81" s="2027"/>
      <c r="L81" s="2025" t="s">
        <v>77</v>
      </c>
      <c r="M81" s="2026"/>
      <c r="N81" s="2026"/>
      <c r="O81" s="2026"/>
      <c r="P81" s="2020"/>
      <c r="Q81" s="142"/>
      <c r="R81" s="142"/>
    </row>
    <row r="82" spans="1:18" ht="15.6">
      <c r="A82" s="38"/>
      <c r="B82" s="82"/>
      <c r="C82" s="83"/>
      <c r="D82" s="84"/>
      <c r="E82" s="26"/>
      <c r="F82" s="82"/>
      <c r="G82" s="84"/>
      <c r="H82" s="82"/>
      <c r="I82" s="1856"/>
      <c r="J82" s="83"/>
      <c r="K82" s="204"/>
      <c r="L82" s="279"/>
      <c r="M82" s="83"/>
      <c r="N82" s="83"/>
      <c r="O82" s="83"/>
      <c r="P82" s="2020"/>
      <c r="Q82" s="142"/>
      <c r="R82" s="142"/>
    </row>
    <row r="83" spans="1:18" ht="16.2" thickBot="1">
      <c r="A83" s="38"/>
      <c r="B83" s="69"/>
      <c r="C83" s="70"/>
      <c r="D83" s="70"/>
      <c r="E83" s="26"/>
      <c r="F83" s="70"/>
      <c r="G83" s="71"/>
      <c r="H83" s="69"/>
      <c r="I83" s="1856"/>
      <c r="J83" s="70"/>
      <c r="K83" s="204"/>
      <c r="L83" s="39"/>
      <c r="M83" s="40"/>
      <c r="N83" s="40"/>
      <c r="O83" s="40"/>
      <c r="P83" s="2020"/>
      <c r="Q83" s="142"/>
      <c r="R83" s="142"/>
    </row>
    <row r="84" spans="1:18" ht="15.6">
      <c r="A84" s="41"/>
      <c r="B84" s="42"/>
      <c r="C84" s="43"/>
      <c r="D84" s="43"/>
      <c r="E84" s="2028">
        <f>SUM(E73:E83)</f>
        <v>133.79407749999999</v>
      </c>
      <c r="F84" s="44"/>
      <c r="G84" s="45"/>
      <c r="H84" s="46"/>
      <c r="I84" s="1858"/>
      <c r="J84" s="43"/>
      <c r="K84" s="205"/>
      <c r="L84" s="46"/>
      <c r="M84" s="43"/>
      <c r="N84" s="44"/>
      <c r="O84" s="43"/>
      <c r="P84" s="2020"/>
      <c r="Q84" s="142"/>
      <c r="R84" s="142"/>
    </row>
    <row r="85" spans="1:18" ht="16.2" thickBot="1">
      <c r="A85" s="47"/>
      <c r="B85" s="48"/>
      <c r="C85" s="49"/>
      <c r="D85" s="49"/>
      <c r="E85" s="2029"/>
      <c r="F85" s="50"/>
      <c r="G85" s="51"/>
      <c r="H85" s="52"/>
      <c r="I85" s="1860"/>
      <c r="J85" s="49"/>
      <c r="K85" s="206"/>
      <c r="L85" s="52"/>
      <c r="M85" s="49"/>
      <c r="N85" s="50"/>
      <c r="O85" s="49"/>
      <c r="P85" s="2020"/>
      <c r="Q85" s="142"/>
      <c r="R85" s="142"/>
    </row>
    <row r="86" spans="1:18" ht="15.6">
      <c r="A86" s="53" t="s">
        <v>31</v>
      </c>
      <c r="B86" s="43"/>
      <c r="C86" s="43"/>
      <c r="D86" s="43"/>
      <c r="E86" s="43"/>
      <c r="F86" s="44"/>
      <c r="G86" s="43"/>
      <c r="H86" s="44"/>
      <c r="I86" s="1858"/>
      <c r="J86" s="43"/>
      <c r="K86" s="207"/>
      <c r="L86" s="44"/>
      <c r="M86" s="43"/>
      <c r="N86" s="44"/>
      <c r="O86" s="43"/>
      <c r="P86" s="2020"/>
      <c r="Q86" s="142"/>
      <c r="R86" s="142"/>
    </row>
    <row r="87" spans="1:18" ht="15.6">
      <c r="A87" s="54"/>
      <c r="B87" s="55"/>
      <c r="C87" s="55"/>
      <c r="D87" s="55"/>
      <c r="E87" s="55"/>
      <c r="F87" s="68"/>
      <c r="G87" s="55"/>
      <c r="H87" s="68"/>
      <c r="I87" s="1859"/>
      <c r="J87" s="55"/>
      <c r="K87" s="208"/>
      <c r="L87" s="283"/>
      <c r="M87" s="55"/>
      <c r="N87" s="68"/>
      <c r="O87" s="55"/>
      <c r="P87" s="2020"/>
      <c r="Q87" s="142"/>
      <c r="R87" s="142"/>
    </row>
    <row r="88" spans="1:18" ht="16.2" thickBot="1">
      <c r="A88" s="2030" t="s">
        <v>32</v>
      </c>
      <c r="B88" s="2031"/>
      <c r="C88" s="2032" t="s">
        <v>33</v>
      </c>
      <c r="D88" s="2033"/>
      <c r="E88" s="57" t="s">
        <v>34</v>
      </c>
      <c r="F88" s="57" t="s">
        <v>35</v>
      </c>
      <c r="G88" s="2034" t="s">
        <v>36</v>
      </c>
      <c r="H88" s="2035"/>
      <c r="I88" s="2035"/>
      <c r="J88" s="2035"/>
      <c r="K88" s="2035"/>
      <c r="L88" s="2035"/>
      <c r="M88" s="2035"/>
      <c r="N88" s="2035"/>
      <c r="O88" s="2035"/>
      <c r="P88" s="2020"/>
      <c r="Q88" s="142"/>
      <c r="R88" s="142"/>
    </row>
    <row r="89" spans="1:18" ht="15.6">
      <c r="A89" s="2036"/>
      <c r="B89" s="2023"/>
      <c r="C89" s="2021"/>
      <c r="D89" s="2023"/>
      <c r="E89" s="73"/>
      <c r="F89" s="72"/>
      <c r="G89" s="2037"/>
      <c r="H89" s="2038"/>
      <c r="I89" s="2038"/>
      <c r="J89" s="2038"/>
      <c r="K89" s="2038"/>
      <c r="L89" s="2038"/>
      <c r="M89" s="2038"/>
      <c r="N89" s="2038"/>
      <c r="O89" s="2038"/>
      <c r="P89" s="2020"/>
      <c r="Q89" s="142"/>
      <c r="R89" s="142"/>
    </row>
    <row r="90" spans="1:18" ht="15.6">
      <c r="A90" s="2043" t="s">
        <v>37</v>
      </c>
      <c r="B90" s="2044"/>
      <c r="C90" s="2021"/>
      <c r="D90" s="2023"/>
      <c r="E90" s="73"/>
      <c r="F90" s="72"/>
      <c r="G90" s="2039"/>
      <c r="H90" s="2040"/>
      <c r="I90" s="2040"/>
      <c r="J90" s="2040"/>
      <c r="K90" s="2040"/>
      <c r="L90" s="2040"/>
      <c r="M90" s="2040"/>
      <c r="N90" s="2040"/>
      <c r="O90" s="2040"/>
      <c r="P90" s="2020"/>
      <c r="Q90" s="142"/>
      <c r="R90" s="142"/>
    </row>
    <row r="91" spans="1:18" ht="15.6">
      <c r="A91" s="2043" t="s">
        <v>38</v>
      </c>
      <c r="B91" s="2044"/>
      <c r="C91" s="2021"/>
      <c r="D91" s="2023"/>
      <c r="E91" s="73"/>
      <c r="F91" s="72"/>
      <c r="G91" s="2039"/>
      <c r="H91" s="2040"/>
      <c r="I91" s="2040"/>
      <c r="J91" s="2040"/>
      <c r="K91" s="2040"/>
      <c r="L91" s="2040"/>
      <c r="M91" s="2040"/>
      <c r="N91" s="2040"/>
      <c r="O91" s="2040"/>
      <c r="P91" s="2020"/>
      <c r="Q91" s="142"/>
      <c r="R91" s="142"/>
    </row>
    <row r="92" spans="1:18" ht="15.6">
      <c r="A92" s="2043" t="s">
        <v>39</v>
      </c>
      <c r="B92" s="2044"/>
      <c r="C92" s="2021"/>
      <c r="D92" s="2023"/>
      <c r="E92" s="73"/>
      <c r="F92" s="72"/>
      <c r="G92" s="2039"/>
      <c r="H92" s="2040"/>
      <c r="I92" s="2040"/>
      <c r="J92" s="2040"/>
      <c r="K92" s="2040"/>
      <c r="L92" s="2040"/>
      <c r="M92" s="2040"/>
      <c r="N92" s="2040"/>
      <c r="O92" s="2040"/>
      <c r="P92" s="2020"/>
      <c r="Q92" s="142"/>
      <c r="R92" s="142"/>
    </row>
    <row r="93" spans="1:18" ht="15.6">
      <c r="A93" s="2043" t="s">
        <v>40</v>
      </c>
      <c r="B93" s="2044"/>
      <c r="C93" s="2021"/>
      <c r="D93" s="2023"/>
      <c r="E93" s="73"/>
      <c r="F93" s="72"/>
      <c r="G93" s="2039"/>
      <c r="H93" s="2040"/>
      <c r="I93" s="2040"/>
      <c r="J93" s="2040"/>
      <c r="K93" s="2040"/>
      <c r="L93" s="2040"/>
      <c r="M93" s="2040"/>
      <c r="N93" s="2040"/>
      <c r="O93" s="2040"/>
      <c r="P93" s="2020"/>
      <c r="Q93" s="142"/>
      <c r="R93" s="142"/>
    </row>
    <row r="94" spans="1:18" ht="16.2" thickBot="1">
      <c r="A94" s="2049" t="s">
        <v>41</v>
      </c>
      <c r="B94" s="2050"/>
      <c r="C94" s="2051"/>
      <c r="D94" s="2052"/>
      <c r="E94" s="58"/>
      <c r="F94" s="74"/>
      <c r="G94" s="2041"/>
      <c r="H94" s="2042"/>
      <c r="I94" s="2042"/>
      <c r="J94" s="2042"/>
      <c r="K94" s="2042"/>
      <c r="L94" s="2042"/>
      <c r="M94" s="2042"/>
      <c r="N94" s="2042"/>
      <c r="O94" s="2042"/>
      <c r="P94" s="2020"/>
      <c r="Q94" s="142"/>
      <c r="R94" s="142"/>
    </row>
    <row r="95" spans="1:18" ht="15.6">
      <c r="A95" s="54"/>
      <c r="B95" s="55"/>
      <c r="C95" s="55"/>
      <c r="D95" s="55"/>
      <c r="E95" s="55"/>
      <c r="F95" s="68"/>
      <c r="G95" s="55"/>
      <c r="H95" s="59"/>
      <c r="I95" s="60"/>
      <c r="J95" s="61"/>
      <c r="K95" s="209"/>
      <c r="L95" s="301"/>
      <c r="M95" s="55"/>
      <c r="N95" s="68"/>
      <c r="O95" s="55"/>
      <c r="P95" s="2020"/>
      <c r="Q95" s="142"/>
      <c r="R95" s="142"/>
    </row>
    <row r="96" spans="1:18" ht="15.6">
      <c r="A96" s="62" t="s">
        <v>42</v>
      </c>
      <c r="B96" s="56"/>
      <c r="C96" s="55"/>
      <c r="D96" s="55"/>
      <c r="E96" s="55"/>
      <c r="F96" s="68"/>
      <c r="G96" s="56"/>
      <c r="H96" s="59"/>
      <c r="I96" s="60"/>
      <c r="J96" s="61"/>
      <c r="K96" s="208"/>
      <c r="L96" s="302"/>
      <c r="M96" s="55"/>
      <c r="N96" s="2045" t="s">
        <v>43</v>
      </c>
      <c r="O96" s="2045"/>
      <c r="P96" s="2020"/>
      <c r="Q96" s="142"/>
      <c r="R96" s="142"/>
    </row>
    <row r="97" spans="1:19" ht="15.6">
      <c r="A97" s="62"/>
      <c r="B97" s="56"/>
      <c r="C97" s="55"/>
      <c r="D97" s="55"/>
      <c r="E97" s="55"/>
      <c r="F97" s="68"/>
      <c r="G97" s="55"/>
      <c r="H97" s="68"/>
      <c r="I97" s="1859"/>
      <c r="J97" s="55"/>
      <c r="K97" s="208"/>
      <c r="L97" s="283"/>
      <c r="M97" s="55"/>
      <c r="N97" s="68"/>
      <c r="O97" s="56"/>
      <c r="P97" s="2020"/>
      <c r="Q97" s="142"/>
      <c r="R97" s="142"/>
    </row>
    <row r="98" spans="1:19" ht="15.6">
      <c r="A98" s="62" t="s">
        <v>44</v>
      </c>
      <c r="B98" s="56"/>
      <c r="C98" s="55"/>
      <c r="D98" s="55"/>
      <c r="E98" s="55"/>
      <c r="F98" s="68"/>
      <c r="G98" s="55"/>
      <c r="H98" s="68"/>
      <c r="I98" s="1859"/>
      <c r="J98" s="55"/>
      <c r="K98" s="208"/>
      <c r="L98" s="283"/>
      <c r="M98" s="55"/>
      <c r="N98" s="2045" t="s">
        <v>45</v>
      </c>
      <c r="O98" s="2045"/>
      <c r="P98" s="2020"/>
      <c r="Q98" s="142"/>
      <c r="R98" s="142"/>
    </row>
    <row r="99" spans="1:19" ht="16.2" thickBot="1">
      <c r="A99" s="48"/>
      <c r="B99" s="49"/>
      <c r="C99" s="49"/>
      <c r="D99" s="49"/>
      <c r="E99" s="49"/>
      <c r="F99" s="50"/>
      <c r="G99" s="49"/>
      <c r="H99" s="50"/>
      <c r="I99" s="1860"/>
      <c r="J99" s="49"/>
      <c r="K99" s="210"/>
      <c r="L99" s="50"/>
      <c r="M99" s="49"/>
      <c r="N99" s="50"/>
      <c r="O99" s="49"/>
      <c r="P99" s="2020"/>
      <c r="Q99" s="142"/>
      <c r="R99" s="142"/>
    </row>
    <row r="102" spans="1:19">
      <c r="A102" s="1" t="s">
        <v>48</v>
      </c>
      <c r="B102" s="1"/>
      <c r="C102" s="2"/>
      <c r="D102" s="2"/>
      <c r="E102" s="2"/>
      <c r="F102" s="3"/>
      <c r="G102" s="2"/>
      <c r="H102" s="2"/>
      <c r="I102" s="4"/>
      <c r="J102" s="5"/>
      <c r="K102" s="196"/>
      <c r="L102" s="2056" t="s">
        <v>0</v>
      </c>
      <c r="M102" s="2056"/>
      <c r="N102" s="2056"/>
      <c r="O102" s="2056"/>
      <c r="P102" s="64"/>
      <c r="Q102" s="64"/>
      <c r="R102" s="64"/>
    </row>
    <row r="103" spans="1:19" ht="15.6">
      <c r="A103" s="27" t="s">
        <v>1</v>
      </c>
      <c r="B103" s="27"/>
      <c r="C103" s="27"/>
      <c r="D103" s="28" t="s">
        <v>2</v>
      </c>
      <c r="E103" s="28"/>
      <c r="F103" s="29"/>
      <c r="G103" s="29"/>
      <c r="H103" s="29"/>
      <c r="I103" s="30"/>
      <c r="J103" s="31"/>
      <c r="K103" s="197" t="s">
        <v>3</v>
      </c>
      <c r="L103" s="31"/>
      <c r="M103" s="27"/>
      <c r="N103" s="29"/>
      <c r="O103" s="27"/>
      <c r="P103" s="67"/>
      <c r="Q103" s="1039"/>
      <c r="R103" s="1039"/>
    </row>
    <row r="104" spans="1:19" ht="31.2">
      <c r="A104" s="32" t="s">
        <v>4</v>
      </c>
      <c r="B104" s="32" t="s">
        <v>5</v>
      </c>
      <c r="C104" s="32" t="s">
        <v>6</v>
      </c>
      <c r="D104" s="32" t="s">
        <v>7</v>
      </c>
      <c r="E104" s="32" t="s">
        <v>8</v>
      </c>
      <c r="F104" s="33" t="s">
        <v>9</v>
      </c>
      <c r="G104" s="34" t="s">
        <v>10</v>
      </c>
      <c r="H104" s="34" t="s">
        <v>11</v>
      </c>
      <c r="I104" s="35" t="s">
        <v>12</v>
      </c>
      <c r="J104" s="36" t="s">
        <v>13</v>
      </c>
      <c r="K104" s="198" t="s">
        <v>14</v>
      </c>
      <c r="L104" s="297" t="s">
        <v>15</v>
      </c>
      <c r="M104" s="33" t="s">
        <v>16</v>
      </c>
      <c r="N104" s="33" t="s">
        <v>17</v>
      </c>
      <c r="O104" s="34" t="s">
        <v>18</v>
      </c>
      <c r="P104" s="8" t="s">
        <v>50</v>
      </c>
      <c r="Q104" s="1040"/>
      <c r="R104" s="1040"/>
    </row>
    <row r="105" spans="1:19" ht="15.6">
      <c r="A105" s="21" t="s">
        <v>83</v>
      </c>
      <c r="B105" s="21" t="s">
        <v>82</v>
      </c>
      <c r="C105" s="21" t="s">
        <v>19</v>
      </c>
      <c r="D105" s="21" t="s">
        <v>20</v>
      </c>
      <c r="E105" s="63" t="s">
        <v>51</v>
      </c>
      <c r="F105" s="22">
        <v>11</v>
      </c>
      <c r="G105" s="20" t="s">
        <v>21</v>
      </c>
      <c r="H105" s="143" t="s">
        <v>54</v>
      </c>
      <c r="I105" s="115">
        <v>9.61</v>
      </c>
      <c r="J105" s="23">
        <v>7.85</v>
      </c>
      <c r="K105" s="154">
        <v>160</v>
      </c>
      <c r="L105" s="130">
        <f>(I105*J105*K105/1000)</f>
        <v>12.070159999999998</v>
      </c>
      <c r="M105" s="20">
        <f>9+1</f>
        <v>10</v>
      </c>
      <c r="N105" s="23">
        <f>J105*M105*I105/1000</f>
        <v>0.75438499999999997</v>
      </c>
      <c r="O105" s="20"/>
      <c r="P105" s="2066" t="s">
        <v>109</v>
      </c>
      <c r="Q105" s="1044"/>
      <c r="R105" s="1044"/>
      <c r="S105" t="s">
        <v>160</v>
      </c>
    </row>
    <row r="106" spans="1:19" ht="15.6">
      <c r="A106" s="20"/>
      <c r="B106" s="21" t="s">
        <v>84</v>
      </c>
      <c r="C106" s="20"/>
      <c r="D106" s="20"/>
      <c r="E106" s="20"/>
      <c r="F106" s="20"/>
      <c r="G106" s="20" t="s">
        <v>21</v>
      </c>
      <c r="H106" s="20" t="s">
        <v>54</v>
      </c>
      <c r="I106" s="115">
        <v>9.61</v>
      </c>
      <c r="J106" s="23">
        <v>9.85</v>
      </c>
      <c r="K106" s="154">
        <v>29</v>
      </c>
      <c r="L106" s="130">
        <f>(I106*J106*K106/1000)</f>
        <v>2.7450964999999998</v>
      </c>
      <c r="M106" s="20"/>
      <c r="N106" s="20"/>
      <c r="O106" s="20"/>
      <c r="P106" s="2067"/>
      <c r="Q106" s="1044"/>
      <c r="R106" s="1044"/>
    </row>
    <row r="107" spans="1:19" ht="15.6">
      <c r="A107" s="20"/>
      <c r="B107" s="20"/>
      <c r="C107" s="20"/>
      <c r="D107" s="20"/>
      <c r="E107" s="20"/>
      <c r="F107" s="20"/>
      <c r="G107" s="20" t="s">
        <v>21</v>
      </c>
      <c r="H107" s="20" t="s">
        <v>54</v>
      </c>
      <c r="I107" s="115">
        <v>9.61</v>
      </c>
      <c r="J107" s="23">
        <v>10.5</v>
      </c>
      <c r="K107" s="154">
        <v>160</v>
      </c>
      <c r="L107" s="130">
        <f>(I107*J107*K107/1000)</f>
        <v>16.1448</v>
      </c>
      <c r="M107" s="20">
        <f>3+3</f>
        <v>6</v>
      </c>
      <c r="N107" s="23">
        <f>J107*M107*I107/1000</f>
        <v>0.60542999999999991</v>
      </c>
      <c r="O107" s="20"/>
      <c r="P107" s="2067"/>
      <c r="Q107" s="1044"/>
      <c r="R107" s="1044"/>
    </row>
    <row r="108" spans="1:19" ht="15.6">
      <c r="A108" s="20"/>
      <c r="B108" s="20"/>
      <c r="C108" s="20"/>
      <c r="D108" s="20"/>
      <c r="E108" s="20"/>
      <c r="F108" s="20"/>
      <c r="G108" s="20"/>
      <c r="H108" s="20"/>
      <c r="I108" s="115"/>
      <c r="J108" s="24"/>
      <c r="K108" s="154">
        <f t="shared" ref="K108" si="10">SUM(K105:K107)</f>
        <v>349</v>
      </c>
      <c r="L108" s="128">
        <f>SUM(L105:L107)</f>
        <v>30.960056499999997</v>
      </c>
      <c r="M108" s="25">
        <f>SUM(M105:M107)</f>
        <v>16</v>
      </c>
      <c r="N108" s="23">
        <f>SUM(N105:N107)</f>
        <v>1.3598149999999998</v>
      </c>
      <c r="O108" s="20"/>
      <c r="P108" s="2067"/>
      <c r="Q108" s="1044"/>
      <c r="R108" s="1044"/>
    </row>
    <row r="109" spans="1:19" ht="15.6">
      <c r="A109" s="20"/>
      <c r="B109" s="20"/>
      <c r="C109" s="20"/>
      <c r="D109" s="20"/>
      <c r="E109" s="20"/>
      <c r="F109" s="20"/>
      <c r="G109" s="20"/>
      <c r="H109" s="20"/>
      <c r="I109" s="131"/>
      <c r="J109" s="20"/>
      <c r="K109" s="211"/>
      <c r="L109" s="131"/>
      <c r="M109" s="20"/>
      <c r="N109" s="20"/>
      <c r="O109" s="20"/>
      <c r="P109" s="2067"/>
      <c r="Q109" s="1044"/>
      <c r="R109" s="1044"/>
    </row>
    <row r="110" spans="1:19" ht="15.6">
      <c r="A110" s="21" t="s">
        <v>83</v>
      </c>
      <c r="B110" s="21" t="s">
        <v>85</v>
      </c>
      <c r="C110" s="21" t="s">
        <v>19</v>
      </c>
      <c r="D110" s="21" t="s">
        <v>20</v>
      </c>
      <c r="E110" s="63" t="s">
        <v>51</v>
      </c>
      <c r="F110" s="22">
        <v>11</v>
      </c>
      <c r="G110" s="20" t="s">
        <v>21</v>
      </c>
      <c r="H110" s="143" t="s">
        <v>54</v>
      </c>
      <c r="I110" s="115">
        <v>9.61</v>
      </c>
      <c r="J110" s="23">
        <v>10</v>
      </c>
      <c r="K110" s="154">
        <v>29</v>
      </c>
      <c r="L110" s="130">
        <f>(I110*J110*K110/1000)</f>
        <v>2.7868999999999997</v>
      </c>
      <c r="M110" s="20"/>
      <c r="N110" s="23">
        <f>J110*M110*I110/1000</f>
        <v>0</v>
      </c>
      <c r="O110" s="20"/>
      <c r="P110" s="2067"/>
      <c r="Q110" s="1044"/>
      <c r="R110" s="1044"/>
      <c r="S110" t="s">
        <v>160</v>
      </c>
    </row>
    <row r="111" spans="1:19" ht="15.6">
      <c r="A111" s="20"/>
      <c r="B111" s="21" t="s">
        <v>52</v>
      </c>
      <c r="C111" s="20"/>
      <c r="D111" s="20"/>
      <c r="E111" s="20"/>
      <c r="F111" s="20"/>
      <c r="G111" s="20" t="s">
        <v>21</v>
      </c>
      <c r="H111" s="20" t="s">
        <v>54</v>
      </c>
      <c r="I111" s="115">
        <v>9.61</v>
      </c>
      <c r="J111" s="23">
        <v>11.5</v>
      </c>
      <c r="K111" s="154">
        <v>27</v>
      </c>
      <c r="L111" s="130">
        <f>(I111*J111*K111/1000)</f>
        <v>2.9839049999999996</v>
      </c>
      <c r="M111" s="20">
        <v>8</v>
      </c>
      <c r="N111" s="23">
        <f>J111*M111*I111/1000</f>
        <v>0.88411999999999991</v>
      </c>
      <c r="O111" s="20"/>
      <c r="P111" s="2067"/>
      <c r="Q111" s="1044"/>
      <c r="R111" s="1044"/>
    </row>
    <row r="112" spans="1:19" ht="15.6">
      <c r="A112" s="20"/>
      <c r="B112" s="20"/>
      <c r="C112" s="20"/>
      <c r="D112" s="20"/>
      <c r="E112" s="20"/>
      <c r="F112" s="20"/>
      <c r="G112" s="20" t="s">
        <v>21</v>
      </c>
      <c r="H112" s="20" t="s">
        <v>54</v>
      </c>
      <c r="I112" s="115">
        <v>9.61</v>
      </c>
      <c r="J112" s="23">
        <v>12</v>
      </c>
      <c r="K112" s="154">
        <v>23</v>
      </c>
      <c r="L112" s="130">
        <f>(I112*J112*K112/1000)</f>
        <v>2.6523599999999998</v>
      </c>
      <c r="M112" s="20"/>
      <c r="N112" s="23">
        <f>J112*M112*I112/1000</f>
        <v>0</v>
      </c>
      <c r="O112" s="20"/>
      <c r="P112" s="2067"/>
      <c r="Q112" s="1044"/>
      <c r="R112" s="1044"/>
    </row>
    <row r="113" spans="1:20" ht="15.6">
      <c r="A113" s="20"/>
      <c r="B113" s="20"/>
      <c r="C113" s="20"/>
      <c r="D113" s="20"/>
      <c r="E113" s="20"/>
      <c r="F113" s="20"/>
      <c r="G113" s="20"/>
      <c r="H113" s="20"/>
      <c r="I113" s="115"/>
      <c r="J113" s="23"/>
      <c r="K113" s="154">
        <f t="shared" ref="K113" si="11">SUM(K110:K112)</f>
        <v>79</v>
      </c>
      <c r="L113" s="128">
        <f>SUM(L110:L112)</f>
        <v>8.4231649999999991</v>
      </c>
      <c r="M113" s="25">
        <f>SUM(M110:M112)</f>
        <v>8</v>
      </c>
      <c r="N113" s="23">
        <f>SUM(N110:N112)</f>
        <v>0.88411999999999991</v>
      </c>
      <c r="O113" s="20"/>
      <c r="P113" s="2068"/>
      <c r="Q113" s="1044"/>
      <c r="R113" s="1044"/>
    </row>
    <row r="114" spans="1:20" ht="15.6">
      <c r="A114" s="20"/>
      <c r="B114" s="20"/>
      <c r="C114" s="20"/>
      <c r="D114" s="20"/>
      <c r="E114" s="20"/>
      <c r="F114" s="20"/>
      <c r="G114" s="20"/>
      <c r="H114" s="20"/>
      <c r="I114" s="115"/>
      <c r="J114" s="23"/>
      <c r="K114" s="154"/>
      <c r="L114" s="128">
        <f>+L113+L108</f>
        <v>39.383221499999998</v>
      </c>
      <c r="M114" s="25">
        <f>+M113+M108</f>
        <v>24</v>
      </c>
      <c r="N114" s="23">
        <f>+N113+N108</f>
        <v>2.2439349999999996</v>
      </c>
      <c r="O114" s="20"/>
      <c r="P114" s="20"/>
      <c r="Q114" s="155"/>
      <c r="R114" s="155"/>
    </row>
    <row r="115" spans="1:20" ht="15.6">
      <c r="A115" s="20"/>
      <c r="B115" s="20"/>
      <c r="C115" s="20"/>
      <c r="D115" s="20"/>
      <c r="E115" s="20"/>
      <c r="F115" s="20"/>
      <c r="G115" s="20"/>
      <c r="H115" s="20"/>
      <c r="I115" s="115"/>
      <c r="J115" s="23"/>
      <c r="K115" s="154"/>
      <c r="L115" s="128"/>
      <c r="M115" s="20"/>
      <c r="N115" s="20"/>
      <c r="O115" s="20"/>
      <c r="P115" s="20"/>
      <c r="Q115" s="155"/>
      <c r="R115" s="155"/>
    </row>
    <row r="116" spans="1:20" ht="15.6">
      <c r="A116" s="20"/>
      <c r="B116" s="20"/>
      <c r="C116" s="20"/>
      <c r="D116" s="20"/>
      <c r="E116" s="20"/>
      <c r="F116" s="20"/>
      <c r="G116" s="20"/>
      <c r="H116" s="20"/>
      <c r="I116" s="115"/>
      <c r="J116" s="23"/>
      <c r="K116" s="154"/>
      <c r="L116" s="128"/>
      <c r="M116" s="20"/>
      <c r="N116" s="20"/>
      <c r="O116" s="20"/>
      <c r="P116" s="20"/>
      <c r="Q116" s="155"/>
      <c r="R116" s="155"/>
    </row>
    <row r="117" spans="1:20" ht="15.6">
      <c r="A117" s="21" t="s">
        <v>83</v>
      </c>
      <c r="B117" s="21" t="s">
        <v>82</v>
      </c>
      <c r="C117" s="21" t="s">
        <v>19</v>
      </c>
      <c r="D117" s="21" t="s">
        <v>20</v>
      </c>
      <c r="E117" s="63" t="s">
        <v>51</v>
      </c>
      <c r="F117" s="22">
        <v>11</v>
      </c>
      <c r="G117" s="20" t="s">
        <v>21</v>
      </c>
      <c r="H117" s="143" t="s">
        <v>53</v>
      </c>
      <c r="I117" s="115">
        <v>8.3000000000000007</v>
      </c>
      <c r="J117" s="23">
        <v>10</v>
      </c>
      <c r="K117" s="154">
        <v>225</v>
      </c>
      <c r="L117" s="130">
        <f t="shared" ref="L117:L122" si="12">(I117*J117*K117/1000)</f>
        <v>18.675000000000001</v>
      </c>
      <c r="M117" s="20">
        <f>3+12</f>
        <v>15</v>
      </c>
      <c r="N117" s="23">
        <f t="shared" ref="N117:N122" si="13">J117*M117*I117/1000</f>
        <v>1.2450000000000001</v>
      </c>
      <c r="O117" s="20"/>
      <c r="P117" s="2066" t="s">
        <v>108</v>
      </c>
      <c r="Q117" s="1044"/>
      <c r="R117" s="1044"/>
      <c r="S117">
        <f>25+25+25</f>
        <v>75</v>
      </c>
      <c r="T117">
        <f>J117*S117*I117/1000</f>
        <v>6.2250000000000005</v>
      </c>
    </row>
    <row r="118" spans="1:20" ht="15.6">
      <c r="A118" s="20"/>
      <c r="B118" s="21" t="s">
        <v>84</v>
      </c>
      <c r="C118" s="20"/>
      <c r="D118" s="20"/>
      <c r="E118" s="20"/>
      <c r="F118" s="20"/>
      <c r="G118" s="20" t="s">
        <v>21</v>
      </c>
      <c r="H118" s="20" t="s">
        <v>53</v>
      </c>
      <c r="I118" s="115">
        <v>8.3000000000000007</v>
      </c>
      <c r="J118" s="23">
        <v>10.1</v>
      </c>
      <c r="K118" s="154">
        <v>33</v>
      </c>
      <c r="L118" s="130">
        <f t="shared" si="12"/>
        <v>2.7663899999999999</v>
      </c>
      <c r="M118" s="20">
        <v>1</v>
      </c>
      <c r="N118" s="23">
        <f t="shared" si="13"/>
        <v>8.3830000000000002E-2</v>
      </c>
      <c r="O118" s="20"/>
      <c r="P118" s="2067"/>
      <c r="Q118" s="1044"/>
      <c r="R118" s="1044"/>
      <c r="S118" t="s">
        <v>160</v>
      </c>
    </row>
    <row r="119" spans="1:20" ht="15.6">
      <c r="A119" s="20"/>
      <c r="B119" s="20"/>
      <c r="C119" s="20"/>
      <c r="D119" s="20"/>
      <c r="E119" s="20"/>
      <c r="F119" s="20"/>
      <c r="G119" s="20" t="s">
        <v>21</v>
      </c>
      <c r="H119" s="20" t="s">
        <v>53</v>
      </c>
      <c r="I119" s="115">
        <v>8.3000000000000007</v>
      </c>
      <c r="J119" s="23">
        <v>10.5</v>
      </c>
      <c r="K119" s="154">
        <v>100</v>
      </c>
      <c r="L119" s="130">
        <f t="shared" si="12"/>
        <v>8.7149999999999999</v>
      </c>
      <c r="M119" s="20">
        <f>1+1</f>
        <v>2</v>
      </c>
      <c r="N119" s="23">
        <f t="shared" si="13"/>
        <v>0.17430000000000001</v>
      </c>
      <c r="O119" s="20"/>
      <c r="P119" s="2067"/>
      <c r="Q119" s="1044"/>
      <c r="R119" s="1044"/>
      <c r="S119">
        <v>25</v>
      </c>
      <c r="T119" s="126">
        <f>J119*S119*I119/1000</f>
        <v>2.17875</v>
      </c>
    </row>
    <row r="120" spans="1:20" ht="15.6">
      <c r="A120" s="20"/>
      <c r="B120" s="20"/>
      <c r="C120" s="20"/>
      <c r="D120" s="20"/>
      <c r="E120" s="20"/>
      <c r="F120" s="20"/>
      <c r="G120" s="20" t="s">
        <v>21</v>
      </c>
      <c r="H120" s="20" t="s">
        <v>53</v>
      </c>
      <c r="I120" s="115">
        <v>8.3000000000000007</v>
      </c>
      <c r="J120" s="23">
        <v>11</v>
      </c>
      <c r="K120" s="154">
        <v>76</v>
      </c>
      <c r="L120" s="130">
        <f t="shared" si="12"/>
        <v>6.9388000000000014</v>
      </c>
      <c r="M120" s="20">
        <v>1</v>
      </c>
      <c r="N120" s="23">
        <f t="shared" si="13"/>
        <v>9.1300000000000006E-2</v>
      </c>
      <c r="O120" s="20"/>
      <c r="P120" s="2067"/>
      <c r="Q120" s="1044"/>
      <c r="R120" s="1044"/>
      <c r="S120">
        <f>27+25+25</f>
        <v>77</v>
      </c>
      <c r="T120" s="126">
        <f>J120*S120*I120/1000</f>
        <v>7.0301</v>
      </c>
    </row>
    <row r="121" spans="1:20" ht="15.6">
      <c r="A121" s="20"/>
      <c r="B121" s="20"/>
      <c r="C121" s="20"/>
      <c r="D121" s="20"/>
      <c r="E121" s="20"/>
      <c r="F121" s="20"/>
      <c r="G121" s="20" t="s">
        <v>21</v>
      </c>
      <c r="H121" s="20" t="s">
        <v>53</v>
      </c>
      <c r="I121" s="115">
        <v>8.3000000000000007</v>
      </c>
      <c r="J121" s="23">
        <v>11.5</v>
      </c>
      <c r="K121" s="154">
        <v>265</v>
      </c>
      <c r="L121" s="130">
        <f t="shared" si="12"/>
        <v>25.294250000000002</v>
      </c>
      <c r="M121" s="20">
        <v>2</v>
      </c>
      <c r="N121" s="23">
        <f t="shared" si="13"/>
        <v>0.19090000000000001</v>
      </c>
      <c r="O121" s="20"/>
      <c r="P121" s="2067"/>
      <c r="Q121" s="1044"/>
      <c r="R121" s="1044"/>
      <c r="S121">
        <f>28+25</f>
        <v>53</v>
      </c>
      <c r="T121" s="126">
        <f>J121*S121*I121/1000</f>
        <v>5.0588500000000005</v>
      </c>
    </row>
    <row r="122" spans="1:20" ht="15.6">
      <c r="A122" s="20"/>
      <c r="B122" s="20"/>
      <c r="C122" s="20"/>
      <c r="D122" s="20"/>
      <c r="E122" s="20"/>
      <c r="F122" s="20"/>
      <c r="G122" s="20" t="s">
        <v>21</v>
      </c>
      <c r="H122" s="20" t="s">
        <v>53</v>
      </c>
      <c r="I122" s="115">
        <v>8.3000000000000007</v>
      </c>
      <c r="J122" s="23">
        <v>12</v>
      </c>
      <c r="K122" s="154">
        <v>269</v>
      </c>
      <c r="L122" s="130">
        <f t="shared" si="12"/>
        <v>26.792400000000001</v>
      </c>
      <c r="M122" s="20">
        <f>3+1+10</f>
        <v>14</v>
      </c>
      <c r="N122" s="23">
        <f t="shared" si="13"/>
        <v>1.3944000000000001</v>
      </c>
      <c r="O122" s="20"/>
      <c r="P122" s="2067"/>
      <c r="Q122" s="1044"/>
      <c r="R122" s="1044"/>
      <c r="S122">
        <f>25+25+25+25</f>
        <v>100</v>
      </c>
      <c r="T122" s="126">
        <f>J122*S122*I122/1000</f>
        <v>9.9600000000000009</v>
      </c>
    </row>
    <row r="123" spans="1:20" ht="15.6">
      <c r="A123" s="20"/>
      <c r="B123" s="20"/>
      <c r="C123" s="20"/>
      <c r="D123" s="20"/>
      <c r="E123" s="20"/>
      <c r="F123" s="20"/>
      <c r="G123" s="20"/>
      <c r="H123" s="20"/>
      <c r="I123" s="115"/>
      <c r="J123" s="24"/>
      <c r="K123" s="154">
        <f t="shared" ref="K123:M123" si="14">SUM(K117:K122)</f>
        <v>968</v>
      </c>
      <c r="L123" s="128">
        <f>SUM(L117:L122)</f>
        <v>89.181840000000008</v>
      </c>
      <c r="M123" s="25">
        <f t="shared" si="14"/>
        <v>35</v>
      </c>
      <c r="N123" s="23">
        <f>SUM(N117:N122)</f>
        <v>3.1797300000000002</v>
      </c>
      <c r="O123" s="20"/>
      <c r="P123" s="2067"/>
      <c r="Q123" s="1036"/>
      <c r="R123" s="1036"/>
      <c r="S123" s="25">
        <f>SUM(S117:S122)</f>
        <v>330</v>
      </c>
      <c r="T123" s="23">
        <f>SUM(T117:T122)</f>
        <v>30.4527</v>
      </c>
    </row>
    <row r="124" spans="1:20" ht="15.6">
      <c r="A124" s="20"/>
      <c r="B124" s="20"/>
      <c r="C124" s="20"/>
      <c r="D124" s="20"/>
      <c r="E124" s="20"/>
      <c r="F124" s="20"/>
      <c r="G124" s="20"/>
      <c r="H124" s="20"/>
      <c r="I124" s="115"/>
      <c r="J124" s="24"/>
      <c r="K124" s="154"/>
      <c r="L124" s="128"/>
      <c r="M124" s="20"/>
      <c r="N124" s="20"/>
      <c r="O124" s="20"/>
      <c r="P124" s="2067"/>
      <c r="Q124" s="1044"/>
      <c r="R124" s="1044"/>
    </row>
    <row r="125" spans="1:20" ht="15.6">
      <c r="A125" s="21" t="s">
        <v>83</v>
      </c>
      <c r="B125" s="21" t="s">
        <v>85</v>
      </c>
      <c r="C125" s="21" t="s">
        <v>19</v>
      </c>
      <c r="D125" s="21" t="s">
        <v>20</v>
      </c>
      <c r="E125" s="63" t="s">
        <v>51</v>
      </c>
      <c r="F125" s="22">
        <v>11</v>
      </c>
      <c r="G125" s="20" t="s">
        <v>21</v>
      </c>
      <c r="H125" s="143" t="s">
        <v>53</v>
      </c>
      <c r="I125" s="115">
        <v>8.3000000000000007</v>
      </c>
      <c r="J125" s="23">
        <v>10</v>
      </c>
      <c r="K125" s="154">
        <v>47</v>
      </c>
      <c r="L125" s="130">
        <f t="shared" ref="L125:L129" si="15">(I125*J125*K125/1000)</f>
        <v>3.9009999999999998</v>
      </c>
      <c r="M125" s="20"/>
      <c r="N125" s="20"/>
      <c r="O125" s="20"/>
      <c r="P125" s="2067"/>
      <c r="Q125" s="1044"/>
      <c r="R125" s="1044"/>
      <c r="S125" t="s">
        <v>165</v>
      </c>
    </row>
    <row r="126" spans="1:20" ht="15.6">
      <c r="A126" s="20"/>
      <c r="B126" s="21" t="s">
        <v>52</v>
      </c>
      <c r="C126" s="20"/>
      <c r="D126" s="20"/>
      <c r="E126" s="20"/>
      <c r="F126" s="20"/>
      <c r="G126" s="20" t="s">
        <v>21</v>
      </c>
      <c r="H126" s="20" t="s">
        <v>53</v>
      </c>
      <c r="I126" s="115">
        <v>8.3000000000000007</v>
      </c>
      <c r="J126" s="23">
        <v>10.5</v>
      </c>
      <c r="K126" s="154">
        <v>4</v>
      </c>
      <c r="L126" s="130">
        <f t="shared" si="15"/>
        <v>0.34860000000000002</v>
      </c>
      <c r="M126" s="20"/>
      <c r="N126" s="20"/>
      <c r="O126" s="20"/>
      <c r="P126" s="2067"/>
      <c r="Q126" s="1044"/>
      <c r="R126" s="1044"/>
    </row>
    <row r="127" spans="1:20" ht="15.6">
      <c r="A127" s="20"/>
      <c r="B127" s="20"/>
      <c r="C127" s="20"/>
      <c r="D127" s="20"/>
      <c r="E127" s="20"/>
      <c r="F127" s="20"/>
      <c r="G127" s="20" t="s">
        <v>21</v>
      </c>
      <c r="H127" s="20" t="s">
        <v>53</v>
      </c>
      <c r="I127" s="115">
        <v>8.3000000000000007</v>
      </c>
      <c r="J127" s="23">
        <v>11</v>
      </c>
      <c r="K127" s="154">
        <v>35</v>
      </c>
      <c r="L127" s="130">
        <f t="shared" si="15"/>
        <v>3.1955000000000005</v>
      </c>
      <c r="M127" s="20"/>
      <c r="N127" s="20"/>
      <c r="O127" s="20"/>
      <c r="P127" s="2067"/>
      <c r="Q127" s="1044"/>
      <c r="R127" s="1044"/>
    </row>
    <row r="128" spans="1:20" ht="15.6">
      <c r="A128" s="20"/>
      <c r="B128" s="20"/>
      <c r="C128" s="20"/>
      <c r="D128" s="20"/>
      <c r="E128" s="20"/>
      <c r="F128" s="20"/>
      <c r="G128" s="20" t="s">
        <v>21</v>
      </c>
      <c r="H128" s="20" t="s">
        <v>53</v>
      </c>
      <c r="I128" s="115">
        <v>8.3000000000000007</v>
      </c>
      <c r="J128" s="23">
        <v>11.5</v>
      </c>
      <c r="K128" s="154">
        <v>41</v>
      </c>
      <c r="L128" s="130">
        <f t="shared" si="15"/>
        <v>3.9134500000000001</v>
      </c>
      <c r="M128" s="20"/>
      <c r="N128" s="20"/>
      <c r="O128" s="20"/>
      <c r="P128" s="2067"/>
      <c r="Q128" s="1044"/>
      <c r="R128" s="1044"/>
    </row>
    <row r="129" spans="1:20" ht="15.6">
      <c r="A129" s="20"/>
      <c r="B129" s="20"/>
      <c r="C129" s="20"/>
      <c r="D129" s="20"/>
      <c r="E129" s="20"/>
      <c r="F129" s="20"/>
      <c r="G129" s="20" t="s">
        <v>21</v>
      </c>
      <c r="H129" s="20" t="s">
        <v>53</v>
      </c>
      <c r="I129" s="115">
        <v>8.3000000000000007</v>
      </c>
      <c r="J129" s="23">
        <v>12</v>
      </c>
      <c r="K129" s="154">
        <v>32</v>
      </c>
      <c r="L129" s="130">
        <f t="shared" si="15"/>
        <v>3.1872000000000003</v>
      </c>
      <c r="M129" s="20"/>
      <c r="N129" s="20"/>
      <c r="O129" s="20"/>
      <c r="P129" s="2067"/>
      <c r="Q129" s="1044"/>
      <c r="R129" s="1044"/>
    </row>
    <row r="130" spans="1:20" ht="15.6">
      <c r="A130" s="20"/>
      <c r="B130" s="20"/>
      <c r="C130" s="20"/>
      <c r="D130" s="20"/>
      <c r="E130" s="20"/>
      <c r="F130" s="20"/>
      <c r="G130" s="20"/>
      <c r="H130" s="20"/>
      <c r="I130" s="115"/>
      <c r="J130" s="23"/>
      <c r="K130" s="154">
        <f t="shared" ref="K130" si="16">SUM(K125:K129)</f>
        <v>159</v>
      </c>
      <c r="L130" s="128">
        <f>SUM(L125:L129)</f>
        <v>14.545750000000002</v>
      </c>
      <c r="M130" s="20"/>
      <c r="N130" s="20"/>
      <c r="O130" s="20"/>
      <c r="P130" s="2068"/>
      <c r="Q130" s="1044"/>
      <c r="R130" s="1044"/>
    </row>
    <row r="131" spans="1:20" ht="15.6">
      <c r="A131" s="20"/>
      <c r="B131" s="20"/>
      <c r="C131" s="20"/>
      <c r="D131" s="20"/>
      <c r="E131" s="20"/>
      <c r="F131" s="20"/>
      <c r="G131" s="20"/>
      <c r="H131" s="20"/>
      <c r="I131" s="115"/>
      <c r="J131" s="23"/>
      <c r="K131" s="154"/>
      <c r="L131" s="128">
        <f>+L130+L123</f>
        <v>103.72759000000001</v>
      </c>
      <c r="M131" s="25">
        <f>+M130+M123</f>
        <v>35</v>
      </c>
      <c r="N131" s="23">
        <f>+N130+N123</f>
        <v>3.1797300000000002</v>
      </c>
      <c r="O131" s="20"/>
      <c r="P131" s="20"/>
      <c r="Q131" s="155"/>
      <c r="R131" s="155"/>
    </row>
    <row r="132" spans="1:20" ht="15.6">
      <c r="A132" s="20"/>
      <c r="B132" s="20"/>
      <c r="C132" s="20"/>
      <c r="D132" s="20"/>
      <c r="E132" s="20"/>
      <c r="F132" s="20"/>
      <c r="G132" s="20"/>
      <c r="H132" s="20"/>
      <c r="I132" s="115"/>
      <c r="J132" s="23"/>
      <c r="K132" s="154"/>
      <c r="L132" s="128"/>
      <c r="M132" s="20"/>
      <c r="N132" s="20"/>
      <c r="O132" s="20"/>
      <c r="P132" s="20"/>
      <c r="Q132" s="155"/>
      <c r="R132" s="155"/>
    </row>
    <row r="133" spans="1:20" ht="15.6">
      <c r="A133" s="20"/>
      <c r="B133" s="20"/>
      <c r="C133" s="20"/>
      <c r="D133" s="20"/>
      <c r="E133" s="20"/>
      <c r="F133" s="20"/>
      <c r="G133" s="20"/>
      <c r="H133" s="20"/>
      <c r="I133" s="115"/>
      <c r="J133" s="23"/>
      <c r="K133" s="154"/>
      <c r="L133" s="128"/>
      <c r="M133" s="20"/>
      <c r="N133" s="20"/>
      <c r="O133" s="20"/>
      <c r="P133" s="20"/>
      <c r="Q133" s="155"/>
      <c r="R133" s="155"/>
    </row>
    <row r="134" spans="1:20" ht="15.6">
      <c r="A134" s="21" t="s">
        <v>83</v>
      </c>
      <c r="B134" s="21" t="s">
        <v>82</v>
      </c>
      <c r="C134" s="21" t="s">
        <v>19</v>
      </c>
      <c r="D134" s="21" t="s">
        <v>20</v>
      </c>
      <c r="E134" s="63" t="s">
        <v>51</v>
      </c>
      <c r="F134" s="22">
        <v>11</v>
      </c>
      <c r="G134" s="20" t="s">
        <v>21</v>
      </c>
      <c r="H134" s="143" t="s">
        <v>91</v>
      </c>
      <c r="I134" s="115">
        <v>6.97</v>
      </c>
      <c r="J134" s="23">
        <v>6.4</v>
      </c>
      <c r="K134" s="154">
        <v>160</v>
      </c>
      <c r="L134" s="130">
        <f t="shared" ref="L134:L139" si="17">(I134*J134*K134/1000)</f>
        <v>7.1372800000000005</v>
      </c>
      <c r="M134" s="20"/>
      <c r="N134" s="20"/>
      <c r="O134" s="20"/>
      <c r="P134" s="2066" t="s">
        <v>107</v>
      </c>
      <c r="Q134" s="1044"/>
      <c r="R134" s="1044"/>
      <c r="S134">
        <f>39+11</f>
        <v>50</v>
      </c>
      <c r="T134" s="126">
        <f>J134*S134*I134/1000</f>
        <v>2.2303999999999999</v>
      </c>
    </row>
    <row r="135" spans="1:20" ht="15.6">
      <c r="A135" s="20"/>
      <c r="B135" s="21" t="s">
        <v>84</v>
      </c>
      <c r="C135" s="20"/>
      <c r="D135" s="20"/>
      <c r="E135" s="20"/>
      <c r="F135" s="20"/>
      <c r="G135" s="20" t="s">
        <v>21</v>
      </c>
      <c r="H135" s="20" t="s">
        <v>91</v>
      </c>
      <c r="I135" s="115">
        <v>6.97</v>
      </c>
      <c r="J135" s="23">
        <v>6.85</v>
      </c>
      <c r="K135" s="154">
        <v>80</v>
      </c>
      <c r="L135" s="130">
        <f t="shared" si="17"/>
        <v>3.8195599999999996</v>
      </c>
      <c r="M135" s="20">
        <v>1</v>
      </c>
      <c r="N135" s="23">
        <f t="shared" ref="N135:N136" si="18">J135*M135*I135/1000</f>
        <v>4.7744499999999995E-2</v>
      </c>
      <c r="O135" s="20"/>
      <c r="P135" s="2067"/>
      <c r="Q135" s="1044"/>
      <c r="R135" s="1044"/>
      <c r="S135">
        <f>40+13</f>
        <v>53</v>
      </c>
      <c r="T135" s="126">
        <f>J135*S135*I135/1000</f>
        <v>2.5304584999999999</v>
      </c>
    </row>
    <row r="136" spans="1:20" ht="15.6">
      <c r="A136" s="20"/>
      <c r="B136" s="20"/>
      <c r="C136" s="20"/>
      <c r="D136" s="20"/>
      <c r="E136" s="20"/>
      <c r="F136" s="20"/>
      <c r="G136" s="20" t="s">
        <v>21</v>
      </c>
      <c r="H136" s="20" t="s">
        <v>91</v>
      </c>
      <c r="I136" s="115">
        <v>6.97</v>
      </c>
      <c r="J136" s="23">
        <v>8.6</v>
      </c>
      <c r="K136" s="154">
        <v>28</v>
      </c>
      <c r="L136" s="130">
        <f t="shared" si="17"/>
        <v>1.6783759999999996</v>
      </c>
      <c r="M136" s="20">
        <v>1</v>
      </c>
      <c r="N136" s="23">
        <f t="shared" si="18"/>
        <v>5.9941999999999995E-2</v>
      </c>
      <c r="O136" s="20"/>
      <c r="P136" s="2067"/>
      <c r="Q136" s="1044"/>
      <c r="R136" s="1044"/>
      <c r="S136" t="s">
        <v>165</v>
      </c>
    </row>
    <row r="137" spans="1:20" ht="15.6">
      <c r="A137" s="20"/>
      <c r="B137" s="20"/>
      <c r="C137" s="20"/>
      <c r="D137" s="20"/>
      <c r="E137" s="20"/>
      <c r="F137" s="20"/>
      <c r="G137" s="20" t="s">
        <v>21</v>
      </c>
      <c r="H137" s="20" t="s">
        <v>91</v>
      </c>
      <c r="I137" s="115">
        <v>6.97</v>
      </c>
      <c r="J137" s="23">
        <v>10.15</v>
      </c>
      <c r="K137" s="154">
        <v>168</v>
      </c>
      <c r="L137" s="130">
        <f t="shared" si="17"/>
        <v>11.885244</v>
      </c>
      <c r="M137" s="20"/>
      <c r="N137" s="20"/>
      <c r="O137" s="20"/>
      <c r="P137" s="2067"/>
      <c r="Q137" s="1044"/>
      <c r="R137" s="1044"/>
      <c r="S137">
        <v>31</v>
      </c>
      <c r="T137" s="126">
        <f>J137*S137*I137/1000</f>
        <v>2.1931105000000004</v>
      </c>
    </row>
    <row r="138" spans="1:20" ht="15.6">
      <c r="A138" s="20"/>
      <c r="B138" s="20"/>
      <c r="C138" s="20"/>
      <c r="D138" s="20"/>
      <c r="E138" s="20"/>
      <c r="F138" s="20"/>
      <c r="G138" s="20" t="s">
        <v>21</v>
      </c>
      <c r="H138" s="20" t="s">
        <v>91</v>
      </c>
      <c r="I138" s="115">
        <v>6.97</v>
      </c>
      <c r="J138" s="23">
        <v>10.35</v>
      </c>
      <c r="K138" s="154">
        <v>40</v>
      </c>
      <c r="L138" s="130">
        <f t="shared" si="17"/>
        <v>2.88558</v>
      </c>
      <c r="M138" s="20"/>
      <c r="N138" s="20"/>
      <c r="O138" s="20"/>
      <c r="P138" s="2067"/>
      <c r="Q138" s="1044"/>
      <c r="R138" s="1044"/>
      <c r="S138">
        <f>22+10+1</f>
        <v>33</v>
      </c>
      <c r="T138" s="126">
        <f>J138*S138*I138/1000</f>
        <v>2.3806035000000003</v>
      </c>
    </row>
    <row r="139" spans="1:20" ht="15.6">
      <c r="A139" s="20"/>
      <c r="B139" s="20"/>
      <c r="C139" s="20"/>
      <c r="D139" s="20"/>
      <c r="E139" s="20"/>
      <c r="F139" s="20"/>
      <c r="G139" s="20" t="s">
        <v>21</v>
      </c>
      <c r="H139" s="20" t="s">
        <v>91</v>
      </c>
      <c r="I139" s="115">
        <v>6.97</v>
      </c>
      <c r="J139" s="23">
        <v>11.25</v>
      </c>
      <c r="K139" s="154">
        <v>80</v>
      </c>
      <c r="L139" s="130">
        <f t="shared" si="17"/>
        <v>6.2729999999999997</v>
      </c>
      <c r="M139" s="20">
        <v>1</v>
      </c>
      <c r="N139" s="23">
        <f>J139*M139*I139/1000</f>
        <v>7.8412499999999996E-2</v>
      </c>
      <c r="O139" s="20"/>
      <c r="P139" s="2067"/>
      <c r="Q139" s="1044"/>
      <c r="R139" s="1044"/>
      <c r="S139">
        <f>22+7+1</f>
        <v>30</v>
      </c>
      <c r="T139" s="126">
        <f>J139*S139*I139/1000</f>
        <v>2.3523749999999999</v>
      </c>
    </row>
    <row r="140" spans="1:20" ht="15.6">
      <c r="A140" s="20"/>
      <c r="B140" s="20"/>
      <c r="C140" s="20"/>
      <c r="D140" s="20"/>
      <c r="E140" s="20"/>
      <c r="F140" s="20"/>
      <c r="G140" s="20"/>
      <c r="H140" s="20"/>
      <c r="I140" s="115"/>
      <c r="J140" s="24"/>
      <c r="K140" s="154">
        <f t="shared" ref="K140:M140" si="19">SUM(K134:K139)</f>
        <v>556</v>
      </c>
      <c r="L140" s="128">
        <f>SUM(L134:L139)</f>
        <v>33.679040000000001</v>
      </c>
      <c r="M140" s="25">
        <f t="shared" si="19"/>
        <v>3</v>
      </c>
      <c r="N140" s="23">
        <f>SUM(N134:N139)</f>
        <v>0.18609899999999999</v>
      </c>
      <c r="O140" s="20"/>
      <c r="P140" s="2068"/>
      <c r="Q140" s="1037"/>
      <c r="R140" s="1037"/>
      <c r="S140" s="25">
        <f>SUM(S134:S139)</f>
        <v>197</v>
      </c>
      <c r="T140" s="23">
        <f>SUM(T134:T139)</f>
        <v>11.6869475</v>
      </c>
    </row>
    <row r="141" spans="1:20" ht="15.6">
      <c r="A141" s="20"/>
      <c r="B141" s="20"/>
      <c r="C141" s="20"/>
      <c r="D141" s="20"/>
      <c r="E141" s="20"/>
      <c r="F141" s="20"/>
      <c r="G141" s="20"/>
      <c r="H141" s="20"/>
      <c r="I141" s="115"/>
      <c r="J141" s="24"/>
      <c r="K141" s="154"/>
      <c r="L141" s="128"/>
      <c r="M141" s="20"/>
      <c r="N141" s="20"/>
      <c r="O141" s="20"/>
      <c r="P141" s="20"/>
      <c r="Q141" s="155"/>
      <c r="R141" s="155"/>
    </row>
    <row r="142" spans="1:20" ht="15.6">
      <c r="A142" s="20"/>
      <c r="B142" s="20"/>
      <c r="C142" s="20"/>
      <c r="D142" s="20"/>
      <c r="E142" s="20"/>
      <c r="F142" s="20"/>
      <c r="G142" s="20"/>
      <c r="H142" s="20"/>
      <c r="I142" s="115"/>
      <c r="J142" s="24"/>
      <c r="K142" s="154"/>
      <c r="L142" s="128"/>
      <c r="M142" s="20"/>
      <c r="N142" s="20"/>
      <c r="O142" s="20"/>
      <c r="P142" s="20"/>
      <c r="Q142" s="155"/>
      <c r="R142" s="155"/>
    </row>
    <row r="143" spans="1:20" ht="15.6">
      <c r="A143" s="21" t="s">
        <v>83</v>
      </c>
      <c r="B143" s="21" t="s">
        <v>89</v>
      </c>
      <c r="C143" s="21" t="s">
        <v>19</v>
      </c>
      <c r="D143" s="21" t="s">
        <v>60</v>
      </c>
      <c r="E143" s="21" t="s">
        <v>90</v>
      </c>
      <c r="F143" s="22">
        <v>11</v>
      </c>
      <c r="G143" s="20" t="s">
        <v>61</v>
      </c>
      <c r="H143" s="143" t="s">
        <v>53</v>
      </c>
      <c r="I143" s="131">
        <v>8.3000000000000007</v>
      </c>
      <c r="J143" s="23">
        <v>12</v>
      </c>
      <c r="K143" s="154">
        <v>19</v>
      </c>
      <c r="L143" s="130">
        <f>(I143*J143*K143/1000)</f>
        <v>1.8924000000000001</v>
      </c>
      <c r="M143" s="20">
        <v>19</v>
      </c>
      <c r="N143" s="23">
        <f>J143*M143*I143/1000</f>
        <v>1.8924000000000001</v>
      </c>
      <c r="O143" s="20"/>
      <c r="P143" s="2066" t="s">
        <v>106</v>
      </c>
      <c r="Q143" s="1044"/>
      <c r="R143" s="1044"/>
      <c r="S143" t="s">
        <v>160</v>
      </c>
    </row>
    <row r="144" spans="1:20" ht="15.6">
      <c r="A144" s="20"/>
      <c r="B144" s="21" t="s">
        <v>88</v>
      </c>
      <c r="C144" s="37"/>
      <c r="D144" s="37"/>
      <c r="E144" s="37"/>
      <c r="F144" s="37"/>
      <c r="G144" s="20"/>
      <c r="H144" s="20"/>
      <c r="I144" s="115"/>
      <c r="J144" s="23"/>
      <c r="K144" s="154">
        <f t="shared" ref="K144:N144" si="20">SUM(K143)</f>
        <v>19</v>
      </c>
      <c r="L144" s="130">
        <f t="shared" si="20"/>
        <v>1.8924000000000001</v>
      </c>
      <c r="M144" s="25">
        <f t="shared" si="20"/>
        <v>19</v>
      </c>
      <c r="N144" s="100">
        <f t="shared" si="20"/>
        <v>1.8924000000000001</v>
      </c>
      <c r="O144" s="20"/>
      <c r="P144" s="2067"/>
      <c r="Q144" s="1044"/>
      <c r="R144" s="1044"/>
    </row>
    <row r="145" spans="1:19" ht="15.6">
      <c r="A145" s="20"/>
      <c r="B145" s="20"/>
      <c r="C145" s="20"/>
      <c r="D145" s="20"/>
      <c r="E145" s="20"/>
      <c r="F145" s="20"/>
      <c r="G145" s="20"/>
      <c r="H145" s="20"/>
      <c r="I145" s="131"/>
      <c r="J145" s="20"/>
      <c r="K145" s="211"/>
      <c r="L145" s="131"/>
      <c r="M145" s="20"/>
      <c r="N145" s="20"/>
      <c r="O145" s="20"/>
      <c r="P145" s="2067"/>
      <c r="Q145" s="1044"/>
      <c r="R145" s="1044"/>
    </row>
    <row r="146" spans="1:19" ht="15.6">
      <c r="A146" s="21" t="s">
        <v>83</v>
      </c>
      <c r="B146" s="21" t="s">
        <v>82</v>
      </c>
      <c r="C146" s="21" t="s">
        <v>19</v>
      </c>
      <c r="D146" s="21" t="s">
        <v>60</v>
      </c>
      <c r="E146" s="21" t="s">
        <v>90</v>
      </c>
      <c r="F146" s="22">
        <v>11</v>
      </c>
      <c r="G146" s="20" t="s">
        <v>61</v>
      </c>
      <c r="H146" s="143" t="s">
        <v>53</v>
      </c>
      <c r="I146" s="115">
        <v>8.3000000000000007</v>
      </c>
      <c r="J146" s="23">
        <v>11.65</v>
      </c>
      <c r="K146" s="154">
        <v>10</v>
      </c>
      <c r="L146" s="130">
        <f>(I146*J146*K146/1000)</f>
        <v>0.96695000000000009</v>
      </c>
      <c r="M146" s="20">
        <f>8+2</f>
        <v>10</v>
      </c>
      <c r="N146" s="23">
        <f>J146*M146*I146/1000</f>
        <v>0.96695000000000009</v>
      </c>
      <c r="O146" s="20"/>
      <c r="P146" s="2067"/>
      <c r="Q146" s="1044"/>
      <c r="R146" s="1044"/>
      <c r="S146" t="s">
        <v>160</v>
      </c>
    </row>
    <row r="147" spans="1:19" ht="15.6">
      <c r="A147" s="20"/>
      <c r="B147" s="21" t="s">
        <v>84</v>
      </c>
      <c r="C147" s="37"/>
      <c r="D147" s="37"/>
      <c r="E147" s="37"/>
      <c r="F147" s="37"/>
      <c r="G147" s="20"/>
      <c r="H147" s="20"/>
      <c r="I147" s="131"/>
      <c r="J147" s="24"/>
      <c r="K147" s="154">
        <f t="shared" ref="K147" si="21">SUM(K146)</f>
        <v>10</v>
      </c>
      <c r="L147" s="128">
        <f>SUM(L146)</f>
        <v>0.96695000000000009</v>
      </c>
      <c r="M147" s="25">
        <f>SUM(M146)</f>
        <v>10</v>
      </c>
      <c r="N147" s="23">
        <f>SUM(N146)</f>
        <v>0.96695000000000009</v>
      </c>
      <c r="O147" s="20"/>
      <c r="P147" s="2068"/>
      <c r="Q147" s="1044"/>
      <c r="R147" s="1044"/>
    </row>
    <row r="148" spans="1:19" ht="15.6">
      <c r="A148" s="20"/>
      <c r="B148" s="20"/>
      <c r="C148" s="20"/>
      <c r="D148" s="20"/>
      <c r="E148" s="20"/>
      <c r="F148" s="20"/>
      <c r="G148" s="20"/>
      <c r="H148" s="20"/>
      <c r="I148" s="131"/>
      <c r="J148" s="20"/>
      <c r="K148" s="211"/>
      <c r="L148" s="131"/>
      <c r="M148" s="20"/>
      <c r="N148" s="20"/>
      <c r="O148" s="20"/>
      <c r="P148" s="20"/>
      <c r="Q148" s="155"/>
      <c r="R148" s="155"/>
    </row>
    <row r="149" spans="1:19" ht="15.6">
      <c r="A149" s="21" t="s">
        <v>83</v>
      </c>
      <c r="B149" s="21" t="s">
        <v>85</v>
      </c>
      <c r="C149" s="21" t="s">
        <v>19</v>
      </c>
      <c r="D149" s="21" t="s">
        <v>60</v>
      </c>
      <c r="E149" s="21" t="s">
        <v>62</v>
      </c>
      <c r="F149" s="22">
        <v>11</v>
      </c>
      <c r="G149" s="20" t="s">
        <v>61</v>
      </c>
      <c r="H149" s="143" t="s">
        <v>53</v>
      </c>
      <c r="I149" s="115">
        <v>8.3000000000000007</v>
      </c>
      <c r="J149" s="23">
        <v>12</v>
      </c>
      <c r="K149" s="154">
        <v>20</v>
      </c>
      <c r="L149" s="130">
        <f>(I149*J149*K149/1000)</f>
        <v>1.9920000000000002</v>
      </c>
      <c r="M149" s="20">
        <v>20</v>
      </c>
      <c r="N149" s="23">
        <f>J149*M149*I149/1000</f>
        <v>1.9920000000000002</v>
      </c>
      <c r="O149" s="20"/>
      <c r="P149" s="20" t="s">
        <v>105</v>
      </c>
      <c r="Q149" s="155"/>
      <c r="R149" s="155"/>
      <c r="S149" t="s">
        <v>160</v>
      </c>
    </row>
    <row r="150" spans="1:19" ht="15.6">
      <c r="A150" s="20"/>
      <c r="B150" s="21" t="s">
        <v>52</v>
      </c>
      <c r="C150" s="20"/>
      <c r="D150" s="20"/>
      <c r="E150" s="20"/>
      <c r="F150" s="20"/>
      <c r="G150" s="20"/>
      <c r="H150" s="20"/>
      <c r="I150" s="115"/>
      <c r="J150" s="23"/>
      <c r="K150" s="154">
        <f t="shared" ref="K150:M150" si="22">SUM(K149)</f>
        <v>20</v>
      </c>
      <c r="L150" s="128">
        <f>SUM(L149)</f>
        <v>1.9920000000000002</v>
      </c>
      <c r="M150" s="25">
        <f t="shared" si="22"/>
        <v>20</v>
      </c>
      <c r="N150" s="23">
        <f>SUM(N149)</f>
        <v>1.9920000000000002</v>
      </c>
      <c r="O150" s="20"/>
      <c r="P150" s="20"/>
      <c r="Q150" s="155"/>
      <c r="R150" s="155"/>
    </row>
    <row r="151" spans="1:19" ht="15.6">
      <c r="A151" s="20"/>
      <c r="B151" s="21"/>
      <c r="C151" s="20"/>
      <c r="D151" s="20"/>
      <c r="E151" s="20"/>
      <c r="F151" s="20"/>
      <c r="G151" s="20"/>
      <c r="H151" s="20"/>
      <c r="I151" s="115"/>
      <c r="J151" s="23"/>
      <c r="K151" s="154"/>
      <c r="L151" s="128">
        <f>+L150+L147+L144</f>
        <v>4.8513500000000001</v>
      </c>
      <c r="M151" s="25">
        <f t="shared" ref="M151:N151" si="23">+M150+M147+M144</f>
        <v>49</v>
      </c>
      <c r="N151" s="23">
        <f t="shared" si="23"/>
        <v>4.8513500000000001</v>
      </c>
      <c r="O151" s="20"/>
      <c r="P151" s="20"/>
      <c r="Q151" s="155"/>
      <c r="R151" s="155"/>
    </row>
    <row r="152" spans="1:19" ht="15.6">
      <c r="A152" s="20"/>
      <c r="B152" s="21"/>
      <c r="C152" s="20"/>
      <c r="D152" s="20"/>
      <c r="E152" s="20"/>
      <c r="F152" s="20"/>
      <c r="G152" s="20"/>
      <c r="H152" s="20"/>
      <c r="I152" s="115"/>
      <c r="J152" s="23"/>
      <c r="K152" s="154"/>
      <c r="L152" s="128"/>
      <c r="M152" s="20"/>
      <c r="N152" s="20"/>
      <c r="O152" s="20"/>
      <c r="P152" s="20"/>
      <c r="Q152" s="155"/>
      <c r="R152" s="155"/>
    </row>
    <row r="153" spans="1:19" ht="15.6">
      <c r="A153" s="21" t="s">
        <v>83</v>
      </c>
      <c r="B153" s="21" t="s">
        <v>85</v>
      </c>
      <c r="C153" s="21" t="s">
        <v>19</v>
      </c>
      <c r="D153" s="21" t="s">
        <v>60</v>
      </c>
      <c r="E153" s="21" t="s">
        <v>62</v>
      </c>
      <c r="F153" s="22">
        <v>11</v>
      </c>
      <c r="G153" s="20" t="s">
        <v>61</v>
      </c>
      <c r="H153" s="143" t="s">
        <v>54</v>
      </c>
      <c r="I153" s="115">
        <v>9.61</v>
      </c>
      <c r="J153" s="23">
        <v>11.6</v>
      </c>
      <c r="K153" s="154">
        <v>10</v>
      </c>
      <c r="L153" s="130">
        <f>(I153*J153*K153/1000)</f>
        <v>1.1147599999999998</v>
      </c>
      <c r="M153" s="20">
        <v>10</v>
      </c>
      <c r="N153" s="23">
        <f>J153*M153*I153/1000</f>
        <v>1.11476</v>
      </c>
      <c r="O153" s="20"/>
      <c r="P153" s="20" t="s">
        <v>110</v>
      </c>
      <c r="Q153" s="155"/>
      <c r="R153" s="155"/>
      <c r="S153" t="s">
        <v>160</v>
      </c>
    </row>
    <row r="154" spans="1:19" ht="15.6">
      <c r="A154" s="20"/>
      <c r="B154" s="21" t="s">
        <v>52</v>
      </c>
      <c r="C154" s="20"/>
      <c r="D154" s="20"/>
      <c r="E154" s="20"/>
      <c r="F154" s="20"/>
      <c r="G154" s="20"/>
      <c r="H154" s="20"/>
      <c r="I154" s="115"/>
      <c r="J154" s="23"/>
      <c r="K154" s="154">
        <f t="shared" ref="K154:M154" si="24">SUM(K153)</f>
        <v>10</v>
      </c>
      <c r="L154" s="128">
        <f>SUM(L153)</f>
        <v>1.1147599999999998</v>
      </c>
      <c r="M154" s="25">
        <f t="shared" si="24"/>
        <v>10</v>
      </c>
      <c r="N154" s="23">
        <f>SUM(N153)</f>
        <v>1.11476</v>
      </c>
      <c r="O154" s="20"/>
      <c r="P154" s="20"/>
      <c r="Q154" s="155"/>
      <c r="R154" s="155"/>
    </row>
    <row r="155" spans="1:19" ht="15.6">
      <c r="A155" s="20"/>
      <c r="B155" s="20"/>
      <c r="C155" s="20"/>
      <c r="D155" s="20"/>
      <c r="E155" s="20"/>
      <c r="F155" s="20"/>
      <c r="G155" s="20"/>
      <c r="H155" s="20"/>
      <c r="I155" s="131"/>
      <c r="J155" s="20"/>
      <c r="K155" s="211"/>
      <c r="L155" s="131"/>
      <c r="M155" s="20"/>
      <c r="N155" s="20"/>
      <c r="O155" s="20"/>
      <c r="P155" s="20"/>
      <c r="Q155" s="155"/>
      <c r="R155" s="155"/>
    </row>
    <row r="156" spans="1:19" ht="15.6">
      <c r="A156" s="20"/>
      <c r="B156" s="20"/>
      <c r="C156" s="20"/>
      <c r="D156" s="20"/>
      <c r="E156" s="20"/>
      <c r="F156" s="20"/>
      <c r="G156" s="20"/>
      <c r="H156" s="20"/>
      <c r="I156" s="131"/>
      <c r="J156" s="20"/>
      <c r="K156" s="211"/>
      <c r="L156" s="128">
        <f>+L154+L151+L140+L131+L114</f>
        <v>182.75596150000001</v>
      </c>
      <c r="M156" s="20"/>
      <c r="N156" s="23">
        <f>+N154+N151+N140+N131+N114</f>
        <v>11.575873999999999</v>
      </c>
      <c r="O156" s="20"/>
      <c r="P156" s="20"/>
      <c r="Q156" s="155"/>
      <c r="R156" s="155"/>
    </row>
    <row r="157" spans="1:19">
      <c r="A157" s="10" t="s">
        <v>48</v>
      </c>
      <c r="B157" s="10"/>
      <c r="C157" s="11"/>
      <c r="D157" s="11"/>
      <c r="E157" s="11"/>
      <c r="F157" s="92"/>
      <c r="G157" s="11"/>
      <c r="H157" s="92"/>
      <c r="I157" s="13"/>
      <c r="J157" s="11"/>
      <c r="K157" s="202"/>
      <c r="L157" s="2047" t="s">
        <v>0</v>
      </c>
      <c r="M157" s="2047"/>
      <c r="N157" s="2047"/>
      <c r="O157" s="2048"/>
      <c r="P157" s="2020"/>
      <c r="Q157" s="142"/>
      <c r="R157" s="142"/>
    </row>
    <row r="158" spans="1:19">
      <c r="A158" s="14" t="s">
        <v>1</v>
      </c>
      <c r="B158" s="14"/>
      <c r="C158" s="14"/>
      <c r="D158" s="15" t="s">
        <v>2</v>
      </c>
      <c r="E158" s="15"/>
      <c r="F158" s="16"/>
      <c r="G158" s="16"/>
      <c r="H158" s="16"/>
      <c r="I158" s="17"/>
      <c r="J158" s="16"/>
      <c r="K158" s="203" t="s">
        <v>3</v>
      </c>
      <c r="L158" s="16"/>
      <c r="M158" s="14"/>
      <c r="N158" s="16"/>
      <c r="O158" s="19"/>
      <c r="P158" s="2020"/>
      <c r="Q158" s="142"/>
      <c r="R158" s="142"/>
    </row>
    <row r="159" spans="1:19" ht="15.6">
      <c r="A159" s="89" t="s">
        <v>22</v>
      </c>
      <c r="B159" s="2021" t="s">
        <v>23</v>
      </c>
      <c r="C159" s="2022"/>
      <c r="D159" s="2023"/>
      <c r="E159" s="89" t="s">
        <v>24</v>
      </c>
      <c r="F159" s="2021" t="s">
        <v>25</v>
      </c>
      <c r="G159" s="2023"/>
      <c r="H159" s="2021" t="s">
        <v>26</v>
      </c>
      <c r="I159" s="2022"/>
      <c r="J159" s="2022"/>
      <c r="K159" s="2023"/>
      <c r="L159" s="2024" t="s">
        <v>27</v>
      </c>
      <c r="M159" s="2024"/>
      <c r="N159" s="2024"/>
      <c r="O159" s="2021"/>
      <c r="P159" s="2020"/>
      <c r="Q159" s="142"/>
      <c r="R159" s="142"/>
    </row>
    <row r="160" spans="1:19" ht="15.6">
      <c r="A160" s="38"/>
      <c r="B160" s="2025"/>
      <c r="C160" s="2026"/>
      <c r="D160" s="2027"/>
      <c r="E160" s="26"/>
      <c r="F160" s="2025"/>
      <c r="G160" s="2027"/>
      <c r="H160" s="2025"/>
      <c r="I160" s="2026"/>
      <c r="J160" s="2026"/>
      <c r="K160" s="2027"/>
      <c r="L160" s="2025"/>
      <c r="M160" s="2026"/>
      <c r="N160" s="2026"/>
      <c r="O160" s="2026"/>
      <c r="P160" s="2020"/>
      <c r="Q160" s="142"/>
      <c r="R160" s="142"/>
    </row>
    <row r="161" spans="1:18" ht="15.6">
      <c r="A161" s="38"/>
      <c r="B161" s="85"/>
      <c r="C161" s="87"/>
      <c r="D161" s="86"/>
      <c r="E161" s="26"/>
      <c r="F161" s="85"/>
      <c r="G161" s="86"/>
      <c r="H161" s="85"/>
      <c r="I161" s="1856"/>
      <c r="J161" s="87"/>
      <c r="K161" s="204"/>
      <c r="L161" s="279"/>
      <c r="M161" s="87"/>
      <c r="N161" s="87"/>
      <c r="O161" s="87"/>
      <c r="P161" s="2020"/>
      <c r="Q161" s="142"/>
      <c r="R161" s="142"/>
    </row>
    <row r="162" spans="1:18" ht="15.6">
      <c r="A162" s="38" t="s">
        <v>28</v>
      </c>
      <c r="B162" s="2025" t="s">
        <v>56</v>
      </c>
      <c r="C162" s="2026"/>
      <c r="D162" s="2027"/>
      <c r="E162" s="26">
        <f>+L114-2.244</f>
        <v>37.139221499999998</v>
      </c>
      <c r="F162" s="2025">
        <v>11</v>
      </c>
      <c r="G162" s="2027"/>
      <c r="H162" s="2025" t="s">
        <v>49</v>
      </c>
      <c r="I162" s="2026"/>
      <c r="J162" s="2026"/>
      <c r="K162" s="2027"/>
      <c r="L162" s="2025" t="s">
        <v>80</v>
      </c>
      <c r="M162" s="2026"/>
      <c r="N162" s="2026"/>
      <c r="O162" s="2026"/>
      <c r="P162" s="2020"/>
      <c r="Q162" s="142"/>
      <c r="R162" s="142"/>
    </row>
    <row r="163" spans="1:18" ht="15.6">
      <c r="A163" s="38" t="s">
        <v>29</v>
      </c>
      <c r="B163" s="2025" t="s">
        <v>55</v>
      </c>
      <c r="C163" s="2026"/>
      <c r="D163" s="2027"/>
      <c r="E163" s="26">
        <f>+L131-3.18</f>
        <v>100.54759</v>
      </c>
      <c r="F163" s="2025">
        <v>11</v>
      </c>
      <c r="G163" s="2027"/>
      <c r="H163" s="2025" t="s">
        <v>49</v>
      </c>
      <c r="I163" s="2026"/>
      <c r="J163" s="2026"/>
      <c r="K163" s="2027"/>
      <c r="L163" s="2025" t="s">
        <v>80</v>
      </c>
      <c r="M163" s="2026"/>
      <c r="N163" s="2026"/>
      <c r="O163" s="2026"/>
      <c r="P163" s="2020"/>
      <c r="Q163" s="142"/>
      <c r="R163" s="142"/>
    </row>
    <row r="164" spans="1:18" ht="15.6">
      <c r="A164" s="38" t="s">
        <v>30</v>
      </c>
      <c r="B164" s="2025" t="s">
        <v>79</v>
      </c>
      <c r="C164" s="2026"/>
      <c r="D164" s="2027"/>
      <c r="E164" s="26">
        <f>+L140-0.186</f>
        <v>33.493040000000001</v>
      </c>
      <c r="F164" s="2025">
        <v>11</v>
      </c>
      <c r="G164" s="2027"/>
      <c r="H164" s="2025" t="s">
        <v>49</v>
      </c>
      <c r="I164" s="2026"/>
      <c r="J164" s="2026"/>
      <c r="K164" s="2027"/>
      <c r="L164" s="2025" t="s">
        <v>80</v>
      </c>
      <c r="M164" s="2026"/>
      <c r="N164" s="2026"/>
      <c r="O164" s="2026"/>
      <c r="P164" s="2020"/>
      <c r="Q164" s="142"/>
      <c r="R164" s="142"/>
    </row>
    <row r="165" spans="1:18" ht="15.6">
      <c r="A165" s="38"/>
      <c r="B165" s="2025"/>
      <c r="C165" s="2026"/>
      <c r="D165" s="2027"/>
      <c r="E165" s="26"/>
      <c r="F165" s="2025"/>
      <c r="G165" s="2027"/>
      <c r="H165" s="2025"/>
      <c r="I165" s="2026"/>
      <c r="J165" s="2026"/>
      <c r="K165" s="2027"/>
      <c r="L165" s="2025"/>
      <c r="M165" s="2026"/>
      <c r="N165" s="2026"/>
      <c r="O165" s="2026"/>
      <c r="P165" s="2020"/>
      <c r="Q165" s="142"/>
      <c r="R165" s="142"/>
    </row>
    <row r="166" spans="1:18" ht="15.6">
      <c r="A166" s="38"/>
      <c r="B166" s="85"/>
      <c r="C166" s="87"/>
      <c r="D166" s="86"/>
      <c r="E166" s="26"/>
      <c r="F166" s="85"/>
      <c r="G166" s="86"/>
      <c r="H166" s="85"/>
      <c r="I166" s="1856"/>
      <c r="J166" s="87"/>
      <c r="K166" s="204"/>
      <c r="L166" s="279"/>
      <c r="M166" s="87"/>
      <c r="N166" s="87"/>
      <c r="O166" s="87"/>
      <c r="P166" s="2020"/>
      <c r="Q166" s="142"/>
      <c r="R166" s="142"/>
    </row>
    <row r="167" spans="1:18" ht="16.2" thickBot="1">
      <c r="A167" s="38"/>
      <c r="B167" s="85"/>
      <c r="C167" s="87"/>
      <c r="D167" s="87"/>
      <c r="E167" s="26"/>
      <c r="F167" s="87"/>
      <c r="G167" s="86"/>
      <c r="H167" s="85"/>
      <c r="I167" s="1856"/>
      <c r="J167" s="87"/>
      <c r="K167" s="204"/>
      <c r="L167" s="39"/>
      <c r="M167" s="40"/>
      <c r="N167" s="40"/>
      <c r="O167" s="40"/>
      <c r="P167" s="2020"/>
      <c r="Q167" s="142"/>
      <c r="R167" s="142"/>
    </row>
    <row r="168" spans="1:18" ht="15.6">
      <c r="A168" s="41"/>
      <c r="B168" s="42"/>
      <c r="C168" s="43"/>
      <c r="D168" s="43"/>
      <c r="E168" s="2028">
        <f>SUM(E160:E167)</f>
        <v>171.17985150000001</v>
      </c>
      <c r="F168" s="44"/>
      <c r="G168" s="45"/>
      <c r="H168" s="46"/>
      <c r="I168" s="1858"/>
      <c r="J168" s="43"/>
      <c r="K168" s="205"/>
      <c r="L168" s="46"/>
      <c r="M168" s="43"/>
      <c r="N168" s="44"/>
      <c r="O168" s="43"/>
      <c r="P168" s="2020"/>
      <c r="Q168" s="142"/>
      <c r="R168" s="142"/>
    </row>
    <row r="169" spans="1:18" ht="16.2" thickBot="1">
      <c r="A169" s="47"/>
      <c r="B169" s="48"/>
      <c r="C169" s="49"/>
      <c r="D169" s="49"/>
      <c r="E169" s="2029"/>
      <c r="F169" s="50"/>
      <c r="G169" s="51"/>
      <c r="H169" s="52"/>
      <c r="I169" s="1860"/>
      <c r="J169" s="49"/>
      <c r="K169" s="206"/>
      <c r="L169" s="52"/>
      <c r="M169" s="49"/>
      <c r="N169" s="50"/>
      <c r="O169" s="49"/>
      <c r="P169" s="2020"/>
      <c r="Q169" s="142"/>
      <c r="R169" s="142"/>
    </row>
    <row r="170" spans="1:18" ht="15.6">
      <c r="A170" s="53" t="s">
        <v>31</v>
      </c>
      <c r="B170" s="43"/>
      <c r="C170" s="43"/>
      <c r="D170" s="43"/>
      <c r="E170" s="43"/>
      <c r="F170" s="44"/>
      <c r="G170" s="43"/>
      <c r="H170" s="44"/>
      <c r="I170" s="1858"/>
      <c r="J170" s="43"/>
      <c r="K170" s="207"/>
      <c r="L170" s="44"/>
      <c r="M170" s="43"/>
      <c r="N170" s="44"/>
      <c r="O170" s="43"/>
      <c r="P170" s="2020"/>
      <c r="Q170" s="142"/>
      <c r="R170" s="142"/>
    </row>
    <row r="171" spans="1:18" ht="15.6">
      <c r="A171" s="54"/>
      <c r="B171" s="55"/>
      <c r="C171" s="55"/>
      <c r="D171" s="55"/>
      <c r="E171" s="55"/>
      <c r="F171" s="91"/>
      <c r="G171" s="55"/>
      <c r="H171" s="91"/>
      <c r="I171" s="1859"/>
      <c r="J171" s="55"/>
      <c r="K171" s="208"/>
      <c r="L171" s="283"/>
      <c r="M171" s="55"/>
      <c r="N171" s="91"/>
      <c r="O171" s="55"/>
      <c r="P171" s="2020"/>
      <c r="Q171" s="142"/>
      <c r="R171" s="142"/>
    </row>
    <row r="172" spans="1:18" ht="16.2" thickBot="1">
      <c r="A172" s="2030" t="s">
        <v>32</v>
      </c>
      <c r="B172" s="2031"/>
      <c r="C172" s="2032" t="s">
        <v>33</v>
      </c>
      <c r="D172" s="2033"/>
      <c r="E172" s="57" t="s">
        <v>34</v>
      </c>
      <c r="F172" s="57" t="s">
        <v>35</v>
      </c>
      <c r="G172" s="2034" t="s">
        <v>36</v>
      </c>
      <c r="H172" s="2035"/>
      <c r="I172" s="2035"/>
      <c r="J172" s="2035"/>
      <c r="K172" s="2035"/>
      <c r="L172" s="2035"/>
      <c r="M172" s="2035"/>
      <c r="N172" s="2035"/>
      <c r="O172" s="2035"/>
      <c r="P172" s="2020"/>
      <c r="Q172" s="142"/>
      <c r="R172" s="142"/>
    </row>
    <row r="173" spans="1:18" ht="15.6">
      <c r="A173" s="2036"/>
      <c r="B173" s="2023"/>
      <c r="C173" s="2021"/>
      <c r="D173" s="2023"/>
      <c r="E173" s="89"/>
      <c r="F173" s="88"/>
      <c r="G173" s="2037"/>
      <c r="H173" s="2038"/>
      <c r="I173" s="2038"/>
      <c r="J173" s="2038"/>
      <c r="K173" s="2038"/>
      <c r="L173" s="2038"/>
      <c r="M173" s="2038"/>
      <c r="N173" s="2038"/>
      <c r="O173" s="2038"/>
      <c r="P173" s="2020"/>
      <c r="Q173" s="142"/>
      <c r="R173" s="142"/>
    </row>
    <row r="174" spans="1:18" ht="15.6">
      <c r="A174" s="2043" t="s">
        <v>37</v>
      </c>
      <c r="B174" s="2044"/>
      <c r="C174" s="2021"/>
      <c r="D174" s="2023"/>
      <c r="E174" s="89"/>
      <c r="F174" s="88"/>
      <c r="G174" s="2039"/>
      <c r="H174" s="2040"/>
      <c r="I174" s="2040"/>
      <c r="J174" s="2040"/>
      <c r="K174" s="2040"/>
      <c r="L174" s="2040"/>
      <c r="M174" s="2040"/>
      <c r="N174" s="2040"/>
      <c r="O174" s="2040"/>
      <c r="P174" s="2020"/>
      <c r="Q174" s="142"/>
      <c r="R174" s="142"/>
    </row>
    <row r="175" spans="1:18" ht="15.6">
      <c r="A175" s="2043" t="s">
        <v>38</v>
      </c>
      <c r="B175" s="2044"/>
      <c r="C175" s="2021"/>
      <c r="D175" s="2023"/>
      <c r="E175" s="89"/>
      <c r="F175" s="88"/>
      <c r="G175" s="2039"/>
      <c r="H175" s="2040"/>
      <c r="I175" s="2040"/>
      <c r="J175" s="2040"/>
      <c r="K175" s="2040"/>
      <c r="L175" s="2040"/>
      <c r="M175" s="2040"/>
      <c r="N175" s="2040"/>
      <c r="O175" s="2040"/>
      <c r="P175" s="2020"/>
      <c r="Q175" s="142"/>
      <c r="R175" s="142"/>
    </row>
    <row r="176" spans="1:18" ht="15.6">
      <c r="A176" s="2043" t="s">
        <v>39</v>
      </c>
      <c r="B176" s="2044"/>
      <c r="C176" s="2021"/>
      <c r="D176" s="2023"/>
      <c r="E176" s="89"/>
      <c r="F176" s="88"/>
      <c r="G176" s="2039"/>
      <c r="H176" s="2040"/>
      <c r="I176" s="2040"/>
      <c r="J176" s="2040"/>
      <c r="K176" s="2040"/>
      <c r="L176" s="2040"/>
      <c r="M176" s="2040"/>
      <c r="N176" s="2040"/>
      <c r="O176" s="2040"/>
      <c r="P176" s="2020"/>
      <c r="Q176" s="142"/>
      <c r="R176" s="142"/>
    </row>
    <row r="177" spans="1:27" ht="15.6">
      <c r="A177" s="2043" t="s">
        <v>40</v>
      </c>
      <c r="B177" s="2044"/>
      <c r="C177" s="2021"/>
      <c r="D177" s="2023"/>
      <c r="E177" s="89"/>
      <c r="F177" s="88"/>
      <c r="G177" s="2039"/>
      <c r="H177" s="2040"/>
      <c r="I177" s="2040"/>
      <c r="J177" s="2040"/>
      <c r="K177" s="2040"/>
      <c r="L177" s="2040"/>
      <c r="M177" s="2040"/>
      <c r="N177" s="2040"/>
      <c r="O177" s="2040"/>
      <c r="P177" s="2020"/>
      <c r="Q177" s="142"/>
      <c r="R177" s="142"/>
    </row>
    <row r="178" spans="1:27" ht="16.2" thickBot="1">
      <c r="A178" s="2049" t="s">
        <v>41</v>
      </c>
      <c r="B178" s="2050"/>
      <c r="C178" s="2051"/>
      <c r="D178" s="2052"/>
      <c r="E178" s="58"/>
      <c r="F178" s="90"/>
      <c r="G178" s="2041"/>
      <c r="H178" s="2042"/>
      <c r="I178" s="2042"/>
      <c r="J178" s="2042"/>
      <c r="K178" s="2042"/>
      <c r="L178" s="2042"/>
      <c r="M178" s="2042"/>
      <c r="N178" s="2042"/>
      <c r="O178" s="2042"/>
      <c r="P178" s="2020"/>
      <c r="Q178" s="142"/>
      <c r="R178" s="142"/>
    </row>
    <row r="179" spans="1:27" ht="15.6">
      <c r="A179" s="54"/>
      <c r="B179" s="55"/>
      <c r="C179" s="55"/>
      <c r="D179" s="55"/>
      <c r="E179" s="55"/>
      <c r="F179" s="91"/>
      <c r="G179" s="55"/>
      <c r="H179" s="59"/>
      <c r="I179" s="60"/>
      <c r="J179" s="61"/>
      <c r="K179" s="209"/>
      <c r="L179" s="301"/>
      <c r="M179" s="55"/>
      <c r="N179" s="91"/>
      <c r="O179" s="55"/>
      <c r="P179" s="2020"/>
      <c r="Q179" s="142"/>
      <c r="R179" s="142"/>
    </row>
    <row r="180" spans="1:27" ht="15.6">
      <c r="A180" s="62" t="s">
        <v>42</v>
      </c>
      <c r="B180" s="56"/>
      <c r="C180" s="55"/>
      <c r="D180" s="55"/>
      <c r="E180" s="55"/>
      <c r="F180" s="91"/>
      <c r="G180" s="56"/>
      <c r="H180" s="59"/>
      <c r="I180" s="60"/>
      <c r="J180" s="61"/>
      <c r="K180" s="208"/>
      <c r="L180" s="302"/>
      <c r="M180" s="55"/>
      <c r="N180" s="2045" t="s">
        <v>43</v>
      </c>
      <c r="O180" s="2045"/>
      <c r="P180" s="2020"/>
      <c r="Q180" s="142"/>
      <c r="R180" s="142"/>
    </row>
    <row r="181" spans="1:27" ht="15.6">
      <c r="A181" s="62"/>
      <c r="B181" s="56"/>
      <c r="C181" s="55"/>
      <c r="D181" s="55"/>
      <c r="E181" s="55"/>
      <c r="F181" s="91"/>
      <c r="G181" s="55"/>
      <c r="H181" s="91"/>
      <c r="I181" s="1859"/>
      <c r="J181" s="55"/>
      <c r="K181" s="208"/>
      <c r="L181" s="283"/>
      <c r="M181" s="55"/>
      <c r="N181" s="91"/>
      <c r="O181" s="56"/>
      <c r="P181" s="2020"/>
      <c r="Q181" s="142"/>
      <c r="R181" s="142"/>
    </row>
    <row r="182" spans="1:27" ht="15.6">
      <c r="A182" s="62" t="s">
        <v>44</v>
      </c>
      <c r="B182" s="56"/>
      <c r="C182" s="55"/>
      <c r="D182" s="55"/>
      <c r="E182" s="55"/>
      <c r="F182" s="91"/>
      <c r="G182" s="55"/>
      <c r="H182" s="91"/>
      <c r="I182" s="1859"/>
      <c r="J182" s="55"/>
      <c r="K182" s="208"/>
      <c r="L182" s="283"/>
      <c r="M182" s="55"/>
      <c r="N182" s="2045" t="s">
        <v>45</v>
      </c>
      <c r="O182" s="2045"/>
      <c r="P182" s="2020"/>
      <c r="Q182" s="142"/>
      <c r="R182" s="142"/>
    </row>
    <row r="183" spans="1:27" ht="16.2" thickBot="1">
      <c r="A183" s="48"/>
      <c r="B183" s="49"/>
      <c r="C183" s="49"/>
      <c r="D183" s="49"/>
      <c r="E183" s="49"/>
      <c r="F183" s="50"/>
      <c r="G183" s="49"/>
      <c r="H183" s="50"/>
      <c r="I183" s="1860"/>
      <c r="J183" s="49"/>
      <c r="K183" s="210"/>
      <c r="L183" s="50"/>
      <c r="M183" s="49"/>
      <c r="N183" s="50"/>
      <c r="O183" s="49"/>
      <c r="P183" s="2020"/>
      <c r="Q183" s="142"/>
      <c r="R183" s="142"/>
    </row>
    <row r="186" spans="1:27">
      <c r="A186" s="1" t="s">
        <v>48</v>
      </c>
      <c r="B186" s="1"/>
      <c r="C186" s="2"/>
      <c r="D186" s="2"/>
      <c r="E186" s="2"/>
      <c r="F186" s="3"/>
      <c r="G186" s="2"/>
      <c r="H186" s="2"/>
      <c r="I186" s="4"/>
      <c r="J186" s="5"/>
      <c r="K186" s="196"/>
      <c r="L186" s="2056" t="s">
        <v>0</v>
      </c>
      <c r="M186" s="2056"/>
      <c r="N186" s="2056"/>
      <c r="O186" s="2056"/>
      <c r="P186" s="64"/>
      <c r="Q186" s="64"/>
      <c r="R186" s="64"/>
    </row>
    <row r="187" spans="1:27" ht="15.6">
      <c r="A187" s="27" t="s">
        <v>1</v>
      </c>
      <c r="B187" s="27"/>
      <c r="C187" s="27"/>
      <c r="D187" s="28" t="s">
        <v>2</v>
      </c>
      <c r="E187" s="28"/>
      <c r="F187" s="29"/>
      <c r="G187" s="29"/>
      <c r="H187" s="29"/>
      <c r="I187" s="30"/>
      <c r="J187" s="31"/>
      <c r="K187" s="197" t="s">
        <v>3</v>
      </c>
      <c r="L187" s="31"/>
      <c r="M187" s="27"/>
      <c r="N187" s="29"/>
      <c r="O187" s="27"/>
      <c r="P187" s="67"/>
      <c r="Q187" s="1039"/>
      <c r="R187" s="1039"/>
    </row>
    <row r="188" spans="1:27" ht="31.2">
      <c r="A188" s="32" t="s">
        <v>4</v>
      </c>
      <c r="B188" s="32" t="s">
        <v>5</v>
      </c>
      <c r="C188" s="32" t="s">
        <v>6</v>
      </c>
      <c r="D188" s="32" t="s">
        <v>7</v>
      </c>
      <c r="E188" s="32" t="s">
        <v>8</v>
      </c>
      <c r="F188" s="33" t="s">
        <v>9</v>
      </c>
      <c r="G188" s="34" t="s">
        <v>10</v>
      </c>
      <c r="H188" s="34" t="s">
        <v>11</v>
      </c>
      <c r="I188" s="35" t="s">
        <v>12</v>
      </c>
      <c r="J188" s="36" t="s">
        <v>13</v>
      </c>
      <c r="K188" s="198" t="s">
        <v>14</v>
      </c>
      <c r="L188" s="297" t="s">
        <v>15</v>
      </c>
      <c r="M188" s="33" t="s">
        <v>16</v>
      </c>
      <c r="N188" s="33" t="s">
        <v>17</v>
      </c>
      <c r="O188" s="34" t="s">
        <v>18</v>
      </c>
      <c r="P188" s="8" t="s">
        <v>50</v>
      </c>
      <c r="Q188" s="1040"/>
      <c r="R188" s="1040"/>
    </row>
    <row r="189" spans="1:27" ht="15.6">
      <c r="A189" s="65"/>
      <c r="B189" s="65"/>
      <c r="C189" s="65"/>
      <c r="D189" s="65"/>
      <c r="E189" s="65"/>
      <c r="F189" s="65"/>
      <c r="G189" s="65"/>
      <c r="H189" s="65"/>
      <c r="I189" s="303"/>
      <c r="J189" s="65"/>
      <c r="K189" s="212"/>
      <c r="L189" s="303"/>
      <c r="M189" s="65"/>
      <c r="N189" s="65"/>
      <c r="O189" s="65"/>
      <c r="P189" s="65"/>
      <c r="Q189" s="1045"/>
      <c r="R189" s="1045"/>
      <c r="AA189" s="65"/>
    </row>
    <row r="190" spans="1:27" ht="15.6">
      <c r="A190" s="21" t="s">
        <v>83</v>
      </c>
      <c r="B190" s="21" t="s">
        <v>82</v>
      </c>
      <c r="C190" s="21" t="s">
        <v>19</v>
      </c>
      <c r="D190" s="21" t="s">
        <v>20</v>
      </c>
      <c r="E190" s="63" t="s">
        <v>51</v>
      </c>
      <c r="F190" s="22">
        <v>12</v>
      </c>
      <c r="G190" s="65" t="s">
        <v>21</v>
      </c>
      <c r="H190" s="146" t="s">
        <v>97</v>
      </c>
      <c r="I190" s="448">
        <v>10.199999999999999</v>
      </c>
      <c r="J190" s="102">
        <v>7.2</v>
      </c>
      <c r="K190" s="213">
        <v>53</v>
      </c>
      <c r="L190" s="130">
        <f t="shared" ref="L190:L198" si="25">(I190*J190*K190/1000)</f>
        <v>3.8923199999999998</v>
      </c>
      <c r="M190" s="65"/>
      <c r="N190" s="65"/>
      <c r="O190" s="65"/>
      <c r="P190" s="2069"/>
      <c r="Q190" s="1046"/>
      <c r="R190" s="1046"/>
      <c r="S190" t="s">
        <v>165</v>
      </c>
      <c r="U190">
        <v>3</v>
      </c>
      <c r="V190" s="126">
        <f>J190*U190*I190/1000</f>
        <v>0.22031999999999999</v>
      </c>
      <c r="AA190" s="2069" t="s">
        <v>111</v>
      </c>
    </row>
    <row r="191" spans="1:27" ht="15.6">
      <c r="A191" s="20"/>
      <c r="B191" s="21" t="s">
        <v>84</v>
      </c>
      <c r="C191" s="20"/>
      <c r="D191" s="20"/>
      <c r="E191" s="20"/>
      <c r="F191" s="20"/>
      <c r="G191" s="65" t="s">
        <v>21</v>
      </c>
      <c r="H191" s="65" t="s">
        <v>97</v>
      </c>
      <c r="I191" s="448">
        <v>10.199999999999999</v>
      </c>
      <c r="J191" s="102">
        <v>7.25</v>
      </c>
      <c r="K191" s="213">
        <v>80</v>
      </c>
      <c r="L191" s="130">
        <f t="shared" si="25"/>
        <v>5.9159999999999995</v>
      </c>
      <c r="M191" s="65"/>
      <c r="N191" s="65"/>
      <c r="O191" s="65"/>
      <c r="P191" s="2070"/>
      <c r="Q191" s="1046"/>
      <c r="R191" s="1046"/>
      <c r="U191">
        <f>25+14</f>
        <v>39</v>
      </c>
      <c r="V191" s="126">
        <f t="shared" ref="V191:V198" si="26">J191*U191*I191/1000</f>
        <v>2.8840499999999998</v>
      </c>
      <c r="AA191" s="2070"/>
    </row>
    <row r="192" spans="1:27" ht="15.6">
      <c r="A192" s="65"/>
      <c r="B192" s="65"/>
      <c r="C192" s="65"/>
      <c r="D192" s="65"/>
      <c r="E192" s="65"/>
      <c r="F192" s="65"/>
      <c r="G192" s="65" t="s">
        <v>21</v>
      </c>
      <c r="H192" s="65" t="s">
        <v>97</v>
      </c>
      <c r="I192" s="448">
        <v>10.199999999999999</v>
      </c>
      <c r="J192" s="102">
        <v>8.6</v>
      </c>
      <c r="K192" s="213">
        <v>34</v>
      </c>
      <c r="L192" s="130">
        <f t="shared" si="25"/>
        <v>2.9824799999999994</v>
      </c>
      <c r="M192" s="65"/>
      <c r="N192" s="65"/>
      <c r="O192" s="65"/>
      <c r="P192" s="2070"/>
      <c r="Q192" s="1046"/>
      <c r="R192" s="1046"/>
      <c r="U192">
        <f>12+1</f>
        <v>13</v>
      </c>
      <c r="V192" s="126">
        <f t="shared" si="26"/>
        <v>1.1403599999999998</v>
      </c>
      <c r="AA192" s="2070"/>
    </row>
    <row r="193" spans="1:27" ht="15.6">
      <c r="A193" s="65"/>
      <c r="B193" s="65"/>
      <c r="C193" s="65"/>
      <c r="D193" s="65"/>
      <c r="E193" s="65"/>
      <c r="F193" s="65"/>
      <c r="G193" s="65" t="s">
        <v>21</v>
      </c>
      <c r="H193" s="65" t="s">
        <v>97</v>
      </c>
      <c r="I193" s="448">
        <v>10.199999999999999</v>
      </c>
      <c r="J193" s="102">
        <v>8.6999999999999993</v>
      </c>
      <c r="K193" s="213">
        <v>91</v>
      </c>
      <c r="L193" s="130">
        <f t="shared" si="25"/>
        <v>8.0753399999999989</v>
      </c>
      <c r="M193" s="65"/>
      <c r="N193" s="65"/>
      <c r="O193" s="65"/>
      <c r="P193" s="2070"/>
      <c r="Q193" s="1046"/>
      <c r="R193" s="1046"/>
      <c r="S193">
        <v>1</v>
      </c>
      <c r="U193">
        <f>25+23</f>
        <v>48</v>
      </c>
      <c r="V193" s="126">
        <f t="shared" si="26"/>
        <v>4.2595199999999993</v>
      </c>
      <c r="AA193" s="2070"/>
    </row>
    <row r="194" spans="1:27" ht="15.6">
      <c r="A194" s="65"/>
      <c r="B194" s="65"/>
      <c r="C194" s="65"/>
      <c r="D194" s="65"/>
      <c r="E194" s="65"/>
      <c r="F194" s="65"/>
      <c r="G194" s="65" t="s">
        <v>21</v>
      </c>
      <c r="H194" s="65" t="s">
        <v>97</v>
      </c>
      <c r="I194" s="448">
        <v>10.199999999999999</v>
      </c>
      <c r="J194" s="102">
        <v>10.5</v>
      </c>
      <c r="K194" s="213">
        <v>41</v>
      </c>
      <c r="L194" s="130">
        <f t="shared" si="25"/>
        <v>4.3910999999999998</v>
      </c>
      <c r="M194" s="65"/>
      <c r="N194" s="65"/>
      <c r="O194" s="65"/>
      <c r="P194" s="2070"/>
      <c r="Q194" s="1046"/>
      <c r="R194" s="1046"/>
      <c r="S194">
        <f>1+2</f>
        <v>3</v>
      </c>
      <c r="U194">
        <f>14+3</f>
        <v>17</v>
      </c>
      <c r="V194" s="126">
        <f t="shared" si="26"/>
        <v>1.8206999999999998</v>
      </c>
      <c r="AA194" s="2070"/>
    </row>
    <row r="195" spans="1:27" ht="15.6">
      <c r="A195" s="65"/>
      <c r="B195" s="65"/>
      <c r="C195" s="65"/>
      <c r="D195" s="65"/>
      <c r="E195" s="65"/>
      <c r="F195" s="65"/>
      <c r="G195" s="65" t="s">
        <v>21</v>
      </c>
      <c r="H195" s="65" t="s">
        <v>97</v>
      </c>
      <c r="I195" s="448">
        <v>10.199999999999999</v>
      </c>
      <c r="J195" s="102">
        <v>10.9</v>
      </c>
      <c r="K195" s="213">
        <v>49</v>
      </c>
      <c r="L195" s="130">
        <f t="shared" si="25"/>
        <v>5.4478200000000001</v>
      </c>
      <c r="M195" s="65"/>
      <c r="N195" s="65"/>
      <c r="O195" s="65"/>
      <c r="P195" s="2070"/>
      <c r="Q195" s="1046"/>
      <c r="R195" s="1046"/>
      <c r="U195">
        <f>20+9+6</f>
        <v>35</v>
      </c>
      <c r="V195" s="126">
        <f t="shared" si="26"/>
        <v>3.8912999999999998</v>
      </c>
      <c r="AA195" s="2070"/>
    </row>
    <row r="196" spans="1:27" ht="15.6">
      <c r="A196" s="65"/>
      <c r="B196" s="65"/>
      <c r="C196" s="65"/>
      <c r="D196" s="65"/>
      <c r="E196" s="65"/>
      <c r="F196" s="65"/>
      <c r="G196" s="65" t="s">
        <v>21</v>
      </c>
      <c r="H196" s="65" t="s">
        <v>97</v>
      </c>
      <c r="I196" s="448">
        <v>10.199999999999999</v>
      </c>
      <c r="J196" s="102">
        <v>11.1</v>
      </c>
      <c r="K196" s="213">
        <v>42</v>
      </c>
      <c r="L196" s="130">
        <f t="shared" si="25"/>
        <v>4.7552399999999997</v>
      </c>
      <c r="M196" s="65"/>
      <c r="N196" s="65"/>
      <c r="O196" s="65"/>
      <c r="P196" s="2070"/>
      <c r="Q196" s="1046"/>
      <c r="R196" s="1046"/>
      <c r="U196">
        <f>24+6</f>
        <v>30</v>
      </c>
      <c r="V196" s="126">
        <f t="shared" si="26"/>
        <v>3.3965999999999998</v>
      </c>
      <c r="AA196" s="2070"/>
    </row>
    <row r="197" spans="1:27" ht="15.6">
      <c r="A197" s="65"/>
      <c r="B197" s="65"/>
      <c r="C197" s="65"/>
      <c r="D197" s="65"/>
      <c r="E197" s="65"/>
      <c r="F197" s="65"/>
      <c r="G197" s="65" t="s">
        <v>21</v>
      </c>
      <c r="H197" s="65" t="s">
        <v>97</v>
      </c>
      <c r="I197" s="448">
        <v>10.199999999999999</v>
      </c>
      <c r="J197" s="102">
        <v>11.5</v>
      </c>
      <c r="K197" s="213">
        <v>79</v>
      </c>
      <c r="L197" s="130">
        <f t="shared" si="25"/>
        <v>9.2666999999999984</v>
      </c>
      <c r="M197" s="65"/>
      <c r="N197" s="65"/>
      <c r="O197" s="65"/>
      <c r="P197" s="2070"/>
      <c r="Q197" s="1046"/>
      <c r="R197" s="1046"/>
      <c r="S197">
        <v>1</v>
      </c>
      <c r="U197">
        <f>7+3</f>
        <v>10</v>
      </c>
      <c r="V197" s="126">
        <f t="shared" si="26"/>
        <v>1.173</v>
      </c>
      <c r="AA197" s="2070"/>
    </row>
    <row r="198" spans="1:27" ht="15.6">
      <c r="A198" s="65"/>
      <c r="B198" s="65"/>
      <c r="C198" s="65"/>
      <c r="D198" s="65"/>
      <c r="E198" s="65"/>
      <c r="F198" s="65"/>
      <c r="G198" s="65" t="s">
        <v>21</v>
      </c>
      <c r="H198" s="65" t="s">
        <v>97</v>
      </c>
      <c r="I198" s="448">
        <v>10.199999999999999</v>
      </c>
      <c r="J198" s="102">
        <v>12</v>
      </c>
      <c r="K198" s="213">
        <v>77</v>
      </c>
      <c r="L198" s="130">
        <f t="shared" si="25"/>
        <v>9.4247999999999994</v>
      </c>
      <c r="M198" s="65"/>
      <c r="N198" s="65"/>
      <c r="O198" s="65"/>
      <c r="P198" s="2071"/>
      <c r="Q198" s="1046"/>
      <c r="R198" s="1046"/>
      <c r="S198">
        <v>3</v>
      </c>
      <c r="U198">
        <v>2</v>
      </c>
      <c r="V198" s="126">
        <f t="shared" si="26"/>
        <v>0.24479999999999999</v>
      </c>
      <c r="AA198" s="2071"/>
    </row>
    <row r="199" spans="1:27" ht="15.6">
      <c r="A199" s="65"/>
      <c r="B199" s="65"/>
      <c r="C199" s="65"/>
      <c r="D199" s="65"/>
      <c r="E199" s="65"/>
      <c r="F199" s="65"/>
      <c r="G199" s="65"/>
      <c r="H199" s="65"/>
      <c r="I199" s="448"/>
      <c r="J199" s="102"/>
      <c r="K199" s="213">
        <f>SUM(K190:K198)</f>
        <v>546</v>
      </c>
      <c r="L199" s="260">
        <f>SUM(L190:L198)</f>
        <v>54.151799999999994</v>
      </c>
      <c r="M199" s="101">
        <f t="shared" ref="M199:N199" si="27">SUM(M190:M198)</f>
        <v>0</v>
      </c>
      <c r="N199" s="66">
        <f t="shared" si="27"/>
        <v>0</v>
      </c>
      <c r="O199" s="65"/>
      <c r="P199" s="65"/>
      <c r="Q199" s="65"/>
      <c r="R199" s="65"/>
      <c r="S199" s="101">
        <f>SUM(S190:S198)</f>
        <v>8</v>
      </c>
      <c r="U199" s="101">
        <f>SUM(U190:U198)</f>
        <v>197</v>
      </c>
      <c r="V199" s="66">
        <f>SUM(V190:V198)</f>
        <v>19.030649999999998</v>
      </c>
      <c r="AA199" s="65"/>
    </row>
    <row r="200" spans="1:27" ht="15.6">
      <c r="A200" s="65"/>
      <c r="B200" s="65"/>
      <c r="C200" s="65"/>
      <c r="D200" s="65"/>
      <c r="E200" s="65"/>
      <c r="F200" s="65"/>
      <c r="G200" s="65"/>
      <c r="H200" s="65"/>
      <c r="I200" s="448"/>
      <c r="J200" s="102"/>
      <c r="K200" s="213"/>
      <c r="L200" s="260"/>
      <c r="M200" s="65"/>
      <c r="N200" s="65"/>
      <c r="O200" s="65"/>
      <c r="P200" s="65"/>
      <c r="Q200" s="1045"/>
      <c r="R200" s="1045"/>
      <c r="AA200" s="65"/>
    </row>
    <row r="201" spans="1:27" ht="15.6">
      <c r="A201" s="65"/>
      <c r="B201" s="65"/>
      <c r="C201" s="65"/>
      <c r="D201" s="65"/>
      <c r="E201" s="65"/>
      <c r="F201" s="65"/>
      <c r="G201" s="65"/>
      <c r="H201" s="65"/>
      <c r="I201" s="448"/>
      <c r="J201" s="102"/>
      <c r="K201" s="213"/>
      <c r="L201" s="260"/>
      <c r="M201" s="65"/>
      <c r="N201" s="65"/>
      <c r="O201" s="65"/>
      <c r="P201" s="65"/>
      <c r="Q201" s="1045"/>
      <c r="R201" s="1045"/>
      <c r="AA201" s="65"/>
    </row>
    <row r="202" spans="1:27" ht="15.6">
      <c r="A202" s="21" t="s">
        <v>83</v>
      </c>
      <c r="B202" s="21" t="s">
        <v>82</v>
      </c>
      <c r="C202" s="21" t="s">
        <v>19</v>
      </c>
      <c r="D202" s="21" t="s">
        <v>20</v>
      </c>
      <c r="E202" s="63" t="s">
        <v>51</v>
      </c>
      <c r="F202" s="22">
        <v>12</v>
      </c>
      <c r="G202" s="65" t="s">
        <v>21</v>
      </c>
      <c r="H202" s="146" t="s">
        <v>98</v>
      </c>
      <c r="I202" s="448">
        <v>11.8</v>
      </c>
      <c r="J202" s="102">
        <v>6.7</v>
      </c>
      <c r="K202" s="213">
        <v>145</v>
      </c>
      <c r="L202" s="130">
        <f t="shared" ref="L202:L210" si="28">(I202*J202*K202/1000)</f>
        <v>11.463700000000001</v>
      </c>
      <c r="M202" s="65"/>
      <c r="N202" s="65"/>
      <c r="O202" s="65"/>
      <c r="P202" s="2069"/>
      <c r="Q202" s="1046"/>
      <c r="R202" s="1046"/>
      <c r="S202" t="s">
        <v>166</v>
      </c>
      <c r="AA202" s="2069" t="s">
        <v>112</v>
      </c>
    </row>
    <row r="203" spans="1:27" ht="15.6">
      <c r="A203" s="20"/>
      <c r="B203" s="21" t="s">
        <v>84</v>
      </c>
      <c r="C203" s="20"/>
      <c r="D203" s="20"/>
      <c r="E203" s="20"/>
      <c r="F203" s="20"/>
      <c r="G203" s="65" t="s">
        <v>21</v>
      </c>
      <c r="H203" s="65" t="s">
        <v>98</v>
      </c>
      <c r="I203" s="448">
        <v>11.8</v>
      </c>
      <c r="J203" s="102">
        <v>7.4</v>
      </c>
      <c r="K203" s="213">
        <v>160</v>
      </c>
      <c r="L203" s="130">
        <f t="shared" si="28"/>
        <v>13.971200000000001</v>
      </c>
      <c r="M203" s="65"/>
      <c r="N203" s="65"/>
      <c r="O203" s="65"/>
      <c r="P203" s="2070"/>
      <c r="Q203" s="1046"/>
      <c r="R203" s="1046"/>
      <c r="S203">
        <f>9+1+2+2+1+1</f>
        <v>16</v>
      </c>
      <c r="AA203" s="2070"/>
    </row>
    <row r="204" spans="1:27" ht="15.6">
      <c r="A204" s="65"/>
      <c r="B204" s="65"/>
      <c r="C204" s="65"/>
      <c r="D204" s="65"/>
      <c r="E204" s="65"/>
      <c r="F204" s="65"/>
      <c r="G204" s="65" t="s">
        <v>21</v>
      </c>
      <c r="H204" s="65" t="s">
        <v>98</v>
      </c>
      <c r="I204" s="448">
        <v>11.8</v>
      </c>
      <c r="J204" s="102">
        <v>9.25</v>
      </c>
      <c r="K204" s="213">
        <v>20</v>
      </c>
      <c r="L204" s="130">
        <f t="shared" si="28"/>
        <v>2.1829999999999998</v>
      </c>
      <c r="M204" s="65"/>
      <c r="N204" s="65"/>
      <c r="O204" s="65"/>
      <c r="P204" s="2070"/>
      <c r="Q204" s="1046"/>
      <c r="R204" s="1046"/>
      <c r="S204">
        <v>20</v>
      </c>
      <c r="AA204" s="2070"/>
    </row>
    <row r="205" spans="1:27" ht="15.6">
      <c r="A205" s="65"/>
      <c r="B205" s="65"/>
      <c r="C205" s="65"/>
      <c r="D205" s="65"/>
      <c r="E205" s="65"/>
      <c r="F205" s="65"/>
      <c r="G205" s="65" t="s">
        <v>21</v>
      </c>
      <c r="H205" s="65" t="s">
        <v>98</v>
      </c>
      <c r="I205" s="448">
        <v>11.8</v>
      </c>
      <c r="J205" s="102">
        <v>10</v>
      </c>
      <c r="K205" s="213">
        <v>74</v>
      </c>
      <c r="L205" s="130">
        <f t="shared" si="28"/>
        <v>8.7319999999999993</v>
      </c>
      <c r="M205" s="65"/>
      <c r="N205" s="65"/>
      <c r="O205" s="65"/>
      <c r="P205" s="2070"/>
      <c r="Q205" s="1046"/>
      <c r="R205" s="1046"/>
      <c r="S205">
        <v>1</v>
      </c>
      <c r="AA205" s="2070"/>
    </row>
    <row r="206" spans="1:27" ht="15.6">
      <c r="A206" s="65"/>
      <c r="B206" s="65"/>
      <c r="C206" s="65"/>
      <c r="D206" s="65"/>
      <c r="E206" s="65"/>
      <c r="F206" s="65"/>
      <c r="G206" s="65" t="s">
        <v>21</v>
      </c>
      <c r="H206" s="65" t="s">
        <v>98</v>
      </c>
      <c r="I206" s="448">
        <v>11.8</v>
      </c>
      <c r="J206" s="102">
        <v>10.1</v>
      </c>
      <c r="K206" s="213">
        <v>20</v>
      </c>
      <c r="L206" s="130">
        <f t="shared" si="28"/>
        <v>2.3836000000000004</v>
      </c>
      <c r="M206" s="65">
        <v>2</v>
      </c>
      <c r="N206" s="23">
        <f t="shared" ref="N206:N207" si="29">J206*M206*I206/1000</f>
        <v>0.23836000000000002</v>
      </c>
      <c r="O206" s="65"/>
      <c r="P206" s="2070"/>
      <c r="Q206" s="1046"/>
      <c r="R206" s="1046"/>
      <c r="S206">
        <f>2+2+2</f>
        <v>6</v>
      </c>
      <c r="T206">
        <f>S206-M206</f>
        <v>4</v>
      </c>
      <c r="AA206" s="2070"/>
    </row>
    <row r="207" spans="1:27" ht="15.6">
      <c r="A207" s="65"/>
      <c r="B207" s="65"/>
      <c r="C207" s="65"/>
      <c r="D207" s="65"/>
      <c r="E207" s="65"/>
      <c r="F207" s="65"/>
      <c r="G207" s="65" t="s">
        <v>21</v>
      </c>
      <c r="H207" s="65" t="s">
        <v>98</v>
      </c>
      <c r="I207" s="448">
        <v>11.8</v>
      </c>
      <c r="J207" s="102">
        <v>10.8</v>
      </c>
      <c r="K207" s="213">
        <v>163</v>
      </c>
      <c r="L207" s="130">
        <f t="shared" si="28"/>
        <v>20.77272</v>
      </c>
      <c r="M207" s="65">
        <f>2+3</f>
        <v>5</v>
      </c>
      <c r="N207" s="23">
        <f t="shared" si="29"/>
        <v>0.6372000000000001</v>
      </c>
      <c r="O207" s="65"/>
      <c r="P207" s="2070"/>
      <c r="Q207" s="1046"/>
      <c r="R207" s="1046"/>
      <c r="S207">
        <f>2+3+1+1</f>
        <v>7</v>
      </c>
      <c r="T207">
        <f>S207-M207</f>
        <v>2</v>
      </c>
      <c r="AA207" s="2070"/>
    </row>
    <row r="208" spans="1:27" ht="15.6">
      <c r="A208" s="65"/>
      <c r="B208" s="65"/>
      <c r="C208" s="65"/>
      <c r="D208" s="65"/>
      <c r="E208" s="65"/>
      <c r="F208" s="65"/>
      <c r="G208" s="65" t="s">
        <v>21</v>
      </c>
      <c r="H208" s="65" t="s">
        <v>98</v>
      </c>
      <c r="I208" s="448">
        <v>11.8</v>
      </c>
      <c r="J208" s="102">
        <v>11.5</v>
      </c>
      <c r="K208" s="213">
        <v>16</v>
      </c>
      <c r="L208" s="130">
        <f t="shared" si="28"/>
        <v>2.1712000000000002</v>
      </c>
      <c r="M208" s="65"/>
      <c r="N208" s="65"/>
      <c r="O208" s="65"/>
      <c r="P208" s="2070"/>
      <c r="Q208" s="1046"/>
      <c r="R208" s="1046"/>
      <c r="S208">
        <v>2</v>
      </c>
      <c r="AA208" s="2070"/>
    </row>
    <row r="209" spans="1:27" ht="15.6">
      <c r="A209" s="65"/>
      <c r="B209" s="65"/>
      <c r="C209" s="65"/>
      <c r="D209" s="65"/>
      <c r="E209" s="65"/>
      <c r="F209" s="65"/>
      <c r="G209" s="65" t="s">
        <v>21</v>
      </c>
      <c r="H209" s="65" t="s">
        <v>98</v>
      </c>
      <c r="I209" s="448">
        <v>11.8</v>
      </c>
      <c r="J209" s="102">
        <v>11.6</v>
      </c>
      <c r="K209" s="213">
        <v>28</v>
      </c>
      <c r="L209" s="130">
        <f t="shared" si="28"/>
        <v>3.83264</v>
      </c>
      <c r="M209" s="65"/>
      <c r="N209" s="65"/>
      <c r="O209" s="65"/>
      <c r="P209" s="2070"/>
      <c r="Q209" s="1046"/>
      <c r="R209" s="1046"/>
      <c r="AA209" s="2070"/>
    </row>
    <row r="210" spans="1:27" ht="15.6">
      <c r="A210" s="65"/>
      <c r="B210" s="65"/>
      <c r="C210" s="65"/>
      <c r="D210" s="65"/>
      <c r="E210" s="65"/>
      <c r="F210" s="65"/>
      <c r="G210" s="65" t="s">
        <v>21</v>
      </c>
      <c r="H210" s="65" t="s">
        <v>98</v>
      </c>
      <c r="I210" s="448">
        <v>11.8</v>
      </c>
      <c r="J210" s="102">
        <v>12</v>
      </c>
      <c r="K210" s="213">
        <v>27</v>
      </c>
      <c r="L210" s="130">
        <f t="shared" si="28"/>
        <v>3.8232000000000008</v>
      </c>
      <c r="M210" s="65"/>
      <c r="N210" s="65"/>
      <c r="O210" s="65"/>
      <c r="P210" s="2070"/>
      <c r="Q210" s="1046"/>
      <c r="R210" s="1046"/>
      <c r="S210">
        <f>5+2+1+3</f>
        <v>11</v>
      </c>
      <c r="AA210" s="2070"/>
    </row>
    <row r="211" spans="1:27" ht="15.6">
      <c r="A211" s="65"/>
      <c r="B211" s="65"/>
      <c r="C211" s="65"/>
      <c r="D211" s="65"/>
      <c r="E211" s="65"/>
      <c r="F211" s="65"/>
      <c r="G211" s="65"/>
      <c r="H211" s="65"/>
      <c r="I211" s="448"/>
      <c r="J211" s="102"/>
      <c r="K211" s="213">
        <f t="shared" ref="K211:N211" si="30">SUM(K202:K210)</f>
        <v>653</v>
      </c>
      <c r="L211" s="260">
        <f>SUM(L202:L210)</f>
        <v>69.33326000000001</v>
      </c>
      <c r="M211" s="101">
        <f t="shared" si="30"/>
        <v>7</v>
      </c>
      <c r="N211" s="66">
        <f t="shared" si="30"/>
        <v>0.87556000000000012</v>
      </c>
      <c r="O211" s="65"/>
      <c r="P211" s="2070"/>
      <c r="Q211" s="1034"/>
      <c r="R211" s="1034"/>
      <c r="S211" s="101">
        <f>SUM(S202:S210)</f>
        <v>63</v>
      </c>
      <c r="AA211" s="2070"/>
    </row>
    <row r="212" spans="1:27" ht="15.6">
      <c r="A212" s="65"/>
      <c r="B212" s="65"/>
      <c r="C212" s="65"/>
      <c r="D212" s="65"/>
      <c r="E212" s="65"/>
      <c r="F212" s="65"/>
      <c r="G212" s="65"/>
      <c r="H212" s="65"/>
      <c r="I212" s="448"/>
      <c r="J212" s="102"/>
      <c r="K212" s="213"/>
      <c r="L212" s="260"/>
      <c r="M212" s="65"/>
      <c r="N212" s="65"/>
      <c r="O212" s="65"/>
      <c r="P212" s="2070"/>
      <c r="Q212" s="1046"/>
      <c r="R212" s="1046"/>
      <c r="AA212" s="2070"/>
    </row>
    <row r="213" spans="1:27" ht="15.6">
      <c r="A213" s="21" t="s">
        <v>83</v>
      </c>
      <c r="B213" s="21" t="s">
        <v>85</v>
      </c>
      <c r="C213" s="21" t="s">
        <v>19</v>
      </c>
      <c r="D213" s="21" t="s">
        <v>20</v>
      </c>
      <c r="E213" s="63" t="s">
        <v>51</v>
      </c>
      <c r="F213" s="22">
        <v>12</v>
      </c>
      <c r="G213" s="65" t="s">
        <v>21</v>
      </c>
      <c r="H213" s="146" t="s">
        <v>98</v>
      </c>
      <c r="I213" s="448">
        <v>11.8</v>
      </c>
      <c r="J213" s="66">
        <v>10.8</v>
      </c>
      <c r="K213" s="213">
        <v>4</v>
      </c>
      <c r="L213" s="130">
        <f>(I213*J213*K213/1000)</f>
        <v>0.5097600000000001</v>
      </c>
      <c r="M213" s="65"/>
      <c r="N213" s="65"/>
      <c r="O213" s="65"/>
      <c r="P213" s="2071"/>
      <c r="Q213" s="1046"/>
      <c r="R213" s="1046"/>
      <c r="S213" t="s">
        <v>166</v>
      </c>
      <c r="AA213" s="2071"/>
    </row>
    <row r="214" spans="1:27" ht="15.6">
      <c r="A214" s="20"/>
      <c r="B214" s="21" t="s">
        <v>52</v>
      </c>
      <c r="C214" s="20"/>
      <c r="D214" s="20"/>
      <c r="E214" s="20"/>
      <c r="F214" s="20"/>
      <c r="G214" s="65"/>
      <c r="H214" s="65"/>
      <c r="I214" s="448"/>
      <c r="J214" s="66"/>
      <c r="K214" s="213">
        <f t="shared" ref="K214:N214" si="31">SUM(K213)</f>
        <v>4</v>
      </c>
      <c r="L214" s="260">
        <f t="shared" si="31"/>
        <v>0.5097600000000001</v>
      </c>
      <c r="M214" s="101">
        <f t="shared" si="31"/>
        <v>0</v>
      </c>
      <c r="N214" s="66">
        <f t="shared" si="31"/>
        <v>0</v>
      </c>
      <c r="O214" s="65"/>
      <c r="P214" s="65"/>
      <c r="Q214" s="1045"/>
      <c r="R214" s="1045"/>
      <c r="AA214" s="65"/>
    </row>
    <row r="215" spans="1:27" ht="15.6">
      <c r="A215" s="20"/>
      <c r="B215" s="21"/>
      <c r="C215" s="20"/>
      <c r="D215" s="20"/>
      <c r="E215" s="20"/>
      <c r="F215" s="20"/>
      <c r="G215" s="65"/>
      <c r="H215" s="65"/>
      <c r="I215" s="448"/>
      <c r="J215" s="66"/>
      <c r="K215" s="213"/>
      <c r="L215" s="260">
        <f>+L214+L211</f>
        <v>69.84302000000001</v>
      </c>
      <c r="M215" s="101">
        <f>+M214+M211</f>
        <v>7</v>
      </c>
      <c r="N215" s="66">
        <f>+N214+N211</f>
        <v>0.87556000000000012</v>
      </c>
      <c r="O215" s="65"/>
      <c r="P215" s="65"/>
      <c r="Q215" s="1045"/>
      <c r="R215" s="1045"/>
      <c r="AA215" s="65"/>
    </row>
    <row r="216" spans="1:27" ht="15.6">
      <c r="A216" s="20"/>
      <c r="B216" s="21"/>
      <c r="C216" s="20"/>
      <c r="D216" s="20"/>
      <c r="E216" s="20"/>
      <c r="F216" s="20"/>
      <c r="G216" s="65"/>
      <c r="H216" s="65"/>
      <c r="I216" s="448"/>
      <c r="J216" s="66"/>
      <c r="K216" s="213"/>
      <c r="L216" s="260"/>
      <c r="M216" s="65"/>
      <c r="N216" s="65"/>
      <c r="O216" s="65"/>
      <c r="P216" s="65"/>
      <c r="Q216" s="1045"/>
      <c r="R216" s="1045"/>
      <c r="AA216" s="65"/>
    </row>
    <row r="217" spans="1:27" ht="15.6">
      <c r="A217" s="20"/>
      <c r="B217" s="21"/>
      <c r="C217" s="20"/>
      <c r="D217" s="20"/>
      <c r="E217" s="20"/>
      <c r="F217" s="20"/>
      <c r="G217" s="65"/>
      <c r="H217" s="65"/>
      <c r="I217" s="448"/>
      <c r="J217" s="66"/>
      <c r="K217" s="213"/>
      <c r="L217" s="260"/>
      <c r="M217" s="65"/>
      <c r="N217" s="65"/>
      <c r="O217" s="65"/>
      <c r="P217" s="65"/>
      <c r="Q217" s="1045"/>
      <c r="R217" s="1045"/>
      <c r="AA217" s="65"/>
    </row>
    <row r="218" spans="1:27" ht="15.6">
      <c r="A218" s="21" t="s">
        <v>83</v>
      </c>
      <c r="B218" s="21" t="s">
        <v>82</v>
      </c>
      <c r="C218" s="21" t="s">
        <v>19</v>
      </c>
      <c r="D218" s="21" t="s">
        <v>20</v>
      </c>
      <c r="E218" s="63" t="s">
        <v>51</v>
      </c>
      <c r="F218" s="22">
        <v>12</v>
      </c>
      <c r="G218" s="65" t="s">
        <v>21</v>
      </c>
      <c r="H218" s="148" t="s">
        <v>95</v>
      </c>
      <c r="I218" s="448">
        <v>13.4</v>
      </c>
      <c r="J218" s="102">
        <v>6.8</v>
      </c>
      <c r="K218" s="213">
        <v>239</v>
      </c>
      <c r="L218" s="130">
        <f t="shared" ref="L218:L228" si="32">(I218*J218*K218/1000)</f>
        <v>21.77768</v>
      </c>
      <c r="M218" s="65"/>
      <c r="N218" s="65"/>
      <c r="O218" s="65"/>
      <c r="P218" s="2069"/>
      <c r="Q218" s="1046"/>
      <c r="R218" s="1046"/>
      <c r="S218" t="s">
        <v>218</v>
      </c>
      <c r="AA218" s="2069" t="s">
        <v>113</v>
      </c>
    </row>
    <row r="219" spans="1:27" ht="15.6">
      <c r="A219" s="20"/>
      <c r="B219" s="21" t="s">
        <v>84</v>
      </c>
      <c r="C219" s="20"/>
      <c r="D219" s="20"/>
      <c r="E219" s="20"/>
      <c r="F219" s="20"/>
      <c r="G219" s="65" t="s">
        <v>21</v>
      </c>
      <c r="H219" s="65" t="s">
        <v>95</v>
      </c>
      <c r="I219" s="448">
        <v>13.4</v>
      </c>
      <c r="J219" s="102">
        <v>7</v>
      </c>
      <c r="K219" s="213">
        <v>89</v>
      </c>
      <c r="L219" s="130">
        <f t="shared" si="32"/>
        <v>8.3481999999999985</v>
      </c>
      <c r="M219" s="65"/>
      <c r="N219" s="65"/>
      <c r="O219" s="65"/>
      <c r="P219" s="2070"/>
      <c r="Q219" s="1046"/>
      <c r="R219" s="1046"/>
      <c r="AA219" s="2070"/>
    </row>
    <row r="220" spans="1:27" ht="15.6">
      <c r="A220" s="65"/>
      <c r="B220" s="65"/>
      <c r="C220" s="65"/>
      <c r="D220" s="65"/>
      <c r="E220" s="65"/>
      <c r="F220" s="65"/>
      <c r="G220" s="65" t="s">
        <v>21</v>
      </c>
      <c r="H220" s="65" t="s">
        <v>95</v>
      </c>
      <c r="I220" s="448">
        <v>13.4</v>
      </c>
      <c r="J220" s="102">
        <v>7.6</v>
      </c>
      <c r="K220" s="213">
        <v>161</v>
      </c>
      <c r="L220" s="130">
        <f t="shared" si="32"/>
        <v>16.396240000000002</v>
      </c>
      <c r="M220" s="65"/>
      <c r="N220" s="65"/>
      <c r="O220" s="65"/>
      <c r="P220" s="2070"/>
      <c r="Q220" s="1046"/>
      <c r="R220" s="1046"/>
      <c r="S220">
        <v>2</v>
      </c>
      <c r="AA220" s="2070"/>
    </row>
    <row r="221" spans="1:27" ht="15.6">
      <c r="A221" s="65"/>
      <c r="B221" s="65"/>
      <c r="C221" s="65"/>
      <c r="D221" s="65"/>
      <c r="E221" s="65"/>
      <c r="F221" s="65"/>
      <c r="G221" s="65" t="s">
        <v>21</v>
      </c>
      <c r="H221" s="65" t="s">
        <v>95</v>
      </c>
      <c r="I221" s="448">
        <v>13.4</v>
      </c>
      <c r="J221" s="102">
        <v>8.25</v>
      </c>
      <c r="K221" s="213">
        <v>20</v>
      </c>
      <c r="L221" s="130">
        <f t="shared" si="32"/>
        <v>2.2109999999999999</v>
      </c>
      <c r="M221" s="65">
        <v>3</v>
      </c>
      <c r="N221" s="23">
        <f t="shared" ref="N221" si="33">J221*M221*I221/1000</f>
        <v>0.33165000000000006</v>
      </c>
      <c r="O221" s="65"/>
      <c r="P221" s="2070"/>
      <c r="Q221" s="1046"/>
      <c r="R221" s="1046"/>
      <c r="S221">
        <f>1+2+1</f>
        <v>4</v>
      </c>
      <c r="T221">
        <f>S221-M221</f>
        <v>1</v>
      </c>
      <c r="AA221" s="2070"/>
    </row>
    <row r="222" spans="1:27" ht="15.6">
      <c r="A222" s="65"/>
      <c r="B222" s="65"/>
      <c r="C222" s="65"/>
      <c r="D222" s="65"/>
      <c r="E222" s="65"/>
      <c r="F222" s="65"/>
      <c r="G222" s="65" t="s">
        <v>21</v>
      </c>
      <c r="H222" s="65" t="s">
        <v>95</v>
      </c>
      <c r="I222" s="448">
        <v>13.4</v>
      </c>
      <c r="J222" s="102">
        <v>9.4</v>
      </c>
      <c r="K222" s="213">
        <v>5</v>
      </c>
      <c r="L222" s="130">
        <f t="shared" si="32"/>
        <v>0.62980000000000003</v>
      </c>
      <c r="M222" s="65"/>
      <c r="N222" s="65"/>
      <c r="O222" s="65"/>
      <c r="P222" s="2070"/>
      <c r="Q222" s="1046"/>
      <c r="R222" s="1046"/>
      <c r="AA222" s="2070"/>
    </row>
    <row r="223" spans="1:27" ht="15.6">
      <c r="A223" s="65"/>
      <c r="B223" s="65"/>
      <c r="C223" s="65"/>
      <c r="D223" s="65"/>
      <c r="E223" s="65"/>
      <c r="F223" s="65"/>
      <c r="G223" s="65" t="s">
        <v>21</v>
      </c>
      <c r="H223" s="65" t="s">
        <v>95</v>
      </c>
      <c r="I223" s="448">
        <v>13.4</v>
      </c>
      <c r="J223" s="102">
        <v>10.5</v>
      </c>
      <c r="K223" s="213">
        <v>250</v>
      </c>
      <c r="L223" s="130">
        <f t="shared" si="32"/>
        <v>35.175000000000004</v>
      </c>
      <c r="M223" s="65">
        <v>1</v>
      </c>
      <c r="N223" s="23">
        <f t="shared" ref="N223" si="34">J223*M223*I223/1000</f>
        <v>0.14070000000000002</v>
      </c>
      <c r="O223" s="65"/>
      <c r="P223" s="2070"/>
      <c r="Q223" s="1046"/>
      <c r="R223" s="1046"/>
      <c r="S223">
        <f>1+1</f>
        <v>2</v>
      </c>
      <c r="T223">
        <f>S223-M223</f>
        <v>1</v>
      </c>
      <c r="AA223" s="2070"/>
    </row>
    <row r="224" spans="1:27" ht="15.6">
      <c r="A224" s="65"/>
      <c r="B224" s="65"/>
      <c r="C224" s="65"/>
      <c r="D224" s="65"/>
      <c r="E224" s="65"/>
      <c r="F224" s="65"/>
      <c r="G224" s="65" t="s">
        <v>21</v>
      </c>
      <c r="H224" s="65" t="s">
        <v>95</v>
      </c>
      <c r="I224" s="448">
        <v>13.4</v>
      </c>
      <c r="J224" s="102">
        <v>11.5</v>
      </c>
      <c r="K224" s="213">
        <v>80</v>
      </c>
      <c r="L224" s="130">
        <f t="shared" si="32"/>
        <v>12.327999999999999</v>
      </c>
      <c r="M224" s="65"/>
      <c r="N224" s="65"/>
      <c r="O224" s="65"/>
      <c r="P224" s="2070"/>
      <c r="Q224" s="1046"/>
      <c r="R224" s="1046"/>
      <c r="AA224" s="2070"/>
    </row>
    <row r="225" spans="1:27" ht="15.6">
      <c r="A225" s="65"/>
      <c r="B225" s="65"/>
      <c r="C225" s="65"/>
      <c r="D225" s="65"/>
      <c r="E225" s="65"/>
      <c r="F225" s="65"/>
      <c r="G225" s="65" t="s">
        <v>21</v>
      </c>
      <c r="H225" s="65" t="s">
        <v>95</v>
      </c>
      <c r="I225" s="448">
        <v>13.4</v>
      </c>
      <c r="J225" s="102">
        <v>11.6</v>
      </c>
      <c r="K225" s="213">
        <v>1</v>
      </c>
      <c r="L225" s="130">
        <f t="shared" si="32"/>
        <v>0.15543999999999999</v>
      </c>
      <c r="M225" s="65"/>
      <c r="N225" s="65"/>
      <c r="O225" s="65"/>
      <c r="P225" s="2070"/>
      <c r="Q225" s="1046"/>
      <c r="R225" s="1046"/>
      <c r="S225">
        <v>1</v>
      </c>
      <c r="AA225" s="2070"/>
    </row>
    <row r="226" spans="1:27" ht="15.6">
      <c r="A226" s="65"/>
      <c r="B226" s="65"/>
      <c r="C226" s="65"/>
      <c r="D226" s="65"/>
      <c r="E226" s="65"/>
      <c r="F226" s="65"/>
      <c r="G226" s="65" t="s">
        <v>21</v>
      </c>
      <c r="H226" s="65" t="s">
        <v>95</v>
      </c>
      <c r="I226" s="448">
        <v>13.4</v>
      </c>
      <c r="J226" s="102">
        <v>11.8</v>
      </c>
      <c r="K226" s="213">
        <v>51</v>
      </c>
      <c r="L226" s="130">
        <f t="shared" si="32"/>
        <v>8.0641199999999991</v>
      </c>
      <c r="M226" s="65"/>
      <c r="N226" s="65"/>
      <c r="O226" s="65"/>
      <c r="P226" s="2070"/>
      <c r="Q226" s="1046"/>
      <c r="R226" s="1046"/>
      <c r="AA226" s="2070"/>
    </row>
    <row r="227" spans="1:27" ht="15.6">
      <c r="A227" s="65"/>
      <c r="B227" s="65"/>
      <c r="C227" s="65"/>
      <c r="D227" s="65"/>
      <c r="E227" s="65"/>
      <c r="F227" s="65"/>
      <c r="G227" s="65" t="s">
        <v>21</v>
      </c>
      <c r="H227" s="65" t="s">
        <v>95</v>
      </c>
      <c r="I227" s="448">
        <v>13.4</v>
      </c>
      <c r="J227" s="102">
        <v>11.9</v>
      </c>
      <c r="K227" s="213">
        <v>89</v>
      </c>
      <c r="L227" s="130">
        <f t="shared" si="32"/>
        <v>14.191940000000001</v>
      </c>
      <c r="M227" s="65"/>
      <c r="N227" s="65"/>
      <c r="O227" s="65"/>
      <c r="P227" s="2070"/>
      <c r="Q227" s="1046"/>
      <c r="R227" s="1046"/>
      <c r="AA227" s="2070"/>
    </row>
    <row r="228" spans="1:27" ht="15.6">
      <c r="A228" s="65"/>
      <c r="B228" s="65"/>
      <c r="C228" s="65"/>
      <c r="D228" s="65"/>
      <c r="E228" s="65"/>
      <c r="F228" s="65"/>
      <c r="G228" s="65" t="s">
        <v>21</v>
      </c>
      <c r="H228" s="65" t="s">
        <v>95</v>
      </c>
      <c r="I228" s="448">
        <v>13.4</v>
      </c>
      <c r="J228" s="102">
        <v>12</v>
      </c>
      <c r="K228" s="213">
        <v>14</v>
      </c>
      <c r="L228" s="130">
        <f t="shared" si="32"/>
        <v>2.2512000000000003</v>
      </c>
      <c r="M228" s="65"/>
      <c r="N228" s="65"/>
      <c r="O228" s="65"/>
      <c r="P228" s="2070"/>
      <c r="Q228" s="1046"/>
      <c r="R228" s="1046"/>
      <c r="AA228" s="2070"/>
    </row>
    <row r="229" spans="1:27" ht="15.6">
      <c r="A229" s="65"/>
      <c r="B229" s="65"/>
      <c r="C229" s="65"/>
      <c r="D229" s="65"/>
      <c r="E229" s="65"/>
      <c r="F229" s="65"/>
      <c r="G229" s="65"/>
      <c r="H229" s="65"/>
      <c r="I229" s="448"/>
      <c r="J229" s="102"/>
      <c r="K229" s="213">
        <f t="shared" ref="K229:M229" si="35">SUM(K218:K228)</f>
        <v>999</v>
      </c>
      <c r="L229" s="260">
        <f>SUM(L218:L228)</f>
        <v>121.52862000000002</v>
      </c>
      <c r="M229" s="101">
        <f t="shared" si="35"/>
        <v>4</v>
      </c>
      <c r="N229" s="66">
        <f>SUM(N218:N228)</f>
        <v>0.47235000000000005</v>
      </c>
      <c r="O229" s="65"/>
      <c r="P229" s="2070"/>
      <c r="Q229" s="1034"/>
      <c r="R229" s="1034"/>
      <c r="S229" s="101">
        <f t="shared" ref="S229" si="36">SUM(S218:S228)</f>
        <v>9</v>
      </c>
      <c r="AA229" s="2070"/>
    </row>
    <row r="230" spans="1:27" ht="15.6">
      <c r="A230" s="65"/>
      <c r="B230" s="65"/>
      <c r="C230" s="65"/>
      <c r="D230" s="65"/>
      <c r="E230" s="65"/>
      <c r="F230" s="65"/>
      <c r="G230" s="65"/>
      <c r="H230" s="65"/>
      <c r="I230" s="448"/>
      <c r="J230" s="102"/>
      <c r="K230" s="213"/>
      <c r="L230" s="260"/>
      <c r="M230" s="65"/>
      <c r="N230" s="65"/>
      <c r="O230" s="65"/>
      <c r="P230" s="2070"/>
      <c r="Q230" s="1046"/>
      <c r="R230" s="1046"/>
      <c r="AA230" s="2070"/>
    </row>
    <row r="231" spans="1:27" ht="15.6">
      <c r="A231" s="21" t="s">
        <v>83</v>
      </c>
      <c r="B231" s="21" t="s">
        <v>85</v>
      </c>
      <c r="C231" s="21" t="s">
        <v>19</v>
      </c>
      <c r="D231" s="21" t="s">
        <v>20</v>
      </c>
      <c r="E231" s="63" t="s">
        <v>51</v>
      </c>
      <c r="F231" s="22">
        <v>12</v>
      </c>
      <c r="G231" s="65" t="s">
        <v>21</v>
      </c>
      <c r="H231" s="148" t="s">
        <v>95</v>
      </c>
      <c r="I231" s="448">
        <v>13.4</v>
      </c>
      <c r="J231" s="66">
        <v>7.6</v>
      </c>
      <c r="K231" s="213">
        <v>12</v>
      </c>
      <c r="L231" s="130">
        <f t="shared" ref="L231:L238" si="37">(I231*J231*K231/1000)</f>
        <v>1.2220799999999998</v>
      </c>
      <c r="M231" s="65"/>
      <c r="N231" s="65"/>
      <c r="O231" s="65"/>
      <c r="P231" s="2070"/>
      <c r="Q231" s="1046"/>
      <c r="R231" s="1046"/>
      <c r="S231" t="s">
        <v>218</v>
      </c>
      <c r="AA231" s="2070"/>
    </row>
    <row r="232" spans="1:27" ht="15.6">
      <c r="A232" s="20"/>
      <c r="B232" s="21" t="s">
        <v>52</v>
      </c>
      <c r="C232" s="20"/>
      <c r="D232" s="20"/>
      <c r="E232" s="20"/>
      <c r="F232" s="20"/>
      <c r="G232" s="65" t="s">
        <v>21</v>
      </c>
      <c r="H232" s="65" t="s">
        <v>95</v>
      </c>
      <c r="I232" s="448">
        <v>13.4</v>
      </c>
      <c r="J232" s="66">
        <v>8.25</v>
      </c>
      <c r="K232" s="213">
        <v>4</v>
      </c>
      <c r="L232" s="130">
        <f t="shared" si="37"/>
        <v>0.44219999999999998</v>
      </c>
      <c r="M232" s="65"/>
      <c r="N232" s="65"/>
      <c r="O232" s="65"/>
      <c r="P232" s="2070"/>
      <c r="Q232" s="1046"/>
      <c r="R232" s="1046"/>
      <c r="AA232" s="2070"/>
    </row>
    <row r="233" spans="1:27" ht="15.6">
      <c r="A233" s="65"/>
      <c r="B233" s="65"/>
      <c r="C233" s="65"/>
      <c r="D233" s="65"/>
      <c r="E233" s="65"/>
      <c r="F233" s="65"/>
      <c r="G233" s="65" t="s">
        <v>21</v>
      </c>
      <c r="H233" s="65" t="s">
        <v>95</v>
      </c>
      <c r="I233" s="448">
        <v>13.4</v>
      </c>
      <c r="J233" s="66">
        <v>9.4</v>
      </c>
      <c r="K233" s="213">
        <v>19</v>
      </c>
      <c r="L233" s="130">
        <f t="shared" si="37"/>
        <v>2.39324</v>
      </c>
      <c r="M233" s="65"/>
      <c r="N233" s="65"/>
      <c r="O233" s="65"/>
      <c r="P233" s="2070"/>
      <c r="Q233" s="1046"/>
      <c r="R233" s="1046"/>
      <c r="S233">
        <f>4+3</f>
        <v>7</v>
      </c>
      <c r="AA233" s="2070"/>
    </row>
    <row r="234" spans="1:27" ht="15.6">
      <c r="A234" s="65"/>
      <c r="B234" s="65"/>
      <c r="C234" s="65"/>
      <c r="D234" s="65"/>
      <c r="E234" s="65"/>
      <c r="F234" s="65"/>
      <c r="G234" s="65" t="s">
        <v>21</v>
      </c>
      <c r="H234" s="65" t="s">
        <v>95</v>
      </c>
      <c r="I234" s="448">
        <v>13.4</v>
      </c>
      <c r="J234" s="66">
        <v>10.5</v>
      </c>
      <c r="K234" s="213">
        <v>9</v>
      </c>
      <c r="L234" s="130">
        <f t="shared" si="37"/>
        <v>1.2663000000000002</v>
      </c>
      <c r="M234" s="65"/>
      <c r="N234" s="65"/>
      <c r="O234" s="65"/>
      <c r="P234" s="2070"/>
      <c r="Q234" s="1046"/>
      <c r="R234" s="1046"/>
      <c r="AA234" s="2070"/>
    </row>
    <row r="235" spans="1:27" ht="15.6">
      <c r="A235" s="65"/>
      <c r="B235" s="65"/>
      <c r="C235" s="65"/>
      <c r="D235" s="65"/>
      <c r="E235" s="65"/>
      <c r="F235" s="65"/>
      <c r="G235" s="65" t="s">
        <v>21</v>
      </c>
      <c r="H235" s="65" t="s">
        <v>95</v>
      </c>
      <c r="I235" s="448">
        <v>13.4</v>
      </c>
      <c r="J235" s="66">
        <v>11.4</v>
      </c>
      <c r="K235" s="213">
        <v>38</v>
      </c>
      <c r="L235" s="130">
        <f t="shared" si="37"/>
        <v>5.8048800000000007</v>
      </c>
      <c r="M235" s="65"/>
      <c r="N235" s="65"/>
      <c r="O235" s="65"/>
      <c r="P235" s="2070"/>
      <c r="Q235" s="1046"/>
      <c r="R235" s="1046"/>
      <c r="AA235" s="2070"/>
    </row>
    <row r="236" spans="1:27" ht="15.6">
      <c r="A236" s="65"/>
      <c r="B236" s="65"/>
      <c r="C236" s="65"/>
      <c r="D236" s="65"/>
      <c r="E236" s="65"/>
      <c r="F236" s="65"/>
      <c r="G236" s="65" t="s">
        <v>21</v>
      </c>
      <c r="H236" s="65" t="s">
        <v>95</v>
      </c>
      <c r="I236" s="448">
        <v>13.4</v>
      </c>
      <c r="J236" s="66">
        <v>11.6</v>
      </c>
      <c r="K236" s="213">
        <v>24</v>
      </c>
      <c r="L236" s="130">
        <f t="shared" si="37"/>
        <v>3.7305600000000001</v>
      </c>
      <c r="M236" s="65"/>
      <c r="N236" s="65"/>
      <c r="O236" s="65"/>
      <c r="P236" s="2070"/>
      <c r="Q236" s="1046"/>
      <c r="R236" s="1046"/>
      <c r="AA236" s="2070"/>
    </row>
    <row r="237" spans="1:27" ht="15.6">
      <c r="A237" s="65"/>
      <c r="B237" s="65"/>
      <c r="C237" s="65"/>
      <c r="D237" s="65"/>
      <c r="E237" s="65"/>
      <c r="F237" s="65"/>
      <c r="G237" s="65" t="s">
        <v>21</v>
      </c>
      <c r="H237" s="65" t="s">
        <v>95</v>
      </c>
      <c r="I237" s="448">
        <v>13.4</v>
      </c>
      <c r="J237" s="66">
        <v>11.8</v>
      </c>
      <c r="K237" s="213">
        <v>18</v>
      </c>
      <c r="L237" s="130">
        <f t="shared" si="37"/>
        <v>2.8461599999999998</v>
      </c>
      <c r="M237" s="65"/>
      <c r="N237" s="65"/>
      <c r="O237" s="65"/>
      <c r="P237" s="2070"/>
      <c r="Q237" s="1046"/>
      <c r="R237" s="1046"/>
      <c r="AA237" s="2070"/>
    </row>
    <row r="238" spans="1:27" ht="15.6">
      <c r="A238" s="65"/>
      <c r="B238" s="65"/>
      <c r="C238" s="65"/>
      <c r="D238" s="65"/>
      <c r="E238" s="65"/>
      <c r="F238" s="65"/>
      <c r="G238" s="65" t="s">
        <v>21</v>
      </c>
      <c r="H238" s="65" t="s">
        <v>95</v>
      </c>
      <c r="I238" s="448">
        <v>13.4</v>
      </c>
      <c r="J238" s="66">
        <v>12</v>
      </c>
      <c r="K238" s="213">
        <v>1</v>
      </c>
      <c r="L238" s="130">
        <f t="shared" si="37"/>
        <v>0.1608</v>
      </c>
      <c r="M238" s="65"/>
      <c r="N238" s="65"/>
      <c r="O238" s="65"/>
      <c r="P238" s="2071"/>
      <c r="Q238" s="1046"/>
      <c r="R238" s="1046"/>
      <c r="AA238" s="2071"/>
    </row>
    <row r="239" spans="1:27" ht="15.6">
      <c r="A239" s="65"/>
      <c r="B239" s="65"/>
      <c r="C239" s="65"/>
      <c r="D239" s="65"/>
      <c r="E239" s="65"/>
      <c r="F239" s="65"/>
      <c r="G239" s="65"/>
      <c r="H239" s="65"/>
      <c r="I239" s="448"/>
      <c r="J239" s="66"/>
      <c r="K239" s="213">
        <f t="shared" ref="K239" si="38">SUM(K231:K238)</f>
        <v>125</v>
      </c>
      <c r="L239" s="260">
        <f>SUM(L231:L238)</f>
        <v>17.866220000000002</v>
      </c>
      <c r="M239" s="65"/>
      <c r="N239" s="65"/>
      <c r="O239" s="65"/>
      <c r="P239" s="65"/>
      <c r="Q239" s="65"/>
      <c r="R239" s="65"/>
      <c r="S239" s="101">
        <f t="shared" ref="S239" si="39">SUM(S231:S238)</f>
        <v>7</v>
      </c>
      <c r="AA239" s="65"/>
    </row>
    <row r="240" spans="1:27" ht="15.6">
      <c r="A240" s="65"/>
      <c r="B240" s="65"/>
      <c r="C240" s="65"/>
      <c r="D240" s="65"/>
      <c r="E240" s="65"/>
      <c r="F240" s="65"/>
      <c r="G240" s="65"/>
      <c r="H240" s="65"/>
      <c r="I240" s="448"/>
      <c r="J240" s="66"/>
      <c r="K240" s="213"/>
      <c r="L240" s="260">
        <f>+L239+L229</f>
        <v>139.39484000000002</v>
      </c>
      <c r="M240" s="101">
        <f t="shared" ref="M240:N240" si="40">+M239+M229</f>
        <v>4</v>
      </c>
      <c r="N240" s="66">
        <f t="shared" si="40"/>
        <v>0.47235000000000005</v>
      </c>
      <c r="O240" s="65"/>
      <c r="P240" s="65"/>
      <c r="Q240" s="1045"/>
      <c r="R240" s="1045"/>
      <c r="AA240" s="65"/>
    </row>
    <row r="241" spans="1:27" ht="15.6">
      <c r="A241" s="65"/>
      <c r="B241" s="65"/>
      <c r="C241" s="65"/>
      <c r="D241" s="65"/>
      <c r="E241" s="65"/>
      <c r="F241" s="65"/>
      <c r="G241" s="65"/>
      <c r="H241" s="65"/>
      <c r="I241" s="448"/>
      <c r="J241" s="66"/>
      <c r="K241" s="213"/>
      <c r="L241" s="260"/>
      <c r="M241" s="65"/>
      <c r="N241" s="65"/>
      <c r="O241" s="65"/>
      <c r="P241" s="65"/>
      <c r="Q241" s="1045"/>
      <c r="R241" s="1045"/>
      <c r="AA241" s="65"/>
    </row>
    <row r="242" spans="1:27" ht="15.6">
      <c r="A242" s="21" t="s">
        <v>83</v>
      </c>
      <c r="B242" s="21" t="s">
        <v>82</v>
      </c>
      <c r="C242" s="21" t="s">
        <v>19</v>
      </c>
      <c r="D242" s="21" t="s">
        <v>20</v>
      </c>
      <c r="E242" s="63" t="s">
        <v>51</v>
      </c>
      <c r="F242" s="22">
        <v>12</v>
      </c>
      <c r="G242" s="65" t="s">
        <v>21</v>
      </c>
      <c r="H242" s="148" t="s">
        <v>99</v>
      </c>
      <c r="I242" s="448">
        <v>15</v>
      </c>
      <c r="J242" s="102">
        <v>6.4</v>
      </c>
      <c r="K242" s="213">
        <v>153</v>
      </c>
      <c r="L242" s="130">
        <f t="shared" ref="L242:L245" si="41">(I242*J242*K242/1000)</f>
        <v>14.688000000000001</v>
      </c>
      <c r="M242" s="65"/>
      <c r="N242" s="65"/>
      <c r="O242" s="65"/>
      <c r="P242" s="2069"/>
      <c r="Q242" s="1046"/>
      <c r="R242" s="1046"/>
      <c r="S242">
        <f>8+2+1+2</f>
        <v>13</v>
      </c>
      <c r="T242" t="s">
        <v>217</v>
      </c>
      <c r="AA242" s="2069" t="s">
        <v>114</v>
      </c>
    </row>
    <row r="243" spans="1:27" ht="15.6">
      <c r="A243" s="20"/>
      <c r="B243" s="21" t="s">
        <v>84</v>
      </c>
      <c r="C243" s="20"/>
      <c r="D243" s="20"/>
      <c r="E243" s="20"/>
      <c r="F243" s="20"/>
      <c r="G243" s="65" t="s">
        <v>21</v>
      </c>
      <c r="H243" s="65" t="s">
        <v>99</v>
      </c>
      <c r="I243" s="448">
        <v>15</v>
      </c>
      <c r="J243" s="102">
        <v>8.6999999999999993</v>
      </c>
      <c r="K243" s="213">
        <v>26</v>
      </c>
      <c r="L243" s="130">
        <f t="shared" si="41"/>
        <v>3.3929999999999998</v>
      </c>
      <c r="M243" s="65"/>
      <c r="N243" s="65"/>
      <c r="O243" s="65"/>
      <c r="P243" s="2070"/>
      <c r="Q243" s="1046"/>
      <c r="R243" s="1046"/>
      <c r="S243">
        <f>6+3+2+1</f>
        <v>12</v>
      </c>
      <c r="AA243" s="2070"/>
    </row>
    <row r="244" spans="1:27" ht="15.6">
      <c r="A244" s="65"/>
      <c r="B244" s="65"/>
      <c r="C244" s="65"/>
      <c r="D244" s="65"/>
      <c r="E244" s="65"/>
      <c r="F244" s="65"/>
      <c r="G244" s="65" t="s">
        <v>21</v>
      </c>
      <c r="H244" s="65" t="s">
        <v>99</v>
      </c>
      <c r="I244" s="448">
        <v>15</v>
      </c>
      <c r="J244" s="102">
        <v>11</v>
      </c>
      <c r="K244" s="213">
        <v>14</v>
      </c>
      <c r="L244" s="130">
        <f t="shared" si="41"/>
        <v>2.31</v>
      </c>
      <c r="M244" s="65"/>
      <c r="N244" s="65"/>
      <c r="O244" s="65"/>
      <c r="P244" s="2070"/>
      <c r="Q244" s="1046"/>
      <c r="R244" s="1046"/>
      <c r="AA244" s="2070"/>
    </row>
    <row r="245" spans="1:27" ht="15.6">
      <c r="A245" s="65"/>
      <c r="B245" s="65"/>
      <c r="C245" s="65"/>
      <c r="D245" s="65"/>
      <c r="E245" s="65"/>
      <c r="F245" s="65"/>
      <c r="G245" s="65" t="s">
        <v>21</v>
      </c>
      <c r="H245" s="65" t="s">
        <v>99</v>
      </c>
      <c r="I245" s="448">
        <v>15</v>
      </c>
      <c r="J245" s="102">
        <v>11.3</v>
      </c>
      <c r="K245" s="213">
        <v>19</v>
      </c>
      <c r="L245" s="130">
        <f t="shared" si="41"/>
        <v>3.2204999999999999</v>
      </c>
      <c r="M245" s="65"/>
      <c r="N245" s="65"/>
      <c r="O245" s="65"/>
      <c r="P245" s="2070"/>
      <c r="Q245" s="1046"/>
      <c r="R245" s="1046"/>
      <c r="S245">
        <v>1</v>
      </c>
      <c r="AA245" s="2070"/>
    </row>
    <row r="246" spans="1:27" ht="15.6">
      <c r="A246" s="65"/>
      <c r="B246" s="65"/>
      <c r="C246" s="65"/>
      <c r="D246" s="65"/>
      <c r="E246" s="65"/>
      <c r="F246" s="65"/>
      <c r="G246" s="65"/>
      <c r="H246" s="65"/>
      <c r="I246" s="448"/>
      <c r="J246" s="102"/>
      <c r="K246" s="213">
        <f t="shared" ref="K246" si="42">SUM(K242:K245)</f>
        <v>212</v>
      </c>
      <c r="L246" s="260">
        <f>SUM(L242:L245)</f>
        <v>23.611499999999999</v>
      </c>
      <c r="M246" s="65"/>
      <c r="N246" s="65"/>
      <c r="O246" s="65"/>
      <c r="P246" s="2070"/>
      <c r="Q246" s="1034"/>
      <c r="R246" s="1034"/>
      <c r="S246" s="101">
        <f t="shared" ref="S246" si="43">SUM(S242:S245)</f>
        <v>26</v>
      </c>
      <c r="AA246" s="2070"/>
    </row>
    <row r="247" spans="1:27" ht="15.6">
      <c r="A247" s="65"/>
      <c r="B247" s="65"/>
      <c r="C247" s="65"/>
      <c r="D247" s="65"/>
      <c r="E247" s="65"/>
      <c r="F247" s="65"/>
      <c r="G247" s="65"/>
      <c r="H247" s="65"/>
      <c r="I247" s="303"/>
      <c r="J247" s="65"/>
      <c r="K247" s="212"/>
      <c r="L247" s="303"/>
      <c r="M247" s="65"/>
      <c r="N247" s="65"/>
      <c r="O247" s="65"/>
      <c r="P247" s="2070"/>
      <c r="Q247" s="1046"/>
      <c r="R247" s="1046"/>
      <c r="AA247" s="2070"/>
    </row>
    <row r="248" spans="1:27" ht="15.6">
      <c r="A248" s="21" t="s">
        <v>83</v>
      </c>
      <c r="B248" s="21" t="s">
        <v>85</v>
      </c>
      <c r="C248" s="21" t="s">
        <v>19</v>
      </c>
      <c r="D248" s="21" t="s">
        <v>20</v>
      </c>
      <c r="E248" s="63" t="s">
        <v>51</v>
      </c>
      <c r="F248" s="22">
        <v>12</v>
      </c>
      <c r="G248" s="65" t="s">
        <v>21</v>
      </c>
      <c r="H248" s="148" t="s">
        <v>99</v>
      </c>
      <c r="I248" s="448">
        <v>15</v>
      </c>
      <c r="J248" s="66">
        <v>11</v>
      </c>
      <c r="K248" s="213">
        <v>8</v>
      </c>
      <c r="L248" s="130">
        <f>(I248*J248*K248/1000)</f>
        <v>1.32</v>
      </c>
      <c r="M248" s="65"/>
      <c r="N248" s="65"/>
      <c r="O248" s="65"/>
      <c r="P248" s="2070"/>
      <c r="Q248" s="1046"/>
      <c r="R248" s="1046"/>
      <c r="S248" t="s">
        <v>217</v>
      </c>
      <c r="AA248" s="2070"/>
    </row>
    <row r="249" spans="1:27" ht="15.6">
      <c r="A249" s="20"/>
      <c r="B249" s="21" t="s">
        <v>52</v>
      </c>
      <c r="C249" s="20"/>
      <c r="D249" s="20"/>
      <c r="E249" s="20"/>
      <c r="F249" s="20"/>
      <c r="G249" s="65"/>
      <c r="H249" s="65"/>
      <c r="I249" s="448"/>
      <c r="J249" s="66"/>
      <c r="K249" s="213">
        <f t="shared" ref="K249" si="44">SUM(K248)</f>
        <v>8</v>
      </c>
      <c r="L249" s="260">
        <f>SUM(L248)</f>
        <v>1.32</v>
      </c>
      <c r="M249" s="65"/>
      <c r="N249" s="65"/>
      <c r="O249" s="65"/>
      <c r="P249" s="2071"/>
      <c r="Q249" s="1046"/>
      <c r="R249" s="1046"/>
      <c r="AA249" s="2071"/>
    </row>
    <row r="250" spans="1:27" ht="15.6">
      <c r="A250" s="65"/>
      <c r="B250" s="65"/>
      <c r="C250" s="65"/>
      <c r="D250" s="65"/>
      <c r="E250" s="65"/>
      <c r="F250" s="65"/>
      <c r="G250" s="65"/>
      <c r="H250" s="65"/>
      <c r="I250" s="303"/>
      <c r="J250" s="65"/>
      <c r="K250" s="212"/>
      <c r="L250" s="260">
        <f>+L249+L246</f>
        <v>24.9315</v>
      </c>
      <c r="M250" s="65"/>
      <c r="N250" s="65"/>
      <c r="O250" s="65"/>
      <c r="P250" s="65"/>
      <c r="Q250" s="1045"/>
      <c r="R250" s="1045"/>
      <c r="AA250" s="65"/>
    </row>
    <row r="251" spans="1:27" ht="15.6">
      <c r="A251" s="65"/>
      <c r="B251" s="65"/>
      <c r="C251" s="65"/>
      <c r="D251" s="65"/>
      <c r="E251" s="65"/>
      <c r="F251" s="65"/>
      <c r="G251" s="65"/>
      <c r="H251" s="65"/>
      <c r="I251" s="303"/>
      <c r="J251" s="65"/>
      <c r="K251" s="212"/>
      <c r="L251" s="260"/>
      <c r="M251" s="65"/>
      <c r="N251" s="65"/>
      <c r="O251" s="65"/>
      <c r="P251" s="65"/>
      <c r="Q251" s="1045"/>
      <c r="R251" s="1045"/>
      <c r="AA251" s="65"/>
    </row>
    <row r="252" spans="1:27" ht="15.6">
      <c r="A252" s="21" t="s">
        <v>83</v>
      </c>
      <c r="B252" s="21" t="s">
        <v>89</v>
      </c>
      <c r="C252" s="21" t="s">
        <v>19</v>
      </c>
      <c r="D252" s="21" t="s">
        <v>20</v>
      </c>
      <c r="E252" s="21" t="s">
        <v>47</v>
      </c>
      <c r="F252" s="22">
        <v>13</v>
      </c>
      <c r="G252" s="65" t="s">
        <v>21</v>
      </c>
      <c r="H252" s="148" t="s">
        <v>92</v>
      </c>
      <c r="I252" s="448">
        <v>16.600000000000001</v>
      </c>
      <c r="J252" s="66">
        <v>12</v>
      </c>
      <c r="K252" s="213">
        <v>12</v>
      </c>
      <c r="L252" s="130">
        <f>(I252*J252*K252/1000)</f>
        <v>2.3904000000000001</v>
      </c>
      <c r="M252" s="65">
        <v>12</v>
      </c>
      <c r="N252" s="23">
        <f>J252*M252*I252/1000</f>
        <v>2.3904000000000001</v>
      </c>
      <c r="O252" s="65"/>
      <c r="P252" s="65"/>
      <c r="Q252" s="1045"/>
      <c r="R252" s="1045"/>
      <c r="S252" t="s">
        <v>217</v>
      </c>
      <c r="AA252" s="65" t="s">
        <v>115</v>
      </c>
    </row>
    <row r="253" spans="1:27" ht="15.6">
      <c r="A253" s="20"/>
      <c r="B253" s="21" t="s">
        <v>93</v>
      </c>
      <c r="C253" s="20"/>
      <c r="D253" s="20"/>
      <c r="E253" s="20"/>
      <c r="F253" s="20"/>
      <c r="G253" s="65"/>
      <c r="H253" s="65"/>
      <c r="I253" s="448"/>
      <c r="J253" s="66"/>
      <c r="K253" s="213">
        <f t="shared" ref="K253:M253" si="45">SUM(K252)</f>
        <v>12</v>
      </c>
      <c r="L253" s="130">
        <f>SUM(L252)</f>
        <v>2.3904000000000001</v>
      </c>
      <c r="M253" s="101">
        <f t="shared" si="45"/>
        <v>12</v>
      </c>
      <c r="N253" s="100">
        <f>SUM(N252)</f>
        <v>2.3904000000000001</v>
      </c>
      <c r="O253" s="65"/>
      <c r="P253" s="65"/>
      <c r="Q253" s="1045"/>
      <c r="R253" s="1045"/>
      <c r="AA253" s="65"/>
    </row>
    <row r="254" spans="1:27" ht="15.6">
      <c r="A254" s="65"/>
      <c r="B254" s="65"/>
      <c r="C254" s="65"/>
      <c r="D254" s="65"/>
      <c r="E254" s="65"/>
      <c r="F254" s="65"/>
      <c r="G254" s="65"/>
      <c r="H254" s="65"/>
      <c r="I254" s="303"/>
      <c r="J254" s="65"/>
      <c r="K254" s="212"/>
      <c r="L254" s="303"/>
      <c r="M254" s="65"/>
      <c r="N254" s="65"/>
      <c r="O254" s="65"/>
      <c r="P254" s="65"/>
      <c r="Q254" s="1045"/>
      <c r="R254" s="1045"/>
      <c r="AA254" s="65"/>
    </row>
    <row r="255" spans="1:27" ht="15.6">
      <c r="A255" s="21" t="s">
        <v>83</v>
      </c>
      <c r="B255" s="21" t="s">
        <v>85</v>
      </c>
      <c r="C255" s="21" t="s">
        <v>19</v>
      </c>
      <c r="D255" s="21" t="s">
        <v>20</v>
      </c>
      <c r="E255" s="63" t="s">
        <v>51</v>
      </c>
      <c r="F255" s="22">
        <v>13</v>
      </c>
      <c r="G255" s="65" t="s">
        <v>21</v>
      </c>
      <c r="H255" s="148" t="s">
        <v>92</v>
      </c>
      <c r="I255" s="448">
        <v>16.600000000000001</v>
      </c>
      <c r="J255" s="66">
        <v>11.9</v>
      </c>
      <c r="K255" s="213">
        <v>23</v>
      </c>
      <c r="L255" s="130">
        <f>(I255*J255*K255/1000)</f>
        <v>4.5434200000000002</v>
      </c>
      <c r="M255" s="65"/>
      <c r="N255" s="23">
        <f>J255*M255*I255/1000</f>
        <v>0</v>
      </c>
      <c r="O255" s="65"/>
      <c r="P255" s="65"/>
      <c r="Q255" s="1045"/>
      <c r="R255" s="1045"/>
      <c r="S255">
        <v>12</v>
      </c>
      <c r="AA255" s="65" t="s">
        <v>116</v>
      </c>
    </row>
    <row r="256" spans="1:27" ht="15.6">
      <c r="A256" s="20"/>
      <c r="B256" s="21" t="s">
        <v>52</v>
      </c>
      <c r="C256" s="20"/>
      <c r="D256" s="20"/>
      <c r="E256" s="20"/>
      <c r="F256" s="20"/>
      <c r="G256" s="65"/>
      <c r="H256" s="65"/>
      <c r="I256" s="448"/>
      <c r="J256" s="66"/>
      <c r="K256" s="213">
        <f t="shared" ref="K256:M256" si="46">SUM(K255)</f>
        <v>23</v>
      </c>
      <c r="L256" s="260">
        <f>SUM(L255)</f>
        <v>4.5434200000000002</v>
      </c>
      <c r="M256" s="101">
        <f t="shared" si="46"/>
        <v>0</v>
      </c>
      <c r="N256" s="66">
        <f>SUM(N255)</f>
        <v>0</v>
      </c>
      <c r="O256" s="65"/>
      <c r="P256" s="65"/>
      <c r="Q256" s="1045"/>
      <c r="R256" s="1045"/>
      <c r="S256" t="s">
        <v>217</v>
      </c>
      <c r="AA256" s="65"/>
    </row>
    <row r="257" spans="1:27" ht="15.6">
      <c r="A257" s="65"/>
      <c r="B257" s="65"/>
      <c r="C257" s="65"/>
      <c r="D257" s="65"/>
      <c r="E257" s="65"/>
      <c r="F257" s="65"/>
      <c r="G257" s="65"/>
      <c r="H257" s="65"/>
      <c r="I257" s="303"/>
      <c r="J257" s="65"/>
      <c r="K257" s="212"/>
      <c r="L257" s="260">
        <f>+L256+L253</f>
        <v>6.9338200000000008</v>
      </c>
      <c r="M257" s="101">
        <f t="shared" ref="M257" si="47">+M256+M253</f>
        <v>12</v>
      </c>
      <c r="N257" s="66">
        <f>+N256+N253</f>
        <v>2.3904000000000001</v>
      </c>
      <c r="O257" s="65"/>
      <c r="P257" s="65"/>
      <c r="Q257" s="1045"/>
      <c r="R257" s="1045"/>
      <c r="AA257" s="65"/>
    </row>
    <row r="258" spans="1:27" ht="15.6">
      <c r="A258" s="65"/>
      <c r="B258" s="65"/>
      <c r="C258" s="65"/>
      <c r="D258" s="65"/>
      <c r="E258" s="65"/>
      <c r="F258" s="65"/>
      <c r="G258" s="65"/>
      <c r="H258" s="65"/>
      <c r="I258" s="303"/>
      <c r="J258" s="65"/>
      <c r="K258" s="212"/>
      <c r="L258" s="303"/>
      <c r="M258" s="65"/>
      <c r="N258" s="65"/>
      <c r="O258" s="65"/>
      <c r="P258" s="65"/>
      <c r="Q258" s="1045"/>
      <c r="R258" s="1045"/>
      <c r="AA258" s="65"/>
    </row>
    <row r="259" spans="1:27" ht="15.6">
      <c r="A259" s="21" t="s">
        <v>83</v>
      </c>
      <c r="B259" s="21" t="s">
        <v>85</v>
      </c>
      <c r="C259" s="21" t="s">
        <v>19</v>
      </c>
      <c r="D259" s="21" t="s">
        <v>60</v>
      </c>
      <c r="E259" s="21" t="s">
        <v>167</v>
      </c>
      <c r="F259" s="22">
        <v>12</v>
      </c>
      <c r="G259" s="65" t="s">
        <v>61</v>
      </c>
      <c r="H259" s="148" t="s">
        <v>95</v>
      </c>
      <c r="I259" s="448">
        <v>13.4</v>
      </c>
      <c r="J259" s="66">
        <v>12</v>
      </c>
      <c r="K259" s="213">
        <v>2</v>
      </c>
      <c r="L259" s="130">
        <f>(I259*J259*K259/1000)</f>
        <v>0.3216</v>
      </c>
      <c r="M259" s="65">
        <v>2</v>
      </c>
      <c r="N259" s="66">
        <f>J259*M259*I259/1000</f>
        <v>0.3216</v>
      </c>
      <c r="O259" s="65"/>
      <c r="P259" s="2072"/>
      <c r="Q259" s="1047"/>
      <c r="R259" s="1047"/>
      <c r="S259" t="s">
        <v>218</v>
      </c>
      <c r="AA259" s="2072" t="s">
        <v>117</v>
      </c>
    </row>
    <row r="260" spans="1:27" ht="15.6">
      <c r="A260" s="20"/>
      <c r="B260" s="21" t="s">
        <v>52</v>
      </c>
      <c r="C260" s="20"/>
      <c r="D260" s="20"/>
      <c r="E260" s="20"/>
      <c r="F260" s="20"/>
      <c r="G260" s="65"/>
      <c r="H260" s="65"/>
      <c r="I260" s="448"/>
      <c r="J260" s="66"/>
      <c r="K260" s="213">
        <f t="shared" ref="K260:M260" si="48">SUM(K259)</f>
        <v>2</v>
      </c>
      <c r="L260" s="260">
        <f>SUM(L259)</f>
        <v>0.3216</v>
      </c>
      <c r="M260" s="101">
        <f t="shared" si="48"/>
        <v>2</v>
      </c>
      <c r="N260" s="66">
        <f>SUM(N259)</f>
        <v>0.3216</v>
      </c>
      <c r="O260" s="65"/>
      <c r="P260" s="2073"/>
      <c r="Q260" s="1047"/>
      <c r="R260" s="1047"/>
      <c r="AA260" s="2073"/>
    </row>
    <row r="261" spans="1:27" ht="15.6">
      <c r="A261" s="65"/>
      <c r="B261" s="65"/>
      <c r="C261" s="65"/>
      <c r="D261" s="65"/>
      <c r="E261" s="65"/>
      <c r="F261" s="65"/>
      <c r="G261" s="65"/>
      <c r="H261" s="65"/>
      <c r="I261" s="303"/>
      <c r="J261" s="65"/>
      <c r="K261" s="212"/>
      <c r="L261" s="303"/>
      <c r="M261" s="65"/>
      <c r="N261" s="65"/>
      <c r="O261" s="65"/>
      <c r="P261" s="2073"/>
      <c r="Q261" s="1047"/>
      <c r="R261" s="1047"/>
      <c r="AA261" s="2073"/>
    </row>
    <row r="262" spans="1:27" ht="15.6">
      <c r="A262" s="21" t="s">
        <v>83</v>
      </c>
      <c r="B262" s="21" t="s">
        <v>81</v>
      </c>
      <c r="C262" s="21" t="s">
        <v>19</v>
      </c>
      <c r="D262" s="21" t="s">
        <v>60</v>
      </c>
      <c r="E262" s="21" t="s">
        <v>167</v>
      </c>
      <c r="F262" s="22">
        <v>12</v>
      </c>
      <c r="G262" s="65" t="s">
        <v>94</v>
      </c>
      <c r="H262" s="148" t="s">
        <v>95</v>
      </c>
      <c r="I262" s="448">
        <v>13.4</v>
      </c>
      <c r="J262" s="66">
        <v>12</v>
      </c>
      <c r="K262" s="213">
        <v>1</v>
      </c>
      <c r="L262" s="130">
        <f>(I262*J262*K262/1000)</f>
        <v>0.1608</v>
      </c>
      <c r="M262" s="65">
        <v>1</v>
      </c>
      <c r="N262" s="66">
        <f>J262*M262*I262/1000</f>
        <v>0.1608</v>
      </c>
      <c r="O262" s="65"/>
      <c r="P262" s="2073"/>
      <c r="Q262" s="1047"/>
      <c r="R262" s="1047"/>
      <c r="S262" t="s">
        <v>218</v>
      </c>
      <c r="AA262" s="2073"/>
    </row>
    <row r="263" spans="1:27" ht="15.6">
      <c r="A263" s="20"/>
      <c r="B263" s="21" t="s">
        <v>96</v>
      </c>
      <c r="C263" s="20"/>
      <c r="D263" s="20"/>
      <c r="E263" s="20"/>
      <c r="F263" s="20"/>
      <c r="G263" s="65"/>
      <c r="H263" s="65"/>
      <c r="I263" s="448"/>
      <c r="J263" s="66"/>
      <c r="K263" s="213">
        <f t="shared" ref="K263:M263" si="49">SUM(K262)</f>
        <v>1</v>
      </c>
      <c r="L263" s="130">
        <f>SUM(L262)</f>
        <v>0.1608</v>
      </c>
      <c r="M263" s="101">
        <f t="shared" si="49"/>
        <v>1</v>
      </c>
      <c r="N263" s="100">
        <f>SUM(N262)</f>
        <v>0.1608</v>
      </c>
      <c r="O263" s="65"/>
      <c r="P263" s="2074"/>
      <c r="Q263" s="1047"/>
      <c r="R263" s="1047"/>
      <c r="AA263" s="2074"/>
    </row>
    <row r="264" spans="1:27" ht="15.6">
      <c r="A264" s="65"/>
      <c r="B264" s="65"/>
      <c r="C264" s="65"/>
      <c r="D264" s="65"/>
      <c r="E264" s="65"/>
      <c r="F264" s="65"/>
      <c r="G264" s="65"/>
      <c r="H264" s="65"/>
      <c r="I264" s="303"/>
      <c r="J264" s="65"/>
      <c r="K264" s="212"/>
      <c r="L264" s="260">
        <f>+L263+L260</f>
        <v>0.4824</v>
      </c>
      <c r="M264" s="65"/>
      <c r="N264" s="66">
        <f>+N263+N260</f>
        <v>0.4824</v>
      </c>
      <c r="O264" s="65"/>
      <c r="P264" s="65"/>
      <c r="Q264" s="1045"/>
      <c r="R264" s="1045"/>
      <c r="AA264" s="65"/>
    </row>
    <row r="265" spans="1:27" ht="15.6">
      <c r="A265" s="65"/>
      <c r="B265" s="65"/>
      <c r="C265" s="65"/>
      <c r="D265" s="65"/>
      <c r="E265" s="65"/>
      <c r="F265" s="65"/>
      <c r="G265" s="65"/>
      <c r="H265" s="65"/>
      <c r="I265" s="303"/>
      <c r="J265" s="65"/>
      <c r="K265" s="212"/>
      <c r="L265" s="303"/>
      <c r="M265" s="65"/>
      <c r="N265" s="65"/>
      <c r="O265" s="65"/>
      <c r="P265" s="65"/>
      <c r="Q265" s="1045"/>
      <c r="R265" s="1045"/>
      <c r="AA265" s="65"/>
    </row>
    <row r="266" spans="1:27" ht="15.6">
      <c r="A266" s="65"/>
      <c r="B266" s="65"/>
      <c r="C266" s="65"/>
      <c r="D266" s="65"/>
      <c r="E266" s="65"/>
      <c r="F266" s="65"/>
      <c r="G266" s="65"/>
      <c r="H266" s="65"/>
      <c r="I266" s="303"/>
      <c r="J266" s="65"/>
      <c r="K266" s="212"/>
      <c r="L266" s="260">
        <f>+L264+L250+L240+L215+L199+L257</f>
        <v>295.73738000000003</v>
      </c>
      <c r="M266" s="65"/>
      <c r="N266" s="66">
        <f>+N264+N250+N240+N215+N199+N257</f>
        <v>4.2207100000000004</v>
      </c>
      <c r="O266" s="65"/>
      <c r="P266" s="65"/>
      <c r="Q266" s="1045"/>
      <c r="R266" s="1045"/>
      <c r="AA266" s="65"/>
    </row>
    <row r="267" spans="1:27">
      <c r="A267" s="10" t="s">
        <v>48</v>
      </c>
      <c r="B267" s="10"/>
      <c r="C267" s="11"/>
      <c r="D267" s="11"/>
      <c r="E267" s="11"/>
      <c r="F267" s="92"/>
      <c r="G267" s="11"/>
      <c r="H267" s="92"/>
      <c r="I267" s="13"/>
      <c r="J267" s="11"/>
      <c r="K267" s="202"/>
      <c r="L267" s="2047" t="s">
        <v>0</v>
      </c>
      <c r="M267" s="2047"/>
      <c r="N267" s="2047"/>
      <c r="O267" s="2048"/>
      <c r="P267" s="2020"/>
      <c r="Q267" s="142"/>
      <c r="R267" s="142"/>
      <c r="AA267" s="2020"/>
    </row>
    <row r="268" spans="1:27">
      <c r="A268" s="14" t="s">
        <v>1</v>
      </c>
      <c r="B268" s="14"/>
      <c r="C268" s="14"/>
      <c r="D268" s="15" t="s">
        <v>2</v>
      </c>
      <c r="E268" s="15"/>
      <c r="F268" s="16"/>
      <c r="G268" s="16"/>
      <c r="H268" s="16"/>
      <c r="I268" s="17"/>
      <c r="J268" s="16"/>
      <c r="K268" s="203" t="s">
        <v>3</v>
      </c>
      <c r="L268" s="16"/>
      <c r="M268" s="14"/>
      <c r="N268" s="16"/>
      <c r="O268" s="19"/>
      <c r="P268" s="2020"/>
      <c r="Q268" s="142"/>
      <c r="R268" s="142"/>
      <c r="AA268" s="2020"/>
    </row>
    <row r="269" spans="1:27" ht="15.6">
      <c r="A269" s="89" t="s">
        <v>22</v>
      </c>
      <c r="B269" s="2021" t="s">
        <v>23</v>
      </c>
      <c r="C269" s="2022"/>
      <c r="D269" s="2023"/>
      <c r="E269" s="89" t="s">
        <v>24</v>
      </c>
      <c r="F269" s="2021" t="s">
        <v>25</v>
      </c>
      <c r="G269" s="2023"/>
      <c r="H269" s="2021" t="s">
        <v>26</v>
      </c>
      <c r="I269" s="2022"/>
      <c r="J269" s="2022"/>
      <c r="K269" s="2023"/>
      <c r="L269" s="2024" t="s">
        <v>27</v>
      </c>
      <c r="M269" s="2024"/>
      <c r="N269" s="2024"/>
      <c r="O269" s="2021"/>
      <c r="P269" s="2020"/>
      <c r="Q269" s="142"/>
      <c r="R269" s="142"/>
      <c r="AA269" s="2020"/>
    </row>
    <row r="270" spans="1:27" ht="15.6">
      <c r="A270" s="38"/>
      <c r="B270" s="2025"/>
      <c r="C270" s="2026"/>
      <c r="D270" s="2027"/>
      <c r="E270" s="26"/>
      <c r="F270" s="2025"/>
      <c r="G270" s="2027"/>
      <c r="H270" s="2025"/>
      <c r="I270" s="2026"/>
      <c r="J270" s="2026"/>
      <c r="K270" s="2027"/>
      <c r="L270" s="2025"/>
      <c r="M270" s="2026"/>
      <c r="N270" s="2026"/>
      <c r="O270" s="2026"/>
      <c r="P270" s="2020"/>
      <c r="Q270" s="142"/>
      <c r="R270" s="142"/>
      <c r="AA270" s="2020"/>
    </row>
    <row r="271" spans="1:27" ht="15.6">
      <c r="A271" s="38"/>
      <c r="B271" s="85"/>
      <c r="C271" s="87"/>
      <c r="D271" s="86"/>
      <c r="E271" s="26"/>
      <c r="F271" s="85"/>
      <c r="G271" s="86"/>
      <c r="H271" s="85"/>
      <c r="I271" s="1856"/>
      <c r="J271" s="87"/>
      <c r="K271" s="204"/>
      <c r="L271" s="279"/>
      <c r="M271" s="87"/>
      <c r="N271" s="87"/>
      <c r="O271" s="87"/>
      <c r="P271" s="2020"/>
      <c r="Q271" s="142"/>
      <c r="R271" s="142"/>
      <c r="AA271" s="2020"/>
    </row>
    <row r="272" spans="1:27" ht="15.6">
      <c r="A272" s="38" t="s">
        <v>28</v>
      </c>
      <c r="B272" s="2025" t="s">
        <v>100</v>
      </c>
      <c r="C272" s="2026"/>
      <c r="D272" s="2027"/>
      <c r="E272" s="26">
        <f>+L199</f>
        <v>54.151799999999994</v>
      </c>
      <c r="F272" s="2025">
        <v>12</v>
      </c>
      <c r="G272" s="2027"/>
      <c r="H272" s="2025" t="s">
        <v>49</v>
      </c>
      <c r="I272" s="2026"/>
      <c r="J272" s="2026"/>
      <c r="K272" s="2027"/>
      <c r="L272" s="2025" t="s">
        <v>80</v>
      </c>
      <c r="M272" s="2026"/>
      <c r="N272" s="2026"/>
      <c r="O272" s="2026"/>
      <c r="P272" s="2020"/>
      <c r="Q272" s="142"/>
      <c r="R272" s="142"/>
      <c r="AA272" s="2020"/>
    </row>
    <row r="273" spans="1:27" ht="15.6">
      <c r="A273" s="38" t="s">
        <v>29</v>
      </c>
      <c r="B273" s="2025" t="s">
        <v>101</v>
      </c>
      <c r="C273" s="2026"/>
      <c r="D273" s="2027"/>
      <c r="E273" s="26">
        <f>+L215-0.876</f>
        <v>68.967020000000005</v>
      </c>
      <c r="F273" s="2025">
        <v>12</v>
      </c>
      <c r="G273" s="2027"/>
      <c r="H273" s="2025" t="s">
        <v>49</v>
      </c>
      <c r="I273" s="2026"/>
      <c r="J273" s="2026"/>
      <c r="K273" s="2027"/>
      <c r="L273" s="2025" t="s">
        <v>80</v>
      </c>
      <c r="M273" s="2026"/>
      <c r="N273" s="2026"/>
      <c r="O273" s="2026"/>
      <c r="P273" s="2020"/>
      <c r="Q273" s="142"/>
      <c r="R273" s="142"/>
      <c r="AA273" s="2020"/>
    </row>
    <row r="274" spans="1:27" ht="15.6">
      <c r="A274" s="38" t="s">
        <v>30</v>
      </c>
      <c r="B274" s="2025" t="s">
        <v>102</v>
      </c>
      <c r="C274" s="2026"/>
      <c r="D274" s="2027"/>
      <c r="E274" s="26">
        <f>+L240-0.472</f>
        <v>138.92284000000001</v>
      </c>
      <c r="F274" s="2025">
        <v>12</v>
      </c>
      <c r="G274" s="2027"/>
      <c r="H274" s="2025" t="s">
        <v>49</v>
      </c>
      <c r="I274" s="2026"/>
      <c r="J274" s="2026"/>
      <c r="K274" s="2027"/>
      <c r="L274" s="2025" t="s">
        <v>80</v>
      </c>
      <c r="M274" s="2026"/>
      <c r="N274" s="2026"/>
      <c r="O274" s="2026"/>
      <c r="P274" s="2020"/>
      <c r="Q274" s="142"/>
      <c r="R274" s="142"/>
      <c r="AA274" s="2020"/>
    </row>
    <row r="275" spans="1:27" ht="15.6">
      <c r="A275" s="38" t="s">
        <v>46</v>
      </c>
      <c r="B275" s="2025" t="s">
        <v>103</v>
      </c>
      <c r="C275" s="2026"/>
      <c r="D275" s="2027"/>
      <c r="E275" s="26">
        <f>+L250</f>
        <v>24.9315</v>
      </c>
      <c r="F275" s="2025">
        <v>12</v>
      </c>
      <c r="G275" s="2027"/>
      <c r="H275" s="2025" t="s">
        <v>49</v>
      </c>
      <c r="I275" s="2026"/>
      <c r="J275" s="2026"/>
      <c r="K275" s="2027"/>
      <c r="L275" s="2025" t="s">
        <v>80</v>
      </c>
      <c r="M275" s="2026"/>
      <c r="N275" s="2026"/>
      <c r="O275" s="2026"/>
      <c r="P275" s="2020"/>
      <c r="Q275" s="142"/>
      <c r="R275" s="142"/>
      <c r="AA275" s="2020"/>
    </row>
    <row r="276" spans="1:27" ht="15.6">
      <c r="A276" s="38" t="s">
        <v>58</v>
      </c>
      <c r="B276" s="2025" t="s">
        <v>104</v>
      </c>
      <c r="C276" s="2026"/>
      <c r="D276" s="2027"/>
      <c r="E276" s="26">
        <f>+L257-2.39</f>
        <v>4.5438200000000002</v>
      </c>
      <c r="F276" s="2025">
        <v>12</v>
      </c>
      <c r="G276" s="2027"/>
      <c r="H276" s="2025" t="s">
        <v>49</v>
      </c>
      <c r="I276" s="2026"/>
      <c r="J276" s="2026"/>
      <c r="K276" s="2027"/>
      <c r="L276" s="2025" t="s">
        <v>80</v>
      </c>
      <c r="M276" s="2026"/>
      <c r="N276" s="2026"/>
      <c r="O276" s="2026"/>
      <c r="P276" s="2020"/>
      <c r="Q276" s="142"/>
      <c r="R276" s="142"/>
      <c r="AA276" s="2020"/>
    </row>
    <row r="277" spans="1:27" ht="15.6">
      <c r="A277" s="38"/>
      <c r="B277" s="2025"/>
      <c r="C277" s="2026"/>
      <c r="D277" s="2027"/>
      <c r="E277" s="26"/>
      <c r="F277" s="2025"/>
      <c r="G277" s="2027"/>
      <c r="H277" s="2025"/>
      <c r="I277" s="2026"/>
      <c r="J277" s="2026"/>
      <c r="K277" s="2027"/>
      <c r="L277" s="2025"/>
      <c r="M277" s="2026"/>
      <c r="N277" s="2026"/>
      <c r="O277" s="2026"/>
      <c r="P277" s="2020"/>
      <c r="Q277" s="142"/>
      <c r="R277" s="142"/>
      <c r="AA277" s="2020"/>
    </row>
    <row r="278" spans="1:27" ht="16.2" thickBot="1">
      <c r="A278" s="38"/>
      <c r="B278" s="85"/>
      <c r="C278" s="87"/>
      <c r="D278" s="87"/>
      <c r="E278" s="26"/>
      <c r="F278" s="87"/>
      <c r="G278" s="86"/>
      <c r="H278" s="85"/>
      <c r="I278" s="1856"/>
      <c r="J278" s="87"/>
      <c r="K278" s="204"/>
      <c r="L278" s="39"/>
      <c r="M278" s="40"/>
      <c r="N278" s="40"/>
      <c r="O278" s="40"/>
      <c r="P278" s="2020"/>
      <c r="Q278" s="142"/>
      <c r="R278" s="142"/>
      <c r="AA278" s="2020"/>
    </row>
    <row r="279" spans="1:27" ht="15.6">
      <c r="A279" s="41"/>
      <c r="B279" s="42"/>
      <c r="C279" s="43"/>
      <c r="D279" s="43"/>
      <c r="E279" s="2028">
        <f>SUM(E270:E278)</f>
        <v>291.51697999999999</v>
      </c>
      <c r="F279" s="44"/>
      <c r="G279" s="45"/>
      <c r="H279" s="46"/>
      <c r="I279" s="1858"/>
      <c r="J279" s="43"/>
      <c r="K279" s="205"/>
      <c r="L279" s="46"/>
      <c r="M279" s="43"/>
      <c r="N279" s="44"/>
      <c r="O279" s="43"/>
      <c r="P279" s="2020"/>
      <c r="Q279" s="142"/>
      <c r="R279" s="142"/>
      <c r="AA279" s="2020"/>
    </row>
    <row r="280" spans="1:27" ht="16.2" thickBot="1">
      <c r="A280" s="47"/>
      <c r="B280" s="48"/>
      <c r="C280" s="49"/>
      <c r="D280" s="49"/>
      <c r="E280" s="2029"/>
      <c r="F280" s="50"/>
      <c r="G280" s="51"/>
      <c r="H280" s="52"/>
      <c r="I280" s="1860"/>
      <c r="J280" s="49"/>
      <c r="K280" s="206"/>
      <c r="L280" s="52"/>
      <c r="M280" s="49"/>
      <c r="N280" s="50"/>
      <c r="O280" s="49"/>
      <c r="P280" s="2020"/>
      <c r="Q280" s="142"/>
      <c r="R280" s="142"/>
      <c r="AA280" s="2020"/>
    </row>
    <row r="281" spans="1:27" ht="15.6">
      <c r="A281" s="53" t="s">
        <v>31</v>
      </c>
      <c r="B281" s="43"/>
      <c r="C281" s="43"/>
      <c r="D281" s="43"/>
      <c r="E281" s="43"/>
      <c r="F281" s="44"/>
      <c r="G281" s="43"/>
      <c r="H281" s="44"/>
      <c r="I281" s="1858"/>
      <c r="J281" s="43"/>
      <c r="K281" s="207"/>
      <c r="L281" s="44"/>
      <c r="M281" s="43"/>
      <c r="N281" s="44"/>
      <c r="O281" s="43"/>
      <c r="P281" s="2020"/>
      <c r="Q281" s="142"/>
      <c r="R281" s="142"/>
      <c r="AA281" s="2020"/>
    </row>
    <row r="282" spans="1:27" ht="15.6">
      <c r="A282" s="54"/>
      <c r="B282" s="55"/>
      <c r="C282" s="55"/>
      <c r="D282" s="55"/>
      <c r="E282" s="55"/>
      <c r="F282" s="91"/>
      <c r="G282" s="55"/>
      <c r="H282" s="91"/>
      <c r="I282" s="1859"/>
      <c r="J282" s="55"/>
      <c r="K282" s="208"/>
      <c r="L282" s="283"/>
      <c r="M282" s="55"/>
      <c r="N282" s="91"/>
      <c r="O282" s="55"/>
      <c r="P282" s="2020"/>
      <c r="Q282" s="142"/>
      <c r="R282" s="142"/>
      <c r="AA282" s="2020"/>
    </row>
    <row r="283" spans="1:27" ht="16.2" thickBot="1">
      <c r="A283" s="2030" t="s">
        <v>32</v>
      </c>
      <c r="B283" s="2031"/>
      <c r="C283" s="2032" t="s">
        <v>33</v>
      </c>
      <c r="D283" s="2033"/>
      <c r="E283" s="57" t="s">
        <v>34</v>
      </c>
      <c r="F283" s="57" t="s">
        <v>35</v>
      </c>
      <c r="G283" s="2034" t="s">
        <v>36</v>
      </c>
      <c r="H283" s="2035"/>
      <c r="I283" s="2035"/>
      <c r="J283" s="2035"/>
      <c r="K283" s="2035"/>
      <c r="L283" s="2035"/>
      <c r="M283" s="2035"/>
      <c r="N283" s="2035"/>
      <c r="O283" s="2035"/>
      <c r="P283" s="2020"/>
      <c r="Q283" s="142"/>
      <c r="R283" s="142"/>
      <c r="AA283" s="2020"/>
    </row>
    <row r="284" spans="1:27" ht="15.6">
      <c r="A284" s="2036"/>
      <c r="B284" s="2023"/>
      <c r="C284" s="2021"/>
      <c r="D284" s="2023"/>
      <c r="E284" s="89"/>
      <c r="F284" s="88"/>
      <c r="G284" s="2037"/>
      <c r="H284" s="2038"/>
      <c r="I284" s="2038"/>
      <c r="J284" s="2038"/>
      <c r="K284" s="2038"/>
      <c r="L284" s="2038"/>
      <c r="M284" s="2038"/>
      <c r="N284" s="2038"/>
      <c r="O284" s="2038"/>
      <c r="P284" s="2020"/>
      <c r="Q284" s="142"/>
      <c r="R284" s="142"/>
      <c r="AA284" s="2020"/>
    </row>
    <row r="285" spans="1:27" ht="15.6">
      <c r="A285" s="2043" t="s">
        <v>37</v>
      </c>
      <c r="B285" s="2044"/>
      <c r="C285" s="2021"/>
      <c r="D285" s="2023"/>
      <c r="E285" s="89"/>
      <c r="F285" s="88"/>
      <c r="G285" s="2039"/>
      <c r="H285" s="2040"/>
      <c r="I285" s="2040"/>
      <c r="J285" s="2040"/>
      <c r="K285" s="2040"/>
      <c r="L285" s="2040"/>
      <c r="M285" s="2040"/>
      <c r="N285" s="2040"/>
      <c r="O285" s="2040"/>
      <c r="P285" s="2020"/>
      <c r="Q285" s="142"/>
      <c r="R285" s="142"/>
      <c r="AA285" s="2020"/>
    </row>
    <row r="286" spans="1:27" ht="15.6">
      <c r="A286" s="2043" t="s">
        <v>38</v>
      </c>
      <c r="B286" s="2044"/>
      <c r="C286" s="2021"/>
      <c r="D286" s="2023"/>
      <c r="E286" s="89"/>
      <c r="F286" s="88"/>
      <c r="G286" s="2039"/>
      <c r="H286" s="2040"/>
      <c r="I286" s="2040"/>
      <c r="J286" s="2040"/>
      <c r="K286" s="2040"/>
      <c r="L286" s="2040"/>
      <c r="M286" s="2040"/>
      <c r="N286" s="2040"/>
      <c r="O286" s="2040"/>
      <c r="P286" s="2020"/>
      <c r="Q286" s="142"/>
      <c r="R286" s="142"/>
      <c r="AA286" s="2020"/>
    </row>
    <row r="287" spans="1:27" ht="15.6">
      <c r="A287" s="2043" t="s">
        <v>39</v>
      </c>
      <c r="B287" s="2044"/>
      <c r="C287" s="2021"/>
      <c r="D287" s="2023"/>
      <c r="E287" s="89"/>
      <c r="F287" s="88"/>
      <c r="G287" s="2039"/>
      <c r="H287" s="2040"/>
      <c r="I287" s="2040"/>
      <c r="J287" s="2040"/>
      <c r="K287" s="2040"/>
      <c r="L287" s="2040"/>
      <c r="M287" s="2040"/>
      <c r="N287" s="2040"/>
      <c r="O287" s="2040"/>
      <c r="P287" s="2020"/>
      <c r="Q287" s="142"/>
      <c r="R287" s="142"/>
      <c r="AA287" s="2020"/>
    </row>
    <row r="288" spans="1:27" ht="15.6">
      <c r="A288" s="2043" t="s">
        <v>40</v>
      </c>
      <c r="B288" s="2044"/>
      <c r="C288" s="2021"/>
      <c r="D288" s="2023"/>
      <c r="E288" s="89"/>
      <c r="F288" s="88"/>
      <c r="G288" s="2039"/>
      <c r="H288" s="2040"/>
      <c r="I288" s="2040"/>
      <c r="J288" s="2040"/>
      <c r="K288" s="2040"/>
      <c r="L288" s="2040"/>
      <c r="M288" s="2040"/>
      <c r="N288" s="2040"/>
      <c r="O288" s="2040"/>
      <c r="P288" s="2020"/>
      <c r="Q288" s="142"/>
      <c r="R288" s="142"/>
      <c r="AA288" s="2020"/>
    </row>
    <row r="289" spans="1:27" ht="16.2" thickBot="1">
      <c r="A289" s="2049" t="s">
        <v>41</v>
      </c>
      <c r="B289" s="2050"/>
      <c r="C289" s="2051"/>
      <c r="D289" s="2052"/>
      <c r="E289" s="58"/>
      <c r="F289" s="90"/>
      <c r="G289" s="2041"/>
      <c r="H289" s="2042"/>
      <c r="I289" s="2042"/>
      <c r="J289" s="2042"/>
      <c r="K289" s="2042"/>
      <c r="L289" s="2042"/>
      <c r="M289" s="2042"/>
      <c r="N289" s="2042"/>
      <c r="O289" s="2042"/>
      <c r="P289" s="2020"/>
      <c r="Q289" s="142"/>
      <c r="R289" s="142"/>
      <c r="AA289" s="2020"/>
    </row>
    <row r="290" spans="1:27" ht="15.6">
      <c r="A290" s="54"/>
      <c r="B290" s="55"/>
      <c r="C290" s="55"/>
      <c r="D290" s="55"/>
      <c r="E290" s="55"/>
      <c r="F290" s="91"/>
      <c r="G290" s="55"/>
      <c r="H290" s="59"/>
      <c r="I290" s="60"/>
      <c r="J290" s="61"/>
      <c r="K290" s="209"/>
      <c r="L290" s="301"/>
      <c r="M290" s="55"/>
      <c r="N290" s="91"/>
      <c r="O290" s="55"/>
      <c r="P290" s="2020"/>
      <c r="Q290" s="142"/>
      <c r="R290" s="142"/>
      <c r="AA290" s="2020"/>
    </row>
    <row r="291" spans="1:27" ht="15.6">
      <c r="A291" s="62" t="s">
        <v>42</v>
      </c>
      <c r="B291" s="56"/>
      <c r="C291" s="55"/>
      <c r="D291" s="55"/>
      <c r="E291" s="55"/>
      <c r="F291" s="91"/>
      <c r="G291" s="56"/>
      <c r="H291" s="59"/>
      <c r="I291" s="60"/>
      <c r="J291" s="61"/>
      <c r="K291" s="208"/>
      <c r="L291" s="302"/>
      <c r="M291" s="55"/>
      <c r="N291" s="2045" t="s">
        <v>43</v>
      </c>
      <c r="O291" s="2045"/>
      <c r="P291" s="2020"/>
      <c r="Q291" s="142"/>
      <c r="R291" s="142"/>
      <c r="AA291" s="2020"/>
    </row>
    <row r="292" spans="1:27" ht="15.6">
      <c r="A292" s="62"/>
      <c r="B292" s="56"/>
      <c r="C292" s="55"/>
      <c r="D292" s="55"/>
      <c r="E292" s="55"/>
      <c r="F292" s="91"/>
      <c r="G292" s="55"/>
      <c r="H292" s="91"/>
      <c r="I292" s="1859"/>
      <c r="J292" s="55"/>
      <c r="K292" s="208"/>
      <c r="L292" s="283"/>
      <c r="M292" s="55"/>
      <c r="N292" s="91"/>
      <c r="O292" s="56"/>
      <c r="P292" s="2020"/>
      <c r="Q292" s="142"/>
      <c r="R292" s="142"/>
      <c r="AA292" s="2020"/>
    </row>
    <row r="293" spans="1:27" ht="15.6">
      <c r="A293" s="62" t="s">
        <v>44</v>
      </c>
      <c r="B293" s="56"/>
      <c r="C293" s="55"/>
      <c r="D293" s="55"/>
      <c r="E293" s="55"/>
      <c r="F293" s="91"/>
      <c r="G293" s="55"/>
      <c r="H293" s="91"/>
      <c r="I293" s="1859"/>
      <c r="J293" s="55"/>
      <c r="K293" s="208"/>
      <c r="L293" s="283"/>
      <c r="M293" s="55"/>
      <c r="N293" s="2045" t="s">
        <v>45</v>
      </c>
      <c r="O293" s="2045"/>
      <c r="P293" s="2020"/>
      <c r="Q293" s="142"/>
      <c r="R293" s="142"/>
      <c r="AA293" s="2020"/>
    </row>
    <row r="294" spans="1:27" ht="16.2" thickBot="1">
      <c r="A294" s="48"/>
      <c r="B294" s="49"/>
      <c r="C294" s="49"/>
      <c r="D294" s="49"/>
      <c r="E294" s="49"/>
      <c r="F294" s="50"/>
      <c r="G294" s="49"/>
      <c r="H294" s="50"/>
      <c r="I294" s="1860"/>
      <c r="J294" s="49"/>
      <c r="K294" s="210"/>
      <c r="L294" s="50"/>
      <c r="M294" s="49"/>
      <c r="N294" s="50"/>
      <c r="O294" s="49"/>
      <c r="P294" s="2020"/>
      <c r="Q294" s="142"/>
      <c r="R294" s="142"/>
      <c r="AA294" s="2020"/>
    </row>
    <row r="298" spans="1:27">
      <c r="A298" s="1" t="s">
        <v>48</v>
      </c>
      <c r="B298" s="1"/>
      <c r="C298" s="2"/>
      <c r="D298" s="2"/>
      <c r="E298" s="2"/>
      <c r="F298" s="3"/>
      <c r="G298" s="2"/>
      <c r="H298" s="2"/>
      <c r="I298" s="4"/>
      <c r="J298" s="5"/>
      <c r="K298" s="196"/>
      <c r="L298" s="2056" t="s">
        <v>0</v>
      </c>
      <c r="M298" s="2056"/>
      <c r="N298" s="2056"/>
      <c r="O298" s="2056"/>
      <c r="P298" s="64"/>
      <c r="Q298" s="64"/>
      <c r="R298" s="64"/>
    </row>
    <row r="299" spans="1:27" ht="15.6">
      <c r="A299" s="27" t="s">
        <v>1</v>
      </c>
      <c r="B299" s="27"/>
      <c r="C299" s="27"/>
      <c r="D299" s="28" t="s">
        <v>2</v>
      </c>
      <c r="E299" s="28"/>
      <c r="F299" s="29"/>
      <c r="G299" s="29"/>
      <c r="H299" s="29"/>
      <c r="I299" s="30"/>
      <c r="J299" s="31"/>
      <c r="K299" s="197" t="s">
        <v>3</v>
      </c>
      <c r="L299" s="31"/>
      <c r="M299" s="27"/>
      <c r="N299" s="29"/>
      <c r="O299" s="27"/>
      <c r="P299" s="67"/>
      <c r="Q299" s="1039"/>
      <c r="R299" s="1039"/>
    </row>
    <row r="300" spans="1:27" ht="31.2">
      <c r="A300" s="32" t="s">
        <v>4</v>
      </c>
      <c r="B300" s="32" t="s">
        <v>5</v>
      </c>
      <c r="C300" s="32" t="s">
        <v>6</v>
      </c>
      <c r="D300" s="32" t="s">
        <v>7</v>
      </c>
      <c r="E300" s="32" t="s">
        <v>8</v>
      </c>
      <c r="F300" s="33" t="s">
        <v>9</v>
      </c>
      <c r="G300" s="34" t="s">
        <v>10</v>
      </c>
      <c r="H300" s="34" t="s">
        <v>11</v>
      </c>
      <c r="I300" s="35" t="s">
        <v>12</v>
      </c>
      <c r="J300" s="36" t="s">
        <v>13</v>
      </c>
      <c r="K300" s="198" t="s">
        <v>14</v>
      </c>
      <c r="L300" s="297" t="s">
        <v>15</v>
      </c>
      <c r="M300" s="33" t="s">
        <v>16</v>
      </c>
      <c r="N300" s="33" t="s">
        <v>17</v>
      </c>
      <c r="O300" s="34" t="s">
        <v>18</v>
      </c>
      <c r="P300" s="8" t="s">
        <v>50</v>
      </c>
      <c r="Q300" s="1040"/>
      <c r="R300" s="1040"/>
    </row>
    <row r="301" spans="1:27" ht="15.6">
      <c r="A301" s="21" t="s">
        <v>83</v>
      </c>
      <c r="B301" s="21" t="s">
        <v>132</v>
      </c>
      <c r="C301" s="21" t="s">
        <v>19</v>
      </c>
      <c r="D301" s="21" t="s">
        <v>20</v>
      </c>
      <c r="E301" s="63" t="s">
        <v>51</v>
      </c>
      <c r="F301" s="22">
        <v>12</v>
      </c>
      <c r="G301" s="103" t="s">
        <v>21</v>
      </c>
      <c r="H301" s="103" t="s">
        <v>118</v>
      </c>
      <c r="I301" s="259">
        <v>9.26</v>
      </c>
      <c r="J301" s="113">
        <v>7.3</v>
      </c>
      <c r="K301" s="214">
        <v>57</v>
      </c>
      <c r="L301" s="304">
        <f>(I301*J301*K301/1000)</f>
        <v>3.8530859999999998</v>
      </c>
      <c r="M301" s="103"/>
      <c r="N301" s="103"/>
      <c r="O301" s="103"/>
      <c r="P301" s="103"/>
      <c r="Q301" s="1048"/>
      <c r="R301" s="1048"/>
    </row>
    <row r="302" spans="1:27" ht="15.6">
      <c r="A302" s="20"/>
      <c r="B302" s="21" t="s">
        <v>84</v>
      </c>
      <c r="C302" s="20"/>
      <c r="D302" s="20"/>
      <c r="E302" s="20"/>
      <c r="F302" s="20"/>
      <c r="G302" s="103" t="s">
        <v>21</v>
      </c>
      <c r="H302" s="103" t="s">
        <v>118</v>
      </c>
      <c r="I302" s="259">
        <v>9.26</v>
      </c>
      <c r="J302" s="113">
        <v>8</v>
      </c>
      <c r="K302" s="214">
        <v>128</v>
      </c>
      <c r="L302" s="304">
        <f>(I302*J302*K302/1000)</f>
        <v>9.4822399999999991</v>
      </c>
      <c r="M302" s="103"/>
      <c r="N302" s="103"/>
      <c r="O302" s="103"/>
      <c r="P302" s="103"/>
      <c r="Q302" s="1048"/>
      <c r="R302" s="1048"/>
    </row>
    <row r="303" spans="1:27" ht="15.6">
      <c r="A303" s="103"/>
      <c r="B303" s="103"/>
      <c r="C303" s="103"/>
      <c r="D303" s="103"/>
      <c r="E303" s="103"/>
      <c r="F303" s="103"/>
      <c r="G303" s="103" t="s">
        <v>21</v>
      </c>
      <c r="H303" s="103" t="s">
        <v>118</v>
      </c>
      <c r="I303" s="259">
        <v>9.26</v>
      </c>
      <c r="J303" s="113">
        <v>8.4</v>
      </c>
      <c r="K303" s="214">
        <v>67</v>
      </c>
      <c r="L303" s="304">
        <f>(I303*J303*K303/1000)</f>
        <v>5.2115280000000004</v>
      </c>
      <c r="M303" s="103"/>
      <c r="N303" s="103"/>
      <c r="O303" s="103"/>
      <c r="P303" s="103"/>
      <c r="Q303" s="1048"/>
      <c r="R303" s="1048"/>
    </row>
    <row r="304" spans="1:27" ht="15.6">
      <c r="A304" s="103"/>
      <c r="B304" s="103"/>
      <c r="C304" s="103"/>
      <c r="D304" s="103"/>
      <c r="E304" s="103"/>
      <c r="F304" s="103"/>
      <c r="G304" s="103" t="s">
        <v>21</v>
      </c>
      <c r="H304" s="103" t="s">
        <v>118</v>
      </c>
      <c r="I304" s="259">
        <v>9.26</v>
      </c>
      <c r="J304" s="113">
        <v>8.5</v>
      </c>
      <c r="K304" s="214">
        <v>22</v>
      </c>
      <c r="L304" s="304">
        <f>(I304*J304*K304/1000)</f>
        <v>1.7316199999999999</v>
      </c>
      <c r="M304" s="103"/>
      <c r="N304" s="103"/>
      <c r="O304" s="103"/>
      <c r="P304" s="103"/>
      <c r="Q304" s="1048"/>
      <c r="R304" s="1048"/>
    </row>
    <row r="305" spans="1:18" ht="15.6">
      <c r="A305" s="103"/>
      <c r="B305" s="103"/>
      <c r="C305" s="103"/>
      <c r="D305" s="103"/>
      <c r="E305" s="103"/>
      <c r="F305" s="103"/>
      <c r="G305" s="103" t="s">
        <v>21</v>
      </c>
      <c r="H305" s="103" t="s">
        <v>118</v>
      </c>
      <c r="I305" s="259">
        <v>9.26</v>
      </c>
      <c r="J305" s="113">
        <v>10.199999999999999</v>
      </c>
      <c r="K305" s="214">
        <v>10</v>
      </c>
      <c r="L305" s="304">
        <f t="shared" ref="L305:L312" si="50">(I305*J305*K305/1000)</f>
        <v>0.94452000000000003</v>
      </c>
      <c r="M305" s="103"/>
      <c r="N305" s="103"/>
      <c r="O305" s="103"/>
      <c r="P305" s="103"/>
      <c r="Q305" s="1048"/>
      <c r="R305" s="1048"/>
    </row>
    <row r="306" spans="1:18" ht="15.6">
      <c r="A306" s="103"/>
      <c r="B306" s="103"/>
      <c r="C306" s="103"/>
      <c r="D306" s="103"/>
      <c r="E306" s="103"/>
      <c r="F306" s="103"/>
      <c r="G306" s="103" t="s">
        <v>21</v>
      </c>
      <c r="H306" s="103" t="s">
        <v>118</v>
      </c>
      <c r="I306" s="259">
        <v>9.26</v>
      </c>
      <c r="J306" s="113">
        <v>10.3</v>
      </c>
      <c r="K306" s="214">
        <v>114</v>
      </c>
      <c r="L306" s="304">
        <f t="shared" si="50"/>
        <v>10.873092</v>
      </c>
      <c r="M306" s="103"/>
      <c r="N306" s="103"/>
      <c r="O306" s="103"/>
      <c r="P306" s="103"/>
      <c r="Q306" s="1048"/>
      <c r="R306" s="1048"/>
    </row>
    <row r="307" spans="1:18" ht="15.6">
      <c r="A307" s="103"/>
      <c r="B307" s="103"/>
      <c r="C307" s="103"/>
      <c r="D307" s="103"/>
      <c r="E307" s="103"/>
      <c r="F307" s="103"/>
      <c r="G307" s="103" t="s">
        <v>21</v>
      </c>
      <c r="H307" s="103" t="s">
        <v>118</v>
      </c>
      <c r="I307" s="259">
        <v>9.26</v>
      </c>
      <c r="J307" s="113">
        <v>10.6</v>
      </c>
      <c r="K307" s="214">
        <v>162</v>
      </c>
      <c r="L307" s="304">
        <f t="shared" si="50"/>
        <v>15.901271999999999</v>
      </c>
      <c r="M307" s="103"/>
      <c r="N307" s="103"/>
      <c r="O307" s="103"/>
      <c r="P307" s="103"/>
      <c r="Q307" s="1048"/>
      <c r="R307" s="1048"/>
    </row>
    <row r="308" spans="1:18" ht="15.6">
      <c r="A308" s="103"/>
      <c r="B308" s="103"/>
      <c r="C308" s="103"/>
      <c r="D308" s="103"/>
      <c r="E308" s="103"/>
      <c r="F308" s="103"/>
      <c r="G308" s="103" t="s">
        <v>21</v>
      </c>
      <c r="H308" s="103" t="s">
        <v>118</v>
      </c>
      <c r="I308" s="259">
        <v>9.26</v>
      </c>
      <c r="J308" s="113">
        <v>10.8</v>
      </c>
      <c r="K308" s="214">
        <v>48</v>
      </c>
      <c r="L308" s="304">
        <f t="shared" si="50"/>
        <v>4.8003840000000002</v>
      </c>
      <c r="M308" s="103"/>
      <c r="N308" s="103"/>
      <c r="O308" s="103"/>
      <c r="P308" s="103"/>
      <c r="Q308" s="1048"/>
      <c r="R308" s="1048"/>
    </row>
    <row r="309" spans="1:18" ht="15.6">
      <c r="A309" s="103"/>
      <c r="B309" s="103"/>
      <c r="C309" s="103"/>
      <c r="D309" s="103"/>
      <c r="E309" s="103"/>
      <c r="F309" s="103"/>
      <c r="G309" s="103" t="s">
        <v>21</v>
      </c>
      <c r="H309" s="103" t="s">
        <v>118</v>
      </c>
      <c r="I309" s="259">
        <v>9.26</v>
      </c>
      <c r="J309" s="113">
        <v>11</v>
      </c>
      <c r="K309" s="214">
        <v>240</v>
      </c>
      <c r="L309" s="304">
        <f t="shared" si="50"/>
        <v>24.446400000000001</v>
      </c>
      <c r="M309" s="103"/>
      <c r="N309" s="103"/>
      <c r="O309" s="103"/>
      <c r="P309" s="103"/>
      <c r="Q309" s="1048"/>
      <c r="R309" s="1048"/>
    </row>
    <row r="310" spans="1:18" ht="15.6">
      <c r="A310" s="103"/>
      <c r="B310" s="103"/>
      <c r="C310" s="103"/>
      <c r="D310" s="103"/>
      <c r="E310" s="103"/>
      <c r="F310" s="103"/>
      <c r="G310" s="103" t="s">
        <v>21</v>
      </c>
      <c r="H310" s="103" t="s">
        <v>118</v>
      </c>
      <c r="I310" s="259">
        <v>9.26</v>
      </c>
      <c r="J310" s="113">
        <v>11.2</v>
      </c>
      <c r="K310" s="214">
        <v>20</v>
      </c>
      <c r="L310" s="304">
        <f t="shared" si="50"/>
        <v>2.0742399999999996</v>
      </c>
      <c r="M310" s="103"/>
      <c r="N310" s="103"/>
      <c r="O310" s="103"/>
      <c r="P310" s="103"/>
      <c r="Q310" s="1048"/>
      <c r="R310" s="1048"/>
    </row>
    <row r="311" spans="1:18" ht="15.6">
      <c r="A311" s="103"/>
      <c r="B311" s="103"/>
      <c r="C311" s="103"/>
      <c r="D311" s="103"/>
      <c r="E311" s="103"/>
      <c r="F311" s="103"/>
      <c r="G311" s="103" t="s">
        <v>21</v>
      </c>
      <c r="H311" s="103" t="s">
        <v>118</v>
      </c>
      <c r="I311" s="259">
        <v>9.26</v>
      </c>
      <c r="J311" s="113">
        <v>11.8</v>
      </c>
      <c r="K311" s="214">
        <v>112</v>
      </c>
      <c r="L311" s="304">
        <f t="shared" si="50"/>
        <v>12.238016</v>
      </c>
      <c r="M311" s="103"/>
      <c r="N311" s="103"/>
      <c r="O311" s="103"/>
      <c r="P311" s="103"/>
      <c r="Q311" s="1048"/>
      <c r="R311" s="1048"/>
    </row>
    <row r="312" spans="1:18" ht="15.6">
      <c r="A312" s="103"/>
      <c r="B312" s="103"/>
      <c r="C312" s="103"/>
      <c r="D312" s="103"/>
      <c r="E312" s="103"/>
      <c r="F312" s="103"/>
      <c r="G312" s="103" t="s">
        <v>21</v>
      </c>
      <c r="H312" s="103" t="s">
        <v>118</v>
      </c>
      <c r="I312" s="259">
        <v>9.26</v>
      </c>
      <c r="J312" s="113">
        <v>11.9</v>
      </c>
      <c r="K312" s="214">
        <v>76</v>
      </c>
      <c r="L312" s="304">
        <f t="shared" si="50"/>
        <v>8.3747439999999997</v>
      </c>
      <c r="M312" s="103"/>
      <c r="N312" s="103"/>
      <c r="O312" s="103"/>
      <c r="P312" s="103"/>
      <c r="Q312" s="1048"/>
      <c r="R312" s="1048"/>
    </row>
    <row r="313" spans="1:18" ht="15.6">
      <c r="A313" s="103"/>
      <c r="B313" s="103"/>
      <c r="C313" s="103"/>
      <c r="D313" s="103"/>
      <c r="E313" s="103"/>
      <c r="F313" s="103"/>
      <c r="G313" s="103"/>
      <c r="H313" s="103"/>
      <c r="I313" s="259"/>
      <c r="J313" s="113"/>
      <c r="K313" s="213">
        <f t="shared" ref="K313:L313" si="51">SUM(K301:K312)</f>
        <v>1056</v>
      </c>
      <c r="L313" s="260">
        <f t="shared" si="51"/>
        <v>99.931141999999994</v>
      </c>
      <c r="M313" s="103"/>
      <c r="N313" s="103"/>
      <c r="O313" s="103"/>
      <c r="P313" s="103"/>
      <c r="Q313" s="1048"/>
      <c r="R313" s="1048"/>
    </row>
    <row r="314" spans="1:18" ht="15.6">
      <c r="A314" s="21" t="s">
        <v>83</v>
      </c>
      <c r="B314" s="21" t="s">
        <v>132</v>
      </c>
      <c r="C314" s="21" t="s">
        <v>19</v>
      </c>
      <c r="D314" s="21" t="s">
        <v>20</v>
      </c>
      <c r="E314" s="63" t="s">
        <v>51</v>
      </c>
      <c r="F314" s="22">
        <v>12</v>
      </c>
      <c r="G314" s="103" t="s">
        <v>21</v>
      </c>
      <c r="H314" s="103" t="s">
        <v>119</v>
      </c>
      <c r="I314" s="259">
        <v>10.7</v>
      </c>
      <c r="J314" s="113">
        <v>7.5</v>
      </c>
      <c r="K314" s="214">
        <v>64</v>
      </c>
      <c r="L314" s="304">
        <f t="shared" ref="L314:L321" si="52">(I314*J314*K314/1000)</f>
        <v>5.1360000000000001</v>
      </c>
      <c r="M314" s="103"/>
      <c r="N314" s="103"/>
      <c r="O314" s="103"/>
      <c r="P314" s="103"/>
      <c r="Q314" s="1048"/>
      <c r="R314" s="1048"/>
    </row>
    <row r="315" spans="1:18" ht="15.6">
      <c r="A315" s="20"/>
      <c r="B315" s="21" t="s">
        <v>84</v>
      </c>
      <c r="C315" s="20"/>
      <c r="D315" s="20"/>
      <c r="E315" s="20"/>
      <c r="F315" s="20"/>
      <c r="G315" s="103" t="s">
        <v>21</v>
      </c>
      <c r="H315" s="103" t="s">
        <v>119</v>
      </c>
      <c r="I315" s="259">
        <v>10.7</v>
      </c>
      <c r="J315" s="113">
        <v>8</v>
      </c>
      <c r="K315" s="214">
        <v>127</v>
      </c>
      <c r="L315" s="304">
        <f t="shared" si="52"/>
        <v>10.871199999999998</v>
      </c>
      <c r="M315" s="103"/>
      <c r="N315" s="103"/>
      <c r="O315" s="103"/>
      <c r="P315" s="103"/>
      <c r="Q315" s="1048"/>
      <c r="R315" s="1048"/>
    </row>
    <row r="316" spans="1:18" ht="15.6">
      <c r="A316" s="103"/>
      <c r="B316" s="103"/>
      <c r="C316" s="103"/>
      <c r="D316" s="103"/>
      <c r="E316" s="103"/>
      <c r="F316" s="103"/>
      <c r="G316" s="103" t="s">
        <v>21</v>
      </c>
      <c r="H316" s="103" t="s">
        <v>119</v>
      </c>
      <c r="I316" s="259">
        <v>10.7</v>
      </c>
      <c r="J316" s="113">
        <v>8.5</v>
      </c>
      <c r="K316" s="214">
        <v>31</v>
      </c>
      <c r="L316" s="304">
        <f t="shared" si="52"/>
        <v>2.8194499999999998</v>
      </c>
      <c r="M316" s="103"/>
      <c r="N316" s="103"/>
      <c r="O316" s="103"/>
      <c r="P316" s="103"/>
      <c r="Q316" s="1048"/>
      <c r="R316" s="1048"/>
    </row>
    <row r="317" spans="1:18" ht="15.6">
      <c r="A317" s="103"/>
      <c r="B317" s="103"/>
      <c r="C317" s="103"/>
      <c r="D317" s="103"/>
      <c r="E317" s="103"/>
      <c r="F317" s="103"/>
      <c r="G317" s="103" t="s">
        <v>21</v>
      </c>
      <c r="H317" s="103" t="s">
        <v>119</v>
      </c>
      <c r="I317" s="259">
        <v>10.7</v>
      </c>
      <c r="J317" s="113">
        <v>9.1</v>
      </c>
      <c r="K317" s="214">
        <v>65</v>
      </c>
      <c r="L317" s="304">
        <f t="shared" si="52"/>
        <v>6.3290499999999996</v>
      </c>
      <c r="M317" s="103"/>
      <c r="N317" s="103"/>
      <c r="O317" s="103"/>
      <c r="P317" s="103"/>
      <c r="Q317" s="1048"/>
      <c r="R317" s="1048"/>
    </row>
    <row r="318" spans="1:18" ht="15.6">
      <c r="A318" s="103"/>
      <c r="B318" s="103"/>
      <c r="C318" s="103"/>
      <c r="D318" s="103"/>
      <c r="E318" s="103"/>
      <c r="F318" s="103"/>
      <c r="G318" s="103" t="s">
        <v>21</v>
      </c>
      <c r="H318" s="103" t="s">
        <v>119</v>
      </c>
      <c r="I318" s="259">
        <v>10.7</v>
      </c>
      <c r="J318" s="113">
        <v>10.7</v>
      </c>
      <c r="K318" s="214">
        <v>156</v>
      </c>
      <c r="L318" s="304">
        <f t="shared" si="52"/>
        <v>17.860439999999997</v>
      </c>
      <c r="M318" s="103"/>
      <c r="N318" s="103"/>
      <c r="O318" s="103"/>
      <c r="P318" s="103"/>
      <c r="Q318" s="1048"/>
      <c r="R318" s="1048"/>
    </row>
    <row r="319" spans="1:18" ht="15.6">
      <c r="A319" s="103"/>
      <c r="B319" s="103"/>
      <c r="C319" s="103"/>
      <c r="D319" s="103"/>
      <c r="E319" s="103"/>
      <c r="F319" s="103"/>
      <c r="G319" s="103" t="s">
        <v>21</v>
      </c>
      <c r="H319" s="103" t="s">
        <v>119</v>
      </c>
      <c r="I319" s="259">
        <v>10.7</v>
      </c>
      <c r="J319" s="113">
        <v>11.3</v>
      </c>
      <c r="K319" s="214">
        <v>40</v>
      </c>
      <c r="L319" s="304">
        <f t="shared" si="52"/>
        <v>4.8363999999999994</v>
      </c>
      <c r="M319" s="103"/>
      <c r="N319" s="103"/>
      <c r="O319" s="103"/>
      <c r="P319" s="103"/>
      <c r="Q319" s="1048"/>
      <c r="R319" s="1048"/>
    </row>
    <row r="320" spans="1:18" ht="15.6">
      <c r="A320" s="103"/>
      <c r="B320" s="103"/>
      <c r="C320" s="103"/>
      <c r="D320" s="103"/>
      <c r="E320" s="103"/>
      <c r="F320" s="103"/>
      <c r="G320" s="103" t="s">
        <v>21</v>
      </c>
      <c r="H320" s="103" t="s">
        <v>119</v>
      </c>
      <c r="I320" s="259">
        <v>10.7</v>
      </c>
      <c r="J320" s="113">
        <v>11.8</v>
      </c>
      <c r="K320" s="214">
        <v>4</v>
      </c>
      <c r="L320" s="304">
        <f t="shared" si="52"/>
        <v>0.50504000000000004</v>
      </c>
      <c r="M320" s="103"/>
      <c r="N320" s="103"/>
      <c r="O320" s="103"/>
      <c r="P320" s="103"/>
      <c r="Q320" s="1048"/>
      <c r="R320" s="1048"/>
    </row>
    <row r="321" spans="1:18" ht="15.6">
      <c r="A321" s="103"/>
      <c r="B321" s="103"/>
      <c r="C321" s="103"/>
      <c r="D321" s="103"/>
      <c r="E321" s="103"/>
      <c r="F321" s="103"/>
      <c r="G321" s="103" t="s">
        <v>21</v>
      </c>
      <c r="H321" s="103" t="s">
        <v>119</v>
      </c>
      <c r="I321" s="259">
        <v>10.7</v>
      </c>
      <c r="J321" s="113">
        <v>12</v>
      </c>
      <c r="K321" s="214">
        <v>94</v>
      </c>
      <c r="L321" s="304">
        <f t="shared" si="52"/>
        <v>12.069599999999998</v>
      </c>
      <c r="M321" s="103"/>
      <c r="N321" s="103"/>
      <c r="O321" s="103"/>
      <c r="P321" s="103"/>
      <c r="Q321" s="1048"/>
      <c r="R321" s="1048"/>
    </row>
    <row r="322" spans="1:18" ht="15.6">
      <c r="A322" s="103"/>
      <c r="B322" s="103"/>
      <c r="C322" s="103"/>
      <c r="D322" s="103"/>
      <c r="E322" s="103"/>
      <c r="F322" s="103"/>
      <c r="G322" s="103"/>
      <c r="H322" s="103"/>
      <c r="I322" s="259"/>
      <c r="J322" s="113"/>
      <c r="K322" s="213">
        <f t="shared" ref="K322:L322" si="53">SUM(K314:K321)</f>
        <v>581</v>
      </c>
      <c r="L322" s="260">
        <f t="shared" si="53"/>
        <v>60.427179999999993</v>
      </c>
      <c r="M322" s="103"/>
      <c r="N322" s="103"/>
      <c r="O322" s="103"/>
      <c r="P322" s="103"/>
      <c r="Q322" s="1048"/>
      <c r="R322" s="1048"/>
    </row>
    <row r="323" spans="1:18" ht="15.6">
      <c r="A323" s="21" t="s">
        <v>83</v>
      </c>
      <c r="B323" s="21" t="s">
        <v>132</v>
      </c>
      <c r="C323" s="21" t="s">
        <v>19</v>
      </c>
      <c r="D323" s="21" t="s">
        <v>20</v>
      </c>
      <c r="E323" s="63" t="s">
        <v>51</v>
      </c>
      <c r="F323" s="22">
        <v>12</v>
      </c>
      <c r="G323" s="103" t="s">
        <v>21</v>
      </c>
      <c r="H323" s="103" t="s">
        <v>120</v>
      </c>
      <c r="I323" s="259">
        <v>18.2</v>
      </c>
      <c r="J323" s="113">
        <v>7.2</v>
      </c>
      <c r="K323" s="214">
        <v>10</v>
      </c>
      <c r="L323" s="304">
        <f t="shared" ref="L323:L328" si="54">(I323*J323*K323/1000)</f>
        <v>1.3103999999999998</v>
      </c>
      <c r="M323" s="103"/>
      <c r="N323" s="103"/>
      <c r="O323" s="103"/>
      <c r="P323" s="103"/>
      <c r="Q323" s="1048"/>
      <c r="R323" s="1048"/>
    </row>
    <row r="324" spans="1:18" ht="15.6">
      <c r="A324" s="20"/>
      <c r="B324" s="21" t="s">
        <v>84</v>
      </c>
      <c r="C324" s="20"/>
      <c r="D324" s="20"/>
      <c r="E324" s="20"/>
      <c r="F324" s="20"/>
      <c r="G324" s="103" t="s">
        <v>21</v>
      </c>
      <c r="H324" s="103" t="s">
        <v>120</v>
      </c>
      <c r="I324" s="259">
        <v>18.2</v>
      </c>
      <c r="J324" s="113">
        <v>8.6</v>
      </c>
      <c r="K324" s="214">
        <v>74</v>
      </c>
      <c r="L324" s="304">
        <f t="shared" si="54"/>
        <v>11.58248</v>
      </c>
      <c r="M324" s="103"/>
      <c r="N324" s="103"/>
      <c r="O324" s="103"/>
      <c r="P324" s="103"/>
      <c r="Q324" s="1048"/>
      <c r="R324" s="1048"/>
    </row>
    <row r="325" spans="1:18" ht="15.6">
      <c r="A325" s="103"/>
      <c r="B325" s="103"/>
      <c r="C325" s="103"/>
      <c r="D325" s="103"/>
      <c r="E325" s="103"/>
      <c r="F325" s="103"/>
      <c r="G325" s="103" t="s">
        <v>21</v>
      </c>
      <c r="H325" s="103" t="s">
        <v>120</v>
      </c>
      <c r="I325" s="259">
        <v>18.2</v>
      </c>
      <c r="J325" s="113">
        <v>10.3</v>
      </c>
      <c r="K325" s="214">
        <v>37</v>
      </c>
      <c r="L325" s="304">
        <f t="shared" si="54"/>
        <v>6.9360200000000001</v>
      </c>
      <c r="M325" s="103"/>
      <c r="N325" s="103"/>
      <c r="O325" s="103"/>
      <c r="P325" s="103"/>
      <c r="Q325" s="1048"/>
      <c r="R325" s="1048"/>
    </row>
    <row r="326" spans="1:18" ht="15.6">
      <c r="A326" s="103"/>
      <c r="B326" s="103"/>
      <c r="C326" s="103"/>
      <c r="D326" s="103"/>
      <c r="E326" s="103"/>
      <c r="F326" s="103"/>
      <c r="G326" s="103" t="s">
        <v>21</v>
      </c>
      <c r="H326" s="103" t="s">
        <v>120</v>
      </c>
      <c r="I326" s="259">
        <v>18.2</v>
      </c>
      <c r="J326" s="113">
        <v>10.8</v>
      </c>
      <c r="K326" s="214">
        <v>121</v>
      </c>
      <c r="L326" s="304">
        <f t="shared" si="54"/>
        <v>23.783760000000001</v>
      </c>
      <c r="M326" s="103"/>
      <c r="N326" s="103"/>
      <c r="O326" s="103"/>
      <c r="P326" s="103"/>
      <c r="Q326" s="1048"/>
      <c r="R326" s="1048"/>
    </row>
    <row r="327" spans="1:18" ht="15.6">
      <c r="A327" s="103"/>
      <c r="B327" s="103"/>
      <c r="C327" s="103"/>
      <c r="D327" s="103"/>
      <c r="E327" s="103"/>
      <c r="F327" s="103"/>
      <c r="G327" s="103" t="s">
        <v>21</v>
      </c>
      <c r="H327" s="103" t="s">
        <v>120</v>
      </c>
      <c r="I327" s="259">
        <v>18.2</v>
      </c>
      <c r="J327" s="113">
        <v>11.8</v>
      </c>
      <c r="K327" s="214">
        <v>74</v>
      </c>
      <c r="L327" s="304">
        <f t="shared" si="54"/>
        <v>15.892239999999999</v>
      </c>
      <c r="M327" s="103"/>
      <c r="N327" s="103"/>
      <c r="O327" s="103"/>
      <c r="P327" s="103"/>
      <c r="Q327" s="1048"/>
      <c r="R327" s="1048"/>
    </row>
    <row r="328" spans="1:18" ht="15.6">
      <c r="A328" s="103"/>
      <c r="B328" s="103"/>
      <c r="C328" s="103"/>
      <c r="D328" s="103"/>
      <c r="E328" s="103"/>
      <c r="F328" s="103"/>
      <c r="G328" s="103" t="s">
        <v>21</v>
      </c>
      <c r="H328" s="103" t="s">
        <v>120</v>
      </c>
      <c r="I328" s="259">
        <v>18.2</v>
      </c>
      <c r="J328" s="113">
        <v>12</v>
      </c>
      <c r="K328" s="214">
        <v>46</v>
      </c>
      <c r="L328" s="304">
        <f t="shared" si="54"/>
        <v>10.0464</v>
      </c>
      <c r="M328" s="103"/>
      <c r="N328" s="103"/>
      <c r="O328" s="103"/>
      <c r="P328" s="103"/>
      <c r="Q328" s="1048"/>
      <c r="R328" s="1048"/>
    </row>
    <row r="329" spans="1:18" ht="15.6">
      <c r="A329" s="103"/>
      <c r="B329" s="103"/>
      <c r="C329" s="103"/>
      <c r="D329" s="103"/>
      <c r="E329" s="103"/>
      <c r="F329" s="103"/>
      <c r="G329" s="103"/>
      <c r="H329" s="103"/>
      <c r="I329" s="259"/>
      <c r="J329" s="113"/>
      <c r="K329" s="213">
        <f t="shared" ref="K329:L329" si="55">SUM(K323:K328)</f>
        <v>362</v>
      </c>
      <c r="L329" s="260">
        <f t="shared" si="55"/>
        <v>69.551300000000012</v>
      </c>
      <c r="M329" s="103"/>
      <c r="N329" s="103"/>
      <c r="O329" s="103"/>
      <c r="P329" s="103"/>
      <c r="Q329" s="1048"/>
      <c r="R329" s="1048"/>
    </row>
    <row r="330" spans="1:18" ht="15.6">
      <c r="A330" s="21" t="s">
        <v>83</v>
      </c>
      <c r="B330" s="21" t="s">
        <v>132</v>
      </c>
      <c r="C330" s="21" t="s">
        <v>19</v>
      </c>
      <c r="D330" s="21" t="s">
        <v>20</v>
      </c>
      <c r="E330" s="63" t="s">
        <v>51</v>
      </c>
      <c r="F330" s="22">
        <v>12</v>
      </c>
      <c r="G330" s="103" t="s">
        <v>21</v>
      </c>
      <c r="H330" s="103" t="s">
        <v>121</v>
      </c>
      <c r="I330" s="259">
        <v>12.9</v>
      </c>
      <c r="J330" s="113">
        <v>7.2</v>
      </c>
      <c r="K330" s="214">
        <v>20</v>
      </c>
      <c r="L330" s="304">
        <f t="shared" ref="L330:L332" si="56">(I330*J330*K330/1000)</f>
        <v>1.8576000000000001</v>
      </c>
      <c r="M330" s="103"/>
      <c r="N330" s="103"/>
      <c r="O330" s="103"/>
      <c r="P330" s="103"/>
      <c r="Q330" s="1048"/>
      <c r="R330" s="1048"/>
    </row>
    <row r="331" spans="1:18" ht="15.6">
      <c r="A331" s="20"/>
      <c r="B331" s="21" t="s">
        <v>84</v>
      </c>
      <c r="C331" s="20"/>
      <c r="D331" s="20"/>
      <c r="E331" s="20"/>
      <c r="F331" s="20"/>
      <c r="G331" s="103" t="s">
        <v>21</v>
      </c>
      <c r="H331" s="103" t="s">
        <v>121</v>
      </c>
      <c r="I331" s="259">
        <v>12.9</v>
      </c>
      <c r="J331" s="113">
        <v>10</v>
      </c>
      <c r="K331" s="214">
        <v>55</v>
      </c>
      <c r="L331" s="304">
        <f t="shared" si="56"/>
        <v>7.0949999999999998</v>
      </c>
      <c r="M331" s="103"/>
      <c r="N331" s="103"/>
      <c r="O331" s="103"/>
      <c r="P331" s="103"/>
      <c r="Q331" s="1048"/>
      <c r="R331" s="1048"/>
    </row>
    <row r="332" spans="1:18" ht="15.6">
      <c r="A332" s="103"/>
      <c r="B332" s="103"/>
      <c r="C332" s="103"/>
      <c r="D332" s="103"/>
      <c r="E332" s="103"/>
      <c r="F332" s="103"/>
      <c r="G332" s="103" t="s">
        <v>21</v>
      </c>
      <c r="H332" s="103" t="s">
        <v>121</v>
      </c>
      <c r="I332" s="259">
        <v>12.9</v>
      </c>
      <c r="J332" s="113">
        <v>11.6</v>
      </c>
      <c r="K332" s="214">
        <v>10</v>
      </c>
      <c r="L332" s="304">
        <f t="shared" si="56"/>
        <v>1.4964</v>
      </c>
      <c r="M332" s="103"/>
      <c r="N332" s="103"/>
      <c r="O332" s="103"/>
      <c r="P332" s="103"/>
      <c r="Q332" s="1048"/>
      <c r="R332" s="1048"/>
    </row>
    <row r="333" spans="1:18" ht="15.6">
      <c r="A333" s="103"/>
      <c r="B333" s="103"/>
      <c r="C333" s="103"/>
      <c r="D333" s="103"/>
      <c r="E333" s="103"/>
      <c r="F333" s="103"/>
      <c r="G333" s="103"/>
      <c r="H333" s="103"/>
      <c r="I333" s="259"/>
      <c r="J333" s="113"/>
      <c r="K333" s="213">
        <f t="shared" ref="K333:L333" si="57">SUM(K330:K332)</f>
        <v>85</v>
      </c>
      <c r="L333" s="260">
        <f t="shared" si="57"/>
        <v>10.449</v>
      </c>
      <c r="M333" s="103"/>
      <c r="N333" s="103"/>
      <c r="O333" s="103"/>
      <c r="P333" s="103"/>
      <c r="Q333" s="1048"/>
      <c r="R333" s="1048"/>
    </row>
    <row r="334" spans="1:18" ht="15.6">
      <c r="A334" s="21" t="s">
        <v>83</v>
      </c>
      <c r="B334" s="21" t="s">
        <v>132</v>
      </c>
      <c r="C334" s="21" t="s">
        <v>19</v>
      </c>
      <c r="D334" s="21" t="s">
        <v>20</v>
      </c>
      <c r="E334" s="63" t="s">
        <v>51</v>
      </c>
      <c r="F334" s="22">
        <v>12</v>
      </c>
      <c r="G334" s="103" t="s">
        <v>21</v>
      </c>
      <c r="H334" s="103" t="s">
        <v>122</v>
      </c>
      <c r="I334" s="259">
        <v>12.2</v>
      </c>
      <c r="J334" s="113">
        <v>6.6</v>
      </c>
      <c r="K334" s="214">
        <v>41</v>
      </c>
      <c r="L334" s="304">
        <f t="shared" ref="L334:L340" si="58">(I334*J334*K334/1000)</f>
        <v>3.3013199999999996</v>
      </c>
      <c r="M334" s="103"/>
      <c r="N334" s="103"/>
      <c r="O334" s="103"/>
      <c r="P334" s="103"/>
      <c r="Q334" s="1048"/>
      <c r="R334" s="1048"/>
    </row>
    <row r="335" spans="1:18" ht="15.6">
      <c r="A335" s="20"/>
      <c r="B335" s="21" t="s">
        <v>84</v>
      </c>
      <c r="C335" s="20"/>
      <c r="D335" s="20"/>
      <c r="E335" s="20"/>
      <c r="F335" s="20"/>
      <c r="G335" s="103" t="s">
        <v>21</v>
      </c>
      <c r="H335" s="103" t="s">
        <v>122</v>
      </c>
      <c r="I335" s="259">
        <v>12.2</v>
      </c>
      <c r="J335" s="113">
        <v>7.1</v>
      </c>
      <c r="K335" s="214">
        <v>8</v>
      </c>
      <c r="L335" s="304">
        <f t="shared" si="58"/>
        <v>0.69295999999999991</v>
      </c>
      <c r="M335" s="103"/>
      <c r="N335" s="103"/>
      <c r="O335" s="103"/>
      <c r="P335" s="103"/>
      <c r="Q335" s="1048"/>
      <c r="R335" s="1048"/>
    </row>
    <row r="336" spans="1:18" ht="15.6">
      <c r="A336" s="103"/>
      <c r="B336" s="103"/>
      <c r="C336" s="103"/>
      <c r="D336" s="103"/>
      <c r="E336" s="103"/>
      <c r="F336" s="103"/>
      <c r="G336" s="103" t="s">
        <v>21</v>
      </c>
      <c r="H336" s="103" t="s">
        <v>122</v>
      </c>
      <c r="I336" s="259">
        <v>12.2</v>
      </c>
      <c r="J336" s="113">
        <v>8.4</v>
      </c>
      <c r="K336" s="214">
        <v>18</v>
      </c>
      <c r="L336" s="304">
        <f t="shared" si="58"/>
        <v>1.8446400000000001</v>
      </c>
      <c r="M336" s="103"/>
      <c r="N336" s="103"/>
      <c r="O336" s="103"/>
      <c r="P336" s="103"/>
      <c r="Q336" s="1048"/>
      <c r="R336" s="1048"/>
    </row>
    <row r="337" spans="1:18" ht="15.6">
      <c r="A337" s="103"/>
      <c r="B337" s="103"/>
      <c r="C337" s="103"/>
      <c r="D337" s="103"/>
      <c r="E337" s="103"/>
      <c r="F337" s="103"/>
      <c r="G337" s="103" t="s">
        <v>21</v>
      </c>
      <c r="H337" s="103" t="s">
        <v>122</v>
      </c>
      <c r="I337" s="259">
        <v>12.2</v>
      </c>
      <c r="J337" s="113">
        <v>9.1</v>
      </c>
      <c r="K337" s="214">
        <v>162</v>
      </c>
      <c r="L337" s="304">
        <f t="shared" si="58"/>
        <v>17.985239999999997</v>
      </c>
      <c r="M337" s="103"/>
      <c r="N337" s="103"/>
      <c r="O337" s="103"/>
      <c r="P337" s="103"/>
      <c r="Q337" s="1048"/>
      <c r="R337" s="1048"/>
    </row>
    <row r="338" spans="1:18" ht="15.6">
      <c r="A338" s="103"/>
      <c r="B338" s="103"/>
      <c r="C338" s="103"/>
      <c r="D338" s="103"/>
      <c r="E338" s="103"/>
      <c r="F338" s="103"/>
      <c r="G338" s="103" t="s">
        <v>21</v>
      </c>
      <c r="H338" s="103" t="s">
        <v>122</v>
      </c>
      <c r="I338" s="259">
        <v>12.2</v>
      </c>
      <c r="J338" s="113">
        <v>10.8</v>
      </c>
      <c r="K338" s="214">
        <v>3</v>
      </c>
      <c r="L338" s="304">
        <f t="shared" si="58"/>
        <v>0.39527999999999996</v>
      </c>
      <c r="M338" s="103"/>
      <c r="N338" s="103"/>
      <c r="O338" s="103"/>
      <c r="P338" s="103"/>
      <c r="Q338" s="1048"/>
      <c r="R338" s="1048"/>
    </row>
    <row r="339" spans="1:18" ht="15.6">
      <c r="A339" s="103"/>
      <c r="B339" s="103"/>
      <c r="C339" s="103"/>
      <c r="D339" s="103"/>
      <c r="E339" s="103"/>
      <c r="F339" s="103"/>
      <c r="G339" s="103" t="s">
        <v>21</v>
      </c>
      <c r="H339" s="103" t="s">
        <v>122</v>
      </c>
      <c r="I339" s="259">
        <v>12.2</v>
      </c>
      <c r="J339" s="113">
        <v>11.5</v>
      </c>
      <c r="K339" s="214">
        <v>163</v>
      </c>
      <c r="L339" s="304">
        <f t="shared" si="58"/>
        <v>22.868899999999996</v>
      </c>
      <c r="M339" s="103"/>
      <c r="N339" s="103"/>
      <c r="O339" s="103"/>
      <c r="P339" s="103"/>
      <c r="Q339" s="1048"/>
      <c r="R339" s="1048"/>
    </row>
    <row r="340" spans="1:18" ht="15.6">
      <c r="A340" s="103"/>
      <c r="B340" s="103"/>
      <c r="C340" s="103"/>
      <c r="D340" s="103"/>
      <c r="E340" s="103"/>
      <c r="F340" s="103"/>
      <c r="G340" s="103" t="s">
        <v>21</v>
      </c>
      <c r="H340" s="103" t="s">
        <v>122</v>
      </c>
      <c r="I340" s="259">
        <v>12.2</v>
      </c>
      <c r="J340" s="113">
        <v>12</v>
      </c>
      <c r="K340" s="214">
        <v>18</v>
      </c>
      <c r="L340" s="304">
        <f t="shared" si="58"/>
        <v>2.6351999999999998</v>
      </c>
      <c r="M340" s="103"/>
      <c r="N340" s="103"/>
      <c r="O340" s="103"/>
      <c r="P340" s="103"/>
      <c r="Q340" s="1048"/>
      <c r="R340" s="1048"/>
    </row>
    <row r="341" spans="1:18" ht="15.6">
      <c r="A341" s="103"/>
      <c r="B341" s="103"/>
      <c r="C341" s="103"/>
      <c r="D341" s="103"/>
      <c r="E341" s="103"/>
      <c r="F341" s="103"/>
      <c r="G341" s="103"/>
      <c r="H341" s="103"/>
      <c r="I341" s="259"/>
      <c r="J341" s="113"/>
      <c r="K341" s="213">
        <f t="shared" ref="K341:L341" si="59">SUM(K334:K340)</f>
        <v>413</v>
      </c>
      <c r="L341" s="260">
        <f t="shared" si="59"/>
        <v>49.723539999999993</v>
      </c>
      <c r="M341" s="103"/>
      <c r="N341" s="103"/>
      <c r="O341" s="103"/>
      <c r="P341" s="103"/>
      <c r="Q341" s="1048"/>
      <c r="R341" s="1048"/>
    </row>
    <row r="342" spans="1:18" ht="15.6">
      <c r="A342" s="21" t="s">
        <v>83</v>
      </c>
      <c r="B342" s="21" t="s">
        <v>132</v>
      </c>
      <c r="C342" s="21" t="s">
        <v>19</v>
      </c>
      <c r="D342" s="21" t="s">
        <v>20</v>
      </c>
      <c r="E342" s="63" t="s">
        <v>51</v>
      </c>
      <c r="F342" s="22">
        <v>12</v>
      </c>
      <c r="G342" s="103" t="s">
        <v>21</v>
      </c>
      <c r="H342" s="103" t="s">
        <v>123</v>
      </c>
      <c r="I342" s="259">
        <v>16.5</v>
      </c>
      <c r="J342" s="113">
        <v>6.5</v>
      </c>
      <c r="K342" s="214">
        <v>38</v>
      </c>
      <c r="L342" s="304">
        <f t="shared" ref="L342:L348" si="60">(I342*J342*K342/1000)</f>
        <v>4.0754999999999999</v>
      </c>
      <c r="M342" s="103"/>
      <c r="N342" s="103"/>
      <c r="O342" s="103"/>
      <c r="P342" s="103"/>
      <c r="Q342" s="1048"/>
      <c r="R342" s="1048"/>
    </row>
    <row r="343" spans="1:18" ht="15.6">
      <c r="A343" s="20"/>
      <c r="B343" s="21" t="s">
        <v>84</v>
      </c>
      <c r="C343" s="20"/>
      <c r="D343" s="20"/>
      <c r="E343" s="20"/>
      <c r="F343" s="20"/>
      <c r="G343" s="103" t="s">
        <v>21</v>
      </c>
      <c r="H343" s="103" t="s">
        <v>123</v>
      </c>
      <c r="I343" s="259">
        <v>16.5</v>
      </c>
      <c r="J343" s="113">
        <v>6.7</v>
      </c>
      <c r="K343" s="214">
        <v>16</v>
      </c>
      <c r="L343" s="304">
        <f t="shared" si="60"/>
        <v>1.7687999999999999</v>
      </c>
      <c r="M343" s="103"/>
      <c r="N343" s="103"/>
      <c r="O343" s="103"/>
      <c r="P343" s="103"/>
      <c r="Q343" s="1048"/>
      <c r="R343" s="1048"/>
    </row>
    <row r="344" spans="1:18" ht="15.6">
      <c r="A344" s="103"/>
      <c r="B344" s="103"/>
      <c r="C344" s="103"/>
      <c r="D344" s="103"/>
      <c r="E344" s="103"/>
      <c r="F344" s="103"/>
      <c r="G344" s="103" t="s">
        <v>21</v>
      </c>
      <c r="H344" s="103" t="s">
        <v>123</v>
      </c>
      <c r="I344" s="259">
        <v>16.5</v>
      </c>
      <c r="J344" s="113">
        <v>6.9</v>
      </c>
      <c r="K344" s="214">
        <v>69</v>
      </c>
      <c r="L344" s="304">
        <f t="shared" si="60"/>
        <v>7.8556500000000007</v>
      </c>
      <c r="M344" s="103"/>
      <c r="N344" s="103"/>
      <c r="O344" s="103"/>
      <c r="P344" s="103"/>
      <c r="Q344" s="1048"/>
      <c r="R344" s="1048"/>
    </row>
    <row r="345" spans="1:18" ht="15.6">
      <c r="A345" s="103"/>
      <c r="B345" s="103"/>
      <c r="C345" s="103"/>
      <c r="D345" s="103"/>
      <c r="E345" s="103"/>
      <c r="F345" s="103"/>
      <c r="G345" s="103" t="s">
        <v>21</v>
      </c>
      <c r="H345" s="103" t="s">
        <v>123</v>
      </c>
      <c r="I345" s="259">
        <v>16.5</v>
      </c>
      <c r="J345" s="113">
        <v>7.2</v>
      </c>
      <c r="K345" s="214">
        <v>37</v>
      </c>
      <c r="L345" s="304">
        <f t="shared" si="60"/>
        <v>4.3955999999999991</v>
      </c>
      <c r="M345" s="103"/>
      <c r="N345" s="103"/>
      <c r="O345" s="103"/>
      <c r="P345" s="103"/>
      <c r="Q345" s="1048"/>
      <c r="R345" s="1048"/>
    </row>
    <row r="346" spans="1:18" ht="15.6">
      <c r="A346" s="103"/>
      <c r="B346" s="103"/>
      <c r="C346" s="103"/>
      <c r="D346" s="103"/>
      <c r="E346" s="103"/>
      <c r="F346" s="103"/>
      <c r="G346" s="103" t="s">
        <v>21</v>
      </c>
      <c r="H346" s="103" t="s">
        <v>123</v>
      </c>
      <c r="I346" s="259">
        <v>16.5</v>
      </c>
      <c r="J346" s="113">
        <v>8</v>
      </c>
      <c r="K346" s="214">
        <v>43</v>
      </c>
      <c r="L346" s="304">
        <f t="shared" si="60"/>
        <v>5.6760000000000002</v>
      </c>
      <c r="M346" s="103"/>
      <c r="N346" s="103"/>
      <c r="O346" s="103"/>
      <c r="P346" s="103"/>
      <c r="Q346" s="1048"/>
      <c r="R346" s="1048"/>
    </row>
    <row r="347" spans="1:18" ht="15.6">
      <c r="A347" s="103"/>
      <c r="B347" s="103"/>
      <c r="C347" s="103"/>
      <c r="D347" s="103"/>
      <c r="E347" s="103"/>
      <c r="F347" s="103"/>
      <c r="G347" s="103" t="s">
        <v>21</v>
      </c>
      <c r="H347" s="103" t="s">
        <v>123</v>
      </c>
      <c r="I347" s="259">
        <v>16.5</v>
      </c>
      <c r="J347" s="113">
        <v>9.8000000000000007</v>
      </c>
      <c r="K347" s="214">
        <v>148</v>
      </c>
      <c r="L347" s="304">
        <f t="shared" si="60"/>
        <v>23.931600000000003</v>
      </c>
      <c r="M347" s="103"/>
      <c r="N347" s="103"/>
      <c r="O347" s="103"/>
      <c r="P347" s="103"/>
      <c r="Q347" s="1048"/>
      <c r="R347" s="1048"/>
    </row>
    <row r="348" spans="1:18" ht="15.6">
      <c r="A348" s="103"/>
      <c r="B348" s="103"/>
      <c r="C348" s="103"/>
      <c r="D348" s="103"/>
      <c r="E348" s="103"/>
      <c r="F348" s="103"/>
      <c r="G348" s="103" t="s">
        <v>21</v>
      </c>
      <c r="H348" s="103" t="s">
        <v>123</v>
      </c>
      <c r="I348" s="259">
        <v>16.5</v>
      </c>
      <c r="J348" s="113">
        <v>11.1</v>
      </c>
      <c r="K348" s="214">
        <v>25</v>
      </c>
      <c r="L348" s="304">
        <f t="shared" si="60"/>
        <v>4.5787500000000003</v>
      </c>
      <c r="M348" s="103"/>
      <c r="N348" s="103"/>
      <c r="O348" s="103"/>
      <c r="P348" s="103"/>
      <c r="Q348" s="1048"/>
      <c r="R348" s="1048"/>
    </row>
    <row r="349" spans="1:18" ht="15.6">
      <c r="A349" s="103"/>
      <c r="B349" s="103"/>
      <c r="C349" s="103"/>
      <c r="D349" s="103"/>
      <c r="E349" s="103"/>
      <c r="F349" s="103"/>
      <c r="G349" s="103"/>
      <c r="H349" s="103"/>
      <c r="I349" s="259"/>
      <c r="J349" s="113"/>
      <c r="K349" s="213">
        <f t="shared" ref="K349:L349" si="61">SUM(K342:K348)</f>
        <v>376</v>
      </c>
      <c r="L349" s="260">
        <f t="shared" si="61"/>
        <v>52.2819</v>
      </c>
      <c r="M349" s="103"/>
      <c r="N349" s="103"/>
      <c r="O349" s="103"/>
      <c r="P349" s="103"/>
      <c r="Q349" s="1048"/>
      <c r="R349" s="1048"/>
    </row>
    <row r="350" spans="1:18" ht="15.6">
      <c r="A350" s="21" t="s">
        <v>83</v>
      </c>
      <c r="B350" s="21" t="s">
        <v>132</v>
      </c>
      <c r="C350" s="21" t="s">
        <v>19</v>
      </c>
      <c r="D350" s="21" t="s">
        <v>20</v>
      </c>
      <c r="E350" s="63" t="s">
        <v>51</v>
      </c>
      <c r="F350" s="22">
        <v>12</v>
      </c>
      <c r="G350" s="103" t="s">
        <v>21</v>
      </c>
      <c r="H350" s="103" t="s">
        <v>124</v>
      </c>
      <c r="I350" s="259">
        <v>19.8</v>
      </c>
      <c r="J350" s="113">
        <v>6.1</v>
      </c>
      <c r="K350" s="214">
        <v>41</v>
      </c>
      <c r="L350" s="304">
        <f t="shared" ref="L350:L361" si="62">(I350*J350*K350/1000)</f>
        <v>4.9519800000000007</v>
      </c>
      <c r="M350" s="103"/>
      <c r="N350" s="103"/>
      <c r="O350" s="103"/>
      <c r="P350" s="103"/>
      <c r="Q350" s="1048"/>
      <c r="R350" s="1048"/>
    </row>
    <row r="351" spans="1:18" ht="15.6">
      <c r="A351" s="20"/>
      <c r="B351" s="21" t="s">
        <v>84</v>
      </c>
      <c r="C351" s="20"/>
      <c r="D351" s="20"/>
      <c r="E351" s="20"/>
      <c r="F351" s="20"/>
      <c r="G351" s="103" t="s">
        <v>21</v>
      </c>
      <c r="H351" s="103" t="s">
        <v>124</v>
      </c>
      <c r="I351" s="259">
        <v>19.8</v>
      </c>
      <c r="J351" s="113">
        <v>6.5</v>
      </c>
      <c r="K351" s="214">
        <v>16</v>
      </c>
      <c r="L351" s="304">
        <f t="shared" si="62"/>
        <v>2.0592000000000001</v>
      </c>
      <c r="M351" s="103"/>
      <c r="N351" s="103"/>
      <c r="O351" s="103"/>
      <c r="P351" s="103"/>
      <c r="Q351" s="1048"/>
      <c r="R351" s="1048"/>
    </row>
    <row r="352" spans="1:18" ht="15.6">
      <c r="A352" s="103"/>
      <c r="B352" s="103"/>
      <c r="C352" s="103"/>
      <c r="D352" s="103"/>
      <c r="E352" s="103"/>
      <c r="F352" s="103"/>
      <c r="G352" s="103" t="s">
        <v>21</v>
      </c>
      <c r="H352" s="103" t="s">
        <v>124</v>
      </c>
      <c r="I352" s="259">
        <v>19.8</v>
      </c>
      <c r="J352" s="113">
        <v>6.9</v>
      </c>
      <c r="K352" s="214">
        <v>32</v>
      </c>
      <c r="L352" s="304">
        <f t="shared" si="62"/>
        <v>4.3718399999999997</v>
      </c>
      <c r="M352" s="103"/>
      <c r="N352" s="103"/>
      <c r="O352" s="103"/>
      <c r="P352" s="103"/>
      <c r="Q352" s="1048"/>
      <c r="R352" s="1048"/>
    </row>
    <row r="353" spans="1:18" ht="15.6">
      <c r="A353" s="103"/>
      <c r="B353" s="103"/>
      <c r="C353" s="103"/>
      <c r="D353" s="103"/>
      <c r="E353" s="103"/>
      <c r="F353" s="103"/>
      <c r="G353" s="103" t="s">
        <v>21</v>
      </c>
      <c r="H353" s="103" t="s">
        <v>124</v>
      </c>
      <c r="I353" s="259">
        <v>19.8</v>
      </c>
      <c r="J353" s="113">
        <v>7.1</v>
      </c>
      <c r="K353" s="214">
        <v>76</v>
      </c>
      <c r="L353" s="304">
        <f t="shared" si="62"/>
        <v>10.684079999999998</v>
      </c>
      <c r="M353" s="103"/>
      <c r="N353" s="103"/>
      <c r="O353" s="103"/>
      <c r="P353" s="103"/>
      <c r="Q353" s="1048"/>
      <c r="R353" s="1048"/>
    </row>
    <row r="354" spans="1:18" ht="15.6">
      <c r="A354" s="103"/>
      <c r="B354" s="103"/>
      <c r="C354" s="103"/>
      <c r="D354" s="103"/>
      <c r="E354" s="103"/>
      <c r="F354" s="103"/>
      <c r="G354" s="103" t="s">
        <v>21</v>
      </c>
      <c r="H354" s="103" t="s">
        <v>124</v>
      </c>
      <c r="I354" s="259">
        <v>19.8</v>
      </c>
      <c r="J354" s="113">
        <v>7.3</v>
      </c>
      <c r="K354" s="214">
        <v>80</v>
      </c>
      <c r="L354" s="304">
        <f t="shared" si="62"/>
        <v>11.563199999999998</v>
      </c>
      <c r="M354" s="103"/>
      <c r="N354" s="103"/>
      <c r="O354" s="103"/>
      <c r="P354" s="103"/>
      <c r="Q354" s="1048"/>
      <c r="R354" s="1048"/>
    </row>
    <row r="355" spans="1:18" ht="15.6">
      <c r="A355" s="103"/>
      <c r="B355" s="103"/>
      <c r="C355" s="103"/>
      <c r="D355" s="103"/>
      <c r="E355" s="103"/>
      <c r="F355" s="103"/>
      <c r="G355" s="103" t="s">
        <v>21</v>
      </c>
      <c r="H355" s="103" t="s">
        <v>124</v>
      </c>
      <c r="I355" s="259">
        <v>19.8</v>
      </c>
      <c r="J355" s="113">
        <v>7.5</v>
      </c>
      <c r="K355" s="214">
        <v>12</v>
      </c>
      <c r="L355" s="304">
        <f t="shared" si="62"/>
        <v>1.782</v>
      </c>
      <c r="M355" s="103"/>
      <c r="N355" s="103"/>
      <c r="O355" s="103"/>
      <c r="P355" s="103"/>
      <c r="Q355" s="1048"/>
      <c r="R355" s="1048"/>
    </row>
    <row r="356" spans="1:18" ht="15.6">
      <c r="A356" s="103"/>
      <c r="B356" s="103"/>
      <c r="C356" s="103"/>
      <c r="D356" s="103"/>
      <c r="E356" s="103"/>
      <c r="F356" s="103"/>
      <c r="G356" s="103" t="s">
        <v>21</v>
      </c>
      <c r="H356" s="103" t="s">
        <v>124</v>
      </c>
      <c r="I356" s="259">
        <v>19.8</v>
      </c>
      <c r="J356" s="113">
        <v>8.1999999999999993</v>
      </c>
      <c r="K356" s="214">
        <v>16</v>
      </c>
      <c r="L356" s="304">
        <f t="shared" si="62"/>
        <v>2.5977599999999996</v>
      </c>
      <c r="M356" s="103"/>
      <c r="N356" s="103"/>
      <c r="O356" s="103"/>
      <c r="P356" s="103"/>
      <c r="Q356" s="1048"/>
      <c r="R356" s="1048"/>
    </row>
    <row r="357" spans="1:18" ht="15.6">
      <c r="A357" s="103"/>
      <c r="B357" s="103"/>
      <c r="C357" s="103"/>
      <c r="D357" s="103"/>
      <c r="E357" s="103"/>
      <c r="F357" s="103"/>
      <c r="G357" s="103" t="s">
        <v>21</v>
      </c>
      <c r="H357" s="103" t="s">
        <v>124</v>
      </c>
      <c r="I357" s="259">
        <v>19.8</v>
      </c>
      <c r="J357" s="113">
        <v>8.3000000000000007</v>
      </c>
      <c r="K357" s="214">
        <v>16</v>
      </c>
      <c r="L357" s="304">
        <f t="shared" si="62"/>
        <v>2.6294400000000007</v>
      </c>
      <c r="M357" s="103"/>
      <c r="N357" s="103"/>
      <c r="O357" s="103"/>
      <c r="P357" s="103"/>
      <c r="Q357" s="1048"/>
      <c r="R357" s="1048"/>
    </row>
    <row r="358" spans="1:18" ht="15.6">
      <c r="A358" s="103"/>
      <c r="B358" s="103"/>
      <c r="C358" s="103"/>
      <c r="D358" s="103"/>
      <c r="E358" s="103"/>
      <c r="F358" s="103"/>
      <c r="G358" s="103" t="s">
        <v>21</v>
      </c>
      <c r="H358" s="103" t="s">
        <v>124</v>
      </c>
      <c r="I358" s="259">
        <v>19.8</v>
      </c>
      <c r="J358" s="113">
        <v>11.1</v>
      </c>
      <c r="K358" s="214">
        <v>52</v>
      </c>
      <c r="L358" s="304">
        <f t="shared" si="62"/>
        <v>11.428559999999999</v>
      </c>
      <c r="M358" s="103"/>
      <c r="N358" s="103"/>
      <c r="O358" s="103"/>
      <c r="P358" s="103"/>
      <c r="Q358" s="1048"/>
      <c r="R358" s="1048"/>
    </row>
    <row r="359" spans="1:18" ht="15.6">
      <c r="A359" s="103"/>
      <c r="B359" s="103"/>
      <c r="C359" s="103"/>
      <c r="D359" s="103"/>
      <c r="E359" s="103"/>
      <c r="F359" s="103"/>
      <c r="G359" s="103" t="s">
        <v>21</v>
      </c>
      <c r="H359" s="103" t="s">
        <v>124</v>
      </c>
      <c r="I359" s="259">
        <v>19.8</v>
      </c>
      <c r="J359" s="113">
        <v>11.2</v>
      </c>
      <c r="K359" s="214">
        <v>118</v>
      </c>
      <c r="L359" s="304">
        <f t="shared" si="62"/>
        <v>26.167680000000001</v>
      </c>
      <c r="M359" s="103"/>
      <c r="N359" s="103"/>
      <c r="O359" s="103"/>
      <c r="P359" s="103"/>
      <c r="Q359" s="1048"/>
      <c r="R359" s="1048"/>
    </row>
    <row r="360" spans="1:18" ht="15.6">
      <c r="A360" s="103"/>
      <c r="B360" s="103"/>
      <c r="C360" s="103"/>
      <c r="D360" s="103"/>
      <c r="E360" s="103"/>
      <c r="F360" s="103"/>
      <c r="G360" s="103" t="s">
        <v>21</v>
      </c>
      <c r="H360" s="103" t="s">
        <v>124</v>
      </c>
      <c r="I360" s="259">
        <v>19.8</v>
      </c>
      <c r="J360" s="113">
        <v>11.5</v>
      </c>
      <c r="K360" s="214">
        <v>80</v>
      </c>
      <c r="L360" s="304">
        <f t="shared" si="62"/>
        <v>18.216000000000001</v>
      </c>
      <c r="M360" s="103"/>
      <c r="N360" s="103"/>
      <c r="O360" s="103"/>
      <c r="P360" s="103"/>
      <c r="Q360" s="1048"/>
      <c r="R360" s="1048"/>
    </row>
    <row r="361" spans="1:18" ht="15.6">
      <c r="A361" s="103"/>
      <c r="B361" s="103"/>
      <c r="C361" s="103"/>
      <c r="D361" s="103"/>
      <c r="E361" s="103"/>
      <c r="F361" s="103"/>
      <c r="G361" s="103" t="s">
        <v>21</v>
      </c>
      <c r="H361" s="103" t="s">
        <v>124</v>
      </c>
      <c r="I361" s="259">
        <v>19.8</v>
      </c>
      <c r="J361" s="113">
        <v>11.6</v>
      </c>
      <c r="K361" s="214">
        <v>30</v>
      </c>
      <c r="L361" s="304">
        <f t="shared" si="62"/>
        <v>6.8904000000000005</v>
      </c>
      <c r="M361" s="103"/>
      <c r="N361" s="103"/>
      <c r="O361" s="103"/>
      <c r="P361" s="103"/>
      <c r="Q361" s="1048"/>
      <c r="R361" s="1048"/>
    </row>
    <row r="362" spans="1:18" ht="15.6">
      <c r="A362" s="103"/>
      <c r="B362" s="103"/>
      <c r="C362" s="103"/>
      <c r="D362" s="103"/>
      <c r="E362" s="103"/>
      <c r="F362" s="103"/>
      <c r="G362" s="103"/>
      <c r="H362" s="103"/>
      <c r="I362" s="259"/>
      <c r="J362" s="113"/>
      <c r="K362" s="213">
        <f t="shared" ref="K362:L362" si="63">SUM(K350:K361)</f>
        <v>569</v>
      </c>
      <c r="L362" s="260">
        <f t="shared" si="63"/>
        <v>103.34214</v>
      </c>
      <c r="M362" s="103"/>
      <c r="N362" s="103"/>
      <c r="O362" s="103"/>
      <c r="P362" s="103"/>
      <c r="Q362" s="1048"/>
      <c r="R362" s="1048"/>
    </row>
    <row r="363" spans="1:18" ht="15.6">
      <c r="A363" s="21" t="s">
        <v>83</v>
      </c>
      <c r="B363" s="21" t="s">
        <v>132</v>
      </c>
      <c r="C363" s="21" t="s">
        <v>19</v>
      </c>
      <c r="D363" s="21" t="s">
        <v>20</v>
      </c>
      <c r="E363" s="63" t="s">
        <v>51</v>
      </c>
      <c r="F363" s="22">
        <v>12</v>
      </c>
      <c r="G363" s="103" t="s">
        <v>21</v>
      </c>
      <c r="H363" s="103" t="s">
        <v>125</v>
      </c>
      <c r="I363" s="259">
        <v>21.7</v>
      </c>
      <c r="J363" s="113">
        <v>6.5</v>
      </c>
      <c r="K363" s="214">
        <v>74</v>
      </c>
      <c r="L363" s="304">
        <f t="shared" ref="L363:L374" si="64">(I363*J363*K363/1000)</f>
        <v>10.4377</v>
      </c>
      <c r="M363" s="103"/>
      <c r="N363" s="103"/>
      <c r="O363" s="103"/>
      <c r="P363" s="103"/>
      <c r="Q363" s="1048"/>
      <c r="R363" s="1048"/>
    </row>
    <row r="364" spans="1:18" ht="15.6">
      <c r="A364" s="20"/>
      <c r="B364" s="21" t="s">
        <v>84</v>
      </c>
      <c r="C364" s="20"/>
      <c r="D364" s="20"/>
      <c r="E364" s="20"/>
      <c r="F364" s="20"/>
      <c r="G364" s="103" t="s">
        <v>21</v>
      </c>
      <c r="H364" s="103" t="s">
        <v>125</v>
      </c>
      <c r="I364" s="259">
        <v>21.7</v>
      </c>
      <c r="J364" s="113">
        <v>7.2</v>
      </c>
      <c r="K364" s="214">
        <v>19</v>
      </c>
      <c r="L364" s="304">
        <f t="shared" si="64"/>
        <v>2.9685600000000005</v>
      </c>
      <c r="M364" s="103"/>
      <c r="N364" s="103"/>
      <c r="O364" s="103"/>
      <c r="P364" s="103"/>
      <c r="Q364" s="1048"/>
      <c r="R364" s="1048"/>
    </row>
    <row r="365" spans="1:18" ht="15.6">
      <c r="A365" s="103"/>
      <c r="B365" s="103"/>
      <c r="C365" s="103"/>
      <c r="D365" s="103"/>
      <c r="E365" s="103"/>
      <c r="F365" s="103"/>
      <c r="G365" s="103" t="s">
        <v>21</v>
      </c>
      <c r="H365" s="103" t="s">
        <v>125</v>
      </c>
      <c r="I365" s="259">
        <v>21.7</v>
      </c>
      <c r="J365" s="113">
        <v>7.5</v>
      </c>
      <c r="K365" s="214">
        <v>42</v>
      </c>
      <c r="L365" s="304">
        <f t="shared" si="64"/>
        <v>6.8354999999999997</v>
      </c>
      <c r="M365" s="103"/>
      <c r="N365" s="103"/>
      <c r="O365" s="103"/>
      <c r="P365" s="103"/>
      <c r="Q365" s="1048"/>
      <c r="R365" s="1048"/>
    </row>
    <row r="366" spans="1:18" ht="15.6">
      <c r="A366" s="103"/>
      <c r="B366" s="103"/>
      <c r="C366" s="103"/>
      <c r="D366" s="103"/>
      <c r="E366" s="103"/>
      <c r="F366" s="103"/>
      <c r="G366" s="103" t="s">
        <v>21</v>
      </c>
      <c r="H366" s="103" t="s">
        <v>125</v>
      </c>
      <c r="I366" s="259">
        <v>21.7</v>
      </c>
      <c r="J366" s="113">
        <v>8</v>
      </c>
      <c r="K366" s="214">
        <v>24</v>
      </c>
      <c r="L366" s="304">
        <f t="shared" si="64"/>
        <v>4.1663999999999994</v>
      </c>
      <c r="M366" s="103"/>
      <c r="N366" s="103"/>
      <c r="O366" s="103"/>
      <c r="P366" s="103"/>
      <c r="Q366" s="1048"/>
      <c r="R366" s="1048"/>
    </row>
    <row r="367" spans="1:18" ht="15.6">
      <c r="A367" s="103"/>
      <c r="B367" s="103"/>
      <c r="C367" s="103"/>
      <c r="D367" s="103"/>
      <c r="E367" s="103"/>
      <c r="F367" s="103"/>
      <c r="G367" s="103" t="s">
        <v>21</v>
      </c>
      <c r="H367" s="103" t="s">
        <v>125</v>
      </c>
      <c r="I367" s="259">
        <v>21.7</v>
      </c>
      <c r="J367" s="113">
        <v>8.1</v>
      </c>
      <c r="K367" s="214">
        <v>74</v>
      </c>
      <c r="L367" s="304">
        <f t="shared" si="64"/>
        <v>13.00698</v>
      </c>
      <c r="M367" s="103"/>
      <c r="N367" s="103"/>
      <c r="O367" s="103"/>
      <c r="P367" s="103"/>
      <c r="Q367" s="1048"/>
      <c r="R367" s="1048"/>
    </row>
    <row r="368" spans="1:18" ht="15.6">
      <c r="A368" s="103"/>
      <c r="B368" s="103"/>
      <c r="C368" s="103"/>
      <c r="D368" s="103"/>
      <c r="E368" s="103"/>
      <c r="F368" s="103"/>
      <c r="G368" s="103" t="s">
        <v>21</v>
      </c>
      <c r="H368" s="103" t="s">
        <v>125</v>
      </c>
      <c r="I368" s="259">
        <v>21.7</v>
      </c>
      <c r="J368" s="113">
        <v>8.5</v>
      </c>
      <c r="K368" s="214">
        <v>20</v>
      </c>
      <c r="L368" s="304">
        <f t="shared" si="64"/>
        <v>3.6890000000000001</v>
      </c>
      <c r="M368" s="103"/>
      <c r="N368" s="103"/>
      <c r="O368" s="103"/>
      <c r="P368" s="103"/>
      <c r="Q368" s="1048"/>
      <c r="R368" s="1048"/>
    </row>
    <row r="369" spans="1:18" ht="15.6">
      <c r="A369" s="103"/>
      <c r="B369" s="103"/>
      <c r="C369" s="103"/>
      <c r="D369" s="103"/>
      <c r="E369" s="103"/>
      <c r="F369" s="103"/>
      <c r="G369" s="103" t="s">
        <v>21</v>
      </c>
      <c r="H369" s="103" t="s">
        <v>125</v>
      </c>
      <c r="I369" s="259">
        <v>21.7</v>
      </c>
      <c r="J369" s="113">
        <v>9</v>
      </c>
      <c r="K369" s="214">
        <v>16</v>
      </c>
      <c r="L369" s="304">
        <f t="shared" si="64"/>
        <v>3.1247999999999996</v>
      </c>
      <c r="M369" s="103"/>
      <c r="N369" s="103"/>
      <c r="O369" s="103"/>
      <c r="P369" s="103"/>
      <c r="Q369" s="1048"/>
      <c r="R369" s="1048"/>
    </row>
    <row r="370" spans="1:18" ht="15.6">
      <c r="A370" s="103"/>
      <c r="B370" s="103"/>
      <c r="C370" s="103"/>
      <c r="D370" s="103"/>
      <c r="E370" s="103"/>
      <c r="F370" s="103"/>
      <c r="G370" s="103" t="s">
        <v>21</v>
      </c>
      <c r="H370" s="103" t="s">
        <v>125</v>
      </c>
      <c r="I370" s="259">
        <v>21.7</v>
      </c>
      <c r="J370" s="113">
        <v>10.1</v>
      </c>
      <c r="K370" s="214">
        <v>16</v>
      </c>
      <c r="L370" s="304">
        <f t="shared" si="64"/>
        <v>3.5067199999999996</v>
      </c>
      <c r="M370" s="103"/>
      <c r="N370" s="103"/>
      <c r="O370" s="103"/>
      <c r="P370" s="103"/>
      <c r="Q370" s="1048"/>
      <c r="R370" s="1048"/>
    </row>
    <row r="371" spans="1:18" ht="15.6">
      <c r="A371" s="103"/>
      <c r="B371" s="103"/>
      <c r="C371" s="103"/>
      <c r="D371" s="103"/>
      <c r="E371" s="103"/>
      <c r="F371" s="103"/>
      <c r="G371" s="103" t="s">
        <v>21</v>
      </c>
      <c r="H371" s="103" t="s">
        <v>125</v>
      </c>
      <c r="I371" s="259">
        <v>21.7</v>
      </c>
      <c r="J371" s="113">
        <v>11.1</v>
      </c>
      <c r="K371" s="214">
        <v>12</v>
      </c>
      <c r="L371" s="304">
        <f t="shared" si="64"/>
        <v>2.8904399999999995</v>
      </c>
      <c r="M371" s="103"/>
      <c r="N371" s="103"/>
      <c r="O371" s="103"/>
      <c r="P371" s="103"/>
      <c r="Q371" s="1048"/>
      <c r="R371" s="1048"/>
    </row>
    <row r="372" spans="1:18" ht="15.6">
      <c r="A372" s="103"/>
      <c r="B372" s="103"/>
      <c r="C372" s="103"/>
      <c r="D372" s="103"/>
      <c r="E372" s="103"/>
      <c r="F372" s="103"/>
      <c r="G372" s="103" t="s">
        <v>21</v>
      </c>
      <c r="H372" s="103" t="s">
        <v>125</v>
      </c>
      <c r="I372" s="259">
        <v>21.7</v>
      </c>
      <c r="J372" s="113">
        <v>11.2</v>
      </c>
      <c r="K372" s="214">
        <v>85</v>
      </c>
      <c r="L372" s="304">
        <f t="shared" si="64"/>
        <v>20.658399999999997</v>
      </c>
      <c r="M372" s="103"/>
      <c r="N372" s="103"/>
      <c r="O372" s="103"/>
      <c r="P372" s="103"/>
      <c r="Q372" s="1048"/>
      <c r="R372" s="1048"/>
    </row>
    <row r="373" spans="1:18" ht="15.6">
      <c r="A373" s="103"/>
      <c r="B373" s="103"/>
      <c r="C373" s="103"/>
      <c r="D373" s="103"/>
      <c r="E373" s="103"/>
      <c r="F373" s="103"/>
      <c r="G373" s="103" t="s">
        <v>21</v>
      </c>
      <c r="H373" s="103" t="s">
        <v>125</v>
      </c>
      <c r="I373" s="259">
        <v>21.7</v>
      </c>
      <c r="J373" s="113">
        <v>11.4</v>
      </c>
      <c r="K373" s="214">
        <v>74</v>
      </c>
      <c r="L373" s="304">
        <f t="shared" si="64"/>
        <v>18.30612</v>
      </c>
      <c r="M373" s="103"/>
      <c r="N373" s="103"/>
      <c r="O373" s="103"/>
      <c r="P373" s="103"/>
      <c r="Q373" s="1048"/>
      <c r="R373" s="1048"/>
    </row>
    <row r="374" spans="1:18" ht="15.6">
      <c r="A374" s="103"/>
      <c r="B374" s="103"/>
      <c r="C374" s="103"/>
      <c r="D374" s="103"/>
      <c r="E374" s="103"/>
      <c r="F374" s="103"/>
      <c r="G374" s="103" t="s">
        <v>21</v>
      </c>
      <c r="H374" s="103" t="s">
        <v>125</v>
      </c>
      <c r="I374" s="259">
        <v>21.7</v>
      </c>
      <c r="J374" s="113">
        <v>12</v>
      </c>
      <c r="K374" s="214">
        <v>46</v>
      </c>
      <c r="L374" s="304">
        <f t="shared" si="64"/>
        <v>11.978399999999999</v>
      </c>
      <c r="M374" s="103"/>
      <c r="N374" s="103"/>
      <c r="O374" s="103"/>
      <c r="P374" s="103"/>
      <c r="Q374" s="1048"/>
      <c r="R374" s="1048"/>
    </row>
    <row r="375" spans="1:18" ht="15.6">
      <c r="A375" s="103"/>
      <c r="B375" s="103"/>
      <c r="C375" s="103"/>
      <c r="D375" s="103"/>
      <c r="E375" s="103"/>
      <c r="F375" s="103"/>
      <c r="G375" s="103"/>
      <c r="H375" s="103"/>
      <c r="I375" s="259"/>
      <c r="J375" s="113"/>
      <c r="K375" s="213">
        <f t="shared" ref="K375:L375" si="65">SUM(K363:K374)</f>
        <v>502</v>
      </c>
      <c r="L375" s="260">
        <f t="shared" si="65"/>
        <v>101.56901999999999</v>
      </c>
      <c r="M375" s="103"/>
      <c r="N375" s="103"/>
      <c r="O375" s="103"/>
      <c r="P375" s="103"/>
      <c r="Q375" s="1048"/>
      <c r="R375" s="1048"/>
    </row>
    <row r="376" spans="1:18" ht="15.6">
      <c r="A376" s="21" t="s">
        <v>83</v>
      </c>
      <c r="B376" s="21" t="s">
        <v>132</v>
      </c>
      <c r="C376" s="21" t="s">
        <v>19</v>
      </c>
      <c r="D376" s="21" t="s">
        <v>20</v>
      </c>
      <c r="E376" s="63" t="s">
        <v>51</v>
      </c>
      <c r="F376" s="22">
        <v>12</v>
      </c>
      <c r="G376" s="103" t="s">
        <v>21</v>
      </c>
      <c r="H376" s="103" t="s">
        <v>126</v>
      </c>
      <c r="I376" s="259">
        <v>23.6</v>
      </c>
      <c r="J376" s="113">
        <v>6.65</v>
      </c>
      <c r="K376" s="214">
        <v>86</v>
      </c>
      <c r="L376" s="304">
        <f t="shared" ref="L376:L383" si="66">(I376*J376*K376/1000)</f>
        <v>13.496840000000002</v>
      </c>
      <c r="M376" s="103"/>
      <c r="N376" s="103"/>
      <c r="O376" s="103"/>
      <c r="P376" s="103"/>
      <c r="Q376" s="1048"/>
      <c r="R376" s="1048"/>
    </row>
    <row r="377" spans="1:18" ht="15.6">
      <c r="A377" s="20"/>
      <c r="B377" s="21" t="s">
        <v>84</v>
      </c>
      <c r="C377" s="20"/>
      <c r="D377" s="20"/>
      <c r="E377" s="20"/>
      <c r="F377" s="20"/>
      <c r="G377" s="103" t="s">
        <v>21</v>
      </c>
      <c r="H377" s="103" t="s">
        <v>126</v>
      </c>
      <c r="I377" s="259">
        <v>23.6</v>
      </c>
      <c r="J377" s="113">
        <v>6.8</v>
      </c>
      <c r="K377" s="214">
        <v>74</v>
      </c>
      <c r="L377" s="304">
        <f t="shared" si="66"/>
        <v>11.87552</v>
      </c>
      <c r="M377" s="103"/>
      <c r="N377" s="103"/>
      <c r="O377" s="103"/>
      <c r="P377" s="103"/>
      <c r="Q377" s="1048"/>
      <c r="R377" s="1048"/>
    </row>
    <row r="378" spans="1:18" ht="15.6">
      <c r="A378" s="103"/>
      <c r="B378" s="103"/>
      <c r="C378" s="103"/>
      <c r="D378" s="103"/>
      <c r="E378" s="103"/>
      <c r="F378" s="103"/>
      <c r="G378" s="103" t="s">
        <v>21</v>
      </c>
      <c r="H378" s="103" t="s">
        <v>126</v>
      </c>
      <c r="I378" s="259">
        <v>23.6</v>
      </c>
      <c r="J378" s="113">
        <v>8.4499999999999993</v>
      </c>
      <c r="K378" s="214">
        <v>92</v>
      </c>
      <c r="L378" s="304">
        <f t="shared" si="66"/>
        <v>18.346640000000001</v>
      </c>
      <c r="M378" s="103"/>
      <c r="N378" s="103"/>
      <c r="O378" s="103"/>
      <c r="P378" s="103"/>
      <c r="Q378" s="1048"/>
      <c r="R378" s="1048"/>
    </row>
    <row r="379" spans="1:18" ht="15.6">
      <c r="A379" s="103"/>
      <c r="B379" s="103"/>
      <c r="C379" s="103"/>
      <c r="D379" s="103"/>
      <c r="E379" s="103"/>
      <c r="F379" s="103"/>
      <c r="G379" s="103" t="s">
        <v>21</v>
      </c>
      <c r="H379" s="103" t="s">
        <v>126</v>
      </c>
      <c r="I379" s="259">
        <v>23.6</v>
      </c>
      <c r="J379" s="113">
        <v>8.6</v>
      </c>
      <c r="K379" s="214">
        <v>74</v>
      </c>
      <c r="L379" s="304">
        <f t="shared" si="66"/>
        <v>15.01904</v>
      </c>
      <c r="M379" s="103"/>
      <c r="N379" s="103"/>
      <c r="O379" s="103"/>
      <c r="P379" s="103"/>
      <c r="Q379" s="1048"/>
      <c r="R379" s="1048"/>
    </row>
    <row r="380" spans="1:18" ht="15.6">
      <c r="A380" s="103"/>
      <c r="B380" s="103"/>
      <c r="C380" s="103"/>
      <c r="D380" s="103"/>
      <c r="E380" s="103"/>
      <c r="F380" s="103"/>
      <c r="G380" s="103" t="s">
        <v>21</v>
      </c>
      <c r="H380" s="103" t="s">
        <v>126</v>
      </c>
      <c r="I380" s="259">
        <v>23.6</v>
      </c>
      <c r="J380" s="113">
        <v>9.1</v>
      </c>
      <c r="K380" s="214">
        <v>37</v>
      </c>
      <c r="L380" s="304">
        <f t="shared" si="66"/>
        <v>7.9461199999999996</v>
      </c>
      <c r="M380" s="103"/>
      <c r="N380" s="103"/>
      <c r="O380" s="103"/>
      <c r="P380" s="103"/>
      <c r="Q380" s="1048"/>
      <c r="R380" s="1048"/>
    </row>
    <row r="381" spans="1:18" ht="15.6">
      <c r="A381" s="103"/>
      <c r="B381" s="103"/>
      <c r="C381" s="103"/>
      <c r="D381" s="103"/>
      <c r="E381" s="103"/>
      <c r="F381" s="103"/>
      <c r="G381" s="103" t="s">
        <v>21</v>
      </c>
      <c r="H381" s="103" t="s">
        <v>126</v>
      </c>
      <c r="I381" s="259">
        <v>23.6</v>
      </c>
      <c r="J381" s="113">
        <v>10.7</v>
      </c>
      <c r="K381" s="214">
        <v>150</v>
      </c>
      <c r="L381" s="304">
        <f t="shared" si="66"/>
        <v>37.878</v>
      </c>
      <c r="M381" s="103"/>
      <c r="N381" s="103"/>
      <c r="O381" s="103"/>
      <c r="P381" s="103"/>
      <c r="Q381" s="1048"/>
      <c r="R381" s="1048"/>
    </row>
    <row r="382" spans="1:18" ht="15.6">
      <c r="A382" s="103"/>
      <c r="B382" s="103"/>
      <c r="C382" s="103"/>
      <c r="D382" s="103"/>
      <c r="E382" s="103"/>
      <c r="F382" s="103"/>
      <c r="G382" s="103" t="s">
        <v>21</v>
      </c>
      <c r="H382" s="103" t="s">
        <v>126</v>
      </c>
      <c r="I382" s="259">
        <v>23.6</v>
      </c>
      <c r="J382" s="113">
        <v>11.7</v>
      </c>
      <c r="K382" s="214">
        <v>142</v>
      </c>
      <c r="L382" s="304">
        <f t="shared" si="66"/>
        <v>39.209040000000002</v>
      </c>
      <c r="M382" s="103"/>
      <c r="N382" s="103"/>
      <c r="O382" s="103"/>
      <c r="P382" s="103"/>
      <c r="Q382" s="1048"/>
      <c r="R382" s="1048"/>
    </row>
    <row r="383" spans="1:18" ht="15.6">
      <c r="A383" s="103"/>
      <c r="B383" s="103"/>
      <c r="C383" s="103"/>
      <c r="D383" s="103"/>
      <c r="E383" s="103"/>
      <c r="F383" s="103"/>
      <c r="G383" s="103" t="s">
        <v>21</v>
      </c>
      <c r="H383" s="103" t="s">
        <v>126</v>
      </c>
      <c r="I383" s="259">
        <v>23.6</v>
      </c>
      <c r="J383" s="113">
        <v>11.8</v>
      </c>
      <c r="K383" s="214">
        <v>110</v>
      </c>
      <c r="L383" s="304">
        <f t="shared" si="66"/>
        <v>30.632800000000003</v>
      </c>
      <c r="M383" s="103"/>
      <c r="N383" s="103"/>
      <c r="O383" s="103"/>
      <c r="P383" s="103"/>
      <c r="Q383" s="1048"/>
      <c r="R383" s="1048"/>
    </row>
    <row r="384" spans="1:18" ht="15.6">
      <c r="A384" s="103"/>
      <c r="B384" s="103"/>
      <c r="C384" s="103"/>
      <c r="D384" s="103"/>
      <c r="E384" s="103"/>
      <c r="F384" s="103"/>
      <c r="G384" s="103"/>
      <c r="H384" s="103"/>
      <c r="I384" s="259"/>
      <c r="J384" s="113"/>
      <c r="K384" s="213">
        <f t="shared" ref="K384:L384" si="67">SUM(K376:K383)</f>
        <v>765</v>
      </c>
      <c r="L384" s="260">
        <f t="shared" si="67"/>
        <v>174.404</v>
      </c>
      <c r="M384" s="103"/>
      <c r="N384" s="103"/>
      <c r="O384" s="103"/>
      <c r="P384" s="103"/>
      <c r="Q384" s="1048"/>
      <c r="R384" s="1048"/>
    </row>
    <row r="385" spans="1:18" ht="15.6">
      <c r="A385" s="21" t="s">
        <v>83</v>
      </c>
      <c r="B385" s="21" t="s">
        <v>132</v>
      </c>
      <c r="C385" s="21" t="s">
        <v>19</v>
      </c>
      <c r="D385" s="21" t="s">
        <v>20</v>
      </c>
      <c r="E385" s="63" t="s">
        <v>51</v>
      </c>
      <c r="F385" s="22">
        <v>12</v>
      </c>
      <c r="G385" s="103" t="s">
        <v>21</v>
      </c>
      <c r="H385" s="103" t="s">
        <v>127</v>
      </c>
      <c r="I385" s="259">
        <v>25.4</v>
      </c>
      <c r="J385" s="113">
        <v>7.1</v>
      </c>
      <c r="K385" s="214">
        <v>8</v>
      </c>
      <c r="L385" s="304">
        <f>(I385*J385*K385/1000)</f>
        <v>1.4427199999999998</v>
      </c>
      <c r="M385" s="103"/>
      <c r="N385" s="103"/>
      <c r="O385" s="103"/>
      <c r="P385" s="103"/>
      <c r="Q385" s="1048"/>
      <c r="R385" s="1048"/>
    </row>
    <row r="386" spans="1:18" ht="15.6">
      <c r="A386" s="20"/>
      <c r="B386" s="21" t="s">
        <v>84</v>
      </c>
      <c r="C386" s="20"/>
      <c r="D386" s="20"/>
      <c r="E386" s="20"/>
      <c r="F386" s="20"/>
      <c r="G386" s="103"/>
      <c r="H386" s="103"/>
      <c r="I386" s="259"/>
      <c r="J386" s="113"/>
      <c r="K386" s="213">
        <f t="shared" ref="K386:L386" si="68">SUM(K385)</f>
        <v>8</v>
      </c>
      <c r="L386" s="260">
        <f t="shared" si="68"/>
        <v>1.4427199999999998</v>
      </c>
      <c r="M386" s="103"/>
      <c r="N386" s="103"/>
      <c r="O386" s="103"/>
      <c r="P386" s="103"/>
      <c r="Q386" s="1048"/>
      <c r="R386" s="1048"/>
    </row>
    <row r="387" spans="1:18" ht="15.6">
      <c r="A387" s="21" t="s">
        <v>83</v>
      </c>
      <c r="B387" s="21" t="s">
        <v>132</v>
      </c>
      <c r="C387" s="21" t="s">
        <v>19</v>
      </c>
      <c r="D387" s="21" t="s">
        <v>20</v>
      </c>
      <c r="E387" s="63" t="s">
        <v>51</v>
      </c>
      <c r="F387" s="22">
        <v>12</v>
      </c>
      <c r="G387" s="103" t="s">
        <v>21</v>
      </c>
      <c r="H387" s="103" t="s">
        <v>128</v>
      </c>
      <c r="I387" s="259">
        <v>16</v>
      </c>
      <c r="J387" s="113">
        <v>7.15</v>
      </c>
      <c r="K387" s="214">
        <v>36</v>
      </c>
      <c r="L387" s="304">
        <f t="shared" ref="L387:L390" si="69">(I387*J387*K387/1000)</f>
        <v>4.1184000000000003</v>
      </c>
      <c r="M387" s="103"/>
      <c r="N387" s="103"/>
      <c r="O387" s="103"/>
      <c r="P387" s="103"/>
      <c r="Q387" s="1048"/>
      <c r="R387" s="1048"/>
    </row>
    <row r="388" spans="1:18" ht="15.6">
      <c r="A388" s="20"/>
      <c r="B388" s="21" t="s">
        <v>84</v>
      </c>
      <c r="C388" s="20"/>
      <c r="D388" s="20"/>
      <c r="E388" s="20"/>
      <c r="F388" s="20"/>
      <c r="G388" s="103" t="s">
        <v>21</v>
      </c>
      <c r="H388" s="103" t="s">
        <v>128</v>
      </c>
      <c r="I388" s="259">
        <v>16</v>
      </c>
      <c r="J388" s="113">
        <v>7.2</v>
      </c>
      <c r="K388" s="214">
        <v>38</v>
      </c>
      <c r="L388" s="304">
        <f t="shared" si="69"/>
        <v>4.3776000000000002</v>
      </c>
      <c r="M388" s="103"/>
      <c r="N388" s="103"/>
      <c r="O388" s="103"/>
      <c r="P388" s="103"/>
      <c r="Q388" s="1048"/>
      <c r="R388" s="1048"/>
    </row>
    <row r="389" spans="1:18" ht="15.6">
      <c r="A389" s="103"/>
      <c r="B389" s="103"/>
      <c r="C389" s="103"/>
      <c r="D389" s="103"/>
      <c r="E389" s="103"/>
      <c r="F389" s="103"/>
      <c r="G389" s="103" t="s">
        <v>21</v>
      </c>
      <c r="H389" s="103" t="s">
        <v>128</v>
      </c>
      <c r="I389" s="259">
        <v>16</v>
      </c>
      <c r="J389" s="113">
        <v>10</v>
      </c>
      <c r="K389" s="214">
        <v>30</v>
      </c>
      <c r="L389" s="304">
        <f t="shared" si="69"/>
        <v>4.8</v>
      </c>
      <c r="M389" s="103"/>
      <c r="N389" s="103"/>
      <c r="O389" s="103"/>
      <c r="P389" s="103"/>
      <c r="Q389" s="1048"/>
      <c r="R389" s="1048"/>
    </row>
    <row r="390" spans="1:18" ht="15.6">
      <c r="A390" s="103"/>
      <c r="B390" s="103"/>
      <c r="C390" s="103"/>
      <c r="D390" s="103"/>
      <c r="E390" s="103"/>
      <c r="F390" s="103"/>
      <c r="G390" s="103" t="s">
        <v>21</v>
      </c>
      <c r="H390" s="103" t="s">
        <v>128</v>
      </c>
      <c r="I390" s="259">
        <v>16</v>
      </c>
      <c r="J390" s="113">
        <v>11.3</v>
      </c>
      <c r="K390" s="214">
        <v>4</v>
      </c>
      <c r="L390" s="304">
        <f t="shared" si="69"/>
        <v>0.72320000000000007</v>
      </c>
      <c r="M390" s="103"/>
      <c r="N390" s="103"/>
      <c r="O390" s="103"/>
      <c r="P390" s="103"/>
      <c r="Q390" s="1048"/>
      <c r="R390" s="1048"/>
    </row>
    <row r="391" spans="1:18" ht="15.6">
      <c r="A391" s="103"/>
      <c r="B391" s="103"/>
      <c r="C391" s="103"/>
      <c r="D391" s="103"/>
      <c r="E391" s="103"/>
      <c r="F391" s="103"/>
      <c r="G391" s="103"/>
      <c r="H391" s="103"/>
      <c r="I391" s="259"/>
      <c r="J391" s="113"/>
      <c r="K391" s="213">
        <f t="shared" ref="K391:L391" si="70">SUM(K387:K390)</f>
        <v>108</v>
      </c>
      <c r="L391" s="260">
        <f t="shared" si="70"/>
        <v>14.0192</v>
      </c>
      <c r="M391" s="103"/>
      <c r="N391" s="103"/>
      <c r="O391" s="103"/>
      <c r="P391" s="103"/>
      <c r="Q391" s="1048"/>
      <c r="R391" s="1048"/>
    </row>
    <row r="392" spans="1:18" ht="15.6">
      <c r="A392" s="21" t="s">
        <v>83</v>
      </c>
      <c r="B392" s="21" t="s">
        <v>132</v>
      </c>
      <c r="C392" s="21" t="s">
        <v>19</v>
      </c>
      <c r="D392" s="21" t="s">
        <v>20</v>
      </c>
      <c r="E392" s="63" t="s">
        <v>51</v>
      </c>
      <c r="F392" s="22">
        <v>12</v>
      </c>
      <c r="G392" s="103" t="s">
        <v>21</v>
      </c>
      <c r="H392" s="103" t="s">
        <v>129</v>
      </c>
      <c r="I392" s="259">
        <v>17.899999999999999</v>
      </c>
      <c r="J392" s="113">
        <v>6.3</v>
      </c>
      <c r="K392" s="214">
        <v>80</v>
      </c>
      <c r="L392" s="304">
        <f t="shared" ref="L392:L398" si="71">(I392*J392*K392/1000)</f>
        <v>9.0215999999999994</v>
      </c>
      <c r="M392" s="103"/>
      <c r="N392" s="103"/>
      <c r="O392" s="103"/>
      <c r="P392" s="103"/>
      <c r="Q392" s="1048"/>
      <c r="R392" s="1048"/>
    </row>
    <row r="393" spans="1:18" ht="15.6">
      <c r="A393" s="20"/>
      <c r="B393" s="21" t="s">
        <v>84</v>
      </c>
      <c r="C393" s="20"/>
      <c r="D393" s="20"/>
      <c r="E393" s="20"/>
      <c r="F393" s="20"/>
      <c r="G393" s="103" t="s">
        <v>21</v>
      </c>
      <c r="H393" s="103" t="s">
        <v>129</v>
      </c>
      <c r="I393" s="259">
        <v>17.899999999999999</v>
      </c>
      <c r="J393" s="113">
        <v>7</v>
      </c>
      <c r="K393" s="214">
        <v>16</v>
      </c>
      <c r="L393" s="304">
        <f t="shared" si="71"/>
        <v>2.0047999999999999</v>
      </c>
      <c r="M393" s="103"/>
      <c r="N393" s="103"/>
      <c r="O393" s="103"/>
      <c r="P393" s="103"/>
      <c r="Q393" s="1048"/>
      <c r="R393" s="1048"/>
    </row>
    <row r="394" spans="1:18" ht="15.6">
      <c r="A394" s="103"/>
      <c r="B394" s="103"/>
      <c r="C394" s="103"/>
      <c r="D394" s="103"/>
      <c r="E394" s="103"/>
      <c r="F394" s="103"/>
      <c r="G394" s="103" t="s">
        <v>21</v>
      </c>
      <c r="H394" s="103" t="s">
        <v>129</v>
      </c>
      <c r="I394" s="259">
        <v>17.899999999999999</v>
      </c>
      <c r="J394" s="113">
        <v>7.6</v>
      </c>
      <c r="K394" s="214">
        <v>296</v>
      </c>
      <c r="L394" s="304">
        <f t="shared" si="71"/>
        <v>40.26784</v>
      </c>
      <c r="M394" s="103"/>
      <c r="N394" s="103"/>
      <c r="O394" s="103"/>
      <c r="P394" s="103"/>
      <c r="Q394" s="1048"/>
      <c r="R394" s="1048"/>
    </row>
    <row r="395" spans="1:18" ht="15.6">
      <c r="A395" s="103"/>
      <c r="B395" s="103"/>
      <c r="C395" s="103"/>
      <c r="D395" s="103"/>
      <c r="E395" s="103"/>
      <c r="F395" s="103"/>
      <c r="G395" s="103" t="s">
        <v>21</v>
      </c>
      <c r="H395" s="103" t="s">
        <v>129</v>
      </c>
      <c r="I395" s="259">
        <v>17.899999999999999</v>
      </c>
      <c r="J395" s="113">
        <v>8.4499999999999993</v>
      </c>
      <c r="K395" s="214">
        <v>16</v>
      </c>
      <c r="L395" s="304">
        <f t="shared" si="71"/>
        <v>2.4200799999999996</v>
      </c>
      <c r="M395" s="103"/>
      <c r="N395" s="103"/>
      <c r="O395" s="103"/>
      <c r="P395" s="103"/>
      <c r="Q395" s="1048"/>
      <c r="R395" s="1048"/>
    </row>
    <row r="396" spans="1:18" ht="15.6">
      <c r="A396" s="103"/>
      <c r="B396" s="103"/>
      <c r="C396" s="103"/>
      <c r="D396" s="103"/>
      <c r="E396" s="103"/>
      <c r="F396" s="103"/>
      <c r="G396" s="103" t="s">
        <v>21</v>
      </c>
      <c r="H396" s="103" t="s">
        <v>129</v>
      </c>
      <c r="I396" s="259">
        <v>17.899999999999999</v>
      </c>
      <c r="J396" s="113">
        <v>9.1</v>
      </c>
      <c r="K396" s="214">
        <v>148</v>
      </c>
      <c r="L396" s="304">
        <f t="shared" si="71"/>
        <v>24.107719999999997</v>
      </c>
      <c r="M396" s="103"/>
      <c r="N396" s="103"/>
      <c r="O396" s="103"/>
      <c r="P396" s="103"/>
      <c r="Q396" s="1048"/>
      <c r="R396" s="1048"/>
    </row>
    <row r="397" spans="1:18" ht="15.6">
      <c r="A397" s="103"/>
      <c r="B397" s="103"/>
      <c r="C397" s="103"/>
      <c r="D397" s="103"/>
      <c r="E397" s="103"/>
      <c r="F397" s="103"/>
      <c r="G397" s="103" t="s">
        <v>21</v>
      </c>
      <c r="H397" s="103" t="s">
        <v>129</v>
      </c>
      <c r="I397" s="259">
        <v>17.899999999999999</v>
      </c>
      <c r="J397" s="113">
        <v>9.9</v>
      </c>
      <c r="K397" s="214">
        <v>80</v>
      </c>
      <c r="L397" s="304">
        <f t="shared" si="71"/>
        <v>14.1768</v>
      </c>
      <c r="M397" s="103"/>
      <c r="N397" s="103"/>
      <c r="O397" s="103"/>
      <c r="P397" s="103"/>
      <c r="Q397" s="1048"/>
      <c r="R397" s="1048"/>
    </row>
    <row r="398" spans="1:18" ht="15.6">
      <c r="A398" s="103"/>
      <c r="B398" s="103"/>
      <c r="C398" s="103"/>
      <c r="D398" s="103"/>
      <c r="E398" s="103"/>
      <c r="F398" s="103"/>
      <c r="G398" s="103" t="s">
        <v>21</v>
      </c>
      <c r="H398" s="103" t="s">
        <v>129</v>
      </c>
      <c r="I398" s="259">
        <v>17.899999999999999</v>
      </c>
      <c r="J398" s="113">
        <v>11.8</v>
      </c>
      <c r="K398" s="214">
        <v>8</v>
      </c>
      <c r="L398" s="304">
        <f t="shared" si="71"/>
        <v>1.6897599999999999</v>
      </c>
      <c r="M398" s="103"/>
      <c r="N398" s="103"/>
      <c r="O398" s="103"/>
      <c r="P398" s="103"/>
      <c r="Q398" s="1048"/>
      <c r="R398" s="1048"/>
    </row>
    <row r="399" spans="1:18" ht="15.6">
      <c r="A399" s="103"/>
      <c r="B399" s="103"/>
      <c r="C399" s="103"/>
      <c r="D399" s="103"/>
      <c r="E399" s="103"/>
      <c r="F399" s="103"/>
      <c r="G399" s="103"/>
      <c r="H399" s="103"/>
      <c r="I399" s="259"/>
      <c r="J399" s="113"/>
      <c r="K399" s="213">
        <f t="shared" ref="K399:L399" si="72">SUM(K392:K398)</f>
        <v>644</v>
      </c>
      <c r="L399" s="260">
        <f t="shared" si="72"/>
        <v>93.688600000000008</v>
      </c>
      <c r="M399" s="103"/>
      <c r="N399" s="103"/>
      <c r="O399" s="103"/>
      <c r="P399" s="103"/>
      <c r="Q399" s="1048"/>
      <c r="R399" s="1048"/>
    </row>
    <row r="400" spans="1:18" ht="15.6">
      <c r="A400" s="21" t="s">
        <v>83</v>
      </c>
      <c r="B400" s="21" t="s">
        <v>132</v>
      </c>
      <c r="C400" s="21" t="s">
        <v>19</v>
      </c>
      <c r="D400" s="21" t="s">
        <v>20</v>
      </c>
      <c r="E400" s="63" t="s">
        <v>51</v>
      </c>
      <c r="F400" s="22">
        <v>12</v>
      </c>
      <c r="G400" s="103" t="s">
        <v>21</v>
      </c>
      <c r="H400" s="103" t="s">
        <v>130</v>
      </c>
      <c r="I400" s="259">
        <v>6.17</v>
      </c>
      <c r="J400" s="113">
        <v>8.1</v>
      </c>
      <c r="K400" s="214">
        <v>32</v>
      </c>
      <c r="L400" s="304">
        <f t="shared" ref="L400:L404" si="73">(I400*J400*K400/1000)</f>
        <v>1.5992639999999998</v>
      </c>
      <c r="M400" s="103"/>
      <c r="N400" s="103"/>
      <c r="O400" s="103"/>
      <c r="P400" s="103"/>
      <c r="Q400" s="1048"/>
      <c r="R400" s="1048"/>
    </row>
    <row r="401" spans="1:18" ht="15.6">
      <c r="A401" s="20"/>
      <c r="B401" s="21" t="s">
        <v>84</v>
      </c>
      <c r="C401" s="20"/>
      <c r="D401" s="20"/>
      <c r="E401" s="20"/>
      <c r="F401" s="20"/>
      <c r="G401" s="103" t="s">
        <v>21</v>
      </c>
      <c r="H401" s="103" t="s">
        <v>130</v>
      </c>
      <c r="I401" s="259">
        <v>6.17</v>
      </c>
      <c r="J401" s="113">
        <v>10.5</v>
      </c>
      <c r="K401" s="214">
        <v>57</v>
      </c>
      <c r="L401" s="304">
        <f t="shared" si="73"/>
        <v>3.6927449999999999</v>
      </c>
      <c r="M401" s="103"/>
      <c r="N401" s="103"/>
      <c r="O401" s="103"/>
      <c r="P401" s="103"/>
      <c r="Q401" s="1048"/>
      <c r="R401" s="1048"/>
    </row>
    <row r="402" spans="1:18" ht="15.6">
      <c r="A402" s="103"/>
      <c r="B402" s="103"/>
      <c r="C402" s="103"/>
      <c r="D402" s="103"/>
      <c r="E402" s="103"/>
      <c r="F402" s="103"/>
      <c r="G402" s="103" t="s">
        <v>21</v>
      </c>
      <c r="H402" s="103" t="s">
        <v>130</v>
      </c>
      <c r="I402" s="259">
        <v>6.17</v>
      </c>
      <c r="J402" s="113">
        <v>11</v>
      </c>
      <c r="K402" s="214">
        <v>76</v>
      </c>
      <c r="L402" s="304">
        <f t="shared" si="73"/>
        <v>5.1581200000000011</v>
      </c>
      <c r="M402" s="103"/>
      <c r="N402" s="103"/>
      <c r="O402" s="103"/>
      <c r="P402" s="103"/>
      <c r="Q402" s="1048"/>
      <c r="R402" s="1048"/>
    </row>
    <row r="403" spans="1:18" ht="15.6">
      <c r="A403" s="103"/>
      <c r="B403" s="103"/>
      <c r="C403" s="103"/>
      <c r="D403" s="103"/>
      <c r="E403" s="103"/>
      <c r="F403" s="103"/>
      <c r="G403" s="103" t="s">
        <v>21</v>
      </c>
      <c r="H403" s="103" t="s">
        <v>130</v>
      </c>
      <c r="I403" s="259">
        <v>6.17</v>
      </c>
      <c r="J403" s="113">
        <v>11.5</v>
      </c>
      <c r="K403" s="214">
        <v>86</v>
      </c>
      <c r="L403" s="304">
        <f t="shared" si="73"/>
        <v>6.1021299999999998</v>
      </c>
      <c r="M403" s="103"/>
      <c r="N403" s="103"/>
      <c r="O403" s="103"/>
      <c r="P403" s="103"/>
      <c r="Q403" s="1048"/>
      <c r="R403" s="1048"/>
    </row>
    <row r="404" spans="1:18" ht="15.6">
      <c r="A404" s="103"/>
      <c r="B404" s="103"/>
      <c r="C404" s="103"/>
      <c r="D404" s="103"/>
      <c r="E404" s="103"/>
      <c r="F404" s="103"/>
      <c r="G404" s="103" t="s">
        <v>21</v>
      </c>
      <c r="H404" s="103" t="s">
        <v>130</v>
      </c>
      <c r="I404" s="259">
        <v>6.17</v>
      </c>
      <c r="J404" s="113">
        <v>12</v>
      </c>
      <c r="K404" s="214">
        <v>245</v>
      </c>
      <c r="L404" s="304">
        <f t="shared" si="73"/>
        <v>18.139800000000001</v>
      </c>
      <c r="M404" s="103"/>
      <c r="N404" s="103"/>
      <c r="O404" s="103"/>
      <c r="P404" s="103"/>
      <c r="Q404" s="1048"/>
      <c r="R404" s="1048"/>
    </row>
    <row r="405" spans="1:18" ht="15.6">
      <c r="A405" s="103"/>
      <c r="B405" s="103"/>
      <c r="C405" s="103"/>
      <c r="D405" s="103"/>
      <c r="E405" s="103"/>
      <c r="F405" s="103"/>
      <c r="G405" s="103"/>
      <c r="H405" s="103"/>
      <c r="I405" s="259"/>
      <c r="J405" s="113"/>
      <c r="K405" s="213">
        <f t="shared" ref="K405:L405" si="74">SUM(K400:K404)</f>
        <v>496</v>
      </c>
      <c r="L405" s="260">
        <f t="shared" si="74"/>
        <v>34.692059</v>
      </c>
      <c r="M405" s="103"/>
      <c r="N405" s="103"/>
      <c r="O405" s="103"/>
      <c r="P405" s="103"/>
      <c r="Q405" s="1048"/>
      <c r="R405" s="1048"/>
    </row>
    <row r="406" spans="1:18" ht="15.6">
      <c r="A406" s="21" t="s">
        <v>83</v>
      </c>
      <c r="B406" s="21" t="s">
        <v>132</v>
      </c>
      <c r="C406" s="21" t="s">
        <v>19</v>
      </c>
      <c r="D406" s="21" t="s">
        <v>20</v>
      </c>
      <c r="E406" s="63" t="s">
        <v>51</v>
      </c>
      <c r="F406" s="22">
        <v>12</v>
      </c>
      <c r="G406" s="103" t="s">
        <v>21</v>
      </c>
      <c r="H406" s="103" t="s">
        <v>131</v>
      </c>
      <c r="I406" s="259">
        <v>7.34</v>
      </c>
      <c r="J406" s="113">
        <v>10.5</v>
      </c>
      <c r="K406" s="214">
        <v>41</v>
      </c>
      <c r="L406" s="304">
        <f t="shared" ref="L406:L408" si="75">(I406*J406*K406/1000)</f>
        <v>3.1598699999999997</v>
      </c>
      <c r="M406" s="103"/>
      <c r="N406" s="103"/>
      <c r="O406" s="103"/>
      <c r="P406" s="103"/>
      <c r="Q406" s="1048"/>
      <c r="R406" s="1048"/>
    </row>
    <row r="407" spans="1:18" ht="15.6">
      <c r="A407" s="20"/>
      <c r="B407" s="21" t="s">
        <v>84</v>
      </c>
      <c r="C407" s="20"/>
      <c r="D407" s="20"/>
      <c r="E407" s="20"/>
      <c r="F407" s="20"/>
      <c r="G407" s="103" t="s">
        <v>21</v>
      </c>
      <c r="H407" s="103" t="s">
        <v>131</v>
      </c>
      <c r="I407" s="259">
        <v>7.34</v>
      </c>
      <c r="J407" s="113">
        <v>11.5</v>
      </c>
      <c r="K407" s="214">
        <v>61</v>
      </c>
      <c r="L407" s="304">
        <f t="shared" si="75"/>
        <v>5.1490100000000005</v>
      </c>
      <c r="M407" s="103"/>
      <c r="N407" s="103"/>
      <c r="O407" s="103"/>
      <c r="P407" s="103"/>
      <c r="Q407" s="1048"/>
      <c r="R407" s="1048"/>
    </row>
    <row r="408" spans="1:18" ht="15.6">
      <c r="A408" s="103"/>
      <c r="B408" s="103"/>
      <c r="C408" s="103"/>
      <c r="D408" s="103"/>
      <c r="E408" s="103"/>
      <c r="F408" s="103"/>
      <c r="G408" s="103" t="s">
        <v>21</v>
      </c>
      <c r="H408" s="103" t="s">
        <v>131</v>
      </c>
      <c r="I408" s="259">
        <v>7.34</v>
      </c>
      <c r="J408" s="113">
        <v>12</v>
      </c>
      <c r="K408" s="214">
        <v>258</v>
      </c>
      <c r="L408" s="304">
        <f t="shared" si="75"/>
        <v>22.724640000000001</v>
      </c>
      <c r="M408" s="103"/>
      <c r="N408" s="103"/>
      <c r="O408" s="103"/>
      <c r="P408" s="103"/>
      <c r="Q408" s="1048"/>
      <c r="R408" s="1048"/>
    </row>
    <row r="409" spans="1:18" ht="15.6">
      <c r="A409" s="103"/>
      <c r="B409" s="103"/>
      <c r="C409" s="103"/>
      <c r="D409" s="103"/>
      <c r="E409" s="103"/>
      <c r="F409" s="103"/>
      <c r="G409" s="103"/>
      <c r="H409" s="103"/>
      <c r="I409" s="259"/>
      <c r="J409" s="113"/>
      <c r="K409" s="213">
        <f t="shared" ref="K409:L409" si="76">SUM(K406:K408)</f>
        <v>360</v>
      </c>
      <c r="L409" s="260">
        <f t="shared" si="76"/>
        <v>31.033520000000003</v>
      </c>
      <c r="M409" s="103"/>
      <c r="N409" s="103"/>
      <c r="O409" s="103"/>
      <c r="P409" s="103"/>
      <c r="Q409" s="1048"/>
      <c r="R409" s="1048"/>
    </row>
    <row r="410" spans="1:18" ht="15.6">
      <c r="A410" s="103"/>
      <c r="B410" s="103"/>
      <c r="C410" s="103"/>
      <c r="D410" s="103"/>
      <c r="E410" s="103"/>
      <c r="F410" s="103"/>
      <c r="G410" s="103"/>
      <c r="H410" s="103"/>
      <c r="I410" s="259"/>
      <c r="J410" s="103"/>
      <c r="K410" s="215"/>
      <c r="L410" s="259"/>
      <c r="M410" s="103"/>
      <c r="N410" s="103"/>
      <c r="O410" s="103"/>
      <c r="P410" s="103"/>
      <c r="Q410" s="1048"/>
      <c r="R410" s="1048"/>
    </row>
    <row r="411" spans="1:18" ht="15.6">
      <c r="A411" s="21" t="s">
        <v>83</v>
      </c>
      <c r="B411" s="21" t="s">
        <v>135</v>
      </c>
      <c r="C411" s="21" t="s">
        <v>19</v>
      </c>
      <c r="D411" s="21" t="s">
        <v>20</v>
      </c>
      <c r="E411" s="63" t="s">
        <v>51</v>
      </c>
      <c r="F411" s="22">
        <v>12</v>
      </c>
      <c r="G411" s="103" t="s">
        <v>21</v>
      </c>
      <c r="H411" s="103" t="s">
        <v>133</v>
      </c>
      <c r="I411" s="259">
        <v>15</v>
      </c>
      <c r="J411" s="113">
        <v>11</v>
      </c>
      <c r="K411" s="214">
        <v>18</v>
      </c>
      <c r="L411" s="304">
        <f>(I411*J411*K411/1000)</f>
        <v>2.97</v>
      </c>
      <c r="M411" s="103"/>
      <c r="N411" s="103"/>
      <c r="O411" s="103"/>
      <c r="P411" s="103"/>
      <c r="Q411" s="1048"/>
      <c r="R411" s="1048"/>
    </row>
    <row r="412" spans="1:18" ht="15.6">
      <c r="A412" s="20"/>
      <c r="B412" s="21" t="s">
        <v>52</v>
      </c>
      <c r="C412" s="20"/>
      <c r="D412" s="20"/>
      <c r="E412" s="20"/>
      <c r="F412" s="20"/>
      <c r="G412" s="65"/>
      <c r="H412" s="65"/>
      <c r="I412" s="303"/>
      <c r="J412" s="66"/>
      <c r="K412" s="213">
        <f>SUM(K411)</f>
        <v>18</v>
      </c>
      <c r="L412" s="260">
        <f>SUM(L411)</f>
        <v>2.97</v>
      </c>
      <c r="M412" s="103"/>
      <c r="N412" s="103"/>
      <c r="O412" s="103"/>
      <c r="P412" s="103"/>
      <c r="Q412" s="1048"/>
      <c r="R412" s="1048"/>
    </row>
    <row r="413" spans="1:18" ht="15.6">
      <c r="A413" s="21" t="s">
        <v>83</v>
      </c>
      <c r="B413" s="21" t="s">
        <v>135</v>
      </c>
      <c r="C413" s="21" t="s">
        <v>19</v>
      </c>
      <c r="D413" s="21" t="s">
        <v>20</v>
      </c>
      <c r="E413" s="63" t="s">
        <v>51</v>
      </c>
      <c r="F413" s="22">
        <v>12</v>
      </c>
      <c r="G413" s="103" t="s">
        <v>21</v>
      </c>
      <c r="H413" s="103" t="s">
        <v>118</v>
      </c>
      <c r="I413" s="259">
        <v>9.26</v>
      </c>
      <c r="J413" s="113">
        <v>7.3</v>
      </c>
      <c r="K413" s="214">
        <v>2</v>
      </c>
      <c r="L413" s="304">
        <f t="shared" ref="L413:L416" si="77">(I413*J413*K413/1000)</f>
        <v>0.13519600000000001</v>
      </c>
      <c r="M413" s="103"/>
      <c r="N413" s="103"/>
      <c r="O413" s="103"/>
      <c r="P413" s="103"/>
      <c r="Q413" s="1048"/>
      <c r="R413" s="1048"/>
    </row>
    <row r="414" spans="1:18" ht="15.6">
      <c r="A414" s="20"/>
      <c r="B414" s="21" t="s">
        <v>52</v>
      </c>
      <c r="C414" s="20"/>
      <c r="D414" s="20"/>
      <c r="E414" s="20"/>
      <c r="F414" s="20"/>
      <c r="G414" s="103" t="s">
        <v>21</v>
      </c>
      <c r="H414" s="103" t="s">
        <v>118</v>
      </c>
      <c r="I414" s="259">
        <v>9.26</v>
      </c>
      <c r="J414" s="113">
        <v>8</v>
      </c>
      <c r="K414" s="214">
        <v>4</v>
      </c>
      <c r="L414" s="304">
        <f t="shared" si="77"/>
        <v>0.29631999999999997</v>
      </c>
      <c r="M414" s="103"/>
      <c r="N414" s="103"/>
      <c r="O414" s="103"/>
      <c r="P414" s="103"/>
      <c r="Q414" s="1048"/>
      <c r="R414" s="1048"/>
    </row>
    <row r="415" spans="1:18" ht="15.6">
      <c r="A415" s="103"/>
      <c r="B415" s="103"/>
      <c r="C415" s="103"/>
      <c r="D415" s="103"/>
      <c r="E415" s="103"/>
      <c r="F415" s="103"/>
      <c r="G415" s="103" t="s">
        <v>21</v>
      </c>
      <c r="H415" s="103" t="s">
        <v>118</v>
      </c>
      <c r="I415" s="259">
        <v>9.26</v>
      </c>
      <c r="J415" s="113">
        <v>10.199999999999999</v>
      </c>
      <c r="K415" s="214">
        <v>9</v>
      </c>
      <c r="L415" s="304">
        <f t="shared" si="77"/>
        <v>0.85006799999999993</v>
      </c>
      <c r="M415" s="103"/>
      <c r="N415" s="103"/>
      <c r="O415" s="103"/>
      <c r="P415" s="103"/>
      <c r="Q415" s="1048"/>
      <c r="R415" s="1048"/>
    </row>
    <row r="416" spans="1:18" ht="15.6">
      <c r="A416" s="103"/>
      <c r="B416" s="103"/>
      <c r="C416" s="103"/>
      <c r="D416" s="103"/>
      <c r="E416" s="103"/>
      <c r="F416" s="103"/>
      <c r="G416" s="103" t="s">
        <v>21</v>
      </c>
      <c r="H416" s="103" t="s">
        <v>118</v>
      </c>
      <c r="I416" s="259">
        <v>9.26</v>
      </c>
      <c r="J416" s="113">
        <v>10.8</v>
      </c>
      <c r="K416" s="214">
        <v>8</v>
      </c>
      <c r="L416" s="304">
        <f t="shared" si="77"/>
        <v>0.80006400000000011</v>
      </c>
      <c r="M416" s="103"/>
      <c r="N416" s="103"/>
      <c r="O416" s="103"/>
      <c r="P416" s="103"/>
      <c r="Q416" s="1048"/>
      <c r="R416" s="1048"/>
    </row>
    <row r="417" spans="1:18" ht="15.6">
      <c r="A417" s="103"/>
      <c r="B417" s="103"/>
      <c r="C417" s="103"/>
      <c r="D417" s="103"/>
      <c r="E417" s="103"/>
      <c r="F417" s="103"/>
      <c r="G417" s="65"/>
      <c r="H417" s="65"/>
      <c r="I417" s="303"/>
      <c r="J417" s="66"/>
      <c r="K417" s="213">
        <f t="shared" ref="K417:L417" si="78">SUM(K413:K416)</f>
        <v>23</v>
      </c>
      <c r="L417" s="260">
        <f t="shared" si="78"/>
        <v>2.0816480000000004</v>
      </c>
      <c r="M417" s="103"/>
      <c r="N417" s="103"/>
      <c r="O417" s="103"/>
      <c r="P417" s="103"/>
      <c r="Q417" s="1048"/>
      <c r="R417" s="1048"/>
    </row>
    <row r="418" spans="1:18" ht="15.6">
      <c r="A418" s="21" t="s">
        <v>83</v>
      </c>
      <c r="B418" s="21" t="s">
        <v>135</v>
      </c>
      <c r="C418" s="21" t="s">
        <v>19</v>
      </c>
      <c r="D418" s="21" t="s">
        <v>20</v>
      </c>
      <c r="E418" s="63" t="s">
        <v>51</v>
      </c>
      <c r="F418" s="22">
        <v>12</v>
      </c>
      <c r="G418" s="103" t="s">
        <v>21</v>
      </c>
      <c r="H418" s="103" t="s">
        <v>119</v>
      </c>
      <c r="I418" s="259">
        <v>10.7</v>
      </c>
      <c r="J418" s="113">
        <v>7.5</v>
      </c>
      <c r="K418" s="214">
        <v>5</v>
      </c>
      <c r="L418" s="304">
        <f t="shared" ref="L418:L424" si="79">(I418*J418*K418/1000)</f>
        <v>0.40125</v>
      </c>
      <c r="M418" s="103"/>
      <c r="N418" s="103"/>
      <c r="O418" s="103"/>
      <c r="P418" s="103"/>
      <c r="Q418" s="1048"/>
      <c r="R418" s="1048"/>
    </row>
    <row r="419" spans="1:18" ht="15.6">
      <c r="A419" s="20"/>
      <c r="B419" s="21" t="s">
        <v>52</v>
      </c>
      <c r="C419" s="20"/>
      <c r="D419" s="20"/>
      <c r="E419" s="20"/>
      <c r="F419" s="20"/>
      <c r="G419" s="103" t="s">
        <v>21</v>
      </c>
      <c r="H419" s="103" t="s">
        <v>119</v>
      </c>
      <c r="I419" s="259">
        <v>10.7</v>
      </c>
      <c r="J419" s="113">
        <v>8.5</v>
      </c>
      <c r="K419" s="214">
        <v>12</v>
      </c>
      <c r="L419" s="304">
        <f t="shared" si="79"/>
        <v>1.0913999999999999</v>
      </c>
      <c r="M419" s="103"/>
      <c r="N419" s="103"/>
      <c r="O419" s="103"/>
      <c r="P419" s="103"/>
      <c r="Q419" s="1048"/>
      <c r="R419" s="1048"/>
    </row>
    <row r="420" spans="1:18" ht="15.6">
      <c r="A420" s="103"/>
      <c r="B420" s="103"/>
      <c r="C420" s="103"/>
      <c r="D420" s="103"/>
      <c r="E420" s="103"/>
      <c r="F420" s="103"/>
      <c r="G420" s="103" t="s">
        <v>21</v>
      </c>
      <c r="H420" s="103" t="s">
        <v>119</v>
      </c>
      <c r="I420" s="259">
        <v>10.7</v>
      </c>
      <c r="J420" s="113">
        <v>10.199999999999999</v>
      </c>
      <c r="K420" s="214">
        <v>26</v>
      </c>
      <c r="L420" s="304">
        <f t="shared" si="79"/>
        <v>2.8376399999999995</v>
      </c>
      <c r="M420" s="103"/>
      <c r="N420" s="103"/>
      <c r="O420" s="103"/>
      <c r="P420" s="103"/>
      <c r="Q420" s="1048"/>
      <c r="R420" s="1048"/>
    </row>
    <row r="421" spans="1:18" ht="15.6">
      <c r="A421" s="103"/>
      <c r="B421" s="103"/>
      <c r="C421" s="103"/>
      <c r="D421" s="103"/>
      <c r="E421" s="103"/>
      <c r="F421" s="103"/>
      <c r="G421" s="103" t="s">
        <v>21</v>
      </c>
      <c r="H421" s="103" t="s">
        <v>119</v>
      </c>
      <c r="I421" s="259">
        <v>10.7</v>
      </c>
      <c r="J421" s="113">
        <v>10.7</v>
      </c>
      <c r="K421" s="214">
        <v>14</v>
      </c>
      <c r="L421" s="304">
        <f t="shared" si="79"/>
        <v>1.6028599999999997</v>
      </c>
      <c r="M421" s="103"/>
      <c r="N421" s="103"/>
      <c r="O421" s="103"/>
      <c r="P421" s="103"/>
      <c r="Q421" s="1048"/>
      <c r="R421" s="1048"/>
    </row>
    <row r="422" spans="1:18" ht="15.6">
      <c r="A422" s="103"/>
      <c r="B422" s="103"/>
      <c r="C422" s="103"/>
      <c r="D422" s="103"/>
      <c r="E422" s="103"/>
      <c r="F422" s="103"/>
      <c r="G422" s="103" t="s">
        <v>21</v>
      </c>
      <c r="H422" s="103" t="s">
        <v>119</v>
      </c>
      <c r="I422" s="259">
        <v>10.7</v>
      </c>
      <c r="J422" s="113">
        <v>11.3</v>
      </c>
      <c r="K422" s="214">
        <v>7</v>
      </c>
      <c r="L422" s="304">
        <f t="shared" si="79"/>
        <v>0.84636999999999996</v>
      </c>
      <c r="M422" s="103"/>
      <c r="N422" s="103"/>
      <c r="O422" s="103"/>
      <c r="P422" s="103"/>
      <c r="Q422" s="1048"/>
      <c r="R422" s="1048"/>
    </row>
    <row r="423" spans="1:18" ht="15.6">
      <c r="A423" s="103"/>
      <c r="B423" s="103"/>
      <c r="C423" s="103"/>
      <c r="D423" s="103"/>
      <c r="E423" s="103"/>
      <c r="F423" s="103"/>
      <c r="G423" s="103" t="s">
        <v>21</v>
      </c>
      <c r="H423" s="103" t="s">
        <v>119</v>
      </c>
      <c r="I423" s="259">
        <v>10.7</v>
      </c>
      <c r="J423" s="113">
        <v>11.8</v>
      </c>
      <c r="K423" s="214">
        <v>42</v>
      </c>
      <c r="L423" s="304">
        <f t="shared" si="79"/>
        <v>5.3029200000000003</v>
      </c>
      <c r="M423" s="103"/>
      <c r="N423" s="103"/>
      <c r="O423" s="103"/>
      <c r="P423" s="103"/>
      <c r="Q423" s="1048"/>
      <c r="R423" s="1048"/>
    </row>
    <row r="424" spans="1:18" ht="15.6">
      <c r="A424" s="103"/>
      <c r="B424" s="103"/>
      <c r="C424" s="103"/>
      <c r="D424" s="103"/>
      <c r="E424" s="103"/>
      <c r="F424" s="103"/>
      <c r="G424" s="103" t="s">
        <v>21</v>
      </c>
      <c r="H424" s="103" t="s">
        <v>119</v>
      </c>
      <c r="I424" s="259">
        <v>10.7</v>
      </c>
      <c r="J424" s="113">
        <v>12</v>
      </c>
      <c r="K424" s="214">
        <v>10</v>
      </c>
      <c r="L424" s="304">
        <f t="shared" si="79"/>
        <v>1.2839999999999998</v>
      </c>
      <c r="M424" s="103"/>
      <c r="N424" s="103"/>
      <c r="O424" s="103"/>
      <c r="P424" s="103"/>
      <c r="Q424" s="1048"/>
      <c r="R424" s="1048"/>
    </row>
    <row r="425" spans="1:18" ht="15.6">
      <c r="A425" s="103"/>
      <c r="B425" s="103"/>
      <c r="C425" s="103"/>
      <c r="D425" s="103"/>
      <c r="E425" s="103"/>
      <c r="F425" s="103"/>
      <c r="G425" s="65"/>
      <c r="H425" s="65"/>
      <c r="I425" s="303"/>
      <c r="J425" s="66"/>
      <c r="K425" s="213">
        <f t="shared" ref="K425:L425" si="80">SUM(K418:K424)</f>
        <v>116</v>
      </c>
      <c r="L425" s="260">
        <f t="shared" si="80"/>
        <v>13.366440000000001</v>
      </c>
      <c r="M425" s="103"/>
      <c r="N425" s="103"/>
      <c r="O425" s="103"/>
      <c r="P425" s="103"/>
      <c r="Q425" s="1048"/>
      <c r="R425" s="1048"/>
    </row>
    <row r="426" spans="1:18" ht="15.6">
      <c r="A426" s="21" t="s">
        <v>83</v>
      </c>
      <c r="B426" s="21" t="s">
        <v>135</v>
      </c>
      <c r="C426" s="21" t="s">
        <v>19</v>
      </c>
      <c r="D426" s="21" t="s">
        <v>20</v>
      </c>
      <c r="E426" s="63" t="s">
        <v>51</v>
      </c>
      <c r="F426" s="22">
        <v>12</v>
      </c>
      <c r="G426" s="103" t="s">
        <v>21</v>
      </c>
      <c r="H426" s="103" t="s">
        <v>134</v>
      </c>
      <c r="I426" s="259">
        <v>12.2</v>
      </c>
      <c r="J426" s="113">
        <v>9.3000000000000007</v>
      </c>
      <c r="K426" s="214">
        <v>28</v>
      </c>
      <c r="L426" s="304">
        <f t="shared" ref="L426:L430" si="81">(I426*J426*K426/1000)</f>
        <v>3.1768800000000001</v>
      </c>
      <c r="M426" s="103"/>
      <c r="N426" s="103"/>
      <c r="O426" s="103"/>
      <c r="P426" s="103"/>
      <c r="Q426" s="1048"/>
      <c r="R426" s="1048"/>
    </row>
    <row r="427" spans="1:18" ht="15.6">
      <c r="A427" s="20"/>
      <c r="B427" s="21" t="s">
        <v>52</v>
      </c>
      <c r="C427" s="20"/>
      <c r="D427" s="20"/>
      <c r="E427" s="20"/>
      <c r="F427" s="20"/>
      <c r="G427" s="103" t="s">
        <v>21</v>
      </c>
      <c r="H427" s="103" t="s">
        <v>134</v>
      </c>
      <c r="I427" s="259">
        <v>12.2</v>
      </c>
      <c r="J427" s="113">
        <v>10</v>
      </c>
      <c r="K427" s="214">
        <v>39</v>
      </c>
      <c r="L427" s="304">
        <f t="shared" si="81"/>
        <v>4.758</v>
      </c>
      <c r="M427" s="103"/>
      <c r="N427" s="103"/>
      <c r="O427" s="103"/>
      <c r="P427" s="103"/>
      <c r="Q427" s="1048"/>
      <c r="R427" s="1048"/>
    </row>
    <row r="428" spans="1:18" ht="15.6">
      <c r="A428" s="103"/>
      <c r="B428" s="103"/>
      <c r="C428" s="103"/>
      <c r="D428" s="103"/>
      <c r="E428" s="103"/>
      <c r="F428" s="103"/>
      <c r="G428" s="103" t="s">
        <v>21</v>
      </c>
      <c r="H428" s="103" t="s">
        <v>134</v>
      </c>
      <c r="I428" s="259">
        <v>12.2</v>
      </c>
      <c r="J428" s="113">
        <v>11.1</v>
      </c>
      <c r="K428" s="214">
        <v>21</v>
      </c>
      <c r="L428" s="304">
        <f t="shared" si="81"/>
        <v>2.8438199999999996</v>
      </c>
      <c r="M428" s="103"/>
      <c r="N428" s="103"/>
      <c r="O428" s="103"/>
      <c r="P428" s="103"/>
      <c r="Q428" s="1048"/>
      <c r="R428" s="1048"/>
    </row>
    <row r="429" spans="1:18" ht="15.6">
      <c r="A429" s="103"/>
      <c r="B429" s="103"/>
      <c r="C429" s="103"/>
      <c r="D429" s="103"/>
      <c r="E429" s="103"/>
      <c r="F429" s="103"/>
      <c r="G429" s="103" t="s">
        <v>21</v>
      </c>
      <c r="H429" s="103" t="s">
        <v>134</v>
      </c>
      <c r="I429" s="259">
        <v>12.2</v>
      </c>
      <c r="J429" s="113">
        <v>11.5</v>
      </c>
      <c r="K429" s="214">
        <v>23</v>
      </c>
      <c r="L429" s="304">
        <f t="shared" si="81"/>
        <v>3.2268999999999997</v>
      </c>
      <c r="M429" s="103"/>
      <c r="N429" s="103"/>
      <c r="O429" s="103"/>
      <c r="P429" s="103"/>
      <c r="Q429" s="1048"/>
      <c r="R429" s="1048"/>
    </row>
    <row r="430" spans="1:18" ht="15.6">
      <c r="A430" s="103"/>
      <c r="B430" s="103"/>
      <c r="C430" s="103"/>
      <c r="D430" s="103"/>
      <c r="E430" s="103"/>
      <c r="F430" s="103"/>
      <c r="G430" s="103" t="s">
        <v>21</v>
      </c>
      <c r="H430" s="103" t="s">
        <v>134</v>
      </c>
      <c r="I430" s="259">
        <v>12.2</v>
      </c>
      <c r="J430" s="113">
        <v>12</v>
      </c>
      <c r="K430" s="214">
        <v>42</v>
      </c>
      <c r="L430" s="304">
        <f t="shared" si="81"/>
        <v>6.1487999999999996</v>
      </c>
      <c r="M430" s="103"/>
      <c r="N430" s="103"/>
      <c r="O430" s="103"/>
      <c r="P430" s="103"/>
      <c r="Q430" s="1048"/>
      <c r="R430" s="1048"/>
    </row>
    <row r="431" spans="1:18" ht="15.6">
      <c r="A431" s="103"/>
      <c r="B431" s="103"/>
      <c r="C431" s="103"/>
      <c r="D431" s="103"/>
      <c r="E431" s="103"/>
      <c r="F431" s="103"/>
      <c r="G431" s="65"/>
      <c r="H431" s="65"/>
      <c r="I431" s="303"/>
      <c r="J431" s="66"/>
      <c r="K431" s="213">
        <f t="shared" ref="K431:L431" si="82">SUM(K426:K430)</f>
        <v>153</v>
      </c>
      <c r="L431" s="260">
        <f t="shared" si="82"/>
        <v>20.154399999999995</v>
      </c>
      <c r="M431" s="103"/>
      <c r="N431" s="103"/>
      <c r="O431" s="103"/>
      <c r="P431" s="103"/>
      <c r="Q431" s="1048"/>
      <c r="R431" s="1048"/>
    </row>
    <row r="432" spans="1:18" ht="15.6">
      <c r="A432" s="21" t="s">
        <v>83</v>
      </c>
      <c r="B432" s="21" t="s">
        <v>135</v>
      </c>
      <c r="C432" s="21" t="s">
        <v>19</v>
      </c>
      <c r="D432" s="21" t="s">
        <v>20</v>
      </c>
      <c r="E432" s="63" t="s">
        <v>51</v>
      </c>
      <c r="F432" s="22">
        <v>12</v>
      </c>
      <c r="G432" s="103" t="s">
        <v>21</v>
      </c>
      <c r="H432" s="103" t="s">
        <v>120</v>
      </c>
      <c r="I432" s="259">
        <v>18.2</v>
      </c>
      <c r="J432" s="113">
        <v>7.2</v>
      </c>
      <c r="K432" s="214">
        <v>8</v>
      </c>
      <c r="L432" s="304">
        <f t="shared" ref="L432:L438" si="83">(I432*J432*K432/1000)</f>
        <v>1.0483199999999999</v>
      </c>
      <c r="M432" s="103"/>
      <c r="N432" s="103"/>
      <c r="O432" s="103"/>
      <c r="P432" s="103"/>
      <c r="Q432" s="1048"/>
      <c r="R432" s="1048"/>
    </row>
    <row r="433" spans="1:18" ht="15.6">
      <c r="A433" s="20"/>
      <c r="B433" s="21" t="s">
        <v>52</v>
      </c>
      <c r="C433" s="20"/>
      <c r="D433" s="20"/>
      <c r="E433" s="20"/>
      <c r="F433" s="20"/>
      <c r="G433" s="103" t="s">
        <v>21</v>
      </c>
      <c r="H433" s="103" t="s">
        <v>120</v>
      </c>
      <c r="I433" s="259">
        <v>18.2</v>
      </c>
      <c r="J433" s="113">
        <v>9.8000000000000007</v>
      </c>
      <c r="K433" s="214">
        <v>18</v>
      </c>
      <c r="L433" s="304">
        <f t="shared" si="83"/>
        <v>3.2104800000000004</v>
      </c>
      <c r="M433" s="103"/>
      <c r="N433" s="103"/>
      <c r="O433" s="103"/>
      <c r="P433" s="103"/>
      <c r="Q433" s="1048"/>
      <c r="R433" s="1048"/>
    </row>
    <row r="434" spans="1:18" ht="15.6">
      <c r="A434" s="103"/>
      <c r="B434" s="103"/>
      <c r="C434" s="103"/>
      <c r="D434" s="103"/>
      <c r="E434" s="103"/>
      <c r="F434" s="103"/>
      <c r="G434" s="103" t="s">
        <v>21</v>
      </c>
      <c r="H434" s="103" t="s">
        <v>120</v>
      </c>
      <c r="I434" s="259">
        <v>18.2</v>
      </c>
      <c r="J434" s="113">
        <v>10.8</v>
      </c>
      <c r="K434" s="214">
        <v>8</v>
      </c>
      <c r="L434" s="304">
        <f t="shared" si="83"/>
        <v>1.5724800000000001</v>
      </c>
      <c r="M434" s="103"/>
      <c r="N434" s="103"/>
      <c r="O434" s="103"/>
      <c r="P434" s="103"/>
      <c r="Q434" s="1048"/>
      <c r="R434" s="1048"/>
    </row>
    <row r="435" spans="1:18" ht="15.6">
      <c r="A435" s="103"/>
      <c r="B435" s="103"/>
      <c r="C435" s="103"/>
      <c r="D435" s="103"/>
      <c r="E435" s="103"/>
      <c r="F435" s="103"/>
      <c r="G435" s="103" t="s">
        <v>21</v>
      </c>
      <c r="H435" s="103" t="s">
        <v>120</v>
      </c>
      <c r="I435" s="259">
        <v>18.2</v>
      </c>
      <c r="J435" s="113">
        <v>11.6</v>
      </c>
      <c r="K435" s="214">
        <v>16</v>
      </c>
      <c r="L435" s="304">
        <f t="shared" si="83"/>
        <v>3.3779199999999996</v>
      </c>
      <c r="M435" s="103"/>
      <c r="N435" s="103"/>
      <c r="O435" s="103"/>
      <c r="P435" s="103"/>
      <c r="Q435" s="1048"/>
      <c r="R435" s="1048"/>
    </row>
    <row r="436" spans="1:18" ht="15.6">
      <c r="A436" s="103"/>
      <c r="B436" s="103"/>
      <c r="C436" s="103"/>
      <c r="D436" s="103"/>
      <c r="E436" s="103"/>
      <c r="F436" s="103"/>
      <c r="G436" s="103" t="s">
        <v>21</v>
      </c>
      <c r="H436" s="103" t="s">
        <v>120</v>
      </c>
      <c r="I436" s="259">
        <v>18.2</v>
      </c>
      <c r="J436" s="113">
        <v>11.7</v>
      </c>
      <c r="K436" s="214">
        <v>16</v>
      </c>
      <c r="L436" s="304">
        <f t="shared" si="83"/>
        <v>3.4070399999999994</v>
      </c>
      <c r="M436" s="103"/>
      <c r="N436" s="103"/>
      <c r="O436" s="103"/>
      <c r="P436" s="103"/>
      <c r="Q436" s="1048"/>
      <c r="R436" s="1048"/>
    </row>
    <row r="437" spans="1:18" ht="15.6">
      <c r="A437" s="103"/>
      <c r="B437" s="103"/>
      <c r="C437" s="103"/>
      <c r="D437" s="103"/>
      <c r="E437" s="103"/>
      <c r="F437" s="103"/>
      <c r="G437" s="103" t="s">
        <v>21</v>
      </c>
      <c r="H437" s="103" t="s">
        <v>120</v>
      </c>
      <c r="I437" s="259">
        <v>18.2</v>
      </c>
      <c r="J437" s="113">
        <v>11.8</v>
      </c>
      <c r="K437" s="214">
        <v>8</v>
      </c>
      <c r="L437" s="304">
        <f t="shared" si="83"/>
        <v>1.7180799999999998</v>
      </c>
      <c r="M437" s="103"/>
      <c r="N437" s="103"/>
      <c r="O437" s="103"/>
      <c r="P437" s="103"/>
      <c r="Q437" s="1048"/>
      <c r="R437" s="1048"/>
    </row>
    <row r="438" spans="1:18" ht="15.6">
      <c r="A438" s="103"/>
      <c r="B438" s="103"/>
      <c r="C438" s="103"/>
      <c r="D438" s="103"/>
      <c r="E438" s="103"/>
      <c r="F438" s="103"/>
      <c r="G438" s="103" t="s">
        <v>21</v>
      </c>
      <c r="H438" s="103" t="s">
        <v>120</v>
      </c>
      <c r="I438" s="259">
        <v>18.2</v>
      </c>
      <c r="J438" s="113">
        <v>12</v>
      </c>
      <c r="K438" s="214">
        <v>22</v>
      </c>
      <c r="L438" s="304">
        <f t="shared" si="83"/>
        <v>4.8047999999999993</v>
      </c>
      <c r="M438" s="103"/>
      <c r="N438" s="103"/>
      <c r="O438" s="103"/>
      <c r="P438" s="103"/>
      <c r="Q438" s="1048"/>
      <c r="R438" s="1048"/>
    </row>
    <row r="439" spans="1:18" ht="15.6">
      <c r="A439" s="103"/>
      <c r="B439" s="103"/>
      <c r="C439" s="103"/>
      <c r="D439" s="103"/>
      <c r="E439" s="103"/>
      <c r="F439" s="103"/>
      <c r="G439" s="65"/>
      <c r="H439" s="65"/>
      <c r="I439" s="303"/>
      <c r="J439" s="66"/>
      <c r="K439" s="213">
        <f t="shared" ref="K439:L439" si="84">SUM(K432:K438)</f>
        <v>96</v>
      </c>
      <c r="L439" s="260">
        <f t="shared" si="84"/>
        <v>19.139120000000002</v>
      </c>
      <c r="M439" s="103"/>
      <c r="N439" s="103"/>
      <c r="O439" s="103"/>
      <c r="P439" s="103"/>
      <c r="Q439" s="1048"/>
      <c r="R439" s="1048"/>
    </row>
    <row r="440" spans="1:18" ht="15.6">
      <c r="A440" s="21" t="s">
        <v>83</v>
      </c>
      <c r="B440" s="21" t="s">
        <v>135</v>
      </c>
      <c r="C440" s="21" t="s">
        <v>19</v>
      </c>
      <c r="D440" s="21" t="s">
        <v>20</v>
      </c>
      <c r="E440" s="63" t="s">
        <v>51</v>
      </c>
      <c r="F440" s="22">
        <v>12</v>
      </c>
      <c r="G440" s="103" t="s">
        <v>21</v>
      </c>
      <c r="H440" s="103" t="s">
        <v>122</v>
      </c>
      <c r="I440" s="259">
        <v>14.7</v>
      </c>
      <c r="J440" s="113">
        <v>7.1</v>
      </c>
      <c r="K440" s="214">
        <v>32</v>
      </c>
      <c r="L440" s="304">
        <f t="shared" ref="L440:L443" si="85">(I440*J440*K440/1000)</f>
        <v>3.3398399999999997</v>
      </c>
      <c r="M440" s="103"/>
      <c r="N440" s="103"/>
      <c r="O440" s="103"/>
      <c r="P440" s="103"/>
      <c r="Q440" s="1048"/>
      <c r="R440" s="1048"/>
    </row>
    <row r="441" spans="1:18" ht="15.6">
      <c r="A441" s="20"/>
      <c r="B441" s="21" t="s">
        <v>52</v>
      </c>
      <c r="C441" s="20"/>
      <c r="D441" s="20"/>
      <c r="E441" s="20"/>
      <c r="F441" s="20"/>
      <c r="G441" s="103" t="s">
        <v>21</v>
      </c>
      <c r="H441" s="103" t="s">
        <v>122</v>
      </c>
      <c r="I441" s="259">
        <v>14.7</v>
      </c>
      <c r="J441" s="113">
        <v>10.8</v>
      </c>
      <c r="K441" s="214">
        <v>21</v>
      </c>
      <c r="L441" s="304">
        <f t="shared" si="85"/>
        <v>3.3339600000000003</v>
      </c>
      <c r="M441" s="103"/>
      <c r="N441" s="103"/>
      <c r="O441" s="103"/>
      <c r="P441" s="103"/>
      <c r="Q441" s="1048"/>
      <c r="R441" s="1048"/>
    </row>
    <row r="442" spans="1:18" ht="15.6">
      <c r="A442" s="103"/>
      <c r="B442" s="103"/>
      <c r="C442" s="103"/>
      <c r="D442" s="103"/>
      <c r="E442" s="103"/>
      <c r="F442" s="103"/>
      <c r="G442" s="103" t="s">
        <v>21</v>
      </c>
      <c r="H442" s="103" t="s">
        <v>122</v>
      </c>
      <c r="I442" s="259">
        <v>14.7</v>
      </c>
      <c r="J442" s="113">
        <v>11.5</v>
      </c>
      <c r="K442" s="214">
        <v>34</v>
      </c>
      <c r="L442" s="304">
        <f t="shared" si="85"/>
        <v>5.7477</v>
      </c>
      <c r="M442" s="103"/>
      <c r="N442" s="103"/>
      <c r="O442" s="103"/>
      <c r="P442" s="103"/>
      <c r="Q442" s="1048"/>
      <c r="R442" s="1048"/>
    </row>
    <row r="443" spans="1:18" ht="15.6">
      <c r="A443" s="103"/>
      <c r="B443" s="103"/>
      <c r="C443" s="103"/>
      <c r="D443" s="103"/>
      <c r="E443" s="103"/>
      <c r="F443" s="103"/>
      <c r="G443" s="103" t="s">
        <v>21</v>
      </c>
      <c r="H443" s="103" t="s">
        <v>122</v>
      </c>
      <c r="I443" s="259">
        <v>14.7</v>
      </c>
      <c r="J443" s="113">
        <v>12</v>
      </c>
      <c r="K443" s="214">
        <v>5</v>
      </c>
      <c r="L443" s="304">
        <f t="shared" si="85"/>
        <v>0.8819999999999999</v>
      </c>
      <c r="M443" s="103"/>
      <c r="N443" s="103"/>
      <c r="O443" s="103"/>
      <c r="P443" s="103"/>
      <c r="Q443" s="1048"/>
      <c r="R443" s="1048"/>
    </row>
    <row r="444" spans="1:18" ht="15.6">
      <c r="A444" s="103"/>
      <c r="B444" s="103"/>
      <c r="C444" s="103"/>
      <c r="D444" s="103"/>
      <c r="E444" s="103"/>
      <c r="F444" s="103"/>
      <c r="G444" s="65"/>
      <c r="H444" s="65"/>
      <c r="I444" s="303"/>
      <c r="J444" s="66"/>
      <c r="K444" s="213">
        <f t="shared" ref="K444:L444" si="86">SUM(K440:K443)</f>
        <v>92</v>
      </c>
      <c r="L444" s="260">
        <f t="shared" si="86"/>
        <v>13.3035</v>
      </c>
      <c r="M444" s="103"/>
      <c r="N444" s="103"/>
      <c r="O444" s="103"/>
      <c r="P444" s="103"/>
      <c r="Q444" s="1048"/>
      <c r="R444" s="1048"/>
    </row>
    <row r="445" spans="1:18" ht="15.6">
      <c r="A445" s="21" t="s">
        <v>83</v>
      </c>
      <c r="B445" s="21" t="s">
        <v>135</v>
      </c>
      <c r="C445" s="21" t="s">
        <v>19</v>
      </c>
      <c r="D445" s="21" t="s">
        <v>20</v>
      </c>
      <c r="E445" s="63" t="s">
        <v>51</v>
      </c>
      <c r="F445" s="22">
        <v>12</v>
      </c>
      <c r="G445" s="103" t="s">
        <v>21</v>
      </c>
      <c r="H445" s="103" t="s">
        <v>123</v>
      </c>
      <c r="I445" s="259">
        <v>16.5</v>
      </c>
      <c r="J445" s="113">
        <v>6.5</v>
      </c>
      <c r="K445" s="214">
        <v>2</v>
      </c>
      <c r="L445" s="304">
        <f t="shared" ref="L445:L448" si="87">(I445*J445*K445/1000)</f>
        <v>0.2145</v>
      </c>
      <c r="M445" s="103"/>
      <c r="N445" s="103"/>
      <c r="O445" s="103"/>
      <c r="P445" s="103"/>
      <c r="Q445" s="1048"/>
      <c r="R445" s="1048"/>
    </row>
    <row r="446" spans="1:18" ht="15.6">
      <c r="A446" s="20"/>
      <c r="B446" s="21" t="s">
        <v>52</v>
      </c>
      <c r="C446" s="20"/>
      <c r="D446" s="20"/>
      <c r="E446" s="20"/>
      <c r="F446" s="20"/>
      <c r="G446" s="103" t="s">
        <v>21</v>
      </c>
      <c r="H446" s="103" t="s">
        <v>123</v>
      </c>
      <c r="I446" s="259">
        <v>16.5</v>
      </c>
      <c r="J446" s="113">
        <v>6.7</v>
      </c>
      <c r="K446" s="214">
        <v>16</v>
      </c>
      <c r="L446" s="304">
        <f t="shared" si="87"/>
        <v>1.7687999999999999</v>
      </c>
      <c r="M446" s="103"/>
      <c r="N446" s="103"/>
      <c r="O446" s="103"/>
      <c r="P446" s="103"/>
      <c r="Q446" s="1048"/>
      <c r="R446" s="1048"/>
    </row>
    <row r="447" spans="1:18" ht="15.6">
      <c r="A447" s="103"/>
      <c r="B447" s="103"/>
      <c r="C447" s="103"/>
      <c r="D447" s="103"/>
      <c r="E447" s="103"/>
      <c r="F447" s="103"/>
      <c r="G447" s="103" t="s">
        <v>21</v>
      </c>
      <c r="H447" s="103" t="s">
        <v>123</v>
      </c>
      <c r="I447" s="259">
        <v>16.5</v>
      </c>
      <c r="J447" s="113">
        <v>8.6999999999999993</v>
      </c>
      <c r="K447" s="214">
        <v>16</v>
      </c>
      <c r="L447" s="304">
        <f t="shared" si="87"/>
        <v>2.2967999999999997</v>
      </c>
      <c r="M447" s="103"/>
      <c r="N447" s="103"/>
      <c r="O447" s="103"/>
      <c r="P447" s="103"/>
      <c r="Q447" s="1048"/>
      <c r="R447" s="1048"/>
    </row>
    <row r="448" spans="1:18" ht="15.6">
      <c r="A448" s="103"/>
      <c r="B448" s="103"/>
      <c r="C448" s="103"/>
      <c r="D448" s="103"/>
      <c r="E448" s="103"/>
      <c r="F448" s="103"/>
      <c r="G448" s="103" t="s">
        <v>21</v>
      </c>
      <c r="H448" s="103" t="s">
        <v>123</v>
      </c>
      <c r="I448" s="259">
        <v>16.5</v>
      </c>
      <c r="J448" s="113">
        <v>11.8</v>
      </c>
      <c r="K448" s="214">
        <v>16</v>
      </c>
      <c r="L448" s="304">
        <f t="shared" si="87"/>
        <v>3.1152000000000002</v>
      </c>
      <c r="M448" s="103"/>
      <c r="N448" s="103"/>
      <c r="O448" s="103"/>
      <c r="P448" s="103"/>
      <c r="Q448" s="1048"/>
      <c r="R448" s="1048"/>
    </row>
    <row r="449" spans="1:18" ht="15.6">
      <c r="A449" s="103"/>
      <c r="B449" s="103"/>
      <c r="C449" s="103"/>
      <c r="D449" s="103"/>
      <c r="E449" s="103"/>
      <c r="F449" s="103"/>
      <c r="G449" s="65"/>
      <c r="H449" s="65"/>
      <c r="I449" s="303"/>
      <c r="J449" s="66"/>
      <c r="K449" s="213">
        <f t="shared" ref="K449:L449" si="88">SUM(K445:K448)</f>
        <v>50</v>
      </c>
      <c r="L449" s="260">
        <f t="shared" si="88"/>
        <v>7.3952999999999989</v>
      </c>
      <c r="M449" s="103"/>
      <c r="N449" s="103"/>
      <c r="O449" s="103"/>
      <c r="P449" s="103"/>
      <c r="Q449" s="1048"/>
      <c r="R449" s="1048"/>
    </row>
    <row r="450" spans="1:18" ht="15.6">
      <c r="A450" s="21" t="s">
        <v>83</v>
      </c>
      <c r="B450" s="21" t="s">
        <v>135</v>
      </c>
      <c r="C450" s="21" t="s">
        <v>19</v>
      </c>
      <c r="D450" s="21" t="s">
        <v>20</v>
      </c>
      <c r="E450" s="63" t="s">
        <v>51</v>
      </c>
      <c r="F450" s="22">
        <v>12</v>
      </c>
      <c r="G450" s="103" t="s">
        <v>21</v>
      </c>
      <c r="H450" s="103" t="s">
        <v>124</v>
      </c>
      <c r="I450" s="259">
        <v>19.8</v>
      </c>
      <c r="J450" s="113">
        <v>7.5</v>
      </c>
      <c r="K450" s="214">
        <v>18</v>
      </c>
      <c r="L450" s="304">
        <f t="shared" ref="L450:L458" si="89">(I450*J450*K450/1000)</f>
        <v>2.673</v>
      </c>
      <c r="M450" s="103"/>
      <c r="N450" s="103"/>
      <c r="O450" s="103"/>
      <c r="P450" s="103"/>
      <c r="Q450" s="1048"/>
      <c r="R450" s="1048"/>
    </row>
    <row r="451" spans="1:18" ht="15.6">
      <c r="A451" s="20"/>
      <c r="B451" s="21" t="s">
        <v>52</v>
      </c>
      <c r="C451" s="20"/>
      <c r="D451" s="20"/>
      <c r="E451" s="20"/>
      <c r="F451" s="20"/>
      <c r="G451" s="103" t="s">
        <v>21</v>
      </c>
      <c r="H451" s="103" t="s">
        <v>124</v>
      </c>
      <c r="I451" s="259">
        <v>19.8</v>
      </c>
      <c r="J451" s="113">
        <v>8.1999999999999993</v>
      </c>
      <c r="K451" s="214">
        <v>1</v>
      </c>
      <c r="L451" s="304">
        <f t="shared" si="89"/>
        <v>0.16235999999999998</v>
      </c>
      <c r="M451" s="103"/>
      <c r="N451" s="103"/>
      <c r="O451" s="103"/>
      <c r="P451" s="103"/>
      <c r="Q451" s="1048"/>
      <c r="R451" s="1048"/>
    </row>
    <row r="452" spans="1:18" ht="15.6">
      <c r="A452" s="103"/>
      <c r="B452" s="103"/>
      <c r="C452" s="103"/>
      <c r="D452" s="103"/>
      <c r="E452" s="103"/>
      <c r="F452" s="103"/>
      <c r="G452" s="103" t="s">
        <v>21</v>
      </c>
      <c r="H452" s="103" t="s">
        <v>124</v>
      </c>
      <c r="I452" s="259">
        <v>19.8</v>
      </c>
      <c r="J452" s="113">
        <v>8.3000000000000007</v>
      </c>
      <c r="K452" s="214">
        <v>17</v>
      </c>
      <c r="L452" s="304">
        <f t="shared" si="89"/>
        <v>2.7937800000000008</v>
      </c>
      <c r="M452" s="103"/>
      <c r="N452" s="103"/>
      <c r="O452" s="103"/>
      <c r="P452" s="103"/>
      <c r="Q452" s="1048"/>
      <c r="R452" s="1048"/>
    </row>
    <row r="453" spans="1:18" ht="15.6">
      <c r="A453" s="103"/>
      <c r="B453" s="103"/>
      <c r="C453" s="103"/>
      <c r="D453" s="103"/>
      <c r="E453" s="103"/>
      <c r="F453" s="103"/>
      <c r="G453" s="103" t="s">
        <v>21</v>
      </c>
      <c r="H453" s="103" t="s">
        <v>124</v>
      </c>
      <c r="I453" s="259">
        <v>19.8</v>
      </c>
      <c r="J453" s="113">
        <v>8.5</v>
      </c>
      <c r="K453" s="214">
        <v>20</v>
      </c>
      <c r="L453" s="304">
        <f t="shared" si="89"/>
        <v>3.3660000000000001</v>
      </c>
      <c r="M453" s="103"/>
      <c r="N453" s="103"/>
      <c r="O453" s="103"/>
      <c r="P453" s="103"/>
      <c r="Q453" s="1048"/>
      <c r="R453" s="1048"/>
    </row>
    <row r="454" spans="1:18" ht="15.6">
      <c r="A454" s="103"/>
      <c r="B454" s="103"/>
      <c r="C454" s="103"/>
      <c r="D454" s="103"/>
      <c r="E454" s="103"/>
      <c r="F454" s="103"/>
      <c r="G454" s="103" t="s">
        <v>21</v>
      </c>
      <c r="H454" s="103" t="s">
        <v>124</v>
      </c>
      <c r="I454" s="259">
        <v>19.8</v>
      </c>
      <c r="J454" s="113">
        <v>8.6999999999999993</v>
      </c>
      <c r="K454" s="214">
        <v>16</v>
      </c>
      <c r="L454" s="304">
        <f t="shared" si="89"/>
        <v>2.7561599999999999</v>
      </c>
      <c r="M454" s="103"/>
      <c r="N454" s="103"/>
      <c r="O454" s="103"/>
      <c r="P454" s="103"/>
      <c r="Q454" s="1048"/>
      <c r="R454" s="1048"/>
    </row>
    <row r="455" spans="1:18" ht="15.6">
      <c r="A455" s="103"/>
      <c r="B455" s="103"/>
      <c r="C455" s="103"/>
      <c r="D455" s="103"/>
      <c r="E455" s="103"/>
      <c r="F455" s="103"/>
      <c r="G455" s="103" t="s">
        <v>21</v>
      </c>
      <c r="H455" s="103" t="s">
        <v>124</v>
      </c>
      <c r="I455" s="259">
        <v>19.8</v>
      </c>
      <c r="J455" s="113">
        <v>11.1</v>
      </c>
      <c r="K455" s="214">
        <v>10</v>
      </c>
      <c r="L455" s="304">
        <f t="shared" si="89"/>
        <v>2.1978</v>
      </c>
      <c r="M455" s="103"/>
      <c r="N455" s="103"/>
      <c r="O455" s="103"/>
      <c r="P455" s="103"/>
      <c r="Q455" s="1048"/>
      <c r="R455" s="1048"/>
    </row>
    <row r="456" spans="1:18" ht="15.6">
      <c r="A456" s="103"/>
      <c r="B456" s="103"/>
      <c r="C456" s="103"/>
      <c r="D456" s="103"/>
      <c r="E456" s="103"/>
      <c r="F456" s="103"/>
      <c r="G456" s="103" t="s">
        <v>21</v>
      </c>
      <c r="H456" s="103" t="s">
        <v>124</v>
      </c>
      <c r="I456" s="259">
        <v>19.8</v>
      </c>
      <c r="J456" s="113">
        <v>11.6</v>
      </c>
      <c r="K456" s="214">
        <v>17</v>
      </c>
      <c r="L456" s="304">
        <f t="shared" si="89"/>
        <v>3.90456</v>
      </c>
      <c r="M456" s="103"/>
      <c r="N456" s="103"/>
      <c r="O456" s="103"/>
      <c r="P456" s="103"/>
      <c r="Q456" s="1048"/>
      <c r="R456" s="1048"/>
    </row>
    <row r="457" spans="1:18" ht="15.6">
      <c r="A457" s="103"/>
      <c r="B457" s="103"/>
      <c r="C457" s="103"/>
      <c r="D457" s="103"/>
      <c r="E457" s="103"/>
      <c r="F457" s="103"/>
      <c r="G457" s="103" t="s">
        <v>21</v>
      </c>
      <c r="H457" s="103" t="s">
        <v>124</v>
      </c>
      <c r="I457" s="259">
        <v>19.8</v>
      </c>
      <c r="J457" s="113">
        <v>11.75</v>
      </c>
      <c r="K457" s="214">
        <v>10</v>
      </c>
      <c r="L457" s="304">
        <f t="shared" si="89"/>
        <v>2.3264999999999998</v>
      </c>
      <c r="M457" s="103"/>
      <c r="N457" s="103"/>
      <c r="O457" s="103"/>
      <c r="P457" s="103"/>
      <c r="Q457" s="1048"/>
      <c r="R457" s="1048"/>
    </row>
    <row r="458" spans="1:18" ht="15.6">
      <c r="A458" s="103"/>
      <c r="B458" s="103"/>
      <c r="C458" s="103"/>
      <c r="D458" s="103"/>
      <c r="E458" s="103"/>
      <c r="F458" s="103"/>
      <c r="G458" s="103" t="s">
        <v>21</v>
      </c>
      <c r="H458" s="103" t="s">
        <v>124</v>
      </c>
      <c r="I458" s="259">
        <v>19.8</v>
      </c>
      <c r="J458" s="113">
        <v>12</v>
      </c>
      <c r="K458" s="214">
        <v>18</v>
      </c>
      <c r="L458" s="304">
        <f t="shared" si="89"/>
        <v>4.2768000000000006</v>
      </c>
      <c r="M458" s="103"/>
      <c r="N458" s="103"/>
      <c r="O458" s="103"/>
      <c r="P458" s="103"/>
      <c r="Q458" s="1048"/>
      <c r="R458" s="1048"/>
    </row>
    <row r="459" spans="1:18" ht="15.6">
      <c r="A459" s="103"/>
      <c r="B459" s="103"/>
      <c r="C459" s="103"/>
      <c r="D459" s="103"/>
      <c r="E459" s="103"/>
      <c r="F459" s="103"/>
      <c r="G459" s="65"/>
      <c r="H459" s="65"/>
      <c r="I459" s="303"/>
      <c r="J459" s="66"/>
      <c r="K459" s="213">
        <f t="shared" ref="K459:L459" si="90">SUM(K450:K458)</f>
        <v>127</v>
      </c>
      <c r="L459" s="260">
        <f t="shared" si="90"/>
        <v>24.456960000000002</v>
      </c>
      <c r="M459" s="103"/>
      <c r="N459" s="103"/>
      <c r="O459" s="103"/>
      <c r="P459" s="103"/>
      <c r="Q459" s="1048"/>
      <c r="R459" s="1048"/>
    </row>
    <row r="460" spans="1:18" ht="15.6">
      <c r="A460" s="21" t="s">
        <v>83</v>
      </c>
      <c r="B460" s="21" t="s">
        <v>135</v>
      </c>
      <c r="C460" s="21" t="s">
        <v>19</v>
      </c>
      <c r="D460" s="21" t="s">
        <v>20</v>
      </c>
      <c r="E460" s="63" t="s">
        <v>51</v>
      </c>
      <c r="F460" s="22">
        <v>12</v>
      </c>
      <c r="G460" s="103" t="s">
        <v>21</v>
      </c>
      <c r="H460" s="103" t="s">
        <v>126</v>
      </c>
      <c r="I460" s="259">
        <v>23.6</v>
      </c>
      <c r="J460" s="113">
        <v>6.65</v>
      </c>
      <c r="K460" s="214">
        <v>16</v>
      </c>
      <c r="L460" s="304">
        <f t="shared" ref="L460:L467" si="91">(I460*J460*K460/1000)</f>
        <v>2.5110400000000004</v>
      </c>
      <c r="M460" s="103"/>
      <c r="N460" s="103"/>
      <c r="O460" s="103"/>
      <c r="P460" s="103"/>
      <c r="Q460" s="1048"/>
      <c r="R460" s="1048"/>
    </row>
    <row r="461" spans="1:18" ht="15.6">
      <c r="A461" s="20"/>
      <c r="B461" s="21" t="s">
        <v>52</v>
      </c>
      <c r="C461" s="20"/>
      <c r="D461" s="20"/>
      <c r="E461" s="20"/>
      <c r="F461" s="20"/>
      <c r="G461" s="103" t="s">
        <v>21</v>
      </c>
      <c r="H461" s="103" t="s">
        <v>126</v>
      </c>
      <c r="I461" s="259">
        <v>23.6</v>
      </c>
      <c r="J461" s="113">
        <v>6.8</v>
      </c>
      <c r="K461" s="214">
        <v>8</v>
      </c>
      <c r="L461" s="304">
        <f t="shared" si="91"/>
        <v>1.2838400000000001</v>
      </c>
      <c r="M461" s="103"/>
      <c r="N461" s="103"/>
      <c r="O461" s="103"/>
      <c r="P461" s="103"/>
      <c r="Q461" s="1048"/>
      <c r="R461" s="1048"/>
    </row>
    <row r="462" spans="1:18" ht="15.6">
      <c r="A462" s="103"/>
      <c r="B462" s="103"/>
      <c r="C462" s="103"/>
      <c r="D462" s="103"/>
      <c r="E462" s="103"/>
      <c r="F462" s="103"/>
      <c r="G462" s="103" t="s">
        <v>21</v>
      </c>
      <c r="H462" s="103" t="s">
        <v>126</v>
      </c>
      <c r="I462" s="259">
        <v>23.6</v>
      </c>
      <c r="J462" s="113">
        <v>7.9</v>
      </c>
      <c r="K462" s="214">
        <v>20</v>
      </c>
      <c r="L462" s="304">
        <f t="shared" si="91"/>
        <v>3.7288000000000006</v>
      </c>
      <c r="M462" s="103"/>
      <c r="N462" s="103"/>
      <c r="O462" s="103"/>
      <c r="P462" s="103"/>
      <c r="Q462" s="1048"/>
      <c r="R462" s="1048"/>
    </row>
    <row r="463" spans="1:18" ht="15.6">
      <c r="A463" s="103"/>
      <c r="B463" s="103"/>
      <c r="C463" s="103"/>
      <c r="D463" s="103"/>
      <c r="E463" s="103"/>
      <c r="F463" s="103"/>
      <c r="G463" s="103" t="s">
        <v>21</v>
      </c>
      <c r="H463" s="103" t="s">
        <v>126</v>
      </c>
      <c r="I463" s="259">
        <v>23.6</v>
      </c>
      <c r="J463" s="113">
        <v>8.4499999999999993</v>
      </c>
      <c r="K463" s="214">
        <v>2</v>
      </c>
      <c r="L463" s="304">
        <f t="shared" si="91"/>
        <v>0.39883999999999997</v>
      </c>
      <c r="M463" s="103"/>
      <c r="N463" s="103"/>
      <c r="O463" s="103"/>
      <c r="P463" s="103"/>
      <c r="Q463" s="1048"/>
      <c r="R463" s="1048"/>
    </row>
    <row r="464" spans="1:18" ht="15.6">
      <c r="A464" s="103"/>
      <c r="B464" s="103"/>
      <c r="C464" s="103"/>
      <c r="D464" s="103"/>
      <c r="E464" s="103"/>
      <c r="F464" s="103"/>
      <c r="G464" s="103" t="s">
        <v>21</v>
      </c>
      <c r="H464" s="103" t="s">
        <v>126</v>
      </c>
      <c r="I464" s="259">
        <v>23.6</v>
      </c>
      <c r="J464" s="113">
        <v>8.6999999999999993</v>
      </c>
      <c r="K464" s="214">
        <v>12</v>
      </c>
      <c r="L464" s="304">
        <f t="shared" si="91"/>
        <v>2.4638400000000003</v>
      </c>
      <c r="M464" s="103"/>
      <c r="N464" s="103"/>
      <c r="O464" s="103"/>
      <c r="P464" s="103"/>
      <c r="Q464" s="1048"/>
      <c r="R464" s="1048"/>
    </row>
    <row r="465" spans="1:18" ht="15.6">
      <c r="A465" s="103"/>
      <c r="B465" s="103"/>
      <c r="C465" s="103"/>
      <c r="D465" s="103"/>
      <c r="E465" s="103"/>
      <c r="F465" s="103"/>
      <c r="G465" s="103" t="s">
        <v>21</v>
      </c>
      <c r="H465" s="103" t="s">
        <v>126</v>
      </c>
      <c r="I465" s="259">
        <v>23.6</v>
      </c>
      <c r="J465" s="113">
        <v>11.7</v>
      </c>
      <c r="K465" s="214">
        <v>8</v>
      </c>
      <c r="L465" s="304">
        <f t="shared" si="91"/>
        <v>2.2089600000000003</v>
      </c>
      <c r="M465" s="103"/>
      <c r="N465" s="103"/>
      <c r="O465" s="103"/>
      <c r="P465" s="103"/>
      <c r="Q465" s="1048"/>
      <c r="R465" s="1048"/>
    </row>
    <row r="466" spans="1:18" ht="15.6">
      <c r="A466" s="103"/>
      <c r="B466" s="103"/>
      <c r="C466" s="103"/>
      <c r="D466" s="103"/>
      <c r="E466" s="103"/>
      <c r="F466" s="103"/>
      <c r="G466" s="103" t="s">
        <v>21</v>
      </c>
      <c r="H466" s="103" t="s">
        <v>126</v>
      </c>
      <c r="I466" s="259">
        <v>23.6</v>
      </c>
      <c r="J466" s="113">
        <v>11.8</v>
      </c>
      <c r="K466" s="214">
        <v>4</v>
      </c>
      <c r="L466" s="304">
        <f t="shared" si="91"/>
        <v>1.11392</v>
      </c>
      <c r="M466" s="103"/>
      <c r="N466" s="103"/>
      <c r="O466" s="103"/>
      <c r="P466" s="103"/>
      <c r="Q466" s="1048"/>
      <c r="R466" s="1048"/>
    </row>
    <row r="467" spans="1:18" ht="15.6">
      <c r="A467" s="103"/>
      <c r="B467" s="103"/>
      <c r="C467" s="103"/>
      <c r="D467" s="103"/>
      <c r="E467" s="103"/>
      <c r="F467" s="103"/>
      <c r="G467" s="103" t="s">
        <v>21</v>
      </c>
      <c r="H467" s="103" t="s">
        <v>126</v>
      </c>
      <c r="I467" s="259">
        <v>23.6</v>
      </c>
      <c r="J467" s="113">
        <v>11.9</v>
      </c>
      <c r="K467" s="214">
        <v>6</v>
      </c>
      <c r="L467" s="304">
        <f t="shared" si="91"/>
        <v>1.6850400000000001</v>
      </c>
      <c r="M467" s="103"/>
      <c r="N467" s="103"/>
      <c r="O467" s="103"/>
      <c r="P467" s="103"/>
      <c r="Q467" s="1048"/>
      <c r="R467" s="1048"/>
    </row>
    <row r="468" spans="1:18" ht="15.6">
      <c r="A468" s="103"/>
      <c r="B468" s="103"/>
      <c r="C468" s="103"/>
      <c r="D468" s="103"/>
      <c r="E468" s="103"/>
      <c r="F468" s="103"/>
      <c r="G468" s="65"/>
      <c r="H468" s="65"/>
      <c r="I468" s="303"/>
      <c r="J468" s="66"/>
      <c r="K468" s="213">
        <f t="shared" ref="K468:L468" si="92">SUM(K460:K467)</f>
        <v>76</v>
      </c>
      <c r="L468" s="260">
        <f t="shared" si="92"/>
        <v>15.394280000000002</v>
      </c>
      <c r="M468" s="103"/>
      <c r="N468" s="103"/>
      <c r="O468" s="103"/>
      <c r="P468" s="103"/>
      <c r="Q468" s="1048"/>
      <c r="R468" s="1048"/>
    </row>
    <row r="469" spans="1:18" ht="15.6">
      <c r="A469" s="21" t="s">
        <v>83</v>
      </c>
      <c r="B469" s="21" t="s">
        <v>135</v>
      </c>
      <c r="C469" s="21" t="s">
        <v>19</v>
      </c>
      <c r="D469" s="21" t="s">
        <v>20</v>
      </c>
      <c r="E469" s="63" t="s">
        <v>51</v>
      </c>
      <c r="F469" s="22">
        <v>12</v>
      </c>
      <c r="G469" s="103" t="s">
        <v>21</v>
      </c>
      <c r="H469" s="103" t="s">
        <v>128</v>
      </c>
      <c r="I469" s="259">
        <v>16</v>
      </c>
      <c r="J469" s="113">
        <v>10</v>
      </c>
      <c r="K469" s="214">
        <v>1</v>
      </c>
      <c r="L469" s="304">
        <f>(I469*J469*K469/1000)</f>
        <v>0.16</v>
      </c>
      <c r="M469" s="103"/>
      <c r="N469" s="103"/>
      <c r="O469" s="103"/>
      <c r="P469" s="103"/>
      <c r="Q469" s="1048"/>
      <c r="R469" s="1048"/>
    </row>
    <row r="470" spans="1:18" ht="15.6">
      <c r="A470" s="20"/>
      <c r="B470" s="21" t="s">
        <v>52</v>
      </c>
      <c r="C470" s="20"/>
      <c r="D470" s="20"/>
      <c r="E470" s="20"/>
      <c r="F470" s="20"/>
      <c r="G470" s="65"/>
      <c r="H470" s="65"/>
      <c r="I470" s="303"/>
      <c r="J470" s="66"/>
      <c r="K470" s="213">
        <f t="shared" ref="K470:L470" si="93">SUM(K469)</f>
        <v>1</v>
      </c>
      <c r="L470" s="260">
        <f t="shared" si="93"/>
        <v>0.16</v>
      </c>
      <c r="M470" s="103"/>
      <c r="N470" s="103"/>
      <c r="O470" s="103"/>
      <c r="P470" s="103"/>
      <c r="Q470" s="1048"/>
      <c r="R470" s="1048"/>
    </row>
    <row r="471" spans="1:18" ht="15.6">
      <c r="A471" s="21" t="s">
        <v>83</v>
      </c>
      <c r="B471" s="21" t="s">
        <v>135</v>
      </c>
      <c r="C471" s="21" t="s">
        <v>19</v>
      </c>
      <c r="D471" s="21" t="s">
        <v>20</v>
      </c>
      <c r="E471" s="63" t="s">
        <v>51</v>
      </c>
      <c r="F471" s="22">
        <v>12</v>
      </c>
      <c r="G471" s="103" t="s">
        <v>21</v>
      </c>
      <c r="H471" s="103" t="s">
        <v>129</v>
      </c>
      <c r="I471" s="259">
        <v>17.899999999999999</v>
      </c>
      <c r="J471" s="113">
        <v>6.3</v>
      </c>
      <c r="K471" s="214">
        <v>4</v>
      </c>
      <c r="L471" s="304">
        <f t="shared" ref="L471:L474" si="94">(I471*J471*K471/1000)</f>
        <v>0.45107999999999993</v>
      </c>
      <c r="M471" s="103"/>
      <c r="N471" s="103"/>
      <c r="O471" s="103"/>
      <c r="P471" s="103"/>
      <c r="Q471" s="1048"/>
      <c r="R471" s="1048"/>
    </row>
    <row r="472" spans="1:18" ht="15.6">
      <c r="A472" s="20"/>
      <c r="B472" s="21" t="s">
        <v>52</v>
      </c>
      <c r="C472" s="20"/>
      <c r="D472" s="20"/>
      <c r="E472" s="20"/>
      <c r="F472" s="20"/>
      <c r="G472" s="103" t="s">
        <v>21</v>
      </c>
      <c r="H472" s="103" t="s">
        <v>129</v>
      </c>
      <c r="I472" s="259">
        <v>17.899999999999999</v>
      </c>
      <c r="J472" s="113">
        <v>7</v>
      </c>
      <c r="K472" s="214">
        <v>12</v>
      </c>
      <c r="L472" s="304">
        <f t="shared" si="94"/>
        <v>1.5035999999999998</v>
      </c>
      <c r="M472" s="103"/>
      <c r="N472" s="103"/>
      <c r="O472" s="103"/>
      <c r="P472" s="103"/>
      <c r="Q472" s="1048"/>
      <c r="R472" s="1048"/>
    </row>
    <row r="473" spans="1:18" ht="15.6">
      <c r="A473" s="103"/>
      <c r="B473" s="103"/>
      <c r="C473" s="103"/>
      <c r="D473" s="103"/>
      <c r="E473" s="103"/>
      <c r="F473" s="103"/>
      <c r="G473" s="103" t="s">
        <v>21</v>
      </c>
      <c r="H473" s="103" t="s">
        <v>129</v>
      </c>
      <c r="I473" s="259">
        <v>17.899999999999999</v>
      </c>
      <c r="J473" s="113">
        <v>8.4499999999999993</v>
      </c>
      <c r="K473" s="214">
        <v>16</v>
      </c>
      <c r="L473" s="304">
        <f t="shared" si="94"/>
        <v>2.4200799999999996</v>
      </c>
      <c r="M473" s="103"/>
      <c r="N473" s="103"/>
      <c r="O473" s="103"/>
      <c r="P473" s="103"/>
      <c r="Q473" s="1048"/>
      <c r="R473" s="1048"/>
    </row>
    <row r="474" spans="1:18" ht="15.6">
      <c r="A474" s="103"/>
      <c r="B474" s="103"/>
      <c r="C474" s="103"/>
      <c r="D474" s="103"/>
      <c r="E474" s="103"/>
      <c r="F474" s="103"/>
      <c r="G474" s="103" t="s">
        <v>21</v>
      </c>
      <c r="H474" s="103" t="s">
        <v>129</v>
      </c>
      <c r="I474" s="259">
        <v>17.899999999999999</v>
      </c>
      <c r="J474" s="113">
        <v>11.8</v>
      </c>
      <c r="K474" s="214">
        <v>13</v>
      </c>
      <c r="L474" s="304">
        <f t="shared" si="94"/>
        <v>2.74586</v>
      </c>
      <c r="M474" s="103"/>
      <c r="N474" s="103"/>
      <c r="O474" s="103"/>
      <c r="P474" s="103"/>
      <c r="Q474" s="1048"/>
      <c r="R474" s="1048"/>
    </row>
    <row r="475" spans="1:18" ht="15.6">
      <c r="A475" s="103"/>
      <c r="B475" s="103"/>
      <c r="C475" s="103"/>
      <c r="D475" s="103"/>
      <c r="E475" s="103"/>
      <c r="F475" s="103"/>
      <c r="G475" s="65"/>
      <c r="H475" s="65"/>
      <c r="I475" s="303"/>
      <c r="J475" s="66"/>
      <c r="K475" s="213">
        <f t="shared" ref="K475:L475" si="95">SUM(K471:K474)</f>
        <v>45</v>
      </c>
      <c r="L475" s="260">
        <f t="shared" si="95"/>
        <v>7.1206199999999988</v>
      </c>
      <c r="M475" s="103"/>
      <c r="N475" s="103"/>
      <c r="O475" s="103"/>
      <c r="P475" s="103"/>
      <c r="Q475" s="1048"/>
      <c r="R475" s="1048"/>
    </row>
    <row r="476" spans="1:18" ht="15.6">
      <c r="A476" s="21" t="s">
        <v>83</v>
      </c>
      <c r="B476" s="21" t="s">
        <v>135</v>
      </c>
      <c r="C476" s="21" t="s">
        <v>19</v>
      </c>
      <c r="D476" s="21" t="s">
        <v>20</v>
      </c>
      <c r="E476" s="63" t="s">
        <v>51</v>
      </c>
      <c r="F476" s="22">
        <v>12</v>
      </c>
      <c r="G476" s="103" t="s">
        <v>21</v>
      </c>
      <c r="H476" s="103" t="s">
        <v>131</v>
      </c>
      <c r="I476" s="259">
        <v>7.34</v>
      </c>
      <c r="J476" s="113">
        <v>10.5</v>
      </c>
      <c r="K476" s="214">
        <v>50</v>
      </c>
      <c r="L476" s="304">
        <f t="shared" ref="L476:L478" si="96">(I476*J476*K476/1000)</f>
        <v>3.8534999999999995</v>
      </c>
      <c r="M476" s="103"/>
      <c r="N476" s="103"/>
      <c r="O476" s="103"/>
      <c r="P476" s="103"/>
      <c r="Q476" s="1048"/>
      <c r="R476" s="1048"/>
    </row>
    <row r="477" spans="1:18" ht="15.6">
      <c r="A477" s="20"/>
      <c r="B477" s="21" t="s">
        <v>52</v>
      </c>
      <c r="C477" s="20"/>
      <c r="D477" s="20"/>
      <c r="E477" s="20"/>
      <c r="F477" s="20"/>
      <c r="G477" s="103" t="s">
        <v>21</v>
      </c>
      <c r="H477" s="103" t="s">
        <v>131</v>
      </c>
      <c r="I477" s="259">
        <v>7.34</v>
      </c>
      <c r="J477" s="113">
        <v>11.5</v>
      </c>
      <c r="K477" s="214">
        <v>22</v>
      </c>
      <c r="L477" s="304">
        <f t="shared" si="96"/>
        <v>1.8570199999999999</v>
      </c>
      <c r="M477" s="103"/>
      <c r="N477" s="103"/>
      <c r="O477" s="103"/>
      <c r="P477" s="103"/>
      <c r="Q477" s="1048"/>
      <c r="R477" s="1048"/>
    </row>
    <row r="478" spans="1:18" ht="15.6">
      <c r="A478" s="103"/>
      <c r="B478" s="103"/>
      <c r="C478" s="103"/>
      <c r="D478" s="103"/>
      <c r="E478" s="103"/>
      <c r="F478" s="103"/>
      <c r="G478" s="103" t="s">
        <v>21</v>
      </c>
      <c r="H478" s="103" t="s">
        <v>131</v>
      </c>
      <c r="I478" s="259">
        <v>7.34</v>
      </c>
      <c r="J478" s="113">
        <v>12</v>
      </c>
      <c r="K478" s="214">
        <v>34</v>
      </c>
      <c r="L478" s="304">
        <f t="shared" si="96"/>
        <v>2.9947199999999996</v>
      </c>
      <c r="M478" s="103"/>
      <c r="N478" s="103"/>
      <c r="O478" s="103"/>
      <c r="P478" s="103"/>
      <c r="Q478" s="1048"/>
      <c r="R478" s="1048"/>
    </row>
    <row r="479" spans="1:18" ht="15.6">
      <c r="A479" s="103"/>
      <c r="B479" s="103"/>
      <c r="C479" s="103"/>
      <c r="D479" s="103"/>
      <c r="E479" s="103"/>
      <c r="F479" s="103"/>
      <c r="G479" s="65"/>
      <c r="H479" s="65"/>
      <c r="I479" s="303"/>
      <c r="J479" s="66"/>
      <c r="K479" s="213">
        <f t="shared" ref="K479:L479" si="97">SUM(K476:K478)</f>
        <v>106</v>
      </c>
      <c r="L479" s="260">
        <f t="shared" si="97"/>
        <v>8.7052399999999981</v>
      </c>
      <c r="M479" s="103"/>
      <c r="N479" s="103"/>
      <c r="O479" s="103"/>
      <c r="P479" s="103"/>
      <c r="Q479" s="1048"/>
      <c r="R479" s="1048"/>
    </row>
    <row r="480" spans="1:18" ht="15.6">
      <c r="A480" s="103"/>
      <c r="B480" s="103"/>
      <c r="C480" s="103"/>
      <c r="D480" s="103"/>
      <c r="E480" s="103"/>
      <c r="F480" s="103"/>
      <c r="G480" s="103"/>
      <c r="H480" s="103"/>
      <c r="I480" s="259"/>
      <c r="J480" s="103"/>
      <c r="K480" s="215"/>
      <c r="L480" s="259"/>
      <c r="M480" s="103"/>
      <c r="N480" s="103"/>
      <c r="O480" s="103"/>
      <c r="P480" s="103"/>
      <c r="Q480" s="1048"/>
      <c r="R480" s="1048"/>
    </row>
    <row r="483" spans="1:19">
      <c r="A483" s="1" t="s">
        <v>48</v>
      </c>
      <c r="B483" s="1"/>
      <c r="C483" s="2"/>
      <c r="D483" s="2"/>
      <c r="E483" s="2"/>
      <c r="F483" s="3"/>
      <c r="G483" s="2"/>
      <c r="H483" s="2"/>
      <c r="I483" s="4"/>
      <c r="J483" s="5"/>
      <c r="K483" s="196"/>
      <c r="L483" s="2056" t="s">
        <v>0</v>
      </c>
      <c r="M483" s="2056"/>
      <c r="N483" s="2056"/>
      <c r="O483" s="2056"/>
      <c r="P483" s="64"/>
      <c r="Q483" s="64"/>
      <c r="R483" s="64"/>
    </row>
    <row r="484" spans="1:19" ht="15.6">
      <c r="A484" s="27" t="s">
        <v>1</v>
      </c>
      <c r="B484" s="27"/>
      <c r="C484" s="27"/>
      <c r="D484" s="28" t="s">
        <v>2</v>
      </c>
      <c r="E484" s="28"/>
      <c r="F484" s="29"/>
      <c r="G484" s="29"/>
      <c r="H484" s="29"/>
      <c r="I484" s="30"/>
      <c r="J484" s="31"/>
      <c r="K484" s="197" t="s">
        <v>3</v>
      </c>
      <c r="L484" s="31"/>
      <c r="M484" s="27"/>
      <c r="N484" s="29"/>
      <c r="O484" s="27"/>
      <c r="P484" s="67"/>
      <c r="Q484" s="1039"/>
      <c r="R484" s="1039"/>
    </row>
    <row r="485" spans="1:19" ht="31.2">
      <c r="A485" s="32" t="s">
        <v>4</v>
      </c>
      <c r="B485" s="32" t="s">
        <v>5</v>
      </c>
      <c r="C485" s="32" t="s">
        <v>6</v>
      </c>
      <c r="D485" s="32" t="s">
        <v>7</v>
      </c>
      <c r="E485" s="32" t="s">
        <v>8</v>
      </c>
      <c r="F485" s="33" t="s">
        <v>9</v>
      </c>
      <c r="G485" s="34" t="s">
        <v>10</v>
      </c>
      <c r="H485" s="34" t="s">
        <v>11</v>
      </c>
      <c r="I485" s="35" t="s">
        <v>12</v>
      </c>
      <c r="J485" s="36" t="s">
        <v>13</v>
      </c>
      <c r="K485" s="198" t="s">
        <v>14</v>
      </c>
      <c r="L485" s="297" t="s">
        <v>15</v>
      </c>
      <c r="M485" s="33" t="s">
        <v>16</v>
      </c>
      <c r="N485" s="33" t="s">
        <v>17</v>
      </c>
      <c r="O485" s="34" t="s">
        <v>18</v>
      </c>
      <c r="P485" s="8" t="s">
        <v>50</v>
      </c>
      <c r="Q485" s="1040"/>
      <c r="R485" s="1040"/>
    </row>
    <row r="486" spans="1:19" ht="15.6">
      <c r="A486" s="21" t="s">
        <v>83</v>
      </c>
      <c r="B486" s="21" t="s">
        <v>132</v>
      </c>
      <c r="C486" s="21" t="s">
        <v>19</v>
      </c>
      <c r="D486" s="21" t="s">
        <v>20</v>
      </c>
      <c r="E486" s="63" t="s">
        <v>51</v>
      </c>
      <c r="F486" s="22">
        <v>12</v>
      </c>
      <c r="G486" s="20" t="s">
        <v>21</v>
      </c>
      <c r="H486" s="143" t="s">
        <v>118</v>
      </c>
      <c r="I486" s="131">
        <v>9.26</v>
      </c>
      <c r="J486" s="23">
        <v>7.3</v>
      </c>
      <c r="K486" s="154">
        <v>57</v>
      </c>
      <c r="L486" s="130">
        <f>(I486*J486*K486/1000)</f>
        <v>3.8530859999999998</v>
      </c>
      <c r="M486" s="20">
        <f>3+1+1+1</f>
        <v>6</v>
      </c>
      <c r="N486" s="23">
        <f t="shared" ref="N486:N497" si="98">J486*M486*I486/1000</f>
        <v>0.40558799999999995</v>
      </c>
      <c r="O486" s="20"/>
      <c r="P486" s="2066" t="s">
        <v>157</v>
      </c>
      <c r="Q486" s="1044"/>
      <c r="R486" s="1044"/>
      <c r="S486" t="s">
        <v>217</v>
      </c>
    </row>
    <row r="487" spans="1:19" ht="15.6">
      <c r="A487" s="20"/>
      <c r="B487" s="21" t="s">
        <v>84</v>
      </c>
      <c r="C487" s="20"/>
      <c r="D487" s="20"/>
      <c r="E487" s="20"/>
      <c r="F487" s="20"/>
      <c r="G487" s="20" t="s">
        <v>21</v>
      </c>
      <c r="H487" s="20" t="s">
        <v>118</v>
      </c>
      <c r="I487" s="131">
        <v>9.26</v>
      </c>
      <c r="J487" s="23">
        <v>8</v>
      </c>
      <c r="K487" s="154">
        <v>128</v>
      </c>
      <c r="L487" s="130">
        <f>(I487*J487*K487/1000)</f>
        <v>9.4822399999999991</v>
      </c>
      <c r="M487" s="20">
        <f>2+1+2+1</f>
        <v>6</v>
      </c>
      <c r="N487" s="23">
        <f t="shared" si="98"/>
        <v>0.44448000000000004</v>
      </c>
      <c r="O487" s="20"/>
      <c r="P487" s="2067"/>
      <c r="Q487" s="1044"/>
      <c r="R487" s="1044"/>
    </row>
    <row r="488" spans="1:19" ht="15.6">
      <c r="A488" s="20"/>
      <c r="B488" s="20"/>
      <c r="C488" s="20"/>
      <c r="D488" s="20"/>
      <c r="E488" s="20"/>
      <c r="F488" s="20"/>
      <c r="G488" s="20" t="s">
        <v>21</v>
      </c>
      <c r="H488" s="20" t="s">
        <v>118</v>
      </c>
      <c r="I488" s="131">
        <v>9.26</v>
      </c>
      <c r="J488" s="23">
        <v>8.4</v>
      </c>
      <c r="K488" s="154">
        <v>67</v>
      </c>
      <c r="L488" s="130">
        <f>(I488*J488*K488/1000)</f>
        <v>5.2115280000000004</v>
      </c>
      <c r="M488" s="20">
        <f>2+1+1+1+43+4-4</f>
        <v>48</v>
      </c>
      <c r="N488" s="23">
        <f t="shared" si="98"/>
        <v>3.7336320000000005</v>
      </c>
      <c r="O488" s="20"/>
      <c r="P488" s="2067"/>
      <c r="Q488" s="1044"/>
      <c r="R488" s="1044"/>
    </row>
    <row r="489" spans="1:19" ht="15.6">
      <c r="A489" s="20"/>
      <c r="B489" s="20"/>
      <c r="C489" s="20"/>
      <c r="D489" s="20"/>
      <c r="E489" s="20"/>
      <c r="F489" s="20"/>
      <c r="G489" s="20" t="s">
        <v>21</v>
      </c>
      <c r="H489" s="20" t="s">
        <v>118</v>
      </c>
      <c r="I489" s="131">
        <v>9.26</v>
      </c>
      <c r="J489" s="23">
        <v>8.5</v>
      </c>
      <c r="K489" s="154">
        <v>22</v>
      </c>
      <c r="L489" s="130">
        <f>(I489*J489*K489/1000)</f>
        <v>1.7316199999999999</v>
      </c>
      <c r="M489" s="20">
        <f>5+1+1+1+1+3+3+1+6+4-4-4+4</f>
        <v>22</v>
      </c>
      <c r="N489" s="23">
        <f t="shared" si="98"/>
        <v>1.7316199999999999</v>
      </c>
      <c r="O489" s="20"/>
      <c r="P489" s="2067"/>
      <c r="Q489" s="1044"/>
      <c r="R489" s="1044"/>
    </row>
    <row r="490" spans="1:19" ht="15.6">
      <c r="A490" s="20"/>
      <c r="B490" s="20"/>
      <c r="C490" s="20"/>
      <c r="D490" s="20"/>
      <c r="E490" s="20"/>
      <c r="F490" s="20"/>
      <c r="G490" s="20" t="s">
        <v>21</v>
      </c>
      <c r="H490" s="20" t="s">
        <v>118</v>
      </c>
      <c r="I490" s="131">
        <v>9.26</v>
      </c>
      <c r="J490" s="23">
        <v>10.199999999999999</v>
      </c>
      <c r="K490" s="154">
        <v>10</v>
      </c>
      <c r="L490" s="130">
        <f t="shared" ref="L490:L497" si="99">(I490*J490*K490/1000)</f>
        <v>0.94452000000000003</v>
      </c>
      <c r="M490" s="20"/>
      <c r="N490" s="23">
        <f t="shared" si="98"/>
        <v>0</v>
      </c>
      <c r="O490" s="20"/>
      <c r="P490" s="2067"/>
      <c r="Q490" s="1044"/>
      <c r="R490" s="1044"/>
    </row>
    <row r="491" spans="1:19" ht="15.6">
      <c r="A491" s="20"/>
      <c r="B491" s="20"/>
      <c r="C491" s="20"/>
      <c r="D491" s="20"/>
      <c r="E491" s="20"/>
      <c r="F491" s="20"/>
      <c r="G491" s="20" t="s">
        <v>21</v>
      </c>
      <c r="H491" s="20" t="s">
        <v>118</v>
      </c>
      <c r="I491" s="131">
        <v>9.26</v>
      </c>
      <c r="J491" s="23">
        <v>10.3</v>
      </c>
      <c r="K491" s="154">
        <v>114</v>
      </c>
      <c r="L491" s="130">
        <f t="shared" si="99"/>
        <v>10.873092</v>
      </c>
      <c r="M491" s="20">
        <v>1</v>
      </c>
      <c r="N491" s="23">
        <f t="shared" si="98"/>
        <v>9.5378000000000004E-2</v>
      </c>
      <c r="O491" s="20"/>
      <c r="P491" s="2067"/>
      <c r="Q491" s="1044"/>
      <c r="R491" s="1044"/>
    </row>
    <row r="492" spans="1:19" ht="15.6">
      <c r="A492" s="20"/>
      <c r="B492" s="20"/>
      <c r="C492" s="20"/>
      <c r="D492" s="20"/>
      <c r="E492" s="20"/>
      <c r="F492" s="20"/>
      <c r="G492" s="20" t="s">
        <v>21</v>
      </c>
      <c r="H492" s="20" t="s">
        <v>118</v>
      </c>
      <c r="I492" s="131">
        <v>9.26</v>
      </c>
      <c r="J492" s="23">
        <v>10.6</v>
      </c>
      <c r="K492" s="154">
        <v>162</v>
      </c>
      <c r="L492" s="130">
        <f t="shared" si="99"/>
        <v>15.901271999999999</v>
      </c>
      <c r="M492" s="20">
        <f>3+10</f>
        <v>13</v>
      </c>
      <c r="N492" s="23">
        <f t="shared" si="98"/>
        <v>1.2760279999999997</v>
      </c>
      <c r="O492" s="20"/>
      <c r="P492" s="2067"/>
      <c r="Q492" s="1044"/>
      <c r="R492" s="1044"/>
    </row>
    <row r="493" spans="1:19" ht="15.6">
      <c r="A493" s="20"/>
      <c r="B493" s="20"/>
      <c r="C493" s="20"/>
      <c r="D493" s="20"/>
      <c r="E493" s="20"/>
      <c r="F493" s="20"/>
      <c r="G493" s="20" t="s">
        <v>21</v>
      </c>
      <c r="H493" s="20" t="s">
        <v>118</v>
      </c>
      <c r="I493" s="131">
        <v>9.26</v>
      </c>
      <c r="J493" s="23">
        <v>10.8</v>
      </c>
      <c r="K493" s="154">
        <v>48</v>
      </c>
      <c r="L493" s="130">
        <f t="shared" si="99"/>
        <v>4.8003840000000002</v>
      </c>
      <c r="M493" s="20"/>
      <c r="N493" s="23">
        <f t="shared" si="98"/>
        <v>0</v>
      </c>
      <c r="O493" s="20"/>
      <c r="P493" s="2067"/>
      <c r="Q493" s="1044"/>
      <c r="R493" s="1044"/>
    </row>
    <row r="494" spans="1:19" ht="15.6">
      <c r="A494" s="20"/>
      <c r="B494" s="20"/>
      <c r="C494" s="20"/>
      <c r="D494" s="20"/>
      <c r="E494" s="20"/>
      <c r="F494" s="20"/>
      <c r="G494" s="20" t="s">
        <v>21</v>
      </c>
      <c r="H494" s="20" t="s">
        <v>118</v>
      </c>
      <c r="I494" s="131">
        <v>9.26</v>
      </c>
      <c r="J494" s="23">
        <v>11</v>
      </c>
      <c r="K494" s="154">
        <v>240</v>
      </c>
      <c r="L494" s="130">
        <f t="shared" si="99"/>
        <v>24.446400000000001</v>
      </c>
      <c r="M494" s="20">
        <f>1+1+1</f>
        <v>3</v>
      </c>
      <c r="N494" s="23">
        <f t="shared" si="98"/>
        <v>0.30557999999999996</v>
      </c>
      <c r="O494" s="20"/>
      <c r="P494" s="2067"/>
      <c r="Q494" s="1044"/>
      <c r="R494" s="1044"/>
    </row>
    <row r="495" spans="1:19" ht="15.6">
      <c r="A495" s="20"/>
      <c r="B495" s="20"/>
      <c r="C495" s="20"/>
      <c r="D495" s="20"/>
      <c r="E495" s="20"/>
      <c r="F495" s="20"/>
      <c r="G495" s="20" t="s">
        <v>21</v>
      </c>
      <c r="H495" s="20" t="s">
        <v>118</v>
      </c>
      <c r="I495" s="131">
        <v>9.26</v>
      </c>
      <c r="J495" s="23">
        <v>11.2</v>
      </c>
      <c r="K495" s="154">
        <v>20</v>
      </c>
      <c r="L495" s="130">
        <f t="shared" si="99"/>
        <v>2.0742399999999996</v>
      </c>
      <c r="M495" s="20">
        <f>2+1</f>
        <v>3</v>
      </c>
      <c r="N495" s="23">
        <f t="shared" si="98"/>
        <v>0.31113599999999997</v>
      </c>
      <c r="O495" s="20"/>
      <c r="P495" s="2067"/>
      <c r="Q495" s="1044"/>
      <c r="R495" s="1044"/>
    </row>
    <row r="496" spans="1:19" ht="15.6">
      <c r="A496" s="20"/>
      <c r="B496" s="20"/>
      <c r="C496" s="20"/>
      <c r="D496" s="20"/>
      <c r="E496" s="20"/>
      <c r="F496" s="20"/>
      <c r="G496" s="20" t="s">
        <v>21</v>
      </c>
      <c r="H496" s="20" t="s">
        <v>118</v>
      </c>
      <c r="I496" s="131">
        <v>9.26</v>
      </c>
      <c r="J496" s="23">
        <v>11.8</v>
      </c>
      <c r="K496" s="154">
        <v>112</v>
      </c>
      <c r="L496" s="130">
        <f t="shared" si="99"/>
        <v>12.238016</v>
      </c>
      <c r="M496" s="20"/>
      <c r="N496" s="23">
        <f t="shared" si="98"/>
        <v>0</v>
      </c>
      <c r="O496" s="20"/>
      <c r="P496" s="2067"/>
      <c r="Q496" s="1044"/>
      <c r="R496" s="1044"/>
    </row>
    <row r="497" spans="1:19" ht="15.6">
      <c r="A497" s="20"/>
      <c r="B497" s="20"/>
      <c r="C497" s="20"/>
      <c r="D497" s="20"/>
      <c r="E497" s="20"/>
      <c r="F497" s="20"/>
      <c r="G497" s="20" t="s">
        <v>21</v>
      </c>
      <c r="H497" s="20" t="s">
        <v>118</v>
      </c>
      <c r="I497" s="131">
        <v>9.26</v>
      </c>
      <c r="J497" s="23">
        <v>11.9</v>
      </c>
      <c r="K497" s="154">
        <v>76</v>
      </c>
      <c r="L497" s="130">
        <f t="shared" si="99"/>
        <v>8.3747439999999997</v>
      </c>
      <c r="M497" s="20">
        <f>3+2+1</f>
        <v>6</v>
      </c>
      <c r="N497" s="23">
        <f t="shared" si="98"/>
        <v>0.66116399999999997</v>
      </c>
      <c r="O497" s="20"/>
      <c r="P497" s="2067"/>
      <c r="Q497" s="1044"/>
      <c r="R497" s="1044"/>
    </row>
    <row r="498" spans="1:19" ht="15.6">
      <c r="A498" s="20"/>
      <c r="B498" s="20"/>
      <c r="C498" s="20"/>
      <c r="D498" s="20"/>
      <c r="E498" s="20"/>
      <c r="F498" s="20"/>
      <c r="G498" s="20"/>
      <c r="H498" s="20"/>
      <c r="I498" s="131"/>
      <c r="J498" s="23"/>
      <c r="K498" s="154">
        <f t="shared" ref="K498:M498" si="100">SUM(K486:K497)</f>
        <v>1056</v>
      </c>
      <c r="L498" s="128">
        <f t="shared" si="100"/>
        <v>99.931141999999994</v>
      </c>
      <c r="M498" s="25">
        <f t="shared" si="100"/>
        <v>108</v>
      </c>
      <c r="N498" s="23">
        <f>SUM(N486:N497)</f>
        <v>8.9646059999999999</v>
      </c>
      <c r="O498" s="20"/>
      <c r="P498" s="2067"/>
      <c r="Q498" s="1036"/>
      <c r="R498" s="1036"/>
      <c r="S498" s="25"/>
    </row>
    <row r="499" spans="1:19" ht="15.6">
      <c r="A499" s="20"/>
      <c r="B499" s="20"/>
      <c r="C499" s="20"/>
      <c r="D499" s="20"/>
      <c r="E499" s="20"/>
      <c r="F499" s="20"/>
      <c r="G499" s="20"/>
      <c r="H499" s="20"/>
      <c r="I499" s="131"/>
      <c r="J499" s="23"/>
      <c r="K499" s="154"/>
      <c r="L499" s="128"/>
      <c r="M499" s="20"/>
      <c r="N499" s="20"/>
      <c r="O499" s="20"/>
      <c r="P499" s="2067"/>
      <c r="Q499" s="1044"/>
      <c r="R499" s="1044"/>
    </row>
    <row r="500" spans="1:19" ht="15.6">
      <c r="A500" s="21" t="s">
        <v>83</v>
      </c>
      <c r="B500" s="21" t="s">
        <v>135</v>
      </c>
      <c r="C500" s="21" t="s">
        <v>19</v>
      </c>
      <c r="D500" s="21" t="s">
        <v>20</v>
      </c>
      <c r="E500" s="63" t="s">
        <v>51</v>
      </c>
      <c r="F500" s="22">
        <v>12</v>
      </c>
      <c r="G500" s="20" t="s">
        <v>21</v>
      </c>
      <c r="H500" s="143" t="s">
        <v>118</v>
      </c>
      <c r="I500" s="131">
        <v>9.26</v>
      </c>
      <c r="J500" s="23">
        <v>7.3</v>
      </c>
      <c r="K500" s="154">
        <v>2</v>
      </c>
      <c r="L500" s="130">
        <f t="shared" ref="L500:L503" si="101">(I500*J500*K500/1000)</f>
        <v>0.13519600000000001</v>
      </c>
      <c r="M500" s="20"/>
      <c r="N500" s="23">
        <f t="shared" ref="N500:N503" si="102">J500*M500*I500/1000</f>
        <v>0</v>
      </c>
      <c r="O500" s="20"/>
      <c r="P500" s="2067"/>
      <c r="Q500" s="1044"/>
      <c r="R500" s="1044"/>
      <c r="S500" t="s">
        <v>217</v>
      </c>
    </row>
    <row r="501" spans="1:19" ht="15.6">
      <c r="A501" s="20"/>
      <c r="B501" s="21" t="s">
        <v>52</v>
      </c>
      <c r="C501" s="20"/>
      <c r="D501" s="20"/>
      <c r="E501" s="20"/>
      <c r="F501" s="20"/>
      <c r="G501" s="20" t="s">
        <v>21</v>
      </c>
      <c r="H501" s="20" t="s">
        <v>118</v>
      </c>
      <c r="I501" s="131">
        <v>9.26</v>
      </c>
      <c r="J501" s="23">
        <v>8</v>
      </c>
      <c r="K501" s="154">
        <v>4</v>
      </c>
      <c r="L501" s="130">
        <f t="shared" si="101"/>
        <v>0.29631999999999997</v>
      </c>
      <c r="M501" s="20"/>
      <c r="N501" s="23">
        <f t="shared" si="102"/>
        <v>0</v>
      </c>
      <c r="O501" s="20"/>
      <c r="P501" s="2067"/>
      <c r="Q501" s="1044"/>
      <c r="R501" s="1044"/>
    </row>
    <row r="502" spans="1:19" ht="15.6">
      <c r="A502" s="20"/>
      <c r="B502" s="20"/>
      <c r="C502" s="20"/>
      <c r="D502" s="20"/>
      <c r="E502" s="20"/>
      <c r="F502" s="20"/>
      <c r="G502" s="20" t="s">
        <v>21</v>
      </c>
      <c r="H502" s="20" t="s">
        <v>118</v>
      </c>
      <c r="I502" s="131">
        <v>9.26</v>
      </c>
      <c r="J502" s="23">
        <v>10.199999999999999</v>
      </c>
      <c r="K502" s="154">
        <v>9</v>
      </c>
      <c r="L502" s="130">
        <f t="shared" si="101"/>
        <v>0.85006799999999993</v>
      </c>
      <c r="M502" s="20"/>
      <c r="N502" s="23">
        <f t="shared" si="102"/>
        <v>0</v>
      </c>
      <c r="O502" s="20"/>
      <c r="P502" s="2067"/>
      <c r="Q502" s="1044"/>
      <c r="R502" s="1044"/>
    </row>
    <row r="503" spans="1:19" ht="15.6">
      <c r="A503" s="20"/>
      <c r="B503" s="20"/>
      <c r="C503" s="20"/>
      <c r="D503" s="20"/>
      <c r="E503" s="20"/>
      <c r="F503" s="20"/>
      <c r="G503" s="20" t="s">
        <v>21</v>
      </c>
      <c r="H503" s="20" t="s">
        <v>118</v>
      </c>
      <c r="I503" s="131">
        <v>9.26</v>
      </c>
      <c r="J503" s="23">
        <v>10.8</v>
      </c>
      <c r="K503" s="154">
        <v>8</v>
      </c>
      <c r="L503" s="130">
        <f t="shared" si="101"/>
        <v>0.80006400000000011</v>
      </c>
      <c r="M503" s="20"/>
      <c r="N503" s="23">
        <f t="shared" si="102"/>
        <v>0</v>
      </c>
      <c r="O503" s="20"/>
      <c r="P503" s="2068"/>
      <c r="Q503" s="1044"/>
      <c r="R503" s="1044"/>
    </row>
    <row r="504" spans="1:19" ht="15.6">
      <c r="A504" s="20"/>
      <c r="B504" s="20"/>
      <c r="C504" s="20"/>
      <c r="D504" s="20"/>
      <c r="E504" s="20"/>
      <c r="F504" s="20"/>
      <c r="G504" s="20"/>
      <c r="H504" s="20"/>
      <c r="I504" s="131"/>
      <c r="J504" s="23"/>
      <c r="K504" s="154">
        <f t="shared" ref="K504:N504" si="103">SUM(K500:K503)</f>
        <v>23</v>
      </c>
      <c r="L504" s="128">
        <f t="shared" si="103"/>
        <v>2.0816480000000004</v>
      </c>
      <c r="M504" s="25">
        <f t="shared" si="103"/>
        <v>0</v>
      </c>
      <c r="N504" s="23">
        <f t="shared" si="103"/>
        <v>0</v>
      </c>
      <c r="O504" s="20"/>
      <c r="P504" s="20"/>
      <c r="Q504" s="155"/>
      <c r="R504" s="155"/>
    </row>
    <row r="505" spans="1:19" ht="15.6">
      <c r="A505" s="20"/>
      <c r="B505" s="20"/>
      <c r="C505" s="20"/>
      <c r="D505" s="20"/>
      <c r="E505" s="20"/>
      <c r="F505" s="20"/>
      <c r="G505" s="20"/>
      <c r="H505" s="20"/>
      <c r="I505" s="131"/>
      <c r="J505" s="23"/>
      <c r="K505" s="154">
        <f>+K504+K498</f>
        <v>1079</v>
      </c>
      <c r="L505" s="128">
        <f>+L504+L498</f>
        <v>102.01279</v>
      </c>
      <c r="M505" s="25">
        <f>+M504+M498</f>
        <v>108</v>
      </c>
      <c r="N505" s="124">
        <f>+N504+N498</f>
        <v>8.9646059999999999</v>
      </c>
      <c r="O505" s="20"/>
      <c r="P505" s="20"/>
      <c r="Q505" s="155"/>
      <c r="R505" s="155"/>
    </row>
    <row r="506" spans="1:19" ht="15.6">
      <c r="A506" s="20"/>
      <c r="B506" s="20"/>
      <c r="C506" s="20"/>
      <c r="D506" s="20"/>
      <c r="E506" s="20"/>
      <c r="F506" s="20"/>
      <c r="G506" s="20"/>
      <c r="H506" s="20"/>
      <c r="I506" s="131"/>
      <c r="J506" s="23"/>
      <c r="K506" s="154"/>
      <c r="L506" s="128"/>
      <c r="M506" s="20"/>
      <c r="N506" s="20"/>
      <c r="O506" s="20"/>
      <c r="P506" s="20"/>
      <c r="Q506" s="155"/>
      <c r="R506" s="155"/>
    </row>
    <row r="507" spans="1:19" ht="15.6">
      <c r="A507" s="21" t="s">
        <v>83</v>
      </c>
      <c r="B507" s="21" t="s">
        <v>132</v>
      </c>
      <c r="C507" s="21" t="s">
        <v>19</v>
      </c>
      <c r="D507" s="21" t="s">
        <v>20</v>
      </c>
      <c r="E507" s="63" t="s">
        <v>51</v>
      </c>
      <c r="F507" s="22">
        <v>12</v>
      </c>
      <c r="G507" s="20" t="s">
        <v>21</v>
      </c>
      <c r="H507" s="143" t="s">
        <v>119</v>
      </c>
      <c r="I507" s="131">
        <v>10.7</v>
      </c>
      <c r="J507" s="23">
        <v>7.5</v>
      </c>
      <c r="K507" s="154">
        <v>64</v>
      </c>
      <c r="L507" s="130">
        <f t="shared" ref="L507:L514" si="104">(I507*J507*K507/1000)</f>
        <v>5.1360000000000001</v>
      </c>
      <c r="M507" s="20">
        <f>6</f>
        <v>6</v>
      </c>
      <c r="N507" s="23">
        <f t="shared" ref="N507:N514" si="105">J507*M507*I507/1000</f>
        <v>0.48149999999999993</v>
      </c>
      <c r="O507" s="20"/>
      <c r="P507" s="2066" t="s">
        <v>157</v>
      </c>
      <c r="Q507" s="1044"/>
      <c r="R507" s="1044"/>
      <c r="S507">
        <v>4</v>
      </c>
    </row>
    <row r="508" spans="1:19" ht="15.6">
      <c r="A508" s="20"/>
      <c r="B508" s="21" t="s">
        <v>84</v>
      </c>
      <c r="C508" s="20"/>
      <c r="D508" s="20"/>
      <c r="E508" s="20"/>
      <c r="F508" s="20"/>
      <c r="G508" s="20" t="s">
        <v>21</v>
      </c>
      <c r="H508" s="20" t="s">
        <v>119</v>
      </c>
      <c r="I508" s="131">
        <v>10.7</v>
      </c>
      <c r="J508" s="23">
        <v>8</v>
      </c>
      <c r="K508" s="154">
        <v>127</v>
      </c>
      <c r="L508" s="130">
        <f t="shared" si="104"/>
        <v>10.871199999999998</v>
      </c>
      <c r="M508" s="20"/>
      <c r="N508" s="23">
        <f t="shared" si="105"/>
        <v>0</v>
      </c>
      <c r="O508" s="20"/>
      <c r="P508" s="2067"/>
      <c r="Q508" s="1044"/>
      <c r="R508" s="1044"/>
      <c r="S508" t="s">
        <v>216</v>
      </c>
    </row>
    <row r="509" spans="1:19" ht="15.6">
      <c r="A509" s="20"/>
      <c r="B509" s="20"/>
      <c r="C509" s="20"/>
      <c r="D509" s="20"/>
      <c r="E509" s="20"/>
      <c r="F509" s="20"/>
      <c r="G509" s="20" t="s">
        <v>21</v>
      </c>
      <c r="H509" s="20" t="s">
        <v>119</v>
      </c>
      <c r="I509" s="131">
        <v>10.7</v>
      </c>
      <c r="J509" s="23">
        <v>8.5</v>
      </c>
      <c r="K509" s="154">
        <v>31</v>
      </c>
      <c r="L509" s="130">
        <f t="shared" si="104"/>
        <v>2.8194499999999998</v>
      </c>
      <c r="M509" s="20">
        <f>1+1+1+1+3-1-1</f>
        <v>5</v>
      </c>
      <c r="N509" s="23">
        <f t="shared" si="105"/>
        <v>0.45474999999999993</v>
      </c>
      <c r="O509" s="20"/>
      <c r="P509" s="2067"/>
      <c r="Q509" s="1044"/>
      <c r="R509" s="1044"/>
      <c r="S509">
        <v>2</v>
      </c>
    </row>
    <row r="510" spans="1:19" ht="15.6">
      <c r="A510" s="20"/>
      <c r="B510" s="20"/>
      <c r="C510" s="20"/>
      <c r="D510" s="20"/>
      <c r="E510" s="20"/>
      <c r="F510" s="20"/>
      <c r="G510" s="20" t="s">
        <v>21</v>
      </c>
      <c r="H510" s="20" t="s">
        <v>119</v>
      </c>
      <c r="I510" s="131">
        <v>10.7</v>
      </c>
      <c r="J510" s="23">
        <v>9.1</v>
      </c>
      <c r="K510" s="154">
        <v>65</v>
      </c>
      <c r="L510" s="130">
        <f t="shared" si="104"/>
        <v>6.3290499999999996</v>
      </c>
      <c r="M510" s="20">
        <f>48-2-7-1</f>
        <v>38</v>
      </c>
      <c r="N510" s="23">
        <f t="shared" si="105"/>
        <v>3.7000600000000001</v>
      </c>
      <c r="O510" s="20"/>
      <c r="P510" s="2067"/>
      <c r="Q510" s="1044"/>
      <c r="R510" s="1044"/>
      <c r="S510">
        <f>2+7+1</f>
        <v>10</v>
      </c>
    </row>
    <row r="511" spans="1:19" ht="15.6">
      <c r="A511" s="20"/>
      <c r="B511" s="20"/>
      <c r="C511" s="20"/>
      <c r="D511" s="20"/>
      <c r="E511" s="20"/>
      <c r="F511" s="20"/>
      <c r="G511" s="20" t="s">
        <v>21</v>
      </c>
      <c r="H511" s="20" t="s">
        <v>119</v>
      </c>
      <c r="I511" s="131">
        <v>10.7</v>
      </c>
      <c r="J511" s="23">
        <v>10.7</v>
      </c>
      <c r="K511" s="154">
        <v>156</v>
      </c>
      <c r="L511" s="130">
        <f t="shared" si="104"/>
        <v>17.860439999999997</v>
      </c>
      <c r="M511" s="125">
        <v>7</v>
      </c>
      <c r="N511" s="23">
        <f t="shared" si="105"/>
        <v>0.80142999999999986</v>
      </c>
      <c r="O511" s="20"/>
      <c r="P511" s="2067"/>
      <c r="Q511" s="1044"/>
      <c r="R511" s="1044"/>
    </row>
    <row r="512" spans="1:19" ht="15.6">
      <c r="A512" s="20"/>
      <c r="B512" s="20"/>
      <c r="C512" s="20"/>
      <c r="D512" s="20"/>
      <c r="E512" s="20"/>
      <c r="F512" s="20"/>
      <c r="G512" s="20" t="s">
        <v>21</v>
      </c>
      <c r="H512" s="20" t="s">
        <v>119</v>
      </c>
      <c r="I512" s="131">
        <v>10.7</v>
      </c>
      <c r="J512" s="23">
        <v>11.3</v>
      </c>
      <c r="K512" s="154">
        <v>40</v>
      </c>
      <c r="L512" s="130">
        <f t="shared" si="104"/>
        <v>4.8363999999999994</v>
      </c>
      <c r="M512" s="20">
        <f>1+1+2+2</f>
        <v>6</v>
      </c>
      <c r="N512" s="23">
        <f t="shared" si="105"/>
        <v>0.72545999999999999</v>
      </c>
      <c r="O512" s="20"/>
      <c r="P512" s="2067"/>
      <c r="Q512" s="1044"/>
      <c r="R512" s="1044"/>
      <c r="S512">
        <v>1</v>
      </c>
    </row>
    <row r="513" spans="1:20" ht="15.6">
      <c r="A513" s="20"/>
      <c r="B513" s="20"/>
      <c r="C513" s="20"/>
      <c r="D513" s="20"/>
      <c r="E513" s="20"/>
      <c r="F513" s="20"/>
      <c r="G513" s="20" t="s">
        <v>21</v>
      </c>
      <c r="H513" s="20" t="s">
        <v>119</v>
      </c>
      <c r="I513" s="131">
        <v>10.7</v>
      </c>
      <c r="J513" s="23">
        <v>11.8</v>
      </c>
      <c r="K513" s="154">
        <v>4</v>
      </c>
      <c r="L513" s="130">
        <f t="shared" si="104"/>
        <v>0.50504000000000004</v>
      </c>
      <c r="M513" s="20">
        <f>1+1</f>
        <v>2</v>
      </c>
      <c r="N513" s="23">
        <f t="shared" si="105"/>
        <v>0.25252000000000002</v>
      </c>
      <c r="O513" s="20"/>
      <c r="P513" s="2067"/>
      <c r="Q513" s="1044"/>
      <c r="R513" s="1044"/>
    </row>
    <row r="514" spans="1:20" ht="15.6">
      <c r="A514" s="20"/>
      <c r="B514" s="20"/>
      <c r="C514" s="20"/>
      <c r="D514" s="20"/>
      <c r="E514" s="20"/>
      <c r="F514" s="20"/>
      <c r="G514" s="20" t="s">
        <v>21</v>
      </c>
      <c r="H514" s="20" t="s">
        <v>119</v>
      </c>
      <c r="I514" s="131">
        <v>10.7</v>
      </c>
      <c r="J514" s="23">
        <v>12</v>
      </c>
      <c r="K514" s="154">
        <v>94</v>
      </c>
      <c r="L514" s="130">
        <f t="shared" si="104"/>
        <v>12.069599999999998</v>
      </c>
      <c r="M514" s="20">
        <v>1</v>
      </c>
      <c r="N514" s="23">
        <f t="shared" si="105"/>
        <v>0.12839999999999999</v>
      </c>
      <c r="O514" s="20"/>
      <c r="P514" s="2067"/>
      <c r="Q514" s="1044"/>
      <c r="R514" s="1044"/>
    </row>
    <row r="515" spans="1:20" ht="15.6">
      <c r="A515" s="20"/>
      <c r="B515" s="20"/>
      <c r="C515" s="20"/>
      <c r="D515" s="20"/>
      <c r="E515" s="20"/>
      <c r="F515" s="20"/>
      <c r="G515" s="20"/>
      <c r="H515" s="20"/>
      <c r="I515" s="131"/>
      <c r="J515" s="23"/>
      <c r="K515" s="154">
        <f t="shared" ref="K515:M515" si="106">SUM(K507:K514)</f>
        <v>581</v>
      </c>
      <c r="L515" s="128">
        <f t="shared" si="106"/>
        <v>60.427179999999993</v>
      </c>
      <c r="M515" s="25">
        <f t="shared" si="106"/>
        <v>65</v>
      </c>
      <c r="N515" s="23">
        <f>SUM(N507:N514)</f>
        <v>6.5441199999999995</v>
      </c>
      <c r="O515" s="20"/>
      <c r="P515" s="2067"/>
      <c r="Q515" s="1036"/>
      <c r="R515" s="1036"/>
      <c r="S515" s="25">
        <f t="shared" ref="S515" si="107">SUM(S507:S514)</f>
        <v>17</v>
      </c>
    </row>
    <row r="516" spans="1:20" ht="15.6">
      <c r="A516" s="20"/>
      <c r="B516" s="20"/>
      <c r="C516" s="20"/>
      <c r="D516" s="20"/>
      <c r="E516" s="20"/>
      <c r="F516" s="20"/>
      <c r="G516" s="20"/>
      <c r="H516" s="20"/>
      <c r="I516" s="131"/>
      <c r="J516" s="20"/>
      <c r="K516" s="211"/>
      <c r="L516" s="131"/>
      <c r="M516" s="20"/>
      <c r="N516" s="20"/>
      <c r="O516" s="20"/>
      <c r="P516" s="2067"/>
      <c r="Q516" s="1044"/>
      <c r="R516" s="1044"/>
    </row>
    <row r="517" spans="1:20" ht="15.6">
      <c r="A517" s="21" t="s">
        <v>83</v>
      </c>
      <c r="B517" s="21" t="s">
        <v>135</v>
      </c>
      <c r="C517" s="21" t="s">
        <v>19</v>
      </c>
      <c r="D517" s="21" t="s">
        <v>20</v>
      </c>
      <c r="E517" s="63" t="s">
        <v>51</v>
      </c>
      <c r="F517" s="22">
        <v>12</v>
      </c>
      <c r="G517" s="20" t="s">
        <v>21</v>
      </c>
      <c r="H517" s="143" t="s">
        <v>119</v>
      </c>
      <c r="I517" s="131">
        <v>10.7</v>
      </c>
      <c r="J517" s="23">
        <v>7.5</v>
      </c>
      <c r="K517" s="154">
        <v>5</v>
      </c>
      <c r="L517" s="130">
        <f t="shared" ref="L517:L523" si="108">(I517*J517*K517/1000)</f>
        <v>0.40125</v>
      </c>
      <c r="M517" s="20"/>
      <c r="N517" s="23">
        <f t="shared" ref="N517:N523" si="109">J517*M517*I517/1000</f>
        <v>0</v>
      </c>
      <c r="O517" s="20"/>
      <c r="P517" s="2067"/>
      <c r="Q517" s="1044"/>
      <c r="R517" s="1044"/>
      <c r="S517" t="s">
        <v>216</v>
      </c>
    </row>
    <row r="518" spans="1:20" ht="15.6">
      <c r="A518" s="20"/>
      <c r="B518" s="21" t="s">
        <v>52</v>
      </c>
      <c r="C518" s="20"/>
      <c r="D518" s="20"/>
      <c r="E518" s="20"/>
      <c r="F518" s="20"/>
      <c r="G518" s="20" t="s">
        <v>21</v>
      </c>
      <c r="H518" s="20" t="s">
        <v>119</v>
      </c>
      <c r="I518" s="131">
        <v>10.7</v>
      </c>
      <c r="J518" s="23">
        <v>8.5</v>
      </c>
      <c r="K518" s="154">
        <v>12</v>
      </c>
      <c r="L518" s="130">
        <f t="shared" si="108"/>
        <v>1.0913999999999999</v>
      </c>
      <c r="M518" s="20"/>
      <c r="N518" s="23">
        <f t="shared" si="109"/>
        <v>0</v>
      </c>
      <c r="O518" s="20"/>
      <c r="P518" s="2067"/>
      <c r="Q518" s="1044"/>
      <c r="R518" s="1044"/>
    </row>
    <row r="519" spans="1:20" ht="15.6">
      <c r="A519" s="20"/>
      <c r="B519" s="20"/>
      <c r="C519" s="20"/>
      <c r="D519" s="20"/>
      <c r="E519" s="20"/>
      <c r="F519" s="20"/>
      <c r="G519" s="20" t="s">
        <v>21</v>
      </c>
      <c r="H519" s="20" t="s">
        <v>119</v>
      </c>
      <c r="I519" s="131">
        <v>10.7</v>
      </c>
      <c r="J519" s="23">
        <v>10.199999999999999</v>
      </c>
      <c r="K519" s="154">
        <v>26</v>
      </c>
      <c r="L519" s="130">
        <f t="shared" si="108"/>
        <v>2.8376399999999995</v>
      </c>
      <c r="M519" s="20">
        <f>7+1+4+1-1</f>
        <v>12</v>
      </c>
      <c r="N519" s="23">
        <f t="shared" si="109"/>
        <v>1.3096799999999997</v>
      </c>
      <c r="O519" s="20"/>
      <c r="P519" s="2067"/>
      <c r="Q519" s="1044"/>
      <c r="R519" s="1044"/>
      <c r="S519">
        <v>1</v>
      </c>
    </row>
    <row r="520" spans="1:20" ht="15.6">
      <c r="A520" s="20"/>
      <c r="B520" s="20"/>
      <c r="C520" s="20"/>
      <c r="D520" s="20"/>
      <c r="E520" s="20"/>
      <c r="F520" s="20"/>
      <c r="G520" s="20" t="s">
        <v>21</v>
      </c>
      <c r="H520" s="20" t="s">
        <v>119</v>
      </c>
      <c r="I520" s="131">
        <v>10.7</v>
      </c>
      <c r="J520" s="23">
        <v>10.7</v>
      </c>
      <c r="K520" s="154">
        <v>14</v>
      </c>
      <c r="L520" s="130">
        <f t="shared" si="108"/>
        <v>1.6028599999999997</v>
      </c>
      <c r="M520" s="20"/>
      <c r="N520" s="23">
        <f t="shared" si="109"/>
        <v>0</v>
      </c>
      <c r="O520" s="20"/>
      <c r="P520" s="2067"/>
      <c r="Q520" s="1044"/>
      <c r="R520" s="1044"/>
    </row>
    <row r="521" spans="1:20" ht="15.6">
      <c r="A521" s="20"/>
      <c r="B521" s="20"/>
      <c r="C521" s="20"/>
      <c r="D521" s="20"/>
      <c r="E521" s="20"/>
      <c r="F521" s="20"/>
      <c r="G521" s="20" t="s">
        <v>21</v>
      </c>
      <c r="H521" s="20" t="s">
        <v>119</v>
      </c>
      <c r="I521" s="131">
        <v>10.7</v>
      </c>
      <c r="J521" s="23">
        <v>11.3</v>
      </c>
      <c r="K521" s="154">
        <v>7</v>
      </c>
      <c r="L521" s="130">
        <f t="shared" si="108"/>
        <v>0.84636999999999996</v>
      </c>
      <c r="M521" s="20"/>
      <c r="N521" s="23">
        <f t="shared" si="109"/>
        <v>0</v>
      </c>
      <c r="O521" s="20"/>
      <c r="P521" s="2067"/>
      <c r="Q521" s="1044"/>
      <c r="R521" s="1044"/>
    </row>
    <row r="522" spans="1:20" ht="15.6">
      <c r="A522" s="20"/>
      <c r="B522" s="20"/>
      <c r="C522" s="20"/>
      <c r="D522" s="20"/>
      <c r="E522" s="20"/>
      <c r="F522" s="20"/>
      <c r="G522" s="20" t="s">
        <v>21</v>
      </c>
      <c r="H522" s="20" t="s">
        <v>119</v>
      </c>
      <c r="I522" s="131">
        <v>10.7</v>
      </c>
      <c r="J522" s="23">
        <v>11.8</v>
      </c>
      <c r="K522" s="154">
        <v>42</v>
      </c>
      <c r="L522" s="130">
        <f t="shared" si="108"/>
        <v>5.3029200000000003</v>
      </c>
      <c r="M522" s="20"/>
      <c r="N522" s="23">
        <f t="shared" si="109"/>
        <v>0</v>
      </c>
      <c r="O522" s="20"/>
      <c r="P522" s="2067"/>
      <c r="Q522" s="1044"/>
      <c r="R522" s="1044"/>
    </row>
    <row r="523" spans="1:20" ht="15.6">
      <c r="A523" s="20"/>
      <c r="B523" s="20"/>
      <c r="C523" s="20"/>
      <c r="D523" s="20"/>
      <c r="E523" s="20"/>
      <c r="F523" s="20"/>
      <c r="G523" s="20" t="s">
        <v>21</v>
      </c>
      <c r="H523" s="20" t="s">
        <v>119</v>
      </c>
      <c r="I523" s="131">
        <v>10.7</v>
      </c>
      <c r="J523" s="23">
        <v>12</v>
      </c>
      <c r="K523" s="154">
        <v>10</v>
      </c>
      <c r="L523" s="130">
        <f t="shared" si="108"/>
        <v>1.2839999999999998</v>
      </c>
      <c r="M523" s="20"/>
      <c r="N523" s="23">
        <f t="shared" si="109"/>
        <v>0</v>
      </c>
      <c r="O523" s="20"/>
      <c r="P523" s="2067"/>
      <c r="Q523" s="1044"/>
      <c r="R523" s="1044"/>
    </row>
    <row r="524" spans="1:20" ht="15.6">
      <c r="A524" s="20"/>
      <c r="B524" s="20"/>
      <c r="C524" s="20"/>
      <c r="D524" s="20"/>
      <c r="E524" s="20"/>
      <c r="F524" s="20"/>
      <c r="G524" s="20"/>
      <c r="H524" s="20"/>
      <c r="I524" s="131"/>
      <c r="J524" s="23"/>
      <c r="K524" s="154">
        <f t="shared" ref="K524" si="110">SUM(K517:K523)</f>
        <v>116</v>
      </c>
      <c r="L524" s="128">
        <f>SUM(L517:L523)</f>
        <v>13.366440000000001</v>
      </c>
      <c r="M524" s="25">
        <f>SUM(M517:M523)</f>
        <v>12</v>
      </c>
      <c r="N524" s="23">
        <f>SUM(N517:N523)</f>
        <v>1.3096799999999997</v>
      </c>
      <c r="O524" s="20"/>
      <c r="P524" s="2068"/>
      <c r="Q524" s="1037"/>
      <c r="R524" s="1037"/>
      <c r="S524" s="25">
        <f t="shared" ref="S524" si="111">SUM(S517:S523)</f>
        <v>1</v>
      </c>
    </row>
    <row r="525" spans="1:20" ht="15.6">
      <c r="A525" s="20"/>
      <c r="B525" s="20"/>
      <c r="C525" s="20"/>
      <c r="D525" s="20"/>
      <c r="E525" s="20"/>
      <c r="F525" s="20"/>
      <c r="G525" s="20"/>
      <c r="H525" s="20"/>
      <c r="I525" s="131"/>
      <c r="J525" s="23"/>
      <c r="K525" s="154">
        <f>+K524+K515</f>
        <v>697</v>
      </c>
      <c r="L525" s="128">
        <f>+L524+L515</f>
        <v>73.79361999999999</v>
      </c>
      <c r="M525" s="25">
        <f>+M524+M515</f>
        <v>77</v>
      </c>
      <c r="N525" s="23">
        <f>+N524+N515</f>
        <v>7.8537999999999997</v>
      </c>
      <c r="O525" s="20"/>
      <c r="P525" s="20"/>
      <c r="Q525" s="20"/>
      <c r="R525" s="20"/>
      <c r="S525" s="25">
        <f>+S524+S515</f>
        <v>18</v>
      </c>
    </row>
    <row r="526" spans="1:20" ht="15.6">
      <c r="A526" s="20"/>
      <c r="B526" s="20"/>
      <c r="C526" s="20"/>
      <c r="D526" s="20"/>
      <c r="E526" s="20"/>
      <c r="F526" s="20"/>
      <c r="G526" s="20"/>
      <c r="H526" s="20"/>
      <c r="I526" s="131"/>
      <c r="J526" s="23"/>
      <c r="K526" s="154"/>
      <c r="L526" s="128"/>
      <c r="M526" s="20"/>
      <c r="N526" s="20"/>
      <c r="O526" s="20"/>
      <c r="P526" s="20"/>
      <c r="Q526" s="155"/>
      <c r="R526" s="155"/>
    </row>
    <row r="527" spans="1:20" ht="15.6">
      <c r="A527" s="21" t="s">
        <v>83</v>
      </c>
      <c r="B527" s="21" t="s">
        <v>135</v>
      </c>
      <c r="C527" s="21" t="s">
        <v>19</v>
      </c>
      <c r="D527" s="21" t="s">
        <v>20</v>
      </c>
      <c r="E527" s="63" t="s">
        <v>51</v>
      </c>
      <c r="F527" s="22">
        <v>12</v>
      </c>
      <c r="G527" s="20" t="s">
        <v>21</v>
      </c>
      <c r="H527" s="143" t="s">
        <v>134</v>
      </c>
      <c r="I527" s="131">
        <v>12.2</v>
      </c>
      <c r="J527" s="23">
        <v>9.3000000000000007</v>
      </c>
      <c r="K527" s="154">
        <v>28</v>
      </c>
      <c r="L527" s="130">
        <f t="shared" ref="L527:L531" si="112">(I527*J527*K527/1000)</f>
        <v>3.1768800000000001</v>
      </c>
      <c r="M527" s="20"/>
      <c r="N527" s="23">
        <f t="shared" ref="N527:N531" si="113">J527*M527*I527/1000</f>
        <v>0</v>
      </c>
      <c r="O527" s="20"/>
      <c r="P527" s="2066" t="s">
        <v>157</v>
      </c>
      <c r="Q527" s="1035"/>
      <c r="R527" s="1035"/>
      <c r="S527" s="20">
        <f>3+1+1+1+1+1</f>
        <v>8</v>
      </c>
      <c r="T527" t="s">
        <v>216</v>
      </c>
    </row>
    <row r="528" spans="1:20" ht="15.6">
      <c r="A528" s="20"/>
      <c r="B528" s="21" t="s">
        <v>52</v>
      </c>
      <c r="C528" s="20"/>
      <c r="D528" s="20"/>
      <c r="E528" s="20"/>
      <c r="F528" s="20"/>
      <c r="G528" s="20" t="s">
        <v>21</v>
      </c>
      <c r="H528" s="20" t="s">
        <v>134</v>
      </c>
      <c r="I528" s="131">
        <v>12.2</v>
      </c>
      <c r="J528" s="23">
        <v>10</v>
      </c>
      <c r="K528" s="154">
        <v>39</v>
      </c>
      <c r="L528" s="130">
        <f t="shared" si="112"/>
        <v>4.758</v>
      </c>
      <c r="M528" s="20">
        <f>1+3</f>
        <v>4</v>
      </c>
      <c r="N528" s="23">
        <f t="shared" si="113"/>
        <v>0.48799999999999999</v>
      </c>
      <c r="O528" s="20"/>
      <c r="P528" s="2067"/>
      <c r="Q528" s="1036"/>
      <c r="R528" s="1036"/>
      <c r="S528" s="20">
        <f>1+2+1+1+3+2+3+7+5+4+1+1-4</f>
        <v>27</v>
      </c>
    </row>
    <row r="529" spans="1:19" ht="15.6">
      <c r="A529" s="20"/>
      <c r="B529" s="20"/>
      <c r="C529" s="20"/>
      <c r="D529" s="20"/>
      <c r="E529" s="20"/>
      <c r="F529" s="20"/>
      <c r="G529" s="20" t="s">
        <v>21</v>
      </c>
      <c r="H529" s="20" t="s">
        <v>134</v>
      </c>
      <c r="I529" s="131">
        <v>12.2</v>
      </c>
      <c r="J529" s="23">
        <v>11.1</v>
      </c>
      <c r="K529" s="154">
        <v>21</v>
      </c>
      <c r="L529" s="130">
        <f t="shared" si="112"/>
        <v>2.8438199999999996</v>
      </c>
      <c r="M529" s="20"/>
      <c r="N529" s="23">
        <f t="shared" si="113"/>
        <v>0</v>
      </c>
      <c r="O529" s="20"/>
      <c r="P529" s="2067"/>
      <c r="Q529" s="1036"/>
      <c r="R529" s="1036"/>
      <c r="S529" s="20">
        <v>1</v>
      </c>
    </row>
    <row r="530" spans="1:19" ht="15.6">
      <c r="A530" s="20"/>
      <c r="B530" s="20"/>
      <c r="C530" s="20"/>
      <c r="D530" s="20"/>
      <c r="E530" s="20"/>
      <c r="F530" s="20"/>
      <c r="G530" s="20" t="s">
        <v>21</v>
      </c>
      <c r="H530" s="20" t="s">
        <v>134</v>
      </c>
      <c r="I530" s="131">
        <v>12.2</v>
      </c>
      <c r="J530" s="23">
        <v>11.5</v>
      </c>
      <c r="K530" s="154">
        <v>23</v>
      </c>
      <c r="L530" s="130">
        <f t="shared" si="112"/>
        <v>3.2268999999999997</v>
      </c>
      <c r="M530" s="20">
        <v>1</v>
      </c>
      <c r="N530" s="23">
        <f t="shared" si="113"/>
        <v>0.14029999999999998</v>
      </c>
      <c r="O530" s="20"/>
      <c r="P530" s="2067"/>
      <c r="Q530" s="1036"/>
      <c r="R530" s="1036"/>
      <c r="S530" s="20">
        <f>1+4+1+2-1</f>
        <v>7</v>
      </c>
    </row>
    <row r="531" spans="1:19" ht="15.6">
      <c r="A531" s="20"/>
      <c r="B531" s="20"/>
      <c r="C531" s="20"/>
      <c r="D531" s="20"/>
      <c r="E531" s="20"/>
      <c r="F531" s="20"/>
      <c r="G531" s="20" t="s">
        <v>21</v>
      </c>
      <c r="H531" s="20" t="s">
        <v>134</v>
      </c>
      <c r="I531" s="131">
        <v>12.2</v>
      </c>
      <c r="J531" s="23">
        <v>12</v>
      </c>
      <c r="K531" s="154">
        <v>42</v>
      </c>
      <c r="L531" s="130">
        <f t="shared" si="112"/>
        <v>6.1487999999999996</v>
      </c>
      <c r="M531" s="20"/>
      <c r="N531" s="23">
        <f t="shared" si="113"/>
        <v>0</v>
      </c>
      <c r="O531" s="20"/>
      <c r="P531" s="2068"/>
      <c r="Q531" s="1037"/>
      <c r="R531" s="1037"/>
      <c r="S531" s="20">
        <f>1+1+2+27</f>
        <v>31</v>
      </c>
    </row>
    <row r="532" spans="1:19" ht="15.6">
      <c r="A532" s="20"/>
      <c r="B532" s="20"/>
      <c r="C532" s="20"/>
      <c r="D532" s="20"/>
      <c r="E532" s="20"/>
      <c r="F532" s="20"/>
      <c r="G532" s="20"/>
      <c r="H532" s="20"/>
      <c r="I532" s="131"/>
      <c r="J532" s="23"/>
      <c r="K532" s="154">
        <f t="shared" ref="K532:N532" si="114">SUM(K527:K531)</f>
        <v>153</v>
      </c>
      <c r="L532" s="128">
        <f t="shared" si="114"/>
        <v>20.154399999999995</v>
      </c>
      <c r="M532" s="25">
        <f t="shared" si="114"/>
        <v>5</v>
      </c>
      <c r="N532" s="23">
        <f t="shared" si="114"/>
        <v>0.62829999999999997</v>
      </c>
      <c r="O532" s="20"/>
      <c r="P532" s="20"/>
      <c r="Q532" s="20"/>
      <c r="R532" s="20"/>
      <c r="S532" s="25">
        <f t="shared" ref="S532" si="115">SUM(S527:S531)</f>
        <v>74</v>
      </c>
    </row>
    <row r="533" spans="1:19" ht="15.6">
      <c r="A533" s="20"/>
      <c r="B533" s="20"/>
      <c r="C533" s="20"/>
      <c r="D533" s="20"/>
      <c r="E533" s="20"/>
      <c r="F533" s="20"/>
      <c r="G533" s="20"/>
      <c r="H533" s="20"/>
      <c r="I533" s="131"/>
      <c r="J533" s="23"/>
      <c r="K533" s="154"/>
      <c r="L533" s="128"/>
      <c r="M533" s="20"/>
      <c r="N533" s="20"/>
      <c r="O533" s="20"/>
      <c r="P533" s="20"/>
      <c r="Q533" s="155"/>
      <c r="R533" s="155"/>
    </row>
    <row r="534" spans="1:19" ht="15.6">
      <c r="A534" s="20"/>
      <c r="B534" s="20"/>
      <c r="C534" s="20"/>
      <c r="D534" s="20"/>
      <c r="E534" s="20"/>
      <c r="F534" s="20"/>
      <c r="G534" s="20"/>
      <c r="H534" s="20"/>
      <c r="I534" s="131"/>
      <c r="J534" s="23"/>
      <c r="K534" s="154"/>
      <c r="L534" s="128"/>
      <c r="M534" s="20"/>
      <c r="N534" s="20"/>
      <c r="O534" s="20"/>
      <c r="P534" s="20"/>
      <c r="Q534" s="155"/>
      <c r="R534" s="155"/>
    </row>
    <row r="535" spans="1:19" ht="15.6">
      <c r="A535" s="21" t="s">
        <v>83</v>
      </c>
      <c r="B535" s="21" t="s">
        <v>135</v>
      </c>
      <c r="C535" s="21" t="s">
        <v>19</v>
      </c>
      <c r="D535" s="21" t="s">
        <v>20</v>
      </c>
      <c r="E535" s="63" t="s">
        <v>51</v>
      </c>
      <c r="F535" s="22">
        <v>12</v>
      </c>
      <c r="G535" s="20" t="s">
        <v>21</v>
      </c>
      <c r="H535" s="143" t="s">
        <v>133</v>
      </c>
      <c r="I535" s="131">
        <v>15</v>
      </c>
      <c r="J535" s="23">
        <v>11</v>
      </c>
      <c r="K535" s="154">
        <v>18</v>
      </c>
      <c r="L535" s="130">
        <f>(I535*J535*K535/1000)</f>
        <v>2.97</v>
      </c>
      <c r="M535" s="20">
        <v>10</v>
      </c>
      <c r="N535" s="23">
        <f>J535*M535*I535/1000</f>
        <v>1.65</v>
      </c>
      <c r="O535" s="20"/>
      <c r="P535" s="2057" t="s">
        <v>157</v>
      </c>
      <c r="Q535" s="627"/>
      <c r="R535" s="627"/>
      <c r="S535" t="s">
        <v>216</v>
      </c>
    </row>
    <row r="536" spans="1:19" ht="15.6">
      <c r="A536" s="20"/>
      <c r="B536" s="21" t="s">
        <v>52</v>
      </c>
      <c r="C536" s="20"/>
      <c r="D536" s="20"/>
      <c r="E536" s="20"/>
      <c r="F536" s="20"/>
      <c r="G536" s="20"/>
      <c r="H536" s="20"/>
      <c r="I536" s="131"/>
      <c r="J536" s="23"/>
      <c r="K536" s="154">
        <f>SUM(K535)</f>
        <v>18</v>
      </c>
      <c r="L536" s="128">
        <f>SUM(L535)</f>
        <v>2.97</v>
      </c>
      <c r="M536" s="25">
        <f>SUM(M535)</f>
        <v>10</v>
      </c>
      <c r="N536" s="23">
        <f>SUM(N535)</f>
        <v>1.65</v>
      </c>
      <c r="O536" s="20"/>
      <c r="P536" s="2059"/>
      <c r="Q536" s="627"/>
      <c r="R536" s="627"/>
    </row>
    <row r="537" spans="1:19" ht="15.6">
      <c r="A537" s="20"/>
      <c r="B537" s="21"/>
      <c r="C537" s="20"/>
      <c r="D537" s="20"/>
      <c r="E537" s="20"/>
      <c r="F537" s="20"/>
      <c r="G537" s="20"/>
      <c r="H537" s="20"/>
      <c r="I537" s="131"/>
      <c r="J537" s="23"/>
      <c r="K537" s="154"/>
      <c r="L537" s="128"/>
      <c r="M537" s="25"/>
      <c r="N537" s="23"/>
      <c r="O537" s="20"/>
      <c r="P537" s="20"/>
      <c r="Q537" s="155"/>
      <c r="R537" s="155"/>
    </row>
    <row r="538" spans="1:19" ht="15.6">
      <c r="A538" s="20"/>
      <c r="B538" s="21"/>
      <c r="C538" s="20"/>
      <c r="D538" s="20"/>
      <c r="E538" s="20"/>
      <c r="F538" s="20"/>
      <c r="G538" s="20"/>
      <c r="H538" s="20"/>
      <c r="I538" s="131"/>
      <c r="J538" s="23"/>
      <c r="K538" s="154"/>
      <c r="L538" s="128"/>
      <c r="M538" s="25"/>
      <c r="N538" s="23"/>
      <c r="O538" s="20"/>
      <c r="P538" s="20"/>
      <c r="Q538" s="155"/>
      <c r="R538" s="155"/>
    </row>
    <row r="539" spans="1:19" ht="15.6">
      <c r="A539" s="20"/>
      <c r="B539" s="21"/>
      <c r="C539" s="20"/>
      <c r="D539" s="20"/>
      <c r="E539" s="20"/>
      <c r="F539" s="20"/>
      <c r="G539" s="20"/>
      <c r="H539" s="20"/>
      <c r="I539" s="131"/>
      <c r="J539" s="23"/>
      <c r="K539" s="154"/>
      <c r="L539" s="128"/>
      <c r="M539" s="25"/>
      <c r="N539" s="23"/>
      <c r="O539" s="20"/>
      <c r="P539" s="20"/>
      <c r="Q539" s="155"/>
      <c r="R539" s="155"/>
    </row>
    <row r="540" spans="1:19" ht="15.6">
      <c r="A540" s="21" t="s">
        <v>59</v>
      </c>
      <c r="B540" s="21" t="s">
        <v>68</v>
      </c>
      <c r="C540" s="21" t="s">
        <v>19</v>
      </c>
      <c r="D540" s="21" t="s">
        <v>60</v>
      </c>
      <c r="E540" s="63" t="s">
        <v>62</v>
      </c>
      <c r="F540" s="22">
        <v>12</v>
      </c>
      <c r="G540" s="119" t="s">
        <v>61</v>
      </c>
      <c r="H540" s="119" t="s">
        <v>118</v>
      </c>
      <c r="I540" s="120">
        <v>9.26</v>
      </c>
      <c r="J540" s="121">
        <v>10.5</v>
      </c>
      <c r="K540" s="216">
        <v>42</v>
      </c>
      <c r="L540" s="122">
        <f>J540*K540*I540/1000</f>
        <v>4.0836600000000001</v>
      </c>
      <c r="M540" s="25"/>
      <c r="N540" s="23"/>
      <c r="O540" s="20"/>
      <c r="P540" s="20"/>
      <c r="Q540" s="155"/>
      <c r="R540" s="155"/>
    </row>
    <row r="541" spans="1:19" ht="15.6">
      <c r="A541" s="63"/>
      <c r="B541" s="63" t="s">
        <v>152</v>
      </c>
      <c r="C541" s="63"/>
      <c r="D541" s="21"/>
      <c r="E541" s="21"/>
      <c r="F541" s="22"/>
      <c r="G541" s="119"/>
      <c r="H541" s="119"/>
      <c r="I541" s="120"/>
      <c r="J541" s="121" t="s">
        <v>153</v>
      </c>
      <c r="K541" s="216"/>
      <c r="L541" s="122"/>
      <c r="M541" s="25"/>
      <c r="N541" s="23"/>
      <c r="O541" s="20"/>
      <c r="P541" s="20"/>
      <c r="Q541" s="155"/>
      <c r="R541" s="155"/>
    </row>
    <row r="542" spans="1:19" ht="15.6">
      <c r="A542" s="21"/>
      <c r="B542" s="21"/>
      <c r="C542" s="21"/>
      <c r="D542" s="21"/>
      <c r="E542" s="21"/>
      <c r="F542" s="22"/>
      <c r="G542" s="119" t="s">
        <v>61</v>
      </c>
      <c r="H542" s="119" t="s">
        <v>118</v>
      </c>
      <c r="I542" s="120">
        <v>9.26</v>
      </c>
      <c r="J542" s="121">
        <v>5.3</v>
      </c>
      <c r="K542" s="216">
        <v>84</v>
      </c>
      <c r="L542" s="122">
        <f>J542*K542*I542/1000</f>
        <v>4.1225519999999998</v>
      </c>
      <c r="M542" s="25"/>
      <c r="N542" s="23"/>
      <c r="O542" s="20"/>
      <c r="P542" s="20"/>
      <c r="Q542" s="155"/>
      <c r="R542" s="155"/>
    </row>
    <row r="543" spans="1:19" ht="15.6">
      <c r="A543" s="65"/>
      <c r="B543" s="21"/>
      <c r="C543" s="65"/>
      <c r="D543" s="65"/>
      <c r="E543" s="65"/>
      <c r="F543" s="65"/>
      <c r="G543" s="123"/>
      <c r="H543" s="123"/>
      <c r="I543" s="252"/>
      <c r="J543" s="123"/>
      <c r="K543" s="216">
        <f>SUM(K540:K542)</f>
        <v>126</v>
      </c>
      <c r="L543" s="121">
        <f>SUM(L540:L542)</f>
        <v>8.2062120000000007</v>
      </c>
      <c r="M543" s="25"/>
      <c r="N543" s="23"/>
      <c r="O543" s="20"/>
      <c r="P543" s="20"/>
      <c r="Q543" s="155"/>
      <c r="R543" s="155"/>
    </row>
    <row r="544" spans="1:19" ht="15.6">
      <c r="A544" s="20"/>
      <c r="B544" s="21"/>
      <c r="C544" s="20"/>
      <c r="D544" s="20"/>
      <c r="E544" s="20"/>
      <c r="F544" s="20"/>
      <c r="G544" s="20"/>
      <c r="H544" s="20"/>
      <c r="I544" s="131"/>
      <c r="J544" s="23"/>
      <c r="K544" s="154"/>
      <c r="L544" s="128"/>
      <c r="M544" s="25"/>
      <c r="N544" s="23"/>
      <c r="O544" s="20"/>
      <c r="P544" s="20"/>
      <c r="Q544" s="155"/>
      <c r="R544" s="155"/>
    </row>
    <row r="545" spans="1:19" ht="15.6">
      <c r="A545" s="136"/>
      <c r="B545" s="137"/>
      <c r="C545" s="136"/>
      <c r="D545" s="136"/>
      <c r="E545" s="136"/>
      <c r="F545" s="136"/>
      <c r="G545" s="136"/>
      <c r="H545" s="136"/>
      <c r="I545" s="1862"/>
      <c r="J545" s="134"/>
      <c r="K545" s="217"/>
      <c r="L545" s="305"/>
      <c r="M545" s="139"/>
      <c r="N545" s="138"/>
      <c r="O545" s="136"/>
      <c r="P545" s="136"/>
      <c r="Q545" s="155"/>
      <c r="R545" s="155"/>
    </row>
    <row r="546" spans="1:19" ht="15.6">
      <c r="A546" s="21" t="s">
        <v>83</v>
      </c>
      <c r="B546" s="21" t="s">
        <v>162</v>
      </c>
      <c r="C546" s="21" t="s">
        <v>19</v>
      </c>
      <c r="D546" s="21" t="s">
        <v>60</v>
      </c>
      <c r="E546" s="63" t="s">
        <v>90</v>
      </c>
      <c r="F546" s="22">
        <v>12</v>
      </c>
      <c r="G546" s="119" t="s">
        <v>61</v>
      </c>
      <c r="H546" s="230" t="s">
        <v>118</v>
      </c>
      <c r="I546" s="120">
        <v>9.26</v>
      </c>
      <c r="J546" s="133">
        <v>9.6999999999999993</v>
      </c>
      <c r="K546" s="218">
        <v>4</v>
      </c>
      <c r="L546" s="122">
        <f>J546*K546*I546/1000</f>
        <v>0.35928799999999994</v>
      </c>
      <c r="M546" s="140">
        <v>4</v>
      </c>
      <c r="N546" s="23">
        <f>J546*M546*I546/1000</f>
        <v>0.35928799999999994</v>
      </c>
      <c r="O546" s="20"/>
      <c r="P546" s="20"/>
      <c r="Q546" s="155"/>
      <c r="R546" s="155"/>
      <c r="S546" t="s">
        <v>216</v>
      </c>
    </row>
    <row r="547" spans="1:19" ht="15.6">
      <c r="A547" s="20"/>
      <c r="B547" s="21" t="s">
        <v>84</v>
      </c>
      <c r="C547" s="20"/>
      <c r="D547" s="20"/>
      <c r="E547" s="20"/>
      <c r="F547" s="20"/>
      <c r="G547" s="20"/>
      <c r="H547" s="20"/>
      <c r="I547" s="131"/>
      <c r="J547" s="23"/>
      <c r="K547" s="154">
        <f t="shared" ref="K547" si="116">SUM(K546)</f>
        <v>4</v>
      </c>
      <c r="L547" s="128">
        <f>SUM(L546)</f>
        <v>0.35928799999999994</v>
      </c>
      <c r="M547" s="25">
        <f t="shared" ref="M547" si="117">SUM(M546)</f>
        <v>4</v>
      </c>
      <c r="N547" s="23">
        <f>SUM(N546)</f>
        <v>0.35928799999999994</v>
      </c>
      <c r="O547" s="20"/>
      <c r="P547" s="20"/>
      <c r="Q547" s="155"/>
      <c r="R547" s="155"/>
    </row>
    <row r="548" spans="1:19" ht="15.6">
      <c r="A548" s="20"/>
      <c r="B548" s="21"/>
      <c r="C548" s="20"/>
      <c r="D548" s="20"/>
      <c r="E548" s="20"/>
      <c r="F548" s="20"/>
      <c r="G548" s="20"/>
      <c r="H548" s="20"/>
      <c r="I548" s="131"/>
      <c r="J548" s="23"/>
      <c r="K548" s="154"/>
      <c r="L548" s="128"/>
      <c r="M548" s="25"/>
      <c r="N548" s="23"/>
      <c r="O548" s="20"/>
      <c r="P548" s="20"/>
      <c r="Q548" s="155"/>
      <c r="R548" s="155"/>
    </row>
    <row r="549" spans="1:19" ht="15.6">
      <c r="A549" s="20"/>
      <c r="B549" s="21"/>
      <c r="C549" s="20"/>
      <c r="D549" s="20"/>
      <c r="E549" s="20"/>
      <c r="F549" s="20"/>
      <c r="G549" s="20"/>
      <c r="H549" s="20"/>
      <c r="I549" s="131"/>
      <c r="J549" s="23"/>
      <c r="K549" s="154"/>
      <c r="L549" s="128"/>
      <c r="M549" s="25"/>
      <c r="N549" s="23"/>
      <c r="O549" s="20"/>
      <c r="P549" s="20"/>
      <c r="Q549" s="155"/>
      <c r="R549" s="155"/>
    </row>
    <row r="550" spans="1:19" ht="15.6">
      <c r="A550" s="20"/>
      <c r="B550" s="21"/>
      <c r="C550" s="20"/>
      <c r="D550" s="20"/>
      <c r="E550" s="20"/>
      <c r="F550" s="20"/>
      <c r="G550" s="20"/>
      <c r="H550" s="20"/>
      <c r="I550" s="131"/>
      <c r="J550" s="23"/>
      <c r="K550" s="154"/>
      <c r="L550" s="128"/>
      <c r="M550" s="25"/>
      <c r="N550" s="23"/>
      <c r="O550" s="20"/>
      <c r="P550" s="20"/>
      <c r="Q550" s="155"/>
      <c r="R550" s="155"/>
    </row>
    <row r="551" spans="1:19" ht="15.6">
      <c r="A551" s="21" t="s">
        <v>83</v>
      </c>
      <c r="B551" s="21" t="s">
        <v>161</v>
      </c>
      <c r="C551" s="21" t="s">
        <v>19</v>
      </c>
      <c r="D551" s="21" t="s">
        <v>20</v>
      </c>
      <c r="E551" s="63" t="s">
        <v>51</v>
      </c>
      <c r="F551" s="22">
        <v>12</v>
      </c>
      <c r="G551" s="20" t="s">
        <v>21</v>
      </c>
      <c r="H551" s="143" t="s">
        <v>133</v>
      </c>
      <c r="I551" s="115">
        <v>15</v>
      </c>
      <c r="J551" s="23">
        <v>11</v>
      </c>
      <c r="K551" s="154">
        <v>1</v>
      </c>
      <c r="L551" s="130">
        <f>(I551*J551*K551/1000)</f>
        <v>0.16500000000000001</v>
      </c>
      <c r="M551" s="25"/>
      <c r="N551" s="23"/>
      <c r="O551" s="20"/>
      <c r="P551" s="20" t="s">
        <v>157</v>
      </c>
      <c r="Q551" s="155"/>
      <c r="R551" s="155"/>
      <c r="S551" t="s">
        <v>216</v>
      </c>
    </row>
    <row r="552" spans="1:19" ht="15.6">
      <c r="A552" s="20"/>
      <c r="B552" s="21" t="s">
        <v>52</v>
      </c>
      <c r="C552" s="20"/>
      <c r="D552" s="20"/>
      <c r="E552" s="20"/>
      <c r="F552" s="20"/>
      <c r="G552" s="20"/>
      <c r="H552" s="20"/>
      <c r="I552" s="131"/>
      <c r="J552" s="23"/>
      <c r="K552" s="154">
        <f>SUM(K551)</f>
        <v>1</v>
      </c>
      <c r="L552" s="128">
        <f>SUM(L551)</f>
        <v>0.16500000000000001</v>
      </c>
      <c r="M552" s="25"/>
      <c r="N552" s="23"/>
      <c r="O552" s="20"/>
      <c r="P552" s="20"/>
      <c r="Q552" s="155"/>
      <c r="R552" s="155"/>
    </row>
    <row r="553" spans="1:19" ht="15.6">
      <c r="A553" s="20"/>
      <c r="B553" s="21"/>
      <c r="C553" s="20"/>
      <c r="D553" s="20"/>
      <c r="E553" s="20"/>
      <c r="F553" s="20"/>
      <c r="G553" s="20"/>
      <c r="H553" s="20"/>
      <c r="I553" s="131"/>
      <c r="J553" s="23"/>
      <c r="K553" s="154"/>
      <c r="L553" s="128"/>
      <c r="M553" s="25"/>
      <c r="N553" s="23"/>
      <c r="O553" s="20"/>
      <c r="P553" s="20"/>
      <c r="Q553" s="155"/>
      <c r="R553" s="155"/>
    </row>
    <row r="554" spans="1:19" ht="15.6">
      <c r="A554" s="20"/>
      <c r="B554" s="21"/>
      <c r="C554" s="20"/>
      <c r="D554" s="20"/>
      <c r="E554" s="20"/>
      <c r="F554" s="20"/>
      <c r="G554" s="20"/>
      <c r="H554" s="20"/>
      <c r="I554" s="131"/>
      <c r="J554" s="23"/>
      <c r="K554" s="154"/>
      <c r="L554" s="128"/>
      <c r="M554" s="25"/>
      <c r="N554" s="23"/>
      <c r="O554" s="20"/>
      <c r="P554" s="20"/>
      <c r="Q554" s="155"/>
      <c r="R554" s="155"/>
    </row>
    <row r="555" spans="1:19" ht="15.6">
      <c r="A555" s="21" t="s">
        <v>83</v>
      </c>
      <c r="B555" s="21" t="s">
        <v>162</v>
      </c>
      <c r="C555" s="21" t="s">
        <v>19</v>
      </c>
      <c r="D555" s="21" t="s">
        <v>20</v>
      </c>
      <c r="E555" s="63" t="s">
        <v>51</v>
      </c>
      <c r="F555" s="22">
        <v>12</v>
      </c>
      <c r="G555" s="20" t="s">
        <v>21</v>
      </c>
      <c r="H555" s="143" t="s">
        <v>118</v>
      </c>
      <c r="I555" s="115">
        <v>9.26</v>
      </c>
      <c r="J555" s="66">
        <v>7.3</v>
      </c>
      <c r="K555" s="213">
        <v>12</v>
      </c>
      <c r="L555" s="130">
        <f>(I555*J555*K555/1000)</f>
        <v>0.8111759999999999</v>
      </c>
      <c r="M555" s="20"/>
      <c r="N555" s="23"/>
      <c r="O555" s="20"/>
      <c r="P555" s="20" t="s">
        <v>157</v>
      </c>
      <c r="Q555" s="155"/>
      <c r="R555" s="155"/>
      <c r="S555" t="s">
        <v>216</v>
      </c>
    </row>
    <row r="556" spans="1:19" ht="15.6">
      <c r="A556" s="20"/>
      <c r="B556" s="21" t="s">
        <v>84</v>
      </c>
      <c r="C556" s="20"/>
      <c r="D556" s="20"/>
      <c r="E556" s="20"/>
      <c r="F556" s="20"/>
      <c r="G556" s="20"/>
      <c r="H556" s="20"/>
      <c r="I556" s="115"/>
      <c r="J556" s="23"/>
      <c r="K556" s="154">
        <f>SUM(K555:K555)</f>
        <v>12</v>
      </c>
      <c r="L556" s="128">
        <f>SUM(L555:L555)</f>
        <v>0.8111759999999999</v>
      </c>
      <c r="M556" s="25"/>
      <c r="N556" s="23"/>
      <c r="O556" s="20"/>
      <c r="P556" s="20"/>
      <c r="Q556" s="155"/>
      <c r="R556" s="155"/>
    </row>
    <row r="557" spans="1:19" ht="15.6">
      <c r="A557" s="20"/>
      <c r="B557" s="21"/>
      <c r="C557" s="20"/>
      <c r="D557" s="20"/>
      <c r="E557" s="20"/>
      <c r="F557" s="20"/>
      <c r="G557" s="20"/>
      <c r="H557" s="20"/>
      <c r="I557" s="115"/>
      <c r="J557" s="23"/>
      <c r="K557" s="154"/>
      <c r="L557" s="128"/>
      <c r="M557" s="25"/>
      <c r="N557" s="23"/>
      <c r="O557" s="20"/>
      <c r="P557" s="20"/>
      <c r="Q557" s="155"/>
      <c r="R557" s="155"/>
    </row>
    <row r="558" spans="1:19" ht="15.6">
      <c r="A558" s="21" t="s">
        <v>83</v>
      </c>
      <c r="B558" s="21" t="s">
        <v>162</v>
      </c>
      <c r="C558" s="21" t="s">
        <v>19</v>
      </c>
      <c r="D558" s="21" t="s">
        <v>20</v>
      </c>
      <c r="E558" s="63" t="s">
        <v>51</v>
      </c>
      <c r="F558" s="22">
        <v>12</v>
      </c>
      <c r="G558" s="20" t="s">
        <v>21</v>
      </c>
      <c r="H558" s="143" t="s">
        <v>119</v>
      </c>
      <c r="I558" s="115">
        <v>10.7</v>
      </c>
      <c r="J558" s="102">
        <v>8</v>
      </c>
      <c r="K558" s="213">
        <v>32</v>
      </c>
      <c r="L558" s="130">
        <f>(I558*J558*K558/1000)</f>
        <v>2.7391999999999999</v>
      </c>
      <c r="M558" s="20"/>
      <c r="N558" s="23"/>
      <c r="O558" s="20"/>
      <c r="P558" s="20" t="s">
        <v>157</v>
      </c>
      <c r="Q558" s="155"/>
      <c r="R558" s="155"/>
      <c r="S558" t="s">
        <v>216</v>
      </c>
    </row>
    <row r="559" spans="1:19" ht="15.6">
      <c r="A559" s="20"/>
      <c r="B559" s="21" t="s">
        <v>84</v>
      </c>
      <c r="C559" s="20"/>
      <c r="D559" s="20"/>
      <c r="E559" s="20"/>
      <c r="F559" s="20"/>
      <c r="G559" s="20"/>
      <c r="H559" s="20"/>
      <c r="I559" s="131"/>
      <c r="J559" s="23"/>
      <c r="K559" s="154">
        <f>SUM(K558)</f>
        <v>32</v>
      </c>
      <c r="L559" s="128">
        <f>SUM(L558)</f>
        <v>2.7391999999999999</v>
      </c>
      <c r="M559" s="25"/>
      <c r="N559" s="23"/>
      <c r="O559" s="20"/>
      <c r="P559" s="20"/>
      <c r="Q559" s="155"/>
      <c r="R559" s="155"/>
    </row>
    <row r="560" spans="1:19" ht="15.6">
      <c r="A560" s="20"/>
      <c r="B560" s="21"/>
      <c r="C560" s="20"/>
      <c r="D560" s="20"/>
      <c r="E560" s="20"/>
      <c r="F560" s="20"/>
      <c r="G560" s="20"/>
      <c r="H560" s="20"/>
      <c r="I560" s="131"/>
      <c r="J560" s="23"/>
      <c r="K560" s="154"/>
      <c r="L560" s="128"/>
      <c r="M560" s="25"/>
      <c r="N560" s="23"/>
      <c r="O560" s="20"/>
      <c r="P560" s="20"/>
      <c r="Q560" s="155"/>
      <c r="R560" s="155"/>
    </row>
    <row r="561" spans="1:18" ht="15.6">
      <c r="A561" s="20"/>
      <c r="B561" s="21"/>
      <c r="C561" s="20"/>
      <c r="D561" s="20"/>
      <c r="E561" s="20"/>
      <c r="F561" s="20"/>
      <c r="G561" s="20"/>
      <c r="H561" s="20"/>
      <c r="I561" s="131"/>
      <c r="J561" s="23"/>
      <c r="K561" s="154"/>
      <c r="L561" s="128">
        <f>+L559+L556+L552+L547</f>
        <v>4.0746640000000003</v>
      </c>
      <c r="M561" s="25"/>
      <c r="N561" s="23">
        <f>+N559+N556+N552+N547</f>
        <v>0.35928799999999994</v>
      </c>
      <c r="O561" s="20"/>
      <c r="P561" s="20"/>
      <c r="Q561" s="155"/>
      <c r="R561" s="155"/>
    </row>
    <row r="562" spans="1:18" ht="15.6">
      <c r="A562" s="20"/>
      <c r="B562" s="21"/>
      <c r="C562" s="20"/>
      <c r="D562" s="20"/>
      <c r="E562" s="20"/>
      <c r="F562" s="20"/>
      <c r="G562" s="20"/>
      <c r="H562" s="20"/>
      <c r="I562" s="131"/>
      <c r="J562" s="23"/>
      <c r="K562" s="154"/>
      <c r="L562" s="128"/>
      <c r="M562" s="25"/>
      <c r="N562" s="23"/>
      <c r="O562" s="20"/>
      <c r="P562" s="20"/>
      <c r="Q562" s="155"/>
      <c r="R562" s="155"/>
    </row>
    <row r="563" spans="1:18" ht="15.6">
      <c r="A563" s="20"/>
      <c r="B563" s="21"/>
      <c r="C563" s="20"/>
      <c r="D563" s="20"/>
      <c r="E563" s="20"/>
      <c r="F563" s="20"/>
      <c r="G563" s="20"/>
      <c r="H563" s="20"/>
      <c r="I563" s="131"/>
      <c r="J563" s="23"/>
      <c r="K563" s="154"/>
      <c r="L563" s="128"/>
      <c r="M563" s="20"/>
      <c r="N563" s="20"/>
      <c r="O563" s="20"/>
      <c r="P563" s="20"/>
      <c r="Q563" s="155"/>
      <c r="R563" s="155"/>
    </row>
    <row r="564" spans="1:18" ht="15.6">
      <c r="A564" s="20"/>
      <c r="B564" s="20"/>
      <c r="C564" s="20"/>
      <c r="D564" s="20"/>
      <c r="E564" s="20"/>
      <c r="F564" s="20"/>
      <c r="G564" s="20"/>
      <c r="H564" s="20"/>
      <c r="I564" s="131"/>
      <c r="J564" s="20"/>
      <c r="K564" s="211"/>
      <c r="L564" s="128">
        <f>+L536+L532+L525+L505+L540+L559+L556+L552+L547</f>
        <v>207.08913399999997</v>
      </c>
      <c r="M564" s="20"/>
      <c r="N564" s="23">
        <f>+N536+N532+N525+N505+N540+N559+N556+N552+N547</f>
        <v>19.455993999999997</v>
      </c>
      <c r="O564" s="20"/>
      <c r="P564" s="20"/>
      <c r="Q564" s="155"/>
      <c r="R564" s="155"/>
    </row>
    <row r="565" spans="1:18">
      <c r="A565" s="10" t="s">
        <v>48</v>
      </c>
      <c r="B565" s="10"/>
      <c r="C565" s="11"/>
      <c r="D565" s="11"/>
      <c r="E565" s="11"/>
      <c r="F565" s="92"/>
      <c r="G565" s="11"/>
      <c r="H565" s="92"/>
      <c r="I565" s="13"/>
      <c r="J565" s="11"/>
      <c r="K565" s="202"/>
      <c r="L565" s="2047" t="s">
        <v>0</v>
      </c>
      <c r="M565" s="2047"/>
      <c r="N565" s="2047"/>
      <c r="O565" s="2048"/>
      <c r="P565" s="2020"/>
      <c r="Q565" s="142"/>
      <c r="R565" s="142"/>
    </row>
    <row r="566" spans="1:18">
      <c r="A566" s="14" t="s">
        <v>1</v>
      </c>
      <c r="B566" s="14"/>
      <c r="C566" s="14"/>
      <c r="D566" s="15" t="s">
        <v>2</v>
      </c>
      <c r="E566" s="15"/>
      <c r="F566" s="16"/>
      <c r="G566" s="16"/>
      <c r="H566" s="16"/>
      <c r="I566" s="17"/>
      <c r="J566" s="16"/>
      <c r="K566" s="203" t="s">
        <v>3</v>
      </c>
      <c r="L566" s="16"/>
      <c r="M566" s="14"/>
      <c r="N566" s="16"/>
      <c r="O566" s="19"/>
      <c r="P566" s="2020"/>
      <c r="Q566" s="142"/>
      <c r="R566" s="142"/>
    </row>
    <row r="567" spans="1:18" ht="15.6">
      <c r="A567" s="111" t="s">
        <v>22</v>
      </c>
      <c r="B567" s="2021" t="s">
        <v>23</v>
      </c>
      <c r="C567" s="2022"/>
      <c r="D567" s="2023"/>
      <c r="E567" s="111" t="s">
        <v>24</v>
      </c>
      <c r="F567" s="2021" t="s">
        <v>25</v>
      </c>
      <c r="G567" s="2023"/>
      <c r="H567" s="2021" t="s">
        <v>26</v>
      </c>
      <c r="I567" s="2022"/>
      <c r="J567" s="2022"/>
      <c r="K567" s="2023"/>
      <c r="L567" s="2024" t="s">
        <v>27</v>
      </c>
      <c r="M567" s="2024"/>
      <c r="N567" s="2024"/>
      <c r="O567" s="2021"/>
      <c r="P567" s="2020"/>
      <c r="Q567" s="142"/>
      <c r="R567" s="142"/>
    </row>
    <row r="568" spans="1:18" ht="15.6">
      <c r="A568" s="38"/>
      <c r="B568" s="2025"/>
      <c r="C568" s="2026"/>
      <c r="D568" s="2027"/>
      <c r="E568" s="26"/>
      <c r="F568" s="2025"/>
      <c r="G568" s="2027"/>
      <c r="H568" s="2025"/>
      <c r="I568" s="2026"/>
      <c r="J568" s="2026"/>
      <c r="K568" s="2027"/>
      <c r="L568" s="2025"/>
      <c r="M568" s="2026"/>
      <c r="N568" s="2026"/>
      <c r="O568" s="2026"/>
      <c r="P568" s="2020"/>
      <c r="Q568" s="142"/>
      <c r="R568" s="142"/>
    </row>
    <row r="569" spans="1:18" ht="15.6">
      <c r="A569" s="38"/>
      <c r="B569" s="108"/>
      <c r="C569" s="109"/>
      <c r="D569" s="110"/>
      <c r="E569" s="26"/>
      <c r="F569" s="108"/>
      <c r="G569" s="110"/>
      <c r="H569" s="108"/>
      <c r="I569" s="1856"/>
      <c r="J569" s="109"/>
      <c r="K569" s="204"/>
      <c r="L569" s="279"/>
      <c r="M569" s="109"/>
      <c r="N569" s="109"/>
      <c r="O569" s="109"/>
      <c r="P569" s="2020"/>
      <c r="Q569" s="142"/>
      <c r="R569" s="142"/>
    </row>
    <row r="570" spans="1:18" ht="15.6">
      <c r="A570" s="38" t="s">
        <v>28</v>
      </c>
      <c r="B570" s="2025" t="s">
        <v>136</v>
      </c>
      <c r="C570" s="2026"/>
      <c r="D570" s="2027"/>
      <c r="E570" s="26">
        <f>+L505-8.965+L556</f>
        <v>93.858965999999995</v>
      </c>
      <c r="F570" s="2025">
        <v>12</v>
      </c>
      <c r="G570" s="2027"/>
      <c r="H570" s="2025" t="s">
        <v>49</v>
      </c>
      <c r="I570" s="2026"/>
      <c r="J570" s="2026"/>
      <c r="K570" s="2027"/>
      <c r="L570" s="2025" t="s">
        <v>80</v>
      </c>
      <c r="M570" s="2026"/>
      <c r="N570" s="2026"/>
      <c r="O570" s="2026"/>
      <c r="P570" s="2020"/>
      <c r="Q570" s="142"/>
      <c r="R570" s="142"/>
    </row>
    <row r="571" spans="1:18" ht="15.6">
      <c r="A571" s="38" t="s">
        <v>29</v>
      </c>
      <c r="B571" s="2025" t="s">
        <v>137</v>
      </c>
      <c r="C571" s="2026"/>
      <c r="D571" s="2027"/>
      <c r="E571" s="26">
        <f>+L525-7.854+L559</f>
        <v>68.678819999999988</v>
      </c>
      <c r="F571" s="2025">
        <v>12</v>
      </c>
      <c r="G571" s="2027"/>
      <c r="H571" s="2025" t="s">
        <v>49</v>
      </c>
      <c r="I571" s="2026"/>
      <c r="J571" s="2026"/>
      <c r="K571" s="2027"/>
      <c r="L571" s="2025" t="s">
        <v>80</v>
      </c>
      <c r="M571" s="2026"/>
      <c r="N571" s="2026"/>
      <c r="O571" s="2026"/>
      <c r="P571" s="2020"/>
      <c r="Q571" s="142"/>
      <c r="R571" s="142"/>
    </row>
    <row r="572" spans="1:18" ht="15.6">
      <c r="A572" s="38" t="s">
        <v>30</v>
      </c>
      <c r="B572" s="2025" t="s">
        <v>138</v>
      </c>
      <c r="C572" s="2026"/>
      <c r="D572" s="2027"/>
      <c r="E572" s="26">
        <f>+L532-0.628</f>
        <v>19.526399999999995</v>
      </c>
      <c r="F572" s="2025">
        <v>12</v>
      </c>
      <c r="G572" s="2027"/>
      <c r="H572" s="2025" t="s">
        <v>49</v>
      </c>
      <c r="I572" s="2026"/>
      <c r="J572" s="2026"/>
      <c r="K572" s="2027"/>
      <c r="L572" s="2025" t="s">
        <v>80</v>
      </c>
      <c r="M572" s="2026"/>
      <c r="N572" s="2026"/>
      <c r="O572" s="2026"/>
      <c r="P572" s="2020"/>
      <c r="Q572" s="142"/>
      <c r="R572" s="142"/>
    </row>
    <row r="573" spans="1:18" ht="15.6">
      <c r="A573" s="38" t="s">
        <v>46</v>
      </c>
      <c r="B573" s="2025" t="s">
        <v>159</v>
      </c>
      <c r="C573" s="2026"/>
      <c r="D573" s="2027"/>
      <c r="E573" s="26">
        <v>2</v>
      </c>
      <c r="F573" s="2025">
        <v>12</v>
      </c>
      <c r="G573" s="2027"/>
      <c r="H573" s="2025" t="s">
        <v>49</v>
      </c>
      <c r="I573" s="2026"/>
      <c r="J573" s="2026"/>
      <c r="K573" s="2027"/>
      <c r="L573" s="2025" t="s">
        <v>80</v>
      </c>
      <c r="M573" s="2026"/>
      <c r="N573" s="2026"/>
      <c r="O573" s="2026"/>
      <c r="P573" s="2020"/>
      <c r="Q573" s="142"/>
      <c r="R573" s="142"/>
    </row>
    <row r="574" spans="1:18" ht="15.6">
      <c r="A574" s="38"/>
      <c r="B574" s="116"/>
      <c r="C574" s="117"/>
      <c r="D574" s="118"/>
      <c r="E574" s="26"/>
      <c r="F574" s="116"/>
      <c r="G574" s="118"/>
      <c r="H574" s="116"/>
      <c r="I574" s="1856"/>
      <c r="J574" s="117"/>
      <c r="K574" s="204"/>
      <c r="L574" s="279"/>
      <c r="M574" s="117"/>
      <c r="N574" s="117"/>
      <c r="O574" s="117"/>
      <c r="P574" s="2020"/>
      <c r="Q574" s="142"/>
      <c r="R574" s="142"/>
    </row>
    <row r="575" spans="1:18" ht="15.6">
      <c r="A575" s="38" t="s">
        <v>58</v>
      </c>
      <c r="B575" s="2025" t="s">
        <v>154</v>
      </c>
      <c r="C575" s="2026"/>
      <c r="D575" s="2027"/>
      <c r="E575" s="26">
        <v>5</v>
      </c>
      <c r="F575" s="2025">
        <v>12</v>
      </c>
      <c r="G575" s="2027"/>
      <c r="H575" s="2025" t="s">
        <v>155</v>
      </c>
      <c r="I575" s="2026"/>
      <c r="J575" s="2026"/>
      <c r="K575" s="2027"/>
      <c r="L575" s="2025" t="s">
        <v>156</v>
      </c>
      <c r="M575" s="2026"/>
      <c r="N575" s="2026"/>
      <c r="O575" s="2026"/>
      <c r="P575" s="2020"/>
      <c r="Q575" s="142"/>
      <c r="R575" s="142"/>
    </row>
    <row r="576" spans="1:18" ht="15.6">
      <c r="A576" s="38"/>
      <c r="B576" s="2025"/>
      <c r="C576" s="2026"/>
      <c r="D576" s="2027"/>
      <c r="E576" s="26"/>
      <c r="F576" s="2025"/>
      <c r="G576" s="2027"/>
      <c r="H576" s="2025"/>
      <c r="I576" s="2026"/>
      <c r="J576" s="2026"/>
      <c r="K576" s="2027"/>
      <c r="L576" s="2025"/>
      <c r="M576" s="2026"/>
      <c r="N576" s="2026"/>
      <c r="O576" s="2026"/>
      <c r="P576" s="2020"/>
      <c r="Q576" s="142"/>
      <c r="R576" s="142"/>
    </row>
    <row r="577" spans="1:18" ht="16.2" thickBot="1">
      <c r="A577" s="38"/>
      <c r="B577" s="108"/>
      <c r="C577" s="109"/>
      <c r="D577" s="109"/>
      <c r="E577" s="26"/>
      <c r="F577" s="109"/>
      <c r="G577" s="110"/>
      <c r="H577" s="108"/>
      <c r="I577" s="1856"/>
      <c r="J577" s="109"/>
      <c r="K577" s="204"/>
      <c r="L577" s="39"/>
      <c r="M577" s="40"/>
      <c r="N577" s="40"/>
      <c r="O577" s="40"/>
      <c r="P577" s="2020"/>
      <c r="Q577" s="142"/>
      <c r="R577" s="142"/>
    </row>
    <row r="578" spans="1:18" ht="15.6">
      <c r="A578" s="41"/>
      <c r="B578" s="42"/>
      <c r="C578" s="43"/>
      <c r="D578" s="43"/>
      <c r="E578" s="2028">
        <f>SUM(E568:E577)</f>
        <v>189.06418599999998</v>
      </c>
      <c r="F578" s="44"/>
      <c r="G578" s="45"/>
      <c r="H578" s="46"/>
      <c r="I578" s="1858"/>
      <c r="J578" s="43"/>
      <c r="K578" s="205"/>
      <c r="L578" s="46"/>
      <c r="M578" s="43"/>
      <c r="N578" s="44"/>
      <c r="O578" s="43"/>
      <c r="P578" s="2020"/>
      <c r="Q578" s="142"/>
      <c r="R578" s="142"/>
    </row>
    <row r="579" spans="1:18" ht="16.2" thickBot="1">
      <c r="A579" s="47"/>
      <c r="B579" s="48"/>
      <c r="C579" s="49"/>
      <c r="D579" s="49"/>
      <c r="E579" s="2029"/>
      <c r="F579" s="50"/>
      <c r="G579" s="51"/>
      <c r="H579" s="52"/>
      <c r="I579" s="1860"/>
      <c r="J579" s="49"/>
      <c r="K579" s="206"/>
      <c r="L579" s="52"/>
      <c r="M579" s="49"/>
      <c r="N579" s="50"/>
      <c r="O579" s="49"/>
      <c r="P579" s="2020"/>
      <c r="Q579" s="142"/>
      <c r="R579" s="142"/>
    </row>
    <row r="580" spans="1:18" ht="15.6">
      <c r="A580" s="53" t="s">
        <v>31</v>
      </c>
      <c r="B580" s="43"/>
      <c r="C580" s="43"/>
      <c r="D580" s="43"/>
      <c r="E580" s="43"/>
      <c r="F580" s="44"/>
      <c r="G580" s="43"/>
      <c r="H580" s="44"/>
      <c r="I580" s="1858"/>
      <c r="J580" s="43"/>
      <c r="K580" s="207"/>
      <c r="L580" s="44"/>
      <c r="M580" s="43"/>
      <c r="N580" s="44"/>
      <c r="O580" s="43"/>
      <c r="P580" s="2020"/>
      <c r="Q580" s="142"/>
      <c r="R580" s="142"/>
    </row>
    <row r="581" spans="1:18" ht="15.6">
      <c r="A581" s="54"/>
      <c r="B581" s="55"/>
      <c r="C581" s="55"/>
      <c r="D581" s="55"/>
      <c r="E581" s="55"/>
      <c r="F581" s="107"/>
      <c r="G581" s="55"/>
      <c r="H581" s="107"/>
      <c r="I581" s="1859"/>
      <c r="J581" s="55"/>
      <c r="K581" s="208"/>
      <c r="L581" s="283"/>
      <c r="M581" s="55"/>
      <c r="N581" s="107"/>
      <c r="O581" s="55"/>
      <c r="P581" s="2020"/>
      <c r="Q581" s="142"/>
      <c r="R581" s="142"/>
    </row>
    <row r="582" spans="1:18" ht="16.2" thickBot="1">
      <c r="A582" s="2030" t="s">
        <v>32</v>
      </c>
      <c r="B582" s="2031"/>
      <c r="C582" s="2032" t="s">
        <v>33</v>
      </c>
      <c r="D582" s="2033"/>
      <c r="E582" s="57" t="s">
        <v>34</v>
      </c>
      <c r="F582" s="57" t="s">
        <v>35</v>
      </c>
      <c r="G582" s="2034" t="s">
        <v>36</v>
      </c>
      <c r="H582" s="2035"/>
      <c r="I582" s="2035"/>
      <c r="J582" s="2035"/>
      <c r="K582" s="2035"/>
      <c r="L582" s="2035"/>
      <c r="M582" s="2035"/>
      <c r="N582" s="2035"/>
      <c r="O582" s="2035"/>
      <c r="P582" s="2020"/>
      <c r="Q582" s="142"/>
      <c r="R582" s="142"/>
    </row>
    <row r="583" spans="1:18" ht="15.6">
      <c r="A583" s="2036"/>
      <c r="B583" s="2023"/>
      <c r="C583" s="2021"/>
      <c r="D583" s="2023"/>
      <c r="E583" s="111"/>
      <c r="F583" s="105"/>
      <c r="G583" s="2037"/>
      <c r="H583" s="2038"/>
      <c r="I583" s="2038"/>
      <c r="J583" s="2038"/>
      <c r="K583" s="2038"/>
      <c r="L583" s="2038"/>
      <c r="M583" s="2038"/>
      <c r="N583" s="2038"/>
      <c r="O583" s="2038"/>
      <c r="P583" s="2020"/>
      <c r="Q583" s="142"/>
      <c r="R583" s="142"/>
    </row>
    <row r="584" spans="1:18" ht="15.6">
      <c r="A584" s="2043" t="s">
        <v>37</v>
      </c>
      <c r="B584" s="2044"/>
      <c r="C584" s="2021"/>
      <c r="D584" s="2023"/>
      <c r="E584" s="111"/>
      <c r="F584" s="105"/>
      <c r="G584" s="2039"/>
      <c r="H584" s="2040"/>
      <c r="I584" s="2040"/>
      <c r="J584" s="2040"/>
      <c r="K584" s="2040"/>
      <c r="L584" s="2040"/>
      <c r="M584" s="2040"/>
      <c r="N584" s="2040"/>
      <c r="O584" s="2040"/>
      <c r="P584" s="2020"/>
      <c r="Q584" s="142"/>
      <c r="R584" s="142"/>
    </row>
    <row r="585" spans="1:18" ht="15.6">
      <c r="A585" s="2043" t="s">
        <v>38</v>
      </c>
      <c r="B585" s="2044"/>
      <c r="C585" s="2021"/>
      <c r="D585" s="2023"/>
      <c r="E585" s="111"/>
      <c r="F585" s="105"/>
      <c r="G585" s="2039"/>
      <c r="H585" s="2040"/>
      <c r="I585" s="2040"/>
      <c r="J585" s="2040"/>
      <c r="K585" s="2040"/>
      <c r="L585" s="2040"/>
      <c r="M585" s="2040"/>
      <c r="N585" s="2040"/>
      <c r="O585" s="2040"/>
      <c r="P585" s="2020"/>
      <c r="Q585" s="142"/>
      <c r="R585" s="142"/>
    </row>
    <row r="586" spans="1:18" ht="15.6">
      <c r="A586" s="2043" t="s">
        <v>39</v>
      </c>
      <c r="B586" s="2044"/>
      <c r="C586" s="2021"/>
      <c r="D586" s="2023"/>
      <c r="E586" s="111"/>
      <c r="F586" s="105"/>
      <c r="G586" s="2039"/>
      <c r="H586" s="2040"/>
      <c r="I586" s="2040"/>
      <c r="J586" s="2040"/>
      <c r="K586" s="2040"/>
      <c r="L586" s="2040"/>
      <c r="M586" s="2040"/>
      <c r="N586" s="2040"/>
      <c r="O586" s="2040"/>
      <c r="P586" s="2020"/>
      <c r="Q586" s="142"/>
      <c r="R586" s="142"/>
    </row>
    <row r="587" spans="1:18" ht="15.6">
      <c r="A587" s="2043" t="s">
        <v>40</v>
      </c>
      <c r="B587" s="2044"/>
      <c r="C587" s="2021"/>
      <c r="D587" s="2023"/>
      <c r="E587" s="111"/>
      <c r="F587" s="105"/>
      <c r="G587" s="2039"/>
      <c r="H587" s="2040"/>
      <c r="I587" s="2040"/>
      <c r="J587" s="2040"/>
      <c r="K587" s="2040"/>
      <c r="L587" s="2040"/>
      <c r="M587" s="2040"/>
      <c r="N587" s="2040"/>
      <c r="O587" s="2040"/>
      <c r="P587" s="2020"/>
      <c r="Q587" s="142"/>
      <c r="R587" s="142"/>
    </row>
    <row r="588" spans="1:18" ht="16.2" thickBot="1">
      <c r="A588" s="2049" t="s">
        <v>41</v>
      </c>
      <c r="B588" s="2050"/>
      <c r="C588" s="2051"/>
      <c r="D588" s="2052"/>
      <c r="E588" s="58"/>
      <c r="F588" s="106"/>
      <c r="G588" s="2041"/>
      <c r="H588" s="2042"/>
      <c r="I588" s="2042"/>
      <c r="J588" s="2042"/>
      <c r="K588" s="2042"/>
      <c r="L588" s="2042"/>
      <c r="M588" s="2042"/>
      <c r="N588" s="2042"/>
      <c r="O588" s="2042"/>
      <c r="P588" s="2020"/>
      <c r="Q588" s="142"/>
      <c r="R588" s="142"/>
    </row>
    <row r="589" spans="1:18" ht="15.6">
      <c r="A589" s="54"/>
      <c r="B589" s="55"/>
      <c r="C589" s="55"/>
      <c r="D589" s="55"/>
      <c r="E589" s="55"/>
      <c r="F589" s="107"/>
      <c r="G589" s="55"/>
      <c r="H589" s="59"/>
      <c r="I589" s="60"/>
      <c r="J589" s="61"/>
      <c r="K589" s="209"/>
      <c r="L589" s="301"/>
      <c r="M589" s="55"/>
      <c r="N589" s="107"/>
      <c r="O589" s="55"/>
      <c r="P589" s="2020"/>
      <c r="Q589" s="142"/>
      <c r="R589" s="142"/>
    </row>
    <row r="590" spans="1:18" ht="15.6">
      <c r="A590" s="62" t="s">
        <v>42</v>
      </c>
      <c r="B590" s="56"/>
      <c r="C590" s="55"/>
      <c r="D590" s="55"/>
      <c r="E590" s="55"/>
      <c r="F590" s="107"/>
      <c r="G590" s="56"/>
      <c r="H590" s="59"/>
      <c r="I590" s="60"/>
      <c r="J590" s="61"/>
      <c r="K590" s="208"/>
      <c r="L590" s="302"/>
      <c r="M590" s="55"/>
      <c r="N590" s="2045" t="s">
        <v>43</v>
      </c>
      <c r="O590" s="2045"/>
      <c r="P590" s="2020"/>
      <c r="Q590" s="142"/>
      <c r="R590" s="142"/>
    </row>
    <row r="591" spans="1:18" ht="15.6">
      <c r="A591" s="62"/>
      <c r="B591" s="56"/>
      <c r="C591" s="55"/>
      <c r="D591" s="55"/>
      <c r="E591" s="55"/>
      <c r="F591" s="107"/>
      <c r="G591" s="55"/>
      <c r="H591" s="107"/>
      <c r="I591" s="1859"/>
      <c r="J591" s="55"/>
      <c r="K591" s="208"/>
      <c r="L591" s="283"/>
      <c r="M591" s="55"/>
      <c r="N591" s="107"/>
      <c r="O591" s="56"/>
      <c r="P591" s="2020"/>
      <c r="Q591" s="142"/>
      <c r="R591" s="142"/>
    </row>
    <row r="592" spans="1:18" ht="15.6">
      <c r="A592" s="62" t="s">
        <v>44</v>
      </c>
      <c r="B592" s="56"/>
      <c r="C592" s="55"/>
      <c r="D592" s="55"/>
      <c r="E592" s="55"/>
      <c r="F592" s="107"/>
      <c r="G592" s="55"/>
      <c r="H592" s="107"/>
      <c r="I592" s="1859"/>
      <c r="J592" s="55"/>
      <c r="K592" s="208"/>
      <c r="L592" s="283"/>
      <c r="M592" s="55"/>
      <c r="N592" s="2045" t="s">
        <v>45</v>
      </c>
      <c r="O592" s="2045"/>
      <c r="P592" s="2020"/>
      <c r="Q592" s="142"/>
      <c r="R592" s="142"/>
    </row>
    <row r="593" spans="1:19" ht="16.2" thickBot="1">
      <c r="A593" s="48"/>
      <c r="B593" s="49"/>
      <c r="C593" s="49"/>
      <c r="D593" s="49"/>
      <c r="E593" s="49"/>
      <c r="F593" s="50"/>
      <c r="G593" s="49"/>
      <c r="H593" s="50"/>
      <c r="I593" s="1860"/>
      <c r="J593" s="49"/>
      <c r="K593" s="210"/>
      <c r="L593" s="50"/>
      <c r="M593" s="49"/>
      <c r="N593" s="50"/>
      <c r="O593" s="49"/>
      <c r="P593" s="2020"/>
      <c r="Q593" s="142"/>
      <c r="R593" s="142"/>
    </row>
    <row r="597" spans="1:19">
      <c r="A597" s="1" t="s">
        <v>48</v>
      </c>
      <c r="B597" s="1"/>
      <c r="C597" s="2"/>
      <c r="D597" s="2"/>
      <c r="E597" s="2"/>
      <c r="F597" s="3"/>
      <c r="G597" s="2"/>
      <c r="H597" s="2"/>
      <c r="I597" s="4"/>
      <c r="J597" s="5"/>
      <c r="K597" s="196"/>
      <c r="L597" s="2056" t="s">
        <v>0</v>
      </c>
      <c r="M597" s="2056"/>
      <c r="N597" s="2056"/>
      <c r="O597" s="2056"/>
      <c r="P597" s="64"/>
      <c r="Q597" s="64"/>
      <c r="R597" s="64"/>
    </row>
    <row r="598" spans="1:19" ht="15.6">
      <c r="A598" s="27" t="s">
        <v>1</v>
      </c>
      <c r="B598" s="27"/>
      <c r="C598" s="27"/>
      <c r="D598" s="28" t="s">
        <v>2</v>
      </c>
      <c r="E598" s="28"/>
      <c r="F598" s="29"/>
      <c r="G598" s="29"/>
      <c r="H598" s="29"/>
      <c r="I598" s="30"/>
      <c r="J598" s="31"/>
      <c r="K598" s="197" t="s">
        <v>3</v>
      </c>
      <c r="L598" s="31"/>
      <c r="M598" s="27"/>
      <c r="N598" s="29"/>
      <c r="O598" s="27"/>
      <c r="P598" s="67"/>
      <c r="Q598" s="1039"/>
      <c r="R598" s="1039"/>
    </row>
    <row r="599" spans="1:19" ht="31.2">
      <c r="A599" s="32" t="s">
        <v>4</v>
      </c>
      <c r="B599" s="32" t="s">
        <v>5</v>
      </c>
      <c r="C599" s="32" t="s">
        <v>6</v>
      </c>
      <c r="D599" s="32" t="s">
        <v>7</v>
      </c>
      <c r="E599" s="32" t="s">
        <v>8</v>
      </c>
      <c r="F599" s="33" t="s">
        <v>9</v>
      </c>
      <c r="G599" s="34" t="s">
        <v>10</v>
      </c>
      <c r="H599" s="34" t="s">
        <v>11</v>
      </c>
      <c r="I599" s="35" t="s">
        <v>12</v>
      </c>
      <c r="J599" s="36" t="s">
        <v>13</v>
      </c>
      <c r="K599" s="198" t="s">
        <v>14</v>
      </c>
      <c r="L599" s="297" t="s">
        <v>15</v>
      </c>
      <c r="M599" s="33" t="s">
        <v>16</v>
      </c>
      <c r="N599" s="33" t="s">
        <v>17</v>
      </c>
      <c r="O599" s="34" t="s">
        <v>18</v>
      </c>
      <c r="P599" s="8" t="s">
        <v>50</v>
      </c>
      <c r="Q599" s="1040"/>
      <c r="R599" s="1040"/>
    </row>
    <row r="600" spans="1:19" ht="15.6">
      <c r="A600" s="21" t="s">
        <v>83</v>
      </c>
      <c r="B600" s="21" t="s">
        <v>132</v>
      </c>
      <c r="C600" s="21" t="s">
        <v>19</v>
      </c>
      <c r="D600" s="21" t="s">
        <v>20</v>
      </c>
      <c r="E600" s="63" t="s">
        <v>51</v>
      </c>
      <c r="F600" s="22">
        <v>14</v>
      </c>
      <c r="G600" s="20" t="s">
        <v>21</v>
      </c>
      <c r="H600" s="143" t="s">
        <v>126</v>
      </c>
      <c r="I600" s="115">
        <v>23.6</v>
      </c>
      <c r="J600" s="23">
        <v>6.65</v>
      </c>
      <c r="K600" s="154">
        <v>86</v>
      </c>
      <c r="L600" s="130">
        <f t="shared" ref="L600:L607" si="118">(I600*J600*K600/1000)</f>
        <v>13.496840000000002</v>
      </c>
      <c r="M600" s="20"/>
      <c r="N600" s="23"/>
      <c r="O600" s="20"/>
      <c r="P600" s="2066" t="s">
        <v>157</v>
      </c>
      <c r="Q600" s="1044"/>
      <c r="R600" s="1044"/>
      <c r="S600" t="s">
        <v>214</v>
      </c>
    </row>
    <row r="601" spans="1:19" ht="15.6">
      <c r="A601" s="20"/>
      <c r="B601" s="21" t="s">
        <v>84</v>
      </c>
      <c r="C601" s="20"/>
      <c r="D601" s="20"/>
      <c r="E601" s="20"/>
      <c r="F601" s="20"/>
      <c r="G601" s="20" t="s">
        <v>21</v>
      </c>
      <c r="H601" s="20" t="s">
        <v>126</v>
      </c>
      <c r="I601" s="115">
        <v>23.6</v>
      </c>
      <c r="J601" s="23">
        <v>6.8</v>
      </c>
      <c r="K601" s="154">
        <v>74</v>
      </c>
      <c r="L601" s="130">
        <f t="shared" si="118"/>
        <v>11.87552</v>
      </c>
      <c r="M601" s="20"/>
      <c r="N601" s="23"/>
      <c r="O601" s="20"/>
      <c r="P601" s="2067"/>
      <c r="Q601" s="1044"/>
      <c r="R601" s="1044"/>
    </row>
    <row r="602" spans="1:19" ht="15.6">
      <c r="A602" s="20"/>
      <c r="B602" s="20"/>
      <c r="C602" s="20"/>
      <c r="D602" s="20"/>
      <c r="E602" s="20"/>
      <c r="F602" s="20"/>
      <c r="G602" s="20" t="s">
        <v>21</v>
      </c>
      <c r="H602" s="20" t="s">
        <v>126</v>
      </c>
      <c r="I602" s="115">
        <v>23.6</v>
      </c>
      <c r="J602" s="23">
        <v>8.4499999999999993</v>
      </c>
      <c r="K602" s="154">
        <v>92</v>
      </c>
      <c r="L602" s="130">
        <f t="shared" si="118"/>
        <v>18.346640000000001</v>
      </c>
      <c r="M602" s="20"/>
      <c r="N602" s="23"/>
      <c r="O602" s="20"/>
      <c r="P602" s="2067"/>
      <c r="Q602" s="1044"/>
      <c r="R602" s="1044"/>
      <c r="S602" t="s">
        <v>213</v>
      </c>
    </row>
    <row r="603" spans="1:19" ht="15.6">
      <c r="A603" s="20"/>
      <c r="B603" s="20"/>
      <c r="C603" s="20"/>
      <c r="D603" s="20"/>
      <c r="E603" s="20"/>
      <c r="F603" s="20"/>
      <c r="G603" s="20" t="s">
        <v>21</v>
      </c>
      <c r="H603" s="20" t="s">
        <v>126</v>
      </c>
      <c r="I603" s="115">
        <v>23.6</v>
      </c>
      <c r="J603" s="23">
        <v>8.6</v>
      </c>
      <c r="K603" s="154">
        <v>74</v>
      </c>
      <c r="L603" s="130">
        <f t="shared" si="118"/>
        <v>15.01904</v>
      </c>
      <c r="M603" s="20"/>
      <c r="N603" s="23"/>
      <c r="O603" s="20"/>
      <c r="P603" s="2067"/>
      <c r="Q603" s="1044"/>
      <c r="R603" s="1044"/>
    </row>
    <row r="604" spans="1:19" ht="15.6">
      <c r="A604" s="20"/>
      <c r="B604" s="20"/>
      <c r="C604" s="20"/>
      <c r="D604" s="20"/>
      <c r="E604" s="20"/>
      <c r="F604" s="20"/>
      <c r="G604" s="20" t="s">
        <v>21</v>
      </c>
      <c r="H604" s="20" t="s">
        <v>126</v>
      </c>
      <c r="I604" s="115">
        <v>23.6</v>
      </c>
      <c r="J604" s="23">
        <v>9.1</v>
      </c>
      <c r="K604" s="154">
        <v>37</v>
      </c>
      <c r="L604" s="130">
        <f t="shared" si="118"/>
        <v>7.9461199999999996</v>
      </c>
      <c r="M604" s="20"/>
      <c r="N604" s="23"/>
      <c r="O604" s="20"/>
      <c r="P604" s="2067"/>
      <c r="Q604" s="1044"/>
      <c r="R604" s="1044"/>
      <c r="S604" t="s">
        <v>212</v>
      </c>
    </row>
    <row r="605" spans="1:19" ht="15.6">
      <c r="A605" s="20"/>
      <c r="B605" s="20"/>
      <c r="C605" s="20"/>
      <c r="D605" s="20"/>
      <c r="E605" s="20"/>
      <c r="F605" s="20"/>
      <c r="G605" s="20" t="s">
        <v>21</v>
      </c>
      <c r="H605" s="20" t="s">
        <v>126</v>
      </c>
      <c r="I605" s="115">
        <v>23.6</v>
      </c>
      <c r="J605" s="23">
        <v>10.7</v>
      </c>
      <c r="K605" s="154">
        <v>150</v>
      </c>
      <c r="L605" s="130">
        <f t="shared" si="118"/>
        <v>37.878</v>
      </c>
      <c r="M605" s="20"/>
      <c r="N605" s="23"/>
      <c r="O605" s="20"/>
      <c r="P605" s="2067"/>
      <c r="Q605" s="1044"/>
      <c r="R605" s="1044"/>
    </row>
    <row r="606" spans="1:19" ht="15.6">
      <c r="A606" s="20"/>
      <c r="B606" s="20"/>
      <c r="C606" s="20"/>
      <c r="D606" s="20"/>
      <c r="E606" s="20"/>
      <c r="F606" s="20"/>
      <c r="G606" s="20" t="s">
        <v>21</v>
      </c>
      <c r="H606" s="20" t="s">
        <v>126</v>
      </c>
      <c r="I606" s="115">
        <v>23.6</v>
      </c>
      <c r="J606" s="23">
        <v>11.7</v>
      </c>
      <c r="K606" s="154">
        <v>142</v>
      </c>
      <c r="L606" s="130">
        <f t="shared" si="118"/>
        <v>39.209040000000002</v>
      </c>
      <c r="M606" s="20"/>
      <c r="N606" s="23"/>
      <c r="O606" s="20"/>
      <c r="P606" s="2067"/>
      <c r="Q606" s="1044"/>
      <c r="R606" s="1044"/>
    </row>
    <row r="607" spans="1:19" ht="15.6">
      <c r="A607" s="20"/>
      <c r="B607" s="20"/>
      <c r="C607" s="20"/>
      <c r="D607" s="20"/>
      <c r="E607" s="20"/>
      <c r="F607" s="20"/>
      <c r="G607" s="20" t="s">
        <v>21</v>
      </c>
      <c r="H607" s="20" t="s">
        <v>126</v>
      </c>
      <c r="I607" s="115">
        <v>23.6</v>
      </c>
      <c r="J607" s="23">
        <v>11.8</v>
      </c>
      <c r="K607" s="154">
        <v>110</v>
      </c>
      <c r="L607" s="130">
        <f t="shared" si="118"/>
        <v>30.632800000000003</v>
      </c>
      <c r="M607" s="20"/>
      <c r="N607" s="23"/>
      <c r="O607" s="20"/>
      <c r="P607" s="2067"/>
      <c r="Q607" s="1044"/>
      <c r="R607" s="1044"/>
    </row>
    <row r="608" spans="1:19" ht="15.6">
      <c r="A608" s="20"/>
      <c r="B608" s="20"/>
      <c r="C608" s="20"/>
      <c r="D608" s="20"/>
      <c r="E608" s="20"/>
      <c r="F608" s="20"/>
      <c r="G608" s="20"/>
      <c r="H608" s="20"/>
      <c r="I608" s="115"/>
      <c r="J608" s="23"/>
      <c r="K608" s="154">
        <f t="shared" ref="K608:L608" si="119">SUM(K600:K607)</f>
        <v>765</v>
      </c>
      <c r="L608" s="128">
        <f t="shared" si="119"/>
        <v>174.404</v>
      </c>
      <c r="M608" s="25"/>
      <c r="N608" s="23"/>
      <c r="O608" s="20"/>
      <c r="P608" s="2067"/>
      <c r="Q608" s="1044"/>
      <c r="R608" s="1044"/>
    </row>
    <row r="609" spans="1:19" ht="12" customHeight="1">
      <c r="A609" s="20"/>
      <c r="B609" s="20"/>
      <c r="C609" s="20"/>
      <c r="D609" s="20"/>
      <c r="E609" s="20"/>
      <c r="F609" s="20"/>
      <c r="G609" s="20"/>
      <c r="H609" s="20"/>
      <c r="I609" s="115"/>
      <c r="J609" s="23"/>
      <c r="K609" s="154"/>
      <c r="L609" s="128"/>
      <c r="M609" s="20"/>
      <c r="N609" s="20"/>
      <c r="O609" s="20"/>
      <c r="P609" s="2067"/>
      <c r="Q609" s="1044"/>
      <c r="R609" s="1044"/>
    </row>
    <row r="610" spans="1:19" ht="15.6">
      <c r="A610" s="21" t="s">
        <v>83</v>
      </c>
      <c r="B610" s="21" t="s">
        <v>135</v>
      </c>
      <c r="C610" s="21" t="s">
        <v>19</v>
      </c>
      <c r="D610" s="21" t="s">
        <v>20</v>
      </c>
      <c r="E610" s="63" t="s">
        <v>51</v>
      </c>
      <c r="F610" s="22">
        <v>14</v>
      </c>
      <c r="G610" s="20" t="s">
        <v>21</v>
      </c>
      <c r="H610" s="143" t="s">
        <v>126</v>
      </c>
      <c r="I610" s="115">
        <v>23.6</v>
      </c>
      <c r="J610" s="23">
        <v>6.65</v>
      </c>
      <c r="K610" s="154">
        <v>16</v>
      </c>
      <c r="L610" s="130">
        <f t="shared" ref="L610:L617" si="120">(I610*J610*K610/1000)</f>
        <v>2.5110400000000004</v>
      </c>
      <c r="M610" s="20"/>
      <c r="N610" s="23"/>
      <c r="O610" s="20"/>
      <c r="P610" s="2067"/>
      <c r="Q610" s="1044"/>
      <c r="R610" s="1044"/>
      <c r="S610" t="s">
        <v>215</v>
      </c>
    </row>
    <row r="611" spans="1:19" ht="15.6">
      <c r="A611" s="20"/>
      <c r="B611" s="21" t="s">
        <v>52</v>
      </c>
      <c r="C611" s="20"/>
      <c r="D611" s="20"/>
      <c r="E611" s="20"/>
      <c r="F611" s="20"/>
      <c r="G611" s="20" t="s">
        <v>21</v>
      </c>
      <c r="H611" s="20" t="s">
        <v>126</v>
      </c>
      <c r="I611" s="115">
        <v>23.6</v>
      </c>
      <c r="J611" s="23">
        <v>6.8</v>
      </c>
      <c r="K611" s="154">
        <v>8</v>
      </c>
      <c r="L611" s="130">
        <f t="shared" si="120"/>
        <v>1.2838400000000001</v>
      </c>
      <c r="M611" s="20"/>
      <c r="N611" s="23"/>
      <c r="O611" s="20"/>
      <c r="P611" s="2067"/>
      <c r="Q611" s="1044"/>
      <c r="R611" s="1044"/>
    </row>
    <row r="612" spans="1:19" ht="15.6">
      <c r="A612" s="20"/>
      <c r="B612" s="20"/>
      <c r="C612" s="20"/>
      <c r="D612" s="20"/>
      <c r="E612" s="20"/>
      <c r="F612" s="20"/>
      <c r="G612" s="20" t="s">
        <v>21</v>
      </c>
      <c r="H612" s="20" t="s">
        <v>126</v>
      </c>
      <c r="I612" s="115">
        <v>23.6</v>
      </c>
      <c r="J612" s="23">
        <v>7.9</v>
      </c>
      <c r="K612" s="154">
        <v>20</v>
      </c>
      <c r="L612" s="130">
        <f t="shared" si="120"/>
        <v>3.7288000000000006</v>
      </c>
      <c r="M612" s="20"/>
      <c r="N612" s="23"/>
      <c r="O612" s="20"/>
      <c r="P612" s="2067"/>
      <c r="Q612" s="1044"/>
      <c r="R612" s="1044"/>
    </row>
    <row r="613" spans="1:19" ht="15.6">
      <c r="A613" s="20"/>
      <c r="B613" s="20"/>
      <c r="C613" s="20"/>
      <c r="D613" s="20"/>
      <c r="E613" s="20"/>
      <c r="F613" s="20"/>
      <c r="G613" s="20" t="s">
        <v>21</v>
      </c>
      <c r="H613" s="20" t="s">
        <v>126</v>
      </c>
      <c r="I613" s="115">
        <v>23.6</v>
      </c>
      <c r="J613" s="23">
        <v>8.4499999999999993</v>
      </c>
      <c r="K613" s="154">
        <v>2</v>
      </c>
      <c r="L613" s="130">
        <f t="shared" si="120"/>
        <v>0.39883999999999997</v>
      </c>
      <c r="M613" s="20"/>
      <c r="N613" s="23"/>
      <c r="O613" s="20"/>
      <c r="P613" s="2067"/>
      <c r="Q613" s="1044"/>
      <c r="R613" s="1044"/>
    </row>
    <row r="614" spans="1:19" ht="15.6">
      <c r="A614" s="20"/>
      <c r="B614" s="20"/>
      <c r="C614" s="20"/>
      <c r="D614" s="20"/>
      <c r="E614" s="20"/>
      <c r="F614" s="20"/>
      <c r="G614" s="20" t="s">
        <v>21</v>
      </c>
      <c r="H614" s="20" t="s">
        <v>126</v>
      </c>
      <c r="I614" s="115">
        <v>23.6</v>
      </c>
      <c r="J614" s="23">
        <v>8.6999999999999993</v>
      </c>
      <c r="K614" s="154">
        <v>12</v>
      </c>
      <c r="L614" s="130">
        <f t="shared" si="120"/>
        <v>2.4638400000000003</v>
      </c>
      <c r="M614" s="20"/>
      <c r="N614" s="23"/>
      <c r="O614" s="20"/>
      <c r="P614" s="2067"/>
      <c r="Q614" s="1044"/>
      <c r="R614" s="1044"/>
    </row>
    <row r="615" spans="1:19" ht="15.6">
      <c r="A615" s="20"/>
      <c r="B615" s="20"/>
      <c r="C615" s="20"/>
      <c r="D615" s="20"/>
      <c r="E615" s="20"/>
      <c r="F615" s="20"/>
      <c r="G615" s="20" t="s">
        <v>21</v>
      </c>
      <c r="H615" s="20" t="s">
        <v>126</v>
      </c>
      <c r="I615" s="115">
        <v>23.6</v>
      </c>
      <c r="J615" s="23">
        <v>11.7</v>
      </c>
      <c r="K615" s="154">
        <v>8</v>
      </c>
      <c r="L615" s="130">
        <f t="shared" si="120"/>
        <v>2.2089600000000003</v>
      </c>
      <c r="M615" s="20"/>
      <c r="N615" s="23"/>
      <c r="O615" s="20"/>
      <c r="P615" s="2067"/>
      <c r="Q615" s="1044"/>
      <c r="R615" s="1044"/>
    </row>
    <row r="616" spans="1:19" ht="15.6">
      <c r="A616" s="20"/>
      <c r="B616" s="20"/>
      <c r="C616" s="20"/>
      <c r="D616" s="20"/>
      <c r="E616" s="20"/>
      <c r="F616" s="20"/>
      <c r="G616" s="20" t="s">
        <v>21</v>
      </c>
      <c r="H616" s="20" t="s">
        <v>126</v>
      </c>
      <c r="I616" s="115">
        <v>23.6</v>
      </c>
      <c r="J616" s="23">
        <v>11.8</v>
      </c>
      <c r="K616" s="154">
        <v>4</v>
      </c>
      <c r="L616" s="130">
        <f t="shared" si="120"/>
        <v>1.11392</v>
      </c>
      <c r="M616" s="20"/>
      <c r="N616" s="23"/>
      <c r="O616" s="20"/>
      <c r="P616" s="2067"/>
      <c r="Q616" s="1044"/>
      <c r="R616" s="1044"/>
    </row>
    <row r="617" spans="1:19" ht="15.6">
      <c r="A617" s="20"/>
      <c r="B617" s="20"/>
      <c r="C617" s="20"/>
      <c r="D617" s="20"/>
      <c r="E617" s="20"/>
      <c r="F617" s="20"/>
      <c r="G617" s="20" t="s">
        <v>21</v>
      </c>
      <c r="H617" s="20" t="s">
        <v>126</v>
      </c>
      <c r="I617" s="115">
        <v>23.6</v>
      </c>
      <c r="J617" s="23">
        <v>11.9</v>
      </c>
      <c r="K617" s="154">
        <v>6</v>
      </c>
      <c r="L617" s="130">
        <f t="shared" si="120"/>
        <v>1.6850400000000001</v>
      </c>
      <c r="M617" s="20"/>
      <c r="N617" s="23"/>
      <c r="O617" s="20"/>
      <c r="P617" s="2067"/>
      <c r="Q617" s="1044"/>
      <c r="R617" s="1044"/>
    </row>
    <row r="618" spans="1:19" ht="15.6">
      <c r="A618" s="20"/>
      <c r="B618" s="20"/>
      <c r="C618" s="20"/>
      <c r="D618" s="20"/>
      <c r="E618" s="20"/>
      <c r="F618" s="20"/>
      <c r="G618" s="20"/>
      <c r="H618" s="20"/>
      <c r="I618" s="115"/>
      <c r="J618" s="23"/>
      <c r="K618" s="154">
        <f t="shared" ref="K618" si="121">SUM(K610:K617)</f>
        <v>76</v>
      </c>
      <c r="L618" s="128">
        <f>SUM(L610:L617)</f>
        <v>15.394280000000002</v>
      </c>
      <c r="M618" s="25"/>
      <c r="N618" s="23"/>
      <c r="O618" s="20"/>
      <c r="P618" s="2068"/>
      <c r="Q618" s="1044"/>
      <c r="R618" s="1044"/>
    </row>
    <row r="619" spans="1:19" ht="15.6">
      <c r="A619" s="20"/>
      <c r="B619" s="20"/>
      <c r="C619" s="20"/>
      <c r="D619" s="20"/>
      <c r="E619" s="20"/>
      <c r="F619" s="20"/>
      <c r="G619" s="20"/>
      <c r="H619" s="20"/>
      <c r="I619" s="115"/>
      <c r="J619" s="23"/>
      <c r="K619" s="154">
        <f t="shared" ref="K619" si="122">+K618+K608</f>
        <v>841</v>
      </c>
      <c r="L619" s="128">
        <f>+L618+L608</f>
        <v>189.79828000000001</v>
      </c>
      <c r="M619" s="25"/>
      <c r="N619" s="23"/>
      <c r="O619" s="20"/>
      <c r="P619" s="20"/>
      <c r="Q619" s="155"/>
      <c r="R619" s="155"/>
    </row>
    <row r="620" spans="1:19" ht="12" customHeight="1">
      <c r="A620" s="20"/>
      <c r="B620" s="20"/>
      <c r="C620" s="20"/>
      <c r="D620" s="20"/>
      <c r="E620" s="20"/>
      <c r="F620" s="20"/>
      <c r="G620" s="20"/>
      <c r="H620" s="20"/>
      <c r="I620" s="115"/>
      <c r="J620" s="23"/>
      <c r="K620" s="154"/>
      <c r="L620" s="128"/>
      <c r="M620" s="20"/>
      <c r="N620" s="20"/>
      <c r="O620" s="20"/>
      <c r="P620" s="20"/>
      <c r="Q620" s="155"/>
      <c r="R620" s="155"/>
    </row>
    <row r="621" spans="1:19" ht="15.6">
      <c r="A621" s="21" t="s">
        <v>83</v>
      </c>
      <c r="B621" s="21" t="s">
        <v>132</v>
      </c>
      <c r="C621" s="21" t="s">
        <v>19</v>
      </c>
      <c r="D621" s="21" t="s">
        <v>20</v>
      </c>
      <c r="E621" s="63" t="s">
        <v>51</v>
      </c>
      <c r="F621" s="22">
        <v>14</v>
      </c>
      <c r="G621" s="20" t="s">
        <v>21</v>
      </c>
      <c r="H621" s="143" t="s">
        <v>127</v>
      </c>
      <c r="I621" s="115">
        <v>25.4</v>
      </c>
      <c r="J621" s="23">
        <v>7.1</v>
      </c>
      <c r="K621" s="154">
        <v>8</v>
      </c>
      <c r="L621" s="130">
        <f>(I621*J621*K621/1000)</f>
        <v>1.4427199999999998</v>
      </c>
      <c r="M621" s="20"/>
      <c r="N621" s="20"/>
      <c r="O621" s="20"/>
      <c r="P621" s="245" t="s">
        <v>157</v>
      </c>
      <c r="Q621" s="1049"/>
      <c r="R621" s="1049"/>
      <c r="S621" t="s">
        <v>211</v>
      </c>
    </row>
    <row r="622" spans="1:19" ht="15.6">
      <c r="A622" s="20"/>
      <c r="B622" s="21" t="s">
        <v>84</v>
      </c>
      <c r="C622" s="20"/>
      <c r="D622" s="20"/>
      <c r="E622" s="20"/>
      <c r="F622" s="20"/>
      <c r="G622" s="20"/>
      <c r="H622" s="20"/>
      <c r="I622" s="115"/>
      <c r="J622" s="23"/>
      <c r="K622" s="154">
        <f t="shared" ref="K622" si="123">SUM(K621)</f>
        <v>8</v>
      </c>
      <c r="L622" s="128">
        <f>SUM(L621)</f>
        <v>1.4427199999999998</v>
      </c>
      <c r="M622" s="20"/>
      <c r="N622" s="20"/>
      <c r="O622" s="20"/>
      <c r="P622" s="20"/>
      <c r="Q622" s="155"/>
      <c r="R622" s="155"/>
    </row>
    <row r="623" spans="1:19" ht="12" customHeight="1">
      <c r="A623" s="20"/>
      <c r="B623" s="21"/>
      <c r="C623" s="20"/>
      <c r="D623" s="20"/>
      <c r="E623" s="20"/>
      <c r="F623" s="20"/>
      <c r="G623" s="20"/>
      <c r="H623" s="20"/>
      <c r="I623" s="115"/>
      <c r="J623" s="23"/>
      <c r="K623" s="154"/>
      <c r="L623" s="128"/>
      <c r="M623" s="20"/>
      <c r="N623" s="20"/>
      <c r="O623" s="20"/>
      <c r="P623" s="136"/>
      <c r="Q623" s="155"/>
      <c r="R623" s="155"/>
    </row>
    <row r="624" spans="1:19" ht="15.6">
      <c r="A624" s="21" t="s">
        <v>83</v>
      </c>
      <c r="B624" s="21" t="s">
        <v>132</v>
      </c>
      <c r="C624" s="21" t="s">
        <v>19</v>
      </c>
      <c r="D624" s="21" t="s">
        <v>20</v>
      </c>
      <c r="E624" s="63" t="s">
        <v>51</v>
      </c>
      <c r="F624" s="22">
        <v>14</v>
      </c>
      <c r="G624" s="20" t="s">
        <v>21</v>
      </c>
      <c r="H624" s="143" t="s">
        <v>125</v>
      </c>
      <c r="I624" s="115">
        <v>21.7</v>
      </c>
      <c r="J624" s="23">
        <v>6.5</v>
      </c>
      <c r="K624" s="154">
        <v>74</v>
      </c>
      <c r="L624" s="130">
        <f t="shared" ref="L624:L635" si="124">(I624*J624*K624/1000)</f>
        <v>10.4377</v>
      </c>
      <c r="M624" s="20"/>
      <c r="N624" s="23"/>
      <c r="O624" s="20"/>
      <c r="P624" s="2066" t="s">
        <v>157</v>
      </c>
      <c r="Q624" s="1044"/>
      <c r="R624" s="1044"/>
      <c r="S624" t="s">
        <v>215</v>
      </c>
    </row>
    <row r="625" spans="1:19" ht="15.6">
      <c r="A625" s="20"/>
      <c r="B625" s="21" t="s">
        <v>84</v>
      </c>
      <c r="C625" s="20"/>
      <c r="D625" s="20"/>
      <c r="E625" s="20"/>
      <c r="F625" s="20"/>
      <c r="G625" s="20" t="s">
        <v>21</v>
      </c>
      <c r="H625" s="20" t="s">
        <v>125</v>
      </c>
      <c r="I625" s="115">
        <v>21.7</v>
      </c>
      <c r="J625" s="23">
        <v>7.2</v>
      </c>
      <c r="K625" s="154">
        <v>19</v>
      </c>
      <c r="L625" s="130">
        <f t="shared" si="124"/>
        <v>2.9685600000000005</v>
      </c>
      <c r="M625" s="20"/>
      <c r="N625" s="23"/>
      <c r="O625" s="20"/>
      <c r="P625" s="2067"/>
      <c r="Q625" s="1044"/>
      <c r="R625" s="1044"/>
    </row>
    <row r="626" spans="1:19" ht="15.6">
      <c r="A626" s="20"/>
      <c r="B626" s="20"/>
      <c r="C626" s="20"/>
      <c r="D626" s="20"/>
      <c r="E626" s="20"/>
      <c r="F626" s="20"/>
      <c r="G626" s="20" t="s">
        <v>21</v>
      </c>
      <c r="H626" s="20" t="s">
        <v>125</v>
      </c>
      <c r="I626" s="115">
        <v>21.7</v>
      </c>
      <c r="J626" s="23">
        <v>7.5</v>
      </c>
      <c r="K626" s="154">
        <v>42</v>
      </c>
      <c r="L626" s="130">
        <f t="shared" si="124"/>
        <v>6.8354999999999997</v>
      </c>
      <c r="M626" s="20"/>
      <c r="N626" s="23"/>
      <c r="O626" s="20"/>
      <c r="P626" s="2067"/>
      <c r="Q626" s="1044"/>
      <c r="R626" s="1044"/>
    </row>
    <row r="627" spans="1:19" ht="15.6">
      <c r="A627" s="20"/>
      <c r="B627" s="20"/>
      <c r="C627" s="20"/>
      <c r="D627" s="20"/>
      <c r="E627" s="20"/>
      <c r="F627" s="20"/>
      <c r="G627" s="20" t="s">
        <v>21</v>
      </c>
      <c r="H627" s="20" t="s">
        <v>125</v>
      </c>
      <c r="I627" s="115">
        <v>21.7</v>
      </c>
      <c r="J627" s="23">
        <v>8</v>
      </c>
      <c r="K627" s="154">
        <v>24</v>
      </c>
      <c r="L627" s="130">
        <f t="shared" si="124"/>
        <v>4.1663999999999994</v>
      </c>
      <c r="M627" s="20"/>
      <c r="N627" s="23"/>
      <c r="O627" s="20"/>
      <c r="P627" s="2067"/>
      <c r="Q627" s="1044"/>
      <c r="R627" s="1044"/>
    </row>
    <row r="628" spans="1:19" ht="15.6">
      <c r="A628" s="20"/>
      <c r="B628" s="20"/>
      <c r="C628" s="20"/>
      <c r="D628" s="20"/>
      <c r="E628" s="20"/>
      <c r="F628" s="20"/>
      <c r="G628" s="20" t="s">
        <v>21</v>
      </c>
      <c r="H628" s="20" t="s">
        <v>125</v>
      </c>
      <c r="I628" s="115">
        <v>21.7</v>
      </c>
      <c r="J628" s="23">
        <v>8.1</v>
      </c>
      <c r="K628" s="154">
        <v>74</v>
      </c>
      <c r="L628" s="130">
        <f t="shared" si="124"/>
        <v>13.00698</v>
      </c>
      <c r="M628" s="20"/>
      <c r="N628" s="23"/>
      <c r="O628" s="20"/>
      <c r="P628" s="2067"/>
      <c r="Q628" s="1044"/>
      <c r="R628" s="1044"/>
    </row>
    <row r="629" spans="1:19" ht="15.6">
      <c r="A629" s="20"/>
      <c r="B629" s="20"/>
      <c r="C629" s="20"/>
      <c r="D629" s="20"/>
      <c r="E629" s="20"/>
      <c r="F629" s="20"/>
      <c r="G629" s="20" t="s">
        <v>21</v>
      </c>
      <c r="H629" s="20" t="s">
        <v>125</v>
      </c>
      <c r="I629" s="115">
        <v>21.7</v>
      </c>
      <c r="J629" s="23">
        <v>8.5</v>
      </c>
      <c r="K629" s="154">
        <v>20</v>
      </c>
      <c r="L629" s="130">
        <f t="shared" si="124"/>
        <v>3.6890000000000001</v>
      </c>
      <c r="M629" s="20"/>
      <c r="N629" s="23"/>
      <c r="O629" s="20"/>
      <c r="P629" s="2067"/>
      <c r="Q629" s="1044"/>
      <c r="R629" s="1044"/>
    </row>
    <row r="630" spans="1:19" ht="15.6">
      <c r="A630" s="20"/>
      <c r="B630" s="20"/>
      <c r="C630" s="20"/>
      <c r="D630" s="20"/>
      <c r="E630" s="20"/>
      <c r="F630" s="20"/>
      <c r="G630" s="20" t="s">
        <v>21</v>
      </c>
      <c r="H630" s="20" t="s">
        <v>125</v>
      </c>
      <c r="I630" s="115">
        <v>21.7</v>
      </c>
      <c r="J630" s="23">
        <v>9</v>
      </c>
      <c r="K630" s="154">
        <v>16</v>
      </c>
      <c r="L630" s="130">
        <f t="shared" si="124"/>
        <v>3.1247999999999996</v>
      </c>
      <c r="M630" s="20"/>
      <c r="N630" s="23"/>
      <c r="O630" s="20"/>
      <c r="P630" s="2067"/>
      <c r="Q630" s="1044"/>
      <c r="R630" s="1044"/>
    </row>
    <row r="631" spans="1:19" ht="15.6">
      <c r="A631" s="20"/>
      <c r="B631" s="20"/>
      <c r="C631" s="20"/>
      <c r="D631" s="20"/>
      <c r="E631" s="20"/>
      <c r="F631" s="20"/>
      <c r="G631" s="20" t="s">
        <v>21</v>
      </c>
      <c r="H631" s="20" t="s">
        <v>125</v>
      </c>
      <c r="I631" s="115">
        <v>21.7</v>
      </c>
      <c r="J631" s="23">
        <v>10.1</v>
      </c>
      <c r="K631" s="154">
        <v>16</v>
      </c>
      <c r="L631" s="130">
        <f t="shared" si="124"/>
        <v>3.5067199999999996</v>
      </c>
      <c r="M631" s="20"/>
      <c r="N631" s="23"/>
      <c r="O631" s="20"/>
      <c r="P631" s="2067"/>
      <c r="Q631" s="1044"/>
      <c r="R631" s="1044"/>
    </row>
    <row r="632" spans="1:19" ht="15.6">
      <c r="A632" s="20"/>
      <c r="B632" s="20"/>
      <c r="C632" s="20"/>
      <c r="D632" s="20"/>
      <c r="E632" s="20"/>
      <c r="F632" s="20"/>
      <c r="G632" s="20" t="s">
        <v>21</v>
      </c>
      <c r="H632" s="20" t="s">
        <v>125</v>
      </c>
      <c r="I632" s="115">
        <v>21.7</v>
      </c>
      <c r="J632" s="23">
        <v>11.1</v>
      </c>
      <c r="K632" s="154">
        <v>12</v>
      </c>
      <c r="L632" s="130">
        <f t="shared" si="124"/>
        <v>2.8904399999999995</v>
      </c>
      <c r="M632" s="20"/>
      <c r="N632" s="23"/>
      <c r="O632" s="20"/>
      <c r="P632" s="2067"/>
      <c r="Q632" s="1044"/>
      <c r="R632" s="1044"/>
    </row>
    <row r="633" spans="1:19" ht="15.6">
      <c r="A633" s="20"/>
      <c r="B633" s="20"/>
      <c r="C633" s="20"/>
      <c r="D633" s="20"/>
      <c r="E633" s="20"/>
      <c r="F633" s="20"/>
      <c r="G633" s="20" t="s">
        <v>21</v>
      </c>
      <c r="H633" s="20" t="s">
        <v>125</v>
      </c>
      <c r="I633" s="115">
        <v>21.7</v>
      </c>
      <c r="J633" s="23">
        <v>11.2</v>
      </c>
      <c r="K633" s="154">
        <v>85</v>
      </c>
      <c r="L633" s="130">
        <f t="shared" si="124"/>
        <v>20.658399999999997</v>
      </c>
      <c r="M633" s="20"/>
      <c r="N633" s="23"/>
      <c r="O633" s="20"/>
      <c r="P633" s="2067"/>
      <c r="Q633" s="1044"/>
      <c r="R633" s="1044"/>
    </row>
    <row r="634" spans="1:19" ht="15.6">
      <c r="A634" s="20"/>
      <c r="B634" s="20"/>
      <c r="C634" s="20"/>
      <c r="D634" s="20"/>
      <c r="E634" s="20"/>
      <c r="F634" s="20"/>
      <c r="G634" s="20" t="s">
        <v>21</v>
      </c>
      <c r="H634" s="20" t="s">
        <v>125</v>
      </c>
      <c r="I634" s="115">
        <v>21.7</v>
      </c>
      <c r="J634" s="23">
        <v>11.4</v>
      </c>
      <c r="K634" s="154">
        <v>74</v>
      </c>
      <c r="L634" s="130">
        <f t="shared" si="124"/>
        <v>18.30612</v>
      </c>
      <c r="M634" s="20"/>
      <c r="N634" s="23"/>
      <c r="O634" s="20"/>
      <c r="P634" s="2067"/>
      <c r="Q634" s="1044"/>
      <c r="R634" s="1044"/>
    </row>
    <row r="635" spans="1:19" ht="15.6">
      <c r="A635" s="20"/>
      <c r="B635" s="20"/>
      <c r="C635" s="20"/>
      <c r="D635" s="20"/>
      <c r="E635" s="20"/>
      <c r="F635" s="20"/>
      <c r="G635" s="20" t="s">
        <v>21</v>
      </c>
      <c r="H635" s="20" t="s">
        <v>125</v>
      </c>
      <c r="I635" s="115">
        <v>21.7</v>
      </c>
      <c r="J635" s="23">
        <v>12</v>
      </c>
      <c r="K635" s="154">
        <v>46</v>
      </c>
      <c r="L635" s="130">
        <f t="shared" si="124"/>
        <v>11.978399999999999</v>
      </c>
      <c r="M635" s="20"/>
      <c r="N635" s="23"/>
      <c r="O635" s="20"/>
      <c r="P635" s="2068"/>
      <c r="Q635" s="1044"/>
      <c r="R635" s="1044"/>
    </row>
    <row r="636" spans="1:19" ht="15.6">
      <c r="A636" s="20"/>
      <c r="B636" s="20"/>
      <c r="C636" s="20"/>
      <c r="D636" s="20"/>
      <c r="E636" s="20"/>
      <c r="F636" s="20"/>
      <c r="G636" s="20"/>
      <c r="H636" s="20"/>
      <c r="I636" s="115"/>
      <c r="J636" s="23"/>
      <c r="K636" s="154">
        <f t="shared" ref="K636:L636" si="125">SUM(K624:K635)</f>
        <v>502</v>
      </c>
      <c r="L636" s="128">
        <f t="shared" si="125"/>
        <v>101.56901999999999</v>
      </c>
      <c r="M636" s="25"/>
      <c r="N636" s="23"/>
      <c r="O636" s="20"/>
      <c r="P636" s="20"/>
      <c r="Q636" s="155"/>
      <c r="R636" s="155"/>
    </row>
    <row r="637" spans="1:19" ht="12" customHeight="1">
      <c r="A637" s="20"/>
      <c r="B637" s="20"/>
      <c r="C637" s="20"/>
      <c r="D637" s="20"/>
      <c r="E637" s="20"/>
      <c r="F637" s="20"/>
      <c r="G637" s="20"/>
      <c r="H637" s="20"/>
      <c r="I637" s="115"/>
      <c r="J637" s="23"/>
      <c r="K637" s="154"/>
      <c r="L637" s="128"/>
      <c r="M637" s="20"/>
      <c r="N637" s="20"/>
      <c r="O637" s="20"/>
      <c r="P637" s="20"/>
      <c r="Q637" s="155"/>
      <c r="R637" s="155"/>
    </row>
    <row r="638" spans="1:19" ht="15.6">
      <c r="A638" s="21" t="s">
        <v>83</v>
      </c>
      <c r="B638" s="21" t="s">
        <v>132</v>
      </c>
      <c r="C638" s="21" t="s">
        <v>19</v>
      </c>
      <c r="D638" s="21" t="s">
        <v>20</v>
      </c>
      <c r="E638" s="63" t="s">
        <v>51</v>
      </c>
      <c r="F638" s="22">
        <v>14</v>
      </c>
      <c r="G638" s="20" t="s">
        <v>21</v>
      </c>
      <c r="H638" s="143" t="s">
        <v>124</v>
      </c>
      <c r="I638" s="115">
        <v>19.8</v>
      </c>
      <c r="J638" s="23">
        <v>6.1</v>
      </c>
      <c r="K638" s="154">
        <v>41</v>
      </c>
      <c r="L638" s="130">
        <f t="shared" ref="L638:L649" si="126">(I638*J638*K638/1000)</f>
        <v>4.9519800000000007</v>
      </c>
      <c r="M638" s="20"/>
      <c r="N638" s="23"/>
      <c r="O638" s="20"/>
      <c r="P638" s="2066" t="s">
        <v>157</v>
      </c>
      <c r="Q638" s="1044"/>
      <c r="R638" s="1044"/>
      <c r="S638" t="s">
        <v>169</v>
      </c>
    </row>
    <row r="639" spans="1:19" ht="15.6">
      <c r="A639" s="20"/>
      <c r="B639" s="21" t="s">
        <v>84</v>
      </c>
      <c r="C639" s="20"/>
      <c r="D639" s="20"/>
      <c r="E639" s="20"/>
      <c r="F639" s="20"/>
      <c r="G639" s="20" t="s">
        <v>21</v>
      </c>
      <c r="H639" s="20" t="s">
        <v>124</v>
      </c>
      <c r="I639" s="115">
        <v>19.8</v>
      </c>
      <c r="J639" s="23">
        <v>6.5</v>
      </c>
      <c r="K639" s="154">
        <v>16</v>
      </c>
      <c r="L639" s="130">
        <f t="shared" si="126"/>
        <v>2.0592000000000001</v>
      </c>
      <c r="M639" s="20"/>
      <c r="N639" s="23"/>
      <c r="O639" s="20"/>
      <c r="P639" s="2067"/>
      <c r="Q639" s="1044"/>
      <c r="R639" s="1044"/>
      <c r="S639" t="s">
        <v>236</v>
      </c>
    </row>
    <row r="640" spans="1:19" ht="15.6">
      <c r="A640" s="20"/>
      <c r="B640" s="20"/>
      <c r="C640" s="20"/>
      <c r="D640" s="20"/>
      <c r="E640" s="20"/>
      <c r="F640" s="20"/>
      <c r="G640" s="20" t="s">
        <v>21</v>
      </c>
      <c r="H640" s="20" t="s">
        <v>124</v>
      </c>
      <c r="I640" s="115">
        <v>19.8</v>
      </c>
      <c r="J640" s="23">
        <v>6.9</v>
      </c>
      <c r="K640" s="154">
        <v>32</v>
      </c>
      <c r="L640" s="130">
        <f t="shared" si="126"/>
        <v>4.3718399999999997</v>
      </c>
      <c r="M640" s="20"/>
      <c r="N640" s="23"/>
      <c r="O640" s="20"/>
      <c r="P640" s="2067"/>
      <c r="Q640" s="1044"/>
      <c r="R640" s="1044"/>
    </row>
    <row r="641" spans="1:19" ht="15.6">
      <c r="A641" s="20"/>
      <c r="B641" s="20"/>
      <c r="C641" s="20"/>
      <c r="D641" s="20"/>
      <c r="E641" s="20"/>
      <c r="F641" s="20"/>
      <c r="G641" s="20" t="s">
        <v>21</v>
      </c>
      <c r="H641" s="20" t="s">
        <v>124</v>
      </c>
      <c r="I641" s="115">
        <v>19.8</v>
      </c>
      <c r="J641" s="23">
        <v>7.1</v>
      </c>
      <c r="K641" s="154">
        <v>76</v>
      </c>
      <c r="L641" s="130">
        <f t="shared" si="126"/>
        <v>10.684079999999998</v>
      </c>
      <c r="M641" s="20"/>
      <c r="N641" s="23"/>
      <c r="O641" s="20"/>
      <c r="P641" s="2067"/>
      <c r="Q641" s="1044"/>
      <c r="R641" s="1044"/>
      <c r="S641" s="126"/>
    </row>
    <row r="642" spans="1:19" ht="15.6">
      <c r="A642" s="20"/>
      <c r="B642" s="20"/>
      <c r="C642" s="20"/>
      <c r="D642" s="20"/>
      <c r="E642" s="20"/>
      <c r="F642" s="20"/>
      <c r="G642" s="20" t="s">
        <v>21</v>
      </c>
      <c r="H642" s="20" t="s">
        <v>124</v>
      </c>
      <c r="I642" s="115">
        <v>19.8</v>
      </c>
      <c r="J642" s="23">
        <v>7.3</v>
      </c>
      <c r="K642" s="154">
        <v>80</v>
      </c>
      <c r="L642" s="130">
        <f t="shared" si="126"/>
        <v>11.563199999999998</v>
      </c>
      <c r="M642" s="20"/>
      <c r="N642" s="23"/>
      <c r="O642" s="20"/>
      <c r="P642" s="2067"/>
      <c r="Q642" s="1044"/>
      <c r="R642" s="1044"/>
    </row>
    <row r="643" spans="1:19" ht="15.6">
      <c r="A643" s="20"/>
      <c r="B643" s="20"/>
      <c r="C643" s="20"/>
      <c r="D643" s="20"/>
      <c r="E643" s="20"/>
      <c r="F643" s="20"/>
      <c r="G643" s="20" t="s">
        <v>21</v>
      </c>
      <c r="H643" s="20" t="s">
        <v>124</v>
      </c>
      <c r="I643" s="115">
        <v>19.8</v>
      </c>
      <c r="J643" s="23">
        <v>7.5</v>
      </c>
      <c r="K643" s="154">
        <v>12</v>
      </c>
      <c r="L643" s="130">
        <f t="shared" si="126"/>
        <v>1.782</v>
      </c>
      <c r="M643" s="20"/>
      <c r="N643" s="23"/>
      <c r="O643" s="20"/>
      <c r="P643" s="2067"/>
      <c r="Q643" s="1044"/>
      <c r="R643" s="1044"/>
    </row>
    <row r="644" spans="1:19" ht="15.6">
      <c r="A644" s="20"/>
      <c r="B644" s="20"/>
      <c r="C644" s="20"/>
      <c r="D644" s="20"/>
      <c r="E644" s="20"/>
      <c r="F644" s="20"/>
      <c r="G644" s="20" t="s">
        <v>21</v>
      </c>
      <c r="H644" s="20" t="s">
        <v>124</v>
      </c>
      <c r="I644" s="115">
        <v>19.8</v>
      </c>
      <c r="J644" s="23">
        <v>8.1999999999999993</v>
      </c>
      <c r="K644" s="154">
        <v>16</v>
      </c>
      <c r="L644" s="130">
        <f t="shared" si="126"/>
        <v>2.5977599999999996</v>
      </c>
      <c r="M644" s="20"/>
      <c r="N644" s="23"/>
      <c r="O644" s="20"/>
      <c r="P644" s="2067"/>
      <c r="Q644" s="1044"/>
      <c r="R644" s="1044"/>
    </row>
    <row r="645" spans="1:19" ht="15.6">
      <c r="A645" s="20"/>
      <c r="B645" s="20"/>
      <c r="C645" s="20"/>
      <c r="D645" s="20"/>
      <c r="E645" s="20"/>
      <c r="F645" s="20"/>
      <c r="G645" s="20" t="s">
        <v>21</v>
      </c>
      <c r="H645" s="20" t="s">
        <v>124</v>
      </c>
      <c r="I645" s="115">
        <v>19.8</v>
      </c>
      <c r="J645" s="23">
        <v>8.3000000000000007</v>
      </c>
      <c r="K645" s="154">
        <v>16</v>
      </c>
      <c r="L645" s="130">
        <f t="shared" si="126"/>
        <v>2.6294400000000007</v>
      </c>
      <c r="M645" s="20"/>
      <c r="N645" s="23"/>
      <c r="O645" s="20"/>
      <c r="P645" s="2067"/>
      <c r="Q645" s="1044"/>
      <c r="R645" s="1044"/>
    </row>
    <row r="646" spans="1:19" ht="15.6">
      <c r="A646" s="20"/>
      <c r="B646" s="20"/>
      <c r="C646" s="20"/>
      <c r="D646" s="20"/>
      <c r="E646" s="20"/>
      <c r="F646" s="20"/>
      <c r="G646" s="20" t="s">
        <v>21</v>
      </c>
      <c r="H646" s="20" t="s">
        <v>124</v>
      </c>
      <c r="I646" s="115">
        <v>19.8</v>
      </c>
      <c r="J646" s="23">
        <v>11.1</v>
      </c>
      <c r="K646" s="154">
        <v>52</v>
      </c>
      <c r="L646" s="130">
        <f t="shared" si="126"/>
        <v>11.428559999999999</v>
      </c>
      <c r="M646" s="20"/>
      <c r="N646" s="23"/>
      <c r="O646" s="20"/>
      <c r="P646" s="2067"/>
      <c r="Q646" s="1044"/>
      <c r="R646" s="1044"/>
    </row>
    <row r="647" spans="1:19" ht="15.6">
      <c r="A647" s="20"/>
      <c r="B647" s="20"/>
      <c r="C647" s="20"/>
      <c r="D647" s="20"/>
      <c r="E647" s="20"/>
      <c r="F647" s="20"/>
      <c r="G647" s="20" t="s">
        <v>21</v>
      </c>
      <c r="H647" s="20" t="s">
        <v>124</v>
      </c>
      <c r="I647" s="115">
        <v>19.8</v>
      </c>
      <c r="J647" s="23">
        <v>11.2</v>
      </c>
      <c r="K647" s="154">
        <v>118</v>
      </c>
      <c r="L647" s="130">
        <f t="shared" si="126"/>
        <v>26.167680000000001</v>
      </c>
      <c r="M647" s="20"/>
      <c r="N647" s="23"/>
      <c r="O647" s="20"/>
      <c r="P647" s="2067"/>
      <c r="Q647" s="1044"/>
      <c r="R647" s="1044"/>
    </row>
    <row r="648" spans="1:19" ht="15.6">
      <c r="A648" s="20"/>
      <c r="B648" s="20"/>
      <c r="C648" s="20"/>
      <c r="D648" s="20"/>
      <c r="E648" s="20"/>
      <c r="F648" s="20"/>
      <c r="G648" s="20" t="s">
        <v>21</v>
      </c>
      <c r="H648" s="20" t="s">
        <v>124</v>
      </c>
      <c r="I648" s="115">
        <v>19.8</v>
      </c>
      <c r="J648" s="23">
        <v>11.5</v>
      </c>
      <c r="K648" s="154">
        <v>80</v>
      </c>
      <c r="L648" s="130">
        <f t="shared" si="126"/>
        <v>18.216000000000001</v>
      </c>
      <c r="M648" s="20"/>
      <c r="N648" s="23"/>
      <c r="O648" s="20"/>
      <c r="P648" s="2067"/>
      <c r="Q648" s="1044"/>
      <c r="R648" s="1044"/>
    </row>
    <row r="649" spans="1:19" ht="15.6">
      <c r="A649" s="20"/>
      <c r="B649" s="20"/>
      <c r="C649" s="20"/>
      <c r="D649" s="20"/>
      <c r="E649" s="20"/>
      <c r="F649" s="20"/>
      <c r="G649" s="20" t="s">
        <v>21</v>
      </c>
      <c r="H649" s="20" t="s">
        <v>124</v>
      </c>
      <c r="I649" s="115">
        <v>19.8</v>
      </c>
      <c r="J649" s="23">
        <v>11.6</v>
      </c>
      <c r="K649" s="154">
        <v>30</v>
      </c>
      <c r="L649" s="130">
        <f t="shared" si="126"/>
        <v>6.8904000000000005</v>
      </c>
      <c r="M649" s="20"/>
      <c r="N649" s="23"/>
      <c r="O649" s="20"/>
      <c r="P649" s="2067"/>
      <c r="Q649" s="1044"/>
      <c r="R649" s="1044"/>
    </row>
    <row r="650" spans="1:19" ht="15.6">
      <c r="A650" s="20"/>
      <c r="B650" s="20"/>
      <c r="C650" s="20"/>
      <c r="D650" s="20"/>
      <c r="E650" s="20"/>
      <c r="F650" s="20"/>
      <c r="G650" s="20"/>
      <c r="H650" s="20"/>
      <c r="I650" s="115"/>
      <c r="J650" s="23"/>
      <c r="K650" s="154">
        <f>SUM(K638:K649)</f>
        <v>569</v>
      </c>
      <c r="L650" s="128">
        <f>SUM(L638:L649)</f>
        <v>103.34214</v>
      </c>
      <c r="M650" s="25"/>
      <c r="N650" s="23"/>
      <c r="O650" s="20"/>
      <c r="P650" s="2067"/>
      <c r="Q650" s="1044"/>
      <c r="R650" s="1044"/>
    </row>
    <row r="651" spans="1:19" ht="12" customHeight="1">
      <c r="A651" s="20"/>
      <c r="B651" s="20"/>
      <c r="C651" s="20"/>
      <c r="D651" s="20"/>
      <c r="E651" s="20"/>
      <c r="F651" s="20"/>
      <c r="G651" s="20"/>
      <c r="H651" s="20"/>
      <c r="I651" s="115"/>
      <c r="J651" s="23"/>
      <c r="K651" s="154"/>
      <c r="L651" s="128"/>
      <c r="M651" s="20"/>
      <c r="N651" s="20"/>
      <c r="O651" s="20"/>
      <c r="P651" s="2067"/>
      <c r="Q651" s="1044"/>
      <c r="R651" s="1044"/>
    </row>
    <row r="652" spans="1:19" ht="15.6">
      <c r="A652" s="21" t="s">
        <v>83</v>
      </c>
      <c r="B652" s="21" t="s">
        <v>135</v>
      </c>
      <c r="C652" s="21" t="s">
        <v>19</v>
      </c>
      <c r="D652" s="21" t="s">
        <v>20</v>
      </c>
      <c r="E652" s="63" t="s">
        <v>51</v>
      </c>
      <c r="F652" s="22">
        <v>14</v>
      </c>
      <c r="G652" s="20" t="s">
        <v>21</v>
      </c>
      <c r="H652" s="143" t="s">
        <v>124</v>
      </c>
      <c r="I652" s="115">
        <v>19.8</v>
      </c>
      <c r="J652" s="23">
        <v>7.5</v>
      </c>
      <c r="K652" s="154">
        <v>18</v>
      </c>
      <c r="L652" s="130">
        <f t="shared" ref="L652:L660" si="127">(I652*J652*K652/1000)</f>
        <v>2.673</v>
      </c>
      <c r="M652" s="20"/>
      <c r="N652" s="23"/>
      <c r="O652" s="20"/>
      <c r="P652" s="2067"/>
      <c r="Q652" s="1044"/>
      <c r="R652" s="1044"/>
      <c r="S652" t="s">
        <v>170</v>
      </c>
    </row>
    <row r="653" spans="1:19" ht="15.6">
      <c r="A653" s="20"/>
      <c r="B653" s="21" t="s">
        <v>52</v>
      </c>
      <c r="C653" s="20"/>
      <c r="D653" s="20"/>
      <c r="E653" s="20"/>
      <c r="F653" s="20"/>
      <c r="G653" s="20" t="s">
        <v>21</v>
      </c>
      <c r="H653" s="20" t="s">
        <v>124</v>
      </c>
      <c r="I653" s="115">
        <v>19.8</v>
      </c>
      <c r="J653" s="23">
        <v>8.1999999999999993</v>
      </c>
      <c r="K653" s="154">
        <v>1</v>
      </c>
      <c r="L653" s="130">
        <f t="shared" si="127"/>
        <v>0.16235999999999998</v>
      </c>
      <c r="M653" s="20"/>
      <c r="N653" s="23"/>
      <c r="O653" s="20"/>
      <c r="P653" s="2067"/>
      <c r="Q653" s="1044"/>
      <c r="R653" s="1044"/>
    </row>
    <row r="654" spans="1:19" ht="15.6">
      <c r="A654" s="20"/>
      <c r="B654" s="20"/>
      <c r="C654" s="20"/>
      <c r="D654" s="20"/>
      <c r="E654" s="20"/>
      <c r="F654" s="20"/>
      <c r="G654" s="20" t="s">
        <v>21</v>
      </c>
      <c r="H654" s="20" t="s">
        <v>124</v>
      </c>
      <c r="I654" s="115">
        <v>19.8</v>
      </c>
      <c r="J654" s="23">
        <v>8.3000000000000007</v>
      </c>
      <c r="K654" s="154">
        <v>17</v>
      </c>
      <c r="L654" s="130">
        <f t="shared" si="127"/>
        <v>2.7937800000000008</v>
      </c>
      <c r="M654" s="20"/>
      <c r="N654" s="23"/>
      <c r="O654" s="20"/>
      <c r="P654" s="2067"/>
      <c r="Q654" s="1044"/>
      <c r="R654" s="1044"/>
    </row>
    <row r="655" spans="1:19" ht="15.6">
      <c r="A655" s="20"/>
      <c r="B655" s="20"/>
      <c r="C655" s="20"/>
      <c r="D655" s="20"/>
      <c r="E655" s="20"/>
      <c r="F655" s="20"/>
      <c r="G655" s="20" t="s">
        <v>21</v>
      </c>
      <c r="H655" s="20" t="s">
        <v>124</v>
      </c>
      <c r="I655" s="115">
        <v>19.8</v>
      </c>
      <c r="J655" s="23">
        <v>8.5</v>
      </c>
      <c r="K655" s="154">
        <v>20</v>
      </c>
      <c r="L655" s="130">
        <f t="shared" si="127"/>
        <v>3.3660000000000001</v>
      </c>
      <c r="M655" s="20"/>
      <c r="N655" s="23"/>
      <c r="O655" s="20"/>
      <c r="P655" s="2067"/>
      <c r="Q655" s="1044"/>
      <c r="R655" s="1044"/>
    </row>
    <row r="656" spans="1:19" ht="15.6">
      <c r="A656" s="20"/>
      <c r="B656" s="20"/>
      <c r="C656" s="20"/>
      <c r="D656" s="20"/>
      <c r="E656" s="20"/>
      <c r="F656" s="20"/>
      <c r="G656" s="20" t="s">
        <v>21</v>
      </c>
      <c r="H656" s="20" t="s">
        <v>124</v>
      </c>
      <c r="I656" s="115">
        <v>19.8</v>
      </c>
      <c r="J656" s="23">
        <v>8.6999999999999993</v>
      </c>
      <c r="K656" s="154">
        <v>16</v>
      </c>
      <c r="L656" s="130">
        <f t="shared" si="127"/>
        <v>2.7561599999999999</v>
      </c>
      <c r="M656" s="20"/>
      <c r="N656" s="23"/>
      <c r="O656" s="20"/>
      <c r="P656" s="2067"/>
      <c r="Q656" s="1044"/>
      <c r="R656" s="1044"/>
    </row>
    <row r="657" spans="1:19" ht="15.6">
      <c r="A657" s="20"/>
      <c r="B657" s="20"/>
      <c r="C657" s="20"/>
      <c r="D657" s="20"/>
      <c r="E657" s="20"/>
      <c r="F657" s="20"/>
      <c r="G657" s="20" t="s">
        <v>21</v>
      </c>
      <c r="H657" s="20" t="s">
        <v>124</v>
      </c>
      <c r="I657" s="115">
        <v>19.8</v>
      </c>
      <c r="J657" s="23">
        <v>11.1</v>
      </c>
      <c r="K657" s="154">
        <v>10</v>
      </c>
      <c r="L657" s="130">
        <f t="shared" si="127"/>
        <v>2.1978</v>
      </c>
      <c r="M657" s="20"/>
      <c r="N657" s="23"/>
      <c r="O657" s="20"/>
      <c r="P657" s="2067"/>
      <c r="Q657" s="1044"/>
      <c r="R657" s="1044"/>
    </row>
    <row r="658" spans="1:19" ht="15.6">
      <c r="A658" s="20"/>
      <c r="B658" s="20"/>
      <c r="C658" s="20"/>
      <c r="D658" s="20"/>
      <c r="E658" s="20"/>
      <c r="F658" s="20"/>
      <c r="G658" s="20" t="s">
        <v>21</v>
      </c>
      <c r="H658" s="20" t="s">
        <v>124</v>
      </c>
      <c r="I658" s="115">
        <v>19.8</v>
      </c>
      <c r="J658" s="23">
        <v>11.6</v>
      </c>
      <c r="K658" s="154">
        <v>17</v>
      </c>
      <c r="L658" s="130">
        <f t="shared" si="127"/>
        <v>3.90456</v>
      </c>
      <c r="M658" s="20"/>
      <c r="N658" s="23"/>
      <c r="O658" s="20"/>
      <c r="P658" s="2067"/>
      <c r="Q658" s="1044"/>
      <c r="R658" s="1044"/>
    </row>
    <row r="659" spans="1:19" ht="15.6">
      <c r="A659" s="20"/>
      <c r="B659" s="20"/>
      <c r="C659" s="20"/>
      <c r="D659" s="20"/>
      <c r="E659" s="20"/>
      <c r="F659" s="20"/>
      <c r="G659" s="20" t="s">
        <v>21</v>
      </c>
      <c r="H659" s="20" t="s">
        <v>124</v>
      </c>
      <c r="I659" s="115">
        <v>19.8</v>
      </c>
      <c r="J659" s="23">
        <v>11.75</v>
      </c>
      <c r="K659" s="154">
        <v>10</v>
      </c>
      <c r="L659" s="130">
        <f t="shared" si="127"/>
        <v>2.3264999999999998</v>
      </c>
      <c r="M659" s="20"/>
      <c r="N659" s="23"/>
      <c r="O659" s="20"/>
      <c r="P659" s="2067"/>
      <c r="Q659" s="1044"/>
      <c r="R659" s="1044"/>
    </row>
    <row r="660" spans="1:19" ht="15.6">
      <c r="A660" s="20"/>
      <c r="B660" s="20"/>
      <c r="C660" s="20"/>
      <c r="D660" s="20"/>
      <c r="E660" s="20"/>
      <c r="F660" s="20"/>
      <c r="G660" s="20" t="s">
        <v>21</v>
      </c>
      <c r="H660" s="20" t="s">
        <v>124</v>
      </c>
      <c r="I660" s="115">
        <v>19.8</v>
      </c>
      <c r="J660" s="23">
        <v>12</v>
      </c>
      <c r="K660" s="154">
        <v>18</v>
      </c>
      <c r="L660" s="130">
        <f t="shared" si="127"/>
        <v>4.2768000000000006</v>
      </c>
      <c r="M660" s="20"/>
      <c r="N660" s="23"/>
      <c r="O660" s="20"/>
      <c r="P660" s="2067"/>
      <c r="Q660" s="1044"/>
      <c r="R660" s="1044"/>
    </row>
    <row r="661" spans="1:19" ht="15.6">
      <c r="A661" s="20"/>
      <c r="B661" s="20"/>
      <c r="C661" s="20"/>
      <c r="D661" s="20"/>
      <c r="E661" s="20"/>
      <c r="F661" s="20"/>
      <c r="G661" s="20"/>
      <c r="H661" s="20"/>
      <c r="I661" s="115"/>
      <c r="J661" s="23"/>
      <c r="K661" s="154">
        <f t="shared" ref="K661:L661" si="128">SUM(K652:K660)</f>
        <v>127</v>
      </c>
      <c r="L661" s="128">
        <f t="shared" si="128"/>
        <v>24.456960000000002</v>
      </c>
      <c r="M661" s="25"/>
      <c r="N661" s="23"/>
      <c r="O661" s="20"/>
      <c r="P661" s="2067"/>
      <c r="Q661" s="1044"/>
      <c r="R661" s="1044"/>
    </row>
    <row r="662" spans="1:19" ht="12" customHeight="1">
      <c r="A662" s="20"/>
      <c r="B662" s="20"/>
      <c r="C662" s="20"/>
      <c r="D662" s="20"/>
      <c r="E662" s="20"/>
      <c r="F662" s="20"/>
      <c r="G662" s="20"/>
      <c r="H662" s="20"/>
      <c r="I662" s="115"/>
      <c r="J662" s="23"/>
      <c r="K662" s="154"/>
      <c r="L662" s="128"/>
      <c r="M662" s="25"/>
      <c r="N662" s="23"/>
      <c r="O662" s="20"/>
      <c r="P662" s="2067"/>
      <c r="Q662" s="1044"/>
      <c r="R662" s="1044"/>
    </row>
    <row r="663" spans="1:19" ht="15.6">
      <c r="A663" s="21" t="s">
        <v>83</v>
      </c>
      <c r="B663" s="21" t="s">
        <v>161</v>
      </c>
      <c r="C663" s="21" t="s">
        <v>19</v>
      </c>
      <c r="D663" s="21" t="s">
        <v>20</v>
      </c>
      <c r="E663" s="63" t="s">
        <v>51</v>
      </c>
      <c r="F663" s="22">
        <v>14</v>
      </c>
      <c r="G663" s="143" t="s">
        <v>21</v>
      </c>
      <c r="H663" s="143" t="s">
        <v>124</v>
      </c>
      <c r="I663" s="315">
        <v>19.8</v>
      </c>
      <c r="J663" s="145">
        <v>11.1</v>
      </c>
      <c r="K663" s="219">
        <v>8</v>
      </c>
      <c r="L663" s="306">
        <f>(I663*J663*K663/1000)</f>
        <v>1.75824</v>
      </c>
      <c r="M663" s="25"/>
      <c r="N663" s="23"/>
      <c r="O663" s="20"/>
      <c r="P663" s="2068"/>
      <c r="Q663" s="1044"/>
      <c r="R663" s="1044"/>
      <c r="S663" t="s">
        <v>170</v>
      </c>
    </row>
    <row r="664" spans="1:19" ht="15.6">
      <c r="A664" s="20"/>
      <c r="B664" s="20"/>
      <c r="C664" s="20"/>
      <c r="D664" s="20"/>
      <c r="E664" s="20"/>
      <c r="F664" s="20"/>
      <c r="G664" s="143"/>
      <c r="H664" s="143"/>
      <c r="I664" s="315"/>
      <c r="J664" s="144"/>
      <c r="K664" s="220"/>
      <c r="L664" s="307">
        <f>+L661+L650+L663</f>
        <v>129.55734000000001</v>
      </c>
      <c r="M664" s="25"/>
      <c r="N664" s="23"/>
      <c r="O664" s="20"/>
      <c r="P664" s="20"/>
      <c r="Q664" s="155"/>
      <c r="R664" s="155"/>
    </row>
    <row r="665" spans="1:19" ht="12" customHeight="1">
      <c r="A665" s="20"/>
      <c r="B665" s="20"/>
      <c r="C665" s="20"/>
      <c r="D665" s="20"/>
      <c r="E665" s="20"/>
      <c r="F665" s="20"/>
      <c r="G665" s="20"/>
      <c r="H665" s="20"/>
      <c r="I665" s="115"/>
      <c r="J665" s="23"/>
      <c r="K665" s="154"/>
      <c r="L665" s="128"/>
      <c r="M665" s="20"/>
      <c r="N665" s="20"/>
      <c r="O665" s="20"/>
      <c r="P665" s="20"/>
      <c r="Q665" s="155"/>
      <c r="R665" s="155"/>
    </row>
    <row r="666" spans="1:19" ht="15.6">
      <c r="A666" s="21" t="s">
        <v>83</v>
      </c>
      <c r="B666" s="21" t="s">
        <v>132</v>
      </c>
      <c r="C666" s="21" t="s">
        <v>19</v>
      </c>
      <c r="D666" s="21" t="s">
        <v>20</v>
      </c>
      <c r="E666" s="63" t="s">
        <v>51</v>
      </c>
      <c r="F666" s="22">
        <v>14</v>
      </c>
      <c r="G666" s="20" t="s">
        <v>21</v>
      </c>
      <c r="H666" s="143" t="s">
        <v>129</v>
      </c>
      <c r="I666" s="115">
        <v>17.899999999999999</v>
      </c>
      <c r="J666" s="23">
        <v>6.3</v>
      </c>
      <c r="K666" s="154">
        <v>80</v>
      </c>
      <c r="L666" s="130">
        <f t="shared" ref="L666:L672" si="129">(I666*J666*K666/1000)</f>
        <v>9.0215999999999994</v>
      </c>
      <c r="M666" s="20"/>
      <c r="N666" s="23"/>
      <c r="O666" s="20"/>
      <c r="P666" s="2066" t="s">
        <v>157</v>
      </c>
      <c r="Q666" s="1044"/>
      <c r="R666" s="1044"/>
      <c r="S666" t="s">
        <v>171</v>
      </c>
    </row>
    <row r="667" spans="1:19" ht="15.6">
      <c r="A667" s="20"/>
      <c r="B667" s="21" t="s">
        <v>84</v>
      </c>
      <c r="C667" s="20"/>
      <c r="D667" s="20"/>
      <c r="E667" s="20"/>
      <c r="F667" s="20"/>
      <c r="G667" s="20" t="s">
        <v>21</v>
      </c>
      <c r="H667" s="20" t="s">
        <v>129</v>
      </c>
      <c r="I667" s="115">
        <v>17.899999999999999</v>
      </c>
      <c r="J667" s="23">
        <v>7</v>
      </c>
      <c r="K667" s="154">
        <v>16</v>
      </c>
      <c r="L667" s="130">
        <f t="shared" si="129"/>
        <v>2.0047999999999999</v>
      </c>
      <c r="M667" s="20"/>
      <c r="N667" s="23"/>
      <c r="O667" s="20"/>
      <c r="P667" s="2067"/>
      <c r="Q667" s="1044"/>
      <c r="R667" s="1044"/>
      <c r="S667" t="s">
        <v>173</v>
      </c>
    </row>
    <row r="668" spans="1:19" ht="15.6">
      <c r="A668" s="20"/>
      <c r="B668" s="20"/>
      <c r="C668" s="20"/>
      <c r="D668" s="20"/>
      <c r="E668" s="20"/>
      <c r="F668" s="20"/>
      <c r="G668" s="20" t="s">
        <v>21</v>
      </c>
      <c r="H668" s="20" t="s">
        <v>129</v>
      </c>
      <c r="I668" s="115">
        <v>17.899999999999999</v>
      </c>
      <c r="J668" s="23">
        <v>7.6</v>
      </c>
      <c r="K668" s="154">
        <v>296</v>
      </c>
      <c r="L668" s="130">
        <f t="shared" si="129"/>
        <v>40.26784</v>
      </c>
      <c r="M668" s="20"/>
      <c r="N668" s="23"/>
      <c r="O668" s="20"/>
      <c r="P668" s="2067"/>
      <c r="Q668" s="1044"/>
      <c r="R668" s="1044"/>
    </row>
    <row r="669" spans="1:19" ht="15.6">
      <c r="A669" s="20"/>
      <c r="B669" s="20"/>
      <c r="C669" s="20"/>
      <c r="D669" s="20"/>
      <c r="E669" s="20"/>
      <c r="F669" s="20"/>
      <c r="G669" s="20" t="s">
        <v>21</v>
      </c>
      <c r="H669" s="20" t="s">
        <v>129</v>
      </c>
      <c r="I669" s="115">
        <v>17.899999999999999</v>
      </c>
      <c r="J669" s="23">
        <v>8.4499999999999993</v>
      </c>
      <c r="K669" s="154">
        <v>16</v>
      </c>
      <c r="L669" s="130">
        <f t="shared" si="129"/>
        <v>2.4200799999999996</v>
      </c>
      <c r="M669" s="20"/>
      <c r="N669" s="23"/>
      <c r="O669" s="20"/>
      <c r="P669" s="2067"/>
      <c r="Q669" s="1044"/>
      <c r="R669" s="1044"/>
    </row>
    <row r="670" spans="1:19" ht="15.6">
      <c r="A670" s="20"/>
      <c r="B670" s="20"/>
      <c r="C670" s="20"/>
      <c r="D670" s="20"/>
      <c r="E670" s="20"/>
      <c r="F670" s="20"/>
      <c r="G670" s="20" t="s">
        <v>21</v>
      </c>
      <c r="H670" s="20" t="s">
        <v>129</v>
      </c>
      <c r="I670" s="115">
        <v>17.899999999999999</v>
      </c>
      <c r="J670" s="23">
        <v>9.1</v>
      </c>
      <c r="K670" s="154">
        <v>148</v>
      </c>
      <c r="L670" s="130">
        <f t="shared" si="129"/>
        <v>24.107719999999997</v>
      </c>
      <c r="M670" s="20"/>
      <c r="N670" s="23"/>
      <c r="O670" s="20"/>
      <c r="P670" s="2067"/>
      <c r="Q670" s="1044"/>
      <c r="R670" s="1044"/>
    </row>
    <row r="671" spans="1:19" ht="15.6">
      <c r="A671" s="20"/>
      <c r="B671" s="20"/>
      <c r="C671" s="20"/>
      <c r="D671" s="20"/>
      <c r="E671" s="20"/>
      <c r="F671" s="20"/>
      <c r="G671" s="20" t="s">
        <v>21</v>
      </c>
      <c r="H671" s="20" t="s">
        <v>129</v>
      </c>
      <c r="I671" s="115">
        <v>17.899999999999999</v>
      </c>
      <c r="J671" s="23">
        <v>9.9</v>
      </c>
      <c r="K671" s="154">
        <v>80</v>
      </c>
      <c r="L671" s="130">
        <f t="shared" si="129"/>
        <v>14.1768</v>
      </c>
      <c r="M671" s="20"/>
      <c r="N671" s="23"/>
      <c r="O671" s="20"/>
      <c r="P671" s="2067"/>
      <c r="Q671" s="1044"/>
      <c r="R671" s="1044"/>
    </row>
    <row r="672" spans="1:19" ht="15.6">
      <c r="A672" s="20"/>
      <c r="B672" s="20"/>
      <c r="C672" s="20"/>
      <c r="D672" s="20"/>
      <c r="E672" s="20"/>
      <c r="F672" s="20"/>
      <c r="G672" s="20" t="s">
        <v>21</v>
      </c>
      <c r="H672" s="20" t="s">
        <v>129</v>
      </c>
      <c r="I672" s="115">
        <v>17.899999999999999</v>
      </c>
      <c r="J672" s="23">
        <v>11.8</v>
      </c>
      <c r="K672" s="154">
        <v>8</v>
      </c>
      <c r="L672" s="130">
        <f t="shared" si="129"/>
        <v>1.6897599999999999</v>
      </c>
      <c r="M672" s="20"/>
      <c r="N672" s="23"/>
      <c r="O672" s="20"/>
      <c r="P672" s="2067"/>
      <c r="Q672" s="1044"/>
      <c r="R672" s="1044"/>
    </row>
    <row r="673" spans="1:19" ht="15.6">
      <c r="A673" s="20"/>
      <c r="B673" s="20"/>
      <c r="C673" s="20"/>
      <c r="D673" s="20"/>
      <c r="E673" s="20"/>
      <c r="F673" s="20"/>
      <c r="G673" s="20"/>
      <c r="H673" s="20"/>
      <c r="I673" s="115"/>
      <c r="J673" s="23"/>
      <c r="K673" s="154">
        <f t="shared" ref="K673:L673" si="130">SUM(K666:K672)</f>
        <v>644</v>
      </c>
      <c r="L673" s="128">
        <f t="shared" si="130"/>
        <v>93.688600000000008</v>
      </c>
      <c r="M673" s="25"/>
      <c r="N673" s="23"/>
      <c r="O673" s="20"/>
      <c r="P673" s="2067"/>
      <c r="Q673" s="1044"/>
      <c r="R673" s="1044"/>
    </row>
    <row r="674" spans="1:19" ht="12" customHeight="1">
      <c r="A674" s="20"/>
      <c r="B674" s="20"/>
      <c r="C674" s="20"/>
      <c r="D674" s="20"/>
      <c r="E674" s="20"/>
      <c r="F674" s="20"/>
      <c r="G674" s="20"/>
      <c r="H674" s="20"/>
      <c r="I674" s="115"/>
      <c r="J674" s="23"/>
      <c r="K674" s="154"/>
      <c r="L674" s="128"/>
      <c r="M674" s="20"/>
      <c r="N674" s="20"/>
      <c r="O674" s="20"/>
      <c r="P674" s="2067"/>
      <c r="Q674" s="1044"/>
      <c r="R674" s="1044"/>
    </row>
    <row r="675" spans="1:19" ht="15.6">
      <c r="A675" s="21" t="s">
        <v>83</v>
      </c>
      <c r="B675" s="21" t="s">
        <v>135</v>
      </c>
      <c r="C675" s="21" t="s">
        <v>19</v>
      </c>
      <c r="D675" s="21" t="s">
        <v>20</v>
      </c>
      <c r="E675" s="63" t="s">
        <v>51</v>
      </c>
      <c r="F675" s="22">
        <v>14</v>
      </c>
      <c r="G675" s="20" t="s">
        <v>21</v>
      </c>
      <c r="H675" s="143" t="s">
        <v>129</v>
      </c>
      <c r="I675" s="115">
        <v>17.899999999999999</v>
      </c>
      <c r="J675" s="23">
        <v>6.3</v>
      </c>
      <c r="K675" s="154">
        <v>4</v>
      </c>
      <c r="L675" s="130">
        <f t="shared" ref="L675:L678" si="131">(I675*J675*K675/1000)</f>
        <v>0.45107999999999993</v>
      </c>
      <c r="M675" s="20"/>
      <c r="N675" s="23"/>
      <c r="O675" s="20"/>
      <c r="P675" s="2067"/>
      <c r="Q675" s="1044"/>
      <c r="R675" s="1044"/>
      <c r="S675" t="s">
        <v>170</v>
      </c>
    </row>
    <row r="676" spans="1:19" ht="15.6">
      <c r="A676" s="20"/>
      <c r="B676" s="21" t="s">
        <v>52</v>
      </c>
      <c r="C676" s="20"/>
      <c r="D676" s="20"/>
      <c r="E676" s="20"/>
      <c r="F676" s="20"/>
      <c r="G676" s="20" t="s">
        <v>21</v>
      </c>
      <c r="H676" s="20" t="s">
        <v>129</v>
      </c>
      <c r="I676" s="115">
        <v>17.899999999999999</v>
      </c>
      <c r="J676" s="23">
        <v>7</v>
      </c>
      <c r="K676" s="154">
        <v>12</v>
      </c>
      <c r="L676" s="130">
        <f t="shared" si="131"/>
        <v>1.5035999999999998</v>
      </c>
      <c r="M676" s="20"/>
      <c r="N676" s="23"/>
      <c r="O676" s="20"/>
      <c r="P676" s="2067"/>
      <c r="Q676" s="1044"/>
      <c r="R676" s="1044"/>
    </row>
    <row r="677" spans="1:19" ht="15.6">
      <c r="A677" s="20"/>
      <c r="B677" s="20"/>
      <c r="C677" s="20"/>
      <c r="D677" s="20"/>
      <c r="E677" s="20"/>
      <c r="F677" s="20"/>
      <c r="G677" s="20" t="s">
        <v>21</v>
      </c>
      <c r="H677" s="20" t="s">
        <v>129</v>
      </c>
      <c r="I677" s="115">
        <v>17.899999999999999</v>
      </c>
      <c r="J677" s="23">
        <v>8.4499999999999993</v>
      </c>
      <c r="K677" s="154">
        <v>16</v>
      </c>
      <c r="L677" s="130">
        <f t="shared" si="131"/>
        <v>2.4200799999999996</v>
      </c>
      <c r="M677" s="20"/>
      <c r="N677" s="23"/>
      <c r="O677" s="20"/>
      <c r="P677" s="2067"/>
      <c r="Q677" s="1044"/>
      <c r="R677" s="1044"/>
    </row>
    <row r="678" spans="1:19" ht="15.6">
      <c r="A678" s="20"/>
      <c r="B678" s="20"/>
      <c r="C678" s="20"/>
      <c r="D678" s="20"/>
      <c r="E678" s="20"/>
      <c r="F678" s="20"/>
      <c r="G678" s="20" t="s">
        <v>21</v>
      </c>
      <c r="H678" s="20" t="s">
        <v>129</v>
      </c>
      <c r="I678" s="115">
        <v>17.899999999999999</v>
      </c>
      <c r="J678" s="23">
        <v>11.8</v>
      </c>
      <c r="K678" s="154">
        <v>13</v>
      </c>
      <c r="L678" s="130">
        <f t="shared" si="131"/>
        <v>2.74586</v>
      </c>
      <c r="M678" s="20"/>
      <c r="N678" s="23"/>
      <c r="O678" s="20"/>
      <c r="P678" s="2067"/>
      <c r="Q678" s="1044"/>
      <c r="R678" s="1044"/>
    </row>
    <row r="679" spans="1:19" ht="15.6">
      <c r="A679" s="20"/>
      <c r="B679" s="20"/>
      <c r="C679" s="20"/>
      <c r="D679" s="20"/>
      <c r="E679" s="20"/>
      <c r="F679" s="20"/>
      <c r="G679" s="20"/>
      <c r="H679" s="20"/>
      <c r="I679" s="131"/>
      <c r="J679" s="23"/>
      <c r="K679" s="154">
        <f t="shared" ref="K679:L679" si="132">SUM(K675:K678)</f>
        <v>45</v>
      </c>
      <c r="L679" s="128">
        <f t="shared" si="132"/>
        <v>7.1206199999999988</v>
      </c>
      <c r="M679" s="25"/>
      <c r="N679" s="23"/>
      <c r="O679" s="20"/>
      <c r="P679" s="2068"/>
      <c r="Q679" s="1044"/>
      <c r="R679" s="1044"/>
    </row>
    <row r="680" spans="1:19" ht="15.6">
      <c r="A680" s="20"/>
      <c r="B680" s="20"/>
      <c r="C680" s="20"/>
      <c r="D680" s="20"/>
      <c r="E680" s="20"/>
      <c r="F680" s="20"/>
      <c r="G680" s="20"/>
      <c r="H680" s="20"/>
      <c r="I680" s="131"/>
      <c r="J680" s="23"/>
      <c r="K680" s="154"/>
      <c r="L680" s="128">
        <f>+L679+L673</f>
        <v>100.80922000000001</v>
      </c>
      <c r="M680" s="25"/>
      <c r="N680" s="23"/>
      <c r="O680" s="20"/>
      <c r="P680" s="20"/>
      <c r="Q680" s="155"/>
      <c r="R680" s="155"/>
    </row>
    <row r="681" spans="1:19" ht="12" customHeight="1">
      <c r="A681" s="20"/>
      <c r="B681" s="20"/>
      <c r="C681" s="20"/>
      <c r="D681" s="20"/>
      <c r="E681" s="20"/>
      <c r="F681" s="20"/>
      <c r="G681" s="20"/>
      <c r="H681" s="20"/>
      <c r="I681" s="115"/>
      <c r="J681" s="23"/>
      <c r="K681" s="154"/>
      <c r="L681" s="128"/>
      <c r="M681" s="20"/>
      <c r="N681" s="20"/>
      <c r="O681" s="20"/>
      <c r="P681" s="20"/>
      <c r="Q681" s="155"/>
      <c r="R681" s="155"/>
    </row>
    <row r="682" spans="1:19" ht="15.6">
      <c r="A682" s="21" t="s">
        <v>83</v>
      </c>
      <c r="B682" s="21" t="s">
        <v>132</v>
      </c>
      <c r="C682" s="21" t="s">
        <v>19</v>
      </c>
      <c r="D682" s="21" t="s">
        <v>20</v>
      </c>
      <c r="E682" s="63" t="s">
        <v>51</v>
      </c>
      <c r="F682" s="22">
        <v>14</v>
      </c>
      <c r="G682" s="20" t="s">
        <v>21</v>
      </c>
      <c r="H682" s="143" t="s">
        <v>128</v>
      </c>
      <c r="I682" s="115">
        <v>16</v>
      </c>
      <c r="J682" s="23">
        <v>7.15</v>
      </c>
      <c r="K682" s="154">
        <v>36</v>
      </c>
      <c r="L682" s="130">
        <f t="shared" ref="L682:L685" si="133">(I682*J682*K682/1000)</f>
        <v>4.1184000000000003</v>
      </c>
      <c r="M682" s="20"/>
      <c r="N682" s="23"/>
      <c r="O682" s="20"/>
      <c r="P682" s="2066" t="s">
        <v>157</v>
      </c>
      <c r="Q682" s="1044"/>
      <c r="R682" s="1044"/>
      <c r="S682" s="150" t="s">
        <v>220</v>
      </c>
    </row>
    <row r="683" spans="1:19" ht="15.6">
      <c r="A683" s="20"/>
      <c r="B683" s="21" t="s">
        <v>84</v>
      </c>
      <c r="C683" s="20"/>
      <c r="D683" s="20"/>
      <c r="E683" s="20"/>
      <c r="F683" s="20"/>
      <c r="G683" s="20" t="s">
        <v>21</v>
      </c>
      <c r="H683" s="20" t="s">
        <v>128</v>
      </c>
      <c r="I683" s="115">
        <v>16</v>
      </c>
      <c r="J683" s="23">
        <v>7.2</v>
      </c>
      <c r="K683" s="154">
        <v>38</v>
      </c>
      <c r="L683" s="130">
        <f t="shared" si="133"/>
        <v>4.3776000000000002</v>
      </c>
      <c r="M683" s="20"/>
      <c r="N683" s="23"/>
      <c r="O683" s="20"/>
      <c r="P683" s="2067"/>
      <c r="Q683" s="1044"/>
      <c r="R683" s="1044"/>
    </row>
    <row r="684" spans="1:19" ht="15.6">
      <c r="A684" s="20"/>
      <c r="B684" s="20"/>
      <c r="C684" s="20"/>
      <c r="D684" s="20"/>
      <c r="E684" s="20"/>
      <c r="F684" s="20"/>
      <c r="G684" s="20" t="s">
        <v>21</v>
      </c>
      <c r="H684" s="20" t="s">
        <v>128</v>
      </c>
      <c r="I684" s="115">
        <v>16</v>
      </c>
      <c r="J684" s="23">
        <v>10</v>
      </c>
      <c r="K684" s="154">
        <v>30</v>
      </c>
      <c r="L684" s="130">
        <f t="shared" si="133"/>
        <v>4.8</v>
      </c>
      <c r="M684" s="20"/>
      <c r="N684" s="23"/>
      <c r="O684" s="20"/>
      <c r="P684" s="2067"/>
      <c r="Q684" s="1044"/>
      <c r="R684" s="1044"/>
    </row>
    <row r="685" spans="1:19" ht="15.6">
      <c r="A685" s="20"/>
      <c r="B685" s="20"/>
      <c r="C685" s="20"/>
      <c r="D685" s="20"/>
      <c r="E685" s="20"/>
      <c r="F685" s="20"/>
      <c r="G685" s="20" t="s">
        <v>21</v>
      </c>
      <c r="H685" s="20" t="s">
        <v>128</v>
      </c>
      <c r="I685" s="115">
        <v>16</v>
      </c>
      <c r="J685" s="23">
        <v>11.3</v>
      </c>
      <c r="K685" s="154">
        <v>4</v>
      </c>
      <c r="L685" s="130">
        <f t="shared" si="133"/>
        <v>0.72320000000000007</v>
      </c>
      <c r="M685" s="20"/>
      <c r="N685" s="23"/>
      <c r="O685" s="20"/>
      <c r="P685" s="2067"/>
      <c r="Q685" s="1044"/>
      <c r="R685" s="1044"/>
    </row>
    <row r="686" spans="1:19" ht="15.6">
      <c r="A686" s="20"/>
      <c r="B686" s="20"/>
      <c r="C686" s="20"/>
      <c r="D686" s="20"/>
      <c r="E686" s="20"/>
      <c r="F686" s="20"/>
      <c r="G686" s="20"/>
      <c r="H686" s="20"/>
      <c r="I686" s="115"/>
      <c r="J686" s="23"/>
      <c r="K686" s="154">
        <f t="shared" ref="K686:L686" si="134">SUM(K682:K685)</f>
        <v>108</v>
      </c>
      <c r="L686" s="128">
        <f t="shared" si="134"/>
        <v>14.0192</v>
      </c>
      <c r="M686" s="25"/>
      <c r="N686" s="23"/>
      <c r="O686" s="20"/>
      <c r="P686" s="2067"/>
      <c r="Q686" s="1044"/>
      <c r="R686" s="1044"/>
    </row>
    <row r="687" spans="1:19" ht="12" customHeight="1">
      <c r="A687" s="20"/>
      <c r="B687" s="20"/>
      <c r="C687" s="20"/>
      <c r="D687" s="20"/>
      <c r="E687" s="20"/>
      <c r="F687" s="20"/>
      <c r="G687" s="20"/>
      <c r="H687" s="20"/>
      <c r="I687" s="115"/>
      <c r="J687" s="23"/>
      <c r="K687" s="154"/>
      <c r="L687" s="128"/>
      <c r="M687" s="20"/>
      <c r="N687" s="20"/>
      <c r="O687" s="20"/>
      <c r="P687" s="2067"/>
      <c r="Q687" s="1044"/>
      <c r="R687" s="1044"/>
    </row>
    <row r="688" spans="1:19" ht="15.6">
      <c r="A688" s="21" t="s">
        <v>83</v>
      </c>
      <c r="B688" s="21" t="s">
        <v>135</v>
      </c>
      <c r="C688" s="21" t="s">
        <v>19</v>
      </c>
      <c r="D688" s="21" t="s">
        <v>20</v>
      </c>
      <c r="E688" s="63" t="s">
        <v>51</v>
      </c>
      <c r="F688" s="22">
        <v>14</v>
      </c>
      <c r="G688" s="20" t="s">
        <v>21</v>
      </c>
      <c r="H688" s="143" t="s">
        <v>128</v>
      </c>
      <c r="I688" s="115">
        <v>16</v>
      </c>
      <c r="J688" s="23">
        <v>10</v>
      </c>
      <c r="K688" s="154">
        <v>1</v>
      </c>
      <c r="L688" s="130">
        <f>(I688*J688*K688/1000)</f>
        <v>0.16</v>
      </c>
      <c r="M688" s="20"/>
      <c r="N688" s="23"/>
      <c r="O688" s="20"/>
      <c r="P688" s="2067"/>
      <c r="Q688" s="1044"/>
      <c r="R688" s="1044"/>
      <c r="S688" s="150" t="s">
        <v>220</v>
      </c>
    </row>
    <row r="689" spans="1:18" ht="15.6">
      <c r="A689" s="20"/>
      <c r="B689" s="21" t="s">
        <v>52</v>
      </c>
      <c r="C689" s="20"/>
      <c r="D689" s="20"/>
      <c r="E689" s="20"/>
      <c r="F689" s="20"/>
      <c r="G689" s="20"/>
      <c r="H689" s="20"/>
      <c r="I689" s="115"/>
      <c r="J689" s="23"/>
      <c r="K689" s="154">
        <f t="shared" ref="K689:L689" si="135">SUM(K688)</f>
        <v>1</v>
      </c>
      <c r="L689" s="128">
        <f t="shared" si="135"/>
        <v>0.16</v>
      </c>
      <c r="M689" s="25"/>
      <c r="N689" s="23"/>
      <c r="O689" s="20"/>
      <c r="P689" s="2067"/>
      <c r="Q689" s="1044"/>
      <c r="R689" s="1044"/>
    </row>
    <row r="690" spans="1:18" ht="15.6">
      <c r="A690" s="20"/>
      <c r="B690" s="21"/>
      <c r="C690" s="20"/>
      <c r="D690" s="20"/>
      <c r="E690" s="20"/>
      <c r="F690" s="20"/>
      <c r="G690" s="20"/>
      <c r="H690" s="20"/>
      <c r="I690" s="115"/>
      <c r="J690" s="23"/>
      <c r="K690" s="154"/>
      <c r="L690" s="128"/>
      <c r="M690" s="25"/>
      <c r="N690" s="23"/>
      <c r="O690" s="20"/>
      <c r="P690" s="2067"/>
      <c r="Q690" s="1044"/>
      <c r="R690" s="1044"/>
    </row>
    <row r="691" spans="1:18" ht="15.6">
      <c r="A691" s="21" t="s">
        <v>83</v>
      </c>
      <c r="B691" s="21" t="s">
        <v>161</v>
      </c>
      <c r="C691" s="21" t="s">
        <v>19</v>
      </c>
      <c r="D691" s="21" t="s">
        <v>20</v>
      </c>
      <c r="E691" s="63" t="s">
        <v>51</v>
      </c>
      <c r="F691" s="22">
        <v>14</v>
      </c>
      <c r="G691" s="143" t="s">
        <v>21</v>
      </c>
      <c r="H691" s="143" t="s">
        <v>128</v>
      </c>
      <c r="I691" s="315">
        <v>16</v>
      </c>
      <c r="J691" s="144">
        <v>7.15</v>
      </c>
      <c r="K691" s="220">
        <v>1</v>
      </c>
      <c r="L691" s="306">
        <f>(I691*J691*K691/1000)</f>
        <v>0.1144</v>
      </c>
      <c r="M691" s="25"/>
      <c r="N691" s="23"/>
      <c r="O691" s="20"/>
      <c r="P691" s="2067"/>
      <c r="Q691" s="1044"/>
      <c r="R691" s="1044"/>
    </row>
    <row r="692" spans="1:18" ht="15.6">
      <c r="A692" s="20"/>
      <c r="B692" s="21" t="s">
        <v>52</v>
      </c>
      <c r="C692" s="20"/>
      <c r="D692" s="20"/>
      <c r="E692" s="20"/>
      <c r="F692" s="20"/>
      <c r="G692" s="143"/>
      <c r="H692" s="143"/>
      <c r="I692" s="315"/>
      <c r="J692" s="144"/>
      <c r="K692" s="220">
        <f t="shared" ref="K692" si="136">SUM(K691)</f>
        <v>1</v>
      </c>
      <c r="L692" s="307">
        <f>SUM(L691)</f>
        <v>0.1144</v>
      </c>
      <c r="M692" s="25"/>
      <c r="N692" s="23"/>
      <c r="O692" s="20"/>
      <c r="P692" s="2068"/>
      <c r="Q692" s="1044"/>
      <c r="R692" s="1044"/>
    </row>
    <row r="693" spans="1:18" ht="15.6">
      <c r="A693" s="20"/>
      <c r="B693" s="21"/>
      <c r="C693" s="20"/>
      <c r="D693" s="20"/>
      <c r="E693" s="20"/>
      <c r="F693" s="20"/>
      <c r="G693" s="20"/>
      <c r="H693" s="20"/>
      <c r="I693" s="115"/>
      <c r="J693" s="23"/>
      <c r="K693" s="154"/>
      <c r="L693" s="128">
        <f>+L689+L686+L692</f>
        <v>14.2936</v>
      </c>
      <c r="M693" s="25"/>
      <c r="N693" s="23"/>
      <c r="O693" s="20"/>
      <c r="P693" s="20"/>
      <c r="Q693" s="155"/>
      <c r="R693" s="155"/>
    </row>
    <row r="694" spans="1:18" ht="15.6">
      <c r="A694" s="20"/>
      <c r="B694" s="21"/>
      <c r="C694" s="20"/>
      <c r="D694" s="20"/>
      <c r="E694" s="20"/>
      <c r="F694" s="20"/>
      <c r="G694" s="20"/>
      <c r="H694" s="20"/>
      <c r="I694" s="115"/>
      <c r="J694" s="23"/>
      <c r="K694" s="154"/>
      <c r="L694" s="128"/>
      <c r="M694" s="25"/>
      <c r="N694" s="23"/>
      <c r="O694" s="20"/>
      <c r="P694" s="20"/>
      <c r="Q694" s="155"/>
      <c r="R694" s="155"/>
    </row>
    <row r="695" spans="1:18" ht="15.6">
      <c r="A695" s="20"/>
      <c r="B695" s="20"/>
      <c r="C695" s="20"/>
      <c r="D695" s="20"/>
      <c r="E695" s="20"/>
      <c r="F695" s="20"/>
      <c r="G695" s="20"/>
      <c r="H695" s="20"/>
      <c r="I695" s="131"/>
      <c r="J695" s="23"/>
      <c r="K695" s="154"/>
      <c r="L695" s="128">
        <f>+L680+L693+L622+L619+L636+L664</f>
        <v>537.47018000000003</v>
      </c>
      <c r="M695" s="25"/>
      <c r="N695" s="23"/>
      <c r="O695" s="20"/>
      <c r="P695" s="20"/>
      <c r="Q695" s="155"/>
      <c r="R695" s="155"/>
    </row>
    <row r="696" spans="1:18">
      <c r="A696" s="10" t="s">
        <v>48</v>
      </c>
      <c r="B696" s="10"/>
      <c r="C696" s="11"/>
      <c r="D696" s="11"/>
      <c r="E696" s="11"/>
      <c r="F696" s="92"/>
      <c r="G696" s="11"/>
      <c r="H696" s="92"/>
      <c r="I696" s="13"/>
      <c r="J696" s="11"/>
      <c r="K696" s="202"/>
      <c r="L696" s="2047" t="s">
        <v>0</v>
      </c>
      <c r="M696" s="2047"/>
      <c r="N696" s="2047"/>
      <c r="O696" s="2048"/>
      <c r="P696" s="2020"/>
      <c r="Q696" s="142"/>
      <c r="R696" s="142"/>
    </row>
    <row r="697" spans="1:18">
      <c r="A697" s="14" t="s">
        <v>1</v>
      </c>
      <c r="B697" s="14"/>
      <c r="C697" s="14"/>
      <c r="D697" s="15" t="s">
        <v>2</v>
      </c>
      <c r="E697" s="15"/>
      <c r="F697" s="16"/>
      <c r="G697" s="16"/>
      <c r="H697" s="16"/>
      <c r="I697" s="17"/>
      <c r="J697" s="16"/>
      <c r="K697" s="203" t="s">
        <v>3</v>
      </c>
      <c r="L697" s="16"/>
      <c r="M697" s="14"/>
      <c r="N697" s="16"/>
      <c r="O697" s="19"/>
      <c r="P697" s="2020"/>
      <c r="Q697" s="142"/>
      <c r="R697" s="142"/>
    </row>
    <row r="698" spans="1:18" ht="15.6">
      <c r="A698" s="111" t="s">
        <v>22</v>
      </c>
      <c r="B698" s="2021" t="s">
        <v>23</v>
      </c>
      <c r="C698" s="2022"/>
      <c r="D698" s="2023"/>
      <c r="E698" s="111" t="s">
        <v>24</v>
      </c>
      <c r="F698" s="2021" t="s">
        <v>25</v>
      </c>
      <c r="G698" s="2023"/>
      <c r="H698" s="2021" t="s">
        <v>26</v>
      </c>
      <c r="I698" s="2022"/>
      <c r="J698" s="2022"/>
      <c r="K698" s="2023"/>
      <c r="L698" s="2024" t="s">
        <v>27</v>
      </c>
      <c r="M698" s="2024"/>
      <c r="N698" s="2024"/>
      <c r="O698" s="2021"/>
      <c r="P698" s="2020"/>
      <c r="Q698" s="142"/>
      <c r="R698" s="142"/>
    </row>
    <row r="699" spans="1:18" ht="15.6">
      <c r="A699" s="38" t="s">
        <v>28</v>
      </c>
      <c r="B699" s="2025" t="s">
        <v>139</v>
      </c>
      <c r="C699" s="2026"/>
      <c r="D699" s="2027"/>
      <c r="E699" s="26">
        <f>+L619</f>
        <v>189.79828000000001</v>
      </c>
      <c r="F699" s="2025">
        <v>14</v>
      </c>
      <c r="G699" s="2027"/>
      <c r="H699" s="2025" t="s">
        <v>49</v>
      </c>
      <c r="I699" s="2026"/>
      <c r="J699" s="2026"/>
      <c r="K699" s="2027"/>
      <c r="L699" s="2025" t="s">
        <v>80</v>
      </c>
      <c r="M699" s="2026"/>
      <c r="N699" s="2026"/>
      <c r="O699" s="2026"/>
      <c r="P699" s="2020"/>
      <c r="Q699" s="142"/>
      <c r="R699" s="142"/>
    </row>
    <row r="700" spans="1:18" ht="15.6">
      <c r="A700" s="38" t="s">
        <v>29</v>
      </c>
      <c r="B700" s="2025" t="s">
        <v>164</v>
      </c>
      <c r="C700" s="2026"/>
      <c r="D700" s="2027"/>
      <c r="E700" s="26">
        <v>2</v>
      </c>
      <c r="F700" s="2025">
        <v>14</v>
      </c>
      <c r="G700" s="2027"/>
      <c r="H700" s="2025" t="s">
        <v>49</v>
      </c>
      <c r="I700" s="2026"/>
      <c r="J700" s="2026"/>
      <c r="K700" s="2027"/>
      <c r="L700" s="2025" t="s">
        <v>80</v>
      </c>
      <c r="M700" s="2026"/>
      <c r="N700" s="2026"/>
      <c r="O700" s="2026"/>
      <c r="P700" s="2020"/>
      <c r="Q700" s="142"/>
      <c r="R700" s="142"/>
    </row>
    <row r="701" spans="1:18" ht="15.6">
      <c r="A701" s="38" t="s">
        <v>30</v>
      </c>
      <c r="B701" s="2025" t="s">
        <v>140</v>
      </c>
      <c r="C701" s="2026"/>
      <c r="D701" s="2027"/>
      <c r="E701" s="26">
        <f>+L636</f>
        <v>101.56901999999999</v>
      </c>
      <c r="F701" s="2025">
        <v>14</v>
      </c>
      <c r="G701" s="2027"/>
      <c r="H701" s="2025" t="s">
        <v>49</v>
      </c>
      <c r="I701" s="2026"/>
      <c r="J701" s="2026"/>
      <c r="K701" s="2027"/>
      <c r="L701" s="2025" t="s">
        <v>80</v>
      </c>
      <c r="M701" s="2026"/>
      <c r="N701" s="2026"/>
      <c r="O701" s="2026"/>
      <c r="P701" s="2020"/>
      <c r="Q701" s="142"/>
      <c r="R701" s="142"/>
    </row>
    <row r="702" spans="1:18" ht="15.6">
      <c r="A702" s="38" t="s">
        <v>46</v>
      </c>
      <c r="B702" s="2025" t="s">
        <v>141</v>
      </c>
      <c r="C702" s="2026"/>
      <c r="D702" s="2027"/>
      <c r="E702" s="26">
        <f>+L664</f>
        <v>129.55734000000001</v>
      </c>
      <c r="F702" s="2025">
        <v>14</v>
      </c>
      <c r="G702" s="2027"/>
      <c r="H702" s="2025" t="s">
        <v>49</v>
      </c>
      <c r="I702" s="2026"/>
      <c r="J702" s="2026"/>
      <c r="K702" s="2027"/>
      <c r="L702" s="2025" t="s">
        <v>80</v>
      </c>
      <c r="M702" s="2026"/>
      <c r="N702" s="2026"/>
      <c r="O702" s="2026"/>
      <c r="P702" s="2020"/>
      <c r="Q702" s="142"/>
      <c r="R702" s="142"/>
    </row>
    <row r="703" spans="1:18" ht="15.6">
      <c r="A703" s="38" t="s">
        <v>58</v>
      </c>
      <c r="B703" s="2025" t="s">
        <v>142</v>
      </c>
      <c r="C703" s="2026"/>
      <c r="D703" s="2027"/>
      <c r="E703" s="26">
        <f>+L680</f>
        <v>100.80922000000001</v>
      </c>
      <c r="F703" s="2025">
        <v>14</v>
      </c>
      <c r="G703" s="2027"/>
      <c r="H703" s="2025" t="s">
        <v>49</v>
      </c>
      <c r="I703" s="2026"/>
      <c r="J703" s="2026"/>
      <c r="K703" s="2027"/>
      <c r="L703" s="2025" t="s">
        <v>80</v>
      </c>
      <c r="M703" s="2026"/>
      <c r="N703" s="2026"/>
      <c r="O703" s="2026"/>
      <c r="P703" s="2020"/>
      <c r="Q703" s="142"/>
      <c r="R703" s="142"/>
    </row>
    <row r="704" spans="1:18" ht="15.6">
      <c r="A704" s="38" t="s">
        <v>163</v>
      </c>
      <c r="B704" s="2025" t="s">
        <v>143</v>
      </c>
      <c r="C704" s="2026"/>
      <c r="D704" s="2027"/>
      <c r="E704" s="26">
        <f>+L693</f>
        <v>14.2936</v>
      </c>
      <c r="F704" s="2025">
        <v>14</v>
      </c>
      <c r="G704" s="2027"/>
      <c r="H704" s="2025" t="s">
        <v>49</v>
      </c>
      <c r="I704" s="2026"/>
      <c r="J704" s="2026"/>
      <c r="K704" s="2027"/>
      <c r="L704" s="2025" t="s">
        <v>80</v>
      </c>
      <c r="M704" s="2026"/>
      <c r="N704" s="2026"/>
      <c r="O704" s="2026"/>
      <c r="P704" s="2020"/>
      <c r="Q704" s="142"/>
      <c r="R704" s="142"/>
    </row>
    <row r="705" spans="1:18" ht="16.2" thickBot="1">
      <c r="A705" s="38"/>
      <c r="B705" s="241"/>
      <c r="C705" s="242"/>
      <c r="D705" s="242"/>
      <c r="E705" s="26"/>
      <c r="F705" s="242"/>
      <c r="G705" s="243"/>
      <c r="H705" s="241"/>
      <c r="I705" s="1856"/>
      <c r="J705" s="242"/>
      <c r="K705" s="243"/>
      <c r="L705" s="279"/>
      <c r="M705" s="242"/>
      <c r="N705" s="242"/>
      <c r="O705" s="242"/>
      <c r="P705" s="2020"/>
      <c r="Q705" s="142"/>
      <c r="R705" s="142"/>
    </row>
    <row r="706" spans="1:18" ht="23.25" customHeight="1" thickBot="1">
      <c r="A706" s="41"/>
      <c r="B706" s="42"/>
      <c r="C706" s="43"/>
      <c r="D706" s="43"/>
      <c r="E706" s="244">
        <f>SUM(E699:E704)</f>
        <v>538.02746000000002</v>
      </c>
      <c r="F706" s="44"/>
      <c r="G706" s="45"/>
      <c r="H706" s="46"/>
      <c r="I706" s="1858"/>
      <c r="J706" s="43"/>
      <c r="K706" s="205"/>
      <c r="L706" s="46"/>
      <c r="M706" s="43"/>
      <c r="N706" s="44"/>
      <c r="O706" s="43"/>
      <c r="P706" s="2020"/>
      <c r="Q706" s="142"/>
      <c r="R706" s="142"/>
    </row>
    <row r="707" spans="1:18" ht="15.6">
      <c r="A707" s="53" t="s">
        <v>31</v>
      </c>
      <c r="B707" s="43"/>
      <c r="C707" s="43"/>
      <c r="D707" s="43"/>
      <c r="E707" s="43"/>
      <c r="F707" s="44"/>
      <c r="G707" s="43"/>
      <c r="H707" s="44"/>
      <c r="I707" s="1858"/>
      <c r="J707" s="43"/>
      <c r="K707" s="207"/>
      <c r="L707" s="44"/>
      <c r="M707" s="43"/>
      <c r="N707" s="44"/>
      <c r="O707" s="43"/>
      <c r="P707" s="2020"/>
      <c r="Q707" s="142"/>
      <c r="R707" s="142"/>
    </row>
    <row r="708" spans="1:18" ht="15.6">
      <c r="A708" s="54"/>
      <c r="B708" s="55"/>
      <c r="C708" s="55"/>
      <c r="D708" s="55"/>
      <c r="E708" s="55"/>
      <c r="F708" s="107"/>
      <c r="G708" s="55"/>
      <c r="H708" s="107"/>
      <c r="I708" s="1859"/>
      <c r="J708" s="55"/>
      <c r="K708" s="208"/>
      <c r="L708" s="283"/>
      <c r="M708" s="55"/>
      <c r="N708" s="107"/>
      <c r="O708" s="55"/>
      <c r="P708" s="2020"/>
      <c r="Q708" s="142"/>
      <c r="R708" s="142"/>
    </row>
    <row r="709" spans="1:18" ht="16.2" thickBot="1">
      <c r="A709" s="2030" t="s">
        <v>32</v>
      </c>
      <c r="B709" s="2031"/>
      <c r="C709" s="2032" t="s">
        <v>33</v>
      </c>
      <c r="D709" s="2033"/>
      <c r="E709" s="57" t="s">
        <v>34</v>
      </c>
      <c r="F709" s="57" t="s">
        <v>35</v>
      </c>
      <c r="G709" s="2034" t="s">
        <v>36</v>
      </c>
      <c r="H709" s="2035"/>
      <c r="I709" s="2035"/>
      <c r="J709" s="2035"/>
      <c r="K709" s="2035"/>
      <c r="L709" s="2035"/>
      <c r="M709" s="2035"/>
      <c r="N709" s="2035"/>
      <c r="O709" s="2035"/>
      <c r="P709" s="2020"/>
      <c r="Q709" s="142"/>
      <c r="R709" s="142"/>
    </row>
    <row r="710" spans="1:18" ht="15.6">
      <c r="A710" s="2036"/>
      <c r="B710" s="2023"/>
      <c r="C710" s="2021"/>
      <c r="D710" s="2023"/>
      <c r="E710" s="111"/>
      <c r="F710" s="105"/>
      <c r="G710" s="2037"/>
      <c r="H710" s="2038"/>
      <c r="I710" s="2038"/>
      <c r="J710" s="2038"/>
      <c r="K710" s="2038"/>
      <c r="L710" s="2038"/>
      <c r="M710" s="2038"/>
      <c r="N710" s="2038"/>
      <c r="O710" s="2038"/>
      <c r="P710" s="2020"/>
      <c r="Q710" s="142"/>
      <c r="R710" s="142"/>
    </row>
    <row r="711" spans="1:18" ht="15.6">
      <c r="A711" s="2043" t="s">
        <v>37</v>
      </c>
      <c r="B711" s="2044"/>
      <c r="C711" s="2021"/>
      <c r="D711" s="2023"/>
      <c r="E711" s="111"/>
      <c r="F711" s="105"/>
      <c r="G711" s="2039"/>
      <c r="H711" s="2040"/>
      <c r="I711" s="2040"/>
      <c r="J711" s="2040"/>
      <c r="K711" s="2040"/>
      <c r="L711" s="2040"/>
      <c r="M711" s="2040"/>
      <c r="N711" s="2040"/>
      <c r="O711" s="2040"/>
      <c r="P711" s="2020"/>
      <c r="Q711" s="142"/>
      <c r="R711" s="142"/>
    </row>
    <row r="712" spans="1:18" ht="15.6">
      <c r="A712" s="2043" t="s">
        <v>38</v>
      </c>
      <c r="B712" s="2044"/>
      <c r="C712" s="2021"/>
      <c r="D712" s="2023"/>
      <c r="E712" s="111"/>
      <c r="F712" s="105"/>
      <c r="G712" s="2039"/>
      <c r="H712" s="2040"/>
      <c r="I712" s="2040"/>
      <c r="J712" s="2040"/>
      <c r="K712" s="2040"/>
      <c r="L712" s="2040"/>
      <c r="M712" s="2040"/>
      <c r="N712" s="2040"/>
      <c r="O712" s="2040"/>
      <c r="P712" s="2020"/>
      <c r="Q712" s="142"/>
      <c r="R712" s="142"/>
    </row>
    <row r="713" spans="1:18" ht="15.6">
      <c r="A713" s="2043" t="s">
        <v>39</v>
      </c>
      <c r="B713" s="2044"/>
      <c r="C713" s="2021"/>
      <c r="D713" s="2023"/>
      <c r="E713" s="111"/>
      <c r="F713" s="105"/>
      <c r="G713" s="2039"/>
      <c r="H713" s="2040"/>
      <c r="I713" s="2040"/>
      <c r="J713" s="2040"/>
      <c r="K713" s="2040"/>
      <c r="L713" s="2040"/>
      <c r="M713" s="2040"/>
      <c r="N713" s="2040"/>
      <c r="O713" s="2040"/>
      <c r="P713" s="2020"/>
      <c r="Q713" s="142"/>
      <c r="R713" s="142"/>
    </row>
    <row r="714" spans="1:18" ht="15.6">
      <c r="A714" s="2043" t="s">
        <v>40</v>
      </c>
      <c r="B714" s="2044"/>
      <c r="C714" s="2021"/>
      <c r="D714" s="2023"/>
      <c r="E714" s="111"/>
      <c r="F714" s="105"/>
      <c r="G714" s="2039"/>
      <c r="H714" s="2040"/>
      <c r="I714" s="2040"/>
      <c r="J714" s="2040"/>
      <c r="K714" s="2040"/>
      <c r="L714" s="2040"/>
      <c r="M714" s="2040"/>
      <c r="N714" s="2040"/>
      <c r="O714" s="2040"/>
      <c r="P714" s="2020"/>
      <c r="Q714" s="142"/>
      <c r="R714" s="142"/>
    </row>
    <row r="715" spans="1:18" ht="16.2" thickBot="1">
      <c r="A715" s="2049" t="s">
        <v>41</v>
      </c>
      <c r="B715" s="2050"/>
      <c r="C715" s="2051"/>
      <c r="D715" s="2052"/>
      <c r="E715" s="58"/>
      <c r="F715" s="106"/>
      <c r="G715" s="2041"/>
      <c r="H715" s="2042"/>
      <c r="I715" s="2042"/>
      <c r="J715" s="2042"/>
      <c r="K715" s="2042"/>
      <c r="L715" s="2042"/>
      <c r="M715" s="2042"/>
      <c r="N715" s="2042"/>
      <c r="O715" s="2042"/>
      <c r="P715" s="2020"/>
      <c r="Q715" s="142"/>
      <c r="R715" s="142"/>
    </row>
    <row r="716" spans="1:18" ht="15.6">
      <c r="A716" s="54"/>
      <c r="B716" s="55"/>
      <c r="C716" s="55"/>
      <c r="D716" s="55"/>
      <c r="E716" s="55"/>
      <c r="F716" s="107"/>
      <c r="G716" s="55"/>
      <c r="H716" s="59"/>
      <c r="I716" s="60"/>
      <c r="J716" s="61"/>
      <c r="K716" s="209"/>
      <c r="L716" s="301"/>
      <c r="M716" s="55"/>
      <c r="N716" s="107"/>
      <c r="O716" s="55"/>
      <c r="P716" s="2020"/>
      <c r="Q716" s="142"/>
      <c r="R716" s="142"/>
    </row>
    <row r="717" spans="1:18" ht="15.6">
      <c r="A717" s="62" t="s">
        <v>42</v>
      </c>
      <c r="B717" s="56"/>
      <c r="C717" s="55"/>
      <c r="D717" s="55"/>
      <c r="E717" s="55"/>
      <c r="F717" s="107"/>
      <c r="G717" s="56"/>
      <c r="H717" s="59"/>
      <c r="I717" s="60"/>
      <c r="J717" s="61"/>
      <c r="K717" s="208"/>
      <c r="L717" s="302"/>
      <c r="M717" s="55"/>
      <c r="N717" s="2045" t="s">
        <v>43</v>
      </c>
      <c r="O717" s="2045"/>
      <c r="P717" s="2020"/>
      <c r="Q717" s="142"/>
      <c r="R717" s="142"/>
    </row>
    <row r="718" spans="1:18" ht="15.6">
      <c r="A718" s="62"/>
      <c r="B718" s="56"/>
      <c r="C718" s="55"/>
      <c r="D718" s="55"/>
      <c r="E718" s="55"/>
      <c r="F718" s="107"/>
      <c r="G718" s="55"/>
      <c r="H718" s="107"/>
      <c r="I718" s="1859"/>
      <c r="J718" s="55"/>
      <c r="K718" s="208"/>
      <c r="L718" s="283"/>
      <c r="M718" s="55"/>
      <c r="N718" s="107"/>
      <c r="O718" s="56"/>
      <c r="P718" s="2020"/>
      <c r="Q718" s="142"/>
      <c r="R718" s="142"/>
    </row>
    <row r="719" spans="1:18" ht="15.6">
      <c r="A719" s="62" t="s">
        <v>44</v>
      </c>
      <c r="B719" s="56"/>
      <c r="C719" s="55"/>
      <c r="D719" s="55"/>
      <c r="E719" s="55"/>
      <c r="F719" s="107"/>
      <c r="G719" s="55"/>
      <c r="H719" s="107"/>
      <c r="I719" s="1859"/>
      <c r="J719" s="55"/>
      <c r="K719" s="208"/>
      <c r="L719" s="283"/>
      <c r="M719" s="55"/>
      <c r="N719" s="2045" t="s">
        <v>45</v>
      </c>
      <c r="O719" s="2045"/>
      <c r="P719" s="2020"/>
      <c r="Q719" s="142"/>
      <c r="R719" s="142"/>
    </row>
    <row r="720" spans="1:18" ht="16.2" thickBot="1">
      <c r="A720" s="48"/>
      <c r="B720" s="49"/>
      <c r="C720" s="49"/>
      <c r="D720" s="49"/>
      <c r="E720" s="49"/>
      <c r="F720" s="50"/>
      <c r="G720" s="49"/>
      <c r="H720" s="50"/>
      <c r="I720" s="1860"/>
      <c r="J720" s="49"/>
      <c r="K720" s="210"/>
      <c r="L720" s="50"/>
      <c r="M720" s="49"/>
      <c r="N720" s="50"/>
      <c r="O720" s="49"/>
      <c r="P720" s="2020"/>
      <c r="Q720" s="142"/>
      <c r="R720" s="142"/>
    </row>
    <row r="723" spans="1:19">
      <c r="A723" s="1" t="s">
        <v>48</v>
      </c>
      <c r="B723" s="1"/>
      <c r="C723" s="2"/>
      <c r="D723" s="2"/>
      <c r="E723" s="2"/>
      <c r="F723" s="3"/>
      <c r="G723" s="2"/>
      <c r="H723" s="2"/>
      <c r="I723" s="4"/>
      <c r="J723" s="5"/>
      <c r="K723" s="196"/>
      <c r="L723" s="2056" t="s">
        <v>0</v>
      </c>
      <c r="M723" s="2056"/>
      <c r="N723" s="2056"/>
      <c r="O723" s="2056"/>
      <c r="P723" s="64"/>
      <c r="Q723" s="64"/>
      <c r="R723" s="64"/>
    </row>
    <row r="724" spans="1:19" ht="15.6">
      <c r="A724" s="27" t="s">
        <v>1</v>
      </c>
      <c r="B724" s="27"/>
      <c r="C724" s="27"/>
      <c r="D724" s="28" t="s">
        <v>2</v>
      </c>
      <c r="E724" s="28"/>
      <c r="F724" s="29"/>
      <c r="G724" s="29"/>
      <c r="H724" s="29"/>
      <c r="I724" s="30"/>
      <c r="J724" s="31"/>
      <c r="K724" s="197" t="s">
        <v>3</v>
      </c>
      <c r="L724" s="31"/>
      <c r="M724" s="27"/>
      <c r="N724" s="29"/>
      <c r="O724" s="27"/>
      <c r="P724" s="67"/>
      <c r="Q724" s="1039"/>
      <c r="R724" s="1039"/>
    </row>
    <row r="725" spans="1:19" ht="31.2">
      <c r="A725" s="32" t="s">
        <v>4</v>
      </c>
      <c r="B725" s="32" t="s">
        <v>5</v>
      </c>
      <c r="C725" s="32" t="s">
        <v>6</v>
      </c>
      <c r="D725" s="32" t="s">
        <v>7</v>
      </c>
      <c r="E725" s="32" t="s">
        <v>8</v>
      </c>
      <c r="F725" s="33" t="s">
        <v>9</v>
      </c>
      <c r="G725" s="34" t="s">
        <v>10</v>
      </c>
      <c r="H725" s="34" t="s">
        <v>11</v>
      </c>
      <c r="I725" s="35" t="s">
        <v>12</v>
      </c>
      <c r="J725" s="36" t="s">
        <v>13</v>
      </c>
      <c r="K725" s="198" t="s">
        <v>14</v>
      </c>
      <c r="L725" s="297" t="s">
        <v>15</v>
      </c>
      <c r="M725" s="33" t="s">
        <v>16</v>
      </c>
      <c r="N725" s="33" t="s">
        <v>17</v>
      </c>
      <c r="O725" s="34" t="s">
        <v>18</v>
      </c>
      <c r="P725" s="8" t="s">
        <v>50</v>
      </c>
      <c r="Q725" s="1040"/>
      <c r="R725" s="1040"/>
    </row>
    <row r="726" spans="1:19" ht="15.6">
      <c r="A726" s="21" t="s">
        <v>83</v>
      </c>
      <c r="B726" s="21" t="s">
        <v>132</v>
      </c>
      <c r="C726" s="21" t="s">
        <v>19</v>
      </c>
      <c r="D726" s="21" t="s">
        <v>20</v>
      </c>
      <c r="E726" s="63" t="s">
        <v>51</v>
      </c>
      <c r="F726" s="22">
        <v>13</v>
      </c>
      <c r="G726" s="20" t="s">
        <v>21</v>
      </c>
      <c r="H726" s="143" t="s">
        <v>120</v>
      </c>
      <c r="I726" s="115">
        <v>18.2</v>
      </c>
      <c r="J726" s="23">
        <v>7.2</v>
      </c>
      <c r="K726" s="154">
        <v>10</v>
      </c>
      <c r="L726" s="130">
        <f t="shared" ref="L726:L731" si="137">(I726*J726*K726/1000)</f>
        <v>1.3103999999999998</v>
      </c>
      <c r="M726" s="20">
        <f>3+1</f>
        <v>4</v>
      </c>
      <c r="N726" s="23">
        <f t="shared" ref="N726:N731" si="138">J726*M726*I726/1000</f>
        <v>0.52415999999999996</v>
      </c>
      <c r="O726" s="20"/>
      <c r="P726" s="2066" t="s">
        <v>157</v>
      </c>
      <c r="Q726" s="1044"/>
      <c r="R726" s="1044"/>
      <c r="S726" t="s">
        <v>172</v>
      </c>
    </row>
    <row r="727" spans="1:19" ht="15.6">
      <c r="A727" s="20"/>
      <c r="B727" s="21" t="s">
        <v>84</v>
      </c>
      <c r="C727" s="20"/>
      <c r="D727" s="20"/>
      <c r="E727" s="20"/>
      <c r="F727" s="20"/>
      <c r="G727" s="20" t="s">
        <v>21</v>
      </c>
      <c r="H727" s="20" t="s">
        <v>120</v>
      </c>
      <c r="I727" s="115">
        <v>18.2</v>
      </c>
      <c r="J727" s="23">
        <v>8.6</v>
      </c>
      <c r="K727" s="154">
        <v>74</v>
      </c>
      <c r="L727" s="130">
        <f t="shared" si="137"/>
        <v>11.58248</v>
      </c>
      <c r="M727" s="20">
        <f>1+4</f>
        <v>5</v>
      </c>
      <c r="N727" s="23">
        <f t="shared" si="138"/>
        <v>0.78260000000000007</v>
      </c>
      <c r="O727" s="20"/>
      <c r="P727" s="2067"/>
      <c r="Q727" s="1044"/>
      <c r="R727" s="1044"/>
    </row>
    <row r="728" spans="1:19" ht="15.6">
      <c r="A728" s="20"/>
      <c r="B728" s="20"/>
      <c r="C728" s="20"/>
      <c r="D728" s="20"/>
      <c r="E728" s="20"/>
      <c r="F728" s="20"/>
      <c r="G728" s="20" t="s">
        <v>21</v>
      </c>
      <c r="H728" s="20" t="s">
        <v>120</v>
      </c>
      <c r="I728" s="115">
        <v>18.2</v>
      </c>
      <c r="J728" s="23">
        <v>10.3</v>
      </c>
      <c r="K728" s="154">
        <v>37</v>
      </c>
      <c r="L728" s="130">
        <f t="shared" si="137"/>
        <v>6.9360200000000001</v>
      </c>
      <c r="M728" s="20">
        <f>1+2</f>
        <v>3</v>
      </c>
      <c r="N728" s="23">
        <f t="shared" si="138"/>
        <v>0.56237999999999999</v>
      </c>
      <c r="O728" s="20"/>
      <c r="P728" s="2067"/>
      <c r="Q728" s="1044"/>
      <c r="R728" s="1044"/>
    </row>
    <row r="729" spans="1:19" ht="15.6">
      <c r="A729" s="20"/>
      <c r="B729" s="20"/>
      <c r="C729" s="20"/>
      <c r="D729" s="20"/>
      <c r="E729" s="20"/>
      <c r="F729" s="20"/>
      <c r="G729" s="20" t="s">
        <v>21</v>
      </c>
      <c r="H729" s="20" t="s">
        <v>120</v>
      </c>
      <c r="I729" s="115">
        <v>18.2</v>
      </c>
      <c r="J729" s="23">
        <v>10.8</v>
      </c>
      <c r="K729" s="154">
        <v>121</v>
      </c>
      <c r="L729" s="130">
        <f t="shared" si="137"/>
        <v>23.783760000000001</v>
      </c>
      <c r="M729" s="20">
        <f>5+2+1+2+1+2</f>
        <v>13</v>
      </c>
      <c r="N729" s="23">
        <f t="shared" si="138"/>
        <v>2.5552800000000002</v>
      </c>
      <c r="O729" s="20"/>
      <c r="P729" s="2067"/>
      <c r="Q729" s="1044"/>
      <c r="R729" s="1044"/>
    </row>
    <row r="730" spans="1:19" ht="15.6">
      <c r="A730" s="20"/>
      <c r="B730" s="20"/>
      <c r="C730" s="20"/>
      <c r="D730" s="20"/>
      <c r="E730" s="20"/>
      <c r="F730" s="20"/>
      <c r="G730" s="20" t="s">
        <v>21</v>
      </c>
      <c r="H730" s="20" t="s">
        <v>120</v>
      </c>
      <c r="I730" s="115">
        <v>18.2</v>
      </c>
      <c r="J730" s="23">
        <v>11.8</v>
      </c>
      <c r="K730" s="154">
        <v>74</v>
      </c>
      <c r="L730" s="130">
        <f t="shared" si="137"/>
        <v>15.892239999999999</v>
      </c>
      <c r="M730" s="20"/>
      <c r="N730" s="23">
        <f t="shared" si="138"/>
        <v>0</v>
      </c>
      <c r="O730" s="20"/>
      <c r="P730" s="2067"/>
      <c r="Q730" s="1044"/>
      <c r="R730" s="1044"/>
    </row>
    <row r="731" spans="1:19" ht="15.6">
      <c r="A731" s="20"/>
      <c r="B731" s="20"/>
      <c r="C731" s="20"/>
      <c r="D731" s="20"/>
      <c r="E731" s="20"/>
      <c r="F731" s="20"/>
      <c r="G731" s="20" t="s">
        <v>21</v>
      </c>
      <c r="H731" s="20" t="s">
        <v>120</v>
      </c>
      <c r="I731" s="115">
        <v>18.2</v>
      </c>
      <c r="J731" s="23">
        <v>12</v>
      </c>
      <c r="K731" s="154">
        <v>46</v>
      </c>
      <c r="L731" s="130">
        <f t="shared" si="137"/>
        <v>10.0464</v>
      </c>
      <c r="M731" s="20"/>
      <c r="N731" s="23">
        <f t="shared" si="138"/>
        <v>0</v>
      </c>
      <c r="O731" s="20"/>
      <c r="P731" s="2067"/>
      <c r="Q731" s="1044"/>
      <c r="R731" s="1044"/>
    </row>
    <row r="732" spans="1:19" ht="15.6">
      <c r="A732" s="20"/>
      <c r="B732" s="20"/>
      <c r="C732" s="20"/>
      <c r="D732" s="20"/>
      <c r="E732" s="20"/>
      <c r="F732" s="20"/>
      <c r="G732" s="20"/>
      <c r="H732" s="20"/>
      <c r="I732" s="115"/>
      <c r="J732" s="23"/>
      <c r="K732" s="154">
        <f t="shared" ref="K732:M732" si="139">SUM(K726:K731)</f>
        <v>362</v>
      </c>
      <c r="L732" s="128">
        <f t="shared" si="139"/>
        <v>69.551300000000012</v>
      </c>
      <c r="M732" s="25">
        <f t="shared" si="139"/>
        <v>25</v>
      </c>
      <c r="N732" s="23">
        <f>SUM(N726:N731)</f>
        <v>4.4244200000000005</v>
      </c>
      <c r="O732" s="20"/>
      <c r="P732" s="2067"/>
      <c r="Q732" s="1044"/>
      <c r="R732" s="1044"/>
    </row>
    <row r="733" spans="1:19" ht="15.6">
      <c r="A733" s="20"/>
      <c r="B733" s="20"/>
      <c r="C733" s="20"/>
      <c r="D733" s="20"/>
      <c r="E733" s="20"/>
      <c r="F733" s="20"/>
      <c r="G733" s="20"/>
      <c r="H733" s="20"/>
      <c r="I733" s="115"/>
      <c r="J733" s="23"/>
      <c r="K733" s="154"/>
      <c r="L733" s="128"/>
      <c r="M733" s="20"/>
      <c r="N733" s="20"/>
      <c r="O733" s="20"/>
      <c r="P733" s="2067"/>
      <c r="Q733" s="1044"/>
      <c r="R733" s="1044"/>
    </row>
    <row r="734" spans="1:19" ht="15.6">
      <c r="A734" s="21" t="s">
        <v>83</v>
      </c>
      <c r="B734" s="21" t="s">
        <v>135</v>
      </c>
      <c r="C734" s="21" t="s">
        <v>19</v>
      </c>
      <c r="D734" s="21" t="s">
        <v>20</v>
      </c>
      <c r="E734" s="63" t="s">
        <v>51</v>
      </c>
      <c r="F734" s="22">
        <v>13</v>
      </c>
      <c r="G734" s="20" t="s">
        <v>21</v>
      </c>
      <c r="H734" s="143" t="s">
        <v>120</v>
      </c>
      <c r="I734" s="115">
        <v>18.2</v>
      </c>
      <c r="J734" s="23">
        <v>7.2</v>
      </c>
      <c r="K734" s="154">
        <v>8</v>
      </c>
      <c r="L734" s="130">
        <f t="shared" ref="L734:L740" si="140">(I734*J734*K734/1000)</f>
        <v>1.0483199999999999</v>
      </c>
      <c r="M734" s="20"/>
      <c r="N734" s="23">
        <f t="shared" ref="N734:N740" si="141">J734*M734*I734/1000</f>
        <v>0</v>
      </c>
      <c r="O734" s="20"/>
      <c r="P734" s="2067"/>
      <c r="Q734" s="1044"/>
      <c r="R734" s="1044"/>
      <c r="S734" t="s">
        <v>172</v>
      </c>
    </row>
    <row r="735" spans="1:19" ht="15.6">
      <c r="A735" s="20"/>
      <c r="B735" s="21" t="s">
        <v>52</v>
      </c>
      <c r="C735" s="20"/>
      <c r="D735" s="20"/>
      <c r="E735" s="20"/>
      <c r="F735" s="20"/>
      <c r="G735" s="20" t="s">
        <v>21</v>
      </c>
      <c r="H735" s="20" t="s">
        <v>120</v>
      </c>
      <c r="I735" s="115">
        <v>18.2</v>
      </c>
      <c r="J735" s="23">
        <v>9.8000000000000007</v>
      </c>
      <c r="K735" s="154">
        <v>18</v>
      </c>
      <c r="L735" s="130">
        <f t="shared" si="140"/>
        <v>3.2104800000000004</v>
      </c>
      <c r="M735" s="20"/>
      <c r="N735" s="23">
        <f t="shared" si="141"/>
        <v>0</v>
      </c>
      <c r="O735" s="20"/>
      <c r="P735" s="2067"/>
      <c r="Q735" s="1044"/>
      <c r="R735" s="1044"/>
    </row>
    <row r="736" spans="1:19" ht="15.6">
      <c r="A736" s="20"/>
      <c r="B736" s="20"/>
      <c r="C736" s="20"/>
      <c r="D736" s="20"/>
      <c r="E736" s="20"/>
      <c r="F736" s="20"/>
      <c r="G736" s="20" t="s">
        <v>21</v>
      </c>
      <c r="H736" s="20" t="s">
        <v>120</v>
      </c>
      <c r="I736" s="115">
        <v>18.2</v>
      </c>
      <c r="J736" s="23">
        <v>10.8</v>
      </c>
      <c r="K736" s="154">
        <v>8</v>
      </c>
      <c r="L736" s="130">
        <f t="shared" si="140"/>
        <v>1.5724800000000001</v>
      </c>
      <c r="M736" s="20"/>
      <c r="N736" s="23">
        <f t="shared" si="141"/>
        <v>0</v>
      </c>
      <c r="O736" s="20"/>
      <c r="P736" s="2067"/>
      <c r="Q736" s="1044"/>
      <c r="R736" s="1044"/>
    </row>
    <row r="737" spans="1:19" ht="15.6">
      <c r="A737" s="20"/>
      <c r="B737" s="20"/>
      <c r="C737" s="20"/>
      <c r="D737" s="20"/>
      <c r="E737" s="20"/>
      <c r="F737" s="20"/>
      <c r="G737" s="20" t="s">
        <v>21</v>
      </c>
      <c r="H737" s="20" t="s">
        <v>120</v>
      </c>
      <c r="I737" s="115">
        <v>18.2</v>
      </c>
      <c r="J737" s="23">
        <v>11.6</v>
      </c>
      <c r="K737" s="154">
        <v>16</v>
      </c>
      <c r="L737" s="130">
        <f t="shared" si="140"/>
        <v>3.3779199999999996</v>
      </c>
      <c r="M737" s="20"/>
      <c r="N737" s="23">
        <f t="shared" si="141"/>
        <v>0</v>
      </c>
      <c r="O737" s="20"/>
      <c r="P737" s="2067"/>
      <c r="Q737" s="1044"/>
      <c r="R737" s="1044"/>
    </row>
    <row r="738" spans="1:19" ht="15.6">
      <c r="A738" s="20"/>
      <c r="B738" s="20"/>
      <c r="C738" s="20"/>
      <c r="D738" s="20"/>
      <c r="E738" s="20"/>
      <c r="F738" s="20"/>
      <c r="G738" s="20" t="s">
        <v>21</v>
      </c>
      <c r="H738" s="20" t="s">
        <v>120</v>
      </c>
      <c r="I738" s="115">
        <v>18.2</v>
      </c>
      <c r="J738" s="23">
        <v>11.7</v>
      </c>
      <c r="K738" s="154">
        <v>16</v>
      </c>
      <c r="L738" s="130">
        <f t="shared" si="140"/>
        <v>3.4070399999999994</v>
      </c>
      <c r="M738" s="20"/>
      <c r="N738" s="23">
        <f t="shared" si="141"/>
        <v>0</v>
      </c>
      <c r="O738" s="20"/>
      <c r="P738" s="2067"/>
      <c r="Q738" s="1044"/>
      <c r="R738" s="1044"/>
    </row>
    <row r="739" spans="1:19" ht="15.6">
      <c r="A739" s="20"/>
      <c r="B739" s="20"/>
      <c r="C739" s="20"/>
      <c r="D739" s="20"/>
      <c r="E739" s="20"/>
      <c r="F739" s="20"/>
      <c r="G739" s="20" t="s">
        <v>21</v>
      </c>
      <c r="H739" s="20" t="s">
        <v>120</v>
      </c>
      <c r="I739" s="115">
        <v>18.2</v>
      </c>
      <c r="J739" s="23">
        <v>11.8</v>
      </c>
      <c r="K739" s="154">
        <v>8</v>
      </c>
      <c r="L739" s="130">
        <f t="shared" si="140"/>
        <v>1.7180799999999998</v>
      </c>
      <c r="M739" s="20"/>
      <c r="N739" s="23">
        <f t="shared" si="141"/>
        <v>0</v>
      </c>
      <c r="O739" s="20"/>
      <c r="P739" s="2067"/>
      <c r="Q739" s="1044"/>
      <c r="R739" s="1044"/>
    </row>
    <row r="740" spans="1:19" ht="15.6">
      <c r="A740" s="20"/>
      <c r="B740" s="20"/>
      <c r="C740" s="20"/>
      <c r="D740" s="20"/>
      <c r="E740" s="20"/>
      <c r="F740" s="20"/>
      <c r="G740" s="20" t="s">
        <v>21</v>
      </c>
      <c r="H740" s="20" t="s">
        <v>120</v>
      </c>
      <c r="I740" s="115">
        <v>18.2</v>
      </c>
      <c r="J740" s="23">
        <v>12</v>
      </c>
      <c r="K740" s="154">
        <v>22</v>
      </c>
      <c r="L740" s="130">
        <f t="shared" si="140"/>
        <v>4.8047999999999993</v>
      </c>
      <c r="M740" s="20"/>
      <c r="N740" s="23">
        <f t="shared" si="141"/>
        <v>0</v>
      </c>
      <c r="O740" s="20"/>
      <c r="P740" s="2067"/>
      <c r="Q740" s="1044"/>
      <c r="R740" s="1044"/>
    </row>
    <row r="741" spans="1:19" ht="15.6">
      <c r="A741" s="20"/>
      <c r="B741" s="20"/>
      <c r="C741" s="20"/>
      <c r="D741" s="20"/>
      <c r="E741" s="20"/>
      <c r="F741" s="20"/>
      <c r="G741" s="20"/>
      <c r="H741" s="20"/>
      <c r="I741" s="115"/>
      <c r="J741" s="23"/>
      <c r="K741" s="154">
        <f t="shared" ref="K741:L741" si="142">SUM(K734:K740)</f>
        <v>96</v>
      </c>
      <c r="L741" s="128">
        <f t="shared" si="142"/>
        <v>19.139120000000002</v>
      </c>
      <c r="M741" s="25"/>
      <c r="N741" s="23">
        <f>SUM(N734:N740)</f>
        <v>0</v>
      </c>
      <c r="O741" s="20"/>
      <c r="P741" s="2068"/>
      <c r="Q741" s="1044"/>
      <c r="R741" s="1044"/>
    </row>
    <row r="742" spans="1:19" ht="15.6">
      <c r="A742" s="20"/>
      <c r="B742" s="20"/>
      <c r="C742" s="20"/>
      <c r="D742" s="20"/>
      <c r="E742" s="20"/>
      <c r="F742" s="20"/>
      <c r="G742" s="20"/>
      <c r="H742" s="20"/>
      <c r="I742" s="115"/>
      <c r="J742" s="23"/>
      <c r="K742" s="154">
        <f>+K741+K732</f>
        <v>458</v>
      </c>
      <c r="L742" s="128">
        <f>+L741+L732</f>
        <v>88.690420000000017</v>
      </c>
      <c r="M742" s="25">
        <f>+M741+M732</f>
        <v>25</v>
      </c>
      <c r="N742" s="23">
        <f>+N741+N732</f>
        <v>4.4244200000000005</v>
      </c>
      <c r="O742" s="20"/>
      <c r="P742" s="20"/>
      <c r="Q742" s="155"/>
      <c r="R742" s="155"/>
    </row>
    <row r="743" spans="1:19" ht="15.6">
      <c r="A743" s="20"/>
      <c r="B743" s="20"/>
      <c r="C743" s="20"/>
      <c r="D743" s="20"/>
      <c r="E743" s="20"/>
      <c r="F743" s="20"/>
      <c r="G743" s="20"/>
      <c r="H743" s="20"/>
      <c r="I743" s="115"/>
      <c r="J743" s="23"/>
      <c r="K743" s="154"/>
      <c r="L743" s="128"/>
      <c r="M743" s="20"/>
      <c r="N743" s="20"/>
      <c r="O743" s="20"/>
      <c r="P743" s="20"/>
      <c r="Q743" s="155"/>
      <c r="R743" s="155"/>
    </row>
    <row r="744" spans="1:19" ht="15.6">
      <c r="A744" s="21" t="s">
        <v>83</v>
      </c>
      <c r="B744" s="21" t="s">
        <v>132</v>
      </c>
      <c r="C744" s="21" t="s">
        <v>19</v>
      </c>
      <c r="D744" s="21" t="s">
        <v>20</v>
      </c>
      <c r="E744" s="63" t="s">
        <v>51</v>
      </c>
      <c r="F744" s="22">
        <v>13</v>
      </c>
      <c r="G744" s="20" t="s">
        <v>21</v>
      </c>
      <c r="H744" s="143" t="s">
        <v>123</v>
      </c>
      <c r="I744" s="115">
        <v>16.5</v>
      </c>
      <c r="J744" s="23">
        <v>6.5</v>
      </c>
      <c r="K744" s="154">
        <v>38</v>
      </c>
      <c r="L744" s="130">
        <f t="shared" ref="L744:L750" si="143">(I744*J744*K744/1000)</f>
        <v>4.0754999999999999</v>
      </c>
      <c r="M744" s="20">
        <v>2</v>
      </c>
      <c r="N744" s="23">
        <f t="shared" ref="N744:N750" si="144">J744*M744*I744/1000</f>
        <v>0.2145</v>
      </c>
      <c r="O744" s="20"/>
      <c r="P744" s="2066" t="s">
        <v>157</v>
      </c>
      <c r="Q744" s="1044"/>
      <c r="R744" s="1044"/>
      <c r="S744" t="s">
        <v>197</v>
      </c>
    </row>
    <row r="745" spans="1:19" ht="15.6">
      <c r="A745" s="20"/>
      <c r="B745" s="21" t="s">
        <v>84</v>
      </c>
      <c r="C745" s="20"/>
      <c r="D745" s="20"/>
      <c r="E745" s="20"/>
      <c r="F745" s="20"/>
      <c r="G745" s="20" t="s">
        <v>21</v>
      </c>
      <c r="H745" s="20" t="s">
        <v>123</v>
      </c>
      <c r="I745" s="115">
        <v>16.5</v>
      </c>
      <c r="J745" s="23">
        <v>6.7</v>
      </c>
      <c r="K745" s="154">
        <v>16</v>
      </c>
      <c r="L745" s="130">
        <f t="shared" si="143"/>
        <v>1.7687999999999999</v>
      </c>
      <c r="M745" s="20"/>
      <c r="N745" s="23">
        <f t="shared" si="144"/>
        <v>0</v>
      </c>
      <c r="O745" s="20"/>
      <c r="P745" s="2067"/>
      <c r="Q745" s="1044"/>
      <c r="R745" s="1044"/>
    </row>
    <row r="746" spans="1:19" ht="15.6">
      <c r="A746" s="20"/>
      <c r="B746" s="20"/>
      <c r="C746" s="20"/>
      <c r="D746" s="20"/>
      <c r="E746" s="20"/>
      <c r="F746" s="20"/>
      <c r="G746" s="20" t="s">
        <v>21</v>
      </c>
      <c r="H746" s="20" t="s">
        <v>123</v>
      </c>
      <c r="I746" s="115">
        <v>16.5</v>
      </c>
      <c r="J746" s="23">
        <v>6.9</v>
      </c>
      <c r="K746" s="154">
        <v>69</v>
      </c>
      <c r="L746" s="130">
        <f t="shared" si="143"/>
        <v>7.8556500000000007</v>
      </c>
      <c r="M746" s="20"/>
      <c r="N746" s="23">
        <f t="shared" si="144"/>
        <v>0</v>
      </c>
      <c r="O746" s="20"/>
      <c r="P746" s="2067"/>
      <c r="Q746" s="1044"/>
      <c r="R746" s="1044"/>
    </row>
    <row r="747" spans="1:19" ht="15.6">
      <c r="A747" s="20"/>
      <c r="B747" s="20"/>
      <c r="C747" s="20"/>
      <c r="D747" s="20"/>
      <c r="E747" s="20"/>
      <c r="F747" s="20"/>
      <c r="G747" s="20" t="s">
        <v>21</v>
      </c>
      <c r="H747" s="20" t="s">
        <v>123</v>
      </c>
      <c r="I747" s="115">
        <v>16.5</v>
      </c>
      <c r="J747" s="23">
        <v>7.2</v>
      </c>
      <c r="K747" s="154">
        <v>37</v>
      </c>
      <c r="L747" s="130">
        <f t="shared" si="143"/>
        <v>4.3955999999999991</v>
      </c>
      <c r="M747" s="20">
        <v>2</v>
      </c>
      <c r="N747" s="23">
        <f t="shared" si="144"/>
        <v>0.23760000000000001</v>
      </c>
      <c r="O747" s="20"/>
      <c r="P747" s="2067"/>
      <c r="Q747" s="1044"/>
      <c r="R747" s="1044"/>
    </row>
    <row r="748" spans="1:19" ht="15.6">
      <c r="A748" s="20"/>
      <c r="B748" s="20"/>
      <c r="C748" s="20"/>
      <c r="D748" s="20"/>
      <c r="E748" s="20"/>
      <c r="F748" s="20"/>
      <c r="G748" s="20" t="s">
        <v>21</v>
      </c>
      <c r="H748" s="20" t="s">
        <v>123</v>
      </c>
      <c r="I748" s="115">
        <v>16.5</v>
      </c>
      <c r="J748" s="23">
        <v>8</v>
      </c>
      <c r="K748" s="154">
        <v>43</v>
      </c>
      <c r="L748" s="130">
        <f t="shared" si="143"/>
        <v>5.6760000000000002</v>
      </c>
      <c r="M748" s="20">
        <f>5+4</f>
        <v>9</v>
      </c>
      <c r="N748" s="23">
        <f t="shared" si="144"/>
        <v>1.1879999999999999</v>
      </c>
      <c r="O748" s="20"/>
      <c r="P748" s="2067"/>
      <c r="Q748" s="1044"/>
      <c r="R748" s="1044"/>
    </row>
    <row r="749" spans="1:19" ht="15.6">
      <c r="A749" s="20"/>
      <c r="B749" s="20"/>
      <c r="C749" s="20"/>
      <c r="D749" s="20"/>
      <c r="E749" s="20"/>
      <c r="F749" s="20"/>
      <c r="G749" s="20" t="s">
        <v>21</v>
      </c>
      <c r="H749" s="20" t="s">
        <v>123</v>
      </c>
      <c r="I749" s="115">
        <v>16.5</v>
      </c>
      <c r="J749" s="23">
        <v>9.8000000000000007</v>
      </c>
      <c r="K749" s="154">
        <v>148</v>
      </c>
      <c r="L749" s="130">
        <f t="shared" si="143"/>
        <v>23.931600000000003</v>
      </c>
      <c r="M749" s="20">
        <f>3</f>
        <v>3</v>
      </c>
      <c r="N749" s="23">
        <f t="shared" si="144"/>
        <v>0.48510000000000003</v>
      </c>
      <c r="O749" s="20"/>
      <c r="P749" s="2067"/>
      <c r="Q749" s="1044"/>
      <c r="R749" s="1044"/>
    </row>
    <row r="750" spans="1:19" ht="15.6">
      <c r="A750" s="20"/>
      <c r="B750" s="20"/>
      <c r="C750" s="20"/>
      <c r="D750" s="20"/>
      <c r="E750" s="20"/>
      <c r="F750" s="20"/>
      <c r="G750" s="20" t="s">
        <v>21</v>
      </c>
      <c r="H750" s="20" t="s">
        <v>123</v>
      </c>
      <c r="I750" s="115">
        <v>16.5</v>
      </c>
      <c r="J750" s="23">
        <v>11.1</v>
      </c>
      <c r="K750" s="154">
        <v>25</v>
      </c>
      <c r="L750" s="130">
        <f t="shared" si="143"/>
        <v>4.5787500000000003</v>
      </c>
      <c r="M750" s="20">
        <v>1</v>
      </c>
      <c r="N750" s="23">
        <f t="shared" si="144"/>
        <v>0.18315000000000001</v>
      </c>
      <c r="O750" s="20"/>
      <c r="P750" s="2067"/>
      <c r="Q750" s="1044"/>
      <c r="R750" s="1044"/>
    </row>
    <row r="751" spans="1:19" ht="15.6">
      <c r="A751" s="20"/>
      <c r="B751" s="20"/>
      <c r="C751" s="20"/>
      <c r="D751" s="20"/>
      <c r="E751" s="20"/>
      <c r="F751" s="20"/>
      <c r="G751" s="20"/>
      <c r="H751" s="20"/>
      <c r="I751" s="115"/>
      <c r="J751" s="23"/>
      <c r="K751" s="154">
        <f t="shared" ref="K751:N751" si="145">SUM(K744:K750)</f>
        <v>376</v>
      </c>
      <c r="L751" s="128">
        <f t="shared" si="145"/>
        <v>52.2819</v>
      </c>
      <c r="M751" s="25">
        <f t="shared" si="145"/>
        <v>17</v>
      </c>
      <c r="N751" s="23">
        <f t="shared" si="145"/>
        <v>2.3083499999999999</v>
      </c>
      <c r="O751" s="20"/>
      <c r="P751" s="2067"/>
      <c r="Q751" s="1044"/>
      <c r="R751" s="1044"/>
    </row>
    <row r="752" spans="1:19" ht="15.6">
      <c r="A752" s="20"/>
      <c r="B752" s="20"/>
      <c r="C752" s="20"/>
      <c r="D752" s="20"/>
      <c r="E752" s="20"/>
      <c r="F752" s="20"/>
      <c r="G752" s="20"/>
      <c r="H752" s="20"/>
      <c r="I752" s="115"/>
      <c r="J752" s="23"/>
      <c r="K752" s="154"/>
      <c r="L752" s="128"/>
      <c r="M752" s="20"/>
      <c r="N752" s="20"/>
      <c r="O752" s="20"/>
      <c r="P752" s="2067"/>
      <c r="Q752" s="1044"/>
      <c r="R752" s="1044"/>
    </row>
    <row r="753" spans="1:19" ht="15.6">
      <c r="A753" s="21" t="s">
        <v>83</v>
      </c>
      <c r="B753" s="21" t="s">
        <v>135</v>
      </c>
      <c r="C753" s="21" t="s">
        <v>19</v>
      </c>
      <c r="D753" s="21" t="s">
        <v>20</v>
      </c>
      <c r="E753" s="63" t="s">
        <v>51</v>
      </c>
      <c r="F753" s="22">
        <v>13</v>
      </c>
      <c r="G753" s="20" t="s">
        <v>21</v>
      </c>
      <c r="H753" s="143" t="s">
        <v>123</v>
      </c>
      <c r="I753" s="115">
        <v>16.5</v>
      </c>
      <c r="J753" s="23">
        <v>6.5</v>
      </c>
      <c r="K753" s="154">
        <v>2</v>
      </c>
      <c r="L753" s="130">
        <f t="shared" ref="L753:L756" si="146">(I753*J753*K753/1000)</f>
        <v>0.2145</v>
      </c>
      <c r="M753" s="20"/>
      <c r="N753" s="23">
        <f t="shared" ref="N753:N756" si="147">J753*M753*I753/1000</f>
        <v>0</v>
      </c>
      <c r="O753" s="20"/>
      <c r="P753" s="2067"/>
      <c r="Q753" s="1044"/>
      <c r="R753" s="1044"/>
      <c r="S753" t="s">
        <v>197</v>
      </c>
    </row>
    <row r="754" spans="1:19" ht="15.6">
      <c r="A754" s="20"/>
      <c r="B754" s="21" t="s">
        <v>52</v>
      </c>
      <c r="C754" s="20"/>
      <c r="D754" s="20"/>
      <c r="E754" s="20"/>
      <c r="F754" s="20"/>
      <c r="G754" s="20" t="s">
        <v>21</v>
      </c>
      <c r="H754" s="20" t="s">
        <v>123</v>
      </c>
      <c r="I754" s="115">
        <v>16.5</v>
      </c>
      <c r="J754" s="23">
        <v>6.7</v>
      </c>
      <c r="K754" s="154">
        <v>16</v>
      </c>
      <c r="L754" s="130">
        <f t="shared" si="146"/>
        <v>1.7687999999999999</v>
      </c>
      <c r="M754" s="20"/>
      <c r="N754" s="23">
        <f t="shared" si="147"/>
        <v>0</v>
      </c>
      <c r="O754" s="20"/>
      <c r="P754" s="2067"/>
      <c r="Q754" s="1044"/>
      <c r="R754" s="1044"/>
    </row>
    <row r="755" spans="1:19" ht="15.6">
      <c r="A755" s="20"/>
      <c r="B755" s="20"/>
      <c r="C755" s="20"/>
      <c r="D755" s="20"/>
      <c r="E755" s="20"/>
      <c r="F755" s="20"/>
      <c r="G755" s="20" t="s">
        <v>21</v>
      </c>
      <c r="H755" s="20" t="s">
        <v>123</v>
      </c>
      <c r="I755" s="115">
        <v>16.5</v>
      </c>
      <c r="J755" s="23">
        <v>8.6999999999999993</v>
      </c>
      <c r="K755" s="154">
        <v>16</v>
      </c>
      <c r="L755" s="130">
        <f t="shared" si="146"/>
        <v>2.2967999999999997</v>
      </c>
      <c r="M755" s="20"/>
      <c r="N755" s="23">
        <f t="shared" si="147"/>
        <v>0</v>
      </c>
      <c r="O755" s="20"/>
      <c r="P755" s="2067"/>
      <c r="Q755" s="1044"/>
      <c r="R755" s="1044"/>
    </row>
    <row r="756" spans="1:19" ht="15.6">
      <c r="A756" s="20"/>
      <c r="B756" s="20"/>
      <c r="C756" s="20"/>
      <c r="D756" s="20"/>
      <c r="E756" s="20"/>
      <c r="F756" s="20"/>
      <c r="G756" s="20" t="s">
        <v>21</v>
      </c>
      <c r="H756" s="20" t="s">
        <v>123</v>
      </c>
      <c r="I756" s="115">
        <v>16.5</v>
      </c>
      <c r="J756" s="23">
        <v>11.8</v>
      </c>
      <c r="K756" s="154">
        <v>16</v>
      </c>
      <c r="L756" s="130">
        <f t="shared" si="146"/>
        <v>3.1152000000000002</v>
      </c>
      <c r="M756" s="20"/>
      <c r="N756" s="23">
        <f t="shared" si="147"/>
        <v>0</v>
      </c>
      <c r="O756" s="20"/>
      <c r="P756" s="2067"/>
      <c r="Q756" s="1044"/>
      <c r="R756" s="1044"/>
    </row>
    <row r="757" spans="1:19" ht="15.6">
      <c r="A757" s="20"/>
      <c r="B757" s="20"/>
      <c r="C757" s="20"/>
      <c r="D757" s="20"/>
      <c r="E757" s="20"/>
      <c r="F757" s="20"/>
      <c r="G757" s="20"/>
      <c r="H757" s="20"/>
      <c r="I757" s="115"/>
      <c r="J757" s="23"/>
      <c r="K757" s="154">
        <f t="shared" ref="K757:N757" si="148">SUM(K753:K756)</f>
        <v>50</v>
      </c>
      <c r="L757" s="128">
        <f t="shared" si="148"/>
        <v>7.3952999999999989</v>
      </c>
      <c r="M757" s="25">
        <f t="shared" si="148"/>
        <v>0</v>
      </c>
      <c r="N757" s="23">
        <f t="shared" si="148"/>
        <v>0</v>
      </c>
      <c r="O757" s="20"/>
      <c r="P757" s="2068"/>
      <c r="Q757" s="1044"/>
      <c r="R757" s="1044"/>
    </row>
    <row r="758" spans="1:19" ht="15.6">
      <c r="A758" s="20"/>
      <c r="B758" s="20"/>
      <c r="C758" s="20"/>
      <c r="D758" s="20"/>
      <c r="E758" s="20"/>
      <c r="F758" s="20"/>
      <c r="G758" s="20"/>
      <c r="H758" s="20"/>
      <c r="I758" s="115"/>
      <c r="J758" s="23"/>
      <c r="K758" s="154">
        <f>+K757+K751</f>
        <v>426</v>
      </c>
      <c r="L758" s="128">
        <f>+L757+L751</f>
        <v>59.677199999999999</v>
      </c>
      <c r="M758" s="25">
        <f>+M757+M751</f>
        <v>17</v>
      </c>
      <c r="N758" s="23">
        <f>+N757+N751</f>
        <v>2.3083499999999999</v>
      </c>
      <c r="O758" s="20"/>
      <c r="P758" s="20"/>
      <c r="Q758" s="155"/>
      <c r="R758" s="155"/>
    </row>
    <row r="759" spans="1:19" ht="15.6">
      <c r="A759" s="20"/>
      <c r="B759" s="20"/>
      <c r="C759" s="20"/>
      <c r="D759" s="20"/>
      <c r="E759" s="20"/>
      <c r="F759" s="20"/>
      <c r="G759" s="20"/>
      <c r="H759" s="20"/>
      <c r="I759" s="115"/>
      <c r="J759" s="23"/>
      <c r="K759" s="154"/>
      <c r="L759" s="128"/>
      <c r="M759" s="20"/>
      <c r="N759" s="20"/>
      <c r="O759" s="20"/>
      <c r="P759" s="20"/>
      <c r="Q759" s="155"/>
      <c r="R759" s="155"/>
    </row>
    <row r="760" spans="1:19" ht="15.6">
      <c r="A760" s="21" t="s">
        <v>83</v>
      </c>
      <c r="B760" s="21" t="s">
        <v>132</v>
      </c>
      <c r="C760" s="21" t="s">
        <v>19</v>
      </c>
      <c r="D760" s="21" t="s">
        <v>20</v>
      </c>
      <c r="E760" s="63" t="s">
        <v>51</v>
      </c>
      <c r="F760" s="22">
        <v>13</v>
      </c>
      <c r="G760" s="20" t="s">
        <v>21</v>
      </c>
      <c r="H760" s="143" t="s">
        <v>122</v>
      </c>
      <c r="I760" s="115">
        <v>14.7</v>
      </c>
      <c r="J760" s="23">
        <v>6.6</v>
      </c>
      <c r="K760" s="154">
        <v>41</v>
      </c>
      <c r="L760" s="130">
        <f t="shared" ref="L760:L766" si="149">(I760*J760*K760/1000)</f>
        <v>3.9778199999999999</v>
      </c>
      <c r="M760" s="20"/>
      <c r="N760" s="23">
        <f t="shared" ref="N760:N766" si="150">J760*M760*I760/1000</f>
        <v>0</v>
      </c>
      <c r="O760" s="20"/>
      <c r="P760" s="2066" t="s">
        <v>157</v>
      </c>
      <c r="Q760" s="1044"/>
      <c r="R760" s="1044"/>
      <c r="S760" t="s">
        <v>201</v>
      </c>
    </row>
    <row r="761" spans="1:19" ht="15.6">
      <c r="A761" s="20"/>
      <c r="B761" s="21" t="s">
        <v>84</v>
      </c>
      <c r="C761" s="20"/>
      <c r="D761" s="20"/>
      <c r="E761" s="20"/>
      <c r="F761" s="20"/>
      <c r="G761" s="20" t="s">
        <v>21</v>
      </c>
      <c r="H761" s="20" t="s">
        <v>122</v>
      </c>
      <c r="I761" s="115">
        <v>14.7</v>
      </c>
      <c r="J761" s="23">
        <v>7.1</v>
      </c>
      <c r="K761" s="154">
        <v>8</v>
      </c>
      <c r="L761" s="130">
        <f t="shared" si="149"/>
        <v>0.83495999999999992</v>
      </c>
      <c r="M761" s="20">
        <f>1+3+1+2+1</f>
        <v>8</v>
      </c>
      <c r="N761" s="23">
        <f t="shared" si="150"/>
        <v>0.83495999999999992</v>
      </c>
      <c r="O761" s="20"/>
      <c r="P761" s="2067"/>
      <c r="Q761" s="1044"/>
      <c r="R761" s="1044"/>
    </row>
    <row r="762" spans="1:19" ht="15.6">
      <c r="A762" s="20"/>
      <c r="B762" s="20"/>
      <c r="C762" s="20"/>
      <c r="D762" s="20"/>
      <c r="E762" s="20"/>
      <c r="F762" s="20"/>
      <c r="G762" s="20" t="s">
        <v>21</v>
      </c>
      <c r="H762" s="20" t="s">
        <v>122</v>
      </c>
      <c r="I762" s="115">
        <v>14.7</v>
      </c>
      <c r="J762" s="23">
        <v>8.4</v>
      </c>
      <c r="K762" s="154">
        <v>18</v>
      </c>
      <c r="L762" s="130">
        <f t="shared" si="149"/>
        <v>2.2226399999999997</v>
      </c>
      <c r="M762" s="20">
        <f>5+8</f>
        <v>13</v>
      </c>
      <c r="N762" s="23">
        <f t="shared" si="150"/>
        <v>1.60524</v>
      </c>
      <c r="O762" s="20"/>
      <c r="P762" s="2067"/>
      <c r="Q762" s="1044"/>
      <c r="R762" s="1044"/>
    </row>
    <row r="763" spans="1:19" ht="15.6">
      <c r="A763" s="20"/>
      <c r="B763" s="20"/>
      <c r="C763" s="20"/>
      <c r="D763" s="20"/>
      <c r="E763" s="20"/>
      <c r="F763" s="20"/>
      <c r="G763" s="20" t="s">
        <v>21</v>
      </c>
      <c r="H763" s="20" t="s">
        <v>122</v>
      </c>
      <c r="I763" s="115">
        <v>14.7</v>
      </c>
      <c r="J763" s="23">
        <v>9.1</v>
      </c>
      <c r="K763" s="154">
        <v>162</v>
      </c>
      <c r="L763" s="130">
        <f t="shared" si="149"/>
        <v>21.670739999999999</v>
      </c>
      <c r="M763" s="20">
        <v>4</v>
      </c>
      <c r="N763" s="23">
        <f t="shared" si="150"/>
        <v>0.53507999999999989</v>
      </c>
      <c r="O763" s="20"/>
      <c r="P763" s="2067"/>
      <c r="Q763" s="1044"/>
      <c r="R763" s="1044"/>
    </row>
    <row r="764" spans="1:19" ht="15.6">
      <c r="A764" s="20"/>
      <c r="B764" s="20"/>
      <c r="C764" s="20"/>
      <c r="D764" s="20"/>
      <c r="E764" s="20"/>
      <c r="F764" s="20"/>
      <c r="G764" s="20" t="s">
        <v>21</v>
      </c>
      <c r="H764" s="20" t="s">
        <v>122</v>
      </c>
      <c r="I764" s="115">
        <v>14.7</v>
      </c>
      <c r="J764" s="23">
        <v>10.8</v>
      </c>
      <c r="K764" s="154">
        <v>3</v>
      </c>
      <c r="L764" s="130">
        <f t="shared" si="149"/>
        <v>0.47627999999999998</v>
      </c>
      <c r="M764" s="20">
        <v>1</v>
      </c>
      <c r="N764" s="23">
        <f t="shared" si="150"/>
        <v>0.15875999999999998</v>
      </c>
      <c r="O764" s="20"/>
      <c r="P764" s="2067"/>
      <c r="Q764" s="1044"/>
      <c r="R764" s="1044"/>
    </row>
    <row r="765" spans="1:19" ht="15.6">
      <c r="A765" s="20"/>
      <c r="B765" s="20"/>
      <c r="C765" s="20"/>
      <c r="D765" s="20"/>
      <c r="E765" s="20"/>
      <c r="F765" s="20"/>
      <c r="G765" s="20" t="s">
        <v>21</v>
      </c>
      <c r="H765" s="20" t="s">
        <v>122</v>
      </c>
      <c r="I765" s="115">
        <v>14.7</v>
      </c>
      <c r="J765" s="23">
        <v>11.5</v>
      </c>
      <c r="K765" s="154">
        <v>163</v>
      </c>
      <c r="L765" s="130">
        <f t="shared" si="149"/>
        <v>27.555149999999998</v>
      </c>
      <c r="M765" s="20"/>
      <c r="N765" s="23">
        <f t="shared" si="150"/>
        <v>0</v>
      </c>
      <c r="O765" s="20"/>
      <c r="P765" s="2067"/>
      <c r="Q765" s="1044"/>
      <c r="R765" s="1044"/>
    </row>
    <row r="766" spans="1:19" ht="15.6">
      <c r="A766" s="20"/>
      <c r="B766" s="20"/>
      <c r="C766" s="20"/>
      <c r="D766" s="20"/>
      <c r="E766" s="20"/>
      <c r="F766" s="20"/>
      <c r="G766" s="20" t="s">
        <v>21</v>
      </c>
      <c r="H766" s="20" t="s">
        <v>122</v>
      </c>
      <c r="I766" s="115">
        <v>14.7</v>
      </c>
      <c r="J766" s="23">
        <v>12</v>
      </c>
      <c r="K766" s="154">
        <v>18</v>
      </c>
      <c r="L766" s="130">
        <f t="shared" si="149"/>
        <v>3.1751999999999998</v>
      </c>
      <c r="M766" s="20">
        <v>1</v>
      </c>
      <c r="N766" s="23">
        <f t="shared" si="150"/>
        <v>0.17639999999999997</v>
      </c>
      <c r="O766" s="20"/>
      <c r="P766" s="2067"/>
      <c r="Q766" s="1044"/>
      <c r="R766" s="1044"/>
    </row>
    <row r="767" spans="1:19" ht="15.6">
      <c r="A767" s="20"/>
      <c r="B767" s="20"/>
      <c r="C767" s="20"/>
      <c r="D767" s="20"/>
      <c r="E767" s="20"/>
      <c r="F767" s="20"/>
      <c r="G767" s="20"/>
      <c r="H767" s="20"/>
      <c r="I767" s="115"/>
      <c r="J767" s="23"/>
      <c r="K767" s="154">
        <f t="shared" ref="K767:M767" si="151">SUM(K760:K766)</f>
        <v>413</v>
      </c>
      <c r="L767" s="128">
        <f>SUM(L760:L766)</f>
        <v>59.912789999999994</v>
      </c>
      <c r="M767" s="25">
        <f t="shared" si="151"/>
        <v>27</v>
      </c>
      <c r="N767" s="23">
        <f>SUM(N760:N766)</f>
        <v>3.3104399999999998</v>
      </c>
      <c r="O767" s="20"/>
      <c r="P767" s="2067"/>
      <c r="Q767" s="1044"/>
      <c r="R767" s="1044"/>
    </row>
    <row r="768" spans="1:19" ht="15.6">
      <c r="A768" s="20"/>
      <c r="B768" s="20"/>
      <c r="C768" s="20"/>
      <c r="D768" s="20"/>
      <c r="E768" s="20"/>
      <c r="F768" s="20"/>
      <c r="G768" s="20"/>
      <c r="H768" s="20"/>
      <c r="I768" s="115"/>
      <c r="J768" s="23"/>
      <c r="K768" s="154"/>
      <c r="L768" s="128"/>
      <c r="M768" s="20"/>
      <c r="N768" s="20"/>
      <c r="O768" s="20"/>
      <c r="P768" s="2067"/>
      <c r="Q768" s="1044"/>
      <c r="R768" s="1044"/>
    </row>
    <row r="769" spans="1:19" ht="15.6">
      <c r="A769" s="21" t="s">
        <v>83</v>
      </c>
      <c r="B769" s="21" t="s">
        <v>135</v>
      </c>
      <c r="C769" s="21" t="s">
        <v>19</v>
      </c>
      <c r="D769" s="21" t="s">
        <v>20</v>
      </c>
      <c r="E769" s="63" t="s">
        <v>51</v>
      </c>
      <c r="F769" s="22">
        <v>13</v>
      </c>
      <c r="G769" s="20" t="s">
        <v>21</v>
      </c>
      <c r="H769" s="143" t="s">
        <v>122</v>
      </c>
      <c r="I769" s="115">
        <v>14.7</v>
      </c>
      <c r="J769" s="23">
        <v>7.1</v>
      </c>
      <c r="K769" s="154">
        <v>32</v>
      </c>
      <c r="L769" s="130">
        <f>(I769*J769*K769/1000)</f>
        <v>3.3398399999999997</v>
      </c>
      <c r="M769" s="20">
        <v>3</v>
      </c>
      <c r="N769" s="23">
        <f t="shared" ref="N769:N772" si="152">J769*M769*I769/1000</f>
        <v>0.31310999999999994</v>
      </c>
      <c r="O769" s="20"/>
      <c r="P769" s="2067"/>
      <c r="Q769" s="1044"/>
      <c r="R769" s="1044"/>
      <c r="S769" s="150" t="s">
        <v>201</v>
      </c>
    </row>
    <row r="770" spans="1:19" ht="15.6">
      <c r="A770" s="20"/>
      <c r="B770" s="21" t="s">
        <v>52</v>
      </c>
      <c r="C770" s="20"/>
      <c r="D770" s="20"/>
      <c r="E770" s="20"/>
      <c r="F770" s="20"/>
      <c r="G770" s="20" t="s">
        <v>21</v>
      </c>
      <c r="H770" s="20" t="s">
        <v>122</v>
      </c>
      <c r="I770" s="115">
        <v>14.7</v>
      </c>
      <c r="J770" s="23">
        <v>10.8</v>
      </c>
      <c r="K770" s="154">
        <v>21</v>
      </c>
      <c r="L770" s="130">
        <f t="shared" ref="L770:L772" si="153">(I770*J770*K770/1000)</f>
        <v>3.3339600000000003</v>
      </c>
      <c r="M770" s="20"/>
      <c r="N770" s="23">
        <f t="shared" si="152"/>
        <v>0</v>
      </c>
      <c r="O770" s="20"/>
      <c r="P770" s="2067"/>
      <c r="Q770" s="1044"/>
      <c r="R770" s="1044"/>
    </row>
    <row r="771" spans="1:19" ht="15.6">
      <c r="A771" s="20"/>
      <c r="B771" s="20"/>
      <c r="C771" s="20"/>
      <c r="D771" s="20"/>
      <c r="E771" s="20"/>
      <c r="F771" s="20"/>
      <c r="G771" s="20" t="s">
        <v>21</v>
      </c>
      <c r="H771" s="20" t="s">
        <v>122</v>
      </c>
      <c r="I771" s="115">
        <v>14.7</v>
      </c>
      <c r="J771" s="23">
        <v>11.5</v>
      </c>
      <c r="K771" s="154">
        <v>34</v>
      </c>
      <c r="L771" s="130">
        <f t="shared" si="153"/>
        <v>5.7477</v>
      </c>
      <c r="M771" s="20"/>
      <c r="N771" s="23">
        <f t="shared" si="152"/>
        <v>0</v>
      </c>
      <c r="O771" s="20"/>
      <c r="P771" s="2067"/>
      <c r="Q771" s="1044"/>
      <c r="R771" s="1044"/>
    </row>
    <row r="772" spans="1:19" ht="15.6">
      <c r="A772" s="20"/>
      <c r="B772" s="20"/>
      <c r="C772" s="20"/>
      <c r="D772" s="20"/>
      <c r="E772" s="20"/>
      <c r="F772" s="20"/>
      <c r="G772" s="20" t="s">
        <v>21</v>
      </c>
      <c r="H772" s="20" t="s">
        <v>122</v>
      </c>
      <c r="I772" s="115">
        <v>14.7</v>
      </c>
      <c r="J772" s="23">
        <v>12</v>
      </c>
      <c r="K772" s="154">
        <v>5</v>
      </c>
      <c r="L772" s="130">
        <f t="shared" si="153"/>
        <v>0.8819999999999999</v>
      </c>
      <c r="M772" s="20"/>
      <c r="N772" s="23">
        <f t="shared" si="152"/>
        <v>0</v>
      </c>
      <c r="O772" s="20"/>
      <c r="P772" s="2067"/>
      <c r="Q772" s="1044"/>
      <c r="R772" s="1044"/>
    </row>
    <row r="773" spans="1:19" ht="15.6">
      <c r="A773" s="20"/>
      <c r="B773" s="20"/>
      <c r="C773" s="20"/>
      <c r="D773" s="20"/>
      <c r="E773" s="20"/>
      <c r="F773" s="20"/>
      <c r="G773" s="20"/>
      <c r="H773" s="20"/>
      <c r="I773" s="115"/>
      <c r="J773" s="23"/>
      <c r="K773" s="154">
        <f t="shared" ref="K773:M773" si="154">SUM(K769:K772)</f>
        <v>92</v>
      </c>
      <c r="L773" s="128">
        <f>SUM(L769:L772)</f>
        <v>13.3035</v>
      </c>
      <c r="M773" s="25">
        <f t="shared" si="154"/>
        <v>3</v>
      </c>
      <c r="N773" s="23">
        <f>SUM(N769:N772)</f>
        <v>0.31310999999999994</v>
      </c>
      <c r="O773" s="20"/>
      <c r="P773" s="2068"/>
      <c r="Q773" s="1044"/>
      <c r="R773" s="1044"/>
    </row>
    <row r="774" spans="1:19" ht="15.6">
      <c r="A774" s="20"/>
      <c r="B774" s="20"/>
      <c r="C774" s="20"/>
      <c r="D774" s="20"/>
      <c r="E774" s="20"/>
      <c r="F774" s="20"/>
      <c r="G774" s="20"/>
      <c r="H774" s="20"/>
      <c r="I774" s="115"/>
      <c r="J774" s="23"/>
      <c r="K774" s="154">
        <f>+K773+K767</f>
        <v>505</v>
      </c>
      <c r="L774" s="128">
        <f>+L773+L767</f>
        <v>73.216289999999987</v>
      </c>
      <c r="M774" s="25">
        <f>+M773+M767</f>
        <v>30</v>
      </c>
      <c r="N774" s="23">
        <f>+N773+N767</f>
        <v>3.6235499999999998</v>
      </c>
      <c r="O774" s="20"/>
      <c r="P774" s="20"/>
      <c r="Q774" s="155"/>
      <c r="R774" s="155"/>
    </row>
    <row r="775" spans="1:19" ht="15.6">
      <c r="A775" s="20"/>
      <c r="B775" s="20"/>
      <c r="C775" s="20"/>
      <c r="D775" s="20"/>
      <c r="E775" s="20"/>
      <c r="F775" s="20"/>
      <c r="G775" s="20"/>
      <c r="H775" s="20"/>
      <c r="I775" s="115"/>
      <c r="J775" s="23"/>
      <c r="K775" s="154"/>
      <c r="L775" s="128"/>
      <c r="M775" s="20"/>
      <c r="N775" s="20"/>
      <c r="O775" s="20"/>
      <c r="P775" s="20"/>
      <c r="Q775" s="155"/>
      <c r="R775" s="155"/>
    </row>
    <row r="776" spans="1:19" ht="15.6">
      <c r="A776" s="21" t="s">
        <v>83</v>
      </c>
      <c r="B776" s="21" t="s">
        <v>132</v>
      </c>
      <c r="C776" s="21" t="s">
        <v>19</v>
      </c>
      <c r="D776" s="21" t="s">
        <v>20</v>
      </c>
      <c r="E776" s="63" t="s">
        <v>51</v>
      </c>
      <c r="F776" s="22">
        <v>13</v>
      </c>
      <c r="G776" s="20" t="s">
        <v>21</v>
      </c>
      <c r="H776" s="143" t="s">
        <v>121</v>
      </c>
      <c r="I776" s="115">
        <v>12.9</v>
      </c>
      <c r="J776" s="23">
        <v>7.2</v>
      </c>
      <c r="K776" s="154">
        <v>20</v>
      </c>
      <c r="L776" s="130">
        <f t="shared" ref="L776:L778" si="155">(I776*J776*K776/1000)</f>
        <v>1.8576000000000001</v>
      </c>
      <c r="M776" s="20"/>
      <c r="N776" s="20"/>
      <c r="O776" s="20"/>
      <c r="P776" s="2066" t="s">
        <v>157</v>
      </c>
      <c r="Q776" s="1044"/>
      <c r="R776" s="1044"/>
      <c r="S776" s="150" t="s">
        <v>220</v>
      </c>
    </row>
    <row r="777" spans="1:19" ht="15.6">
      <c r="A777" s="20"/>
      <c r="B777" s="21" t="s">
        <v>84</v>
      </c>
      <c r="C777" s="20"/>
      <c r="D777" s="20"/>
      <c r="E777" s="20"/>
      <c r="F777" s="20"/>
      <c r="G777" s="20" t="s">
        <v>21</v>
      </c>
      <c r="H777" s="20" t="s">
        <v>121</v>
      </c>
      <c r="I777" s="115">
        <v>12.9</v>
      </c>
      <c r="J777" s="23">
        <v>10</v>
      </c>
      <c r="K777" s="154">
        <v>55</v>
      </c>
      <c r="L777" s="130">
        <f t="shared" si="155"/>
        <v>7.0949999999999998</v>
      </c>
      <c r="M777" s="20"/>
      <c r="N777" s="20"/>
      <c r="O777" s="20"/>
      <c r="P777" s="2067"/>
      <c r="Q777" s="1044"/>
      <c r="R777" s="1044"/>
    </row>
    <row r="778" spans="1:19" ht="15.6">
      <c r="A778" s="20"/>
      <c r="B778" s="20"/>
      <c r="C778" s="20"/>
      <c r="D778" s="20"/>
      <c r="E778" s="20"/>
      <c r="F778" s="20"/>
      <c r="G778" s="20" t="s">
        <v>21</v>
      </c>
      <c r="H778" s="20" t="s">
        <v>121</v>
      </c>
      <c r="I778" s="115">
        <v>12.9</v>
      </c>
      <c r="J778" s="23">
        <v>11.6</v>
      </c>
      <c r="K778" s="154">
        <v>10</v>
      </c>
      <c r="L778" s="130">
        <f t="shared" si="155"/>
        <v>1.4964</v>
      </c>
      <c r="M778" s="20"/>
      <c r="N778" s="20"/>
      <c r="O778" s="20"/>
      <c r="P778" s="2068"/>
      <c r="Q778" s="1044"/>
      <c r="R778" s="1044"/>
    </row>
    <row r="779" spans="1:19" ht="15.6">
      <c r="A779" s="20"/>
      <c r="B779" s="20"/>
      <c r="C779" s="20"/>
      <c r="D779" s="20"/>
      <c r="E779" s="20"/>
      <c r="F779" s="20"/>
      <c r="G779" s="20"/>
      <c r="H779" s="20"/>
      <c r="I779" s="131"/>
      <c r="J779" s="23"/>
      <c r="K779" s="154">
        <f>SUM(K776:K778)</f>
        <v>85</v>
      </c>
      <c r="L779" s="128">
        <f>SUM(L776:L778)</f>
        <v>10.449</v>
      </c>
      <c r="M779" s="20"/>
      <c r="N779" s="20"/>
      <c r="O779" s="20"/>
      <c r="P779" s="20"/>
      <c r="Q779" s="155"/>
      <c r="R779" s="155"/>
    </row>
    <row r="780" spans="1:19" ht="15.6">
      <c r="A780" s="20"/>
      <c r="B780" s="20"/>
      <c r="C780" s="20"/>
      <c r="D780" s="20"/>
      <c r="E780" s="20"/>
      <c r="F780" s="20"/>
      <c r="G780" s="20"/>
      <c r="H780" s="20"/>
      <c r="I780" s="131"/>
      <c r="J780" s="23"/>
      <c r="K780" s="154"/>
      <c r="L780" s="128"/>
      <c r="M780" s="20"/>
      <c r="N780" s="20"/>
      <c r="O780" s="20"/>
      <c r="P780" s="20"/>
      <c r="Q780" s="155"/>
      <c r="R780" s="155"/>
    </row>
    <row r="781" spans="1:19" ht="15.6">
      <c r="A781" s="21" t="s">
        <v>174</v>
      </c>
      <c r="B781" s="21" t="s">
        <v>230</v>
      </c>
      <c r="C781" s="21" t="s">
        <v>19</v>
      </c>
      <c r="D781" s="21" t="s">
        <v>20</v>
      </c>
      <c r="E781" s="21" t="s">
        <v>57</v>
      </c>
      <c r="F781" s="22">
        <v>13</v>
      </c>
      <c r="G781" s="20" t="s">
        <v>21</v>
      </c>
      <c r="H781" s="37" t="s">
        <v>120</v>
      </c>
      <c r="I781" s="115">
        <v>18.2</v>
      </c>
      <c r="J781" s="23">
        <v>9.5</v>
      </c>
      <c r="K781" s="154">
        <v>31</v>
      </c>
      <c r="L781" s="130">
        <f t="shared" ref="L781" si="156">(I781*J781*K781/1000)</f>
        <v>5.3599000000000006</v>
      </c>
      <c r="M781" s="20">
        <f>10+21</f>
        <v>31</v>
      </c>
      <c r="N781" s="23">
        <f>J781*M781*I781/1000</f>
        <v>5.3598999999999997</v>
      </c>
      <c r="O781" s="20" t="s">
        <v>193</v>
      </c>
      <c r="P781" s="20"/>
      <c r="Q781" s="155"/>
      <c r="R781" s="155"/>
    </row>
    <row r="782" spans="1:19" ht="15.6">
      <c r="A782" s="20"/>
      <c r="B782" s="229" t="s">
        <v>207</v>
      </c>
      <c r="C782" s="20"/>
      <c r="D782" s="20"/>
      <c r="E782" s="20"/>
      <c r="F782" s="20"/>
      <c r="G782" s="20"/>
      <c r="H782" s="20"/>
      <c r="I782" s="131"/>
      <c r="J782" s="23"/>
      <c r="K782" s="154">
        <f t="shared" ref="K782" si="157">SUM(K781)</f>
        <v>31</v>
      </c>
      <c r="L782" s="128">
        <f>SUM(L781)</f>
        <v>5.3599000000000006</v>
      </c>
      <c r="M782" s="25">
        <f t="shared" ref="M782" si="158">SUM(M781)</f>
        <v>31</v>
      </c>
      <c r="N782" s="23">
        <f>SUM(N781)</f>
        <v>5.3598999999999997</v>
      </c>
      <c r="O782" s="20"/>
      <c r="P782" s="20"/>
      <c r="Q782" s="155"/>
      <c r="R782" s="155"/>
    </row>
    <row r="783" spans="1:19" ht="15.6">
      <c r="A783" s="20"/>
      <c r="B783" s="20"/>
      <c r="C783" s="20"/>
      <c r="D783" s="20"/>
      <c r="E783" s="20"/>
      <c r="F783" s="20"/>
      <c r="G783" s="20"/>
      <c r="H783" s="20"/>
      <c r="I783" s="131"/>
      <c r="J783" s="23"/>
      <c r="K783" s="154"/>
      <c r="L783" s="128"/>
      <c r="M783" s="20"/>
      <c r="N783" s="20"/>
      <c r="O783" s="20"/>
      <c r="P783" s="20"/>
      <c r="Q783" s="155"/>
      <c r="R783" s="155"/>
    </row>
    <row r="784" spans="1:19" ht="15.6">
      <c r="A784" s="21" t="s">
        <v>174</v>
      </c>
      <c r="B784" s="21" t="s">
        <v>224</v>
      </c>
      <c r="C784" s="21" t="s">
        <v>19</v>
      </c>
      <c r="D784" s="21" t="s">
        <v>20</v>
      </c>
      <c r="E784" s="21" t="s">
        <v>175</v>
      </c>
      <c r="F784" s="22">
        <v>13</v>
      </c>
      <c r="G784" s="20" t="s">
        <v>21</v>
      </c>
      <c r="H784" s="143" t="s">
        <v>120</v>
      </c>
      <c r="I784" s="115">
        <v>18.2</v>
      </c>
      <c r="J784" s="23">
        <v>9.5</v>
      </c>
      <c r="K784" s="154">
        <v>2</v>
      </c>
      <c r="L784" s="130">
        <f t="shared" ref="L784" si="159">(I784*J784*K784/1000)</f>
        <v>0.3458</v>
      </c>
      <c r="M784" s="20">
        <v>2</v>
      </c>
      <c r="N784" s="23">
        <f>J784*M784*I784/1000</f>
        <v>0.3458</v>
      </c>
      <c r="O784" s="20"/>
      <c r="P784" s="20"/>
      <c r="Q784" s="155"/>
      <c r="R784" s="155"/>
      <c r="S784" s="497" t="s">
        <v>483</v>
      </c>
    </row>
    <row r="785" spans="1:18" ht="15.6">
      <c r="A785" s="20"/>
      <c r="B785" s="240" t="s">
        <v>67</v>
      </c>
      <c r="C785" s="20"/>
      <c r="D785" s="20"/>
      <c r="E785" s="20"/>
      <c r="F785" s="20"/>
      <c r="G785" s="20"/>
      <c r="H785" s="20"/>
      <c r="I785" s="131"/>
      <c r="J785" s="23"/>
      <c r="K785" s="154">
        <f t="shared" ref="K785" si="160">SUM(K784)</f>
        <v>2</v>
      </c>
      <c r="L785" s="128">
        <f>SUM(L784)</f>
        <v>0.3458</v>
      </c>
      <c r="M785" s="25">
        <f t="shared" ref="M785" si="161">SUM(M784)</f>
        <v>2</v>
      </c>
      <c r="N785" s="23">
        <f>SUM(N784)</f>
        <v>0.3458</v>
      </c>
      <c r="O785" s="20"/>
      <c r="P785" s="20"/>
      <c r="Q785" s="155"/>
      <c r="R785" s="155"/>
    </row>
    <row r="786" spans="1:18" ht="15.6">
      <c r="A786" s="20"/>
      <c r="B786" s="20"/>
      <c r="C786" s="20"/>
      <c r="D786" s="20"/>
      <c r="E786" s="20"/>
      <c r="F786" s="20"/>
      <c r="G786" s="20"/>
      <c r="H786" s="20"/>
      <c r="I786" s="131"/>
      <c r="J786" s="23"/>
      <c r="K786" s="154">
        <f>+K785+K782</f>
        <v>33</v>
      </c>
      <c r="L786" s="128">
        <f>+L785+L782</f>
        <v>5.7057000000000002</v>
      </c>
      <c r="M786" s="25">
        <f>+M785+M782</f>
        <v>33</v>
      </c>
      <c r="N786" s="23">
        <f>+N785+N782</f>
        <v>5.7056999999999993</v>
      </c>
      <c r="O786" s="20"/>
      <c r="P786" s="20"/>
      <c r="Q786" s="155"/>
      <c r="R786" s="155"/>
    </row>
    <row r="787" spans="1:18" ht="15.6">
      <c r="A787" s="20"/>
      <c r="B787" s="20"/>
      <c r="C787" s="20"/>
      <c r="D787" s="20"/>
      <c r="E787" s="20"/>
      <c r="F787" s="20"/>
      <c r="G787" s="20"/>
      <c r="H787" s="20"/>
      <c r="I787" s="131"/>
      <c r="J787" s="23"/>
      <c r="K787" s="154"/>
      <c r="L787" s="128"/>
      <c r="M787" s="20"/>
      <c r="N787" s="20"/>
      <c r="O787" s="20"/>
      <c r="P787" s="20"/>
      <c r="Q787" s="155"/>
      <c r="R787" s="155"/>
    </row>
    <row r="788" spans="1:18" ht="15.6">
      <c r="A788" s="21" t="s">
        <v>174</v>
      </c>
      <c r="B788" s="21" t="s">
        <v>224</v>
      </c>
      <c r="C788" s="21" t="s">
        <v>19</v>
      </c>
      <c r="D788" s="21" t="s">
        <v>20</v>
      </c>
      <c r="E788" s="21" t="s">
        <v>175</v>
      </c>
      <c r="F788" s="22">
        <v>13</v>
      </c>
      <c r="G788" s="20" t="s">
        <v>21</v>
      </c>
      <c r="H788" s="20" t="s">
        <v>122</v>
      </c>
      <c r="I788" s="115">
        <v>14.7</v>
      </c>
      <c r="J788" s="23">
        <v>11.6</v>
      </c>
      <c r="K788" s="166">
        <v>13</v>
      </c>
      <c r="L788" s="130">
        <f>(I788*J788*K788/1000)</f>
        <v>2.2167599999999998</v>
      </c>
      <c r="M788" s="20">
        <f>5+8</f>
        <v>13</v>
      </c>
      <c r="N788" s="23">
        <f>J788*M788*I788/1000</f>
        <v>2.2167599999999998</v>
      </c>
      <c r="O788" s="20" t="s">
        <v>194</v>
      </c>
      <c r="P788" s="20"/>
      <c r="Q788" s="155"/>
      <c r="R788" s="155"/>
    </row>
    <row r="789" spans="1:18" ht="15.6">
      <c r="A789" s="20"/>
      <c r="B789" s="238" t="s">
        <v>225</v>
      </c>
      <c r="C789" s="20"/>
      <c r="D789" s="20"/>
      <c r="E789" s="20"/>
      <c r="F789" s="20"/>
      <c r="G789" s="20"/>
      <c r="H789" s="20"/>
      <c r="I789" s="131"/>
      <c r="J789" s="23"/>
      <c r="K789" s="154">
        <f t="shared" ref="K789" si="162">SUM(K788)</f>
        <v>13</v>
      </c>
      <c r="L789" s="128">
        <f>SUM(L788)</f>
        <v>2.2167599999999998</v>
      </c>
      <c r="M789" s="25">
        <f t="shared" ref="M789" si="163">SUM(M788)</f>
        <v>13</v>
      </c>
      <c r="N789" s="23">
        <f>SUM(N788)</f>
        <v>2.2167599999999998</v>
      </c>
      <c r="O789" s="20"/>
      <c r="P789" s="20"/>
      <c r="Q789" s="155"/>
      <c r="R789" s="155"/>
    </row>
    <row r="790" spans="1:18" ht="15.6">
      <c r="A790" s="20"/>
      <c r="B790" s="20"/>
      <c r="C790" s="20"/>
      <c r="D790" s="20"/>
      <c r="E790" s="20"/>
      <c r="F790" s="20"/>
      <c r="G790" s="20"/>
      <c r="H790" s="20"/>
      <c r="I790" s="131"/>
      <c r="J790" s="23"/>
      <c r="K790" s="154"/>
      <c r="L790" s="128"/>
      <c r="M790" s="20"/>
      <c r="N790" s="20"/>
      <c r="O790" s="20"/>
      <c r="P790" s="20"/>
      <c r="Q790" s="155"/>
      <c r="R790" s="155"/>
    </row>
    <row r="791" spans="1:18" ht="15.6">
      <c r="A791" s="20"/>
      <c r="B791" s="20"/>
      <c r="C791" s="20"/>
      <c r="D791" s="20"/>
      <c r="E791" s="20"/>
      <c r="F791" s="20"/>
      <c r="G791" s="20"/>
      <c r="H791" s="20"/>
      <c r="I791" s="131"/>
      <c r="J791" s="23"/>
      <c r="K791" s="154"/>
      <c r="L791" s="128">
        <f>+L789+L786</f>
        <v>7.9224600000000001</v>
      </c>
      <c r="M791" s="25">
        <f>+M789+M786</f>
        <v>46</v>
      </c>
      <c r="N791" s="23">
        <f>+N789+N786</f>
        <v>7.9224599999999992</v>
      </c>
      <c r="O791" s="20"/>
      <c r="P791" s="20"/>
      <c r="Q791" s="155"/>
      <c r="R791" s="155"/>
    </row>
    <row r="792" spans="1:18" ht="11.25" customHeight="1">
      <c r="A792" s="20"/>
      <c r="B792" s="20"/>
      <c r="C792" s="20"/>
      <c r="D792" s="20"/>
      <c r="E792" s="20"/>
      <c r="F792" s="20"/>
      <c r="G792" s="20"/>
      <c r="H792" s="20"/>
      <c r="I792" s="131"/>
      <c r="J792" s="23"/>
      <c r="K792" s="154"/>
      <c r="L792" s="128"/>
      <c r="M792" s="20"/>
      <c r="N792" s="20"/>
      <c r="O792" s="20"/>
      <c r="P792" s="20"/>
      <c r="Q792" s="155"/>
      <c r="R792" s="155"/>
    </row>
    <row r="793" spans="1:18" ht="15.6">
      <c r="A793" s="20"/>
      <c r="B793" s="20"/>
      <c r="C793" s="20"/>
      <c r="D793" s="20"/>
      <c r="E793" s="20"/>
      <c r="F793" s="20"/>
      <c r="G793" s="20"/>
      <c r="H793" s="20"/>
      <c r="I793" s="131"/>
      <c r="J793" s="23"/>
      <c r="K793" s="154"/>
      <c r="L793" s="128"/>
      <c r="M793" s="20"/>
      <c r="N793" s="20"/>
      <c r="O793" s="20"/>
      <c r="P793" s="20"/>
      <c r="Q793" s="155"/>
      <c r="R793" s="155"/>
    </row>
    <row r="794" spans="1:18" ht="15.6">
      <c r="A794" s="20"/>
      <c r="B794" s="20"/>
      <c r="C794" s="20"/>
      <c r="D794" s="20"/>
      <c r="E794" s="20"/>
      <c r="F794" s="20"/>
      <c r="G794" s="20"/>
      <c r="H794" s="20"/>
      <c r="I794" s="131"/>
      <c r="J794" s="20"/>
      <c r="K794" s="211"/>
      <c r="L794" s="128">
        <f>+L779+L774+L758+L742+L791</f>
        <v>239.95537000000002</v>
      </c>
      <c r="M794" s="20"/>
      <c r="N794" s="23">
        <f>+N779+N774+N758+N742+N791</f>
        <v>18.278779999999998</v>
      </c>
      <c r="O794" s="20"/>
      <c r="P794" s="20"/>
      <c r="Q794" s="155"/>
      <c r="R794" s="155"/>
    </row>
    <row r="795" spans="1:18">
      <c r="A795" s="10" t="s">
        <v>48</v>
      </c>
      <c r="B795" s="10"/>
      <c r="C795" s="11"/>
      <c r="D795" s="11"/>
      <c r="E795" s="11"/>
      <c r="F795" s="92"/>
      <c r="G795" s="11"/>
      <c r="H795" s="92"/>
      <c r="I795" s="13"/>
      <c r="J795" s="11"/>
      <c r="K795" s="202"/>
      <c r="L795" s="2047" t="s">
        <v>0</v>
      </c>
      <c r="M795" s="2047"/>
      <c r="N795" s="2047"/>
      <c r="O795" s="2048"/>
      <c r="P795" s="2020"/>
      <c r="Q795" s="142"/>
      <c r="R795" s="142"/>
    </row>
    <row r="796" spans="1:18">
      <c r="A796" s="14" t="s">
        <v>1</v>
      </c>
      <c r="B796" s="14"/>
      <c r="C796" s="14"/>
      <c r="D796" s="15" t="s">
        <v>2</v>
      </c>
      <c r="E796" s="15"/>
      <c r="F796" s="16"/>
      <c r="G796" s="16"/>
      <c r="H796" s="16"/>
      <c r="I796" s="17"/>
      <c r="J796" s="16"/>
      <c r="K796" s="203" t="s">
        <v>3</v>
      </c>
      <c r="L796" s="16"/>
      <c r="M796" s="14"/>
      <c r="N796" s="16"/>
      <c r="O796" s="19"/>
      <c r="P796" s="2020"/>
      <c r="Q796" s="142"/>
      <c r="R796" s="142"/>
    </row>
    <row r="797" spans="1:18" ht="15.6">
      <c r="A797" s="111" t="s">
        <v>22</v>
      </c>
      <c r="B797" s="2021" t="s">
        <v>23</v>
      </c>
      <c r="C797" s="2022"/>
      <c r="D797" s="2023"/>
      <c r="E797" s="111" t="s">
        <v>24</v>
      </c>
      <c r="F797" s="2021" t="s">
        <v>25</v>
      </c>
      <c r="G797" s="2023"/>
      <c r="H797" s="2021" t="s">
        <v>26</v>
      </c>
      <c r="I797" s="2022"/>
      <c r="J797" s="2022"/>
      <c r="K797" s="2023"/>
      <c r="L797" s="2024" t="s">
        <v>27</v>
      </c>
      <c r="M797" s="2024"/>
      <c r="N797" s="2024"/>
      <c r="O797" s="2021"/>
      <c r="P797" s="2020"/>
      <c r="Q797" s="142"/>
      <c r="R797" s="142"/>
    </row>
    <row r="798" spans="1:18" ht="15.6">
      <c r="A798" s="38"/>
      <c r="B798" s="2025"/>
      <c r="C798" s="2026"/>
      <c r="D798" s="2027"/>
      <c r="E798" s="26"/>
      <c r="F798" s="2025"/>
      <c r="G798" s="2027"/>
      <c r="H798" s="2025"/>
      <c r="I798" s="2026"/>
      <c r="J798" s="2026"/>
      <c r="K798" s="2027"/>
      <c r="L798" s="2025"/>
      <c r="M798" s="2026"/>
      <c r="N798" s="2026"/>
      <c r="O798" s="2026"/>
      <c r="P798" s="2020"/>
      <c r="Q798" s="142"/>
      <c r="R798" s="142"/>
    </row>
    <row r="799" spans="1:18" ht="15.6">
      <c r="A799" s="38"/>
      <c r="B799" s="108"/>
      <c r="C799" s="109"/>
      <c r="D799" s="110"/>
      <c r="E799" s="26"/>
      <c r="F799" s="108"/>
      <c r="G799" s="110"/>
      <c r="H799" s="108"/>
      <c r="I799" s="1856"/>
      <c r="J799" s="109"/>
      <c r="K799" s="204"/>
      <c r="L799" s="279"/>
      <c r="M799" s="109"/>
      <c r="N799" s="109"/>
      <c r="O799" s="109"/>
      <c r="P799" s="2020"/>
      <c r="Q799" s="142"/>
      <c r="R799" s="142"/>
    </row>
    <row r="800" spans="1:18" ht="15.6">
      <c r="A800" s="38" t="s">
        <v>28</v>
      </c>
      <c r="B800" s="2025" t="s">
        <v>144</v>
      </c>
      <c r="C800" s="2026"/>
      <c r="D800" s="2027"/>
      <c r="E800" s="26">
        <f>+L742-4.424</f>
        <v>84.266420000000011</v>
      </c>
      <c r="F800" s="2025">
        <v>13</v>
      </c>
      <c r="G800" s="2027"/>
      <c r="H800" s="2025" t="s">
        <v>49</v>
      </c>
      <c r="I800" s="2026"/>
      <c r="J800" s="2026"/>
      <c r="K800" s="2027"/>
      <c r="L800" s="2025" t="s">
        <v>80</v>
      </c>
      <c r="M800" s="2026"/>
      <c r="N800" s="2026"/>
      <c r="O800" s="2026"/>
      <c r="P800" s="2020"/>
      <c r="Q800" s="142"/>
      <c r="R800" s="142"/>
    </row>
    <row r="801" spans="1:18" ht="15.6">
      <c r="A801" s="38" t="s">
        <v>29</v>
      </c>
      <c r="B801" s="2025" t="s">
        <v>145</v>
      </c>
      <c r="C801" s="2026"/>
      <c r="D801" s="2027"/>
      <c r="E801" s="26">
        <f>+L758-2.308</f>
        <v>57.369199999999999</v>
      </c>
      <c r="F801" s="2025">
        <v>13</v>
      </c>
      <c r="G801" s="2027"/>
      <c r="H801" s="2025" t="s">
        <v>49</v>
      </c>
      <c r="I801" s="2026"/>
      <c r="J801" s="2026"/>
      <c r="K801" s="2027"/>
      <c r="L801" s="2025" t="s">
        <v>80</v>
      </c>
      <c r="M801" s="2026"/>
      <c r="N801" s="2026"/>
      <c r="O801" s="2026"/>
      <c r="P801" s="2020"/>
      <c r="Q801" s="142"/>
      <c r="R801" s="142"/>
    </row>
    <row r="802" spans="1:18" ht="15.6">
      <c r="A802" s="38" t="s">
        <v>30</v>
      </c>
      <c r="B802" s="2025" t="s">
        <v>146</v>
      </c>
      <c r="C802" s="2026"/>
      <c r="D802" s="2027"/>
      <c r="E802" s="26">
        <f>+L774-3.624</f>
        <v>69.592289999999991</v>
      </c>
      <c r="F802" s="2025">
        <v>13</v>
      </c>
      <c r="G802" s="2027"/>
      <c r="H802" s="2025" t="s">
        <v>49</v>
      </c>
      <c r="I802" s="2026"/>
      <c r="J802" s="2026"/>
      <c r="K802" s="2027"/>
      <c r="L802" s="2025" t="s">
        <v>80</v>
      </c>
      <c r="M802" s="2026"/>
      <c r="N802" s="2026"/>
      <c r="O802" s="2026"/>
      <c r="P802" s="2020"/>
      <c r="Q802" s="142"/>
      <c r="R802" s="142"/>
    </row>
    <row r="803" spans="1:18" ht="16.2" thickBot="1">
      <c r="A803" s="38" t="s">
        <v>46</v>
      </c>
      <c r="B803" s="2025" t="s">
        <v>147</v>
      </c>
      <c r="C803" s="2026"/>
      <c r="D803" s="2027"/>
      <c r="E803" s="26">
        <f>+L779</f>
        <v>10.449</v>
      </c>
      <c r="F803" s="2025">
        <v>13</v>
      </c>
      <c r="G803" s="2027"/>
      <c r="H803" s="2025" t="s">
        <v>49</v>
      </c>
      <c r="I803" s="2026"/>
      <c r="J803" s="2026"/>
      <c r="K803" s="2027"/>
      <c r="L803" s="2025" t="s">
        <v>80</v>
      </c>
      <c r="M803" s="2026"/>
      <c r="N803" s="2026"/>
      <c r="O803" s="2026"/>
      <c r="P803" s="2020"/>
      <c r="Q803" s="142"/>
      <c r="R803" s="142"/>
    </row>
    <row r="804" spans="1:18" ht="15.6">
      <c r="A804" s="41"/>
      <c r="B804" s="42"/>
      <c r="C804" s="43"/>
      <c r="D804" s="43"/>
      <c r="E804" s="2028">
        <f>SUM(E798:E803)</f>
        <v>221.67691000000002</v>
      </c>
      <c r="F804" s="44"/>
      <c r="G804" s="45"/>
      <c r="H804" s="46"/>
      <c r="I804" s="1858"/>
      <c r="J804" s="43"/>
      <c r="K804" s="205"/>
      <c r="L804" s="46"/>
      <c r="M804" s="43"/>
      <c r="N804" s="44"/>
      <c r="O804" s="43"/>
      <c r="P804" s="2020"/>
      <c r="Q804" s="142"/>
      <c r="R804" s="142"/>
    </row>
    <row r="805" spans="1:18" ht="16.2" thickBot="1">
      <c r="A805" s="47"/>
      <c r="B805" s="48"/>
      <c r="C805" s="49"/>
      <c r="D805" s="49"/>
      <c r="E805" s="2029"/>
      <c r="F805" s="50"/>
      <c r="G805" s="51"/>
      <c r="H805" s="52"/>
      <c r="I805" s="1860"/>
      <c r="J805" s="49"/>
      <c r="K805" s="206"/>
      <c r="L805" s="52"/>
      <c r="M805" s="49"/>
      <c r="N805" s="50"/>
      <c r="O805" s="49"/>
      <c r="P805" s="2020"/>
      <c r="Q805" s="142"/>
      <c r="R805" s="142"/>
    </row>
    <row r="806" spans="1:18" ht="15.6">
      <c r="A806" s="53" t="s">
        <v>31</v>
      </c>
      <c r="B806" s="43"/>
      <c r="C806" s="43"/>
      <c r="D806" s="43"/>
      <c r="E806" s="43"/>
      <c r="F806" s="44"/>
      <c r="G806" s="43"/>
      <c r="H806" s="44"/>
      <c r="I806" s="1858"/>
      <c r="J806" s="43"/>
      <c r="K806" s="207"/>
      <c r="L806" s="44"/>
      <c r="M806" s="43"/>
      <c r="N806" s="44"/>
      <c r="O806" s="43"/>
      <c r="P806" s="2020"/>
      <c r="Q806" s="142"/>
      <c r="R806" s="142"/>
    </row>
    <row r="807" spans="1:18" ht="9" customHeight="1">
      <c r="A807" s="54"/>
      <c r="B807" s="55"/>
      <c r="C807" s="55"/>
      <c r="D807" s="55"/>
      <c r="E807" s="55"/>
      <c r="F807" s="107"/>
      <c r="G807" s="55"/>
      <c r="H807" s="107"/>
      <c r="I807" s="1859"/>
      <c r="J807" s="55"/>
      <c r="K807" s="208"/>
      <c r="L807" s="283"/>
      <c r="M807" s="55"/>
      <c r="N807" s="107"/>
      <c r="O807" s="55"/>
      <c r="P807" s="2020"/>
      <c r="Q807" s="142"/>
      <c r="R807" s="142"/>
    </row>
    <row r="808" spans="1:18" ht="18" customHeight="1" thickBot="1">
      <c r="A808" s="2030" t="s">
        <v>32</v>
      </c>
      <c r="B808" s="2031"/>
      <c r="C808" s="2032" t="s">
        <v>33</v>
      </c>
      <c r="D808" s="2033"/>
      <c r="E808" s="57" t="s">
        <v>34</v>
      </c>
      <c r="F808" s="57" t="s">
        <v>35</v>
      </c>
      <c r="G808" s="2034" t="s">
        <v>36</v>
      </c>
      <c r="H808" s="2035"/>
      <c r="I808" s="2035"/>
      <c r="J808" s="2035"/>
      <c r="K808" s="2035"/>
      <c r="L808" s="2035"/>
      <c r="M808" s="2035"/>
      <c r="N808" s="2035"/>
      <c r="O808" s="2035"/>
      <c r="P808" s="2020"/>
      <c r="Q808" s="142"/>
      <c r="R808" s="142"/>
    </row>
    <row r="809" spans="1:18" ht="15.6">
      <c r="A809" s="2036"/>
      <c r="B809" s="2023"/>
      <c r="C809" s="2021"/>
      <c r="D809" s="2023"/>
      <c r="E809" s="111"/>
      <c r="F809" s="105"/>
      <c r="G809" s="2037"/>
      <c r="H809" s="2038"/>
      <c r="I809" s="2038"/>
      <c r="J809" s="2038"/>
      <c r="K809" s="2038"/>
      <c r="L809" s="2038"/>
      <c r="M809" s="2038"/>
      <c r="N809" s="2038"/>
      <c r="O809" s="2038"/>
      <c r="P809" s="2020"/>
      <c r="Q809" s="142"/>
      <c r="R809" s="142"/>
    </row>
    <row r="810" spans="1:18" ht="15.6">
      <c r="A810" s="2043" t="s">
        <v>37</v>
      </c>
      <c r="B810" s="2044"/>
      <c r="C810" s="2021"/>
      <c r="D810" s="2023"/>
      <c r="E810" s="111"/>
      <c r="F810" s="105"/>
      <c r="G810" s="2039"/>
      <c r="H810" s="2040"/>
      <c r="I810" s="2040"/>
      <c r="J810" s="2040"/>
      <c r="K810" s="2040"/>
      <c r="L810" s="2040"/>
      <c r="M810" s="2040"/>
      <c r="N810" s="2040"/>
      <c r="O810" s="2040"/>
      <c r="P810" s="2020"/>
      <c r="Q810" s="142"/>
      <c r="R810" s="142"/>
    </row>
    <row r="811" spans="1:18" ht="15.6">
      <c r="A811" s="2043" t="s">
        <v>38</v>
      </c>
      <c r="B811" s="2044"/>
      <c r="C811" s="2021"/>
      <c r="D811" s="2023"/>
      <c r="E811" s="111"/>
      <c r="F811" s="105"/>
      <c r="G811" s="2039"/>
      <c r="H811" s="2040"/>
      <c r="I811" s="2040"/>
      <c r="J811" s="2040"/>
      <c r="K811" s="2040"/>
      <c r="L811" s="2040"/>
      <c r="M811" s="2040"/>
      <c r="N811" s="2040"/>
      <c r="O811" s="2040"/>
      <c r="P811" s="2020"/>
      <c r="Q811" s="142"/>
      <c r="R811" s="142"/>
    </row>
    <row r="812" spans="1:18" ht="15.6">
      <c r="A812" s="2043" t="s">
        <v>39</v>
      </c>
      <c r="B812" s="2044"/>
      <c r="C812" s="2021"/>
      <c r="D812" s="2023"/>
      <c r="E812" s="111"/>
      <c r="F812" s="105"/>
      <c r="G812" s="2039"/>
      <c r="H812" s="2040"/>
      <c r="I812" s="2040"/>
      <c r="J812" s="2040"/>
      <c r="K812" s="2040"/>
      <c r="L812" s="2040"/>
      <c r="M812" s="2040"/>
      <c r="N812" s="2040"/>
      <c r="O812" s="2040"/>
      <c r="P812" s="2020"/>
      <c r="Q812" s="142"/>
      <c r="R812" s="142"/>
    </row>
    <row r="813" spans="1:18" ht="15.6">
      <c r="A813" s="2043" t="s">
        <v>40</v>
      </c>
      <c r="B813" s="2044"/>
      <c r="C813" s="2021"/>
      <c r="D813" s="2023"/>
      <c r="E813" s="111"/>
      <c r="F813" s="105"/>
      <c r="G813" s="2039"/>
      <c r="H813" s="2040"/>
      <c r="I813" s="2040"/>
      <c r="J813" s="2040"/>
      <c r="K813" s="2040"/>
      <c r="L813" s="2040"/>
      <c r="M813" s="2040"/>
      <c r="N813" s="2040"/>
      <c r="O813" s="2040"/>
      <c r="P813" s="2020"/>
      <c r="Q813" s="142"/>
      <c r="R813" s="142"/>
    </row>
    <row r="814" spans="1:18" ht="16.2" thickBot="1">
      <c r="A814" s="2049" t="s">
        <v>41</v>
      </c>
      <c r="B814" s="2050"/>
      <c r="C814" s="2051"/>
      <c r="D814" s="2052"/>
      <c r="E814" s="58"/>
      <c r="F814" s="106"/>
      <c r="G814" s="2041"/>
      <c r="H814" s="2042"/>
      <c r="I814" s="2042"/>
      <c r="J814" s="2042"/>
      <c r="K814" s="2042"/>
      <c r="L814" s="2042"/>
      <c r="M814" s="2042"/>
      <c r="N814" s="2042"/>
      <c r="O814" s="2042"/>
      <c r="P814" s="2020"/>
      <c r="Q814" s="142"/>
      <c r="R814" s="142"/>
    </row>
    <row r="815" spans="1:18" ht="8.25" customHeight="1">
      <c r="A815" s="54"/>
      <c r="B815" s="55"/>
      <c r="C815" s="55"/>
      <c r="D815" s="55"/>
      <c r="E815" s="55"/>
      <c r="F815" s="107"/>
      <c r="G815" s="55"/>
      <c r="H815" s="59"/>
      <c r="I815" s="60"/>
      <c r="J815" s="61"/>
      <c r="K815" s="209"/>
      <c r="L815" s="301"/>
      <c r="M815" s="55"/>
      <c r="N815" s="107"/>
      <c r="O815" s="55"/>
      <c r="P815" s="2020"/>
      <c r="Q815" s="142"/>
      <c r="R815" s="142"/>
    </row>
    <row r="816" spans="1:18" ht="15.6">
      <c r="A816" s="62" t="s">
        <v>42</v>
      </c>
      <c r="B816" s="56"/>
      <c r="C816" s="55"/>
      <c r="D816" s="55"/>
      <c r="E816" s="55"/>
      <c r="F816" s="107"/>
      <c r="G816" s="56"/>
      <c r="H816" s="59"/>
      <c r="I816" s="60"/>
      <c r="J816" s="61"/>
      <c r="K816" s="208"/>
      <c r="L816" s="302"/>
      <c r="M816" s="55"/>
      <c r="N816" s="2045" t="s">
        <v>43</v>
      </c>
      <c r="O816" s="2045"/>
      <c r="P816" s="2020"/>
      <c r="Q816" s="142"/>
      <c r="R816" s="142"/>
    </row>
    <row r="817" spans="1:21" ht="15.6">
      <c r="A817" s="62"/>
      <c r="B817" s="56"/>
      <c r="C817" s="55"/>
      <c r="D817" s="55"/>
      <c r="E817" s="55"/>
      <c r="F817" s="107"/>
      <c r="G817" s="55"/>
      <c r="H817" s="107"/>
      <c r="I817" s="1859"/>
      <c r="J817" s="55"/>
      <c r="K817" s="208"/>
      <c r="L817" s="283"/>
      <c r="M817" s="55"/>
      <c r="N817" s="107"/>
      <c r="O817" s="56"/>
      <c r="P817" s="2020"/>
      <c r="Q817" s="142"/>
      <c r="R817" s="142"/>
    </row>
    <row r="818" spans="1:21" ht="15.6">
      <c r="A818" s="62" t="s">
        <v>44</v>
      </c>
      <c r="B818" s="56"/>
      <c r="C818" s="55"/>
      <c r="D818" s="55"/>
      <c r="E818" s="55"/>
      <c r="F818" s="107"/>
      <c r="G818" s="55"/>
      <c r="H818" s="107"/>
      <c r="I818" s="1859"/>
      <c r="J818" s="55"/>
      <c r="K818" s="208"/>
      <c r="L818" s="283"/>
      <c r="M818" s="55"/>
      <c r="N818" s="2045" t="s">
        <v>45</v>
      </c>
      <c r="O818" s="2045"/>
      <c r="P818" s="2020"/>
      <c r="Q818" s="142"/>
      <c r="R818" s="142"/>
    </row>
    <row r="819" spans="1:21" ht="16.2" thickBot="1">
      <c r="A819" s="48"/>
      <c r="B819" s="49"/>
      <c r="C819" s="49"/>
      <c r="D819" s="49"/>
      <c r="E819" s="49"/>
      <c r="F819" s="50"/>
      <c r="G819" s="49"/>
      <c r="H819" s="50"/>
      <c r="I819" s="1860"/>
      <c r="J819" s="49"/>
      <c r="K819" s="210"/>
      <c r="L819" s="50"/>
      <c r="M819" s="49"/>
      <c r="N819" s="50"/>
      <c r="O819" s="49"/>
      <c r="P819" s="2020"/>
      <c r="Q819" s="142"/>
      <c r="R819" s="142"/>
    </row>
    <row r="822" spans="1:21">
      <c r="A822" s="1" t="s">
        <v>48</v>
      </c>
      <c r="B822" s="1"/>
      <c r="C822" s="2"/>
      <c r="D822" s="2"/>
      <c r="E822" s="2"/>
      <c r="F822" s="3"/>
      <c r="G822" s="2"/>
      <c r="H822" s="2"/>
      <c r="I822" s="4"/>
      <c r="J822" s="5"/>
      <c r="K822" s="196"/>
      <c r="L822" s="2056" t="s">
        <v>0</v>
      </c>
      <c r="M822" s="2056"/>
      <c r="N822" s="2056"/>
      <c r="O822" s="2056"/>
      <c r="P822" s="64"/>
      <c r="Q822" s="64"/>
      <c r="R822" s="64"/>
    </row>
    <row r="823" spans="1:21" ht="15.6">
      <c r="A823" s="27" t="s">
        <v>1</v>
      </c>
      <c r="B823" s="27"/>
      <c r="C823" s="27"/>
      <c r="D823" s="28" t="s">
        <v>2</v>
      </c>
      <c r="E823" s="28"/>
      <c r="F823" s="29"/>
      <c r="G823" s="29"/>
      <c r="H823" s="29"/>
      <c r="I823" s="30"/>
      <c r="J823" s="31"/>
      <c r="K823" s="197" t="s">
        <v>3</v>
      </c>
      <c r="L823" s="31"/>
      <c r="M823" s="27"/>
      <c r="N823" s="29"/>
      <c r="O823" s="27"/>
      <c r="P823" s="67"/>
      <c r="Q823" s="1039"/>
      <c r="R823" s="1039"/>
    </row>
    <row r="824" spans="1:21" ht="31.2">
      <c r="A824" s="32" t="s">
        <v>4</v>
      </c>
      <c r="B824" s="32" t="s">
        <v>5</v>
      </c>
      <c r="C824" s="32" t="s">
        <v>6</v>
      </c>
      <c r="D824" s="32" t="s">
        <v>7</v>
      </c>
      <c r="E824" s="32" t="s">
        <v>8</v>
      </c>
      <c r="F824" s="33" t="s">
        <v>9</v>
      </c>
      <c r="G824" s="34" t="s">
        <v>10</v>
      </c>
      <c r="H824" s="34" t="s">
        <v>11</v>
      </c>
      <c r="I824" s="35" t="s">
        <v>12</v>
      </c>
      <c r="J824" s="36" t="s">
        <v>13</v>
      </c>
      <c r="K824" s="198" t="s">
        <v>14</v>
      </c>
      <c r="L824" s="297" t="s">
        <v>15</v>
      </c>
      <c r="M824" s="33" t="s">
        <v>16</v>
      </c>
      <c r="N824" s="33" t="s">
        <v>17</v>
      </c>
      <c r="O824" s="34" t="s">
        <v>18</v>
      </c>
      <c r="P824" s="8" t="s">
        <v>192</v>
      </c>
      <c r="Q824" s="1040"/>
      <c r="R824" s="1040"/>
    </row>
    <row r="825" spans="1:21" ht="15.6">
      <c r="A825" s="21" t="s">
        <v>83</v>
      </c>
      <c r="B825" s="21" t="s">
        <v>132</v>
      </c>
      <c r="C825" s="21" t="s">
        <v>19</v>
      </c>
      <c r="D825" s="21" t="s">
        <v>20</v>
      </c>
      <c r="E825" s="63" t="s">
        <v>51</v>
      </c>
      <c r="F825" s="22">
        <v>10</v>
      </c>
      <c r="G825" s="20" t="s">
        <v>21</v>
      </c>
      <c r="H825" s="143" t="s">
        <v>130</v>
      </c>
      <c r="I825" s="131">
        <v>6.17</v>
      </c>
      <c r="J825" s="23">
        <v>8.1</v>
      </c>
      <c r="K825" s="154">
        <v>32</v>
      </c>
      <c r="L825" s="130">
        <f>(I825*J825*K825/1000)</f>
        <v>1.5992639999999998</v>
      </c>
      <c r="M825" s="20">
        <v>18</v>
      </c>
      <c r="N825" s="23">
        <f t="shared" ref="N825:N829" si="164">J825*M825*I825/1000</f>
        <v>0.89958599999999989</v>
      </c>
      <c r="O825" s="20"/>
      <c r="P825" s="2057"/>
      <c r="Q825" s="627"/>
      <c r="R825" s="627"/>
      <c r="S825" t="s">
        <v>228</v>
      </c>
    </row>
    <row r="826" spans="1:21" ht="15.6">
      <c r="A826" s="20"/>
      <c r="B826" s="21" t="s">
        <v>84</v>
      </c>
      <c r="C826" s="20"/>
      <c r="D826" s="20"/>
      <c r="E826" s="20"/>
      <c r="F826" s="20"/>
      <c r="G826" s="20" t="s">
        <v>21</v>
      </c>
      <c r="H826" s="20" t="s">
        <v>130</v>
      </c>
      <c r="I826" s="131">
        <v>6.17</v>
      </c>
      <c r="J826" s="23">
        <v>10.5</v>
      </c>
      <c r="K826" s="154">
        <v>57</v>
      </c>
      <c r="L826" s="130">
        <f>(I826*J826*K826/1000)</f>
        <v>3.6927449999999999</v>
      </c>
      <c r="M826" s="20"/>
      <c r="N826" s="23">
        <f t="shared" si="164"/>
        <v>0</v>
      </c>
      <c r="O826" s="20"/>
      <c r="P826" s="2058"/>
      <c r="Q826" s="627"/>
      <c r="R826" s="627"/>
    </row>
    <row r="827" spans="1:21" ht="15.6">
      <c r="A827" s="20"/>
      <c r="B827" s="20"/>
      <c r="C827" s="20"/>
      <c r="D827" s="20"/>
      <c r="E827" s="20"/>
      <c r="F827" s="20"/>
      <c r="G827" s="20" t="s">
        <v>21</v>
      </c>
      <c r="H827" s="20" t="s">
        <v>130</v>
      </c>
      <c r="I827" s="131">
        <v>6.17</v>
      </c>
      <c r="J827" s="23">
        <v>11</v>
      </c>
      <c r="K827" s="154">
        <v>76</v>
      </c>
      <c r="L827" s="130">
        <f>(I827*J827*K827/1000)</f>
        <v>5.1581200000000011</v>
      </c>
      <c r="M827" s="20">
        <v>1</v>
      </c>
      <c r="N827" s="23">
        <f t="shared" si="164"/>
        <v>6.787E-2</v>
      </c>
      <c r="O827" s="20"/>
      <c r="P827" s="2058"/>
      <c r="Q827" s="627"/>
      <c r="R827" s="627"/>
    </row>
    <row r="828" spans="1:21" ht="15.6">
      <c r="A828" s="20"/>
      <c r="B828" s="20"/>
      <c r="C828" s="20"/>
      <c r="D828" s="20"/>
      <c r="E828" s="20"/>
      <c r="F828" s="20"/>
      <c r="G828" s="20" t="s">
        <v>21</v>
      </c>
      <c r="H828" s="20" t="s">
        <v>130</v>
      </c>
      <c r="I828" s="131">
        <v>6.17</v>
      </c>
      <c r="J828" s="23">
        <v>11.5</v>
      </c>
      <c r="K828" s="154">
        <v>86</v>
      </c>
      <c r="L828" s="130">
        <f>(I828*J828*K828/1000)</f>
        <v>6.1021299999999998</v>
      </c>
      <c r="M828" s="20">
        <v>9</v>
      </c>
      <c r="N828" s="23">
        <f t="shared" si="164"/>
        <v>0.63859500000000002</v>
      </c>
      <c r="O828" s="20"/>
      <c r="P828" s="2058"/>
      <c r="Q828" s="627"/>
      <c r="R828" s="627"/>
    </row>
    <row r="829" spans="1:21" ht="15.6">
      <c r="A829" s="20"/>
      <c r="B829" s="20"/>
      <c r="C829" s="20"/>
      <c r="D829" s="20"/>
      <c r="E829" s="20"/>
      <c r="F829" s="20"/>
      <c r="G829" s="20" t="s">
        <v>21</v>
      </c>
      <c r="H829" s="20" t="s">
        <v>130</v>
      </c>
      <c r="I829" s="131">
        <v>6.17</v>
      </c>
      <c r="J829" s="23">
        <v>12</v>
      </c>
      <c r="K829" s="154">
        <v>245</v>
      </c>
      <c r="L829" s="130">
        <f>(I829*J829*K829/1000)</f>
        <v>18.139800000000001</v>
      </c>
      <c r="M829" s="20">
        <v>7</v>
      </c>
      <c r="N829" s="23">
        <f t="shared" si="164"/>
        <v>0.51827999999999996</v>
      </c>
      <c r="O829" s="20"/>
      <c r="P829" s="2058"/>
      <c r="Q829" s="627"/>
      <c r="R829" s="627"/>
    </row>
    <row r="830" spans="1:21" ht="15.6">
      <c r="A830" s="20"/>
      <c r="B830" s="20"/>
      <c r="C830" s="20"/>
      <c r="D830" s="20"/>
      <c r="E830" s="20"/>
      <c r="F830" s="20"/>
      <c r="G830" s="20"/>
      <c r="H830" s="20"/>
      <c r="I830" s="131"/>
      <c r="J830" s="23"/>
      <c r="K830" s="154">
        <f t="shared" ref="K830:M830" si="165">SUM(K825:K829)</f>
        <v>496</v>
      </c>
      <c r="L830" s="128">
        <f>SUM(L825:L829)</f>
        <v>34.692059</v>
      </c>
      <c r="M830" s="25">
        <f t="shared" si="165"/>
        <v>35</v>
      </c>
      <c r="N830" s="23">
        <f>SUM(N825:N829)</f>
        <v>2.1243309999999997</v>
      </c>
      <c r="O830" s="20"/>
      <c r="P830" s="2058"/>
      <c r="Q830" s="627"/>
      <c r="R830" s="627"/>
    </row>
    <row r="831" spans="1:21" ht="15.6">
      <c r="A831" s="20"/>
      <c r="B831" s="20"/>
      <c r="C831" s="20"/>
      <c r="D831" s="20"/>
      <c r="E831" s="20"/>
      <c r="F831" s="20"/>
      <c r="G831" s="20"/>
      <c r="H831" s="20"/>
      <c r="I831" s="131"/>
      <c r="J831" s="23"/>
      <c r="K831" s="154"/>
      <c r="L831" s="128"/>
      <c r="M831" s="20"/>
      <c r="N831" s="20"/>
      <c r="O831" s="20"/>
      <c r="P831" s="2058"/>
      <c r="Q831" s="627"/>
      <c r="R831" s="627"/>
      <c r="U831">
        <f>4.813+1.77</f>
        <v>6.5830000000000002</v>
      </c>
    </row>
    <row r="832" spans="1:21" ht="15.6">
      <c r="A832" s="21" t="s">
        <v>83</v>
      </c>
      <c r="B832" s="21" t="s">
        <v>162</v>
      </c>
      <c r="C832" s="21" t="s">
        <v>19</v>
      </c>
      <c r="D832" s="21" t="s">
        <v>20</v>
      </c>
      <c r="E832" s="63" t="s">
        <v>51</v>
      </c>
      <c r="F832" s="22">
        <v>10</v>
      </c>
      <c r="G832" s="20" t="s">
        <v>21</v>
      </c>
      <c r="H832" s="143" t="s">
        <v>130</v>
      </c>
      <c r="I832" s="131">
        <v>6.17</v>
      </c>
      <c r="J832" s="23">
        <v>10.5</v>
      </c>
      <c r="K832" s="154">
        <v>5</v>
      </c>
      <c r="L832" s="130">
        <f t="shared" ref="L832" si="166">(I832*J832*K832/1000)</f>
        <v>0.32392499999999996</v>
      </c>
      <c r="M832" s="20"/>
      <c r="N832" s="20"/>
      <c r="O832" s="20"/>
      <c r="P832" s="2058"/>
      <c r="Q832" s="627"/>
      <c r="R832" s="627"/>
      <c r="S832" t="s">
        <v>219</v>
      </c>
    </row>
    <row r="833" spans="1:19" ht="15.6">
      <c r="A833" s="20"/>
      <c r="B833" s="21" t="s">
        <v>84</v>
      </c>
      <c r="C833" s="20"/>
      <c r="D833" s="20"/>
      <c r="E833" s="20"/>
      <c r="F833" s="20"/>
      <c r="G833" s="20"/>
      <c r="H833" s="20"/>
      <c r="I833" s="131"/>
      <c r="J833" s="23"/>
      <c r="K833" s="154">
        <f>SUM(K832:K832)</f>
        <v>5</v>
      </c>
      <c r="L833" s="128">
        <f>SUM(L832:L832)</f>
        <v>0.32392499999999996</v>
      </c>
      <c r="M833" s="20"/>
      <c r="N833" s="20"/>
      <c r="O833" s="20"/>
      <c r="P833" s="2059"/>
      <c r="Q833" s="627"/>
      <c r="R833" s="627"/>
    </row>
    <row r="834" spans="1:19" ht="15.6">
      <c r="A834" s="20"/>
      <c r="B834" s="21"/>
      <c r="C834" s="20"/>
      <c r="D834" s="20"/>
      <c r="E834" s="20"/>
      <c r="F834" s="20"/>
      <c r="G834" s="20"/>
      <c r="H834" s="20"/>
      <c r="I834" s="131"/>
      <c r="J834" s="23"/>
      <c r="K834" s="154">
        <f>+K833+K830</f>
        <v>501</v>
      </c>
      <c r="L834" s="128">
        <f>+L833+L830</f>
        <v>35.015984000000003</v>
      </c>
      <c r="M834" s="25">
        <f>+M833+M830</f>
        <v>35</v>
      </c>
      <c r="N834" s="23">
        <f>+N833+N830</f>
        <v>2.1243309999999997</v>
      </c>
      <c r="O834" s="20"/>
      <c r="P834" s="20"/>
      <c r="Q834" s="155"/>
      <c r="R834" s="155"/>
    </row>
    <row r="835" spans="1:19" ht="15.6">
      <c r="A835" s="20"/>
      <c r="B835" s="20"/>
      <c r="C835" s="20"/>
      <c r="D835" s="20"/>
      <c r="E835" s="20"/>
      <c r="F835" s="20"/>
      <c r="G835" s="20"/>
      <c r="H835" s="20"/>
      <c r="I835" s="131"/>
      <c r="J835" s="23"/>
      <c r="K835" s="154"/>
      <c r="L835" s="128"/>
      <c r="M835" s="20"/>
      <c r="N835" s="20"/>
      <c r="O835" s="20"/>
      <c r="P835" s="20"/>
      <c r="Q835" s="155"/>
      <c r="R835" s="155"/>
    </row>
    <row r="836" spans="1:19" ht="15.6">
      <c r="A836" s="21" t="s">
        <v>83</v>
      </c>
      <c r="B836" s="21" t="s">
        <v>132</v>
      </c>
      <c r="C836" s="21" t="s">
        <v>19</v>
      </c>
      <c r="D836" s="21" t="s">
        <v>20</v>
      </c>
      <c r="E836" s="63" t="s">
        <v>51</v>
      </c>
      <c r="F836" s="22">
        <v>10</v>
      </c>
      <c r="G836" s="20" t="s">
        <v>21</v>
      </c>
      <c r="H836" s="143" t="s">
        <v>131</v>
      </c>
      <c r="I836" s="131">
        <v>7.34</v>
      </c>
      <c r="J836" s="23">
        <v>10.5</v>
      </c>
      <c r="K836" s="154">
        <v>41</v>
      </c>
      <c r="L836" s="130">
        <f>(I836*J836*K836/1000)</f>
        <v>3.1598699999999997</v>
      </c>
      <c r="M836" s="20"/>
      <c r="N836" s="20"/>
      <c r="O836" s="20"/>
      <c r="P836" s="2057"/>
      <c r="Q836" s="627"/>
      <c r="R836" s="627"/>
      <c r="S836" t="s">
        <v>221</v>
      </c>
    </row>
    <row r="837" spans="1:19" ht="15.6">
      <c r="A837" s="20"/>
      <c r="B837" s="21" t="s">
        <v>84</v>
      </c>
      <c r="C837" s="20"/>
      <c r="D837" s="20"/>
      <c r="E837" s="20"/>
      <c r="F837" s="20"/>
      <c r="G837" s="20" t="s">
        <v>21</v>
      </c>
      <c r="H837" s="20" t="s">
        <v>131</v>
      </c>
      <c r="I837" s="131">
        <v>7.34</v>
      </c>
      <c r="J837" s="23">
        <v>11.5</v>
      </c>
      <c r="K837" s="154">
        <v>61</v>
      </c>
      <c r="L837" s="130">
        <f>(I837*J837*K837/1000)</f>
        <v>5.1490100000000005</v>
      </c>
      <c r="M837" s="20"/>
      <c r="N837" s="20"/>
      <c r="O837" s="20"/>
      <c r="P837" s="2058"/>
      <c r="Q837" s="627"/>
      <c r="R837" s="627"/>
      <c r="S837" t="s">
        <v>235</v>
      </c>
    </row>
    <row r="838" spans="1:19" ht="15.6">
      <c r="A838" s="20"/>
      <c r="B838" s="20"/>
      <c r="C838" s="20"/>
      <c r="D838" s="20"/>
      <c r="E838" s="20"/>
      <c r="F838" s="20"/>
      <c r="G838" s="20" t="s">
        <v>21</v>
      </c>
      <c r="H838" s="20" t="s">
        <v>131</v>
      </c>
      <c r="I838" s="131">
        <v>7.34</v>
      </c>
      <c r="J838" s="23">
        <v>12</v>
      </c>
      <c r="K838" s="154">
        <v>258</v>
      </c>
      <c r="L838" s="130">
        <f>(I838*J838*K838/1000)</f>
        <v>22.724640000000001</v>
      </c>
      <c r="M838" s="20"/>
      <c r="N838" s="20"/>
      <c r="O838" s="20"/>
      <c r="P838" s="2058"/>
      <c r="Q838" s="627"/>
      <c r="R838" s="627"/>
    </row>
    <row r="839" spans="1:19" ht="15.6">
      <c r="A839" s="20"/>
      <c r="B839" s="20"/>
      <c r="C839" s="20"/>
      <c r="D839" s="20"/>
      <c r="E839" s="20"/>
      <c r="F839" s="20"/>
      <c r="G839" s="20"/>
      <c r="H839" s="20"/>
      <c r="I839" s="131"/>
      <c r="J839" s="23"/>
      <c r="K839" s="154">
        <f t="shared" ref="K839" si="167">SUM(K836:K838)</f>
        <v>360</v>
      </c>
      <c r="L839" s="128">
        <f>SUM(L836:L838)</f>
        <v>31.033520000000003</v>
      </c>
      <c r="M839" s="20"/>
      <c r="N839" s="20"/>
      <c r="O839" s="20"/>
      <c r="P839" s="2058"/>
      <c r="Q839" s="627"/>
      <c r="R839" s="627"/>
    </row>
    <row r="840" spans="1:19" ht="15.6">
      <c r="A840" s="20"/>
      <c r="B840" s="20"/>
      <c r="C840" s="20"/>
      <c r="D840" s="20"/>
      <c r="E840" s="20"/>
      <c r="F840" s="20"/>
      <c r="G840" s="20"/>
      <c r="H840" s="20"/>
      <c r="I840" s="131"/>
      <c r="J840" s="20"/>
      <c r="K840" s="211"/>
      <c r="L840" s="131"/>
      <c r="M840" s="20"/>
      <c r="N840" s="20"/>
      <c r="O840" s="20"/>
      <c r="P840" s="2058"/>
      <c r="Q840" s="627"/>
      <c r="R840" s="627"/>
    </row>
    <row r="841" spans="1:19" ht="15.6">
      <c r="A841" s="21" t="s">
        <v>83</v>
      </c>
      <c r="B841" s="21" t="s">
        <v>135</v>
      </c>
      <c r="C841" s="21" t="s">
        <v>19</v>
      </c>
      <c r="D841" s="21" t="s">
        <v>20</v>
      </c>
      <c r="E841" s="63" t="s">
        <v>51</v>
      </c>
      <c r="F841" s="22">
        <v>10</v>
      </c>
      <c r="G841" s="20" t="s">
        <v>21</v>
      </c>
      <c r="H841" s="143" t="s">
        <v>131</v>
      </c>
      <c r="I841" s="131">
        <v>7.34</v>
      </c>
      <c r="J841" s="23">
        <v>10.5</v>
      </c>
      <c r="K841" s="154">
        <v>50</v>
      </c>
      <c r="L841" s="130">
        <f>(I841*J841*K841/1000)</f>
        <v>3.8534999999999995</v>
      </c>
      <c r="M841" s="20"/>
      <c r="N841" s="20"/>
      <c r="O841" s="20"/>
      <c r="P841" s="2058"/>
      <c r="Q841" s="627"/>
      <c r="R841" s="627"/>
      <c r="S841" t="s">
        <v>219</v>
      </c>
    </row>
    <row r="842" spans="1:19" ht="15.6">
      <c r="A842" s="20"/>
      <c r="B842" s="21" t="s">
        <v>52</v>
      </c>
      <c r="C842" s="20"/>
      <c r="D842" s="20"/>
      <c r="E842" s="20"/>
      <c r="F842" s="20"/>
      <c r="G842" s="20" t="s">
        <v>21</v>
      </c>
      <c r="H842" s="20" t="s">
        <v>131</v>
      </c>
      <c r="I842" s="131">
        <v>7.34</v>
      </c>
      <c r="J842" s="23">
        <v>11.5</v>
      </c>
      <c r="K842" s="154">
        <v>22</v>
      </c>
      <c r="L842" s="130">
        <f>(I842*J842*K842/1000)</f>
        <v>1.8570199999999999</v>
      </c>
      <c r="M842" s="20"/>
      <c r="N842" s="20"/>
      <c r="O842" s="20"/>
      <c r="P842" s="2058"/>
      <c r="Q842" s="627"/>
      <c r="R842" s="627"/>
    </row>
    <row r="843" spans="1:19" ht="15.6">
      <c r="A843" s="20"/>
      <c r="B843" s="20"/>
      <c r="C843" s="20"/>
      <c r="D843" s="20"/>
      <c r="E843" s="20"/>
      <c r="F843" s="20"/>
      <c r="G843" s="20" t="s">
        <v>21</v>
      </c>
      <c r="H843" s="20" t="s">
        <v>131</v>
      </c>
      <c r="I843" s="131">
        <v>7.34</v>
      </c>
      <c r="J843" s="23">
        <v>12</v>
      </c>
      <c r="K843" s="154">
        <v>34</v>
      </c>
      <c r="L843" s="130">
        <f>(I843*J843*K843/1000)</f>
        <v>2.9947199999999996</v>
      </c>
      <c r="M843" s="20"/>
      <c r="N843" s="20"/>
      <c r="O843" s="20"/>
      <c r="P843" s="2059"/>
      <c r="Q843" s="627"/>
      <c r="R843" s="627"/>
    </row>
    <row r="844" spans="1:19" ht="15.6">
      <c r="A844" s="20"/>
      <c r="B844" s="20"/>
      <c r="C844" s="20"/>
      <c r="D844" s="20"/>
      <c r="E844" s="20"/>
      <c r="F844" s="20"/>
      <c r="G844" s="20"/>
      <c r="H844" s="20"/>
      <c r="I844" s="131"/>
      <c r="J844" s="23"/>
      <c r="K844" s="154">
        <f>SUM(K841:K843)</f>
        <v>106</v>
      </c>
      <c r="L844" s="128">
        <f>SUM(L841:L843)</f>
        <v>8.7052399999999981</v>
      </c>
      <c r="M844" s="20"/>
      <c r="N844" s="20"/>
      <c r="O844" s="20"/>
      <c r="P844" s="20"/>
      <c r="Q844" s="155"/>
      <c r="R844" s="155"/>
    </row>
    <row r="845" spans="1:19" ht="15.6">
      <c r="A845" s="20"/>
      <c r="B845" s="20"/>
      <c r="C845" s="20"/>
      <c r="D845" s="20"/>
      <c r="E845" s="20"/>
      <c r="F845" s="20"/>
      <c r="G845" s="20"/>
      <c r="H845" s="20"/>
      <c r="I845" s="131"/>
      <c r="J845" s="23"/>
      <c r="K845" s="154"/>
      <c r="L845" s="128">
        <f>+L844+L839</f>
        <v>39.738759999999999</v>
      </c>
      <c r="M845" s="20"/>
      <c r="N845" s="20"/>
      <c r="O845" s="20"/>
      <c r="P845" s="20"/>
      <c r="Q845" s="155"/>
      <c r="R845" s="155"/>
    </row>
    <row r="846" spans="1:19" ht="15.6">
      <c r="A846" s="20"/>
      <c r="B846" s="20"/>
      <c r="C846" s="20"/>
      <c r="D846" s="20"/>
      <c r="E846" s="20"/>
      <c r="F846" s="20"/>
      <c r="G846" s="20"/>
      <c r="H846" s="20"/>
      <c r="I846" s="131"/>
      <c r="J846" s="23"/>
      <c r="K846" s="154"/>
      <c r="L846" s="128"/>
      <c r="M846" s="20"/>
      <c r="N846" s="20"/>
      <c r="O846" s="20"/>
      <c r="P846" s="20"/>
      <c r="Q846" s="155"/>
      <c r="R846" s="155"/>
    </row>
    <row r="847" spans="1:19" ht="15.6">
      <c r="A847" s="20"/>
      <c r="B847" s="20"/>
      <c r="C847" s="20"/>
      <c r="D847" s="20"/>
      <c r="E847" s="20"/>
      <c r="F847" s="20"/>
      <c r="G847" s="20"/>
      <c r="H847" s="20"/>
      <c r="I847" s="131"/>
      <c r="J847" s="20"/>
      <c r="K847" s="211"/>
      <c r="L847" s="128">
        <f>+L845+L834</f>
        <v>74.754744000000002</v>
      </c>
      <c r="M847" s="20"/>
      <c r="N847" s="23">
        <f>+N845+N834</f>
        <v>2.1243309999999997</v>
      </c>
      <c r="O847" s="20"/>
      <c r="P847" s="20"/>
      <c r="Q847" s="155"/>
      <c r="R847" s="155"/>
    </row>
    <row r="848" spans="1:19">
      <c r="A848" s="10" t="s">
        <v>48</v>
      </c>
      <c r="B848" s="10"/>
      <c r="C848" s="11"/>
      <c r="D848" s="11"/>
      <c r="E848" s="11"/>
      <c r="F848" s="92"/>
      <c r="G848" s="11"/>
      <c r="H848" s="92"/>
      <c r="I848" s="13"/>
      <c r="J848" s="11"/>
      <c r="K848" s="202"/>
      <c r="L848" s="2047" t="s">
        <v>0</v>
      </c>
      <c r="M848" s="2047"/>
      <c r="N848" s="2047"/>
      <c r="O848" s="2048"/>
      <c r="P848" s="2020"/>
      <c r="Q848" s="142"/>
      <c r="R848" s="142"/>
    </row>
    <row r="849" spans="1:18">
      <c r="A849" s="14" t="s">
        <v>1</v>
      </c>
      <c r="B849" s="14"/>
      <c r="C849" s="14"/>
      <c r="D849" s="15" t="s">
        <v>2</v>
      </c>
      <c r="E849" s="15"/>
      <c r="F849" s="16"/>
      <c r="G849" s="16"/>
      <c r="H849" s="16"/>
      <c r="I849" s="17"/>
      <c r="J849" s="16"/>
      <c r="K849" s="203" t="s">
        <v>3</v>
      </c>
      <c r="L849" s="16"/>
      <c r="M849" s="14"/>
      <c r="N849" s="16"/>
      <c r="O849" s="19"/>
      <c r="P849" s="2020"/>
      <c r="Q849" s="142"/>
      <c r="R849" s="142"/>
    </row>
    <row r="850" spans="1:18" ht="15.6">
      <c r="A850" s="175" t="s">
        <v>22</v>
      </c>
      <c r="B850" s="2021" t="s">
        <v>23</v>
      </c>
      <c r="C850" s="2022"/>
      <c r="D850" s="2023"/>
      <c r="E850" s="175" t="s">
        <v>24</v>
      </c>
      <c r="F850" s="2021" t="s">
        <v>25</v>
      </c>
      <c r="G850" s="2023"/>
      <c r="H850" s="2021" t="s">
        <v>26</v>
      </c>
      <c r="I850" s="2022"/>
      <c r="J850" s="2022"/>
      <c r="K850" s="2023"/>
      <c r="L850" s="2024" t="s">
        <v>27</v>
      </c>
      <c r="M850" s="2024"/>
      <c r="N850" s="2024"/>
      <c r="O850" s="2021"/>
      <c r="P850" s="2020"/>
      <c r="Q850" s="142"/>
      <c r="R850" s="142"/>
    </row>
    <row r="851" spans="1:18" ht="15.6">
      <c r="A851" s="38"/>
      <c r="B851" s="2025"/>
      <c r="C851" s="2026"/>
      <c r="D851" s="2027"/>
      <c r="E851" s="26"/>
      <c r="F851" s="2025"/>
      <c r="G851" s="2027"/>
      <c r="H851" s="2025"/>
      <c r="I851" s="2026"/>
      <c r="J851" s="2026"/>
      <c r="K851" s="2027"/>
      <c r="L851" s="2025"/>
      <c r="M851" s="2026"/>
      <c r="N851" s="2026"/>
      <c r="O851" s="2026"/>
      <c r="P851" s="2020"/>
      <c r="Q851" s="142"/>
      <c r="R851" s="142"/>
    </row>
    <row r="852" spans="1:18" ht="15.6">
      <c r="A852" s="38"/>
      <c r="B852" s="171"/>
      <c r="C852" s="172"/>
      <c r="D852" s="173"/>
      <c r="E852" s="26"/>
      <c r="F852" s="171"/>
      <c r="G852" s="173"/>
      <c r="H852" s="171"/>
      <c r="I852" s="1856"/>
      <c r="J852" s="172"/>
      <c r="K852" s="204"/>
      <c r="L852" s="279"/>
      <c r="M852" s="172"/>
      <c r="N852" s="172"/>
      <c r="O852" s="172"/>
      <c r="P852" s="2020"/>
      <c r="Q852" s="142"/>
      <c r="R852" s="142"/>
    </row>
    <row r="853" spans="1:18" ht="15.6">
      <c r="A853" s="38" t="s">
        <v>28</v>
      </c>
      <c r="B853" s="2025" t="s">
        <v>198</v>
      </c>
      <c r="C853" s="2026"/>
      <c r="D853" s="2027"/>
      <c r="E853" s="26">
        <f>+L845</f>
        <v>39.738759999999999</v>
      </c>
      <c r="F853" s="2025">
        <v>10</v>
      </c>
      <c r="G853" s="2027"/>
      <c r="H853" s="2025" t="s">
        <v>49</v>
      </c>
      <c r="I853" s="2026"/>
      <c r="J853" s="2026"/>
      <c r="K853" s="2027"/>
      <c r="L853" s="2025" t="s">
        <v>200</v>
      </c>
      <c r="M853" s="2026"/>
      <c r="N853" s="2026"/>
      <c r="O853" s="2026"/>
      <c r="P853" s="2020"/>
      <c r="Q853" s="142"/>
      <c r="R853" s="142"/>
    </row>
    <row r="854" spans="1:18" ht="15.6">
      <c r="A854" s="38" t="s">
        <v>29</v>
      </c>
      <c r="B854" s="2025" t="s">
        <v>199</v>
      </c>
      <c r="C854" s="2026"/>
      <c r="D854" s="2027"/>
      <c r="E854" s="26">
        <f>+L834-2.124</f>
        <v>32.891984000000001</v>
      </c>
      <c r="F854" s="2025">
        <v>10</v>
      </c>
      <c r="G854" s="2027"/>
      <c r="H854" s="2025" t="s">
        <v>49</v>
      </c>
      <c r="I854" s="2026"/>
      <c r="J854" s="2026"/>
      <c r="K854" s="2027"/>
      <c r="L854" s="2025" t="s">
        <v>200</v>
      </c>
      <c r="M854" s="2026"/>
      <c r="N854" s="2026"/>
      <c r="O854" s="2026"/>
      <c r="P854" s="2020"/>
      <c r="Q854" s="142"/>
      <c r="R854" s="142"/>
    </row>
    <row r="855" spans="1:18" ht="15.6">
      <c r="A855" s="38"/>
      <c r="B855" s="2025"/>
      <c r="C855" s="2026"/>
      <c r="D855" s="2027"/>
      <c r="E855" s="26"/>
      <c r="F855" s="2025"/>
      <c r="G855" s="2027"/>
      <c r="H855" s="2025"/>
      <c r="I855" s="2026"/>
      <c r="J855" s="2026"/>
      <c r="K855" s="2027"/>
      <c r="L855" s="2025"/>
      <c r="M855" s="2026"/>
      <c r="N855" s="2026"/>
      <c r="O855" s="2026"/>
      <c r="P855" s="2020"/>
      <c r="Q855" s="142"/>
      <c r="R855" s="142"/>
    </row>
    <row r="856" spans="1:18" ht="15.6">
      <c r="A856" s="38"/>
      <c r="B856" s="2025"/>
      <c r="C856" s="2026"/>
      <c r="D856" s="2027"/>
      <c r="E856" s="26"/>
      <c r="F856" s="2025"/>
      <c r="G856" s="2027"/>
      <c r="H856" s="2025"/>
      <c r="I856" s="2026"/>
      <c r="J856" s="2026"/>
      <c r="K856" s="2027"/>
      <c r="L856" s="2025"/>
      <c r="M856" s="2026"/>
      <c r="N856" s="2026"/>
      <c r="O856" s="2026"/>
      <c r="P856" s="2020"/>
      <c r="Q856" s="142"/>
      <c r="R856" s="142"/>
    </row>
    <row r="857" spans="1:18" ht="16.2" thickBot="1">
      <c r="A857" s="38"/>
      <c r="B857" s="171"/>
      <c r="C857" s="172"/>
      <c r="D857" s="172"/>
      <c r="E857" s="26"/>
      <c r="F857" s="172"/>
      <c r="G857" s="173"/>
      <c r="H857" s="171"/>
      <c r="I857" s="1856"/>
      <c r="J857" s="172"/>
      <c r="K857" s="204"/>
      <c r="L857" s="39"/>
      <c r="M857" s="40"/>
      <c r="N857" s="40"/>
      <c r="O857" s="40"/>
      <c r="P857" s="2020"/>
      <c r="Q857" s="142"/>
      <c r="R857" s="142"/>
    </row>
    <row r="858" spans="1:18" ht="15.6">
      <c r="A858" s="41"/>
      <c r="B858" s="42"/>
      <c r="C858" s="43"/>
      <c r="D858" s="43"/>
      <c r="E858" s="2028">
        <f>SUM(E851:E857)</f>
        <v>72.630743999999993</v>
      </c>
      <c r="F858" s="44"/>
      <c r="G858" s="45"/>
      <c r="H858" s="46"/>
      <c r="I858" s="1858"/>
      <c r="J858" s="43"/>
      <c r="K858" s="205"/>
      <c r="L858" s="46"/>
      <c r="M858" s="43"/>
      <c r="N858" s="44"/>
      <c r="O858" s="43"/>
      <c r="P858" s="2020"/>
      <c r="Q858" s="142"/>
      <c r="R858" s="142"/>
    </row>
    <row r="859" spans="1:18" ht="16.2" thickBot="1">
      <c r="A859" s="47"/>
      <c r="B859" s="48"/>
      <c r="C859" s="49"/>
      <c r="D859" s="49"/>
      <c r="E859" s="2029"/>
      <c r="F859" s="50"/>
      <c r="G859" s="51"/>
      <c r="H859" s="52"/>
      <c r="I859" s="1860"/>
      <c r="J859" s="49"/>
      <c r="K859" s="206"/>
      <c r="L859" s="52"/>
      <c r="M859" s="49"/>
      <c r="N859" s="50"/>
      <c r="O859" s="49"/>
      <c r="P859" s="2020"/>
      <c r="Q859" s="142"/>
      <c r="R859" s="142"/>
    </row>
    <row r="860" spans="1:18" ht="15.6">
      <c r="A860" s="53" t="s">
        <v>31</v>
      </c>
      <c r="B860" s="43"/>
      <c r="C860" s="43"/>
      <c r="D860" s="43"/>
      <c r="E860" s="43"/>
      <c r="F860" s="44"/>
      <c r="G860" s="43"/>
      <c r="H860" s="44"/>
      <c r="I860" s="1858"/>
      <c r="J860" s="43"/>
      <c r="K860" s="207"/>
      <c r="L860" s="44"/>
      <c r="M860" s="43"/>
      <c r="N860" s="44"/>
      <c r="O860" s="43"/>
      <c r="P860" s="2020"/>
      <c r="Q860" s="142"/>
      <c r="R860" s="142"/>
    </row>
    <row r="861" spans="1:18" ht="15.6">
      <c r="A861" s="54"/>
      <c r="B861" s="55"/>
      <c r="C861" s="55"/>
      <c r="D861" s="55"/>
      <c r="E861" s="55"/>
      <c r="F861" s="169"/>
      <c r="G861" s="55"/>
      <c r="H861" s="169"/>
      <c r="I861" s="1859"/>
      <c r="J861" s="55"/>
      <c r="K861" s="208"/>
      <c r="L861" s="283"/>
      <c r="M861" s="55"/>
      <c r="N861" s="169"/>
      <c r="O861" s="55"/>
      <c r="P861" s="2020"/>
      <c r="Q861" s="142"/>
      <c r="R861" s="142"/>
    </row>
    <row r="862" spans="1:18" ht="16.2" thickBot="1">
      <c r="A862" s="2030" t="s">
        <v>32</v>
      </c>
      <c r="B862" s="2031"/>
      <c r="C862" s="2032" t="s">
        <v>33</v>
      </c>
      <c r="D862" s="2033"/>
      <c r="E862" s="57" t="s">
        <v>34</v>
      </c>
      <c r="F862" s="57" t="s">
        <v>35</v>
      </c>
      <c r="G862" s="2034" t="s">
        <v>36</v>
      </c>
      <c r="H862" s="2035"/>
      <c r="I862" s="2035"/>
      <c r="J862" s="2035"/>
      <c r="K862" s="2035"/>
      <c r="L862" s="2035"/>
      <c r="M862" s="2035"/>
      <c r="N862" s="2035"/>
      <c r="O862" s="2035"/>
      <c r="P862" s="2020"/>
      <c r="Q862" s="142"/>
      <c r="R862" s="142"/>
    </row>
    <row r="863" spans="1:18" ht="15.6">
      <c r="A863" s="2036"/>
      <c r="B863" s="2023"/>
      <c r="C863" s="2021"/>
      <c r="D863" s="2023"/>
      <c r="E863" s="175"/>
      <c r="F863" s="170"/>
      <c r="G863" s="2037"/>
      <c r="H863" s="2038"/>
      <c r="I863" s="2038"/>
      <c r="J863" s="2038"/>
      <c r="K863" s="2038"/>
      <c r="L863" s="2038"/>
      <c r="M863" s="2038"/>
      <c r="N863" s="2038"/>
      <c r="O863" s="2038"/>
      <c r="P863" s="2020"/>
      <c r="Q863" s="142"/>
      <c r="R863" s="142"/>
    </row>
    <row r="864" spans="1:18" ht="15.6">
      <c r="A864" s="2043" t="s">
        <v>37</v>
      </c>
      <c r="B864" s="2044"/>
      <c r="C864" s="2021"/>
      <c r="D864" s="2023"/>
      <c r="E864" s="175"/>
      <c r="F864" s="170"/>
      <c r="G864" s="2039"/>
      <c r="H864" s="2040"/>
      <c r="I864" s="2040"/>
      <c r="J864" s="2040"/>
      <c r="K864" s="2040"/>
      <c r="L864" s="2040"/>
      <c r="M864" s="2040"/>
      <c r="N864" s="2040"/>
      <c r="O864" s="2040"/>
      <c r="P864" s="2020"/>
      <c r="Q864" s="142"/>
      <c r="R864" s="142"/>
    </row>
    <row r="865" spans="1:19" ht="15.6">
      <c r="A865" s="2043" t="s">
        <v>38</v>
      </c>
      <c r="B865" s="2044"/>
      <c r="C865" s="2021"/>
      <c r="D865" s="2023"/>
      <c r="E865" s="175"/>
      <c r="F865" s="170"/>
      <c r="G865" s="2039"/>
      <c r="H865" s="2040"/>
      <c r="I865" s="2040"/>
      <c r="J865" s="2040"/>
      <c r="K865" s="2040"/>
      <c r="L865" s="2040"/>
      <c r="M865" s="2040"/>
      <c r="N865" s="2040"/>
      <c r="O865" s="2040"/>
      <c r="P865" s="2020"/>
      <c r="Q865" s="142"/>
      <c r="R865" s="142"/>
    </row>
    <row r="866" spans="1:19" ht="15.6">
      <c r="A866" s="2043" t="s">
        <v>39</v>
      </c>
      <c r="B866" s="2044"/>
      <c r="C866" s="2021"/>
      <c r="D866" s="2023"/>
      <c r="E866" s="175"/>
      <c r="F866" s="170"/>
      <c r="G866" s="2039"/>
      <c r="H866" s="2040"/>
      <c r="I866" s="2040"/>
      <c r="J866" s="2040"/>
      <c r="K866" s="2040"/>
      <c r="L866" s="2040"/>
      <c r="M866" s="2040"/>
      <c r="N866" s="2040"/>
      <c r="O866" s="2040"/>
      <c r="P866" s="2020"/>
      <c r="Q866" s="142"/>
      <c r="R866" s="142"/>
    </row>
    <row r="867" spans="1:19" ht="15.6">
      <c r="A867" s="2043" t="s">
        <v>40</v>
      </c>
      <c r="B867" s="2044"/>
      <c r="C867" s="2021"/>
      <c r="D867" s="2023"/>
      <c r="E867" s="175"/>
      <c r="F867" s="170"/>
      <c r="G867" s="2039"/>
      <c r="H867" s="2040"/>
      <c r="I867" s="2040"/>
      <c r="J867" s="2040"/>
      <c r="K867" s="2040"/>
      <c r="L867" s="2040"/>
      <c r="M867" s="2040"/>
      <c r="N867" s="2040"/>
      <c r="O867" s="2040"/>
      <c r="P867" s="2020"/>
      <c r="Q867" s="142"/>
      <c r="R867" s="142"/>
    </row>
    <row r="868" spans="1:19" ht="16.2" thickBot="1">
      <c r="A868" s="2049" t="s">
        <v>41</v>
      </c>
      <c r="B868" s="2050"/>
      <c r="C868" s="2051"/>
      <c r="D868" s="2052"/>
      <c r="E868" s="58"/>
      <c r="F868" s="174"/>
      <c r="G868" s="2041"/>
      <c r="H868" s="2042"/>
      <c r="I868" s="2042"/>
      <c r="J868" s="2042"/>
      <c r="K868" s="2042"/>
      <c r="L868" s="2042"/>
      <c r="M868" s="2042"/>
      <c r="N868" s="2042"/>
      <c r="O868" s="2042"/>
      <c r="P868" s="2020"/>
      <c r="Q868" s="142"/>
      <c r="R868" s="142"/>
    </row>
    <row r="869" spans="1:19" ht="15.6">
      <c r="A869" s="54"/>
      <c r="B869" s="55"/>
      <c r="C869" s="55"/>
      <c r="D869" s="55"/>
      <c r="E869" s="55"/>
      <c r="F869" s="169"/>
      <c r="G869" s="55"/>
      <c r="H869" s="59"/>
      <c r="I869" s="60"/>
      <c r="J869" s="61"/>
      <c r="K869" s="209"/>
      <c r="L869" s="301"/>
      <c r="M869" s="55"/>
      <c r="N869" s="169"/>
      <c r="O869" s="55"/>
      <c r="P869" s="2020"/>
      <c r="Q869" s="142"/>
      <c r="R869" s="142"/>
    </row>
    <row r="870" spans="1:19" ht="15.6">
      <c r="A870" s="62" t="s">
        <v>42</v>
      </c>
      <c r="B870" s="56"/>
      <c r="C870" s="55"/>
      <c r="D870" s="55"/>
      <c r="E870" s="55"/>
      <c r="F870" s="169"/>
      <c r="G870" s="56"/>
      <c r="H870" s="59"/>
      <c r="I870" s="60"/>
      <c r="J870" s="61"/>
      <c r="K870" s="208"/>
      <c r="L870" s="302"/>
      <c r="M870" s="55"/>
      <c r="N870" s="2045" t="s">
        <v>43</v>
      </c>
      <c r="O870" s="2045"/>
      <c r="P870" s="2020"/>
      <c r="Q870" s="142"/>
      <c r="R870" s="142"/>
    </row>
    <row r="871" spans="1:19" ht="15.6">
      <c r="A871" s="62"/>
      <c r="B871" s="56"/>
      <c r="C871" s="55"/>
      <c r="D871" s="55"/>
      <c r="E871" s="55"/>
      <c r="F871" s="169"/>
      <c r="G871" s="55"/>
      <c r="H871" s="169"/>
      <c r="I871" s="1859"/>
      <c r="J871" s="55"/>
      <c r="K871" s="208"/>
      <c r="L871" s="283"/>
      <c r="M871" s="55"/>
      <c r="N871" s="169"/>
      <c r="O871" s="56"/>
      <c r="P871" s="2020"/>
      <c r="Q871" s="142"/>
      <c r="R871" s="142"/>
    </row>
    <row r="872" spans="1:19" ht="15.6">
      <c r="A872" s="62" t="s">
        <v>44</v>
      </c>
      <c r="B872" s="56"/>
      <c r="C872" s="55"/>
      <c r="D872" s="55"/>
      <c r="E872" s="55"/>
      <c r="F872" s="169"/>
      <c r="G872" s="55"/>
      <c r="H872" s="169"/>
      <c r="I872" s="1859"/>
      <c r="J872" s="55"/>
      <c r="K872" s="208"/>
      <c r="L872" s="283"/>
      <c r="M872" s="55"/>
      <c r="N872" s="2045" t="s">
        <v>45</v>
      </c>
      <c r="O872" s="2045"/>
      <c r="P872" s="2020"/>
      <c r="Q872" s="142"/>
      <c r="R872" s="142"/>
    </row>
    <row r="873" spans="1:19" ht="16.2" thickBot="1">
      <c r="A873" s="48"/>
      <c r="B873" s="49"/>
      <c r="C873" s="49"/>
      <c r="D873" s="49"/>
      <c r="E873" s="49"/>
      <c r="F873" s="50"/>
      <c r="G873" s="49"/>
      <c r="H873" s="50"/>
      <c r="I873" s="1860"/>
      <c r="J873" s="49"/>
      <c r="K873" s="210"/>
      <c r="L873" s="50"/>
      <c r="M873" s="49"/>
      <c r="N873" s="50"/>
      <c r="O873" s="49"/>
      <c r="P873" s="2020"/>
      <c r="Q873" s="142"/>
      <c r="R873" s="142"/>
    </row>
    <row r="875" spans="1:19">
      <c r="O875" s="2055" t="s">
        <v>241</v>
      </c>
      <c r="P875" s="2055"/>
      <c r="Q875" s="1038"/>
      <c r="R875" s="1038"/>
    </row>
    <row r="876" spans="1:19">
      <c r="A876" s="1" t="s">
        <v>48</v>
      </c>
      <c r="B876" s="1"/>
      <c r="C876" s="2"/>
      <c r="D876" s="2"/>
      <c r="E876" s="2"/>
      <c r="F876" s="3"/>
      <c r="G876" s="2"/>
      <c r="H876" s="2"/>
      <c r="I876" s="4"/>
      <c r="J876" s="5"/>
      <c r="K876" s="196"/>
      <c r="L876" s="2056" t="s">
        <v>0</v>
      </c>
      <c r="M876" s="2056"/>
      <c r="N876" s="2056"/>
      <c r="O876" s="2056"/>
      <c r="P876" s="64"/>
      <c r="Q876" s="64"/>
      <c r="R876" s="64"/>
    </row>
    <row r="877" spans="1:19" ht="15.6">
      <c r="A877" s="27" t="s">
        <v>1</v>
      </c>
      <c r="B877" s="27"/>
      <c r="C877" s="27"/>
      <c r="D877" s="28" t="s">
        <v>2</v>
      </c>
      <c r="E877" s="28"/>
      <c r="F877" s="29"/>
      <c r="G877" s="29"/>
      <c r="H877" s="29"/>
      <c r="I877" s="30"/>
      <c r="J877" s="31"/>
      <c r="K877" s="197" t="s">
        <v>3</v>
      </c>
      <c r="L877" s="31"/>
      <c r="M877" s="27"/>
      <c r="N877" s="29"/>
      <c r="O877" s="27"/>
      <c r="P877" s="67"/>
      <c r="Q877" s="1039"/>
      <c r="R877" s="1039"/>
    </row>
    <row r="878" spans="1:19" ht="31.2">
      <c r="A878" s="32" t="s">
        <v>4</v>
      </c>
      <c r="B878" s="32" t="s">
        <v>5</v>
      </c>
      <c r="C878" s="32" t="s">
        <v>6</v>
      </c>
      <c r="D878" s="32" t="s">
        <v>7</v>
      </c>
      <c r="E878" s="32" t="s">
        <v>8</v>
      </c>
      <c r="F878" s="33" t="s">
        <v>9</v>
      </c>
      <c r="G878" s="34" t="s">
        <v>10</v>
      </c>
      <c r="H878" s="34" t="s">
        <v>11</v>
      </c>
      <c r="I878" s="35" t="s">
        <v>12</v>
      </c>
      <c r="J878" s="36" t="s">
        <v>13</v>
      </c>
      <c r="K878" s="198" t="s">
        <v>14</v>
      </c>
      <c r="L878" s="297" t="s">
        <v>15</v>
      </c>
      <c r="M878" s="33" t="s">
        <v>16</v>
      </c>
      <c r="N878" s="33" t="s">
        <v>17</v>
      </c>
      <c r="O878" s="34" t="s">
        <v>18</v>
      </c>
      <c r="P878" s="8" t="s">
        <v>192</v>
      </c>
      <c r="Q878" s="1040"/>
      <c r="R878" s="1040"/>
    </row>
    <row r="879" spans="1:19" ht="15.6">
      <c r="A879" s="21" t="s">
        <v>174</v>
      </c>
      <c r="B879" s="21" t="s">
        <v>230</v>
      </c>
      <c r="C879" s="21" t="s">
        <v>19</v>
      </c>
      <c r="D879" s="21" t="s">
        <v>20</v>
      </c>
      <c r="E879" s="21" t="s">
        <v>57</v>
      </c>
      <c r="F879" s="22">
        <v>16</v>
      </c>
      <c r="G879" s="20" t="s">
        <v>21</v>
      </c>
      <c r="H879" s="177" t="s">
        <v>181</v>
      </c>
      <c r="I879" s="115">
        <v>40.1</v>
      </c>
      <c r="J879" s="66">
        <v>7.3</v>
      </c>
      <c r="K879" s="239">
        <v>8</v>
      </c>
      <c r="L879" s="130">
        <f>(I879*J879*K879/1000)</f>
        <v>2.3418400000000004</v>
      </c>
      <c r="M879" s="65"/>
      <c r="N879" s="65"/>
      <c r="O879" s="65"/>
      <c r="P879" s="65"/>
      <c r="Q879" s="1045"/>
      <c r="R879" s="1045"/>
      <c r="S879" t="s">
        <v>202</v>
      </c>
    </row>
    <row r="880" spans="1:19" ht="15.6">
      <c r="A880" s="20"/>
      <c r="B880" s="229" t="s">
        <v>207</v>
      </c>
      <c r="C880" s="20"/>
      <c r="D880" s="20"/>
      <c r="E880" s="20"/>
      <c r="F880" s="20"/>
      <c r="G880" s="20" t="s">
        <v>21</v>
      </c>
      <c r="H880" s="165" t="s">
        <v>181</v>
      </c>
      <c r="I880" s="115">
        <v>40.1</v>
      </c>
      <c r="J880" s="66">
        <v>7.5</v>
      </c>
      <c r="K880" s="239">
        <v>6</v>
      </c>
      <c r="L880" s="130">
        <f>(I880*J880*K880/1000)</f>
        <v>1.8045</v>
      </c>
      <c r="M880" s="65"/>
      <c r="N880" s="65"/>
      <c r="O880" s="65">
        <v>5</v>
      </c>
      <c r="P880" s="66">
        <f>J880*O880*I880/1000</f>
        <v>1.5037499999999999</v>
      </c>
      <c r="Q880" s="1050"/>
      <c r="R880" s="1050"/>
    </row>
    <row r="881" spans="1:20" ht="15.6">
      <c r="A881" s="20"/>
      <c r="B881" s="20"/>
      <c r="C881" s="20"/>
      <c r="D881" s="20"/>
      <c r="E881" s="20"/>
      <c r="F881" s="20"/>
      <c r="G881" s="20" t="s">
        <v>21</v>
      </c>
      <c r="H881" s="165" t="s">
        <v>181</v>
      </c>
      <c r="I881" s="115">
        <v>40.1</v>
      </c>
      <c r="J881" s="66">
        <v>8.1999999999999993</v>
      </c>
      <c r="K881" s="239">
        <v>18</v>
      </c>
      <c r="L881" s="130">
        <f>(I881*J881*K881/1000)</f>
        <v>5.9187599999999998</v>
      </c>
      <c r="M881" s="65"/>
      <c r="N881" s="65"/>
      <c r="O881" s="65"/>
      <c r="P881" s="65"/>
      <c r="Q881" s="1045"/>
      <c r="R881" s="1045"/>
    </row>
    <row r="882" spans="1:20" ht="15.6">
      <c r="A882" s="20"/>
      <c r="B882" s="20"/>
      <c r="C882" s="20"/>
      <c r="D882" s="20"/>
      <c r="E882" s="20"/>
      <c r="F882" s="20"/>
      <c r="G882" s="20" t="s">
        <v>21</v>
      </c>
      <c r="H882" s="165" t="s">
        <v>181</v>
      </c>
      <c r="I882" s="115">
        <v>40.1</v>
      </c>
      <c r="J882" s="66">
        <v>8.4</v>
      </c>
      <c r="K882" s="239">
        <v>8</v>
      </c>
      <c r="L882" s="130">
        <f>(I882*J882*K882/1000)</f>
        <v>2.6947200000000002</v>
      </c>
      <c r="M882" s="65"/>
      <c r="N882" s="65"/>
      <c r="O882" s="65"/>
      <c r="P882" s="65"/>
      <c r="Q882" s="1045"/>
      <c r="R882" s="1045"/>
      <c r="S882">
        <v>4</v>
      </c>
      <c r="T882" s="126">
        <f>J882*S882*I882/1000</f>
        <v>1.3473600000000001</v>
      </c>
    </row>
    <row r="883" spans="1:20" ht="15.6">
      <c r="A883" s="20"/>
      <c r="B883" s="20"/>
      <c r="C883" s="20"/>
      <c r="D883" s="20"/>
      <c r="E883" s="20"/>
      <c r="F883" s="20"/>
      <c r="G883" s="20" t="s">
        <v>21</v>
      </c>
      <c r="H883" s="165" t="s">
        <v>181</v>
      </c>
      <c r="I883" s="115">
        <v>40.1</v>
      </c>
      <c r="J883" s="66">
        <v>8.5</v>
      </c>
      <c r="K883" s="239">
        <v>10</v>
      </c>
      <c r="L883" s="130">
        <f>(I883*J883*K883/1000)</f>
        <v>3.4085000000000001</v>
      </c>
      <c r="M883" s="65">
        <v>2</v>
      </c>
      <c r="N883" s="66">
        <f t="shared" ref="N883:N884" si="168">J883*M883*I883/1000</f>
        <v>0.68170000000000008</v>
      </c>
      <c r="O883" s="65">
        <v>2</v>
      </c>
      <c r="P883" s="66">
        <f>J883*O883*I883/1000</f>
        <v>0.68170000000000008</v>
      </c>
      <c r="Q883" s="1050"/>
      <c r="R883" s="1050"/>
      <c r="S883">
        <v>2</v>
      </c>
      <c r="T883" s="126">
        <f t="shared" ref="T883:T884" si="169">J883*S883*I883/1000</f>
        <v>0.68170000000000008</v>
      </c>
    </row>
    <row r="884" spans="1:20" ht="15.6">
      <c r="A884" s="20"/>
      <c r="B884" s="20"/>
      <c r="C884" s="20"/>
      <c r="D884" s="20"/>
      <c r="E884" s="20"/>
      <c r="F884" s="20"/>
      <c r="G884" s="20" t="s">
        <v>21</v>
      </c>
      <c r="H884" s="165" t="s">
        <v>181</v>
      </c>
      <c r="I884" s="115">
        <v>40.1</v>
      </c>
      <c r="J884" s="66">
        <v>8.6999999999999993</v>
      </c>
      <c r="K884" s="239">
        <v>12</v>
      </c>
      <c r="L884" s="130">
        <f t="shared" ref="L884:L892" si="170">(I884*J884*K884/1000)</f>
        <v>4.1864400000000002</v>
      </c>
      <c r="M884" s="65">
        <v>1</v>
      </c>
      <c r="N884" s="66">
        <f t="shared" si="168"/>
        <v>0.34887000000000001</v>
      </c>
      <c r="O884" s="65">
        <v>1</v>
      </c>
      <c r="P884" s="66">
        <f>J884*O884*I884/1000</f>
        <v>0.34887000000000001</v>
      </c>
      <c r="Q884" s="1050"/>
      <c r="R884" s="1050"/>
      <c r="S884">
        <v>3</v>
      </c>
      <c r="T884" s="126">
        <f t="shared" si="169"/>
        <v>1.0466099999999998</v>
      </c>
    </row>
    <row r="885" spans="1:20" ht="15.6">
      <c r="A885" s="65"/>
      <c r="B885" s="65"/>
      <c r="C885" s="65"/>
      <c r="D885" s="65"/>
      <c r="E885" s="65"/>
      <c r="F885" s="65"/>
      <c r="G885" s="20" t="s">
        <v>21</v>
      </c>
      <c r="H885" s="165" t="s">
        <v>181</v>
      </c>
      <c r="I885" s="115">
        <v>40.1</v>
      </c>
      <c r="J885" s="66">
        <v>8.8000000000000007</v>
      </c>
      <c r="K885" s="239">
        <v>14</v>
      </c>
      <c r="L885" s="130">
        <f t="shared" si="170"/>
        <v>4.9403200000000007</v>
      </c>
      <c r="M885" s="65"/>
      <c r="N885" s="65"/>
      <c r="O885" s="65">
        <v>5</v>
      </c>
      <c r="P885" s="66">
        <f>J885*O885*I885/1000</f>
        <v>1.7644000000000002</v>
      </c>
      <c r="Q885" s="1050"/>
      <c r="R885" s="1050"/>
    </row>
    <row r="886" spans="1:20" ht="15.6">
      <c r="A886" s="65"/>
      <c r="B886" s="65"/>
      <c r="C886" s="65"/>
      <c r="D886" s="65"/>
      <c r="E886" s="65"/>
      <c r="F886" s="65"/>
      <c r="G886" s="20" t="s">
        <v>21</v>
      </c>
      <c r="H886" s="165" t="s">
        <v>181</v>
      </c>
      <c r="I886" s="115">
        <v>40.1</v>
      </c>
      <c r="J886" s="66">
        <v>9</v>
      </c>
      <c r="K886" s="239">
        <v>6</v>
      </c>
      <c r="L886" s="130">
        <f t="shared" si="170"/>
        <v>2.1654</v>
      </c>
      <c r="M886" s="65"/>
      <c r="N886" s="65"/>
      <c r="O886" s="65"/>
      <c r="P886" s="66"/>
      <c r="Q886" s="1050"/>
      <c r="R886" s="1050"/>
    </row>
    <row r="887" spans="1:20" ht="15.6">
      <c r="A887" s="65"/>
      <c r="B887" s="65"/>
      <c r="C887" s="65"/>
      <c r="D887" s="65"/>
      <c r="E887" s="65"/>
      <c r="F887" s="65"/>
      <c r="G887" s="20" t="s">
        <v>21</v>
      </c>
      <c r="H887" s="165" t="s">
        <v>181</v>
      </c>
      <c r="I887" s="115">
        <v>40.1</v>
      </c>
      <c r="J887" s="66">
        <v>9.1</v>
      </c>
      <c r="K887" s="239">
        <v>8</v>
      </c>
      <c r="L887" s="130">
        <f t="shared" si="170"/>
        <v>2.9192800000000001</v>
      </c>
      <c r="M887" s="65"/>
      <c r="N887" s="65"/>
      <c r="O887" s="65"/>
      <c r="P887" s="66"/>
      <c r="Q887" s="1050"/>
      <c r="R887" s="1050"/>
    </row>
    <row r="888" spans="1:20" ht="15.6">
      <c r="A888" s="65"/>
      <c r="B888" s="65"/>
      <c r="C888" s="65"/>
      <c r="D888" s="65"/>
      <c r="E888" s="65"/>
      <c r="F888" s="65"/>
      <c r="G888" s="20" t="s">
        <v>21</v>
      </c>
      <c r="H888" s="165" t="s">
        <v>181</v>
      </c>
      <c r="I888" s="115">
        <v>40.1</v>
      </c>
      <c r="J888" s="66">
        <v>9.5</v>
      </c>
      <c r="K888" s="239">
        <v>12</v>
      </c>
      <c r="L888" s="130">
        <f t="shared" si="170"/>
        <v>4.5713999999999997</v>
      </c>
      <c r="M888" s="65">
        <f>1+1</f>
        <v>2</v>
      </c>
      <c r="N888" s="66">
        <f t="shared" ref="N888" si="171">J888*M888*I888/1000</f>
        <v>0.76190000000000002</v>
      </c>
      <c r="O888" s="65">
        <f>1+5</f>
        <v>6</v>
      </c>
      <c r="P888" s="66">
        <f>J888*O888*I888/1000</f>
        <v>2.2857000000000003</v>
      </c>
      <c r="Q888" s="1050"/>
      <c r="R888" s="1050"/>
    </row>
    <row r="889" spans="1:20" ht="15.6">
      <c r="A889" s="65"/>
      <c r="B889" s="65"/>
      <c r="C889" s="65"/>
      <c r="D889" s="65"/>
      <c r="E889" s="65"/>
      <c r="F889" s="65"/>
      <c r="G889" s="20" t="s">
        <v>21</v>
      </c>
      <c r="H889" s="165" t="s">
        <v>181</v>
      </c>
      <c r="I889" s="115">
        <v>40.1</v>
      </c>
      <c r="J889" s="66">
        <v>9.9</v>
      </c>
      <c r="K889" s="239">
        <v>6</v>
      </c>
      <c r="L889" s="130">
        <f t="shared" si="170"/>
        <v>2.3819400000000002</v>
      </c>
      <c r="M889" s="65"/>
      <c r="N889" s="65"/>
      <c r="O889" s="65">
        <v>6</v>
      </c>
      <c r="P889" s="66">
        <f>J889*O889*I889/1000</f>
        <v>2.3819400000000006</v>
      </c>
      <c r="Q889" s="1050"/>
      <c r="R889" s="1050"/>
    </row>
    <row r="890" spans="1:20" ht="15.6">
      <c r="A890" s="65"/>
      <c r="B890" s="65"/>
      <c r="C890" s="65"/>
      <c r="D890" s="65"/>
      <c r="E890" s="65"/>
      <c r="F890" s="65"/>
      <c r="G890" s="20" t="s">
        <v>21</v>
      </c>
      <c r="H890" s="165" t="s">
        <v>181</v>
      </c>
      <c r="I890" s="115">
        <v>40.1</v>
      </c>
      <c r="J890" s="66">
        <v>10</v>
      </c>
      <c r="K890" s="239">
        <v>12</v>
      </c>
      <c r="L890" s="130">
        <f t="shared" si="170"/>
        <v>4.8120000000000003</v>
      </c>
      <c r="M890" s="65"/>
      <c r="N890" s="65"/>
      <c r="O890" s="65"/>
      <c r="P890" s="66"/>
      <c r="Q890" s="1050"/>
      <c r="R890" s="1050"/>
    </row>
    <row r="891" spans="1:20" ht="15.6">
      <c r="A891" s="65"/>
      <c r="B891" s="65"/>
      <c r="C891" s="65"/>
      <c r="D891" s="65"/>
      <c r="E891" s="65"/>
      <c r="F891" s="65"/>
      <c r="G891" s="20" t="s">
        <v>21</v>
      </c>
      <c r="H891" s="165" t="s">
        <v>181</v>
      </c>
      <c r="I891" s="115">
        <v>40.1</v>
      </c>
      <c r="J891" s="66">
        <v>10.199999999999999</v>
      </c>
      <c r="K891" s="239">
        <v>10</v>
      </c>
      <c r="L891" s="130">
        <f t="shared" si="170"/>
        <v>4.0901999999999994</v>
      </c>
      <c r="M891" s="65"/>
      <c r="N891" s="65"/>
      <c r="O891" s="65">
        <v>6</v>
      </c>
      <c r="P891" s="66">
        <f>J891*O891*I891/1000</f>
        <v>2.4541200000000001</v>
      </c>
      <c r="Q891" s="1050"/>
      <c r="R891" s="1050"/>
      <c r="S891">
        <v>2</v>
      </c>
      <c r="T891" s="126">
        <f>J891*S891*I891/1000</f>
        <v>0.81803999999999999</v>
      </c>
    </row>
    <row r="892" spans="1:20" ht="15.6">
      <c r="A892" s="65"/>
      <c r="B892" s="65"/>
      <c r="C892" s="65"/>
      <c r="D892" s="65"/>
      <c r="E892" s="65"/>
      <c r="F892" s="65"/>
      <c r="G892" s="20" t="s">
        <v>21</v>
      </c>
      <c r="H892" s="165" t="s">
        <v>181</v>
      </c>
      <c r="I892" s="115">
        <v>40.1</v>
      </c>
      <c r="J892" s="66">
        <v>10.5</v>
      </c>
      <c r="K892" s="239">
        <v>10</v>
      </c>
      <c r="L892" s="130">
        <f t="shared" si="170"/>
        <v>4.2104999999999997</v>
      </c>
      <c r="M892" s="65">
        <f>1+3</f>
        <v>4</v>
      </c>
      <c r="N892" s="66">
        <f t="shared" ref="N892" si="172">J892*M892*I892/1000</f>
        <v>1.6842000000000001</v>
      </c>
      <c r="O892" s="65">
        <v>3</v>
      </c>
      <c r="P892" s="66">
        <f>J892*O892*I892/1000</f>
        <v>1.26315</v>
      </c>
      <c r="Q892" s="1050"/>
      <c r="R892" s="1050"/>
    </row>
    <row r="893" spans="1:20" ht="15.6">
      <c r="A893" s="65"/>
      <c r="B893" s="65"/>
      <c r="C893" s="65"/>
      <c r="D893" s="65"/>
      <c r="E893" s="65"/>
      <c r="F893" s="65"/>
      <c r="G893" s="65"/>
      <c r="H893" s="65"/>
      <c r="I893" s="303"/>
      <c r="J893" s="65"/>
      <c r="K893" s="212">
        <f t="shared" ref="K893:L893" si="173">SUM(K879:K892)</f>
        <v>140</v>
      </c>
      <c r="L893" s="260">
        <f t="shared" si="173"/>
        <v>50.445799999999991</v>
      </c>
      <c r="M893" s="65">
        <f t="shared" ref="M893" si="174">SUM(M879:M892)</f>
        <v>9</v>
      </c>
      <c r="N893" s="66">
        <f t="shared" ref="N893" si="175">SUM(N879:N892)</f>
        <v>3.4766700000000004</v>
      </c>
      <c r="O893" s="65">
        <f>SUM(O879:O892)</f>
        <v>34</v>
      </c>
      <c r="P893" s="66">
        <f>SUM(P879:P892)</f>
        <v>12.683630000000001</v>
      </c>
      <c r="Q893" s="66"/>
      <c r="R893" s="66"/>
      <c r="S893" s="65">
        <f>SUM(S879:S892)</f>
        <v>11</v>
      </c>
      <c r="T893" s="66">
        <f>SUM(T879:T892)</f>
        <v>3.89371</v>
      </c>
    </row>
    <row r="894" spans="1:20" ht="15.6">
      <c r="A894" s="65"/>
      <c r="B894" s="65"/>
      <c r="C894" s="65"/>
      <c r="D894" s="65"/>
      <c r="E894" s="65"/>
      <c r="F894" s="65"/>
      <c r="G894" s="65"/>
      <c r="H894" s="65"/>
      <c r="I894" s="303"/>
      <c r="J894" s="65"/>
      <c r="K894" s="212"/>
      <c r="L894" s="303"/>
      <c r="M894" s="65"/>
      <c r="N894" s="65"/>
      <c r="O894" s="65"/>
      <c r="P894" s="65"/>
      <c r="Q894" s="1045"/>
      <c r="R894" s="1045"/>
    </row>
    <row r="895" spans="1:20" ht="15.6">
      <c r="A895" s="21" t="s">
        <v>174</v>
      </c>
      <c r="B895" s="21" t="s">
        <v>230</v>
      </c>
      <c r="C895" s="21" t="s">
        <v>19</v>
      </c>
      <c r="D895" s="21" t="s">
        <v>20</v>
      </c>
      <c r="E895" s="21" t="s">
        <v>175</v>
      </c>
      <c r="F895" s="22">
        <v>16</v>
      </c>
      <c r="G895" s="20" t="s">
        <v>21</v>
      </c>
      <c r="H895" s="177" t="s">
        <v>181</v>
      </c>
      <c r="I895" s="115">
        <v>40.1</v>
      </c>
      <c r="J895" s="66">
        <v>9.5</v>
      </c>
      <c r="K895" s="239">
        <v>3</v>
      </c>
      <c r="L895" s="130">
        <f>(I895*J895*K895/1000)</f>
        <v>1.1428499999999999</v>
      </c>
      <c r="M895" s="65"/>
      <c r="N895" s="65"/>
      <c r="O895" s="65"/>
      <c r="P895" s="65"/>
      <c r="Q895" s="1045"/>
      <c r="R895" s="1045"/>
      <c r="S895" t="s">
        <v>202</v>
      </c>
    </row>
    <row r="896" spans="1:20" ht="15.6">
      <c r="A896" s="65"/>
      <c r="B896" s="229" t="s">
        <v>208</v>
      </c>
      <c r="C896" s="65"/>
      <c r="D896" s="65"/>
      <c r="E896" s="65"/>
      <c r="F896" s="65"/>
      <c r="G896" s="65"/>
      <c r="H896" s="65"/>
      <c r="I896" s="303"/>
      <c r="J896" s="65"/>
      <c r="K896" s="212">
        <f t="shared" ref="K896:L896" si="176">SUM(K895)</f>
        <v>3</v>
      </c>
      <c r="L896" s="260">
        <f t="shared" si="176"/>
        <v>1.1428499999999999</v>
      </c>
      <c r="M896" s="65"/>
      <c r="N896" s="65"/>
      <c r="O896" s="65"/>
      <c r="P896" s="65"/>
      <c r="Q896" s="1045"/>
      <c r="R896" s="1045"/>
    </row>
    <row r="897" spans="1:19" ht="15.6">
      <c r="A897" s="65"/>
      <c r="B897" s="65"/>
      <c r="C897" s="65"/>
      <c r="D897" s="65"/>
      <c r="E897" s="65"/>
      <c r="F897" s="65"/>
      <c r="G897" s="65"/>
      <c r="H897" s="65"/>
      <c r="I897" s="303"/>
      <c r="J897" s="65"/>
      <c r="K897" s="212"/>
      <c r="L897" s="260">
        <f>+L896+L893</f>
        <v>51.588649999999994</v>
      </c>
      <c r="M897" s="101">
        <f>+M896+M893</f>
        <v>9</v>
      </c>
      <c r="N897" s="66">
        <f>+N896+N893</f>
        <v>3.4766700000000004</v>
      </c>
      <c r="O897" s="101">
        <f>+O896+O893</f>
        <v>34</v>
      </c>
      <c r="P897" s="66">
        <f>+P896+P893</f>
        <v>12.683630000000001</v>
      </c>
      <c r="Q897" s="1050"/>
      <c r="R897" s="1050"/>
    </row>
    <row r="898" spans="1:19" ht="15.6">
      <c r="A898" s="65"/>
      <c r="B898" s="65"/>
      <c r="C898" s="65"/>
      <c r="D898" s="65"/>
      <c r="E898" s="65"/>
      <c r="F898" s="65"/>
      <c r="G898" s="65"/>
      <c r="H898" s="65"/>
      <c r="I898" s="303"/>
      <c r="J898" s="65"/>
      <c r="K898" s="212"/>
      <c r="L898" s="260"/>
      <c r="M898" s="65"/>
      <c r="N898" s="66"/>
      <c r="O898" s="65"/>
      <c r="P898" s="65"/>
      <c r="Q898" s="1045"/>
      <c r="R898" s="1045"/>
    </row>
    <row r="899" spans="1:19" ht="15.6">
      <c r="A899" s="21" t="s">
        <v>174</v>
      </c>
      <c r="B899" s="21" t="s">
        <v>230</v>
      </c>
      <c r="C899" s="21" t="s">
        <v>19</v>
      </c>
      <c r="D899" s="21" t="s">
        <v>20</v>
      </c>
      <c r="E899" s="21" t="s">
        <v>57</v>
      </c>
      <c r="F899" s="22">
        <v>16</v>
      </c>
      <c r="G899" s="20" t="s">
        <v>21</v>
      </c>
      <c r="H899" s="177" t="s">
        <v>180</v>
      </c>
      <c r="I899" s="115">
        <v>35.9</v>
      </c>
      <c r="J899" s="66">
        <v>5</v>
      </c>
      <c r="K899" s="239">
        <v>8</v>
      </c>
      <c r="L899" s="130">
        <f>(I899*J899*K899/1000)</f>
        <v>1.4359999999999999</v>
      </c>
      <c r="M899" s="65">
        <f>1+2+1</f>
        <v>4</v>
      </c>
      <c r="N899" s="66">
        <f t="shared" ref="N899:N903" si="177">J899*M899*I899/1000</f>
        <v>0.71799999999999997</v>
      </c>
      <c r="O899" s="65"/>
      <c r="P899" s="65"/>
      <c r="Q899" s="1045"/>
      <c r="R899" s="1045"/>
      <c r="S899" t="s">
        <v>202</v>
      </c>
    </row>
    <row r="900" spans="1:19" ht="15.6">
      <c r="A900" s="20"/>
      <c r="B900" s="229" t="s">
        <v>207</v>
      </c>
      <c r="C900" s="20"/>
      <c r="D900" s="20"/>
      <c r="E900" s="20"/>
      <c r="F900" s="20"/>
      <c r="G900" s="20" t="s">
        <v>21</v>
      </c>
      <c r="H900" s="165" t="s">
        <v>180</v>
      </c>
      <c r="I900" s="115">
        <v>35.9</v>
      </c>
      <c r="J900" s="66">
        <v>5.5</v>
      </c>
      <c r="K900" s="239">
        <v>6</v>
      </c>
      <c r="L900" s="130">
        <f>(I900*J900*K900/1000)</f>
        <v>1.1846999999999999</v>
      </c>
      <c r="M900" s="65">
        <f>2+2+2</f>
        <v>6</v>
      </c>
      <c r="N900" s="66">
        <f t="shared" si="177"/>
        <v>1.1847000000000001</v>
      </c>
      <c r="O900" s="65">
        <v>6</v>
      </c>
      <c r="P900" s="66">
        <f>J900*O900*I900/1000</f>
        <v>1.1847000000000001</v>
      </c>
      <c r="Q900" s="1050"/>
      <c r="R900" s="1050"/>
    </row>
    <row r="901" spans="1:19" ht="15.6">
      <c r="A901" s="20"/>
      <c r="B901" s="20"/>
      <c r="C901" s="20"/>
      <c r="D901" s="20"/>
      <c r="E901" s="20"/>
      <c r="F901" s="20"/>
      <c r="G901" s="20" t="s">
        <v>21</v>
      </c>
      <c r="H901" s="165" t="s">
        <v>180</v>
      </c>
      <c r="I901" s="115">
        <v>35.9</v>
      </c>
      <c r="J901" s="66">
        <v>6.6</v>
      </c>
      <c r="K901" s="239">
        <v>8</v>
      </c>
      <c r="L901" s="130">
        <f>(I901*J901*K901/1000)</f>
        <v>1.8955199999999996</v>
      </c>
      <c r="M901" s="65"/>
      <c r="N901" s="66">
        <f t="shared" si="177"/>
        <v>0</v>
      </c>
      <c r="O901" s="65"/>
      <c r="P901" s="65"/>
      <c r="Q901" s="1045"/>
      <c r="R901" s="1045"/>
    </row>
    <row r="902" spans="1:19" ht="15.6">
      <c r="A902" s="20"/>
      <c r="B902" s="20"/>
      <c r="C902" s="20"/>
      <c r="D902" s="20"/>
      <c r="E902" s="20"/>
      <c r="F902" s="20"/>
      <c r="G902" s="20" t="s">
        <v>21</v>
      </c>
      <c r="H902" s="165" t="s">
        <v>180</v>
      </c>
      <c r="I902" s="115">
        <v>35.9</v>
      </c>
      <c r="J902" s="66">
        <v>6.7</v>
      </c>
      <c r="K902" s="239">
        <v>9</v>
      </c>
      <c r="L902" s="130">
        <f>(I902*J902*K902/1000)</f>
        <v>2.1647699999999999</v>
      </c>
      <c r="M902" s="65">
        <v>2</v>
      </c>
      <c r="N902" s="66">
        <f t="shared" si="177"/>
        <v>0.48105999999999999</v>
      </c>
      <c r="O902" s="65"/>
      <c r="P902" s="65"/>
      <c r="Q902" s="1045"/>
      <c r="R902" s="1045"/>
    </row>
    <row r="903" spans="1:19" ht="15.6">
      <c r="A903" s="20"/>
      <c r="B903" s="20"/>
      <c r="C903" s="20"/>
      <c r="D903" s="20"/>
      <c r="E903" s="20"/>
      <c r="F903" s="20"/>
      <c r="G903" s="20" t="s">
        <v>21</v>
      </c>
      <c r="H903" s="165" t="s">
        <v>180</v>
      </c>
      <c r="I903" s="115">
        <v>35.9</v>
      </c>
      <c r="J903" s="66">
        <v>9.9</v>
      </c>
      <c r="K903" s="239">
        <v>6</v>
      </c>
      <c r="L903" s="130">
        <f>(I903*J903*K903/1000)</f>
        <v>2.13246</v>
      </c>
      <c r="M903" s="65">
        <f>1+3</f>
        <v>4</v>
      </c>
      <c r="N903" s="66">
        <f t="shared" si="177"/>
        <v>1.42164</v>
      </c>
      <c r="O903" s="65">
        <v>4</v>
      </c>
      <c r="P903" s="66">
        <f>J903*O903*I903/1000</f>
        <v>1.42164</v>
      </c>
      <c r="Q903" s="1050"/>
      <c r="R903" s="1050"/>
    </row>
    <row r="904" spans="1:19" ht="15.6">
      <c r="A904" s="20"/>
      <c r="B904" s="20"/>
      <c r="C904" s="20"/>
      <c r="D904" s="20"/>
      <c r="E904" s="20"/>
      <c r="F904" s="20"/>
      <c r="G904" s="20"/>
      <c r="H904" s="20"/>
      <c r="I904" s="115"/>
      <c r="J904" s="23"/>
      <c r="K904" s="154">
        <f t="shared" ref="K904:P904" si="178">SUM(K899:K903)</f>
        <v>37</v>
      </c>
      <c r="L904" s="128">
        <f t="shared" si="178"/>
        <v>8.8134499999999996</v>
      </c>
      <c r="M904" s="25">
        <f t="shared" si="178"/>
        <v>16</v>
      </c>
      <c r="N904" s="23">
        <f t="shared" si="178"/>
        <v>3.8054000000000001</v>
      </c>
      <c r="O904" s="25">
        <f t="shared" si="178"/>
        <v>10</v>
      </c>
      <c r="P904" s="23">
        <f t="shared" si="178"/>
        <v>2.6063400000000003</v>
      </c>
      <c r="Q904" s="134"/>
      <c r="R904" s="134"/>
    </row>
    <row r="905" spans="1:19" ht="15.6">
      <c r="A905" s="20"/>
      <c r="B905" s="20"/>
      <c r="C905" s="20"/>
      <c r="D905" s="20"/>
      <c r="E905" s="20"/>
      <c r="F905" s="20"/>
      <c r="G905" s="20"/>
      <c r="H905" s="20"/>
      <c r="I905" s="115"/>
      <c r="J905" s="23"/>
      <c r="K905" s="154"/>
      <c r="L905" s="128"/>
      <c r="M905" s="65"/>
      <c r="N905" s="65"/>
      <c r="O905" s="65"/>
      <c r="P905" s="65"/>
      <c r="Q905" s="1045"/>
      <c r="R905" s="1045"/>
    </row>
    <row r="906" spans="1:19" ht="15.6">
      <c r="A906" s="21" t="s">
        <v>174</v>
      </c>
      <c r="B906" s="21" t="s">
        <v>230</v>
      </c>
      <c r="C906" s="21" t="s">
        <v>19</v>
      </c>
      <c r="D906" s="21" t="s">
        <v>20</v>
      </c>
      <c r="E906" s="21" t="s">
        <v>57</v>
      </c>
      <c r="F906" s="22">
        <v>16</v>
      </c>
      <c r="G906" s="20" t="s">
        <v>21</v>
      </c>
      <c r="H906" s="177" t="s">
        <v>179</v>
      </c>
      <c r="I906" s="115">
        <v>33.799999999999997</v>
      </c>
      <c r="J906" s="66">
        <v>6.8</v>
      </c>
      <c r="K906" s="239">
        <v>28</v>
      </c>
      <c r="L906" s="130">
        <f>(I906*J906*K906/1000)</f>
        <v>6.4355199999999995</v>
      </c>
      <c r="M906" s="65">
        <v>11</v>
      </c>
      <c r="N906" s="66">
        <f t="shared" ref="N906:N907" si="179">J906*M906*I906/1000</f>
        <v>2.5282399999999998</v>
      </c>
      <c r="O906" s="65">
        <f>6+12</f>
        <v>18</v>
      </c>
      <c r="P906" s="66">
        <f>J906*O906*I906/1000</f>
        <v>4.1371199999999986</v>
      </c>
      <c r="Q906" s="1050"/>
      <c r="R906" s="1050"/>
      <c r="S906" t="s">
        <v>202</v>
      </c>
    </row>
    <row r="907" spans="1:19" ht="15.6">
      <c r="A907" s="20"/>
      <c r="B907" s="229" t="s">
        <v>207</v>
      </c>
      <c r="C907" s="20"/>
      <c r="D907" s="20"/>
      <c r="E907" s="20"/>
      <c r="F907" s="20"/>
      <c r="G907" s="20" t="s">
        <v>21</v>
      </c>
      <c r="H907" s="165" t="s">
        <v>179</v>
      </c>
      <c r="I907" s="115">
        <v>33.799999999999997</v>
      </c>
      <c r="J907" s="66">
        <v>10.4</v>
      </c>
      <c r="K907" s="239">
        <v>4</v>
      </c>
      <c r="L907" s="130">
        <f>(I907*J907*K907/1000)</f>
        <v>1.40608</v>
      </c>
      <c r="M907" s="65">
        <v>4</v>
      </c>
      <c r="N907" s="66">
        <f t="shared" si="179"/>
        <v>1.40608</v>
      </c>
      <c r="O907" s="65"/>
      <c r="P907" s="65"/>
      <c r="Q907" s="1045"/>
      <c r="R907" s="1045"/>
    </row>
    <row r="908" spans="1:19" ht="15.6">
      <c r="A908" s="20"/>
      <c r="B908" s="20"/>
      <c r="C908" s="20"/>
      <c r="D908" s="20"/>
      <c r="E908" s="20"/>
      <c r="F908" s="20"/>
      <c r="G908" s="20"/>
      <c r="H908" s="20"/>
      <c r="I908" s="115"/>
      <c r="J908" s="23"/>
      <c r="K908" s="154">
        <f t="shared" ref="K908:P908" si="180">SUM(K906:K907)</f>
        <v>32</v>
      </c>
      <c r="L908" s="128">
        <f t="shared" si="180"/>
        <v>7.8415999999999997</v>
      </c>
      <c r="M908" s="25">
        <f t="shared" si="180"/>
        <v>15</v>
      </c>
      <c r="N908" s="23">
        <f t="shared" si="180"/>
        <v>3.9343199999999996</v>
      </c>
      <c r="O908" s="25">
        <f t="shared" si="180"/>
        <v>18</v>
      </c>
      <c r="P908" s="23">
        <f t="shared" si="180"/>
        <v>4.1371199999999986</v>
      </c>
      <c r="Q908" s="134"/>
      <c r="R908" s="134"/>
    </row>
    <row r="909" spans="1:19" ht="15.6">
      <c r="A909" s="65"/>
      <c r="B909" s="65"/>
      <c r="C909" s="65"/>
      <c r="D909" s="65"/>
      <c r="E909" s="65"/>
      <c r="F909" s="65"/>
      <c r="G909" s="65"/>
      <c r="H909" s="65"/>
      <c r="I909" s="303"/>
      <c r="J909" s="65"/>
      <c r="K909" s="212"/>
      <c r="L909" s="303"/>
      <c r="M909" s="65"/>
      <c r="N909" s="65"/>
      <c r="O909" s="65"/>
      <c r="P909" s="65"/>
      <c r="Q909" s="1045"/>
      <c r="R909" s="1045"/>
    </row>
    <row r="910" spans="1:19" ht="15.6">
      <c r="A910" s="21" t="s">
        <v>174</v>
      </c>
      <c r="B910" s="21" t="s">
        <v>230</v>
      </c>
      <c r="C910" s="21" t="s">
        <v>19</v>
      </c>
      <c r="D910" s="21" t="s">
        <v>20</v>
      </c>
      <c r="E910" s="21" t="s">
        <v>175</v>
      </c>
      <c r="F910" s="22">
        <v>16</v>
      </c>
      <c r="G910" s="20" t="s">
        <v>21</v>
      </c>
      <c r="H910" s="177" t="s">
        <v>179</v>
      </c>
      <c r="I910" s="115">
        <v>33.799999999999997</v>
      </c>
      <c r="J910" s="66">
        <v>6.7</v>
      </c>
      <c r="K910" s="239">
        <v>12</v>
      </c>
      <c r="L910" s="130">
        <f>(I910*J910*K910/1000)</f>
        <v>2.7175199999999995</v>
      </c>
      <c r="M910" s="65"/>
      <c r="N910" s="65"/>
      <c r="O910" s="65"/>
      <c r="P910" s="65"/>
      <c r="Q910" s="1045"/>
      <c r="R910" s="1045"/>
      <c r="S910" t="s">
        <v>202</v>
      </c>
    </row>
    <row r="911" spans="1:19" ht="15.6">
      <c r="A911" s="20"/>
      <c r="B911" s="229" t="s">
        <v>208</v>
      </c>
      <c r="C911" s="20"/>
      <c r="D911" s="20"/>
      <c r="E911" s="20"/>
      <c r="F911" s="20"/>
      <c r="G911" s="20"/>
      <c r="H911" s="20"/>
      <c r="I911" s="115"/>
      <c r="J911" s="23"/>
      <c r="K911" s="154">
        <f>SUM(K910:K910)</f>
        <v>12</v>
      </c>
      <c r="L911" s="128">
        <f>SUM(L910:L910)</f>
        <v>2.7175199999999995</v>
      </c>
      <c r="M911" s="65"/>
      <c r="N911" s="65"/>
      <c r="O911" s="65"/>
      <c r="P911" s="65"/>
      <c r="Q911" s="1045"/>
      <c r="R911" s="1045"/>
    </row>
    <row r="912" spans="1:19" ht="15.6">
      <c r="A912" s="65"/>
      <c r="B912" s="65"/>
      <c r="C912" s="65"/>
      <c r="D912" s="65"/>
      <c r="E912" s="65"/>
      <c r="F912" s="65"/>
      <c r="G912" s="65"/>
      <c r="H912" s="65"/>
      <c r="I912" s="303"/>
      <c r="J912" s="65"/>
      <c r="K912" s="212"/>
      <c r="L912" s="260">
        <f>+L911+L908</f>
        <v>10.55912</v>
      </c>
      <c r="M912" s="101">
        <f t="shared" ref="M912" si="181">+M911+M908</f>
        <v>15</v>
      </c>
      <c r="N912" s="66">
        <f>+N911+N908</f>
        <v>3.9343199999999996</v>
      </c>
      <c r="O912" s="66">
        <f>+O911+O908</f>
        <v>18</v>
      </c>
      <c r="P912" s="66">
        <f>+P911+P908</f>
        <v>4.1371199999999986</v>
      </c>
      <c r="Q912" s="1050"/>
      <c r="R912" s="1050"/>
    </row>
    <row r="913" spans="1:20" ht="15.6">
      <c r="A913" s="65"/>
      <c r="B913" s="65"/>
      <c r="C913" s="65"/>
      <c r="D913" s="65"/>
      <c r="E913" s="65"/>
      <c r="F913" s="65"/>
      <c r="G913" s="65"/>
      <c r="H913" s="65"/>
      <c r="I913" s="303"/>
      <c r="J913" s="65"/>
      <c r="K913" s="212"/>
      <c r="L913" s="260"/>
      <c r="M913" s="65"/>
      <c r="N913" s="65"/>
      <c r="O913" s="65"/>
      <c r="P913" s="65"/>
      <c r="Q913" s="1045"/>
      <c r="R913" s="1045"/>
    </row>
    <row r="914" spans="1:20" ht="15.6">
      <c r="A914" s="21" t="s">
        <v>174</v>
      </c>
      <c r="B914" s="21" t="s">
        <v>230</v>
      </c>
      <c r="C914" s="21" t="s">
        <v>19</v>
      </c>
      <c r="D914" s="21" t="s">
        <v>20</v>
      </c>
      <c r="E914" s="21" t="s">
        <v>57</v>
      </c>
      <c r="F914" s="22">
        <v>16</v>
      </c>
      <c r="G914" s="20" t="s">
        <v>21</v>
      </c>
      <c r="H914" s="177" t="s">
        <v>178</v>
      </c>
      <c r="I914" s="115">
        <v>31.6</v>
      </c>
      <c r="J914" s="66">
        <v>7.2</v>
      </c>
      <c r="K914" s="239">
        <v>28</v>
      </c>
      <c r="L914" s="130">
        <f>(I914*J914*K914/1000)</f>
        <v>6.3705600000000002</v>
      </c>
      <c r="M914" s="65">
        <v>9</v>
      </c>
      <c r="N914" s="66">
        <f t="shared" ref="N914:N915" si="182">J914*M914*I914/1000</f>
        <v>2.0476800000000002</v>
      </c>
      <c r="O914" s="65">
        <f>8+6</f>
        <v>14</v>
      </c>
      <c r="P914" s="66">
        <f>J914*O914*I914/1000</f>
        <v>3.1852800000000001</v>
      </c>
      <c r="Q914" s="1050"/>
      <c r="R914" s="1050"/>
      <c r="S914" s="251" t="s">
        <v>267</v>
      </c>
    </row>
    <row r="915" spans="1:20" ht="15.6">
      <c r="A915" s="20"/>
      <c r="B915" s="229" t="s">
        <v>207</v>
      </c>
      <c r="C915" s="20"/>
      <c r="D915" s="20"/>
      <c r="E915" s="20"/>
      <c r="F915" s="20"/>
      <c r="G915" s="20" t="s">
        <v>21</v>
      </c>
      <c r="H915" s="165" t="s">
        <v>178</v>
      </c>
      <c r="I915" s="115">
        <v>31.6</v>
      </c>
      <c r="J915" s="66">
        <v>10</v>
      </c>
      <c r="K915" s="239">
        <v>7</v>
      </c>
      <c r="L915" s="130">
        <f>(I915*J915*K915/1000)</f>
        <v>2.2120000000000002</v>
      </c>
      <c r="M915" s="65">
        <f>2+2</f>
        <v>4</v>
      </c>
      <c r="N915" s="66">
        <f t="shared" si="182"/>
        <v>1.264</v>
      </c>
      <c r="O915" s="65">
        <v>4</v>
      </c>
      <c r="P915" s="66">
        <f>J915*O915*I915/1000</f>
        <v>1.264</v>
      </c>
      <c r="Q915" s="1050"/>
      <c r="R915" s="1050"/>
    </row>
    <row r="916" spans="1:20" ht="15.6">
      <c r="A916" s="20"/>
      <c r="B916" s="20"/>
      <c r="C916" s="20"/>
      <c r="D916" s="20"/>
      <c r="E916" s="20"/>
      <c r="F916" s="20"/>
      <c r="G916" s="20" t="s">
        <v>21</v>
      </c>
      <c r="H916" s="165" t="s">
        <v>178</v>
      </c>
      <c r="I916" s="115">
        <v>31.6</v>
      </c>
      <c r="J916" s="66">
        <v>11.3</v>
      </c>
      <c r="K916" s="239">
        <v>6</v>
      </c>
      <c r="L916" s="130">
        <f>(I916*J916*K916/1000)</f>
        <v>2.1424800000000004</v>
      </c>
      <c r="M916" s="65"/>
      <c r="N916" s="65"/>
      <c r="O916" s="65">
        <v>2</v>
      </c>
      <c r="P916" s="66">
        <f>J916*O916*I916/1000</f>
        <v>0.71416000000000013</v>
      </c>
      <c r="Q916" s="1050"/>
      <c r="R916" s="1050"/>
    </row>
    <row r="917" spans="1:20" ht="15.6">
      <c r="A917" s="20"/>
      <c r="B917" s="20"/>
      <c r="C917" s="20"/>
      <c r="D917" s="20"/>
      <c r="E917" s="20"/>
      <c r="F917" s="20"/>
      <c r="G917" s="20" t="s">
        <v>21</v>
      </c>
      <c r="H917" s="165" t="s">
        <v>178</v>
      </c>
      <c r="I917" s="115">
        <v>31.6</v>
      </c>
      <c r="J917" s="66">
        <v>11.6</v>
      </c>
      <c r="K917" s="239">
        <v>7</v>
      </c>
      <c r="L917" s="130">
        <f>(I917*J917*K917/1000)</f>
        <v>2.5659200000000002</v>
      </c>
      <c r="M917" s="65"/>
      <c r="N917" s="65"/>
      <c r="O917" s="65">
        <v>7</v>
      </c>
      <c r="P917" s="66">
        <f>J917*O917*I917/1000</f>
        <v>2.5659200000000002</v>
      </c>
      <c r="Q917" s="1050"/>
      <c r="R917" s="1050"/>
    </row>
    <row r="918" spans="1:20" ht="15.6">
      <c r="A918" s="20"/>
      <c r="B918" s="20"/>
      <c r="C918" s="20"/>
      <c r="D918" s="20"/>
      <c r="E918" s="20"/>
      <c r="F918" s="20"/>
      <c r="G918" s="20"/>
      <c r="H918" s="20"/>
      <c r="I918" s="115"/>
      <c r="J918" s="23"/>
      <c r="K918" s="154">
        <f t="shared" ref="K918:O918" si="183">SUM(K914:K917)</f>
        <v>48</v>
      </c>
      <c r="L918" s="128">
        <f t="shared" si="183"/>
        <v>13.290960000000002</v>
      </c>
      <c r="M918" s="25">
        <f t="shared" si="183"/>
        <v>13</v>
      </c>
      <c r="N918" s="23">
        <f t="shared" si="183"/>
        <v>3.31168</v>
      </c>
      <c r="O918" s="154">
        <f t="shared" si="183"/>
        <v>27</v>
      </c>
      <c r="P918" s="23">
        <f>SUM(P914:P917)</f>
        <v>7.7293599999999998</v>
      </c>
      <c r="Q918" s="134"/>
      <c r="R918" s="134"/>
    </row>
    <row r="919" spans="1:20" ht="15.6">
      <c r="A919" s="20"/>
      <c r="B919" s="20"/>
      <c r="C919" s="20"/>
      <c r="D919" s="20"/>
      <c r="E919" s="20"/>
      <c r="F919" s="20"/>
      <c r="G919" s="20"/>
      <c r="H919" s="20"/>
      <c r="I919" s="115"/>
      <c r="J919" s="23"/>
      <c r="K919" s="154"/>
      <c r="L919" s="128"/>
      <c r="M919" s="65"/>
      <c r="N919" s="65"/>
      <c r="O919" s="65"/>
      <c r="P919" s="65"/>
      <c r="Q919" s="1045"/>
      <c r="R919" s="1045"/>
    </row>
    <row r="920" spans="1:20" ht="15.6">
      <c r="A920" s="20"/>
      <c r="B920" s="20"/>
      <c r="C920" s="20"/>
      <c r="D920" s="20"/>
      <c r="E920" s="20"/>
      <c r="F920" s="20"/>
      <c r="G920" s="20"/>
      <c r="H920" s="20"/>
      <c r="I920" s="115"/>
      <c r="J920" s="23"/>
      <c r="K920" s="154"/>
      <c r="L920" s="128"/>
      <c r="M920" s="65"/>
      <c r="N920" s="65"/>
      <c r="O920" s="65"/>
      <c r="P920" s="65"/>
      <c r="Q920" s="1045"/>
      <c r="R920" s="1045"/>
    </row>
    <row r="921" spans="1:20" ht="15.6">
      <c r="A921" s="21" t="s">
        <v>174</v>
      </c>
      <c r="B921" s="21" t="s">
        <v>230</v>
      </c>
      <c r="C921" s="21" t="s">
        <v>19</v>
      </c>
      <c r="D921" s="21" t="s">
        <v>20</v>
      </c>
      <c r="E921" s="21" t="s">
        <v>57</v>
      </c>
      <c r="F921" s="22">
        <v>16</v>
      </c>
      <c r="G921" s="20" t="s">
        <v>21</v>
      </c>
      <c r="H921" s="177" t="s">
        <v>177</v>
      </c>
      <c r="I921" s="115">
        <v>27.3</v>
      </c>
      <c r="J921" s="66">
        <v>6.6</v>
      </c>
      <c r="K921" s="239">
        <v>10</v>
      </c>
      <c r="L921" s="130">
        <f>(I921*J921*K921/1000)</f>
        <v>1.8018000000000003</v>
      </c>
      <c r="M921" s="65">
        <f>3+1+1+1</f>
        <v>6</v>
      </c>
      <c r="N921" s="66">
        <f t="shared" ref="N921:N925" si="184">J921*M921*I921/1000</f>
        <v>1.0810799999999998</v>
      </c>
      <c r="O921" s="65">
        <v>10</v>
      </c>
      <c r="P921" s="66">
        <f t="shared" ref="P921:P922" si="185">J921*O921*I921/1000</f>
        <v>1.8017999999999998</v>
      </c>
      <c r="Q921" s="1050"/>
      <c r="R921" s="1050"/>
      <c r="S921" s="251" t="s">
        <v>202</v>
      </c>
    </row>
    <row r="922" spans="1:20" ht="15.6">
      <c r="A922" s="20"/>
      <c r="B922" s="229" t="s">
        <v>207</v>
      </c>
      <c r="C922" s="20"/>
      <c r="D922" s="20"/>
      <c r="E922" s="20"/>
      <c r="F922" s="20"/>
      <c r="G922" s="20" t="s">
        <v>21</v>
      </c>
      <c r="H922" s="165" t="s">
        <v>177</v>
      </c>
      <c r="I922" s="115">
        <v>27.3</v>
      </c>
      <c r="J922" s="66">
        <v>8.1</v>
      </c>
      <c r="K922" s="239">
        <v>19</v>
      </c>
      <c r="L922" s="130">
        <f>(I922*J922*K922/1000)</f>
        <v>4.2014700000000005</v>
      </c>
      <c r="M922" s="65">
        <f>1+1</f>
        <v>2</v>
      </c>
      <c r="N922" s="66">
        <f t="shared" si="184"/>
        <v>0.44225999999999999</v>
      </c>
      <c r="O922" s="65">
        <v>11</v>
      </c>
      <c r="P922" s="66">
        <f t="shared" si="185"/>
        <v>2.4324299999999996</v>
      </c>
      <c r="Q922" s="1050"/>
      <c r="R922" s="1050"/>
      <c r="S922">
        <v>4</v>
      </c>
      <c r="T922" s="126">
        <f>J922*S922*I922/1000</f>
        <v>0.88451999999999997</v>
      </c>
    </row>
    <row r="923" spans="1:20" ht="15.6">
      <c r="A923" s="20"/>
      <c r="B923" s="20"/>
      <c r="C923" s="20"/>
      <c r="D923" s="20"/>
      <c r="E923" s="20"/>
      <c r="F923" s="20"/>
      <c r="G923" s="20" t="s">
        <v>21</v>
      </c>
      <c r="H923" s="165" t="s">
        <v>177</v>
      </c>
      <c r="I923" s="115">
        <v>27.3</v>
      </c>
      <c r="J923" s="66">
        <v>8.6</v>
      </c>
      <c r="K923" s="239">
        <v>12</v>
      </c>
      <c r="L923" s="130">
        <f>(I923*J923*K923/1000)</f>
        <v>2.8173600000000003</v>
      </c>
      <c r="M923" s="65">
        <f>1+2+2+1</f>
        <v>6</v>
      </c>
      <c r="N923" s="66">
        <f t="shared" si="184"/>
        <v>1.4086799999999999</v>
      </c>
      <c r="O923" s="65">
        <v>1</v>
      </c>
      <c r="P923" s="66">
        <f t="shared" ref="P923:P925" si="186">J923*O923*I923/1000</f>
        <v>0.23477999999999999</v>
      </c>
      <c r="Q923" s="1050"/>
      <c r="R923" s="1050"/>
      <c r="T923" s="126"/>
    </row>
    <row r="924" spans="1:20" ht="15.6">
      <c r="A924" s="20"/>
      <c r="B924" s="20"/>
      <c r="C924" s="20"/>
      <c r="D924" s="20"/>
      <c r="E924" s="20"/>
      <c r="F924" s="20"/>
      <c r="G924" s="20" t="s">
        <v>21</v>
      </c>
      <c r="H924" s="165" t="s">
        <v>177</v>
      </c>
      <c r="I924" s="115">
        <v>27.3</v>
      </c>
      <c r="J924" s="66">
        <v>9.3000000000000007</v>
      </c>
      <c r="K924" s="239">
        <v>33</v>
      </c>
      <c r="L924" s="130">
        <f>(I924*J924*K924/1000)</f>
        <v>8.3783700000000003</v>
      </c>
      <c r="M924" s="65">
        <f>3+1+1+2+1</f>
        <v>8</v>
      </c>
      <c r="N924" s="66">
        <f t="shared" si="184"/>
        <v>2.03112</v>
      </c>
      <c r="O924" s="65">
        <v>4</v>
      </c>
      <c r="P924" s="66">
        <f t="shared" si="186"/>
        <v>1.01556</v>
      </c>
      <c r="Q924" s="1050"/>
      <c r="R924" s="1050"/>
      <c r="S924">
        <v>18</v>
      </c>
      <c r="T924" s="126">
        <f>J924*S924*I924/1000</f>
        <v>4.5700200000000004</v>
      </c>
    </row>
    <row r="925" spans="1:20" ht="15.6">
      <c r="A925" s="20"/>
      <c r="B925" s="20"/>
      <c r="C925" s="20"/>
      <c r="D925" s="20"/>
      <c r="E925" s="20"/>
      <c r="F925" s="20"/>
      <c r="G925" s="20" t="s">
        <v>21</v>
      </c>
      <c r="H925" s="165" t="s">
        <v>177</v>
      </c>
      <c r="I925" s="115">
        <v>27.3</v>
      </c>
      <c r="J925" s="66">
        <v>10.1</v>
      </c>
      <c r="K925" s="239">
        <v>2</v>
      </c>
      <c r="L925" s="130">
        <f>(I925*J925*K925/1000)</f>
        <v>0.55146000000000006</v>
      </c>
      <c r="M925" s="65"/>
      <c r="N925" s="66">
        <f t="shared" si="184"/>
        <v>0</v>
      </c>
      <c r="O925" s="65">
        <v>1</v>
      </c>
      <c r="P925" s="66">
        <f t="shared" si="186"/>
        <v>0.27573000000000003</v>
      </c>
      <c r="Q925" s="1050"/>
      <c r="R925" s="1050"/>
    </row>
    <row r="926" spans="1:20" ht="15.6">
      <c r="A926" s="20"/>
      <c r="B926" s="20"/>
      <c r="C926" s="20"/>
      <c r="D926" s="20"/>
      <c r="E926" s="20"/>
      <c r="F926" s="20"/>
      <c r="G926" s="20"/>
      <c r="H926" s="20"/>
      <c r="I926" s="115"/>
      <c r="J926" s="23"/>
      <c r="K926" s="154">
        <f t="shared" ref="K926:O926" si="187">SUM(K921:K925)</f>
        <v>76</v>
      </c>
      <c r="L926" s="128">
        <f t="shared" si="187"/>
        <v>17.75046</v>
      </c>
      <c r="M926" s="25">
        <f t="shared" si="187"/>
        <v>22</v>
      </c>
      <c r="N926" s="23">
        <f t="shared" si="187"/>
        <v>4.9631399999999992</v>
      </c>
      <c r="O926" s="25">
        <f t="shared" si="187"/>
        <v>27</v>
      </c>
      <c r="P926" s="23">
        <f>SUM(P921:P925)</f>
        <v>5.7602999999999991</v>
      </c>
      <c r="Q926" s="23"/>
      <c r="R926" s="23"/>
      <c r="S926" s="25">
        <f>SUM(S921:S925)</f>
        <v>22</v>
      </c>
      <c r="T926" s="23">
        <f>SUM(T921:T925)</f>
        <v>5.4545400000000006</v>
      </c>
    </row>
    <row r="927" spans="1:20" ht="15.6">
      <c r="A927" s="65"/>
      <c r="B927" s="65"/>
      <c r="C927" s="65"/>
      <c r="D927" s="65"/>
      <c r="E927" s="65"/>
      <c r="F927" s="65"/>
      <c r="G927" s="65"/>
      <c r="H927" s="65"/>
      <c r="I927" s="303"/>
      <c r="J927" s="65"/>
      <c r="K927" s="212"/>
      <c r="L927" s="303"/>
      <c r="M927" s="65"/>
      <c r="N927" s="65"/>
      <c r="O927" s="65"/>
      <c r="P927" s="65"/>
      <c r="Q927" s="1045"/>
      <c r="R927" s="1045"/>
    </row>
    <row r="928" spans="1:20" ht="15.6">
      <c r="A928" s="21" t="s">
        <v>174</v>
      </c>
      <c r="B928" s="21" t="s">
        <v>224</v>
      </c>
      <c r="C928" s="21" t="s">
        <v>19</v>
      </c>
      <c r="D928" s="21" t="s">
        <v>20</v>
      </c>
      <c r="E928" s="21" t="s">
        <v>175</v>
      </c>
      <c r="F928" s="22">
        <v>16</v>
      </c>
      <c r="G928" s="20" t="s">
        <v>21</v>
      </c>
      <c r="H928" s="177" t="s">
        <v>177</v>
      </c>
      <c r="I928" s="115">
        <v>27.3</v>
      </c>
      <c r="J928" s="66">
        <v>8.1</v>
      </c>
      <c r="K928" s="239">
        <v>12</v>
      </c>
      <c r="L928" s="130">
        <f>(I928*J928*K928/1000)</f>
        <v>2.6535600000000001</v>
      </c>
      <c r="M928" s="65"/>
      <c r="N928" s="65"/>
      <c r="O928" s="65"/>
      <c r="P928" s="65"/>
      <c r="Q928" s="1045"/>
      <c r="R928" s="1045"/>
      <c r="S928" t="s">
        <v>202</v>
      </c>
    </row>
    <row r="929" spans="1:21" ht="15.6">
      <c r="A929" s="21"/>
      <c r="B929" s="229" t="s">
        <v>225</v>
      </c>
      <c r="C929" s="21"/>
      <c r="D929" s="21"/>
      <c r="E929" s="21"/>
      <c r="F929" s="22"/>
      <c r="G929" s="20"/>
      <c r="H929" s="165"/>
      <c r="I929" s="115"/>
      <c r="J929" s="66"/>
      <c r="K929" s="239">
        <f t="shared" ref="K929" si="188">SUM(K928)</f>
        <v>12</v>
      </c>
      <c r="L929" s="130">
        <f>SUM(L928)</f>
        <v>2.6535600000000001</v>
      </c>
      <c r="M929" s="65"/>
      <c r="N929" s="65"/>
      <c r="O929" s="65"/>
      <c r="P929" s="65"/>
      <c r="Q929" s="1045"/>
      <c r="R929" s="1045"/>
    </row>
    <row r="930" spans="1:21" ht="15.6">
      <c r="A930" s="65"/>
      <c r="B930" s="65"/>
      <c r="C930" s="65"/>
      <c r="D930" s="65"/>
      <c r="E930" s="65"/>
      <c r="F930" s="65"/>
      <c r="G930" s="65"/>
      <c r="H930" s="65"/>
      <c r="I930" s="303"/>
      <c r="J930" s="65"/>
      <c r="K930" s="212"/>
      <c r="L930" s="303"/>
      <c r="M930" s="65"/>
      <c r="N930" s="65"/>
      <c r="O930" s="65"/>
      <c r="P930" s="65"/>
      <c r="Q930" s="1045"/>
      <c r="R930" s="1045"/>
    </row>
    <row r="931" spans="1:21" ht="15.6">
      <c r="A931" s="21" t="s">
        <v>174</v>
      </c>
      <c r="B931" s="21" t="s">
        <v>224</v>
      </c>
      <c r="C931" s="21" t="s">
        <v>19</v>
      </c>
      <c r="D931" s="21" t="s">
        <v>20</v>
      </c>
      <c r="E931" s="21" t="s">
        <v>51</v>
      </c>
      <c r="F931" s="22">
        <v>16</v>
      </c>
      <c r="G931" s="37" t="s">
        <v>21</v>
      </c>
      <c r="H931" s="177" t="s">
        <v>177</v>
      </c>
      <c r="I931" s="382">
        <v>27.3</v>
      </c>
      <c r="J931" s="262">
        <v>6.6</v>
      </c>
      <c r="K931" s="263">
        <f>76-16</f>
        <v>60</v>
      </c>
      <c r="L931" s="130">
        <f>(I931*J931*K931/1000)</f>
        <v>10.8108</v>
      </c>
      <c r="M931" s="123"/>
      <c r="N931" s="123"/>
      <c r="O931" s="123">
        <f>6+4+2</f>
        <v>12</v>
      </c>
      <c r="P931" s="262">
        <f t="shared" ref="P931:P933" si="189">J931*O931*I931/1000</f>
        <v>2.1621599999999996</v>
      </c>
      <c r="Q931" s="1051"/>
      <c r="R931" s="1051"/>
      <c r="S931" s="150"/>
      <c r="T931" s="126">
        <f t="shared" ref="T931" si="190">J931*S931*I931/1000</f>
        <v>0</v>
      </c>
      <c r="U931" s="150" t="s">
        <v>237</v>
      </c>
    </row>
    <row r="932" spans="1:21" ht="15.6">
      <c r="A932" s="37"/>
      <c r="B932" s="264" t="s">
        <v>231</v>
      </c>
      <c r="C932" s="37"/>
      <c r="D932" s="37"/>
      <c r="E932" s="37"/>
      <c r="F932" s="37"/>
      <c r="G932" s="37" t="s">
        <v>21</v>
      </c>
      <c r="H932" s="261" t="s">
        <v>177</v>
      </c>
      <c r="I932" s="382">
        <v>27.3</v>
      </c>
      <c r="J932" s="262">
        <v>6.8</v>
      </c>
      <c r="K932" s="263">
        <v>68</v>
      </c>
      <c r="L932" s="130">
        <f>(I932*J932*K932/1000)</f>
        <v>12.623519999999999</v>
      </c>
      <c r="M932" s="123"/>
      <c r="N932" s="123"/>
      <c r="O932" s="123">
        <f>6+7+2+9</f>
        <v>24</v>
      </c>
      <c r="P932" s="262">
        <f t="shared" si="189"/>
        <v>4.4553599999999998</v>
      </c>
      <c r="Q932" s="1051"/>
      <c r="R932" s="1051"/>
      <c r="S932" s="150">
        <v>5</v>
      </c>
      <c r="T932" s="126">
        <f>J932*S932*I932/1000</f>
        <v>0.92820000000000003</v>
      </c>
    </row>
    <row r="933" spans="1:21" ht="15.6">
      <c r="A933" s="37"/>
      <c r="B933" s="37"/>
      <c r="C933" s="37"/>
      <c r="D933" s="37"/>
      <c r="E933" s="37"/>
      <c r="F933" s="37"/>
      <c r="G933" s="37" t="s">
        <v>21</v>
      </c>
      <c r="H933" s="261" t="s">
        <v>177</v>
      </c>
      <c r="I933" s="382">
        <v>27.3</v>
      </c>
      <c r="J933" s="262">
        <v>7.3</v>
      </c>
      <c r="K933" s="263">
        <v>8</v>
      </c>
      <c r="L933" s="130">
        <f>(I933*J933*K933/1000)</f>
        <v>1.59432</v>
      </c>
      <c r="M933" s="123"/>
      <c r="N933" s="123"/>
      <c r="O933" s="123">
        <v>4</v>
      </c>
      <c r="P933" s="262">
        <f t="shared" si="189"/>
        <v>0.79715999999999998</v>
      </c>
      <c r="Q933" s="1051"/>
      <c r="R933" s="1051"/>
      <c r="S933" s="150">
        <v>4</v>
      </c>
      <c r="T933" s="126">
        <f t="shared" ref="T933:T934" si="191">J933*S933*I933/1000</f>
        <v>0.79715999999999998</v>
      </c>
    </row>
    <row r="934" spans="1:21" ht="15.6">
      <c r="A934" s="37"/>
      <c r="B934" s="37"/>
      <c r="C934" s="37"/>
      <c r="D934" s="37"/>
      <c r="E934" s="37"/>
      <c r="F934" s="37"/>
      <c r="G934" s="37" t="s">
        <v>21</v>
      </c>
      <c r="H934" s="261" t="s">
        <v>177</v>
      </c>
      <c r="I934" s="382">
        <v>27.3</v>
      </c>
      <c r="J934" s="262">
        <v>11.4</v>
      </c>
      <c r="K934" s="263">
        <v>29</v>
      </c>
      <c r="L934" s="130">
        <f>(I934*J934*K934/1000)</f>
        <v>9.0253800000000002</v>
      </c>
      <c r="M934" s="123"/>
      <c r="N934" s="123"/>
      <c r="O934" s="123">
        <f>12+1</f>
        <v>13</v>
      </c>
      <c r="P934" s="262">
        <f>J934*O934*I934/1000</f>
        <v>4.0458600000000002</v>
      </c>
      <c r="Q934" s="1051"/>
      <c r="R934" s="1051"/>
      <c r="S934" s="150">
        <v>9</v>
      </c>
      <c r="T934" s="126">
        <f t="shared" si="191"/>
        <v>2.8009800000000005</v>
      </c>
    </row>
    <row r="935" spans="1:21" ht="15.6">
      <c r="A935" s="37"/>
      <c r="B935" s="37"/>
      <c r="C935" s="37"/>
      <c r="D935" s="37"/>
      <c r="E935" s="37"/>
      <c r="F935" s="37"/>
      <c r="G935" s="37"/>
      <c r="H935" s="37"/>
      <c r="I935" s="382"/>
      <c r="J935" s="254"/>
      <c r="K935" s="265">
        <f>SUM(K931:K934)</f>
        <v>165</v>
      </c>
      <c r="L935" s="255">
        <f>SUM(L931:L934)</f>
        <v>34.054020000000001</v>
      </c>
      <c r="M935" s="123"/>
      <c r="N935" s="123"/>
      <c r="O935" s="265">
        <f>SUM(O931:O934)</f>
        <v>53</v>
      </c>
      <c r="P935" s="254">
        <f>SUM(P931:P934)</f>
        <v>11.460539999999998</v>
      </c>
      <c r="Q935" s="254"/>
      <c r="R935" s="254"/>
      <c r="S935" s="265">
        <f>SUM(S931:S934)</f>
        <v>18</v>
      </c>
      <c r="T935" s="254">
        <f>SUM(T931:T934)</f>
        <v>4.5263400000000003</v>
      </c>
    </row>
    <row r="936" spans="1:21" ht="15.6">
      <c r="A936" s="37"/>
      <c r="B936" s="37"/>
      <c r="C936" s="37"/>
      <c r="D936" s="37"/>
      <c r="E936" s="37"/>
      <c r="F936" s="37"/>
      <c r="G936" s="37"/>
      <c r="H936" s="37"/>
      <c r="I936" s="382"/>
      <c r="J936" s="254"/>
      <c r="K936" s="265"/>
      <c r="L936" s="255"/>
      <c r="M936" s="123"/>
      <c r="N936" s="123"/>
      <c r="O936" s="123"/>
      <c r="P936" s="123"/>
      <c r="Q936" s="1052"/>
      <c r="R936" s="1052"/>
      <c r="S936" s="150"/>
    </row>
    <row r="937" spans="1:21" ht="15.6">
      <c r="A937" s="21" t="s">
        <v>174</v>
      </c>
      <c r="B937" s="21" t="s">
        <v>230</v>
      </c>
      <c r="C937" s="21" t="s">
        <v>19</v>
      </c>
      <c r="D937" s="21" t="s">
        <v>20</v>
      </c>
      <c r="E937" s="21" t="s">
        <v>51</v>
      </c>
      <c r="F937" s="22">
        <v>16</v>
      </c>
      <c r="G937" s="123" t="s">
        <v>21</v>
      </c>
      <c r="H937" s="146" t="s">
        <v>177</v>
      </c>
      <c r="I937" s="252">
        <v>27.3</v>
      </c>
      <c r="J937" s="262">
        <v>6.6</v>
      </c>
      <c r="K937" s="266">
        <v>16</v>
      </c>
      <c r="L937" s="130">
        <f>(I937*J937*K937/1000)</f>
        <v>2.8828800000000001</v>
      </c>
      <c r="M937" s="123"/>
      <c r="N937" s="123"/>
      <c r="O937" s="123">
        <f>7+6</f>
        <v>13</v>
      </c>
      <c r="P937" s="262">
        <f t="shared" ref="P937:P938" si="192">J937*O937*I937/1000</f>
        <v>2.3423400000000001</v>
      </c>
      <c r="Q937" s="1051"/>
      <c r="R937" s="1051"/>
      <c r="S937" s="150" t="s">
        <v>237</v>
      </c>
    </row>
    <row r="938" spans="1:21" ht="15.6">
      <c r="A938" s="37"/>
      <c r="B938" s="264" t="s">
        <v>207</v>
      </c>
      <c r="C938" s="37"/>
      <c r="D938" s="37"/>
      <c r="E938" s="37"/>
      <c r="F938" s="37"/>
      <c r="G938" s="123" t="s">
        <v>21</v>
      </c>
      <c r="H938" s="123" t="s">
        <v>177</v>
      </c>
      <c r="I938" s="252">
        <v>27.3</v>
      </c>
      <c r="J938" s="262">
        <v>7.2</v>
      </c>
      <c r="K938" s="266">
        <v>30</v>
      </c>
      <c r="L938" s="130">
        <f>(I938*J938*K938/1000)</f>
        <v>5.8967999999999998</v>
      </c>
      <c r="M938" s="123"/>
      <c r="N938" s="123"/>
      <c r="O938" s="123">
        <f>6+5</f>
        <v>11</v>
      </c>
      <c r="P938" s="262">
        <f t="shared" si="192"/>
        <v>2.1621600000000005</v>
      </c>
      <c r="Q938" s="1051"/>
      <c r="R938" s="1051"/>
      <c r="S938" s="150"/>
    </row>
    <row r="939" spans="1:21" ht="15.6">
      <c r="A939" s="37"/>
      <c r="B939" s="37"/>
      <c r="C939" s="37"/>
      <c r="D939" s="37"/>
      <c r="E939" s="37"/>
      <c r="F939" s="37"/>
      <c r="G939" s="123"/>
      <c r="H939" s="123"/>
      <c r="I939" s="252"/>
      <c r="J939" s="262"/>
      <c r="K939" s="266">
        <f>SUM(K937:K938)</f>
        <v>46</v>
      </c>
      <c r="L939" s="308">
        <f>SUM(L937:L938)</f>
        <v>8.779679999999999</v>
      </c>
      <c r="M939" s="123"/>
      <c r="N939" s="123"/>
      <c r="O939" s="266">
        <f>SUM(O937:O938)</f>
        <v>24</v>
      </c>
      <c r="P939" s="262">
        <f>SUM(P937:P938)</f>
        <v>4.5045000000000002</v>
      </c>
      <c r="Q939" s="1051"/>
      <c r="R939" s="1051"/>
      <c r="S939" s="150"/>
    </row>
    <row r="940" spans="1:21" ht="15.6">
      <c r="A940" s="20"/>
      <c r="B940" s="20"/>
      <c r="C940" s="20"/>
      <c r="D940" s="20"/>
      <c r="E940" s="20"/>
      <c r="F940" s="20"/>
      <c r="G940" s="20"/>
      <c r="H940" s="20"/>
      <c r="I940" s="115"/>
      <c r="J940" s="23"/>
      <c r="K940" s="25">
        <f>SUM(K921:K939)/2</f>
        <v>299</v>
      </c>
      <c r="L940" s="128">
        <f>SUM(L921:L939)/2</f>
        <v>63.237719999999996</v>
      </c>
      <c r="M940" s="25">
        <f>SUM(M921:M935)/2</f>
        <v>22</v>
      </c>
      <c r="N940" s="23">
        <f>SUM(N921:N935)/2</f>
        <v>4.9631399999999992</v>
      </c>
      <c r="O940" s="25">
        <f>SUM(O921:O939)/2</f>
        <v>104</v>
      </c>
      <c r="P940" s="23">
        <f>SUM(P921:P939)/2</f>
        <v>21.725339999999999</v>
      </c>
      <c r="Q940" s="134"/>
      <c r="R940" s="134"/>
    </row>
    <row r="941" spans="1:21" ht="15.6">
      <c r="A941" s="20"/>
      <c r="B941" s="20"/>
      <c r="C941" s="20"/>
      <c r="D941" s="20"/>
      <c r="E941" s="20"/>
      <c r="F941" s="20"/>
      <c r="G941" s="20"/>
      <c r="H941" s="20"/>
      <c r="I941" s="115"/>
      <c r="J941" s="23"/>
      <c r="K941" s="154"/>
      <c r="L941" s="128"/>
      <c r="M941" s="25"/>
      <c r="N941" s="23"/>
      <c r="O941" s="65"/>
      <c r="P941" s="65"/>
      <c r="Q941" s="1045"/>
      <c r="R941" s="1045"/>
    </row>
    <row r="942" spans="1:21" ht="15.6">
      <c r="A942" s="21" t="s">
        <v>174</v>
      </c>
      <c r="B942" s="21" t="s">
        <v>230</v>
      </c>
      <c r="C942" s="21" t="s">
        <v>19</v>
      </c>
      <c r="D942" s="21" t="s">
        <v>20</v>
      </c>
      <c r="E942" s="21" t="s">
        <v>57</v>
      </c>
      <c r="F942" s="22">
        <v>16</v>
      </c>
      <c r="G942" s="20" t="s">
        <v>21</v>
      </c>
      <c r="H942" s="177" t="s">
        <v>176</v>
      </c>
      <c r="I942" s="115">
        <v>23</v>
      </c>
      <c r="J942" s="66">
        <v>7.6</v>
      </c>
      <c r="K942" s="239">
        <v>5</v>
      </c>
      <c r="L942" s="130">
        <f>(I942*J942*K942/1000)</f>
        <v>0.87399999999999989</v>
      </c>
      <c r="M942" s="65"/>
      <c r="N942" s="65">
        <f t="shared" ref="N942:N943" si="193">J942*M942*I942/1000</f>
        <v>0</v>
      </c>
      <c r="O942" s="65"/>
      <c r="P942" s="65"/>
      <c r="Q942" s="1045"/>
      <c r="R942" s="1045"/>
      <c r="S942">
        <f>2+3</f>
        <v>5</v>
      </c>
      <c r="T942">
        <f>J942*S942*I942/1000</f>
        <v>0.874</v>
      </c>
      <c r="U942" s="150" t="s">
        <v>265</v>
      </c>
    </row>
    <row r="943" spans="1:21" ht="15.6">
      <c r="A943" s="20"/>
      <c r="B943" s="229" t="s">
        <v>207</v>
      </c>
      <c r="C943" s="20"/>
      <c r="D943" s="20"/>
      <c r="E943" s="20"/>
      <c r="F943" s="20"/>
      <c r="G943" s="20" t="s">
        <v>21</v>
      </c>
      <c r="H943" s="165" t="s">
        <v>176</v>
      </c>
      <c r="I943" s="115">
        <v>23</v>
      </c>
      <c r="J943" s="66">
        <v>8.6999999999999993</v>
      </c>
      <c r="K943" s="239">
        <v>32</v>
      </c>
      <c r="L943" s="130">
        <f>(I943*J943*K943/1000)</f>
        <v>6.4032</v>
      </c>
      <c r="M943" s="65"/>
      <c r="N943" s="65">
        <f t="shared" si="193"/>
        <v>0</v>
      </c>
      <c r="O943" s="65">
        <v>8</v>
      </c>
      <c r="P943" s="66">
        <f t="shared" ref="P943:P944" si="194">J943*O943*I943/1000</f>
        <v>1.6008</v>
      </c>
      <c r="Q943" s="1050"/>
      <c r="R943" s="1050"/>
      <c r="S943">
        <v>7</v>
      </c>
      <c r="T943" s="251">
        <f t="shared" ref="T943:T944" si="195">J943*S943*I943/1000</f>
        <v>1.4006999999999998</v>
      </c>
    </row>
    <row r="944" spans="1:21" ht="15.6">
      <c r="A944" s="20"/>
      <c r="B944" s="20"/>
      <c r="C944" s="20"/>
      <c r="D944" s="20"/>
      <c r="E944" s="20"/>
      <c r="F944" s="20"/>
      <c r="G944" s="20" t="s">
        <v>21</v>
      </c>
      <c r="H944" s="165" t="s">
        <v>176</v>
      </c>
      <c r="I944" s="115">
        <v>23</v>
      </c>
      <c r="J944" s="66">
        <v>9</v>
      </c>
      <c r="K944" s="239">
        <v>6</v>
      </c>
      <c r="L944" s="130">
        <f>(I944*J944*K944/1000)</f>
        <v>1.242</v>
      </c>
      <c r="M944" s="65">
        <f>1+2+1</f>
        <v>4</v>
      </c>
      <c r="N944" s="65">
        <f>J944*M944*I944/1000</f>
        <v>0.82799999999999996</v>
      </c>
      <c r="O944" s="65">
        <v>2</v>
      </c>
      <c r="P944" s="66">
        <f t="shared" si="194"/>
        <v>0.41399999999999998</v>
      </c>
      <c r="Q944" s="1050"/>
      <c r="R944" s="1050"/>
      <c r="S944">
        <v>1</v>
      </c>
      <c r="T944" s="251">
        <f t="shared" si="195"/>
        <v>0.20699999999999999</v>
      </c>
    </row>
    <row r="945" spans="1:21" ht="15.6">
      <c r="A945" s="20"/>
      <c r="B945" s="20"/>
      <c r="C945" s="20"/>
      <c r="D945" s="20"/>
      <c r="E945" s="20"/>
      <c r="F945" s="20"/>
      <c r="G945" s="20" t="s">
        <v>21</v>
      </c>
      <c r="H945" s="165" t="s">
        <v>176</v>
      </c>
      <c r="I945" s="115">
        <v>23</v>
      </c>
      <c r="J945" s="66">
        <v>10</v>
      </c>
      <c r="K945" s="239">
        <v>8</v>
      </c>
      <c r="L945" s="130">
        <f>(I945*J945*K945/1000)</f>
        <v>1.84</v>
      </c>
      <c r="M945" s="65">
        <v>5</v>
      </c>
      <c r="N945" s="65">
        <f t="shared" ref="N945:N946" si="196">J945*M945*I945/1000</f>
        <v>1.1499999999999999</v>
      </c>
      <c r="O945" s="65"/>
      <c r="P945" s="65"/>
      <c r="Q945" s="1045"/>
      <c r="R945" s="1045"/>
    </row>
    <row r="946" spans="1:21" ht="15.6">
      <c r="A946" s="20"/>
      <c r="B946" s="20"/>
      <c r="C946" s="20"/>
      <c r="D946" s="20"/>
      <c r="E946" s="20"/>
      <c r="F946" s="20"/>
      <c r="G946" s="20" t="s">
        <v>21</v>
      </c>
      <c r="H946" s="165" t="s">
        <v>176</v>
      </c>
      <c r="I946" s="115">
        <v>23</v>
      </c>
      <c r="J946" s="66">
        <v>10.199999999999999</v>
      </c>
      <c r="K946" s="239">
        <v>7</v>
      </c>
      <c r="L946" s="130">
        <f>(I946*J946*K946/1000)</f>
        <v>1.6422000000000001</v>
      </c>
      <c r="M946" s="65">
        <f>1+1+4+1</f>
        <v>7</v>
      </c>
      <c r="N946" s="65">
        <f t="shared" si="196"/>
        <v>1.6421999999999999</v>
      </c>
      <c r="O946" s="65"/>
      <c r="P946" s="65"/>
      <c r="Q946" s="1045"/>
      <c r="R946" s="1045"/>
    </row>
    <row r="947" spans="1:21" ht="15.6">
      <c r="A947" s="20"/>
      <c r="B947" s="20"/>
      <c r="C947" s="20"/>
      <c r="D947" s="20"/>
      <c r="E947" s="20"/>
      <c r="F947" s="20"/>
      <c r="G947" s="20"/>
      <c r="H947" s="20"/>
      <c r="I947" s="115"/>
      <c r="J947" s="23"/>
      <c r="K947" s="154">
        <f t="shared" ref="K947:T947" si="197">SUM(K942:K946)</f>
        <v>58</v>
      </c>
      <c r="L947" s="128">
        <f t="shared" si="197"/>
        <v>12.0014</v>
      </c>
      <c r="M947" s="25">
        <f t="shared" si="197"/>
        <v>16</v>
      </c>
      <c r="N947" s="23">
        <f t="shared" si="197"/>
        <v>3.6201999999999996</v>
      </c>
      <c r="O947" s="25">
        <f t="shared" si="197"/>
        <v>10</v>
      </c>
      <c r="P947" s="23">
        <f t="shared" si="197"/>
        <v>2.0148000000000001</v>
      </c>
      <c r="Q947" s="23"/>
      <c r="R947" s="23"/>
      <c r="S947" s="25">
        <f t="shared" si="197"/>
        <v>13</v>
      </c>
      <c r="T947" s="23">
        <f t="shared" si="197"/>
        <v>2.4816999999999996</v>
      </c>
    </row>
    <row r="948" spans="1:21" ht="15.6">
      <c r="A948" s="65"/>
      <c r="B948" s="65"/>
      <c r="C948" s="65"/>
      <c r="D948" s="65"/>
      <c r="E948" s="65"/>
      <c r="F948" s="65"/>
      <c r="G948" s="65"/>
      <c r="H948" s="65"/>
      <c r="I948" s="303"/>
      <c r="J948" s="65"/>
      <c r="K948" s="212"/>
      <c r="L948" s="303"/>
      <c r="M948" s="65"/>
      <c r="N948" s="65"/>
      <c r="O948" s="65"/>
      <c r="P948" s="65"/>
      <c r="Q948" s="1045"/>
      <c r="R948" s="1045"/>
    </row>
    <row r="949" spans="1:21" ht="15.6">
      <c r="A949" s="21" t="s">
        <v>174</v>
      </c>
      <c r="B949" s="21" t="s">
        <v>224</v>
      </c>
      <c r="C949" s="21" t="s">
        <v>19</v>
      </c>
      <c r="D949" s="21" t="s">
        <v>20</v>
      </c>
      <c r="E949" s="21" t="s">
        <v>175</v>
      </c>
      <c r="F949" s="22">
        <v>16</v>
      </c>
      <c r="G949" s="20" t="s">
        <v>21</v>
      </c>
      <c r="H949" s="177" t="s">
        <v>176</v>
      </c>
      <c r="I949" s="115">
        <v>23</v>
      </c>
      <c r="J949" s="66">
        <v>11.9</v>
      </c>
      <c r="K949" s="239">
        <v>13</v>
      </c>
      <c r="L949" s="130">
        <f>(I949*J949*K949/1000)</f>
        <v>3.5581</v>
      </c>
      <c r="M949" s="65"/>
      <c r="N949" s="65"/>
      <c r="O949" s="65">
        <v>11</v>
      </c>
      <c r="P949" s="66">
        <f t="shared" ref="P949" si="198">J949*O949*I949/1000</f>
        <v>3.0107000000000004</v>
      </c>
      <c r="Q949" s="1050"/>
      <c r="R949" s="1050"/>
      <c r="S949" s="150" t="s">
        <v>265</v>
      </c>
    </row>
    <row r="950" spans="1:21" ht="15.6">
      <c r="A950" s="20"/>
      <c r="B950" s="229" t="s">
        <v>225</v>
      </c>
      <c r="C950" s="20"/>
      <c r="D950" s="20"/>
      <c r="E950" s="20"/>
      <c r="F950" s="20"/>
      <c r="G950" s="20"/>
      <c r="H950" s="20"/>
      <c r="I950" s="115"/>
      <c r="J950" s="23"/>
      <c r="K950" s="154">
        <f>SUM(K949:K949)</f>
        <v>13</v>
      </c>
      <c r="L950" s="128">
        <f>SUM(L949:L949)</f>
        <v>3.5581</v>
      </c>
      <c r="M950" s="65"/>
      <c r="N950" s="65"/>
      <c r="O950" s="154">
        <f>SUM(O949:O949)</f>
        <v>11</v>
      </c>
      <c r="P950" s="23">
        <f>SUM(P949:P949)</f>
        <v>3.0107000000000004</v>
      </c>
      <c r="Q950" s="134"/>
      <c r="R950" s="134"/>
    </row>
    <row r="951" spans="1:21" ht="15.6">
      <c r="A951" s="65"/>
      <c r="B951" s="65"/>
      <c r="C951" s="65"/>
      <c r="D951" s="65"/>
      <c r="E951" s="65"/>
      <c r="F951" s="65"/>
      <c r="G951" s="65"/>
      <c r="H951" s="65"/>
      <c r="I951" s="303"/>
      <c r="J951" s="65"/>
      <c r="K951" s="212"/>
      <c r="L951" s="303"/>
      <c r="M951" s="65"/>
      <c r="N951" s="65"/>
      <c r="O951" s="65"/>
      <c r="P951" s="65"/>
      <c r="Q951" s="1045"/>
      <c r="R951" s="1045"/>
    </row>
    <row r="952" spans="1:21" ht="15.6">
      <c r="A952" s="21" t="s">
        <v>174</v>
      </c>
      <c r="B952" s="21" t="s">
        <v>224</v>
      </c>
      <c r="C952" s="21" t="s">
        <v>19</v>
      </c>
      <c r="D952" s="21" t="s">
        <v>20</v>
      </c>
      <c r="E952" s="21" t="s">
        <v>51</v>
      </c>
      <c r="F952" s="22">
        <v>16</v>
      </c>
      <c r="G952" s="37" t="s">
        <v>21</v>
      </c>
      <c r="H952" s="177" t="s">
        <v>176</v>
      </c>
      <c r="I952" s="382">
        <v>23</v>
      </c>
      <c r="J952" s="262">
        <v>7.3</v>
      </c>
      <c r="K952" s="263">
        <v>59</v>
      </c>
      <c r="L952" s="130">
        <f>(I952*J952*K952/1000)</f>
        <v>9.9061000000000003</v>
      </c>
      <c r="M952" s="123"/>
      <c r="N952" s="123"/>
      <c r="O952" s="123">
        <v>15</v>
      </c>
      <c r="P952" s="66">
        <f t="shared" ref="P952" si="199">J952*O952*I952/1000</f>
        <v>2.5185</v>
      </c>
      <c r="Q952" s="1050"/>
      <c r="R952" s="1050"/>
      <c r="S952" s="150">
        <v>18</v>
      </c>
      <c r="T952" s="251">
        <f t="shared" ref="T952:T953" si="200">J952*S952*I952/1000</f>
        <v>3.0222000000000002</v>
      </c>
      <c r="U952" s="150" t="s">
        <v>265</v>
      </c>
    </row>
    <row r="953" spans="1:21" ht="15.6">
      <c r="A953" s="37"/>
      <c r="B953" s="264" t="s">
        <v>231</v>
      </c>
      <c r="C953" s="37"/>
      <c r="D953" s="37"/>
      <c r="E953" s="37"/>
      <c r="F953" s="37"/>
      <c r="G953" s="37" t="s">
        <v>21</v>
      </c>
      <c r="H953" s="261" t="s">
        <v>176</v>
      </c>
      <c r="I953" s="382">
        <v>23</v>
      </c>
      <c r="J953" s="262">
        <v>10.5</v>
      </c>
      <c r="K953" s="263">
        <v>15</v>
      </c>
      <c r="L953" s="130">
        <f>(I953*J953*K953/1000)</f>
        <v>3.6225000000000001</v>
      </c>
      <c r="M953" s="123"/>
      <c r="N953" s="123"/>
      <c r="O953" s="123"/>
      <c r="P953" s="123"/>
      <c r="Q953" s="1052"/>
      <c r="R953" s="1052"/>
      <c r="S953" s="150">
        <v>1</v>
      </c>
      <c r="T953" s="251">
        <f t="shared" si="200"/>
        <v>0.24149999999999999</v>
      </c>
    </row>
    <row r="954" spans="1:21" ht="15.6">
      <c r="A954" s="37"/>
      <c r="B954" s="37"/>
      <c r="C954" s="37"/>
      <c r="D954" s="37"/>
      <c r="E954" s="37"/>
      <c r="F954" s="37"/>
      <c r="G954" s="37"/>
      <c r="H954" s="37"/>
      <c r="I954" s="382"/>
      <c r="J954" s="254"/>
      <c r="K954" s="265">
        <f>SUM(K952:K953)</f>
        <v>74</v>
      </c>
      <c r="L954" s="255">
        <f>SUM(L952:L953)</f>
        <v>13.528600000000001</v>
      </c>
      <c r="M954" s="123"/>
      <c r="N954" s="123"/>
      <c r="O954" s="265">
        <f>SUM(O952:O953)</f>
        <v>15</v>
      </c>
      <c r="P954" s="254">
        <f>SUM(P952:P953)</f>
        <v>2.5185</v>
      </c>
      <c r="Q954" s="288"/>
      <c r="R954" s="288"/>
      <c r="S954" s="150"/>
    </row>
    <row r="955" spans="1:21" ht="15.6">
      <c r="A955" s="20"/>
      <c r="B955" s="20"/>
      <c r="C955" s="20"/>
      <c r="D955" s="20"/>
      <c r="E955" s="20"/>
      <c r="F955" s="20"/>
      <c r="G955" s="20"/>
      <c r="H955" s="20"/>
      <c r="I955" s="115"/>
      <c r="J955" s="23"/>
      <c r="K955" s="154">
        <f t="shared" ref="K955:P955" si="201">SUM(K942:K954)/2</f>
        <v>145</v>
      </c>
      <c r="L955" s="128">
        <f t="shared" si="201"/>
        <v>29.088100000000004</v>
      </c>
      <c r="M955" s="25">
        <f t="shared" si="201"/>
        <v>16</v>
      </c>
      <c r="N955" s="23">
        <f t="shared" si="201"/>
        <v>3.6201999999999996</v>
      </c>
      <c r="O955" s="25">
        <f t="shared" si="201"/>
        <v>36</v>
      </c>
      <c r="P955" s="23">
        <f t="shared" si="201"/>
        <v>7.5439999999999996</v>
      </c>
      <c r="Q955" s="134"/>
      <c r="R955" s="134"/>
    </row>
    <row r="956" spans="1:21" ht="15.6">
      <c r="A956" s="20"/>
      <c r="B956" s="20"/>
      <c r="C956" s="20"/>
      <c r="D956" s="20"/>
      <c r="E956" s="20"/>
      <c r="F956" s="20"/>
      <c r="G956" s="20"/>
      <c r="H956" s="20"/>
      <c r="I956" s="115"/>
      <c r="J956" s="23"/>
      <c r="K956" s="154"/>
      <c r="L956" s="128"/>
      <c r="M956" s="65"/>
      <c r="N956" s="65"/>
      <c r="O956" s="65"/>
      <c r="P956" s="65"/>
      <c r="Q956" s="1045"/>
      <c r="R956" s="1045"/>
    </row>
    <row r="957" spans="1:21" ht="15.6">
      <c r="A957" s="65"/>
      <c r="B957" s="65"/>
      <c r="C957" s="65"/>
      <c r="D957" s="65"/>
      <c r="E957" s="65"/>
      <c r="F957" s="65"/>
      <c r="G957" s="65"/>
      <c r="H957" s="65"/>
      <c r="I957" s="303"/>
      <c r="J957" s="65"/>
      <c r="K957" s="212"/>
      <c r="L957" s="303"/>
      <c r="M957" s="65"/>
      <c r="N957" s="65"/>
      <c r="O957" s="65"/>
      <c r="P957" s="65"/>
      <c r="Q957" s="1045"/>
      <c r="R957" s="1045"/>
    </row>
    <row r="958" spans="1:21" ht="15.6">
      <c r="A958" s="21" t="s">
        <v>174</v>
      </c>
      <c r="B958" s="21" t="s">
        <v>230</v>
      </c>
      <c r="C958" s="21" t="s">
        <v>19</v>
      </c>
      <c r="D958" s="21" t="s">
        <v>20</v>
      </c>
      <c r="E958" s="21" t="s">
        <v>57</v>
      </c>
      <c r="F958" s="22">
        <v>16</v>
      </c>
      <c r="G958" s="20" t="s">
        <v>21</v>
      </c>
      <c r="H958" s="177" t="s">
        <v>182</v>
      </c>
      <c r="I958" s="115">
        <v>44.2</v>
      </c>
      <c r="J958" s="66">
        <v>5.7</v>
      </c>
      <c r="K958" s="239">
        <v>4</v>
      </c>
      <c r="L958" s="130">
        <f>(I958*J958*K958/1000)</f>
        <v>1.0077600000000002</v>
      </c>
      <c r="M958" s="65">
        <f>1+3</f>
        <v>4</v>
      </c>
      <c r="N958" s="66">
        <f t="shared" ref="N958:N961" si="202">J958*M958*I958/1000</f>
        <v>1.0077600000000002</v>
      </c>
      <c r="O958" s="65"/>
      <c r="P958" s="66">
        <f t="shared" ref="P958:P961" si="203">J958*O958*I958/1000</f>
        <v>0</v>
      </c>
      <c r="Q958" s="1050"/>
      <c r="R958" s="1050"/>
      <c r="S958" s="150" t="s">
        <v>265</v>
      </c>
    </row>
    <row r="959" spans="1:21" ht="15.6">
      <c r="A959" s="20"/>
      <c r="B959" s="229" t="s">
        <v>207</v>
      </c>
      <c r="C959" s="20"/>
      <c r="D959" s="20"/>
      <c r="E959" s="20"/>
      <c r="F959" s="20"/>
      <c r="G959" s="20" t="s">
        <v>21</v>
      </c>
      <c r="H959" s="165" t="s">
        <v>182</v>
      </c>
      <c r="I959" s="115">
        <v>44.2</v>
      </c>
      <c r="J959" s="66">
        <v>6.3</v>
      </c>
      <c r="K959" s="239">
        <v>12</v>
      </c>
      <c r="L959" s="130">
        <f>(I959*J959*K959/1000)</f>
        <v>3.3415200000000005</v>
      </c>
      <c r="M959" s="65">
        <f>3+2+1+1+1+4</f>
        <v>12</v>
      </c>
      <c r="N959" s="66">
        <f t="shared" si="202"/>
        <v>3.34152</v>
      </c>
      <c r="O959" s="65"/>
      <c r="P959" s="66">
        <f t="shared" si="203"/>
        <v>0</v>
      </c>
      <c r="Q959" s="1050"/>
      <c r="R959" s="1050"/>
    </row>
    <row r="960" spans="1:21" ht="15.6">
      <c r="A960" s="20"/>
      <c r="B960" s="20"/>
      <c r="C960" s="20"/>
      <c r="D960" s="20"/>
      <c r="E960" s="20"/>
      <c r="F960" s="20"/>
      <c r="G960" s="20" t="s">
        <v>21</v>
      </c>
      <c r="H960" s="165" t="s">
        <v>182</v>
      </c>
      <c r="I960" s="115">
        <v>44.2</v>
      </c>
      <c r="J960" s="66">
        <v>9.1</v>
      </c>
      <c r="K960" s="239">
        <v>6</v>
      </c>
      <c r="L960" s="130">
        <f>(I960*J960*K960/1000)</f>
        <v>2.4133200000000001</v>
      </c>
      <c r="M960" s="65">
        <f>2+1+3</f>
        <v>6</v>
      </c>
      <c r="N960" s="66">
        <f t="shared" si="202"/>
        <v>2.4133199999999997</v>
      </c>
      <c r="O960" s="65">
        <f>4+1</f>
        <v>5</v>
      </c>
      <c r="P960" s="66">
        <f t="shared" si="203"/>
        <v>2.0111000000000003</v>
      </c>
      <c r="Q960" s="1050"/>
      <c r="R960" s="1050"/>
    </row>
    <row r="961" spans="1:19" ht="15.6">
      <c r="A961" s="20"/>
      <c r="B961" s="20"/>
      <c r="C961" s="20"/>
      <c r="D961" s="20"/>
      <c r="E961" s="20"/>
      <c r="F961" s="20"/>
      <c r="G961" s="20" t="s">
        <v>21</v>
      </c>
      <c r="H961" s="165" t="s">
        <v>182</v>
      </c>
      <c r="I961" s="115">
        <v>44.2</v>
      </c>
      <c r="J961" s="66">
        <v>10.5</v>
      </c>
      <c r="K961" s="239">
        <v>5</v>
      </c>
      <c r="L961" s="130">
        <f>(I961*J961*K961/1000)</f>
        <v>2.3205</v>
      </c>
      <c r="M961" s="65">
        <f>1+4</f>
        <v>5</v>
      </c>
      <c r="N961" s="66">
        <f t="shared" si="202"/>
        <v>2.3205</v>
      </c>
      <c r="O961" s="65">
        <v>1</v>
      </c>
      <c r="P961" s="66">
        <f t="shared" si="203"/>
        <v>0.46410000000000001</v>
      </c>
      <c r="Q961" s="66"/>
      <c r="R961" s="66"/>
      <c r="S961" s="65" t="s">
        <v>196</v>
      </c>
    </row>
    <row r="962" spans="1:19" ht="15.6">
      <c r="A962" s="65"/>
      <c r="B962" s="65"/>
      <c r="C962" s="65"/>
      <c r="D962" s="65"/>
      <c r="E962" s="65"/>
      <c r="F962" s="65"/>
      <c r="G962" s="65"/>
      <c r="H962" s="65"/>
      <c r="I962" s="303"/>
      <c r="J962" s="65"/>
      <c r="K962" s="212">
        <f t="shared" ref="K962" si="204">SUM(K958:K961)</f>
        <v>27</v>
      </c>
      <c r="L962" s="260">
        <f>SUM(L958:L961)</f>
        <v>9.0831000000000017</v>
      </c>
      <c r="M962" s="65">
        <f>SUM(M958:M961)</f>
        <v>27</v>
      </c>
      <c r="N962" s="66">
        <f>SUM(N958:N961)</f>
        <v>9.0831</v>
      </c>
      <c r="O962" s="65">
        <f>SUM(O958:O961)</f>
        <v>6</v>
      </c>
      <c r="P962" s="66">
        <f>SUM(P958:P961)</f>
        <v>2.4752000000000005</v>
      </c>
      <c r="Q962" s="1050"/>
      <c r="R962" s="1050"/>
    </row>
    <row r="963" spans="1:19" ht="15.6">
      <c r="A963" s="65"/>
      <c r="B963" s="65"/>
      <c r="C963" s="65"/>
      <c r="D963" s="65"/>
      <c r="E963" s="65"/>
      <c r="F963" s="65"/>
      <c r="G963" s="65"/>
      <c r="H963" s="65"/>
      <c r="I963" s="303"/>
      <c r="J963" s="65"/>
      <c r="K963" s="212"/>
      <c r="L963" s="303"/>
      <c r="M963" s="65"/>
      <c r="N963" s="65"/>
      <c r="O963" s="65"/>
      <c r="P963" s="65"/>
      <c r="Q963" s="1045"/>
      <c r="R963" s="1045"/>
    </row>
    <row r="964" spans="1:19" ht="15.6">
      <c r="A964" s="65"/>
      <c r="B964" s="65"/>
      <c r="C964" s="65"/>
      <c r="D964" s="65"/>
      <c r="E964" s="65"/>
      <c r="F964" s="65"/>
      <c r="G964" s="65"/>
      <c r="H964" s="65"/>
      <c r="I964" s="303"/>
      <c r="J964" s="65"/>
      <c r="K964" s="212"/>
      <c r="L964" s="303"/>
      <c r="M964" s="65"/>
      <c r="N964" s="65"/>
      <c r="O964" s="65"/>
      <c r="P964" s="65"/>
      <c r="Q964" s="1045"/>
      <c r="R964" s="1045"/>
    </row>
    <row r="965" spans="1:19" ht="15.6">
      <c r="A965" s="65"/>
      <c r="B965" s="65"/>
      <c r="C965" s="65"/>
      <c r="D965" s="65"/>
      <c r="E965" s="65"/>
      <c r="F965" s="65"/>
      <c r="G965" s="65"/>
      <c r="H965" s="65"/>
      <c r="I965" s="303"/>
      <c r="J965" s="65"/>
      <c r="K965" s="212"/>
      <c r="L965" s="260">
        <f>+L962+L897+L904+L912+L918+L940+L955</f>
        <v>185.66109999999998</v>
      </c>
      <c r="M965" s="65"/>
      <c r="N965" s="66">
        <f>+N962+N897+N904+N912+N918+N940+N955</f>
        <v>32.194509999999994</v>
      </c>
      <c r="O965" s="65"/>
      <c r="P965" s="66">
        <f>+P962+P897+P904+P912+P918+P940+P955</f>
        <v>58.900989999999993</v>
      </c>
      <c r="Q965" s="1050"/>
      <c r="R965" s="1050"/>
    </row>
    <row r="966" spans="1:19">
      <c r="A966" s="10" t="s">
        <v>48</v>
      </c>
      <c r="B966" s="10"/>
      <c r="C966" s="11"/>
      <c r="D966" s="11"/>
      <c r="E966" s="11"/>
      <c r="F966" s="92"/>
      <c r="G966" s="11"/>
      <c r="H966" s="92"/>
      <c r="I966" s="13"/>
      <c r="J966" s="11"/>
      <c r="K966" s="202"/>
      <c r="L966" s="2047" t="s">
        <v>0</v>
      </c>
      <c r="M966" s="2047"/>
      <c r="N966" s="2047"/>
      <c r="O966" s="2048"/>
      <c r="P966" s="2020"/>
      <c r="Q966" s="142"/>
      <c r="R966" s="142"/>
    </row>
    <row r="967" spans="1:19">
      <c r="A967" s="14" t="s">
        <v>1</v>
      </c>
      <c r="B967" s="14"/>
      <c r="C967" s="14"/>
      <c r="D967" s="15" t="s">
        <v>2</v>
      </c>
      <c r="E967" s="15"/>
      <c r="F967" s="16"/>
      <c r="G967" s="16"/>
      <c r="H967" s="16"/>
      <c r="I967" s="17"/>
      <c r="J967" s="16"/>
      <c r="K967" s="203" t="s">
        <v>3</v>
      </c>
      <c r="L967" s="16"/>
      <c r="M967" s="14"/>
      <c r="N967" s="16"/>
      <c r="O967" s="19"/>
      <c r="P967" s="2020"/>
      <c r="Q967" s="142"/>
      <c r="R967" s="142"/>
    </row>
    <row r="968" spans="1:19" ht="15.6">
      <c r="A968" s="164" t="s">
        <v>22</v>
      </c>
      <c r="B968" s="2021" t="s">
        <v>23</v>
      </c>
      <c r="C968" s="2022"/>
      <c r="D968" s="2023"/>
      <c r="E968" s="164" t="s">
        <v>24</v>
      </c>
      <c r="F968" s="2021" t="s">
        <v>25</v>
      </c>
      <c r="G968" s="2023"/>
      <c r="H968" s="2021" t="s">
        <v>26</v>
      </c>
      <c r="I968" s="2022"/>
      <c r="J968" s="2022"/>
      <c r="K968" s="2023"/>
      <c r="L968" s="2024" t="s">
        <v>27</v>
      </c>
      <c r="M968" s="2024"/>
      <c r="N968" s="2024"/>
      <c r="O968" s="2021"/>
      <c r="P968" s="2020"/>
      <c r="Q968" s="142"/>
      <c r="R968" s="142"/>
    </row>
    <row r="969" spans="1:19" ht="15.6">
      <c r="A969" s="38"/>
      <c r="B969" s="2025"/>
      <c r="C969" s="2026"/>
      <c r="D969" s="2027"/>
      <c r="E969" s="26"/>
      <c r="F969" s="2025"/>
      <c r="G969" s="2027"/>
      <c r="H969" s="2025"/>
      <c r="I969" s="2026"/>
      <c r="J969" s="2026"/>
      <c r="K969" s="2027"/>
      <c r="L969" s="2025"/>
      <c r="M969" s="2026"/>
      <c r="N969" s="2026"/>
      <c r="O969" s="2026"/>
      <c r="P969" s="2020"/>
      <c r="Q969" s="142"/>
      <c r="R969" s="142"/>
    </row>
    <row r="970" spans="1:19" ht="15.6">
      <c r="A970" s="38"/>
      <c r="B970" s="158"/>
      <c r="C970" s="159"/>
      <c r="D970" s="160"/>
      <c r="E970" s="26"/>
      <c r="F970" s="158"/>
      <c r="G970" s="160"/>
      <c r="H970" s="158"/>
      <c r="I970" s="1856"/>
      <c r="J970" s="159"/>
      <c r="K970" s="204"/>
      <c r="L970" s="279"/>
      <c r="M970" s="159"/>
      <c r="N970" s="159"/>
      <c r="O970" s="159"/>
      <c r="P970" s="2020"/>
      <c r="Q970" s="142"/>
      <c r="R970" s="142"/>
    </row>
    <row r="971" spans="1:19" ht="15.6">
      <c r="A971" s="38" t="s">
        <v>28</v>
      </c>
      <c r="B971" s="2025" t="s">
        <v>183</v>
      </c>
      <c r="C971" s="2026"/>
      <c r="D971" s="2027"/>
      <c r="E971" s="26">
        <f>+L897-3.477</f>
        <v>48.111649999999997</v>
      </c>
      <c r="F971" s="2025">
        <v>16</v>
      </c>
      <c r="G971" s="2027"/>
      <c r="H971" s="2025" t="s">
        <v>49</v>
      </c>
      <c r="I971" s="2026"/>
      <c r="J971" s="2026"/>
      <c r="K971" s="2027"/>
      <c r="L971" s="2025" t="s">
        <v>190</v>
      </c>
      <c r="M971" s="2026"/>
      <c r="N971" s="2026"/>
      <c r="O971" s="2026"/>
      <c r="P971" s="2020"/>
      <c r="Q971" s="142"/>
      <c r="R971" s="142"/>
    </row>
    <row r="972" spans="1:19" ht="15.6">
      <c r="A972" s="38" t="s">
        <v>29</v>
      </c>
      <c r="B972" s="2025" t="s">
        <v>184</v>
      </c>
      <c r="C972" s="2026"/>
      <c r="D972" s="2027"/>
      <c r="E972" s="26">
        <f>+L904-3.805</f>
        <v>5.0084499999999998</v>
      </c>
      <c r="F972" s="2025">
        <v>16</v>
      </c>
      <c r="G972" s="2027"/>
      <c r="H972" s="2025" t="s">
        <v>49</v>
      </c>
      <c r="I972" s="2026"/>
      <c r="J972" s="2026"/>
      <c r="K972" s="2027"/>
      <c r="L972" s="2025" t="s">
        <v>190</v>
      </c>
      <c r="M972" s="2026"/>
      <c r="N972" s="2026"/>
      <c r="O972" s="2026"/>
      <c r="P972" s="2020"/>
      <c r="Q972" s="142"/>
      <c r="R972" s="142"/>
    </row>
    <row r="973" spans="1:19" ht="15.6">
      <c r="A973" s="38" t="s">
        <v>30</v>
      </c>
      <c r="B973" s="2025" t="s">
        <v>185</v>
      </c>
      <c r="C973" s="2026"/>
      <c r="D973" s="2027"/>
      <c r="E973" s="26">
        <f>+L912-3.934</f>
        <v>6.6251199999999999</v>
      </c>
      <c r="F973" s="2025">
        <v>16</v>
      </c>
      <c r="G973" s="2027"/>
      <c r="H973" s="2025" t="s">
        <v>49</v>
      </c>
      <c r="I973" s="2026"/>
      <c r="J973" s="2026"/>
      <c r="K973" s="2027"/>
      <c r="L973" s="2025" t="s">
        <v>190</v>
      </c>
      <c r="M973" s="2026"/>
      <c r="N973" s="2026"/>
      <c r="O973" s="2026"/>
      <c r="P973" s="2020"/>
      <c r="Q973" s="142"/>
      <c r="R973" s="142"/>
    </row>
    <row r="974" spans="1:19" ht="15.6">
      <c r="A974" s="38" t="s">
        <v>46</v>
      </c>
      <c r="B974" s="2025" t="s">
        <v>186</v>
      </c>
      <c r="C974" s="2026"/>
      <c r="D974" s="2027"/>
      <c r="E974" s="26">
        <f>+L918-3.312</f>
        <v>9.9789600000000025</v>
      </c>
      <c r="F974" s="2025">
        <v>16</v>
      </c>
      <c r="G974" s="2027"/>
      <c r="H974" s="2025" t="s">
        <v>49</v>
      </c>
      <c r="I974" s="2026"/>
      <c r="J974" s="2026"/>
      <c r="K974" s="2027"/>
      <c r="L974" s="2025" t="s">
        <v>190</v>
      </c>
      <c r="M974" s="2026"/>
      <c r="N974" s="2026"/>
      <c r="O974" s="2026"/>
      <c r="P974" s="2020"/>
      <c r="Q974" s="142"/>
      <c r="R974" s="142"/>
    </row>
    <row r="975" spans="1:19" ht="15.6">
      <c r="A975" s="38" t="s">
        <v>58</v>
      </c>
      <c r="B975" s="2025" t="s">
        <v>187</v>
      </c>
      <c r="C975" s="2026"/>
      <c r="D975" s="2027"/>
      <c r="E975" s="26">
        <f>+L940-5.768</f>
        <v>57.469719999999995</v>
      </c>
      <c r="F975" s="2025">
        <v>16</v>
      </c>
      <c r="G975" s="2027"/>
      <c r="H975" s="2025" t="s">
        <v>49</v>
      </c>
      <c r="I975" s="2026"/>
      <c r="J975" s="2026"/>
      <c r="K975" s="2027"/>
      <c r="L975" s="2025" t="s">
        <v>191</v>
      </c>
      <c r="M975" s="2026"/>
      <c r="N975" s="2026"/>
      <c r="O975" s="2026"/>
      <c r="P975" s="2020"/>
      <c r="Q975" s="142"/>
      <c r="R975" s="142"/>
    </row>
    <row r="976" spans="1:19" ht="15.6">
      <c r="A976" s="38" t="s">
        <v>163</v>
      </c>
      <c r="B976" s="2025" t="s">
        <v>188</v>
      </c>
      <c r="C976" s="2026"/>
      <c r="D976" s="2027"/>
      <c r="E976" s="26">
        <f>+L955-3.39</f>
        <v>25.698100000000004</v>
      </c>
      <c r="F976" s="2025">
        <v>16</v>
      </c>
      <c r="G976" s="2027"/>
      <c r="H976" s="2025" t="s">
        <v>49</v>
      </c>
      <c r="I976" s="2026"/>
      <c r="J976" s="2026"/>
      <c r="K976" s="2027"/>
      <c r="L976" s="2025" t="s">
        <v>191</v>
      </c>
      <c r="M976" s="2026"/>
      <c r="N976" s="2026"/>
      <c r="O976" s="2026"/>
      <c r="P976" s="2020"/>
      <c r="Q976" s="142"/>
      <c r="R976" s="142"/>
    </row>
    <row r="977" spans="1:18" ht="15.6">
      <c r="A977" s="38"/>
      <c r="B977" s="2025"/>
      <c r="C977" s="2026"/>
      <c r="D977" s="2027"/>
      <c r="E977" s="26"/>
      <c r="F977" s="2025"/>
      <c r="G977" s="2027"/>
      <c r="H977" s="2025"/>
      <c r="I977" s="2026"/>
      <c r="J977" s="2026"/>
      <c r="K977" s="2027"/>
      <c r="L977" s="2025"/>
      <c r="M977" s="2026"/>
      <c r="N977" s="2026"/>
      <c r="O977" s="2026"/>
      <c r="P977" s="2020"/>
      <c r="Q977" s="142"/>
      <c r="R977" s="142"/>
    </row>
    <row r="978" spans="1:18" ht="15.6">
      <c r="A978" s="38"/>
      <c r="B978" s="2025"/>
      <c r="C978" s="2026"/>
      <c r="D978" s="2027"/>
      <c r="E978" s="26"/>
      <c r="F978" s="2025"/>
      <c r="G978" s="2027"/>
      <c r="H978" s="2025"/>
      <c r="I978" s="2026"/>
      <c r="J978" s="2026"/>
      <c r="K978" s="2027"/>
      <c r="L978" s="2025"/>
      <c r="M978" s="2026"/>
      <c r="N978" s="2026"/>
      <c r="O978" s="2026"/>
      <c r="P978" s="2020"/>
      <c r="Q978" s="142"/>
      <c r="R978" s="142"/>
    </row>
    <row r="979" spans="1:18" ht="16.2" thickBot="1">
      <c r="A979" s="38"/>
      <c r="B979" s="158"/>
      <c r="C979" s="159"/>
      <c r="D979" s="159"/>
      <c r="E979" s="26"/>
      <c r="F979" s="159"/>
      <c r="G979" s="160"/>
      <c r="H979" s="158"/>
      <c r="I979" s="1856"/>
      <c r="J979" s="159"/>
      <c r="K979" s="204"/>
      <c r="L979" s="39"/>
      <c r="M979" s="40"/>
      <c r="N979" s="40"/>
      <c r="O979" s="40"/>
      <c r="P979" s="2020"/>
      <c r="Q979" s="142"/>
      <c r="R979" s="142"/>
    </row>
    <row r="980" spans="1:18" ht="15.6">
      <c r="A980" s="41"/>
      <c r="B980" s="42"/>
      <c r="C980" s="43"/>
      <c r="D980" s="43"/>
      <c r="E980" s="2028">
        <f>SUM(E969:E979)</f>
        <v>152.892</v>
      </c>
      <c r="F980" s="44"/>
      <c r="G980" s="45"/>
      <c r="H980" s="46"/>
      <c r="I980" s="1858"/>
      <c r="J980" s="43"/>
      <c r="K980" s="205"/>
      <c r="L980" s="46"/>
      <c r="M980" s="43"/>
      <c r="N980" s="44"/>
      <c r="O980" s="43"/>
      <c r="P980" s="2020"/>
      <c r="Q980" s="142"/>
      <c r="R980" s="142"/>
    </row>
    <row r="981" spans="1:18" ht="16.2" thickBot="1">
      <c r="A981" s="47"/>
      <c r="B981" s="48"/>
      <c r="C981" s="49"/>
      <c r="D981" s="49"/>
      <c r="E981" s="2029"/>
      <c r="F981" s="50"/>
      <c r="G981" s="51"/>
      <c r="H981" s="52"/>
      <c r="I981" s="1860"/>
      <c r="J981" s="49"/>
      <c r="K981" s="206"/>
      <c r="L981" s="52"/>
      <c r="M981" s="49"/>
      <c r="N981" s="50"/>
      <c r="O981" s="49"/>
      <c r="P981" s="2020"/>
      <c r="Q981" s="142"/>
      <c r="R981" s="142"/>
    </row>
    <row r="982" spans="1:18" ht="15.6">
      <c r="A982" s="53" t="s">
        <v>31</v>
      </c>
      <c r="B982" s="43"/>
      <c r="C982" s="43"/>
      <c r="D982" s="43"/>
      <c r="E982" s="43"/>
      <c r="F982" s="44"/>
      <c r="G982" s="43"/>
      <c r="H982" s="44"/>
      <c r="I982" s="1858"/>
      <c r="J982" s="43"/>
      <c r="K982" s="207"/>
      <c r="L982" s="44"/>
      <c r="M982" s="43"/>
      <c r="N982" s="44"/>
      <c r="O982" s="43"/>
      <c r="P982" s="2020"/>
      <c r="Q982" s="142"/>
      <c r="R982" s="142"/>
    </row>
    <row r="983" spans="1:18" ht="15.6">
      <c r="A983" s="54"/>
      <c r="B983" s="55"/>
      <c r="C983" s="55"/>
      <c r="D983" s="55"/>
      <c r="E983" s="55"/>
      <c r="F983" s="162"/>
      <c r="G983" s="55"/>
      <c r="H983" s="162"/>
      <c r="I983" s="1859"/>
      <c r="J983" s="55"/>
      <c r="K983" s="208"/>
      <c r="L983" s="283"/>
      <c r="M983" s="55"/>
      <c r="N983" s="162"/>
      <c r="O983" s="55"/>
      <c r="P983" s="2020"/>
      <c r="Q983" s="142"/>
      <c r="R983" s="142"/>
    </row>
    <row r="984" spans="1:18" ht="16.2" thickBot="1">
      <c r="A984" s="2030" t="s">
        <v>32</v>
      </c>
      <c r="B984" s="2031"/>
      <c r="C984" s="2032" t="s">
        <v>33</v>
      </c>
      <c r="D984" s="2033"/>
      <c r="E984" s="57" t="s">
        <v>34</v>
      </c>
      <c r="F984" s="57" t="s">
        <v>35</v>
      </c>
      <c r="G984" s="2034" t="s">
        <v>36</v>
      </c>
      <c r="H984" s="2035"/>
      <c r="I984" s="2035"/>
      <c r="J984" s="2035"/>
      <c r="K984" s="2035"/>
      <c r="L984" s="2035"/>
      <c r="M984" s="2035"/>
      <c r="N984" s="2035"/>
      <c r="O984" s="2035"/>
      <c r="P984" s="2020"/>
      <c r="Q984" s="142"/>
      <c r="R984" s="142"/>
    </row>
    <row r="985" spans="1:18" ht="15.6">
      <c r="A985" s="2036"/>
      <c r="B985" s="2023"/>
      <c r="C985" s="2021"/>
      <c r="D985" s="2023"/>
      <c r="E985" s="164"/>
      <c r="F985" s="163"/>
      <c r="G985" s="2037"/>
      <c r="H985" s="2038"/>
      <c r="I985" s="2038"/>
      <c r="J985" s="2038"/>
      <c r="K985" s="2038"/>
      <c r="L985" s="2038"/>
      <c r="M985" s="2038"/>
      <c r="N985" s="2038"/>
      <c r="O985" s="2038"/>
      <c r="P985" s="2020"/>
      <c r="Q985" s="142"/>
      <c r="R985" s="142"/>
    </row>
    <row r="986" spans="1:18" ht="15.6">
      <c r="A986" s="2043" t="s">
        <v>37</v>
      </c>
      <c r="B986" s="2044"/>
      <c r="C986" s="2021"/>
      <c r="D986" s="2023"/>
      <c r="E986" s="164"/>
      <c r="F986" s="163"/>
      <c r="G986" s="2039"/>
      <c r="H986" s="2040"/>
      <c r="I986" s="2040"/>
      <c r="J986" s="2040"/>
      <c r="K986" s="2040"/>
      <c r="L986" s="2040"/>
      <c r="M986" s="2040"/>
      <c r="N986" s="2040"/>
      <c r="O986" s="2040"/>
      <c r="P986" s="2020"/>
      <c r="Q986" s="142"/>
      <c r="R986" s="142"/>
    </row>
    <row r="987" spans="1:18" ht="15.6">
      <c r="A987" s="2043" t="s">
        <v>38</v>
      </c>
      <c r="B987" s="2044"/>
      <c r="C987" s="2021"/>
      <c r="D987" s="2023"/>
      <c r="E987" s="164"/>
      <c r="F987" s="163"/>
      <c r="G987" s="2039"/>
      <c r="H987" s="2040"/>
      <c r="I987" s="2040"/>
      <c r="J987" s="2040"/>
      <c r="K987" s="2040"/>
      <c r="L987" s="2040"/>
      <c r="M987" s="2040"/>
      <c r="N987" s="2040"/>
      <c r="O987" s="2040"/>
      <c r="P987" s="2020"/>
      <c r="Q987" s="142"/>
      <c r="R987" s="142"/>
    </row>
    <row r="988" spans="1:18" ht="15.6">
      <c r="A988" s="2043" t="s">
        <v>39</v>
      </c>
      <c r="B988" s="2044"/>
      <c r="C988" s="2021"/>
      <c r="D988" s="2023"/>
      <c r="E988" s="164"/>
      <c r="F988" s="163"/>
      <c r="G988" s="2039"/>
      <c r="H988" s="2040"/>
      <c r="I988" s="2040"/>
      <c r="J988" s="2040"/>
      <c r="K988" s="2040"/>
      <c r="L988" s="2040"/>
      <c r="M988" s="2040"/>
      <c r="N988" s="2040"/>
      <c r="O988" s="2040"/>
      <c r="P988" s="2020"/>
      <c r="Q988" s="142"/>
      <c r="R988" s="142"/>
    </row>
    <row r="989" spans="1:18" ht="15.6">
      <c r="A989" s="2043" t="s">
        <v>40</v>
      </c>
      <c r="B989" s="2044"/>
      <c r="C989" s="2021"/>
      <c r="D989" s="2023"/>
      <c r="E989" s="164"/>
      <c r="F989" s="163"/>
      <c r="G989" s="2039"/>
      <c r="H989" s="2040"/>
      <c r="I989" s="2040"/>
      <c r="J989" s="2040"/>
      <c r="K989" s="2040"/>
      <c r="L989" s="2040"/>
      <c r="M989" s="2040"/>
      <c r="N989" s="2040"/>
      <c r="O989" s="2040"/>
      <c r="P989" s="2020"/>
      <c r="Q989" s="142"/>
      <c r="R989" s="142"/>
    </row>
    <row r="990" spans="1:18" ht="16.2" thickBot="1">
      <c r="A990" s="2049" t="s">
        <v>41</v>
      </c>
      <c r="B990" s="2050"/>
      <c r="C990" s="2051"/>
      <c r="D990" s="2052"/>
      <c r="E990" s="58"/>
      <c r="F990" s="161"/>
      <c r="G990" s="2041"/>
      <c r="H990" s="2042"/>
      <c r="I990" s="2042"/>
      <c r="J990" s="2042"/>
      <c r="K990" s="2042"/>
      <c r="L990" s="2042"/>
      <c r="M990" s="2042"/>
      <c r="N990" s="2042"/>
      <c r="O990" s="2042"/>
      <c r="P990" s="2020"/>
      <c r="Q990" s="142"/>
      <c r="R990" s="142"/>
    </row>
    <row r="991" spans="1:18" ht="15.6">
      <c r="A991" s="54"/>
      <c r="B991" s="55"/>
      <c r="C991" s="55"/>
      <c r="D991" s="55"/>
      <c r="E991" s="55"/>
      <c r="F991" s="162"/>
      <c r="G991" s="55"/>
      <c r="H991" s="59"/>
      <c r="I991" s="60"/>
      <c r="J991" s="61"/>
      <c r="K991" s="209"/>
      <c r="L991" s="301"/>
      <c r="M991" s="55"/>
      <c r="N991" s="162"/>
      <c r="O991" s="55"/>
      <c r="P991" s="2020"/>
      <c r="Q991" s="142"/>
      <c r="R991" s="142"/>
    </row>
    <row r="992" spans="1:18" ht="15.6">
      <c r="A992" s="62" t="s">
        <v>42</v>
      </c>
      <c r="B992" s="56"/>
      <c r="C992" s="55"/>
      <c r="D992" s="55"/>
      <c r="E992" s="55"/>
      <c r="F992" s="162"/>
      <c r="G992" s="56"/>
      <c r="H992" s="59"/>
      <c r="I992" s="60"/>
      <c r="J992" s="61"/>
      <c r="K992" s="208"/>
      <c r="L992" s="302"/>
      <c r="M992" s="55"/>
      <c r="N992" s="2045" t="s">
        <v>43</v>
      </c>
      <c r="O992" s="2045"/>
      <c r="P992" s="2020"/>
      <c r="Q992" s="142"/>
      <c r="R992" s="142"/>
    </row>
    <row r="993" spans="1:20" ht="15.6">
      <c r="A993" s="62"/>
      <c r="B993" s="56"/>
      <c r="C993" s="55"/>
      <c r="D993" s="55"/>
      <c r="E993" s="55"/>
      <c r="F993" s="162"/>
      <c r="G993" s="55"/>
      <c r="H993" s="162"/>
      <c r="I993" s="1859"/>
      <c r="J993" s="55"/>
      <c r="K993" s="208"/>
      <c r="L993" s="283"/>
      <c r="M993" s="55"/>
      <c r="N993" s="162"/>
      <c r="O993" s="56"/>
      <c r="P993" s="2020"/>
      <c r="Q993" s="142"/>
      <c r="R993" s="142"/>
    </row>
    <row r="994" spans="1:20" ht="15.6">
      <c r="A994" s="62" t="s">
        <v>44</v>
      </c>
      <c r="B994" s="56"/>
      <c r="C994" s="55"/>
      <c r="D994" s="55"/>
      <c r="E994" s="55"/>
      <c r="F994" s="162"/>
      <c r="G994" s="55"/>
      <c r="H994" s="162"/>
      <c r="I994" s="1859"/>
      <c r="J994" s="55"/>
      <c r="K994" s="208"/>
      <c r="L994" s="283"/>
      <c r="M994" s="55"/>
      <c r="N994" s="2045" t="s">
        <v>45</v>
      </c>
      <c r="O994" s="2045"/>
      <c r="P994" s="2020"/>
      <c r="Q994" s="142"/>
      <c r="R994" s="142"/>
    </row>
    <row r="995" spans="1:20" ht="16.2" thickBot="1">
      <c r="A995" s="48"/>
      <c r="B995" s="49"/>
      <c r="C995" s="49"/>
      <c r="D995" s="49"/>
      <c r="E995" s="49"/>
      <c r="F995" s="50"/>
      <c r="G995" s="49"/>
      <c r="H995" s="50"/>
      <c r="I995" s="1860"/>
      <c r="J995" s="49"/>
      <c r="K995" s="210"/>
      <c r="L995" s="50"/>
      <c r="M995" s="49"/>
      <c r="N995" s="50"/>
      <c r="O995" s="49"/>
      <c r="P995" s="2020"/>
      <c r="Q995" s="142"/>
      <c r="R995" s="142"/>
    </row>
    <row r="1000" spans="1:20">
      <c r="A1000" s="1" t="s">
        <v>48</v>
      </c>
      <c r="B1000" s="1"/>
      <c r="C1000" s="2"/>
      <c r="D1000" s="2"/>
      <c r="E1000" s="2"/>
      <c r="F1000" s="3"/>
      <c r="G1000" s="2"/>
      <c r="H1000" s="2"/>
      <c r="I1000" s="4"/>
      <c r="J1000" s="5"/>
      <c r="K1000" s="196"/>
      <c r="L1000" s="2056" t="s">
        <v>0</v>
      </c>
      <c r="M1000" s="2056"/>
      <c r="N1000" s="2056"/>
      <c r="O1000" s="2056"/>
      <c r="P1000" s="64"/>
      <c r="Q1000" s="64"/>
      <c r="R1000" s="64"/>
    </row>
    <row r="1001" spans="1:20" ht="15.6">
      <c r="A1001" s="27" t="s">
        <v>1</v>
      </c>
      <c r="B1001" s="27"/>
      <c r="C1001" s="27"/>
      <c r="D1001" s="28" t="s">
        <v>2</v>
      </c>
      <c r="E1001" s="28"/>
      <c r="F1001" s="29"/>
      <c r="G1001" s="29"/>
      <c r="H1001" s="29"/>
      <c r="I1001" s="30"/>
      <c r="J1001" s="31"/>
      <c r="K1001" s="197" t="s">
        <v>3</v>
      </c>
      <c r="L1001" s="31"/>
      <c r="M1001" s="27"/>
      <c r="N1001" s="29"/>
      <c r="O1001" s="27"/>
      <c r="P1001" s="67"/>
      <c r="Q1001" s="1039"/>
      <c r="R1001" s="1039"/>
    </row>
    <row r="1002" spans="1:20" ht="31.2">
      <c r="A1002" s="32" t="s">
        <v>4</v>
      </c>
      <c r="B1002" s="32" t="s">
        <v>5</v>
      </c>
      <c r="C1002" s="32" t="s">
        <v>6</v>
      </c>
      <c r="D1002" s="32" t="s">
        <v>7</v>
      </c>
      <c r="E1002" s="32" t="s">
        <v>8</v>
      </c>
      <c r="F1002" s="33" t="s">
        <v>9</v>
      </c>
      <c r="G1002" s="34" t="s">
        <v>10</v>
      </c>
      <c r="H1002" s="34" t="s">
        <v>11</v>
      </c>
      <c r="I1002" s="35" t="s">
        <v>12</v>
      </c>
      <c r="J1002" s="36" t="s">
        <v>13</v>
      </c>
      <c r="K1002" s="198" t="s">
        <v>14</v>
      </c>
      <c r="L1002" s="297" t="s">
        <v>15</v>
      </c>
      <c r="M1002" s="33" t="s">
        <v>16</v>
      </c>
      <c r="N1002" s="33" t="s">
        <v>17</v>
      </c>
      <c r="O1002" s="34" t="s">
        <v>18</v>
      </c>
      <c r="P1002" s="8" t="s">
        <v>195</v>
      </c>
      <c r="Q1002" s="1040"/>
      <c r="R1002" s="1040"/>
    </row>
    <row r="1003" spans="1:20" ht="15.6">
      <c r="A1003" s="20"/>
      <c r="B1003" s="20"/>
      <c r="C1003" s="20"/>
      <c r="D1003" s="20"/>
      <c r="E1003" s="20"/>
      <c r="F1003" s="20"/>
      <c r="G1003" s="20"/>
      <c r="H1003" s="20"/>
      <c r="I1003" s="131"/>
      <c r="J1003" s="20"/>
      <c r="K1003" s="211"/>
      <c r="L1003" s="131"/>
      <c r="M1003" s="20"/>
      <c r="N1003" s="20"/>
      <c r="O1003" s="20"/>
      <c r="P1003" s="20"/>
      <c r="Q1003" s="155"/>
      <c r="R1003" s="155"/>
      <c r="S1003" s="150" t="s">
        <v>286</v>
      </c>
    </row>
    <row r="1004" spans="1:20" ht="15.6">
      <c r="A1004" s="21" t="s">
        <v>174</v>
      </c>
      <c r="B1004" s="21" t="s">
        <v>230</v>
      </c>
      <c r="C1004" s="21" t="s">
        <v>19</v>
      </c>
      <c r="D1004" s="21" t="s">
        <v>20</v>
      </c>
      <c r="E1004" s="21" t="s">
        <v>57</v>
      </c>
      <c r="F1004" s="22">
        <v>14</v>
      </c>
      <c r="G1004" s="20" t="s">
        <v>21</v>
      </c>
      <c r="H1004" s="408" t="s">
        <v>124</v>
      </c>
      <c r="I1004" s="115">
        <v>19.8</v>
      </c>
      <c r="J1004" s="23">
        <v>8</v>
      </c>
      <c r="K1004" s="167">
        <v>8</v>
      </c>
      <c r="L1004" s="130">
        <f>(I1004*J1004*K1004/1000)</f>
        <v>1.2672000000000001</v>
      </c>
      <c r="M1004" s="20"/>
      <c r="N1004" s="20"/>
      <c r="O1004" s="20"/>
      <c r="P1004" s="20"/>
      <c r="Q1004" s="155"/>
      <c r="R1004" s="155"/>
      <c r="S1004">
        <v>5</v>
      </c>
      <c r="T1004" s="394">
        <f>J1004*S1004*I1004/1000</f>
        <v>0.79200000000000004</v>
      </c>
    </row>
    <row r="1005" spans="1:20" ht="15.6">
      <c r="A1005" s="20"/>
      <c r="B1005" s="229" t="s">
        <v>207</v>
      </c>
      <c r="C1005" s="20"/>
      <c r="D1005" s="20"/>
      <c r="E1005" s="20"/>
      <c r="F1005" s="20"/>
      <c r="G1005" s="20" t="s">
        <v>21</v>
      </c>
      <c r="H1005" s="20" t="s">
        <v>124</v>
      </c>
      <c r="I1005" s="115">
        <v>19.8</v>
      </c>
      <c r="J1005" s="23">
        <v>8.1999999999999993</v>
      </c>
      <c r="K1005" s="167">
        <v>16</v>
      </c>
      <c r="L1005" s="130">
        <f>(I1005*J1005*K1005/1000)</f>
        <v>2.5977599999999996</v>
      </c>
      <c r="M1005" s="20"/>
      <c r="N1005" s="20"/>
      <c r="O1005" s="20"/>
      <c r="P1005" s="20"/>
      <c r="Q1005" s="155"/>
      <c r="R1005" s="155"/>
      <c r="S1005">
        <v>13</v>
      </c>
      <c r="T1005" s="394">
        <f t="shared" ref="T1005:T1006" si="205">J1005*S1005*I1005/1000</f>
        <v>2.1106799999999999</v>
      </c>
    </row>
    <row r="1006" spans="1:20" ht="15.6">
      <c r="A1006" s="20"/>
      <c r="B1006" s="20"/>
      <c r="C1006" s="20"/>
      <c r="D1006" s="20"/>
      <c r="E1006" s="20"/>
      <c r="F1006" s="20"/>
      <c r="G1006" s="20" t="s">
        <v>21</v>
      </c>
      <c r="H1006" s="20" t="s">
        <v>124</v>
      </c>
      <c r="I1006" s="115">
        <v>19.8</v>
      </c>
      <c r="J1006" s="23">
        <v>9.5</v>
      </c>
      <c r="K1006" s="167">
        <v>2</v>
      </c>
      <c r="L1006" s="130">
        <f>(I1006*J1006*K1006/1000)</f>
        <v>0.37619999999999998</v>
      </c>
      <c r="M1006" s="20"/>
      <c r="N1006" s="20"/>
      <c r="O1006" s="20"/>
      <c r="P1006" s="20"/>
      <c r="Q1006" s="155"/>
      <c r="R1006" s="155"/>
      <c r="S1006">
        <v>1</v>
      </c>
      <c r="T1006" s="394">
        <f t="shared" si="205"/>
        <v>0.18809999999999999</v>
      </c>
    </row>
    <row r="1007" spans="1:20" ht="15.6">
      <c r="A1007" s="20"/>
      <c r="B1007" s="20"/>
      <c r="C1007" s="20"/>
      <c r="D1007" s="20"/>
      <c r="E1007" s="20"/>
      <c r="F1007" s="20"/>
      <c r="G1007" s="20" t="s">
        <v>21</v>
      </c>
      <c r="H1007" s="20" t="s">
        <v>124</v>
      </c>
      <c r="I1007" s="115">
        <v>19.8</v>
      </c>
      <c r="J1007" s="23">
        <v>9.6999999999999993</v>
      </c>
      <c r="K1007" s="167">
        <v>8</v>
      </c>
      <c r="L1007" s="130">
        <f>(I1007*J1007*K1007/1000)</f>
        <v>1.5364800000000001</v>
      </c>
      <c r="M1007" s="20">
        <f>2+1+2+3-2+2</f>
        <v>8</v>
      </c>
      <c r="N1007" s="23">
        <f>J1007*M1007*I1007/1000</f>
        <v>1.5364800000000001</v>
      </c>
      <c r="O1007" s="20"/>
      <c r="P1007" s="112">
        <v>-2</v>
      </c>
      <c r="Q1007" s="141"/>
      <c r="R1007" s="141"/>
      <c r="T1007" s="394"/>
    </row>
    <row r="1008" spans="1:20" ht="15.6">
      <c r="A1008" s="20"/>
      <c r="B1008" s="20"/>
      <c r="C1008" s="20"/>
      <c r="D1008" s="20"/>
      <c r="E1008" s="20"/>
      <c r="F1008" s="20"/>
      <c r="G1008" s="20" t="s">
        <v>21</v>
      </c>
      <c r="H1008" s="20" t="s">
        <v>124</v>
      </c>
      <c r="I1008" s="115">
        <v>19.8</v>
      </c>
      <c r="J1008" s="23">
        <v>11</v>
      </c>
      <c r="K1008" s="167">
        <v>13</v>
      </c>
      <c r="L1008" s="130">
        <f>(I1008*J1008*K1008/1000)</f>
        <v>2.8313999999999999</v>
      </c>
      <c r="M1008" s="20">
        <f>3+8+2</f>
        <v>13</v>
      </c>
      <c r="N1008" s="23">
        <f>J1008*M1008*I1008/1000</f>
        <v>2.8313999999999999</v>
      </c>
      <c r="O1008" s="20"/>
      <c r="P1008" s="112"/>
      <c r="Q1008" s="141"/>
      <c r="R1008" s="141"/>
      <c r="T1008" s="394"/>
    </row>
    <row r="1009" spans="1:21" ht="15.6">
      <c r="A1009" s="20"/>
      <c r="B1009" s="20"/>
      <c r="C1009" s="20"/>
      <c r="D1009" s="20"/>
      <c r="E1009" s="20"/>
      <c r="F1009" s="20"/>
      <c r="G1009" s="20"/>
      <c r="H1009" s="20"/>
      <c r="I1009" s="115"/>
      <c r="J1009" s="23"/>
      <c r="K1009" s="154">
        <f t="shared" ref="K1009:N1009" si="206">SUM(K1004:K1008)</f>
        <v>47</v>
      </c>
      <c r="L1009" s="128">
        <f t="shared" si="206"/>
        <v>8.6090400000000002</v>
      </c>
      <c r="M1009" s="25">
        <f t="shared" si="206"/>
        <v>21</v>
      </c>
      <c r="N1009" s="375">
        <f t="shared" si="206"/>
        <v>4.3678799999999995</v>
      </c>
      <c r="O1009" s="25"/>
      <c r="P1009" s="112"/>
      <c r="Q1009" s="112"/>
      <c r="R1009" s="112"/>
      <c r="S1009" s="154">
        <f t="shared" ref="S1009:T1009" si="207">SUM(S1004:S1008)</f>
        <v>19</v>
      </c>
      <c r="T1009" s="124">
        <f t="shared" si="207"/>
        <v>3.0907800000000001</v>
      </c>
    </row>
    <row r="1010" spans="1:21" ht="15.6">
      <c r="A1010" s="20"/>
      <c r="B1010" s="20"/>
      <c r="C1010" s="20"/>
      <c r="D1010" s="20"/>
      <c r="E1010" s="20"/>
      <c r="F1010" s="20"/>
      <c r="G1010" s="20"/>
      <c r="H1010" s="20"/>
      <c r="I1010" s="131"/>
      <c r="J1010" s="20"/>
      <c r="K1010" s="211"/>
      <c r="L1010" s="131"/>
      <c r="M1010" s="20"/>
      <c r="N1010" s="20"/>
      <c r="O1010" s="20"/>
      <c r="P1010" s="112"/>
      <c r="Q1010" s="141"/>
      <c r="R1010" s="141"/>
      <c r="T1010" s="394"/>
    </row>
    <row r="1011" spans="1:21" ht="15.6">
      <c r="A1011" s="21" t="s">
        <v>83</v>
      </c>
      <c r="B1011" s="21" t="s">
        <v>222</v>
      </c>
      <c r="C1011" s="21" t="s">
        <v>19</v>
      </c>
      <c r="D1011" s="21" t="s">
        <v>20</v>
      </c>
      <c r="E1011" s="21" t="s">
        <v>57</v>
      </c>
      <c r="F1011" s="22">
        <v>14</v>
      </c>
      <c r="G1011" s="20" t="s">
        <v>21</v>
      </c>
      <c r="H1011" s="408" t="s">
        <v>124</v>
      </c>
      <c r="I1011" s="115">
        <v>19.8</v>
      </c>
      <c r="J1011" s="23">
        <v>7.7</v>
      </c>
      <c r="K1011" s="25">
        <v>12</v>
      </c>
      <c r="L1011" s="130">
        <f>(I1011*J1011*K1011/1000)</f>
        <v>1.82952</v>
      </c>
      <c r="M1011" s="25">
        <f>12-4</f>
        <v>8</v>
      </c>
      <c r="N1011" s="23">
        <f t="shared" ref="N1011:N1013" si="208">J1011*M1011*I1011/1000</f>
        <v>1.2196800000000001</v>
      </c>
      <c r="O1011" s="20"/>
      <c r="P1011" s="112"/>
      <c r="Q1011" s="141"/>
      <c r="R1011" s="141"/>
      <c r="S1011">
        <v>3</v>
      </c>
      <c r="T1011" s="394">
        <f>J1011*S1011*I1011/1000</f>
        <v>0.45738000000000006</v>
      </c>
      <c r="U1011" s="377"/>
    </row>
    <row r="1012" spans="1:21" ht="15.6">
      <c r="A1012" s="20"/>
      <c r="B1012" s="21" t="s">
        <v>204</v>
      </c>
      <c r="C1012" s="20"/>
      <c r="D1012" s="20"/>
      <c r="E1012" s="20"/>
      <c r="F1012" s="20"/>
      <c r="G1012" s="20" t="s">
        <v>21</v>
      </c>
      <c r="H1012" s="20" t="s">
        <v>124</v>
      </c>
      <c r="I1012" s="115">
        <v>19.8</v>
      </c>
      <c r="J1012" s="23">
        <v>8.4</v>
      </c>
      <c r="K1012" s="25">
        <v>12</v>
      </c>
      <c r="L1012" s="130">
        <f>(I1012*J1012*K1012/1000)</f>
        <v>1.9958400000000001</v>
      </c>
      <c r="M1012" s="25">
        <v>12</v>
      </c>
      <c r="N1012" s="23">
        <f t="shared" si="208"/>
        <v>1.9958400000000003</v>
      </c>
      <c r="O1012" s="20"/>
      <c r="P1012" s="112"/>
      <c r="Q1012" s="141"/>
      <c r="R1012" s="141"/>
      <c r="S1012" s="150" t="s">
        <v>286</v>
      </c>
      <c r="T1012" s="394"/>
      <c r="U1012" s="377"/>
    </row>
    <row r="1013" spans="1:21" ht="15.6">
      <c r="A1013" s="20"/>
      <c r="B1013" s="20"/>
      <c r="C1013" s="20"/>
      <c r="D1013" s="20"/>
      <c r="E1013" s="20"/>
      <c r="F1013" s="20"/>
      <c r="G1013" s="20" t="s">
        <v>21</v>
      </c>
      <c r="H1013" s="20" t="s">
        <v>124</v>
      </c>
      <c r="I1013" s="115">
        <v>19.8</v>
      </c>
      <c r="J1013" s="23">
        <v>11.4</v>
      </c>
      <c r="K1013" s="25">
        <v>4</v>
      </c>
      <c r="L1013" s="130">
        <f>(I1013*J1013*K1013/1000)</f>
        <v>0.90288000000000013</v>
      </c>
      <c r="M1013" s="25">
        <v>4</v>
      </c>
      <c r="N1013" s="23">
        <f t="shared" si="208"/>
        <v>0.90288000000000013</v>
      </c>
      <c r="O1013" s="20"/>
      <c r="P1013" s="112"/>
      <c r="Q1013" s="141"/>
      <c r="R1013" s="141"/>
      <c r="T1013" s="394"/>
      <c r="U1013" s="377"/>
    </row>
    <row r="1014" spans="1:21" ht="15.6">
      <c r="A1014" s="20"/>
      <c r="B1014" s="20"/>
      <c r="C1014" s="20"/>
      <c r="D1014" s="20"/>
      <c r="E1014" s="20"/>
      <c r="F1014" s="20"/>
      <c r="G1014" s="20"/>
      <c r="H1014" s="20"/>
      <c r="I1014" s="115"/>
      <c r="J1014" s="23"/>
      <c r="K1014" s="25">
        <f t="shared" ref="K1014" si="209">SUM(K1011:K1013)</f>
        <v>28</v>
      </c>
      <c r="L1014" s="128">
        <f>SUM(L1011:L1013)</f>
        <v>4.7282399999999996</v>
      </c>
      <c r="M1014" s="25">
        <f t="shared" ref="M1014" si="210">SUM(M1011:M1013)</f>
        <v>24</v>
      </c>
      <c r="N1014" s="23">
        <f>SUM(N1011:N1013)</f>
        <v>4.1184000000000012</v>
      </c>
      <c r="O1014" s="25"/>
      <c r="P1014" s="112"/>
      <c r="Q1014" s="112"/>
      <c r="R1014" s="112"/>
      <c r="S1014" s="25">
        <f t="shared" ref="S1014" si="211">SUM(S1011:S1013)</f>
        <v>3</v>
      </c>
      <c r="T1014" s="124">
        <f>SUM(T1011:T1013)</f>
        <v>0.45738000000000006</v>
      </c>
      <c r="U1014" s="377"/>
    </row>
    <row r="1015" spans="1:21" ht="15.6">
      <c r="A1015" s="20"/>
      <c r="B1015" s="20"/>
      <c r="C1015" s="20"/>
      <c r="D1015" s="20"/>
      <c r="E1015" s="20"/>
      <c r="F1015" s="20"/>
      <c r="G1015" s="20"/>
      <c r="H1015" s="20"/>
      <c r="I1015" s="115"/>
      <c r="J1015" s="23"/>
      <c r="K1015" s="25"/>
      <c r="L1015" s="128"/>
      <c r="M1015" s="25"/>
      <c r="N1015" s="23"/>
      <c r="O1015" s="20"/>
      <c r="P1015" s="112"/>
      <c r="Q1015" s="141"/>
      <c r="R1015" s="141"/>
      <c r="S1015" s="150" t="s">
        <v>286</v>
      </c>
      <c r="T1015" s="394"/>
      <c r="U1015" s="377"/>
    </row>
    <row r="1016" spans="1:21" s="251" customFormat="1" ht="15.6">
      <c r="A1016" s="21" t="s">
        <v>174</v>
      </c>
      <c r="B1016" s="21" t="s">
        <v>242</v>
      </c>
      <c r="C1016" s="21" t="s">
        <v>19</v>
      </c>
      <c r="D1016" s="21" t="s">
        <v>20</v>
      </c>
      <c r="E1016" s="21" t="s">
        <v>57</v>
      </c>
      <c r="F1016" s="22">
        <v>14</v>
      </c>
      <c r="G1016" s="20" t="s">
        <v>21</v>
      </c>
      <c r="H1016" s="408" t="s">
        <v>124</v>
      </c>
      <c r="I1016" s="115">
        <v>19.8</v>
      </c>
      <c r="J1016" s="23">
        <v>6.8</v>
      </c>
      <c r="K1016" s="25">
        <v>10</v>
      </c>
      <c r="L1016" s="130">
        <f>(I1016*J1016*K1016/1000)</f>
        <v>1.3464</v>
      </c>
      <c r="M1016" s="25"/>
      <c r="N1016" s="23"/>
      <c r="O1016" s="20"/>
      <c r="P1016" s="112"/>
      <c r="Q1016" s="141"/>
      <c r="R1016" s="141"/>
      <c r="S1016" s="251">
        <v>2</v>
      </c>
      <c r="T1016" s="394">
        <f>J1016*S1016*I1016/1000</f>
        <v>0.26928000000000002</v>
      </c>
      <c r="U1016" s="377"/>
    </row>
    <row r="1017" spans="1:21" s="251" customFormat="1" ht="15.6">
      <c r="A1017" s="20"/>
      <c r="B1017" s="112" t="s">
        <v>207</v>
      </c>
      <c r="C1017" s="20"/>
      <c r="D1017" s="20"/>
      <c r="E1017" s="20"/>
      <c r="F1017" s="20"/>
      <c r="G1017" s="20"/>
      <c r="H1017" s="20"/>
      <c r="I1017" s="115"/>
      <c r="J1017" s="23"/>
      <c r="K1017" s="154">
        <f>SUM(K1016:K1016)</f>
        <v>10</v>
      </c>
      <c r="L1017" s="128">
        <f>SUM(L1016:L1016)</f>
        <v>1.3464</v>
      </c>
      <c r="M1017" s="25"/>
      <c r="N1017" s="23"/>
      <c r="O1017" s="20"/>
      <c r="P1017" s="112"/>
      <c r="Q1017" s="112"/>
      <c r="R1017" s="112"/>
      <c r="S1017" s="154">
        <f>SUM(S1016:S1016)</f>
        <v>2</v>
      </c>
      <c r="T1017" s="124">
        <f>SUM(T1016:T1016)</f>
        <v>0.26928000000000002</v>
      </c>
    </row>
    <row r="1018" spans="1:21" s="251" customFormat="1" ht="15.6">
      <c r="A1018" s="20"/>
      <c r="B1018" s="112"/>
      <c r="C1018" s="20"/>
      <c r="D1018" s="20"/>
      <c r="E1018" s="20"/>
      <c r="F1018" s="20"/>
      <c r="G1018" s="20"/>
      <c r="H1018" s="20"/>
      <c r="I1018" s="115"/>
      <c r="J1018" s="23"/>
      <c r="K1018" s="154"/>
      <c r="L1018" s="128"/>
      <c r="M1018" s="25"/>
      <c r="N1018" s="23"/>
      <c r="O1018" s="20"/>
      <c r="P1018" s="112"/>
      <c r="Q1018" s="141"/>
      <c r="R1018" s="141"/>
      <c r="T1018" s="394"/>
    </row>
    <row r="1019" spans="1:21" ht="15.6">
      <c r="A1019" s="21" t="s">
        <v>83</v>
      </c>
      <c r="B1019" s="21" t="s">
        <v>239</v>
      </c>
      <c r="C1019" s="21" t="s">
        <v>19</v>
      </c>
      <c r="D1019" s="21" t="s">
        <v>20</v>
      </c>
      <c r="E1019" s="21" t="s">
        <v>47</v>
      </c>
      <c r="F1019" s="22">
        <v>14</v>
      </c>
      <c r="G1019" s="20" t="s">
        <v>21</v>
      </c>
      <c r="H1019" s="408" t="s">
        <v>124</v>
      </c>
      <c r="I1019" s="115">
        <v>19.8</v>
      </c>
      <c r="J1019" s="23">
        <v>9.8000000000000007</v>
      </c>
      <c r="K1019" s="25">
        <f>11+3</f>
        <v>14</v>
      </c>
      <c r="L1019" s="130">
        <f>(I1019*J1019*K1019/1000)</f>
        <v>2.7165600000000003</v>
      </c>
      <c r="M1019" s="25"/>
      <c r="N1019" s="23"/>
      <c r="O1019" s="20"/>
      <c r="P1019" s="112"/>
      <c r="Q1019" s="141"/>
      <c r="R1019" s="141"/>
      <c r="S1019">
        <f>12+2</f>
        <v>14</v>
      </c>
      <c r="T1019" s="394">
        <f t="shared" ref="T1019:T1020" si="212">J1019*S1019*I1019/1000</f>
        <v>2.7165600000000003</v>
      </c>
      <c r="U1019" s="150" t="s">
        <v>286</v>
      </c>
    </row>
    <row r="1020" spans="1:21" ht="15.6">
      <c r="A1020" s="20"/>
      <c r="B1020" s="21" t="s">
        <v>238</v>
      </c>
      <c r="C1020" s="20"/>
      <c r="D1020" s="20"/>
      <c r="E1020" s="20"/>
      <c r="F1020" s="20"/>
      <c r="G1020" s="20" t="s">
        <v>21</v>
      </c>
      <c r="H1020" s="20" t="s">
        <v>124</v>
      </c>
      <c r="I1020" s="115">
        <v>19.8</v>
      </c>
      <c r="J1020" s="23">
        <v>12</v>
      </c>
      <c r="K1020" s="25">
        <v>21</v>
      </c>
      <c r="L1020" s="130">
        <f>(I1020*J1020*K1020/1000)</f>
        <v>4.9896000000000003</v>
      </c>
      <c r="M1020" s="25"/>
      <c r="N1020" s="23"/>
      <c r="O1020" s="20"/>
      <c r="P1020" s="112"/>
      <c r="Q1020" s="141"/>
      <c r="R1020" s="141"/>
      <c r="S1020">
        <f>14+1+6</f>
        <v>21</v>
      </c>
      <c r="T1020" s="394">
        <f t="shared" si="212"/>
        <v>4.9896000000000003</v>
      </c>
    </row>
    <row r="1021" spans="1:21" ht="15.6">
      <c r="A1021" s="20"/>
      <c r="B1021" s="20"/>
      <c r="C1021" s="20"/>
      <c r="D1021" s="20"/>
      <c r="E1021" s="20"/>
      <c r="F1021" s="20"/>
      <c r="G1021" s="20"/>
      <c r="H1021" s="20"/>
      <c r="I1021" s="131"/>
      <c r="J1021" s="23"/>
      <c r="K1021" s="25">
        <f>SUM(K1019:K1020)</f>
        <v>35</v>
      </c>
      <c r="L1021" s="128">
        <f>SUM(L1019:L1020)</f>
        <v>7.7061600000000006</v>
      </c>
      <c r="M1021" s="25"/>
      <c r="N1021" s="23"/>
      <c r="O1021" s="20"/>
      <c r="P1021" s="112"/>
      <c r="Q1021" s="112"/>
      <c r="R1021" s="112"/>
      <c r="S1021" s="25">
        <f>SUM(S1019:S1020)</f>
        <v>35</v>
      </c>
      <c r="T1021" s="124">
        <f>SUM(T1019:T1020)</f>
        <v>7.7061600000000006</v>
      </c>
    </row>
    <row r="1022" spans="1:21" ht="15.6">
      <c r="A1022" s="20"/>
      <c r="B1022" s="20"/>
      <c r="C1022" s="20"/>
      <c r="D1022" s="20"/>
      <c r="E1022" s="20"/>
      <c r="F1022" s="20"/>
      <c r="G1022" s="20"/>
      <c r="H1022" s="20"/>
      <c r="I1022" s="131"/>
      <c r="J1022" s="23"/>
      <c r="K1022" s="25"/>
      <c r="L1022" s="128"/>
      <c r="M1022" s="25"/>
      <c r="N1022" s="23"/>
      <c r="O1022" s="20"/>
      <c r="P1022" s="112"/>
      <c r="Q1022" s="141"/>
      <c r="R1022" s="141"/>
      <c r="T1022" s="394"/>
    </row>
    <row r="1023" spans="1:21" ht="15.6">
      <c r="A1023" s="21" t="s">
        <v>174</v>
      </c>
      <c r="B1023" s="21" t="s">
        <v>230</v>
      </c>
      <c r="C1023" s="21" t="s">
        <v>19</v>
      </c>
      <c r="D1023" s="21" t="s">
        <v>20</v>
      </c>
      <c r="E1023" s="21" t="s">
        <v>175</v>
      </c>
      <c r="F1023" s="22">
        <v>14</v>
      </c>
      <c r="G1023" s="20" t="s">
        <v>21</v>
      </c>
      <c r="H1023" s="408" t="s">
        <v>124</v>
      </c>
      <c r="I1023" s="115">
        <v>19.8</v>
      </c>
      <c r="J1023" s="23">
        <v>6.3</v>
      </c>
      <c r="K1023" s="167">
        <v>39</v>
      </c>
      <c r="L1023" s="130">
        <f>(I1023*J1023*K1023/1000)</f>
        <v>4.8648599999999993</v>
      </c>
      <c r="M1023" s="20">
        <v>16</v>
      </c>
      <c r="N1023" s="23">
        <f t="shared" ref="N1023:N1024" si="213">J1023*M1023*I1023/1000</f>
        <v>1.9958399999999998</v>
      </c>
      <c r="O1023" s="20"/>
      <c r="P1023" s="112">
        <v>1</v>
      </c>
      <c r="Q1023" s="141"/>
      <c r="R1023" s="141"/>
      <c r="S1023">
        <f>1+14+7</f>
        <v>22</v>
      </c>
      <c r="T1023" s="394">
        <f t="shared" ref="T1023:T1024" si="214">J1023*S1023*I1023/1000</f>
        <v>2.7442800000000003</v>
      </c>
      <c r="U1023" s="150" t="s">
        <v>286</v>
      </c>
    </row>
    <row r="1024" spans="1:21" ht="15.6">
      <c r="A1024" s="20"/>
      <c r="B1024" s="229" t="s">
        <v>208</v>
      </c>
      <c r="C1024" s="20"/>
      <c r="D1024" s="20"/>
      <c r="E1024" s="20"/>
      <c r="F1024" s="20"/>
      <c r="G1024" s="20" t="s">
        <v>21</v>
      </c>
      <c r="H1024" s="20" t="s">
        <v>124</v>
      </c>
      <c r="I1024" s="115">
        <v>19.8</v>
      </c>
      <c r="J1024" s="23">
        <v>9.5</v>
      </c>
      <c r="K1024" s="167">
        <v>19</v>
      </c>
      <c r="L1024" s="130">
        <f>(I1024*J1024*K1024/1000)</f>
        <v>3.5739000000000001</v>
      </c>
      <c r="M1024" s="20">
        <v>8</v>
      </c>
      <c r="N1024" s="23">
        <f t="shared" si="213"/>
        <v>1.5047999999999999</v>
      </c>
      <c r="O1024" s="20"/>
      <c r="P1024" s="112">
        <v>3</v>
      </c>
      <c r="Q1024" s="141"/>
      <c r="R1024" s="141"/>
      <c r="S1024">
        <f>2+4</f>
        <v>6</v>
      </c>
      <c r="T1024" s="394">
        <f t="shared" si="214"/>
        <v>1.1286</v>
      </c>
    </row>
    <row r="1025" spans="1:21" ht="15.6">
      <c r="A1025" s="20"/>
      <c r="B1025" s="20"/>
      <c r="C1025" s="20"/>
      <c r="D1025" s="20"/>
      <c r="E1025" s="20"/>
      <c r="F1025" s="20"/>
      <c r="G1025" s="20"/>
      <c r="H1025" s="20"/>
      <c r="I1025" s="115"/>
      <c r="J1025" s="23"/>
      <c r="K1025" s="154">
        <f t="shared" ref="K1025:N1025" si="215">SUM(K1023:K1024)</f>
        <v>58</v>
      </c>
      <c r="L1025" s="128">
        <f t="shared" si="215"/>
        <v>8.4387599999999985</v>
      </c>
      <c r="M1025" s="25">
        <f t="shared" si="215"/>
        <v>24</v>
      </c>
      <c r="N1025" s="375">
        <f t="shared" si="215"/>
        <v>3.5006399999999998</v>
      </c>
      <c r="O1025" s="25"/>
      <c r="P1025" s="112"/>
      <c r="Q1025" s="112"/>
      <c r="R1025" s="112"/>
      <c r="S1025" s="154">
        <f t="shared" ref="S1025:T1025" si="216">SUM(S1023:S1024)</f>
        <v>28</v>
      </c>
      <c r="T1025" s="124">
        <f t="shared" si="216"/>
        <v>3.8728800000000003</v>
      </c>
    </row>
    <row r="1026" spans="1:21" ht="15.6">
      <c r="A1026" s="20"/>
      <c r="B1026" s="20"/>
      <c r="C1026" s="20"/>
      <c r="D1026" s="20"/>
      <c r="E1026" s="20"/>
      <c r="F1026" s="20"/>
      <c r="G1026" s="20"/>
      <c r="H1026" s="20"/>
      <c r="I1026" s="131"/>
      <c r="J1026" s="20"/>
      <c r="K1026" s="211"/>
      <c r="L1026" s="131"/>
      <c r="M1026" s="20"/>
      <c r="N1026" s="20"/>
      <c r="O1026" s="20"/>
      <c r="P1026" s="112"/>
      <c r="Q1026" s="141"/>
      <c r="R1026" s="141"/>
      <c r="T1026" s="394"/>
    </row>
    <row r="1027" spans="1:21" ht="15.6">
      <c r="A1027" s="21" t="s">
        <v>174</v>
      </c>
      <c r="B1027" s="21" t="s">
        <v>224</v>
      </c>
      <c r="C1027" s="21" t="s">
        <v>19</v>
      </c>
      <c r="D1027" s="21" t="s">
        <v>20</v>
      </c>
      <c r="E1027" s="21" t="s">
        <v>175</v>
      </c>
      <c r="F1027" s="22">
        <v>14</v>
      </c>
      <c r="G1027" s="20" t="s">
        <v>21</v>
      </c>
      <c r="H1027" s="408" t="s">
        <v>124</v>
      </c>
      <c r="I1027" s="115">
        <v>19.8</v>
      </c>
      <c r="J1027" s="23">
        <v>7.2</v>
      </c>
      <c r="K1027" s="167">
        <v>24</v>
      </c>
      <c r="L1027" s="130">
        <f>(I1027*J1027*K1027/1000)</f>
        <v>3.42144</v>
      </c>
      <c r="M1027" s="20">
        <v>10</v>
      </c>
      <c r="N1027" s="23">
        <f t="shared" ref="N1027:N1029" si="217">J1027*M1027*I1027/1000</f>
        <v>1.4256000000000002</v>
      </c>
      <c r="O1027" s="20"/>
      <c r="P1027" s="112">
        <v>1</v>
      </c>
      <c r="Q1027" s="141"/>
      <c r="R1027" s="141"/>
      <c r="S1027">
        <f>8+2</f>
        <v>10</v>
      </c>
      <c r="T1027" s="394">
        <f t="shared" ref="T1027:T1028" si="218">J1027*S1027*I1027/1000</f>
        <v>1.4256000000000002</v>
      </c>
      <c r="U1027" s="150" t="s">
        <v>286</v>
      </c>
    </row>
    <row r="1028" spans="1:21" ht="15.6">
      <c r="A1028" s="20"/>
      <c r="B1028" s="229" t="s">
        <v>225</v>
      </c>
      <c r="C1028" s="20"/>
      <c r="D1028" s="20"/>
      <c r="E1028" s="20"/>
      <c r="F1028" s="20"/>
      <c r="G1028" s="20" t="s">
        <v>21</v>
      </c>
      <c r="H1028" s="20" t="s">
        <v>124</v>
      </c>
      <c r="I1028" s="115">
        <v>19.8</v>
      </c>
      <c r="J1028" s="23">
        <v>8</v>
      </c>
      <c r="K1028" s="167">
        <v>15</v>
      </c>
      <c r="L1028" s="130">
        <f>(I1028*J1028*K1028/1000)</f>
        <v>2.3759999999999999</v>
      </c>
      <c r="M1028" s="20">
        <v>5</v>
      </c>
      <c r="N1028" s="23">
        <f t="shared" si="217"/>
        <v>0.79200000000000004</v>
      </c>
      <c r="O1028" s="20"/>
      <c r="P1028" s="112">
        <v>1</v>
      </c>
      <c r="Q1028" s="141"/>
      <c r="R1028" s="141"/>
      <c r="S1028">
        <f>3+6</f>
        <v>9</v>
      </c>
      <c r="T1028" s="394">
        <f t="shared" si="218"/>
        <v>1.4256000000000002</v>
      </c>
    </row>
    <row r="1029" spans="1:21" ht="15.6">
      <c r="A1029" s="20"/>
      <c r="B1029" s="20"/>
      <c r="C1029" s="20"/>
      <c r="D1029" s="20"/>
      <c r="E1029" s="20"/>
      <c r="F1029" s="20"/>
      <c r="G1029" s="20" t="s">
        <v>21</v>
      </c>
      <c r="H1029" s="20" t="s">
        <v>124</v>
      </c>
      <c r="I1029" s="115">
        <v>19.8</v>
      </c>
      <c r="J1029" s="23">
        <v>11.6</v>
      </c>
      <c r="K1029" s="167">
        <v>10</v>
      </c>
      <c r="L1029" s="130">
        <f>(I1029*J1029*K1029/1000)</f>
        <v>2.2968000000000002</v>
      </c>
      <c r="M1029" s="20">
        <v>10</v>
      </c>
      <c r="N1029" s="23">
        <f t="shared" si="217"/>
        <v>2.2968000000000002</v>
      </c>
      <c r="O1029" s="20"/>
      <c r="P1029" s="112"/>
      <c r="Q1029" s="141"/>
      <c r="R1029" s="141"/>
      <c r="T1029" s="394"/>
    </row>
    <row r="1030" spans="1:21" ht="15.6">
      <c r="A1030" s="20"/>
      <c r="B1030" s="20"/>
      <c r="C1030" s="20"/>
      <c r="D1030" s="20"/>
      <c r="E1030" s="20"/>
      <c r="F1030" s="20"/>
      <c r="G1030" s="20"/>
      <c r="H1030" s="20"/>
      <c r="I1030" s="115"/>
      <c r="J1030" s="23"/>
      <c r="K1030" s="154">
        <f t="shared" ref="K1030:N1030" si="219">SUM(K1027:K1029)</f>
        <v>49</v>
      </c>
      <c r="L1030" s="128">
        <f t="shared" si="219"/>
        <v>8.0942399999999992</v>
      </c>
      <c r="M1030" s="25">
        <f t="shared" si="219"/>
        <v>25</v>
      </c>
      <c r="N1030" s="23">
        <f t="shared" si="219"/>
        <v>4.5144000000000002</v>
      </c>
      <c r="O1030" s="25"/>
      <c r="P1030" s="112"/>
      <c r="Q1030" s="112"/>
      <c r="R1030" s="112"/>
      <c r="S1030" s="154">
        <f t="shared" ref="S1030:T1030" si="220">SUM(S1027:S1029)</f>
        <v>19</v>
      </c>
      <c r="T1030" s="124">
        <f t="shared" si="220"/>
        <v>2.8512000000000004</v>
      </c>
    </row>
    <row r="1031" spans="1:21" ht="15.6">
      <c r="A1031" s="20"/>
      <c r="B1031" s="20"/>
      <c r="C1031" s="20"/>
      <c r="D1031" s="20"/>
      <c r="E1031" s="20"/>
      <c r="F1031" s="20"/>
      <c r="G1031" s="20"/>
      <c r="H1031" s="20"/>
      <c r="I1031" s="131"/>
      <c r="J1031" s="20"/>
      <c r="K1031" s="211"/>
      <c r="L1031" s="131"/>
      <c r="M1031" s="20"/>
      <c r="N1031" s="20"/>
      <c r="O1031" s="20"/>
      <c r="P1031" s="112"/>
      <c r="Q1031" s="141"/>
      <c r="R1031" s="141"/>
    </row>
    <row r="1032" spans="1:21" s="251" customFormat="1" ht="15.6">
      <c r="A1032" s="21" t="s">
        <v>174</v>
      </c>
      <c r="B1032" s="21" t="s">
        <v>243</v>
      </c>
      <c r="C1032" s="21" t="s">
        <v>19</v>
      </c>
      <c r="D1032" s="21" t="s">
        <v>20</v>
      </c>
      <c r="E1032" s="63" t="s">
        <v>51</v>
      </c>
      <c r="F1032" s="22">
        <v>14</v>
      </c>
      <c r="G1032" s="20" t="s">
        <v>21</v>
      </c>
      <c r="H1032" s="408" t="s">
        <v>124</v>
      </c>
      <c r="I1032" s="115">
        <v>19.8</v>
      </c>
      <c r="J1032" s="254">
        <v>8.3000000000000007</v>
      </c>
      <c r="K1032" s="256">
        <v>44</v>
      </c>
      <c r="L1032" s="130">
        <f>(I1032*J1032*K1032/1000)</f>
        <v>7.2309600000000014</v>
      </c>
      <c r="M1032" s="25"/>
      <c r="N1032" s="23"/>
      <c r="O1032" s="20"/>
      <c r="P1032" s="112"/>
      <c r="Q1032" s="141"/>
      <c r="R1032" s="141"/>
      <c r="S1032" s="150" t="s">
        <v>286</v>
      </c>
    </row>
    <row r="1033" spans="1:21" s="251" customFormat="1" ht="15.6">
      <c r="A1033" s="20"/>
      <c r="B1033" s="112" t="s">
        <v>244</v>
      </c>
      <c r="C1033" s="20"/>
      <c r="D1033" s="20"/>
      <c r="E1033" s="20"/>
      <c r="F1033" s="20"/>
      <c r="G1033" s="20"/>
      <c r="H1033" s="20"/>
      <c r="I1033" s="115"/>
      <c r="J1033" s="23"/>
      <c r="K1033" s="154">
        <f>SUM(K1032:K1032)</f>
        <v>44</v>
      </c>
      <c r="L1033" s="128">
        <f>SUM(L1032:L1032)</f>
        <v>7.2309600000000014</v>
      </c>
      <c r="M1033" s="25"/>
      <c r="N1033" s="23"/>
      <c r="O1033" s="20"/>
      <c r="P1033" s="112"/>
      <c r="Q1033" s="141"/>
      <c r="R1033" s="141"/>
    </row>
    <row r="1034" spans="1:21" s="251" customFormat="1" ht="15.6">
      <c r="A1034" s="20"/>
      <c r="B1034" s="20"/>
      <c r="C1034" s="20"/>
      <c r="D1034" s="20"/>
      <c r="E1034" s="20"/>
      <c r="F1034" s="20"/>
      <c r="G1034" s="20"/>
      <c r="H1034" s="20"/>
      <c r="I1034" s="115"/>
      <c r="J1034" s="23"/>
      <c r="K1034" s="154"/>
      <c r="L1034" s="128"/>
      <c r="M1034" s="25"/>
      <c r="N1034" s="23"/>
      <c r="O1034" s="20"/>
      <c r="P1034" s="112"/>
      <c r="Q1034" s="141"/>
      <c r="R1034" s="141"/>
    </row>
    <row r="1035" spans="1:21" ht="15.6">
      <c r="A1035" s="21" t="s">
        <v>174</v>
      </c>
      <c r="B1035" s="21" t="s">
        <v>224</v>
      </c>
      <c r="C1035" s="21" t="s">
        <v>19</v>
      </c>
      <c r="D1035" s="21" t="s">
        <v>20</v>
      </c>
      <c r="E1035" s="63" t="s">
        <v>51</v>
      </c>
      <c r="F1035" s="22">
        <v>14</v>
      </c>
      <c r="G1035" s="20" t="s">
        <v>21</v>
      </c>
      <c r="H1035" s="408" t="s">
        <v>124</v>
      </c>
      <c r="I1035" s="115">
        <v>19.8</v>
      </c>
      <c r="J1035" s="23">
        <v>8.3000000000000007</v>
      </c>
      <c r="K1035" s="167">
        <f>31+8</f>
        <v>39</v>
      </c>
      <c r="L1035" s="130">
        <f t="shared" ref="L1035:L1036" si="221">(I1035*J1035*K1035/1000)</f>
        <v>6.4092600000000015</v>
      </c>
      <c r="M1035" s="20"/>
      <c r="N1035" s="20"/>
      <c r="O1035" s="20"/>
      <c r="P1035" s="112"/>
      <c r="Q1035" s="141"/>
      <c r="R1035" s="141"/>
      <c r="S1035" s="150" t="s">
        <v>286</v>
      </c>
    </row>
    <row r="1036" spans="1:21" ht="15.6">
      <c r="A1036" s="20"/>
      <c r="B1036" s="229" t="s">
        <v>234</v>
      </c>
      <c r="C1036" s="20"/>
      <c r="D1036" s="20"/>
      <c r="E1036" s="20"/>
      <c r="F1036" s="20"/>
      <c r="G1036" s="20" t="s">
        <v>21</v>
      </c>
      <c r="H1036" s="20" t="s">
        <v>124</v>
      </c>
      <c r="I1036" s="115">
        <v>19.8</v>
      </c>
      <c r="J1036" s="23">
        <v>8.4</v>
      </c>
      <c r="K1036" s="167">
        <v>72</v>
      </c>
      <c r="L1036" s="130">
        <f t="shared" si="221"/>
        <v>11.975040000000002</v>
      </c>
      <c r="M1036" s="20"/>
      <c r="N1036" s="20"/>
      <c r="O1036" s="20"/>
      <c r="P1036" s="112"/>
      <c r="Q1036" s="141"/>
      <c r="R1036" s="141"/>
    </row>
    <row r="1037" spans="1:21" ht="15.6">
      <c r="A1037" s="20"/>
      <c r="B1037" s="20"/>
      <c r="C1037" s="20"/>
      <c r="D1037" s="20"/>
      <c r="E1037" s="20"/>
      <c r="F1037" s="20"/>
      <c r="G1037" s="20" t="s">
        <v>21</v>
      </c>
      <c r="H1037" s="20" t="s">
        <v>124</v>
      </c>
      <c r="I1037" s="115">
        <v>19.8</v>
      </c>
      <c r="J1037" s="23">
        <v>9.5</v>
      </c>
      <c r="K1037" s="167">
        <v>17</v>
      </c>
      <c r="L1037" s="130">
        <f t="shared" ref="L1037:L1038" si="222">(I1037*J1037*K1037/1000)</f>
        <v>3.1976999999999998</v>
      </c>
      <c r="M1037" s="20"/>
      <c r="N1037" s="20"/>
      <c r="O1037" s="20"/>
      <c r="P1037" s="112"/>
      <c r="Q1037" s="141"/>
      <c r="R1037" s="141"/>
    </row>
    <row r="1038" spans="1:21" ht="15.6">
      <c r="A1038" s="20"/>
      <c r="B1038" s="20"/>
      <c r="C1038" s="20"/>
      <c r="D1038" s="20"/>
      <c r="E1038" s="20"/>
      <c r="F1038" s="20"/>
      <c r="G1038" s="20" t="s">
        <v>21</v>
      </c>
      <c r="H1038" s="20" t="s">
        <v>124</v>
      </c>
      <c r="I1038" s="115">
        <v>19.8</v>
      </c>
      <c r="J1038" s="23">
        <v>10.55</v>
      </c>
      <c r="K1038" s="167">
        <v>24</v>
      </c>
      <c r="L1038" s="130">
        <f t="shared" si="222"/>
        <v>5.0133600000000005</v>
      </c>
      <c r="M1038" s="20"/>
      <c r="N1038" s="20"/>
      <c r="O1038" s="20"/>
      <c r="P1038" s="112"/>
      <c r="Q1038" s="141"/>
      <c r="R1038" s="141"/>
    </row>
    <row r="1039" spans="1:21" ht="15.6">
      <c r="A1039" s="20"/>
      <c r="B1039" s="20"/>
      <c r="C1039" s="20"/>
      <c r="D1039" s="20"/>
      <c r="E1039" s="20"/>
      <c r="F1039" s="20"/>
      <c r="G1039" s="20"/>
      <c r="H1039" s="20"/>
      <c r="I1039" s="115"/>
      <c r="J1039" s="23"/>
      <c r="K1039" s="154">
        <f>SUM(K1035:K1038)</f>
        <v>152</v>
      </c>
      <c r="L1039" s="128">
        <f>SUM(L1035:L1038)</f>
        <v>26.595360000000007</v>
      </c>
      <c r="M1039" s="20"/>
      <c r="N1039" s="20"/>
      <c r="O1039" s="20"/>
      <c r="P1039" s="112"/>
      <c r="Q1039" s="141"/>
      <c r="R1039" s="141"/>
    </row>
    <row r="1040" spans="1:21" ht="15.6">
      <c r="A1040" s="20"/>
      <c r="B1040" s="20"/>
      <c r="C1040" s="20"/>
      <c r="D1040" s="20"/>
      <c r="E1040" s="20"/>
      <c r="F1040" s="20"/>
      <c r="G1040" s="20"/>
      <c r="H1040" s="20"/>
      <c r="I1040" s="131"/>
      <c r="J1040" s="20"/>
      <c r="K1040" s="211"/>
      <c r="L1040" s="131"/>
      <c r="M1040" s="20"/>
      <c r="N1040" s="20"/>
      <c r="O1040" s="20"/>
      <c r="P1040" s="112"/>
      <c r="Q1040" s="141"/>
      <c r="R1040" s="141"/>
    </row>
    <row r="1041" spans="1:19" ht="15.6">
      <c r="A1041" s="21" t="s">
        <v>174</v>
      </c>
      <c r="B1041" s="21" t="s">
        <v>233</v>
      </c>
      <c r="C1041" s="21" t="s">
        <v>19</v>
      </c>
      <c r="D1041" s="21" t="s">
        <v>20</v>
      </c>
      <c r="E1041" s="63" t="s">
        <v>51</v>
      </c>
      <c r="F1041" s="22">
        <v>14</v>
      </c>
      <c r="G1041" s="20" t="s">
        <v>21</v>
      </c>
      <c r="H1041" s="408" t="s">
        <v>124</v>
      </c>
      <c r="I1041" s="115">
        <v>19.8</v>
      </c>
      <c r="J1041" s="23">
        <v>10.55</v>
      </c>
      <c r="K1041" s="167">
        <v>8</v>
      </c>
      <c r="L1041" s="130">
        <f>(I1041*J1041*K1041/1000)</f>
        <v>1.6711200000000002</v>
      </c>
      <c r="M1041" s="20"/>
      <c r="N1041" s="20"/>
      <c r="O1041" s="20"/>
      <c r="P1041" s="112"/>
      <c r="Q1041" s="141"/>
      <c r="R1041" s="141"/>
      <c r="S1041" s="150" t="s">
        <v>286</v>
      </c>
    </row>
    <row r="1042" spans="1:19" ht="15.6">
      <c r="A1042" s="20"/>
      <c r="B1042" s="246" t="s">
        <v>232</v>
      </c>
      <c r="C1042" s="20"/>
      <c r="D1042" s="20"/>
      <c r="E1042" s="20"/>
      <c r="F1042" s="20"/>
      <c r="G1042" s="20"/>
      <c r="H1042" s="20"/>
      <c r="I1042" s="115"/>
      <c r="J1042" s="23"/>
      <c r="K1042" s="154">
        <f>SUM(K1041:K1041)</f>
        <v>8</v>
      </c>
      <c r="L1042" s="128">
        <f>SUM(L1041:L1041)</f>
        <v>1.6711200000000002</v>
      </c>
      <c r="M1042" s="20"/>
      <c r="N1042" s="20"/>
      <c r="O1042" s="20"/>
      <c r="P1042" s="112"/>
      <c r="Q1042" s="141"/>
      <c r="R1042" s="141"/>
    </row>
    <row r="1043" spans="1:19" ht="15.6">
      <c r="A1043" s="20"/>
      <c r="B1043" s="20"/>
      <c r="C1043" s="20"/>
      <c r="D1043" s="20"/>
      <c r="E1043" s="20"/>
      <c r="F1043" s="20"/>
      <c r="G1043" s="20"/>
      <c r="H1043" s="20"/>
      <c r="I1043" s="115"/>
      <c r="J1043" s="23"/>
      <c r="K1043" s="154"/>
      <c r="L1043" s="128"/>
      <c r="M1043" s="20"/>
      <c r="N1043" s="20"/>
      <c r="O1043" s="20"/>
      <c r="P1043" s="112"/>
      <c r="Q1043" s="141"/>
      <c r="R1043" s="141"/>
    </row>
    <row r="1044" spans="1:19" ht="15.6">
      <c r="A1044" s="21" t="s">
        <v>174</v>
      </c>
      <c r="B1044" s="21" t="s">
        <v>230</v>
      </c>
      <c r="C1044" s="21" t="s">
        <v>19</v>
      </c>
      <c r="D1044" s="21" t="s">
        <v>20</v>
      </c>
      <c r="E1044" s="63" t="s">
        <v>51</v>
      </c>
      <c r="F1044" s="22">
        <v>14</v>
      </c>
      <c r="G1044" s="20" t="s">
        <v>21</v>
      </c>
      <c r="H1044" s="408" t="s">
        <v>124</v>
      </c>
      <c r="I1044" s="115">
        <v>19.8</v>
      </c>
      <c r="J1044" s="23">
        <v>8.3000000000000007</v>
      </c>
      <c r="K1044" s="25">
        <v>15</v>
      </c>
      <c r="L1044" s="130">
        <f>(I1044*J1044*K1044/1000)</f>
        <v>2.4651000000000005</v>
      </c>
      <c r="M1044" s="20"/>
      <c r="N1044" s="20"/>
      <c r="O1044" s="20"/>
      <c r="P1044" s="112"/>
      <c r="Q1044" s="141"/>
      <c r="R1044" s="141"/>
      <c r="S1044" s="150" t="s">
        <v>286</v>
      </c>
    </row>
    <row r="1045" spans="1:19" ht="15.6">
      <c r="A1045" s="20"/>
      <c r="B1045" s="247" t="s">
        <v>225</v>
      </c>
      <c r="C1045" s="20"/>
      <c r="D1045" s="20"/>
      <c r="E1045" s="20"/>
      <c r="F1045" s="20"/>
      <c r="G1045" s="20"/>
      <c r="H1045" s="20"/>
      <c r="I1045" s="131"/>
      <c r="J1045" s="23"/>
      <c r="K1045" s="25">
        <f>SUM(K1044:K1044)</f>
        <v>15</v>
      </c>
      <c r="L1045" s="128">
        <f>SUM(L1044:L1044)</f>
        <v>2.4651000000000005</v>
      </c>
      <c r="M1045" s="20"/>
      <c r="N1045" s="20"/>
      <c r="O1045" s="20"/>
      <c r="P1045" s="112"/>
      <c r="Q1045" s="141"/>
      <c r="R1045" s="141"/>
    </row>
    <row r="1046" spans="1:19" ht="15.6">
      <c r="A1046" s="20"/>
      <c r="B1046" s="20"/>
      <c r="C1046" s="20"/>
      <c r="D1046" s="20"/>
      <c r="E1046" s="20"/>
      <c r="F1046" s="20"/>
      <c r="G1046" s="20"/>
      <c r="H1046" s="20"/>
      <c r="I1046" s="115"/>
      <c r="J1046" s="23"/>
      <c r="K1046" s="25">
        <f t="shared" ref="K1046" si="223">SUM(K1004:K1045)/2</f>
        <v>446</v>
      </c>
      <c r="L1046" s="128">
        <f>SUM(L1004:L1045)/2</f>
        <v>76.885380000000026</v>
      </c>
      <c r="M1046" s="25">
        <f>SUM(M1004:M1045)/2</f>
        <v>94</v>
      </c>
      <c r="N1046" s="23">
        <f>SUM(N1004:N1045)/2</f>
        <v>16.501320000000003</v>
      </c>
      <c r="O1046" s="25"/>
      <c r="P1046" s="112"/>
      <c r="Q1046" s="141"/>
      <c r="R1046" s="141"/>
    </row>
    <row r="1047" spans="1:19" ht="15.6">
      <c r="A1047" s="20"/>
      <c r="B1047" s="20"/>
      <c r="C1047" s="20"/>
      <c r="D1047" s="20"/>
      <c r="E1047" s="20"/>
      <c r="F1047" s="20"/>
      <c r="G1047" s="20"/>
      <c r="H1047" s="20"/>
      <c r="I1047" s="115"/>
      <c r="J1047" s="23"/>
      <c r="K1047" s="154"/>
      <c r="L1047" s="128"/>
      <c r="M1047" s="20"/>
      <c r="N1047" s="20"/>
      <c r="O1047" s="20"/>
      <c r="P1047" s="112"/>
      <c r="Q1047" s="141"/>
      <c r="R1047" s="141"/>
    </row>
    <row r="1048" spans="1:19" ht="15.6">
      <c r="A1048" s="20"/>
      <c r="B1048" s="20"/>
      <c r="C1048" s="20"/>
      <c r="D1048" s="20"/>
      <c r="E1048" s="20"/>
      <c r="F1048" s="20"/>
      <c r="G1048" s="20"/>
      <c r="H1048" s="20"/>
      <c r="I1048" s="131"/>
      <c r="J1048" s="20"/>
      <c r="K1048" s="211"/>
      <c r="L1048" s="131"/>
      <c r="M1048" s="20"/>
      <c r="N1048" s="20"/>
      <c r="O1048" s="20"/>
      <c r="P1048" s="112"/>
      <c r="Q1048" s="141"/>
      <c r="R1048" s="141"/>
    </row>
    <row r="1049" spans="1:19" ht="15.6">
      <c r="A1049" s="21" t="s">
        <v>174</v>
      </c>
      <c r="B1049" s="21" t="s">
        <v>224</v>
      </c>
      <c r="C1049" s="21" t="s">
        <v>19</v>
      </c>
      <c r="D1049" s="21" t="s">
        <v>20</v>
      </c>
      <c r="E1049" s="21" t="s">
        <v>175</v>
      </c>
      <c r="F1049" s="22">
        <v>14</v>
      </c>
      <c r="G1049" s="20" t="s">
        <v>21</v>
      </c>
      <c r="H1049" s="408" t="s">
        <v>126</v>
      </c>
      <c r="I1049" s="115">
        <v>23.6</v>
      </c>
      <c r="J1049" s="23">
        <v>8.75</v>
      </c>
      <c r="K1049" s="167">
        <v>1</v>
      </c>
      <c r="L1049" s="130">
        <f t="shared" ref="L1049" si="224">(I1049*J1049*K1049/1000)</f>
        <v>0.20649999999999999</v>
      </c>
      <c r="M1049" s="20">
        <v>1</v>
      </c>
      <c r="N1049" s="23">
        <f t="shared" ref="N1049" si="225">J1049*M1049*I1049/1000</f>
        <v>0.20649999999999999</v>
      </c>
      <c r="O1049" s="20"/>
      <c r="P1049" s="112"/>
      <c r="Q1049" s="141"/>
      <c r="R1049" s="141"/>
      <c r="S1049" s="150" t="s">
        <v>287</v>
      </c>
    </row>
    <row r="1050" spans="1:19" ht="15.6">
      <c r="A1050" s="20"/>
      <c r="B1050" s="247" t="s">
        <v>67</v>
      </c>
      <c r="C1050" s="20"/>
      <c r="D1050" s="20"/>
      <c r="E1050" s="20"/>
      <c r="F1050" s="20"/>
      <c r="G1050" s="20"/>
      <c r="H1050" s="20"/>
      <c r="I1050" s="115"/>
      <c r="J1050" s="23"/>
      <c r="K1050" s="154">
        <f>SUM(K1049:K1049)</f>
        <v>1</v>
      </c>
      <c r="L1050" s="128">
        <f>SUM(L1049:L1049)</f>
        <v>0.20649999999999999</v>
      </c>
      <c r="M1050" s="25">
        <f>SUM(M1049:M1049)</f>
        <v>1</v>
      </c>
      <c r="N1050" s="23">
        <f>SUM(N1049:N1049)</f>
        <v>0.20649999999999999</v>
      </c>
      <c r="O1050" s="20"/>
      <c r="P1050" s="112"/>
      <c r="Q1050" s="141"/>
      <c r="R1050" s="141"/>
    </row>
    <row r="1051" spans="1:19" ht="15.6">
      <c r="A1051" s="20"/>
      <c r="B1051" s="20"/>
      <c r="C1051" s="20"/>
      <c r="D1051" s="20"/>
      <c r="E1051" s="20"/>
      <c r="F1051" s="20"/>
      <c r="G1051" s="20"/>
      <c r="H1051" s="20"/>
      <c r="I1051" s="115"/>
      <c r="J1051" s="23"/>
      <c r="K1051" s="154"/>
      <c r="L1051" s="128"/>
      <c r="M1051" s="20"/>
      <c r="N1051" s="20"/>
      <c r="O1051" s="20"/>
      <c r="P1051" s="112"/>
      <c r="Q1051" s="141"/>
      <c r="R1051" s="141"/>
    </row>
    <row r="1052" spans="1:19" ht="15.6">
      <c r="A1052" s="21" t="s">
        <v>174</v>
      </c>
      <c r="B1052" s="21" t="s">
        <v>230</v>
      </c>
      <c r="C1052" s="21" t="s">
        <v>19</v>
      </c>
      <c r="D1052" s="21" t="s">
        <v>20</v>
      </c>
      <c r="E1052" s="21" t="s">
        <v>57</v>
      </c>
      <c r="F1052" s="22">
        <v>14</v>
      </c>
      <c r="G1052" s="20" t="s">
        <v>21</v>
      </c>
      <c r="H1052" s="408" t="s">
        <v>126</v>
      </c>
      <c r="I1052" s="115">
        <v>23.6</v>
      </c>
      <c r="J1052" s="23">
        <v>8.75</v>
      </c>
      <c r="K1052" s="167">
        <v>17</v>
      </c>
      <c r="L1052" s="130">
        <f t="shared" ref="L1052" si="226">(I1052*J1052*K1052/1000)</f>
        <v>3.5105</v>
      </c>
      <c r="M1052" s="20">
        <v>17</v>
      </c>
      <c r="N1052" s="23">
        <f t="shared" ref="N1052" si="227">J1052*M1052*I1052/1000</f>
        <v>3.5105</v>
      </c>
      <c r="O1052" s="20"/>
      <c r="P1052" s="112"/>
      <c r="Q1052" s="141"/>
      <c r="R1052" s="141"/>
      <c r="S1052" s="150" t="s">
        <v>287</v>
      </c>
    </row>
    <row r="1053" spans="1:19" ht="15.6">
      <c r="A1053" s="20"/>
      <c r="B1053" s="229" t="s">
        <v>207</v>
      </c>
      <c r="C1053" s="20"/>
      <c r="D1053" s="20"/>
      <c r="E1053" s="20"/>
      <c r="F1053" s="20"/>
      <c r="G1053" s="20"/>
      <c r="H1053" s="20"/>
      <c r="I1053" s="115"/>
      <c r="J1053" s="23"/>
      <c r="K1053" s="154">
        <f t="shared" ref="K1053:N1053" si="228">SUM(K1052:K1052)</f>
        <v>17</v>
      </c>
      <c r="L1053" s="128">
        <f t="shared" si="228"/>
        <v>3.5105</v>
      </c>
      <c r="M1053" s="25">
        <f t="shared" si="228"/>
        <v>17</v>
      </c>
      <c r="N1053" s="23">
        <f t="shared" si="228"/>
        <v>3.5105</v>
      </c>
      <c r="O1053" s="25"/>
      <c r="P1053" s="112"/>
      <c r="Q1053" s="141"/>
      <c r="R1053" s="141"/>
    </row>
    <row r="1054" spans="1:19" ht="15.6">
      <c r="A1054" s="20"/>
      <c r="B1054" s="229"/>
      <c r="C1054" s="20"/>
      <c r="D1054" s="20"/>
      <c r="E1054" s="20"/>
      <c r="F1054" s="20"/>
      <c r="G1054" s="20"/>
      <c r="H1054" s="20"/>
      <c r="I1054" s="115"/>
      <c r="J1054" s="23"/>
      <c r="K1054" s="154"/>
      <c r="L1054" s="128"/>
      <c r="M1054" s="25"/>
      <c r="N1054" s="23"/>
      <c r="O1054" s="20"/>
      <c r="P1054" s="112"/>
      <c r="Q1054" s="141"/>
      <c r="R1054" s="141"/>
    </row>
    <row r="1055" spans="1:19" ht="15.6">
      <c r="A1055" s="21" t="s">
        <v>83</v>
      </c>
      <c r="B1055" s="21" t="s">
        <v>222</v>
      </c>
      <c r="C1055" s="21" t="s">
        <v>19</v>
      </c>
      <c r="D1055" s="21" t="s">
        <v>20</v>
      </c>
      <c r="E1055" s="21" t="s">
        <v>57</v>
      </c>
      <c r="F1055" s="22">
        <v>14</v>
      </c>
      <c r="G1055" s="20" t="s">
        <v>21</v>
      </c>
      <c r="H1055" s="143" t="s">
        <v>126</v>
      </c>
      <c r="I1055" s="115">
        <v>23.6</v>
      </c>
      <c r="J1055" s="23">
        <v>9.5</v>
      </c>
      <c r="K1055" s="25">
        <v>10</v>
      </c>
      <c r="L1055" s="130">
        <f>(I1055*J1055*K1055/1000)</f>
        <v>2.242</v>
      </c>
      <c r="M1055" s="25">
        <v>10</v>
      </c>
      <c r="N1055" s="23">
        <f t="shared" ref="N1055" si="229">J1055*M1055*I1055/1000</f>
        <v>2.242</v>
      </c>
      <c r="O1055" s="20"/>
      <c r="P1055" s="112"/>
      <c r="Q1055" s="141"/>
      <c r="R1055" s="141"/>
      <c r="S1055" s="150" t="s">
        <v>290</v>
      </c>
    </row>
    <row r="1056" spans="1:19" ht="15.6">
      <c r="A1056" s="20"/>
      <c r="B1056" s="21" t="s">
        <v>204</v>
      </c>
      <c r="C1056" s="20"/>
      <c r="D1056" s="20"/>
      <c r="E1056" s="20"/>
      <c r="F1056" s="20"/>
      <c r="G1056" s="20"/>
      <c r="H1056" s="20"/>
      <c r="I1056" s="115"/>
      <c r="J1056" s="23"/>
      <c r="K1056" s="25">
        <f t="shared" ref="K1056:N1056" si="230">SUM(K1055)</f>
        <v>10</v>
      </c>
      <c r="L1056" s="128">
        <f t="shared" si="230"/>
        <v>2.242</v>
      </c>
      <c r="M1056" s="25">
        <f t="shared" ref="M1056" si="231">SUM(M1055)</f>
        <v>10</v>
      </c>
      <c r="N1056" s="23">
        <f t="shared" si="230"/>
        <v>2.242</v>
      </c>
      <c r="O1056" s="20"/>
      <c r="P1056" s="112"/>
      <c r="Q1056" s="141"/>
      <c r="R1056" s="141"/>
    </row>
    <row r="1057" spans="1:19" ht="15.6">
      <c r="A1057" s="20"/>
      <c r="B1057" s="21"/>
      <c r="C1057" s="20"/>
      <c r="D1057" s="20"/>
      <c r="E1057" s="20"/>
      <c r="F1057" s="20"/>
      <c r="G1057" s="20"/>
      <c r="H1057" s="20"/>
      <c r="I1057" s="115"/>
      <c r="J1057" s="23"/>
      <c r="K1057" s="25"/>
      <c r="L1057" s="128"/>
      <c r="M1057" s="25"/>
      <c r="N1057" s="23"/>
      <c r="O1057" s="20"/>
      <c r="P1057" s="112"/>
      <c r="Q1057" s="141"/>
      <c r="R1057" s="141"/>
    </row>
    <row r="1058" spans="1:19" ht="15.6">
      <c r="A1058" s="21" t="s">
        <v>83</v>
      </c>
      <c r="B1058" s="21" t="s">
        <v>239</v>
      </c>
      <c r="C1058" s="21" t="s">
        <v>19</v>
      </c>
      <c r="D1058" s="21" t="s">
        <v>20</v>
      </c>
      <c r="E1058" s="21" t="s">
        <v>47</v>
      </c>
      <c r="F1058" s="22">
        <v>14</v>
      </c>
      <c r="G1058" s="20" t="s">
        <v>21</v>
      </c>
      <c r="H1058" s="143" t="s">
        <v>126</v>
      </c>
      <c r="I1058" s="115">
        <v>23.6</v>
      </c>
      <c r="J1058" s="23">
        <v>9.6</v>
      </c>
      <c r="K1058" s="25">
        <v>14</v>
      </c>
      <c r="L1058" s="130">
        <f>(I1058*J1058*K1058/1000)</f>
        <v>3.17184</v>
      </c>
      <c r="M1058" s="25"/>
      <c r="N1058" s="23"/>
      <c r="O1058" s="20"/>
      <c r="P1058" s="112"/>
      <c r="Q1058" s="141"/>
      <c r="R1058" s="141"/>
      <c r="S1058" s="150" t="s">
        <v>290</v>
      </c>
    </row>
    <row r="1059" spans="1:19" ht="15.6">
      <c r="A1059" s="20"/>
      <c r="B1059" s="21" t="s">
        <v>238</v>
      </c>
      <c r="C1059" s="20"/>
      <c r="D1059" s="20"/>
      <c r="E1059" s="20"/>
      <c r="F1059" s="20"/>
      <c r="G1059" s="20" t="s">
        <v>21</v>
      </c>
      <c r="H1059" s="20" t="s">
        <v>126</v>
      </c>
      <c r="I1059" s="115">
        <v>23.6</v>
      </c>
      <c r="J1059" s="23">
        <v>10.199999999999999</v>
      </c>
      <c r="K1059" s="25">
        <v>8</v>
      </c>
      <c r="L1059" s="130">
        <f>(I1059*J1059*K1059/1000)</f>
        <v>1.9257599999999999</v>
      </c>
      <c r="M1059" s="25"/>
      <c r="N1059" s="23"/>
      <c r="O1059" s="20"/>
      <c r="P1059" s="112"/>
      <c r="Q1059" s="141"/>
      <c r="R1059" s="141"/>
    </row>
    <row r="1060" spans="1:19" ht="15.6">
      <c r="A1060" s="20"/>
      <c r="B1060" s="20"/>
      <c r="C1060" s="20"/>
      <c r="D1060" s="20"/>
      <c r="E1060" s="20"/>
      <c r="F1060" s="20"/>
      <c r="G1060" s="20"/>
      <c r="H1060" s="20"/>
      <c r="I1060" s="131"/>
      <c r="J1060" s="23"/>
      <c r="K1060" s="25">
        <f>SUM(K1058:K1059)</f>
        <v>22</v>
      </c>
      <c r="L1060" s="128">
        <f>SUM(L1058:L1059)</f>
        <v>5.0975999999999999</v>
      </c>
      <c r="M1060" s="25">
        <f>SUM(M1058:M1059)</f>
        <v>0</v>
      </c>
      <c r="N1060" s="23">
        <f>SUM(N1058:N1059)</f>
        <v>0</v>
      </c>
      <c r="O1060" s="20"/>
      <c r="P1060" s="112"/>
      <c r="Q1060" s="141"/>
      <c r="R1060" s="141"/>
    </row>
    <row r="1061" spans="1:19" ht="15.6">
      <c r="A1061" s="20"/>
      <c r="B1061" s="20"/>
      <c r="C1061" s="20"/>
      <c r="D1061" s="20"/>
      <c r="E1061" s="20"/>
      <c r="F1061" s="20"/>
      <c r="G1061" s="20"/>
      <c r="H1061" s="20"/>
      <c r="I1061" s="115"/>
      <c r="J1061" s="23"/>
      <c r="K1061" s="25">
        <f>+K1053+K1050+K1056+K1060</f>
        <v>50</v>
      </c>
      <c r="L1061" s="128">
        <f>+L1053+L1050+L1056+L1060</f>
        <v>11.0566</v>
      </c>
      <c r="M1061" s="25">
        <f>+M1053+M1050+M1056</f>
        <v>28</v>
      </c>
      <c r="N1061" s="23">
        <f>+N1053+N1050+N1056+N1060</f>
        <v>5.9589999999999996</v>
      </c>
      <c r="O1061" s="20"/>
      <c r="P1061" s="112"/>
      <c r="Q1061" s="141"/>
      <c r="R1061" s="141"/>
    </row>
    <row r="1062" spans="1:19" ht="15.6">
      <c r="A1062" s="20"/>
      <c r="B1062" s="20"/>
      <c r="C1062" s="20"/>
      <c r="D1062" s="20"/>
      <c r="E1062" s="20"/>
      <c r="F1062" s="20"/>
      <c r="G1062" s="20"/>
      <c r="H1062" s="20"/>
      <c r="I1062" s="131"/>
      <c r="J1062" s="20"/>
      <c r="K1062" s="211"/>
      <c r="L1062" s="131"/>
      <c r="M1062" s="20"/>
      <c r="N1062" s="20"/>
      <c r="O1062" s="20"/>
      <c r="P1062" s="112"/>
      <c r="Q1062" s="141"/>
      <c r="R1062" s="141"/>
    </row>
    <row r="1063" spans="1:19" ht="15.6">
      <c r="A1063" s="20"/>
      <c r="B1063" s="20"/>
      <c r="C1063" s="20"/>
      <c r="D1063" s="20"/>
      <c r="E1063" s="20"/>
      <c r="F1063" s="20"/>
      <c r="G1063" s="20"/>
      <c r="H1063" s="20"/>
      <c r="I1063" s="131"/>
      <c r="J1063" s="20"/>
      <c r="K1063" s="211"/>
      <c r="L1063" s="131"/>
      <c r="M1063" s="20"/>
      <c r="N1063" s="20"/>
      <c r="O1063" s="20"/>
      <c r="P1063" s="112"/>
      <c r="Q1063" s="141"/>
      <c r="R1063" s="141"/>
    </row>
    <row r="1064" spans="1:19" ht="15.6">
      <c r="A1064" s="21" t="s">
        <v>174</v>
      </c>
      <c r="B1064" s="21" t="s">
        <v>230</v>
      </c>
      <c r="C1064" s="21" t="s">
        <v>19</v>
      </c>
      <c r="D1064" s="21" t="s">
        <v>20</v>
      </c>
      <c r="E1064" s="21" t="s">
        <v>175</v>
      </c>
      <c r="F1064" s="22">
        <v>14</v>
      </c>
      <c r="G1064" s="20" t="s">
        <v>21</v>
      </c>
      <c r="H1064" s="408" t="s">
        <v>129</v>
      </c>
      <c r="I1064" s="115">
        <v>17.899999999999999</v>
      </c>
      <c r="J1064" s="23">
        <v>9.5</v>
      </c>
      <c r="K1064" s="167">
        <v>25</v>
      </c>
      <c r="L1064" s="130">
        <f t="shared" ref="L1064" si="232">(I1064*J1064*K1064/1000)</f>
        <v>4.2512499999999998</v>
      </c>
      <c r="M1064" s="20">
        <v>8</v>
      </c>
      <c r="N1064" s="23">
        <f t="shared" ref="N1064" si="233">J1064*M1064*I1064/1000</f>
        <v>1.3603999999999998</v>
      </c>
      <c r="O1064" s="20"/>
      <c r="P1064" s="112">
        <v>1</v>
      </c>
      <c r="Q1064" s="141"/>
      <c r="R1064" s="141"/>
      <c r="S1064" s="150" t="s">
        <v>286</v>
      </c>
    </row>
    <row r="1065" spans="1:19" ht="15.6">
      <c r="A1065" s="20"/>
      <c r="B1065" s="229" t="s">
        <v>208</v>
      </c>
      <c r="C1065" s="20"/>
      <c r="D1065" s="20"/>
      <c r="E1065" s="20"/>
      <c r="F1065" s="20"/>
      <c r="G1065" s="20"/>
      <c r="H1065" s="20"/>
      <c r="I1065" s="115"/>
      <c r="J1065" s="23"/>
      <c r="K1065" s="154">
        <f t="shared" ref="K1065:N1065" si="234">SUM(K1064:K1064)</f>
        <v>25</v>
      </c>
      <c r="L1065" s="128">
        <f t="shared" si="234"/>
        <v>4.2512499999999998</v>
      </c>
      <c r="M1065" s="25">
        <f t="shared" si="234"/>
        <v>8</v>
      </c>
      <c r="N1065" s="23">
        <f t="shared" si="234"/>
        <v>1.3603999999999998</v>
      </c>
      <c r="O1065" s="25"/>
      <c r="P1065" s="112"/>
      <c r="Q1065" s="141"/>
      <c r="R1065" s="141"/>
    </row>
    <row r="1066" spans="1:19" ht="15.6">
      <c r="A1066" s="20"/>
      <c r="B1066" s="20"/>
      <c r="C1066" s="20"/>
      <c r="D1066" s="20"/>
      <c r="E1066" s="20"/>
      <c r="F1066" s="20"/>
      <c r="G1066" s="20"/>
      <c r="H1066" s="20"/>
      <c r="I1066" s="131"/>
      <c r="J1066" s="20"/>
      <c r="K1066" s="211"/>
      <c r="L1066" s="131"/>
      <c r="M1066" s="20"/>
      <c r="N1066" s="20"/>
      <c r="O1066" s="20"/>
      <c r="P1066" s="112"/>
      <c r="Q1066" s="141"/>
      <c r="R1066" s="141"/>
    </row>
    <row r="1067" spans="1:19" ht="15.6">
      <c r="A1067" s="21" t="s">
        <v>174</v>
      </c>
      <c r="B1067" s="21" t="s">
        <v>224</v>
      </c>
      <c r="C1067" s="21" t="s">
        <v>19</v>
      </c>
      <c r="D1067" s="21" t="s">
        <v>20</v>
      </c>
      <c r="E1067" s="21" t="s">
        <v>175</v>
      </c>
      <c r="F1067" s="22">
        <v>14</v>
      </c>
      <c r="G1067" s="20" t="s">
        <v>21</v>
      </c>
      <c r="H1067" s="408" t="s">
        <v>129</v>
      </c>
      <c r="I1067" s="115">
        <v>17.899999999999999</v>
      </c>
      <c r="J1067" s="23">
        <v>9.5</v>
      </c>
      <c r="K1067" s="167">
        <v>2</v>
      </c>
      <c r="L1067" s="130">
        <f>(I1067*J1067*K1067/1000)</f>
        <v>0.34009999999999996</v>
      </c>
      <c r="M1067" s="20">
        <v>2</v>
      </c>
      <c r="N1067" s="23">
        <f t="shared" ref="N1067:N1068" si="235">J1067*M1067*I1067/1000</f>
        <v>0.34009999999999996</v>
      </c>
      <c r="O1067" s="20"/>
      <c r="P1067" s="112"/>
      <c r="Q1067" s="141"/>
      <c r="R1067" s="141"/>
      <c r="S1067" s="150" t="s">
        <v>287</v>
      </c>
    </row>
    <row r="1068" spans="1:19" ht="15.6">
      <c r="A1068" s="21"/>
      <c r="B1068" s="229" t="s">
        <v>67</v>
      </c>
      <c r="C1068" s="21"/>
      <c r="D1068" s="21"/>
      <c r="E1068" s="21"/>
      <c r="F1068" s="22"/>
      <c r="G1068" s="20" t="s">
        <v>21</v>
      </c>
      <c r="H1068" s="20" t="s">
        <v>129</v>
      </c>
      <c r="I1068" s="115">
        <v>17.899999999999999</v>
      </c>
      <c r="J1068" s="23">
        <v>10.8</v>
      </c>
      <c r="K1068" s="167">
        <v>2</v>
      </c>
      <c r="L1068" s="130">
        <f>(I1068*J1068*K1068/1000)</f>
        <v>0.38663999999999998</v>
      </c>
      <c r="M1068" s="20">
        <v>2</v>
      </c>
      <c r="N1068" s="23">
        <f t="shared" si="235"/>
        <v>0.38663999999999998</v>
      </c>
      <c r="O1068" s="20"/>
      <c r="P1068" s="112"/>
      <c r="Q1068" s="141"/>
      <c r="R1068" s="141"/>
    </row>
    <row r="1069" spans="1:19" ht="15.6">
      <c r="A1069" s="20"/>
      <c r="B1069" s="20"/>
      <c r="C1069" s="20"/>
      <c r="D1069" s="20"/>
      <c r="E1069" s="20"/>
      <c r="F1069" s="20"/>
      <c r="G1069" s="20"/>
      <c r="H1069" s="20"/>
      <c r="I1069" s="115"/>
      <c r="J1069" s="23"/>
      <c r="K1069" s="154">
        <f t="shared" ref="K1069:N1069" si="236">SUM(K1067:K1068)</f>
        <v>4</v>
      </c>
      <c r="L1069" s="128">
        <f t="shared" si="236"/>
        <v>0.72673999999999994</v>
      </c>
      <c r="M1069" s="25">
        <f t="shared" si="236"/>
        <v>4</v>
      </c>
      <c r="N1069" s="23">
        <f t="shared" si="236"/>
        <v>0.72673999999999994</v>
      </c>
      <c r="O1069" s="25"/>
      <c r="P1069" s="112"/>
      <c r="Q1069" s="141"/>
      <c r="R1069" s="141"/>
    </row>
    <row r="1070" spans="1:19" ht="15.6">
      <c r="A1070" s="20"/>
      <c r="B1070" s="20"/>
      <c r="C1070" s="20"/>
      <c r="D1070" s="20"/>
      <c r="E1070" s="20"/>
      <c r="F1070" s="20"/>
      <c r="G1070" s="20"/>
      <c r="H1070" s="20"/>
      <c r="I1070" s="115"/>
      <c r="J1070" s="23"/>
      <c r="K1070" s="154"/>
      <c r="L1070" s="128"/>
      <c r="M1070" s="20"/>
      <c r="N1070" s="20"/>
      <c r="O1070" s="20"/>
      <c r="P1070" s="112"/>
      <c r="Q1070" s="141"/>
      <c r="R1070" s="141"/>
    </row>
    <row r="1071" spans="1:19" ht="15.6">
      <c r="A1071" s="21" t="s">
        <v>174</v>
      </c>
      <c r="B1071" s="21" t="s">
        <v>224</v>
      </c>
      <c r="C1071" s="21" t="s">
        <v>19</v>
      </c>
      <c r="D1071" s="21" t="s">
        <v>20</v>
      </c>
      <c r="E1071" s="63" t="s">
        <v>51</v>
      </c>
      <c r="F1071" s="22">
        <v>14</v>
      </c>
      <c r="G1071" s="20" t="s">
        <v>21</v>
      </c>
      <c r="H1071" s="408" t="s">
        <v>129</v>
      </c>
      <c r="I1071" s="115">
        <v>17.899999999999999</v>
      </c>
      <c r="J1071" s="23">
        <v>6.6120000000000001</v>
      </c>
      <c r="K1071" s="167">
        <v>51</v>
      </c>
      <c r="L1071" s="130">
        <f>(I1071*J1071*K1071/1000)</f>
        <v>6.0360947999999999</v>
      </c>
      <c r="M1071" s="20"/>
      <c r="N1071" s="20"/>
      <c r="O1071" s="20"/>
      <c r="P1071" s="112"/>
      <c r="Q1071" s="141"/>
      <c r="R1071" s="141"/>
      <c r="S1071" s="150" t="s">
        <v>286</v>
      </c>
    </row>
    <row r="1072" spans="1:19" ht="15.6">
      <c r="A1072" s="20"/>
      <c r="B1072" s="229" t="s">
        <v>231</v>
      </c>
      <c r="C1072" s="20"/>
      <c r="D1072" s="20"/>
      <c r="E1072" s="20"/>
      <c r="F1072" s="20"/>
      <c r="G1072" s="20" t="s">
        <v>21</v>
      </c>
      <c r="H1072" s="20" t="s">
        <v>129</v>
      </c>
      <c r="I1072" s="115">
        <v>17.899999999999999</v>
      </c>
      <c r="J1072" s="23">
        <v>6.8</v>
      </c>
      <c r="K1072" s="167">
        <v>25</v>
      </c>
      <c r="L1072" s="130">
        <f>(I1072*J1072*K1072/1000)</f>
        <v>3.0429999999999997</v>
      </c>
      <c r="M1072" s="20"/>
      <c r="N1072" s="20"/>
      <c r="O1072" s="20"/>
      <c r="P1072" s="112"/>
      <c r="Q1072" s="141"/>
      <c r="R1072" s="141"/>
    </row>
    <row r="1073" spans="1:19" ht="15.6">
      <c r="A1073" s="20"/>
      <c r="B1073" s="20"/>
      <c r="C1073" s="20"/>
      <c r="D1073" s="20"/>
      <c r="E1073" s="20"/>
      <c r="F1073" s="20"/>
      <c r="G1073" s="20" t="s">
        <v>21</v>
      </c>
      <c r="H1073" s="20" t="s">
        <v>129</v>
      </c>
      <c r="I1073" s="115">
        <v>17.899999999999999</v>
      </c>
      <c r="J1073" s="23">
        <v>6.8010000000000002</v>
      </c>
      <c r="K1073" s="167">
        <v>48</v>
      </c>
      <c r="L1073" s="130">
        <f>(I1073*J1073*K1073/1000)</f>
        <v>5.8434192000000005</v>
      </c>
      <c r="M1073" s="20"/>
      <c r="N1073" s="20"/>
      <c r="O1073" s="20"/>
      <c r="P1073" s="112"/>
      <c r="Q1073" s="141"/>
      <c r="R1073" s="141"/>
    </row>
    <row r="1074" spans="1:19" ht="15.6">
      <c r="A1074" s="20"/>
      <c r="B1074" s="20"/>
      <c r="C1074" s="20"/>
      <c r="D1074" s="20"/>
      <c r="E1074" s="20"/>
      <c r="F1074" s="20"/>
      <c r="G1074" s="20" t="s">
        <v>21</v>
      </c>
      <c r="H1074" s="20" t="s">
        <v>129</v>
      </c>
      <c r="I1074" s="115">
        <v>17.899999999999999</v>
      </c>
      <c r="J1074" s="23">
        <v>8.3000000000000007</v>
      </c>
      <c r="K1074" s="167">
        <v>13</v>
      </c>
      <c r="L1074" s="130">
        <f>(I1074*J1074*K1074/1000)</f>
        <v>1.9314099999999998</v>
      </c>
      <c r="M1074" s="20"/>
      <c r="N1074" s="20"/>
      <c r="O1074" s="20"/>
      <c r="P1074" s="112"/>
      <c r="Q1074" s="141"/>
      <c r="R1074" s="141"/>
    </row>
    <row r="1075" spans="1:19" ht="15.6">
      <c r="A1075" s="20"/>
      <c r="B1075" s="20"/>
      <c r="C1075" s="20"/>
      <c r="D1075" s="20"/>
      <c r="E1075" s="20"/>
      <c r="F1075" s="20"/>
      <c r="G1075" s="20" t="s">
        <v>21</v>
      </c>
      <c r="H1075" s="20" t="s">
        <v>129</v>
      </c>
      <c r="I1075" s="115">
        <v>17.899999999999999</v>
      </c>
      <c r="J1075" s="23">
        <v>9.8000000000000007</v>
      </c>
      <c r="K1075" s="167">
        <v>55</v>
      </c>
      <c r="L1075" s="130">
        <f>(I1075*J1075*K1075/1000)</f>
        <v>9.6480999999999977</v>
      </c>
      <c r="M1075" s="20"/>
      <c r="N1075" s="20"/>
      <c r="O1075" s="20"/>
      <c r="P1075" s="112"/>
      <c r="Q1075" s="141"/>
      <c r="R1075" s="141"/>
    </row>
    <row r="1076" spans="1:19" ht="15.6">
      <c r="A1076" s="20"/>
      <c r="B1076" s="20"/>
      <c r="C1076" s="20"/>
      <c r="D1076" s="20"/>
      <c r="E1076" s="20"/>
      <c r="F1076" s="20"/>
      <c r="G1076" s="20"/>
      <c r="H1076" s="20"/>
      <c r="I1076" s="115"/>
      <c r="J1076" s="23"/>
      <c r="K1076" s="154">
        <f>SUM(K1071:K1075)</f>
        <v>192</v>
      </c>
      <c r="L1076" s="128">
        <f>SUM(L1071:L1075)</f>
        <v>26.502023999999999</v>
      </c>
      <c r="M1076" s="25">
        <f>SUM(M1071:M1075)</f>
        <v>0</v>
      </c>
      <c r="N1076" s="23">
        <f>SUM(N1071:N1075)</f>
        <v>0</v>
      </c>
      <c r="O1076" s="20"/>
      <c r="P1076" s="112"/>
      <c r="Q1076" s="141"/>
      <c r="R1076" s="141"/>
    </row>
    <row r="1077" spans="1:19" ht="15.6">
      <c r="A1077" s="20"/>
      <c r="B1077" s="20"/>
      <c r="C1077" s="20"/>
      <c r="D1077" s="20"/>
      <c r="E1077" s="20"/>
      <c r="F1077" s="20"/>
      <c r="G1077" s="20"/>
      <c r="H1077" s="20"/>
      <c r="I1077" s="115"/>
      <c r="J1077" s="23"/>
      <c r="K1077" s="154"/>
      <c r="L1077" s="128"/>
      <c r="M1077" s="25"/>
      <c r="N1077" s="23"/>
      <c r="O1077" s="20"/>
      <c r="P1077" s="112"/>
      <c r="Q1077" s="141"/>
      <c r="R1077" s="141"/>
    </row>
    <row r="1078" spans="1:19" ht="15.6">
      <c r="A1078" s="21" t="s">
        <v>83</v>
      </c>
      <c r="B1078" s="21" t="s">
        <v>132</v>
      </c>
      <c r="C1078" s="21" t="s">
        <v>19</v>
      </c>
      <c r="D1078" s="21" t="s">
        <v>20</v>
      </c>
      <c r="E1078" s="63" t="s">
        <v>51</v>
      </c>
      <c r="F1078" s="22">
        <v>14</v>
      </c>
      <c r="G1078" s="20" t="s">
        <v>21</v>
      </c>
      <c r="H1078" s="20" t="s">
        <v>129</v>
      </c>
      <c r="I1078" s="115">
        <v>17.899999999999999</v>
      </c>
      <c r="J1078" s="23">
        <v>9.1</v>
      </c>
      <c r="K1078" s="25">
        <v>5</v>
      </c>
      <c r="L1078" s="130">
        <f>(I1078*J1078*K1078/1000)</f>
        <v>0.8144499999999999</v>
      </c>
      <c r="M1078" s="25"/>
      <c r="N1078" s="23"/>
      <c r="O1078" s="20"/>
      <c r="P1078" s="112"/>
      <c r="Q1078" s="141"/>
      <c r="R1078" s="141"/>
    </row>
    <row r="1079" spans="1:19" ht="15.6">
      <c r="A1079" s="20"/>
      <c r="B1079" s="248" t="s">
        <v>240</v>
      </c>
      <c r="C1079" s="20"/>
      <c r="D1079" s="20"/>
      <c r="E1079" s="20"/>
      <c r="F1079" s="20"/>
      <c r="G1079" s="20"/>
      <c r="H1079" s="20"/>
      <c r="I1079" s="115"/>
      <c r="J1079" s="23"/>
      <c r="K1079" s="154">
        <f>SUM(K1078)</f>
        <v>5</v>
      </c>
      <c r="L1079" s="128">
        <f>SUM(L1078)</f>
        <v>0.8144499999999999</v>
      </c>
      <c r="M1079" s="154">
        <f>SUM(M1078)</f>
        <v>0</v>
      </c>
      <c r="N1079" s="23">
        <f>SUM(N1078)</f>
        <v>0</v>
      </c>
      <c r="O1079" s="20"/>
      <c r="P1079" s="112"/>
      <c r="Q1079" s="141"/>
      <c r="R1079" s="141"/>
    </row>
    <row r="1080" spans="1:19" ht="15.6">
      <c r="A1080" s="20"/>
      <c r="B1080" s="20"/>
      <c r="C1080" s="20"/>
      <c r="D1080" s="20"/>
      <c r="E1080" s="20"/>
      <c r="F1080" s="20"/>
      <c r="G1080" s="20"/>
      <c r="H1080" s="20"/>
      <c r="I1080" s="115"/>
      <c r="J1080" s="23"/>
      <c r="K1080" s="25">
        <f>+K1076+K1069+K1065+K1079</f>
        <v>226</v>
      </c>
      <c r="L1080" s="128">
        <f>+L1076+L1069+L1065+L1079</f>
        <v>32.294463999999998</v>
      </c>
      <c r="M1080" s="25">
        <f>+M1076+M1069+M1065+M1079</f>
        <v>12</v>
      </c>
      <c r="N1080" s="23">
        <f>+N1076+N1069+N1065+N1079</f>
        <v>2.0871399999999998</v>
      </c>
      <c r="O1080" s="20"/>
      <c r="P1080" s="112"/>
      <c r="Q1080" s="141"/>
      <c r="R1080" s="141"/>
    </row>
    <row r="1081" spans="1:19" ht="15.6">
      <c r="A1081" s="20"/>
      <c r="B1081" s="20"/>
      <c r="C1081" s="20"/>
      <c r="D1081" s="20"/>
      <c r="E1081" s="20"/>
      <c r="F1081" s="20"/>
      <c r="G1081" s="20"/>
      <c r="H1081" s="20"/>
      <c r="I1081" s="115"/>
      <c r="J1081" s="23"/>
      <c r="K1081" s="154"/>
      <c r="L1081" s="128"/>
      <c r="M1081" s="25"/>
      <c r="N1081" s="23"/>
      <c r="O1081" s="20"/>
      <c r="P1081" s="112"/>
      <c r="Q1081" s="141"/>
      <c r="R1081" s="141"/>
    </row>
    <row r="1082" spans="1:19" s="251" customFormat="1" ht="15.6">
      <c r="A1082" s="20"/>
      <c r="B1082" s="20"/>
      <c r="C1082" s="20"/>
      <c r="D1082" s="20"/>
      <c r="E1082" s="20"/>
      <c r="F1082" s="20"/>
      <c r="G1082" s="20"/>
      <c r="H1082" s="20"/>
      <c r="I1082" s="115"/>
      <c r="J1082" s="23"/>
      <c r="K1082" s="154"/>
      <c r="L1082" s="128"/>
      <c r="M1082" s="25"/>
      <c r="N1082" s="23"/>
      <c r="O1082" s="20"/>
      <c r="P1082" s="112"/>
      <c r="Q1082" s="141"/>
      <c r="R1082" s="141"/>
    </row>
    <row r="1083" spans="1:19" s="251" customFormat="1" ht="15.6">
      <c r="A1083" s="20"/>
      <c r="B1083" s="20"/>
      <c r="C1083" s="20"/>
      <c r="D1083" s="20"/>
      <c r="E1083" s="20"/>
      <c r="F1083" s="20"/>
      <c r="G1083" s="20"/>
      <c r="H1083" s="20"/>
      <c r="I1083" s="115"/>
      <c r="J1083" s="23"/>
      <c r="K1083" s="154"/>
      <c r="L1083" s="128"/>
      <c r="M1083" s="25"/>
      <c r="N1083" s="23"/>
      <c r="O1083" s="20"/>
      <c r="P1083" s="112"/>
      <c r="Q1083" s="141"/>
      <c r="R1083" s="141"/>
    </row>
    <row r="1084" spans="1:19" s="251" customFormat="1" ht="15.6">
      <c r="A1084" s="21" t="s">
        <v>174</v>
      </c>
      <c r="B1084" s="21" t="s">
        <v>245</v>
      </c>
      <c r="C1084" s="21" t="s">
        <v>19</v>
      </c>
      <c r="D1084" s="21" t="s">
        <v>60</v>
      </c>
      <c r="E1084" s="21" t="s">
        <v>90</v>
      </c>
      <c r="F1084" s="22">
        <v>14</v>
      </c>
      <c r="G1084" s="20" t="s">
        <v>61</v>
      </c>
      <c r="H1084" s="408" t="s">
        <v>129</v>
      </c>
      <c r="I1084" s="115">
        <v>17.899999999999999</v>
      </c>
      <c r="J1084" s="23">
        <v>8.1</v>
      </c>
      <c r="K1084" s="25">
        <v>8</v>
      </c>
      <c r="L1084" s="130">
        <f t="shared" ref="L1084:L1086" si="237">(I1084*J1084*K1084/1000)</f>
        <v>1.1599199999999998</v>
      </c>
      <c r="M1084" s="25"/>
      <c r="N1084" s="23"/>
      <c r="O1084" s="20"/>
      <c r="P1084" s="112"/>
      <c r="Q1084" s="141"/>
      <c r="R1084" s="141"/>
      <c r="S1084" s="150" t="s">
        <v>286</v>
      </c>
    </row>
    <row r="1085" spans="1:19" s="251" customFormat="1" ht="15.6">
      <c r="A1085" s="20"/>
      <c r="B1085" s="229" t="s">
        <v>249</v>
      </c>
      <c r="C1085" s="20"/>
      <c r="D1085" s="20"/>
      <c r="E1085" s="20"/>
      <c r="F1085" s="20"/>
      <c r="G1085" s="20" t="s">
        <v>61</v>
      </c>
      <c r="H1085" s="20" t="s">
        <v>129</v>
      </c>
      <c r="I1085" s="115">
        <v>17.899999999999999</v>
      </c>
      <c r="J1085" s="23">
        <v>9.6999999999999993</v>
      </c>
      <c r="K1085" s="25">
        <v>12</v>
      </c>
      <c r="L1085" s="130">
        <f t="shared" si="237"/>
        <v>2.0835599999999994</v>
      </c>
      <c r="M1085" s="25"/>
      <c r="N1085" s="23"/>
      <c r="O1085" s="20"/>
      <c r="P1085" s="112"/>
      <c r="Q1085" s="141"/>
      <c r="R1085" s="141"/>
    </row>
    <row r="1086" spans="1:19" s="251" customFormat="1" ht="15.6">
      <c r="A1086" s="20"/>
      <c r="B1086" s="20"/>
      <c r="C1086" s="20"/>
      <c r="D1086" s="20"/>
      <c r="E1086" s="20"/>
      <c r="F1086" s="20"/>
      <c r="G1086" s="20" t="s">
        <v>61</v>
      </c>
      <c r="H1086" s="20" t="s">
        <v>129</v>
      </c>
      <c r="I1086" s="115">
        <v>17.899999999999999</v>
      </c>
      <c r="J1086" s="23">
        <v>10.9</v>
      </c>
      <c r="K1086" s="25">
        <v>6</v>
      </c>
      <c r="L1086" s="130">
        <f t="shared" si="237"/>
        <v>1.1706599999999998</v>
      </c>
      <c r="M1086" s="25"/>
      <c r="N1086" s="23"/>
      <c r="O1086" s="20"/>
      <c r="P1086" s="112"/>
      <c r="Q1086" s="141"/>
      <c r="R1086" s="141"/>
    </row>
    <row r="1087" spans="1:19" s="251" customFormat="1" ht="15.6">
      <c r="A1087" s="20"/>
      <c r="B1087" s="20"/>
      <c r="C1087" s="20"/>
      <c r="D1087" s="20"/>
      <c r="E1087" s="20"/>
      <c r="F1087" s="20"/>
      <c r="G1087" s="20"/>
      <c r="H1087" s="125"/>
      <c r="I1087" s="115"/>
      <c r="J1087" s="23"/>
      <c r="K1087" s="25">
        <f>SUM(K1084:K1086)</f>
        <v>26</v>
      </c>
      <c r="L1087" s="128">
        <f>SUM(L1084:L1086)</f>
        <v>4.4141399999999988</v>
      </c>
      <c r="M1087" s="25"/>
      <c r="N1087" s="23"/>
      <c r="O1087" s="20"/>
      <c r="P1087" s="112"/>
      <c r="Q1087" s="141"/>
      <c r="R1087" s="141"/>
    </row>
    <row r="1088" spans="1:19" s="251" customFormat="1" ht="15.6">
      <c r="A1088" s="20"/>
      <c r="B1088" s="20"/>
      <c r="C1088" s="20"/>
      <c r="D1088" s="20"/>
      <c r="E1088" s="20"/>
      <c r="F1088" s="20"/>
      <c r="G1088" s="20"/>
      <c r="H1088" s="20"/>
      <c r="I1088" s="115"/>
      <c r="J1088" s="23"/>
      <c r="K1088" s="154"/>
      <c r="L1088" s="128"/>
      <c r="M1088" s="25"/>
      <c r="N1088" s="23"/>
      <c r="O1088" s="20"/>
      <c r="P1088" s="112"/>
      <c r="Q1088" s="141"/>
      <c r="R1088" s="141"/>
    </row>
    <row r="1089" spans="1:19" s="251" customFormat="1" ht="15.6">
      <c r="A1089" s="21" t="s">
        <v>174</v>
      </c>
      <c r="B1089" s="21" t="s">
        <v>245</v>
      </c>
      <c r="C1089" s="21" t="s">
        <v>19</v>
      </c>
      <c r="D1089" s="21" t="s">
        <v>60</v>
      </c>
      <c r="E1089" s="21" t="s">
        <v>256</v>
      </c>
      <c r="F1089" s="22">
        <v>14</v>
      </c>
      <c r="G1089" s="20" t="s">
        <v>61</v>
      </c>
      <c r="H1089" s="408" t="s">
        <v>129</v>
      </c>
      <c r="I1089" s="115">
        <v>17.899999999999999</v>
      </c>
      <c r="J1089" s="23">
        <v>8.1</v>
      </c>
      <c r="K1089" s="25">
        <v>128</v>
      </c>
      <c r="L1089" s="130">
        <f>(I1089*J1089*K1089/1000)</f>
        <v>18.558719999999997</v>
      </c>
      <c r="M1089" s="25"/>
      <c r="N1089" s="23"/>
      <c r="O1089" s="20"/>
      <c r="P1089" s="112"/>
      <c r="Q1089" s="141"/>
      <c r="R1089" s="141"/>
      <c r="S1089" s="150" t="s">
        <v>286</v>
      </c>
    </row>
    <row r="1090" spans="1:19" s="251" customFormat="1" ht="15.6">
      <c r="A1090" s="20"/>
      <c r="B1090" s="229" t="s">
        <v>249</v>
      </c>
      <c r="C1090" s="20"/>
      <c r="D1090" s="20"/>
      <c r="E1090" s="20"/>
      <c r="F1090" s="20"/>
      <c r="G1090" s="20" t="s">
        <v>61</v>
      </c>
      <c r="H1090" s="20" t="s">
        <v>129</v>
      </c>
      <c r="I1090" s="115">
        <v>17.899999999999999</v>
      </c>
      <c r="J1090" s="23">
        <v>9.6999999999999993</v>
      </c>
      <c r="K1090" s="25">
        <v>18</v>
      </c>
      <c r="L1090" s="130">
        <f>(I1090*J1090*K1090/1000)</f>
        <v>3.1253399999999991</v>
      </c>
      <c r="M1090" s="25"/>
      <c r="N1090" s="23"/>
      <c r="O1090" s="20"/>
      <c r="P1090" s="112"/>
      <c r="Q1090" s="141"/>
      <c r="R1090" s="141"/>
    </row>
    <row r="1091" spans="1:19" s="251" customFormat="1" ht="15.6">
      <c r="A1091" s="20"/>
      <c r="B1091" s="20"/>
      <c r="C1091" s="20"/>
      <c r="D1091" s="20"/>
      <c r="E1091" s="20"/>
      <c r="F1091" s="20"/>
      <c r="G1091" s="20" t="s">
        <v>61</v>
      </c>
      <c r="H1091" s="20" t="s">
        <v>129</v>
      </c>
      <c r="I1091" s="115">
        <v>17.899999999999999</v>
      </c>
      <c r="J1091" s="23">
        <v>10.9</v>
      </c>
      <c r="K1091" s="25">
        <v>12</v>
      </c>
      <c r="L1091" s="130">
        <f>(I1091*J1091*K1091/1000)</f>
        <v>2.3413199999999996</v>
      </c>
      <c r="M1091" s="25"/>
      <c r="N1091" s="23"/>
      <c r="O1091" s="20"/>
      <c r="P1091" s="112"/>
      <c r="Q1091" s="141"/>
      <c r="R1091" s="141"/>
    </row>
    <row r="1092" spans="1:19" s="251" customFormat="1" ht="15.6">
      <c r="A1092" s="20"/>
      <c r="B1092" s="20"/>
      <c r="C1092" s="20"/>
      <c r="D1092" s="20"/>
      <c r="E1092" s="20"/>
      <c r="F1092" s="20"/>
      <c r="G1092" s="20" t="s">
        <v>61</v>
      </c>
      <c r="H1092" s="20" t="s">
        <v>129</v>
      </c>
      <c r="I1092" s="115">
        <v>17.899999999999999</v>
      </c>
      <c r="J1092" s="23">
        <v>10.913</v>
      </c>
      <c r="K1092" s="25">
        <v>48</v>
      </c>
      <c r="L1092" s="130">
        <f>(I1092*J1092*K1092/1000)</f>
        <v>9.3764495999999991</v>
      </c>
      <c r="M1092" s="25"/>
      <c r="N1092" s="23"/>
      <c r="O1092" s="20"/>
      <c r="P1092" s="112"/>
      <c r="Q1092" s="141"/>
      <c r="R1092" s="141"/>
    </row>
    <row r="1093" spans="1:19" s="251" customFormat="1" ht="15.6">
      <c r="A1093" s="20"/>
      <c r="B1093" s="20"/>
      <c r="C1093" s="20"/>
      <c r="D1093" s="20"/>
      <c r="E1093" s="20"/>
      <c r="F1093" s="20"/>
      <c r="G1093" s="20"/>
      <c r="H1093" s="125"/>
      <c r="I1093" s="115"/>
      <c r="J1093" s="23"/>
      <c r="K1093" s="25">
        <f>SUM(K1089:K1092)</f>
        <v>206</v>
      </c>
      <c r="L1093" s="128">
        <f>SUM(L1089:L1092)</f>
        <v>33.401829599999992</v>
      </c>
      <c r="M1093" s="25"/>
      <c r="N1093" s="23"/>
      <c r="O1093" s="20"/>
      <c r="P1093" s="112"/>
      <c r="Q1093" s="141"/>
      <c r="R1093" s="141"/>
    </row>
    <row r="1094" spans="1:19" s="251" customFormat="1" ht="15.6">
      <c r="A1094" s="20"/>
      <c r="B1094" s="20"/>
      <c r="C1094" s="20"/>
      <c r="D1094" s="20"/>
      <c r="E1094" s="20"/>
      <c r="F1094" s="20"/>
      <c r="G1094" s="20"/>
      <c r="H1094" s="20"/>
      <c r="I1094" s="115"/>
      <c r="J1094" s="23"/>
      <c r="K1094" s="154"/>
      <c r="L1094" s="128">
        <f>+L1093+L1087</f>
        <v>37.815969599999988</v>
      </c>
      <c r="M1094" s="25"/>
      <c r="N1094" s="23"/>
      <c r="O1094" s="20"/>
      <c r="P1094" s="112"/>
      <c r="Q1094" s="141"/>
      <c r="R1094" s="141"/>
    </row>
    <row r="1095" spans="1:19" s="251" customFormat="1" ht="15.6">
      <c r="A1095" s="20"/>
      <c r="B1095" s="20"/>
      <c r="C1095" s="20"/>
      <c r="D1095" s="20"/>
      <c r="E1095" s="20"/>
      <c r="F1095" s="20"/>
      <c r="G1095" s="20"/>
      <c r="H1095" s="20"/>
      <c r="I1095" s="115"/>
      <c r="J1095" s="23"/>
      <c r="K1095" s="154"/>
      <c r="L1095" s="128"/>
      <c r="M1095" s="25"/>
      <c r="N1095" s="23"/>
      <c r="O1095" s="20"/>
      <c r="P1095" s="112"/>
      <c r="Q1095" s="141"/>
      <c r="R1095" s="141"/>
    </row>
    <row r="1096" spans="1:19" s="251" customFormat="1" ht="15.6">
      <c r="A1096" s="20"/>
      <c r="B1096" s="20"/>
      <c r="C1096" s="20"/>
      <c r="D1096" s="20"/>
      <c r="E1096" s="20"/>
      <c r="F1096" s="20"/>
      <c r="G1096" s="20"/>
      <c r="H1096" s="20"/>
      <c r="I1096" s="115"/>
      <c r="J1096" s="23"/>
      <c r="K1096" s="154"/>
      <c r="L1096" s="128"/>
      <c r="M1096" s="25"/>
      <c r="N1096" s="23"/>
      <c r="O1096" s="20"/>
      <c r="P1096" s="112"/>
      <c r="Q1096" s="141"/>
      <c r="R1096" s="141"/>
    </row>
    <row r="1097" spans="1:19" s="251" customFormat="1" ht="15.6">
      <c r="A1097" s="313" t="s">
        <v>174</v>
      </c>
      <c r="B1097" s="313" t="s">
        <v>245</v>
      </c>
      <c r="C1097" s="313" t="s">
        <v>19</v>
      </c>
      <c r="D1097" s="313" t="s">
        <v>60</v>
      </c>
      <c r="E1097" s="313" t="s">
        <v>90</v>
      </c>
      <c r="F1097" s="314">
        <v>14</v>
      </c>
      <c r="G1097" s="143" t="s">
        <v>61</v>
      </c>
      <c r="H1097" s="143" t="s">
        <v>124</v>
      </c>
      <c r="I1097" s="315">
        <v>19.8</v>
      </c>
      <c r="J1097" s="144">
        <v>8.6999999999999993</v>
      </c>
      <c r="K1097" s="316">
        <v>12</v>
      </c>
      <c r="L1097" s="306">
        <f>(I1097*J1097*K1097/1000)</f>
        <v>2.0671200000000001</v>
      </c>
      <c r="M1097" s="316">
        <v>12</v>
      </c>
      <c r="N1097" s="144">
        <f>J1097*M1097*I1097/1000</f>
        <v>2.0671200000000001</v>
      </c>
      <c r="O1097" s="20"/>
      <c r="P1097" s="112"/>
      <c r="Q1097" s="141"/>
      <c r="R1097" s="141"/>
    </row>
    <row r="1098" spans="1:19" s="251" customFormat="1" ht="15.6">
      <c r="A1098" s="143"/>
      <c r="B1098" s="317" t="s">
        <v>249</v>
      </c>
      <c r="C1098" s="143"/>
      <c r="D1098" s="143"/>
      <c r="E1098" s="143"/>
      <c r="F1098" s="143"/>
      <c r="G1098" s="143" t="s">
        <v>61</v>
      </c>
      <c r="H1098" s="143" t="s">
        <v>124</v>
      </c>
      <c r="I1098" s="315">
        <v>19.8</v>
      </c>
      <c r="J1098" s="144">
        <v>11.4</v>
      </c>
      <c r="K1098" s="316">
        <v>6</v>
      </c>
      <c r="L1098" s="306">
        <f>(I1098*J1098*K1098/1000)</f>
        <v>1.3543200000000002</v>
      </c>
      <c r="M1098" s="316">
        <v>6</v>
      </c>
      <c r="N1098" s="144">
        <f>J1098*M1098*I1098/1000</f>
        <v>1.3543200000000002</v>
      </c>
      <c r="O1098" s="20" t="s">
        <v>255</v>
      </c>
      <c r="P1098" s="112"/>
      <c r="Q1098" s="141"/>
      <c r="R1098" s="141"/>
    </row>
    <row r="1099" spans="1:19" s="251" customFormat="1" ht="15.6">
      <c r="A1099" s="143"/>
      <c r="B1099" s="143"/>
      <c r="C1099" s="143"/>
      <c r="D1099" s="143"/>
      <c r="E1099" s="143"/>
      <c r="F1099" s="143"/>
      <c r="G1099" s="143"/>
      <c r="H1099" s="318"/>
      <c r="I1099" s="315"/>
      <c r="J1099" s="144"/>
      <c r="K1099" s="316">
        <f>SUM(K1097:K1098)</f>
        <v>18</v>
      </c>
      <c r="L1099" s="307">
        <f>SUM(L1097:L1098)</f>
        <v>3.4214400000000005</v>
      </c>
      <c r="M1099" s="316">
        <f>SUM(M1097:M1098)</f>
        <v>18</v>
      </c>
      <c r="N1099" s="144">
        <f>SUM(N1097:N1098)</f>
        <v>3.4214400000000005</v>
      </c>
      <c r="O1099" s="20"/>
      <c r="P1099" s="112"/>
      <c r="Q1099" s="141"/>
      <c r="R1099" s="141"/>
    </row>
    <row r="1100" spans="1:19" s="251" customFormat="1" ht="15.6">
      <c r="A1100" s="20"/>
      <c r="B1100" s="20"/>
      <c r="C1100" s="20"/>
      <c r="D1100" s="20"/>
      <c r="E1100" s="20"/>
      <c r="F1100" s="20"/>
      <c r="G1100" s="20"/>
      <c r="H1100" s="20"/>
      <c r="I1100" s="115"/>
      <c r="J1100" s="23"/>
      <c r="K1100" s="154"/>
      <c r="L1100" s="128"/>
      <c r="M1100" s="25"/>
      <c r="N1100" s="23"/>
      <c r="O1100" s="20"/>
      <c r="P1100" s="112"/>
      <c r="Q1100" s="141"/>
      <c r="R1100" s="141"/>
    </row>
    <row r="1101" spans="1:19" s="251" customFormat="1" ht="15.6">
      <c r="A1101" s="20"/>
      <c r="B1101" s="20"/>
      <c r="C1101" s="20"/>
      <c r="D1101" s="20"/>
      <c r="E1101" s="20"/>
      <c r="F1101" s="20"/>
      <c r="G1101" s="20"/>
      <c r="H1101" s="20"/>
      <c r="I1101" s="115"/>
      <c r="J1101" s="23"/>
      <c r="K1101" s="154"/>
      <c r="L1101" s="128"/>
      <c r="M1101" s="25"/>
      <c r="N1101" s="23"/>
      <c r="O1101" s="20"/>
      <c r="P1101" s="112"/>
      <c r="Q1101" s="141"/>
      <c r="R1101" s="141"/>
    </row>
    <row r="1102" spans="1:19" ht="15.6">
      <c r="A1102" s="20"/>
      <c r="B1102" s="20"/>
      <c r="C1102" s="20"/>
      <c r="D1102" s="20"/>
      <c r="E1102" s="20"/>
      <c r="F1102" s="20"/>
      <c r="G1102" s="20"/>
      <c r="H1102" s="20"/>
      <c r="I1102" s="115"/>
      <c r="J1102" s="23"/>
      <c r="K1102" s="25"/>
      <c r="L1102" s="128"/>
      <c r="M1102" s="25"/>
      <c r="N1102" s="23"/>
      <c r="O1102" s="20"/>
      <c r="P1102" s="112"/>
      <c r="Q1102" s="141"/>
      <c r="R1102" s="141"/>
    </row>
    <row r="1103" spans="1:19" ht="15.6">
      <c r="A1103" s="114"/>
      <c r="B1103" s="114"/>
      <c r="C1103" s="114"/>
      <c r="D1103" s="114"/>
      <c r="E1103" s="114"/>
      <c r="F1103" s="114"/>
      <c r="G1103" s="114"/>
      <c r="H1103" s="114"/>
      <c r="I1103" s="1863"/>
      <c r="J1103" s="114"/>
      <c r="K1103" s="392"/>
      <c r="L1103" s="132">
        <f>+L1080+L1061+L1046+L1099+L1094</f>
        <v>161.47385360000001</v>
      </c>
      <c r="M1103" s="114"/>
      <c r="N1103" s="393">
        <f>+N1080+N1061+N1046+N1099+N1094</f>
        <v>27.968900000000001</v>
      </c>
      <c r="O1103" s="114"/>
      <c r="P1103" s="251"/>
    </row>
    <row r="1104" spans="1:19">
      <c r="A1104" s="10" t="s">
        <v>48</v>
      </c>
      <c r="B1104" s="10"/>
      <c r="C1104" s="11"/>
      <c r="D1104" s="11"/>
      <c r="E1104" s="11"/>
      <c r="F1104" s="92"/>
      <c r="G1104" s="11"/>
      <c r="H1104" s="92"/>
      <c r="I1104" s="13"/>
      <c r="J1104" s="11"/>
      <c r="K1104" s="202"/>
      <c r="L1104" s="2047" t="s">
        <v>0</v>
      </c>
      <c r="M1104" s="2047"/>
      <c r="N1104" s="2047"/>
      <c r="O1104" s="2048"/>
      <c r="P1104" s="2020"/>
      <c r="Q1104" s="142"/>
      <c r="R1104" s="142"/>
    </row>
    <row r="1105" spans="1:18">
      <c r="A1105" s="14" t="s">
        <v>1</v>
      </c>
      <c r="B1105" s="14"/>
      <c r="C1105" s="14"/>
      <c r="D1105" s="15" t="s">
        <v>2</v>
      </c>
      <c r="E1105" s="15"/>
      <c r="F1105" s="16"/>
      <c r="G1105" s="16"/>
      <c r="H1105" s="16"/>
      <c r="I1105" s="17"/>
      <c r="J1105" s="16"/>
      <c r="K1105" s="203" t="s">
        <v>3</v>
      </c>
      <c r="L1105" s="16"/>
      <c r="M1105" s="14"/>
      <c r="N1105" s="16"/>
      <c r="O1105" s="19"/>
      <c r="P1105" s="2020"/>
      <c r="Q1105" s="142"/>
      <c r="R1105" s="142"/>
    </row>
    <row r="1106" spans="1:18" ht="15.6">
      <c r="A1106" s="164" t="s">
        <v>22</v>
      </c>
      <c r="B1106" s="2021" t="s">
        <v>23</v>
      </c>
      <c r="C1106" s="2022"/>
      <c r="D1106" s="2023"/>
      <c r="E1106" s="164" t="s">
        <v>24</v>
      </c>
      <c r="F1106" s="2021" t="s">
        <v>25</v>
      </c>
      <c r="G1106" s="2023"/>
      <c r="H1106" s="2021" t="s">
        <v>26</v>
      </c>
      <c r="I1106" s="2022"/>
      <c r="J1106" s="2022"/>
      <c r="K1106" s="2023"/>
      <c r="L1106" s="2024" t="s">
        <v>27</v>
      </c>
      <c r="M1106" s="2024"/>
      <c r="N1106" s="2024"/>
      <c r="O1106" s="2021"/>
      <c r="P1106" s="2020"/>
      <c r="Q1106" s="142"/>
      <c r="R1106" s="142"/>
    </row>
    <row r="1107" spans="1:18" ht="15.6">
      <c r="A1107" s="38"/>
      <c r="B1107" s="2025"/>
      <c r="C1107" s="2026"/>
      <c r="D1107" s="2027"/>
      <c r="E1107" s="26"/>
      <c r="F1107" s="2025"/>
      <c r="G1107" s="2027"/>
      <c r="H1107" s="2025"/>
      <c r="I1107" s="2026"/>
      <c r="J1107" s="2026"/>
      <c r="K1107" s="2027"/>
      <c r="L1107" s="2025"/>
      <c r="M1107" s="2026"/>
      <c r="N1107" s="2026"/>
      <c r="O1107" s="2026"/>
      <c r="P1107" s="2020"/>
      <c r="Q1107" s="142"/>
      <c r="R1107" s="142"/>
    </row>
    <row r="1108" spans="1:18" ht="15.6">
      <c r="A1108" s="38"/>
      <c r="B1108" s="158"/>
      <c r="C1108" s="159"/>
      <c r="D1108" s="160"/>
      <c r="E1108" s="26"/>
      <c r="F1108" s="158"/>
      <c r="G1108" s="160"/>
      <c r="H1108" s="158"/>
      <c r="I1108" s="1856"/>
      <c r="J1108" s="159"/>
      <c r="K1108" s="204"/>
      <c r="L1108" s="279"/>
      <c r="M1108" s="159"/>
      <c r="N1108" s="159"/>
      <c r="O1108" s="159"/>
      <c r="P1108" s="2020"/>
      <c r="Q1108" s="142"/>
      <c r="R1108" s="142"/>
    </row>
    <row r="1109" spans="1:18" ht="15.6">
      <c r="A1109" s="38" t="s">
        <v>28</v>
      </c>
      <c r="B1109" s="2025" t="s">
        <v>141</v>
      </c>
      <c r="C1109" s="2026"/>
      <c r="D1109" s="2027"/>
      <c r="E1109" s="26">
        <f>+L1046-19.331-7.706-8.577</f>
        <v>41.271380000000022</v>
      </c>
      <c r="F1109" s="2025">
        <v>14</v>
      </c>
      <c r="G1109" s="2027"/>
      <c r="H1109" s="2025" t="s">
        <v>49</v>
      </c>
      <c r="I1109" s="2026"/>
      <c r="J1109" s="2026"/>
      <c r="K1109" s="2027"/>
      <c r="L1109" s="2025" t="s">
        <v>189</v>
      </c>
      <c r="M1109" s="2026"/>
      <c r="N1109" s="2026"/>
      <c r="O1109" s="2026"/>
      <c r="P1109" s="2020"/>
      <c r="Q1109" s="142"/>
      <c r="R1109" s="142"/>
    </row>
    <row r="1110" spans="1:18" ht="15.6">
      <c r="A1110" s="38" t="s">
        <v>29</v>
      </c>
      <c r="B1110" s="2025" t="s">
        <v>142</v>
      </c>
      <c r="C1110" s="2026"/>
      <c r="D1110" s="2027"/>
      <c r="E1110" s="26">
        <f>+L1080-2.257</f>
        <v>30.037463999999996</v>
      </c>
      <c r="F1110" s="2025">
        <v>14</v>
      </c>
      <c r="G1110" s="2027"/>
      <c r="H1110" s="2025" t="s">
        <v>49</v>
      </c>
      <c r="I1110" s="2026"/>
      <c r="J1110" s="2026"/>
      <c r="K1110" s="2027"/>
      <c r="L1110" s="2025" t="s">
        <v>189</v>
      </c>
      <c r="M1110" s="2026"/>
      <c r="N1110" s="2026"/>
      <c r="O1110" s="2026"/>
      <c r="P1110" s="2020"/>
      <c r="Q1110" s="142"/>
      <c r="R1110" s="142"/>
    </row>
    <row r="1111" spans="1:18" ht="15.6">
      <c r="A1111" s="38" t="s">
        <v>30</v>
      </c>
      <c r="B1111" s="2025" t="s">
        <v>141</v>
      </c>
      <c r="C1111" s="2026"/>
      <c r="D1111" s="2027"/>
      <c r="E1111" s="26">
        <f>+L1021+1.463+0.761+1.346+0.76+7.231-0.761</f>
        <v>18.506160000000001</v>
      </c>
      <c r="F1111" s="2025">
        <v>14</v>
      </c>
      <c r="G1111" s="2027"/>
      <c r="H1111" s="2025" t="s">
        <v>49</v>
      </c>
      <c r="I1111" s="2026"/>
      <c r="J1111" s="2026"/>
      <c r="K1111" s="2027"/>
      <c r="L1111" s="2025" t="s">
        <v>189</v>
      </c>
      <c r="M1111" s="2026"/>
      <c r="N1111" s="2026"/>
      <c r="O1111" s="2026"/>
      <c r="P1111" s="2020"/>
      <c r="Q1111" s="142"/>
      <c r="R1111" s="142"/>
    </row>
    <row r="1112" spans="1:18" ht="15.6">
      <c r="A1112" s="38" t="s">
        <v>46</v>
      </c>
      <c r="B1112" s="2025" t="s">
        <v>139</v>
      </c>
      <c r="C1112" s="2026"/>
      <c r="D1112" s="2027"/>
      <c r="E1112" s="26">
        <f>+L1061-5.959</f>
        <v>5.0975999999999999</v>
      </c>
      <c r="F1112" s="2025">
        <v>14</v>
      </c>
      <c r="G1112" s="2027"/>
      <c r="H1112" s="2025" t="s">
        <v>49</v>
      </c>
      <c r="I1112" s="2026"/>
      <c r="J1112" s="2026"/>
      <c r="K1112" s="2027"/>
      <c r="L1112" s="2025" t="s">
        <v>210</v>
      </c>
      <c r="M1112" s="2026"/>
      <c r="N1112" s="2026"/>
      <c r="O1112" s="2026"/>
      <c r="P1112" s="2020"/>
      <c r="Q1112" s="142"/>
      <c r="R1112" s="142"/>
    </row>
    <row r="1113" spans="1:18" s="251" customFormat="1" ht="15.6">
      <c r="A1113" s="38"/>
      <c r="B1113" s="275"/>
      <c r="C1113" s="276"/>
      <c r="D1113" s="276"/>
      <c r="E1113" s="26"/>
      <c r="F1113" s="276"/>
      <c r="G1113" s="277"/>
      <c r="H1113" s="275"/>
      <c r="I1113" s="1856"/>
      <c r="J1113" s="276"/>
      <c r="K1113" s="277"/>
      <c r="L1113" s="279"/>
      <c r="M1113" s="276"/>
      <c r="N1113" s="276"/>
      <c r="O1113" s="276"/>
      <c r="P1113" s="2020"/>
      <c r="Q1113" s="142"/>
      <c r="R1113" s="142"/>
    </row>
    <row r="1114" spans="1:18" s="251" customFormat="1" ht="15.6">
      <c r="A1114" s="38" t="s">
        <v>58</v>
      </c>
      <c r="B1114" s="2025" t="s">
        <v>257</v>
      </c>
      <c r="C1114" s="2026"/>
      <c r="D1114" s="2027"/>
      <c r="E1114" s="26">
        <f>+L1094</f>
        <v>37.815969599999988</v>
      </c>
      <c r="F1114" s="2025">
        <v>14</v>
      </c>
      <c r="G1114" s="2027"/>
      <c r="H1114" s="2025" t="s">
        <v>155</v>
      </c>
      <c r="I1114" s="2026"/>
      <c r="J1114" s="2026"/>
      <c r="K1114" s="2027"/>
      <c r="L1114" s="2025" t="s">
        <v>258</v>
      </c>
      <c r="M1114" s="2026"/>
      <c r="N1114" s="2026"/>
      <c r="O1114" s="2026"/>
      <c r="P1114" s="2020"/>
      <c r="Q1114" s="142"/>
      <c r="R1114" s="142"/>
    </row>
    <row r="1115" spans="1:18" s="251" customFormat="1" ht="15.6">
      <c r="A1115" s="38"/>
      <c r="B1115" s="275"/>
      <c r="C1115" s="276"/>
      <c r="D1115" s="276"/>
      <c r="E1115" s="26"/>
      <c r="F1115" s="276"/>
      <c r="G1115" s="277"/>
      <c r="H1115" s="275"/>
      <c r="I1115" s="1856"/>
      <c r="J1115" s="276"/>
      <c r="K1115" s="277"/>
      <c r="L1115" s="279"/>
      <c r="M1115" s="276"/>
      <c r="N1115" s="276"/>
      <c r="O1115" s="276"/>
      <c r="P1115" s="2020"/>
      <c r="Q1115" s="142"/>
      <c r="R1115" s="142"/>
    </row>
    <row r="1116" spans="1:18" ht="16.2" thickBot="1">
      <c r="A1116" s="38"/>
      <c r="B1116" s="158"/>
      <c r="C1116" s="159"/>
      <c r="D1116" s="159"/>
      <c r="E1116" s="26"/>
      <c r="F1116" s="159"/>
      <c r="G1116" s="160"/>
      <c r="H1116" s="158"/>
      <c r="I1116" s="1856"/>
      <c r="J1116" s="159"/>
      <c r="K1116" s="204"/>
      <c r="L1116" s="39"/>
      <c r="M1116" s="40"/>
      <c r="N1116" s="40"/>
      <c r="O1116" s="40"/>
      <c r="P1116" s="2020"/>
      <c r="Q1116" s="142"/>
      <c r="R1116" s="142"/>
    </row>
    <row r="1117" spans="1:18" ht="15.6">
      <c r="A1117" s="41"/>
      <c r="B1117" s="42"/>
      <c r="C1117" s="43"/>
      <c r="D1117" s="43"/>
      <c r="E1117" s="2028">
        <f>SUM(E1107:E1116)</f>
        <v>132.7285736</v>
      </c>
      <c r="F1117" s="44"/>
      <c r="G1117" s="45"/>
      <c r="H1117" s="46"/>
      <c r="I1117" s="1858"/>
      <c r="J1117" s="43"/>
      <c r="K1117" s="205"/>
      <c r="L1117" s="46"/>
      <c r="M1117" s="43"/>
      <c r="N1117" s="44"/>
      <c r="O1117" s="43"/>
      <c r="P1117" s="2020"/>
      <c r="Q1117" s="142"/>
      <c r="R1117" s="142"/>
    </row>
    <row r="1118" spans="1:18" ht="16.2" thickBot="1">
      <c r="A1118" s="47"/>
      <c r="B1118" s="48"/>
      <c r="C1118" s="49"/>
      <c r="D1118" s="49"/>
      <c r="E1118" s="2029"/>
      <c r="F1118" s="50"/>
      <c r="G1118" s="51"/>
      <c r="H1118" s="52"/>
      <c r="I1118" s="1860"/>
      <c r="J1118" s="49"/>
      <c r="K1118" s="206"/>
      <c r="L1118" s="52"/>
      <c r="M1118" s="49"/>
      <c r="N1118" s="50"/>
      <c r="O1118" s="49"/>
      <c r="P1118" s="2020"/>
      <c r="Q1118" s="142"/>
      <c r="R1118" s="142"/>
    </row>
    <row r="1119" spans="1:18" ht="15.6">
      <c r="A1119" s="53" t="s">
        <v>31</v>
      </c>
      <c r="B1119" s="43"/>
      <c r="C1119" s="43"/>
      <c r="D1119" s="43"/>
      <c r="E1119" s="43"/>
      <c r="F1119" s="44"/>
      <c r="G1119" s="43"/>
      <c r="H1119" s="44"/>
      <c r="I1119" s="1858"/>
      <c r="J1119" s="43"/>
      <c r="K1119" s="207"/>
      <c r="L1119" s="44"/>
      <c r="M1119" s="43"/>
      <c r="N1119" s="44"/>
      <c r="O1119" s="43"/>
      <c r="P1119" s="2020"/>
      <c r="Q1119" s="142"/>
      <c r="R1119" s="142"/>
    </row>
    <row r="1120" spans="1:18" ht="15.6">
      <c r="A1120" s="54"/>
      <c r="B1120" s="55"/>
      <c r="C1120" s="55"/>
      <c r="D1120" s="55"/>
      <c r="E1120" s="55"/>
      <c r="F1120" s="162"/>
      <c r="G1120" s="55"/>
      <c r="H1120" s="162"/>
      <c r="I1120" s="1859"/>
      <c r="J1120" s="55"/>
      <c r="K1120" s="208"/>
      <c r="L1120" s="283"/>
      <c r="M1120" s="55"/>
      <c r="N1120" s="162"/>
      <c r="O1120" s="55"/>
      <c r="P1120" s="2020"/>
      <c r="Q1120" s="142"/>
      <c r="R1120" s="142"/>
    </row>
    <row r="1121" spans="1:18" ht="16.2" thickBot="1">
      <c r="A1121" s="2030" t="s">
        <v>32</v>
      </c>
      <c r="B1121" s="2031"/>
      <c r="C1121" s="2032" t="s">
        <v>33</v>
      </c>
      <c r="D1121" s="2033"/>
      <c r="E1121" s="57" t="s">
        <v>34</v>
      </c>
      <c r="F1121" s="57" t="s">
        <v>35</v>
      </c>
      <c r="G1121" s="2034" t="s">
        <v>36</v>
      </c>
      <c r="H1121" s="2035"/>
      <c r="I1121" s="2035"/>
      <c r="J1121" s="2035"/>
      <c r="K1121" s="2035"/>
      <c r="L1121" s="2035"/>
      <c r="M1121" s="2035"/>
      <c r="N1121" s="2035"/>
      <c r="O1121" s="2035"/>
      <c r="P1121" s="2020"/>
      <c r="Q1121" s="142"/>
      <c r="R1121" s="142"/>
    </row>
    <row r="1122" spans="1:18" ht="15.6">
      <c r="A1122" s="2036"/>
      <c r="B1122" s="2023"/>
      <c r="C1122" s="2021"/>
      <c r="D1122" s="2023"/>
      <c r="E1122" s="164"/>
      <c r="F1122" s="163"/>
      <c r="G1122" s="2037"/>
      <c r="H1122" s="2038"/>
      <c r="I1122" s="2038"/>
      <c r="J1122" s="2038"/>
      <c r="K1122" s="2038"/>
      <c r="L1122" s="2038"/>
      <c r="M1122" s="2038"/>
      <c r="N1122" s="2038"/>
      <c r="O1122" s="2038"/>
      <c r="P1122" s="2020"/>
      <c r="Q1122" s="142"/>
      <c r="R1122" s="142"/>
    </row>
    <row r="1123" spans="1:18" ht="15.6">
      <c r="A1123" s="2043" t="s">
        <v>37</v>
      </c>
      <c r="B1123" s="2044"/>
      <c r="C1123" s="2021"/>
      <c r="D1123" s="2023"/>
      <c r="E1123" s="164"/>
      <c r="F1123" s="163"/>
      <c r="G1123" s="2039"/>
      <c r="H1123" s="2040"/>
      <c r="I1123" s="2040"/>
      <c r="J1123" s="2040"/>
      <c r="K1123" s="2040"/>
      <c r="L1123" s="2040"/>
      <c r="M1123" s="2040"/>
      <c r="N1123" s="2040"/>
      <c r="O1123" s="2040"/>
      <c r="P1123" s="2020"/>
      <c r="Q1123" s="142"/>
      <c r="R1123" s="142"/>
    </row>
    <row r="1124" spans="1:18" ht="15.6">
      <c r="A1124" s="2043" t="s">
        <v>38</v>
      </c>
      <c r="B1124" s="2044"/>
      <c r="C1124" s="2021"/>
      <c r="D1124" s="2023"/>
      <c r="E1124" s="164"/>
      <c r="F1124" s="163"/>
      <c r="G1124" s="2039"/>
      <c r="H1124" s="2040"/>
      <c r="I1124" s="2040"/>
      <c r="J1124" s="2040"/>
      <c r="K1124" s="2040"/>
      <c r="L1124" s="2040"/>
      <c r="M1124" s="2040"/>
      <c r="N1124" s="2040"/>
      <c r="O1124" s="2040"/>
      <c r="P1124" s="2020"/>
      <c r="Q1124" s="142"/>
      <c r="R1124" s="142"/>
    </row>
    <row r="1125" spans="1:18" ht="15.6">
      <c r="A1125" s="2043" t="s">
        <v>39</v>
      </c>
      <c r="B1125" s="2044"/>
      <c r="C1125" s="2021"/>
      <c r="D1125" s="2023"/>
      <c r="E1125" s="164"/>
      <c r="F1125" s="163"/>
      <c r="G1125" s="2039"/>
      <c r="H1125" s="2040"/>
      <c r="I1125" s="2040"/>
      <c r="J1125" s="2040"/>
      <c r="K1125" s="2040"/>
      <c r="L1125" s="2040"/>
      <c r="M1125" s="2040"/>
      <c r="N1125" s="2040"/>
      <c r="O1125" s="2040"/>
      <c r="P1125" s="2020"/>
      <c r="Q1125" s="142"/>
      <c r="R1125" s="142"/>
    </row>
    <row r="1126" spans="1:18" ht="15.6">
      <c r="A1126" s="2043" t="s">
        <v>40</v>
      </c>
      <c r="B1126" s="2044"/>
      <c r="C1126" s="2021"/>
      <c r="D1126" s="2023"/>
      <c r="E1126" s="164"/>
      <c r="F1126" s="163"/>
      <c r="G1126" s="2039"/>
      <c r="H1126" s="2040"/>
      <c r="I1126" s="2040"/>
      <c r="J1126" s="2040"/>
      <c r="K1126" s="2040"/>
      <c r="L1126" s="2040"/>
      <c r="M1126" s="2040"/>
      <c r="N1126" s="2040"/>
      <c r="O1126" s="2040"/>
      <c r="P1126" s="2020"/>
      <c r="Q1126" s="142"/>
      <c r="R1126" s="142"/>
    </row>
    <row r="1127" spans="1:18" ht="16.2" thickBot="1">
      <c r="A1127" s="2049" t="s">
        <v>41</v>
      </c>
      <c r="B1127" s="2050"/>
      <c r="C1127" s="2051"/>
      <c r="D1127" s="2052"/>
      <c r="E1127" s="58"/>
      <c r="F1127" s="161"/>
      <c r="G1127" s="2041"/>
      <c r="H1127" s="2042"/>
      <c r="I1127" s="2042"/>
      <c r="J1127" s="2042"/>
      <c r="K1127" s="2042"/>
      <c r="L1127" s="2042"/>
      <c r="M1127" s="2042"/>
      <c r="N1127" s="2042"/>
      <c r="O1127" s="2042"/>
      <c r="P1127" s="2020"/>
      <c r="Q1127" s="142"/>
      <c r="R1127" s="142"/>
    </row>
    <row r="1128" spans="1:18" ht="15.6">
      <c r="A1128" s="54"/>
      <c r="B1128" s="55"/>
      <c r="C1128" s="55"/>
      <c r="D1128" s="55"/>
      <c r="E1128" s="55"/>
      <c r="F1128" s="162"/>
      <c r="G1128" s="55"/>
      <c r="H1128" s="59"/>
      <c r="I1128" s="60"/>
      <c r="J1128" s="61"/>
      <c r="K1128" s="209"/>
      <c r="L1128" s="301"/>
      <c r="M1128" s="55"/>
      <c r="N1128" s="162"/>
      <c r="O1128" s="55"/>
      <c r="P1128" s="2020"/>
      <c r="Q1128" s="142"/>
      <c r="R1128" s="142"/>
    </row>
    <row r="1129" spans="1:18" ht="15.6">
      <c r="A1129" s="62" t="s">
        <v>42</v>
      </c>
      <c r="B1129" s="56"/>
      <c r="C1129" s="55"/>
      <c r="D1129" s="55"/>
      <c r="E1129" s="55"/>
      <c r="F1129" s="162"/>
      <c r="G1129" s="56"/>
      <c r="H1129" s="59"/>
      <c r="I1129" s="60"/>
      <c r="J1129" s="61"/>
      <c r="K1129" s="208"/>
      <c r="L1129" s="302"/>
      <c r="M1129" s="55"/>
      <c r="N1129" s="2045" t="s">
        <v>43</v>
      </c>
      <c r="O1129" s="2045"/>
      <c r="P1129" s="2020"/>
      <c r="Q1129" s="142"/>
      <c r="R1129" s="142"/>
    </row>
    <row r="1130" spans="1:18" ht="15.6">
      <c r="A1130" s="62"/>
      <c r="B1130" s="56"/>
      <c r="C1130" s="55"/>
      <c r="D1130" s="55"/>
      <c r="E1130" s="55"/>
      <c r="F1130" s="162"/>
      <c r="G1130" s="55"/>
      <c r="H1130" s="162"/>
      <c r="I1130" s="1859"/>
      <c r="J1130" s="55"/>
      <c r="K1130" s="208"/>
      <c r="L1130" s="283"/>
      <c r="M1130" s="55"/>
      <c r="N1130" s="162"/>
      <c r="O1130" s="56"/>
      <c r="P1130" s="2020"/>
      <c r="Q1130" s="142"/>
      <c r="R1130" s="142"/>
    </row>
    <row r="1131" spans="1:18" ht="15.6">
      <c r="A1131" s="62" t="s">
        <v>44</v>
      </c>
      <c r="B1131" s="56"/>
      <c r="C1131" s="55"/>
      <c r="D1131" s="55"/>
      <c r="E1131" s="55"/>
      <c r="F1131" s="162"/>
      <c r="G1131" s="55"/>
      <c r="H1131" s="162"/>
      <c r="I1131" s="1859"/>
      <c r="J1131" s="55"/>
      <c r="K1131" s="208"/>
      <c r="L1131" s="283"/>
      <c r="M1131" s="55"/>
      <c r="N1131" s="2045" t="s">
        <v>45</v>
      </c>
      <c r="O1131" s="2045"/>
      <c r="P1131" s="2020"/>
      <c r="Q1131" s="142"/>
      <c r="R1131" s="142"/>
    </row>
    <row r="1132" spans="1:18" ht="16.2" thickBot="1">
      <c r="A1132" s="48"/>
      <c r="B1132" s="49"/>
      <c r="C1132" s="49"/>
      <c r="D1132" s="49"/>
      <c r="E1132" s="49"/>
      <c r="F1132" s="50"/>
      <c r="G1132" s="49"/>
      <c r="H1132" s="50"/>
      <c r="I1132" s="1860"/>
      <c r="J1132" s="49"/>
      <c r="K1132" s="210"/>
      <c r="L1132" s="50"/>
      <c r="M1132" s="49"/>
      <c r="N1132" s="50"/>
      <c r="O1132" s="49"/>
      <c r="P1132" s="2020"/>
      <c r="Q1132" s="142"/>
      <c r="R1132" s="142"/>
    </row>
    <row r="1139" spans="1:19">
      <c r="A1139" s="321" t="s">
        <v>48</v>
      </c>
      <c r="B1139" s="321"/>
      <c r="C1139" s="322"/>
      <c r="D1139" s="322"/>
      <c r="E1139" s="322"/>
      <c r="F1139" s="323"/>
      <c r="G1139" s="322"/>
      <c r="H1139" s="322"/>
      <c r="I1139" s="324"/>
      <c r="J1139" s="325"/>
      <c r="K1139" s="326"/>
      <c r="L1139" s="2075" t="s">
        <v>0</v>
      </c>
      <c r="M1139" s="2075"/>
      <c r="N1139" s="2075"/>
      <c r="O1139" s="2075"/>
      <c r="P1139" s="379"/>
      <c r="Q1139" s="379"/>
      <c r="R1139" s="379"/>
    </row>
    <row r="1140" spans="1:19">
      <c r="A1140" s="327" t="s">
        <v>1</v>
      </c>
      <c r="B1140" s="327"/>
      <c r="C1140" s="327"/>
      <c r="D1140" s="328" t="s">
        <v>2</v>
      </c>
      <c r="E1140" s="328"/>
      <c r="F1140" s="329"/>
      <c r="G1140" s="329"/>
      <c r="H1140" s="329"/>
      <c r="I1140" s="330"/>
      <c r="J1140" s="376"/>
      <c r="K1140" s="331" t="s">
        <v>3</v>
      </c>
      <c r="L1140" s="376"/>
      <c r="M1140" s="327"/>
      <c r="N1140" s="329"/>
      <c r="O1140" s="327"/>
      <c r="P1140" s="380"/>
      <c r="Q1140" s="1041"/>
      <c r="R1140" s="1041"/>
    </row>
    <row r="1141" spans="1:19" ht="27.6">
      <c r="A1141" s="332" t="s">
        <v>4</v>
      </c>
      <c r="B1141" s="332" t="s">
        <v>5</v>
      </c>
      <c r="C1141" s="332" t="s">
        <v>6</v>
      </c>
      <c r="D1141" s="332" t="s">
        <v>7</v>
      </c>
      <c r="E1141" s="332" t="s">
        <v>8</v>
      </c>
      <c r="F1141" s="8" t="s">
        <v>9</v>
      </c>
      <c r="G1141" s="333" t="s">
        <v>10</v>
      </c>
      <c r="H1141" s="333" t="s">
        <v>11</v>
      </c>
      <c r="I1141" s="334" t="s">
        <v>12</v>
      </c>
      <c r="J1141" s="335" t="s">
        <v>13</v>
      </c>
      <c r="K1141" s="336" t="s">
        <v>14</v>
      </c>
      <c r="L1141" s="337" t="s">
        <v>15</v>
      </c>
      <c r="M1141" s="8" t="s">
        <v>16</v>
      </c>
      <c r="N1141" s="8" t="s">
        <v>17</v>
      </c>
      <c r="O1141" s="333" t="s">
        <v>18</v>
      </c>
      <c r="P1141" s="8" t="s">
        <v>192</v>
      </c>
      <c r="Q1141" s="1040"/>
      <c r="R1141" s="1040"/>
    </row>
    <row r="1142" spans="1:19">
      <c r="A1142" s="18"/>
      <c r="B1142" s="18"/>
      <c r="C1142" s="18"/>
      <c r="D1142" s="18"/>
      <c r="E1142" s="18"/>
      <c r="F1142" s="18"/>
      <c r="G1142" s="18"/>
      <c r="H1142" s="18"/>
      <c r="I1142" s="257"/>
      <c r="J1142" s="18"/>
      <c r="K1142" s="199"/>
      <c r="L1142" s="129"/>
      <c r="M1142" s="18"/>
      <c r="N1142" s="18"/>
      <c r="O1142" s="18"/>
      <c r="P1142" s="18"/>
      <c r="Q1142" s="1041"/>
      <c r="R1142" s="1041"/>
    </row>
    <row r="1143" spans="1:19">
      <c r="A1143" s="6" t="s">
        <v>83</v>
      </c>
      <c r="B1143" s="6" t="s">
        <v>222</v>
      </c>
      <c r="C1143" s="6" t="s">
        <v>19</v>
      </c>
      <c r="D1143" s="6" t="s">
        <v>20</v>
      </c>
      <c r="E1143" s="6" t="s">
        <v>57</v>
      </c>
      <c r="F1143" s="7">
        <v>12</v>
      </c>
      <c r="G1143" s="338" t="s">
        <v>21</v>
      </c>
      <c r="H1143" s="409" t="s">
        <v>118</v>
      </c>
      <c r="I1143" s="339">
        <v>9.26</v>
      </c>
      <c r="J1143" s="340">
        <v>8.9</v>
      </c>
      <c r="K1143" s="341">
        <v>46</v>
      </c>
      <c r="L1143" s="151">
        <f>(I1143*J1143*K1143/1000)</f>
        <v>3.7910439999999999</v>
      </c>
      <c r="M1143" s="18"/>
      <c r="N1143" s="77">
        <f t="shared" ref="N1143:N1147" si="238">J1143*M1143*I1143/1000</f>
        <v>0</v>
      </c>
      <c r="O1143" s="18"/>
      <c r="P1143" s="18"/>
      <c r="Q1143" s="1041"/>
      <c r="R1143" s="1041"/>
      <c r="S1143" s="150" t="s">
        <v>286</v>
      </c>
    </row>
    <row r="1144" spans="1:19">
      <c r="A1144" s="18"/>
      <c r="B1144" s="6" t="s">
        <v>204</v>
      </c>
      <c r="C1144" s="18"/>
      <c r="D1144" s="18"/>
      <c r="E1144" s="18"/>
      <c r="F1144" s="18"/>
      <c r="G1144" s="338" t="s">
        <v>21</v>
      </c>
      <c r="H1144" s="338" t="s">
        <v>118</v>
      </c>
      <c r="I1144" s="339">
        <v>9.26</v>
      </c>
      <c r="J1144" s="340">
        <v>10.3</v>
      </c>
      <c r="K1144" s="341">
        <v>30</v>
      </c>
      <c r="L1144" s="151">
        <f>(I1144*J1144*K1144/1000)</f>
        <v>2.8613400000000002</v>
      </c>
      <c r="M1144" s="18"/>
      <c r="N1144" s="77">
        <f t="shared" si="238"/>
        <v>0</v>
      </c>
      <c r="O1144" s="18"/>
      <c r="P1144" s="18"/>
      <c r="Q1144" s="1041"/>
      <c r="R1144" s="1041"/>
    </row>
    <row r="1145" spans="1:19">
      <c r="A1145" s="18"/>
      <c r="B1145" s="18"/>
      <c r="C1145" s="18"/>
      <c r="D1145" s="18"/>
      <c r="E1145" s="18"/>
      <c r="F1145" s="18"/>
      <c r="G1145" s="338" t="s">
        <v>21</v>
      </c>
      <c r="H1145" s="338" t="s">
        <v>118</v>
      </c>
      <c r="I1145" s="339">
        <v>9.26</v>
      </c>
      <c r="J1145" s="340">
        <v>11.4</v>
      </c>
      <c r="K1145" s="341">
        <v>30</v>
      </c>
      <c r="L1145" s="151">
        <f>(I1145*J1145*K1145/1000)</f>
        <v>3.1669200000000002</v>
      </c>
      <c r="M1145" s="18"/>
      <c r="N1145" s="77">
        <f t="shared" si="238"/>
        <v>0</v>
      </c>
      <c r="O1145" s="18"/>
      <c r="P1145" s="18"/>
      <c r="Q1145" s="1041"/>
      <c r="R1145" s="1041"/>
    </row>
    <row r="1146" spans="1:19">
      <c r="A1146" s="18"/>
      <c r="B1146" s="18"/>
      <c r="C1146" s="18"/>
      <c r="D1146" s="18"/>
      <c r="E1146" s="18"/>
      <c r="F1146" s="18"/>
      <c r="G1146" s="338" t="s">
        <v>21</v>
      </c>
      <c r="H1146" s="338" t="s">
        <v>118</v>
      </c>
      <c r="I1146" s="339">
        <v>9.26</v>
      </c>
      <c r="J1146" s="340">
        <v>11.7</v>
      </c>
      <c r="K1146" s="341">
        <v>26</v>
      </c>
      <c r="L1146" s="151">
        <f>(I1146*J1146*K1146/1000)</f>
        <v>2.8168919999999997</v>
      </c>
      <c r="M1146" s="18"/>
      <c r="N1146" s="77">
        <f t="shared" si="238"/>
        <v>0</v>
      </c>
      <c r="O1146" s="18"/>
      <c r="P1146" s="18"/>
      <c r="Q1146" s="1041"/>
      <c r="R1146" s="1041"/>
    </row>
    <row r="1147" spans="1:19">
      <c r="A1147" s="18"/>
      <c r="B1147" s="18"/>
      <c r="C1147" s="18"/>
      <c r="D1147" s="18"/>
      <c r="E1147" s="18"/>
      <c r="F1147" s="18"/>
      <c r="G1147" s="338" t="s">
        <v>21</v>
      </c>
      <c r="H1147" s="338" t="s">
        <v>118</v>
      </c>
      <c r="I1147" s="339">
        <v>9.26</v>
      </c>
      <c r="J1147" s="340">
        <v>12</v>
      </c>
      <c r="K1147" s="341">
        <v>18</v>
      </c>
      <c r="L1147" s="151">
        <f>(I1147*J1147*K1147/1000)</f>
        <v>2.0001600000000002</v>
      </c>
      <c r="M1147" s="18"/>
      <c r="N1147" s="77">
        <f t="shared" si="238"/>
        <v>0</v>
      </c>
      <c r="O1147" s="18"/>
      <c r="P1147" s="18"/>
      <c r="Q1147" s="1041"/>
      <c r="R1147" s="1041"/>
    </row>
    <row r="1148" spans="1:19">
      <c r="A1148" s="18"/>
      <c r="B1148" s="18"/>
      <c r="C1148" s="18"/>
      <c r="D1148" s="18"/>
      <c r="E1148" s="18"/>
      <c r="F1148" s="18"/>
      <c r="G1148" s="338"/>
      <c r="H1148" s="338"/>
      <c r="I1148" s="339"/>
      <c r="J1148" s="340"/>
      <c r="K1148" s="341">
        <f>SUM(K1143:K1147)</f>
        <v>150</v>
      </c>
      <c r="L1148" s="340">
        <f>SUM(L1143:L1147)</f>
        <v>14.636355999999999</v>
      </c>
      <c r="M1148" s="341">
        <f>SUM(M1143:M1147)</f>
        <v>0</v>
      </c>
      <c r="N1148" s="342">
        <f>SUM(N1143:N1147)</f>
        <v>0</v>
      </c>
      <c r="O1148" s="18"/>
      <c r="P1148" s="18"/>
      <c r="Q1148" s="1041"/>
      <c r="R1148" s="1041"/>
    </row>
    <row r="1149" spans="1:19">
      <c r="A1149" s="18"/>
      <c r="B1149" s="18"/>
      <c r="C1149" s="18"/>
      <c r="D1149" s="18"/>
      <c r="E1149" s="18"/>
      <c r="F1149" s="18"/>
      <c r="G1149" s="18"/>
      <c r="H1149" s="18"/>
      <c r="I1149" s="257"/>
      <c r="J1149" s="18"/>
      <c r="K1149" s="199"/>
      <c r="L1149" s="129"/>
      <c r="M1149" s="18"/>
      <c r="N1149" s="18"/>
      <c r="O1149" s="18"/>
      <c r="P1149" s="18"/>
      <c r="Q1149" s="1041"/>
      <c r="R1149" s="1041"/>
    </row>
    <row r="1150" spans="1:19">
      <c r="A1150" s="6" t="s">
        <v>174</v>
      </c>
      <c r="B1150" s="6" t="s">
        <v>223</v>
      </c>
      <c r="C1150" s="6" t="s">
        <v>19</v>
      </c>
      <c r="D1150" s="6" t="s">
        <v>20</v>
      </c>
      <c r="E1150" s="6" t="s">
        <v>57</v>
      </c>
      <c r="F1150" s="7">
        <v>12</v>
      </c>
      <c r="G1150" s="363" t="s">
        <v>21</v>
      </c>
      <c r="H1150" s="410" t="s">
        <v>118</v>
      </c>
      <c r="I1150" s="364">
        <v>9.26</v>
      </c>
      <c r="J1150" s="365">
        <v>7.3</v>
      </c>
      <c r="K1150" s="366">
        <v>30</v>
      </c>
      <c r="L1150" s="151">
        <f>(I1150*J1150*K1150/1000)</f>
        <v>2.0279400000000001</v>
      </c>
      <c r="M1150" s="9"/>
      <c r="N1150" s="93">
        <f t="shared" ref="N1150:N1152" si="239">J1150*M1150*I1150/1000</f>
        <v>0</v>
      </c>
      <c r="O1150" s="18"/>
      <c r="P1150" s="18"/>
      <c r="Q1150" s="1041"/>
      <c r="R1150" s="1041"/>
      <c r="S1150" s="150" t="s">
        <v>286</v>
      </c>
    </row>
    <row r="1151" spans="1:19">
      <c r="A1151" s="9"/>
      <c r="B1151" s="6" t="s">
        <v>207</v>
      </c>
      <c r="C1151" s="9"/>
      <c r="D1151" s="9"/>
      <c r="E1151" s="9"/>
      <c r="F1151" s="9"/>
      <c r="G1151" s="363" t="s">
        <v>21</v>
      </c>
      <c r="H1151" s="363" t="s">
        <v>118</v>
      </c>
      <c r="I1151" s="364">
        <v>9.26</v>
      </c>
      <c r="J1151" s="365">
        <v>8.5</v>
      </c>
      <c r="K1151" s="366">
        <v>74</v>
      </c>
      <c r="L1151" s="151">
        <f>(I1151*J1151*K1151/1000)</f>
        <v>5.8245399999999998</v>
      </c>
      <c r="M1151" s="9"/>
      <c r="N1151" s="93">
        <f t="shared" si="239"/>
        <v>0</v>
      </c>
      <c r="O1151" s="18"/>
      <c r="P1151" s="18"/>
      <c r="Q1151" s="1041"/>
      <c r="R1151" s="1041"/>
      <c r="S1151">
        <v>7</v>
      </c>
    </row>
    <row r="1152" spans="1:19">
      <c r="A1152" s="9"/>
      <c r="B1152" s="9"/>
      <c r="C1152" s="9"/>
      <c r="D1152" s="9"/>
      <c r="E1152" s="9"/>
      <c r="F1152" s="9"/>
      <c r="G1152" s="363" t="s">
        <v>21</v>
      </c>
      <c r="H1152" s="363" t="s">
        <v>118</v>
      </c>
      <c r="I1152" s="364">
        <v>9.26</v>
      </c>
      <c r="J1152" s="365">
        <v>11.7</v>
      </c>
      <c r="K1152" s="366">
        <v>44</v>
      </c>
      <c r="L1152" s="151">
        <f t="shared" ref="L1152" si="240">(I1152*J1152*K1152/1000)</f>
        <v>4.7670479999999991</v>
      </c>
      <c r="M1152" s="9"/>
      <c r="N1152" s="93">
        <f t="shared" si="239"/>
        <v>0</v>
      </c>
      <c r="O1152" s="18"/>
      <c r="P1152" s="18"/>
      <c r="Q1152" s="1041"/>
      <c r="R1152" s="1041"/>
      <c r="S1152">
        <v>5</v>
      </c>
    </row>
    <row r="1153" spans="1:21">
      <c r="A1153" s="9"/>
      <c r="B1153" s="9"/>
      <c r="C1153" s="9"/>
      <c r="D1153" s="9"/>
      <c r="E1153" s="9"/>
      <c r="F1153" s="9"/>
      <c r="G1153" s="9"/>
      <c r="H1153" s="9"/>
      <c r="I1153" s="381"/>
      <c r="J1153" s="9"/>
      <c r="K1153" s="367">
        <f t="shared" ref="K1153:M1153" si="241">SUM(K1150:K1152)</f>
        <v>148</v>
      </c>
      <c r="L1153" s="287">
        <f>SUM(L1150:L1152)</f>
        <v>12.619527999999999</v>
      </c>
      <c r="M1153" s="367">
        <f t="shared" si="241"/>
        <v>0</v>
      </c>
      <c r="N1153" s="355">
        <f>SUM(N1150:N1152)</f>
        <v>0</v>
      </c>
      <c r="O1153" s="18"/>
      <c r="P1153" s="18"/>
      <c r="Q1153" s="1041"/>
      <c r="R1153" s="1041"/>
    </row>
    <row r="1154" spans="1:21">
      <c r="A1154" s="18"/>
      <c r="B1154" s="18"/>
      <c r="C1154" s="18"/>
      <c r="D1154" s="18"/>
      <c r="E1154" s="18"/>
      <c r="F1154" s="18"/>
      <c r="G1154" s="18"/>
      <c r="H1154" s="18"/>
      <c r="I1154" s="257"/>
      <c r="J1154" s="18"/>
      <c r="K1154" s="199"/>
      <c r="L1154" s="129"/>
      <c r="M1154" s="18"/>
      <c r="N1154" s="18"/>
      <c r="O1154" s="18"/>
      <c r="P1154" s="18"/>
      <c r="Q1154" s="1041"/>
      <c r="R1154" s="1041"/>
    </row>
    <row r="1155" spans="1:21">
      <c r="A1155" s="6" t="s">
        <v>174</v>
      </c>
      <c r="B1155" s="6" t="s">
        <v>223</v>
      </c>
      <c r="C1155" s="6" t="s">
        <v>19</v>
      </c>
      <c r="D1155" s="6" t="s">
        <v>20</v>
      </c>
      <c r="E1155" s="6" t="s">
        <v>175</v>
      </c>
      <c r="F1155" s="7">
        <v>12</v>
      </c>
      <c r="G1155" s="343" t="s">
        <v>21</v>
      </c>
      <c r="H1155" s="410" t="s">
        <v>118</v>
      </c>
      <c r="I1155" s="344">
        <v>9.26</v>
      </c>
      <c r="J1155" s="345">
        <v>11.7</v>
      </c>
      <c r="K1155" s="346">
        <v>7</v>
      </c>
      <c r="L1155" s="151">
        <f t="shared" ref="L1155" si="242">(I1155*J1155*K1155/1000)</f>
        <v>0.7583939999999999</v>
      </c>
      <c r="M1155" s="18"/>
      <c r="N1155" s="18"/>
      <c r="O1155" s="18"/>
      <c r="P1155" s="18"/>
      <c r="Q1155" s="1041"/>
      <c r="R1155" s="1041"/>
      <c r="S1155" s="150" t="s">
        <v>286</v>
      </c>
    </row>
    <row r="1156" spans="1:21">
      <c r="A1156" s="18"/>
      <c r="B1156" s="347" t="s">
        <v>208</v>
      </c>
      <c r="C1156" s="18"/>
      <c r="D1156" s="18"/>
      <c r="E1156" s="18"/>
      <c r="F1156" s="18"/>
      <c r="G1156" s="343"/>
      <c r="H1156" s="343"/>
      <c r="I1156" s="344"/>
      <c r="J1156" s="345"/>
      <c r="K1156" s="346">
        <f t="shared" ref="K1156" si="243">SUM(K1155)</f>
        <v>7</v>
      </c>
      <c r="L1156" s="345">
        <f>SUM(L1155)</f>
        <v>0.7583939999999999</v>
      </c>
      <c r="M1156" s="18"/>
      <c r="N1156" s="18"/>
      <c r="O1156" s="18"/>
      <c r="P1156" s="18"/>
      <c r="Q1156" s="1041"/>
      <c r="R1156" s="1041"/>
    </row>
    <row r="1157" spans="1:21">
      <c r="A1157" s="18"/>
      <c r="B1157" s="347"/>
      <c r="C1157" s="18"/>
      <c r="D1157" s="18"/>
      <c r="E1157" s="18"/>
      <c r="F1157" s="18"/>
      <c r="G1157" s="343"/>
      <c r="H1157" s="343"/>
      <c r="I1157" s="344"/>
      <c r="J1157" s="345"/>
      <c r="K1157" s="346"/>
      <c r="L1157" s="345"/>
      <c r="M1157" s="18"/>
      <c r="N1157" s="18"/>
      <c r="O1157" s="18"/>
      <c r="P1157" s="18"/>
      <c r="Q1157" s="1041"/>
      <c r="R1157" s="1041"/>
    </row>
    <row r="1158" spans="1:21">
      <c r="A1158" s="6" t="s">
        <v>83</v>
      </c>
      <c r="B1158" s="6" t="s">
        <v>239</v>
      </c>
      <c r="C1158" s="6" t="s">
        <v>19</v>
      </c>
      <c r="D1158" s="6" t="s">
        <v>20</v>
      </c>
      <c r="E1158" s="6" t="s">
        <v>47</v>
      </c>
      <c r="F1158" s="7">
        <v>12</v>
      </c>
      <c r="G1158" s="18" t="s">
        <v>21</v>
      </c>
      <c r="H1158" s="411" t="s">
        <v>118</v>
      </c>
      <c r="I1158" s="152">
        <v>9.26</v>
      </c>
      <c r="J1158" s="77">
        <v>9.4</v>
      </c>
      <c r="K1158" s="81">
        <v>87</v>
      </c>
      <c r="L1158" s="151">
        <f>(I1158*J1158*K1158/1000)</f>
        <v>7.5728279999999994</v>
      </c>
      <c r="M1158" s="81"/>
      <c r="N1158" s="77"/>
      <c r="O1158" s="18"/>
      <c r="P1158" s="18"/>
      <c r="Q1158" s="1041"/>
      <c r="R1158" s="1041"/>
      <c r="S1158" s="150" t="s">
        <v>286</v>
      </c>
    </row>
    <row r="1159" spans="1:21">
      <c r="A1159" s="18"/>
      <c r="B1159" s="6" t="s">
        <v>238</v>
      </c>
      <c r="C1159" s="18"/>
      <c r="D1159" s="18"/>
      <c r="E1159" s="18"/>
      <c r="F1159" s="18"/>
      <c r="G1159" s="18" t="s">
        <v>21</v>
      </c>
      <c r="H1159" s="18" t="s">
        <v>118</v>
      </c>
      <c r="I1159" s="152">
        <v>9.26</v>
      </c>
      <c r="J1159" s="77">
        <v>12</v>
      </c>
      <c r="K1159" s="81">
        <v>36</v>
      </c>
      <c r="L1159" s="151">
        <f>(I1159*J1159*K1159/1000)</f>
        <v>4.0003200000000003</v>
      </c>
      <c r="M1159" s="81"/>
      <c r="N1159" s="77"/>
      <c r="O1159" s="18"/>
      <c r="P1159" s="18"/>
      <c r="Q1159" s="1041"/>
      <c r="R1159" s="1041"/>
    </row>
    <row r="1160" spans="1:21">
      <c r="A1160" s="18"/>
      <c r="B1160" s="18"/>
      <c r="C1160" s="18"/>
      <c r="D1160" s="18"/>
      <c r="E1160" s="18"/>
      <c r="F1160" s="18"/>
      <c r="G1160" s="18"/>
      <c r="H1160" s="18"/>
      <c r="I1160" s="152"/>
      <c r="J1160" s="77"/>
      <c r="K1160" s="81">
        <f>SUM(K1158:K1159)</f>
        <v>123</v>
      </c>
      <c r="L1160" s="129">
        <f>SUM(L1158:L1159)</f>
        <v>11.573148</v>
      </c>
      <c r="M1160" s="81"/>
      <c r="N1160" s="77"/>
      <c r="O1160" s="18"/>
      <c r="P1160" s="18"/>
      <c r="Q1160" s="1041"/>
      <c r="R1160" s="1041"/>
    </row>
    <row r="1161" spans="1:21" s="251" customFormat="1">
      <c r="A1161" s="18"/>
      <c r="B1161" s="18"/>
      <c r="C1161" s="18"/>
      <c r="D1161" s="18"/>
      <c r="E1161" s="18"/>
      <c r="F1161" s="18"/>
      <c r="G1161" s="18"/>
      <c r="H1161" s="18"/>
      <c r="I1161" s="152"/>
      <c r="J1161" s="77"/>
      <c r="K1161" s="81"/>
      <c r="L1161" s="129"/>
      <c r="M1161" s="81"/>
      <c r="N1161" s="77"/>
      <c r="O1161" s="18"/>
      <c r="P1161" s="18"/>
      <c r="Q1161" s="1041"/>
      <c r="R1161" s="1041"/>
      <c r="S1161" s="150"/>
    </row>
    <row r="1162" spans="1:21">
      <c r="A1162" s="6" t="s">
        <v>83</v>
      </c>
      <c r="B1162" s="6" t="s">
        <v>132</v>
      </c>
      <c r="C1162" s="6" t="s">
        <v>19</v>
      </c>
      <c r="D1162" s="6" t="s">
        <v>20</v>
      </c>
      <c r="E1162" s="78" t="s">
        <v>51</v>
      </c>
      <c r="F1162" s="7">
        <v>12</v>
      </c>
      <c r="G1162" s="18" t="s">
        <v>21</v>
      </c>
      <c r="H1162" s="412" t="s">
        <v>118</v>
      </c>
      <c r="I1162" s="152">
        <v>9.26</v>
      </c>
      <c r="J1162" s="77">
        <v>11.9</v>
      </c>
      <c r="K1162" s="349">
        <v>3</v>
      </c>
      <c r="L1162" s="151">
        <f>(I1162*J1162*K1162/1000)</f>
        <v>0.33058199999999999</v>
      </c>
      <c r="M1162" s="81"/>
      <c r="N1162" s="77"/>
      <c r="O1162" s="18"/>
      <c r="P1162" s="18"/>
      <c r="Q1162" s="1041"/>
      <c r="R1162" s="1041"/>
    </row>
    <row r="1163" spans="1:21">
      <c r="A1163" s="18"/>
      <c r="B1163" s="350" t="s">
        <v>240</v>
      </c>
      <c r="C1163" s="18"/>
      <c r="D1163" s="18"/>
      <c r="E1163" s="18"/>
      <c r="F1163" s="18"/>
      <c r="G1163" s="18" t="s">
        <v>21</v>
      </c>
      <c r="H1163" s="18" t="s">
        <v>118</v>
      </c>
      <c r="I1163" s="152">
        <v>9.26</v>
      </c>
      <c r="J1163" s="77">
        <v>10.6</v>
      </c>
      <c r="K1163" s="349">
        <v>6</v>
      </c>
      <c r="L1163" s="151">
        <f>(I1163*J1163*K1163/1000)</f>
        <v>0.5889359999999999</v>
      </c>
      <c r="M1163" s="81"/>
      <c r="N1163" s="77"/>
      <c r="O1163" s="18"/>
      <c r="P1163" s="18"/>
      <c r="Q1163" s="1041"/>
      <c r="R1163" s="1041"/>
    </row>
    <row r="1164" spans="1:21">
      <c r="A1164" s="18"/>
      <c r="B1164" s="18"/>
      <c r="C1164" s="18"/>
      <c r="D1164" s="18"/>
      <c r="E1164" s="18"/>
      <c r="F1164" s="18"/>
      <c r="G1164" s="18"/>
      <c r="H1164" s="18"/>
      <c r="I1164" s="152"/>
      <c r="J1164" s="18"/>
      <c r="K1164" s="81">
        <f>SUM(K1162:K1163)</f>
        <v>9</v>
      </c>
      <c r="L1164" s="129">
        <f>SUM(L1162:L1163)</f>
        <v>0.91951799999999984</v>
      </c>
      <c r="M1164" s="81"/>
      <c r="N1164" s="77"/>
      <c r="O1164" s="18"/>
      <c r="P1164" s="18"/>
      <c r="Q1164" s="1041"/>
      <c r="R1164" s="1041"/>
    </row>
    <row r="1165" spans="1:21">
      <c r="A1165" s="18"/>
      <c r="B1165" s="347"/>
      <c r="C1165" s="18"/>
      <c r="D1165" s="18"/>
      <c r="E1165" s="18"/>
      <c r="F1165" s="18"/>
      <c r="G1165" s="343"/>
      <c r="H1165" s="343"/>
      <c r="I1165" s="344"/>
      <c r="J1165" s="345"/>
      <c r="K1165" s="351">
        <f>SUM(K1143:K1164)/2</f>
        <v>437</v>
      </c>
      <c r="L1165" s="345">
        <f>SUM(L1143:L1164)/2</f>
        <v>40.506944000000011</v>
      </c>
      <c r="M1165" s="351">
        <f>SUM(M1143:M1164)/2</f>
        <v>0</v>
      </c>
      <c r="N1165" s="352">
        <f>SUM(N1143:N1164)/2</f>
        <v>0</v>
      </c>
      <c r="O1165" s="18"/>
      <c r="P1165" s="18"/>
      <c r="Q1165" s="1041"/>
      <c r="R1165" s="1041"/>
    </row>
    <row r="1166" spans="1:21">
      <c r="A1166" s="18"/>
      <c r="B1166" s="347"/>
      <c r="C1166" s="18"/>
      <c r="D1166" s="18"/>
      <c r="E1166" s="18"/>
      <c r="F1166" s="18"/>
      <c r="G1166" s="343"/>
      <c r="H1166" s="343"/>
      <c r="I1166" s="344"/>
      <c r="J1166" s="345"/>
      <c r="K1166" s="346"/>
      <c r="L1166" s="345"/>
      <c r="M1166" s="18"/>
      <c r="N1166" s="18"/>
      <c r="O1166" s="18"/>
      <c r="P1166" s="18"/>
      <c r="Q1166" s="1041"/>
      <c r="R1166" s="1041"/>
    </row>
    <row r="1167" spans="1:21">
      <c r="A1167" s="18"/>
      <c r="B1167" s="18"/>
      <c r="C1167" s="18"/>
      <c r="D1167" s="18"/>
      <c r="E1167" s="18"/>
      <c r="F1167" s="18"/>
      <c r="G1167" s="18"/>
      <c r="H1167" s="18"/>
      <c r="I1167" s="257"/>
      <c r="J1167" s="18"/>
      <c r="K1167" s="199"/>
      <c r="L1167" s="129"/>
      <c r="M1167" s="18"/>
      <c r="N1167" s="18"/>
      <c r="O1167" s="18"/>
      <c r="P1167" s="18"/>
      <c r="Q1167" s="1041"/>
      <c r="R1167" s="1041"/>
    </row>
    <row r="1168" spans="1:21">
      <c r="A1168" s="6" t="s">
        <v>83</v>
      </c>
      <c r="B1168" s="6" t="s">
        <v>222</v>
      </c>
      <c r="C1168" s="6" t="s">
        <v>19</v>
      </c>
      <c r="D1168" s="6" t="s">
        <v>20</v>
      </c>
      <c r="E1168" s="6" t="s">
        <v>57</v>
      </c>
      <c r="F1168" s="7">
        <v>12</v>
      </c>
      <c r="G1168" s="338" t="s">
        <v>21</v>
      </c>
      <c r="H1168" s="416" t="s">
        <v>119</v>
      </c>
      <c r="I1168" s="339">
        <v>10.7</v>
      </c>
      <c r="J1168" s="340">
        <v>7.2</v>
      </c>
      <c r="K1168" s="341">
        <v>33</v>
      </c>
      <c r="L1168" s="151">
        <f t="shared" ref="L1168:L1180" si="244">(I1168*J1168*K1168/1000)</f>
        <v>2.5423199999999997</v>
      </c>
      <c r="M1168" s="18"/>
      <c r="N1168" s="77">
        <f t="shared" ref="N1168:N1180" si="245">J1168*M1168*I1168/1000</f>
        <v>0</v>
      </c>
      <c r="O1168" s="18">
        <f>20+22-22</f>
        <v>20</v>
      </c>
      <c r="P1168" s="413">
        <f t="shared" ref="P1168:P1180" si="246">J1168*O1168*I1168/1000</f>
        <v>1.5407999999999999</v>
      </c>
      <c r="Q1168" s="413"/>
      <c r="R1168" s="413"/>
      <c r="S1168" s="18"/>
      <c r="T1168">
        <v>22</v>
      </c>
      <c r="U1168">
        <f>J1168*T1168*I1168/1000</f>
        <v>1.6948799999999999</v>
      </c>
    </row>
    <row r="1169" spans="1:23">
      <c r="A1169" s="18"/>
      <c r="B1169" s="6" t="s">
        <v>204</v>
      </c>
      <c r="C1169" s="18"/>
      <c r="D1169" s="18"/>
      <c r="E1169" s="18"/>
      <c r="F1169" s="18"/>
      <c r="G1169" s="338" t="s">
        <v>21</v>
      </c>
      <c r="H1169" s="338" t="s">
        <v>119</v>
      </c>
      <c r="I1169" s="339">
        <v>10.7</v>
      </c>
      <c r="J1169" s="340">
        <v>7.3</v>
      </c>
      <c r="K1169" s="341">
        <v>33</v>
      </c>
      <c r="L1169" s="151">
        <f t="shared" si="244"/>
        <v>2.5776300000000001</v>
      </c>
      <c r="M1169" s="18"/>
      <c r="N1169" s="77">
        <f t="shared" si="245"/>
        <v>0</v>
      </c>
      <c r="O1169" s="18">
        <f>8+2</f>
        <v>10</v>
      </c>
      <c r="P1169" s="413">
        <f t="shared" si="246"/>
        <v>0.78109999999999991</v>
      </c>
      <c r="Q1169" s="413"/>
      <c r="R1169" s="413"/>
      <c r="S1169" s="18">
        <v>10</v>
      </c>
      <c r="T1169" s="150" t="s">
        <v>288</v>
      </c>
      <c r="V1169">
        <v>12</v>
      </c>
      <c r="W1169">
        <f>J1169*V1169*I1169/1000</f>
        <v>0.93731999999999982</v>
      </c>
    </row>
    <row r="1170" spans="1:23">
      <c r="A1170" s="18"/>
      <c r="B1170" s="18"/>
      <c r="C1170" s="18"/>
      <c r="D1170" s="18"/>
      <c r="E1170" s="18"/>
      <c r="F1170" s="18"/>
      <c r="G1170" s="338" t="s">
        <v>21</v>
      </c>
      <c r="H1170" s="338" t="s">
        <v>119</v>
      </c>
      <c r="I1170" s="339">
        <v>10.7</v>
      </c>
      <c r="J1170" s="340">
        <v>8.6999999999999993</v>
      </c>
      <c r="K1170" s="341">
        <v>35</v>
      </c>
      <c r="L1170" s="151">
        <f t="shared" si="244"/>
        <v>3.2581499999999997</v>
      </c>
      <c r="M1170" s="18"/>
      <c r="N1170" s="77">
        <f t="shared" si="245"/>
        <v>0</v>
      </c>
      <c r="O1170" s="18">
        <f>12+7+1</f>
        <v>20</v>
      </c>
      <c r="P1170" s="413">
        <f t="shared" si="246"/>
        <v>1.8617999999999999</v>
      </c>
      <c r="Q1170" s="413"/>
      <c r="R1170" s="413"/>
      <c r="S1170" s="18"/>
      <c r="T1170" s="251" t="s">
        <v>307</v>
      </c>
    </row>
    <row r="1171" spans="1:23">
      <c r="A1171" s="18"/>
      <c r="B1171" s="18"/>
      <c r="C1171" s="18"/>
      <c r="D1171" s="18"/>
      <c r="E1171" s="18"/>
      <c r="F1171" s="18"/>
      <c r="G1171" s="338" t="s">
        <v>21</v>
      </c>
      <c r="H1171" s="338" t="s">
        <v>119</v>
      </c>
      <c r="I1171" s="339">
        <v>10.7</v>
      </c>
      <c r="J1171" s="340">
        <v>9</v>
      </c>
      <c r="K1171" s="341">
        <v>35</v>
      </c>
      <c r="L1171" s="151">
        <f t="shared" si="244"/>
        <v>3.3704999999999998</v>
      </c>
      <c r="M1171" s="18"/>
      <c r="N1171" s="77">
        <f t="shared" si="245"/>
        <v>0</v>
      </c>
      <c r="O1171" s="18">
        <f>2+2</f>
        <v>4</v>
      </c>
      <c r="P1171" s="413">
        <f t="shared" si="246"/>
        <v>0.38519999999999999</v>
      </c>
      <c r="Q1171" s="413"/>
      <c r="R1171" s="413"/>
      <c r="S1171" s="18">
        <f>1+2</f>
        <v>3</v>
      </c>
      <c r="V1171">
        <v>16</v>
      </c>
      <c r="W1171" s="251">
        <f>J1171*V1171*I1171/1000</f>
        <v>1.5407999999999999</v>
      </c>
    </row>
    <row r="1172" spans="1:23">
      <c r="A1172" s="18"/>
      <c r="B1172" s="18"/>
      <c r="C1172" s="18"/>
      <c r="D1172" s="18"/>
      <c r="E1172" s="18"/>
      <c r="F1172" s="18"/>
      <c r="G1172" s="338" t="s">
        <v>21</v>
      </c>
      <c r="H1172" s="338" t="s">
        <v>119</v>
      </c>
      <c r="I1172" s="339">
        <v>10.7</v>
      </c>
      <c r="J1172" s="340">
        <v>9.3000000000000007</v>
      </c>
      <c r="K1172" s="341">
        <v>55</v>
      </c>
      <c r="L1172" s="151">
        <f t="shared" si="244"/>
        <v>5.4730499999999997</v>
      </c>
      <c r="M1172" s="18"/>
      <c r="N1172" s="77">
        <f t="shared" si="245"/>
        <v>0</v>
      </c>
      <c r="O1172" s="18">
        <v>24</v>
      </c>
      <c r="P1172" s="413">
        <f t="shared" si="246"/>
        <v>2.3882400000000001</v>
      </c>
      <c r="Q1172" s="413"/>
      <c r="R1172" s="413"/>
      <c r="S1172" s="18">
        <v>1</v>
      </c>
    </row>
    <row r="1173" spans="1:23">
      <c r="A1173" s="18"/>
      <c r="B1173" s="18"/>
      <c r="C1173" s="18"/>
      <c r="D1173" s="18"/>
      <c r="E1173" s="18"/>
      <c r="F1173" s="18"/>
      <c r="G1173" s="338" t="s">
        <v>21</v>
      </c>
      <c r="H1173" s="338" t="s">
        <v>119</v>
      </c>
      <c r="I1173" s="339">
        <v>10.7</v>
      </c>
      <c r="J1173" s="340">
        <v>9.5</v>
      </c>
      <c r="K1173" s="341">
        <v>29</v>
      </c>
      <c r="L1173" s="151">
        <f t="shared" si="244"/>
        <v>2.9478499999999999</v>
      </c>
      <c r="M1173" s="18"/>
      <c r="N1173" s="77">
        <f t="shared" si="245"/>
        <v>0</v>
      </c>
      <c r="O1173" s="18">
        <f>6+8+2</f>
        <v>16</v>
      </c>
      <c r="P1173" s="413">
        <f t="shared" si="246"/>
        <v>1.6263999999999998</v>
      </c>
      <c r="Q1173" s="413"/>
      <c r="R1173" s="413"/>
      <c r="S1173" s="18">
        <v>2</v>
      </c>
    </row>
    <row r="1174" spans="1:23">
      <c r="A1174" s="18"/>
      <c r="B1174" s="18"/>
      <c r="C1174" s="18"/>
      <c r="D1174" s="18"/>
      <c r="E1174" s="18"/>
      <c r="F1174" s="18"/>
      <c r="G1174" s="338" t="s">
        <v>21</v>
      </c>
      <c r="H1174" s="338" t="s">
        <v>119</v>
      </c>
      <c r="I1174" s="339">
        <v>10.7</v>
      </c>
      <c r="J1174" s="340">
        <v>9.6999999999999993</v>
      </c>
      <c r="K1174" s="341">
        <v>43</v>
      </c>
      <c r="L1174" s="151">
        <f t="shared" si="244"/>
        <v>4.4629699999999994</v>
      </c>
      <c r="M1174" s="18"/>
      <c r="N1174" s="77">
        <f t="shared" si="245"/>
        <v>0</v>
      </c>
      <c r="O1174" s="18">
        <f>4+17-17</f>
        <v>4</v>
      </c>
      <c r="P1174" s="413">
        <f t="shared" si="246"/>
        <v>0.41515999999999997</v>
      </c>
      <c r="Q1174" s="413"/>
      <c r="R1174" s="413"/>
      <c r="S1174" s="18">
        <f>2+1+1+1</f>
        <v>5</v>
      </c>
      <c r="T1174">
        <v>17</v>
      </c>
      <c r="U1174" s="251">
        <f>J1174*T1174*I1174/1000</f>
        <v>1.7644299999999995</v>
      </c>
      <c r="V1174">
        <v>2</v>
      </c>
      <c r="W1174" s="251">
        <f t="shared" ref="W1174:W1175" si="247">J1174*V1174*I1174/1000</f>
        <v>0.20757999999999999</v>
      </c>
    </row>
    <row r="1175" spans="1:23">
      <c r="A1175" s="18"/>
      <c r="B1175" s="18"/>
      <c r="C1175" s="18"/>
      <c r="D1175" s="18"/>
      <c r="E1175" s="18"/>
      <c r="F1175" s="18"/>
      <c r="G1175" s="338" t="s">
        <v>21</v>
      </c>
      <c r="H1175" s="338" t="s">
        <v>119</v>
      </c>
      <c r="I1175" s="339">
        <v>10.7</v>
      </c>
      <c r="J1175" s="340">
        <v>10.4</v>
      </c>
      <c r="K1175" s="341">
        <v>42</v>
      </c>
      <c r="L1175" s="151">
        <f t="shared" si="244"/>
        <v>4.6737600000000006</v>
      </c>
      <c r="M1175" s="18"/>
      <c r="N1175" s="77">
        <f t="shared" si="245"/>
        <v>0</v>
      </c>
      <c r="O1175" s="18">
        <f>2+1</f>
        <v>3</v>
      </c>
      <c r="P1175" s="413">
        <f t="shared" si="246"/>
        <v>0.33384000000000003</v>
      </c>
      <c r="Q1175" s="413"/>
      <c r="R1175" s="413"/>
      <c r="S1175" s="18"/>
      <c r="V1175">
        <v>18</v>
      </c>
      <c r="W1175" s="251">
        <f t="shared" si="247"/>
        <v>2.0030399999999999</v>
      </c>
    </row>
    <row r="1176" spans="1:23">
      <c r="A1176" s="18"/>
      <c r="B1176" s="18"/>
      <c r="C1176" s="18"/>
      <c r="D1176" s="18"/>
      <c r="E1176" s="18"/>
      <c r="F1176" s="18"/>
      <c r="G1176" s="338" t="s">
        <v>21</v>
      </c>
      <c r="H1176" s="338" t="s">
        <v>119</v>
      </c>
      <c r="I1176" s="339">
        <v>10.7</v>
      </c>
      <c r="J1176" s="340">
        <v>10.7</v>
      </c>
      <c r="K1176" s="341">
        <v>44</v>
      </c>
      <c r="L1176" s="151">
        <f t="shared" si="244"/>
        <v>5.0375599999999991</v>
      </c>
      <c r="M1176" s="18"/>
      <c r="N1176" s="77">
        <f t="shared" si="245"/>
        <v>0</v>
      </c>
      <c r="O1176" s="18">
        <f>12+14</f>
        <v>26</v>
      </c>
      <c r="P1176" s="413">
        <f t="shared" si="246"/>
        <v>2.9767399999999999</v>
      </c>
      <c r="Q1176" s="413"/>
      <c r="R1176" s="413"/>
      <c r="S1176" s="18">
        <f>1+1</f>
        <v>2</v>
      </c>
    </row>
    <row r="1177" spans="1:23">
      <c r="A1177" s="18"/>
      <c r="B1177" s="18"/>
      <c r="C1177" s="18"/>
      <c r="D1177" s="18"/>
      <c r="E1177" s="18"/>
      <c r="F1177" s="18"/>
      <c r="G1177" s="338" t="s">
        <v>21</v>
      </c>
      <c r="H1177" s="338" t="s">
        <v>119</v>
      </c>
      <c r="I1177" s="339">
        <v>10.7</v>
      </c>
      <c r="J1177" s="340">
        <v>11.2</v>
      </c>
      <c r="K1177" s="341">
        <v>35</v>
      </c>
      <c r="L1177" s="151">
        <f t="shared" si="244"/>
        <v>4.1943999999999999</v>
      </c>
      <c r="M1177" s="18"/>
      <c r="N1177" s="77">
        <f t="shared" si="245"/>
        <v>0</v>
      </c>
      <c r="O1177" s="18">
        <f>20+4</f>
        <v>24</v>
      </c>
      <c r="P1177" s="413">
        <f t="shared" si="246"/>
        <v>2.8761599999999996</v>
      </c>
      <c r="Q1177" s="413"/>
      <c r="R1177" s="413"/>
      <c r="S1177" s="18"/>
    </row>
    <row r="1178" spans="1:23">
      <c r="A1178" s="18"/>
      <c r="B1178" s="18"/>
      <c r="C1178" s="18"/>
      <c r="D1178" s="18"/>
      <c r="E1178" s="18"/>
      <c r="F1178" s="18"/>
      <c r="G1178" s="338" t="s">
        <v>21</v>
      </c>
      <c r="H1178" s="338" t="s">
        <v>119</v>
      </c>
      <c r="I1178" s="339">
        <v>10.7</v>
      </c>
      <c r="J1178" s="340">
        <v>11.5</v>
      </c>
      <c r="K1178" s="341">
        <v>40</v>
      </c>
      <c r="L1178" s="151">
        <f t="shared" si="244"/>
        <v>4.9219999999999997</v>
      </c>
      <c r="M1178" s="18"/>
      <c r="N1178" s="77">
        <f t="shared" si="245"/>
        <v>0</v>
      </c>
      <c r="O1178" s="18">
        <f>5+19-19</f>
        <v>5</v>
      </c>
      <c r="P1178" s="413">
        <f t="shared" si="246"/>
        <v>0.61524999999999996</v>
      </c>
      <c r="Q1178" s="413"/>
      <c r="R1178" s="413"/>
      <c r="S1178" s="18"/>
      <c r="T1178">
        <v>19</v>
      </c>
      <c r="U1178" s="251">
        <f t="shared" ref="U1178:U1179" si="248">J1178*T1178*I1178/1000</f>
        <v>2.3379499999999998</v>
      </c>
    </row>
    <row r="1179" spans="1:23">
      <c r="A1179" s="18"/>
      <c r="B1179" s="18"/>
      <c r="C1179" s="18"/>
      <c r="D1179" s="18"/>
      <c r="E1179" s="18"/>
      <c r="F1179" s="18"/>
      <c r="G1179" s="338" t="s">
        <v>21</v>
      </c>
      <c r="H1179" s="338" t="s">
        <v>119</v>
      </c>
      <c r="I1179" s="339">
        <v>10.7</v>
      </c>
      <c r="J1179" s="340">
        <v>11.7</v>
      </c>
      <c r="K1179" s="341">
        <v>42</v>
      </c>
      <c r="L1179" s="151">
        <f t="shared" si="244"/>
        <v>5.2579799999999999</v>
      </c>
      <c r="M1179" s="18"/>
      <c r="N1179" s="77">
        <f t="shared" si="245"/>
        <v>0</v>
      </c>
      <c r="O1179" s="18">
        <f>23+18+8-8</f>
        <v>41</v>
      </c>
      <c r="P1179" s="413">
        <f t="shared" si="246"/>
        <v>5.13279</v>
      </c>
      <c r="Q1179" s="413"/>
      <c r="R1179" s="413"/>
      <c r="S1179" s="18">
        <v>3</v>
      </c>
      <c r="T1179">
        <v>8</v>
      </c>
      <c r="U1179" s="251">
        <f t="shared" si="248"/>
        <v>1.00152</v>
      </c>
      <c r="V1179">
        <v>1</v>
      </c>
      <c r="W1179" s="251">
        <f t="shared" ref="W1179:W1180" si="249">J1179*V1179*I1179/1000</f>
        <v>0.12519</v>
      </c>
    </row>
    <row r="1180" spans="1:23">
      <c r="A1180" s="18"/>
      <c r="B1180" s="18"/>
      <c r="C1180" s="18"/>
      <c r="D1180" s="18"/>
      <c r="E1180" s="18"/>
      <c r="F1180" s="18"/>
      <c r="G1180" s="338" t="s">
        <v>21</v>
      </c>
      <c r="H1180" s="338" t="s">
        <v>119</v>
      </c>
      <c r="I1180" s="339">
        <v>10.7</v>
      </c>
      <c r="J1180" s="340">
        <v>12</v>
      </c>
      <c r="K1180" s="341">
        <v>56</v>
      </c>
      <c r="L1180" s="151">
        <f t="shared" si="244"/>
        <v>7.1903999999999986</v>
      </c>
      <c r="M1180" s="18"/>
      <c r="N1180" s="77">
        <f t="shared" si="245"/>
        <v>0</v>
      </c>
      <c r="O1180" s="18">
        <f>15+3+21+3</f>
        <v>42</v>
      </c>
      <c r="P1180" s="413">
        <f t="shared" si="246"/>
        <v>5.3927999999999994</v>
      </c>
      <c r="Q1180" s="413"/>
      <c r="R1180" s="413"/>
      <c r="S1180" s="18">
        <v>3</v>
      </c>
      <c r="V1180">
        <v>14</v>
      </c>
      <c r="W1180" s="251">
        <f t="shared" si="249"/>
        <v>1.7975999999999999</v>
      </c>
    </row>
    <row r="1181" spans="1:23">
      <c r="A1181" s="18"/>
      <c r="B1181" s="18"/>
      <c r="C1181" s="18"/>
      <c r="D1181" s="18"/>
      <c r="E1181" s="18"/>
      <c r="F1181" s="18"/>
      <c r="G1181" s="338"/>
      <c r="H1181" s="338"/>
      <c r="I1181" s="339"/>
      <c r="J1181" s="340"/>
      <c r="K1181" s="341">
        <f t="shared" ref="K1181:P1181" si="250">SUM(K1168:K1180)</f>
        <v>522</v>
      </c>
      <c r="L1181" s="340">
        <f t="shared" si="250"/>
        <v>55.908569999999997</v>
      </c>
      <c r="M1181" s="341">
        <f t="shared" si="250"/>
        <v>0</v>
      </c>
      <c r="N1181" s="353">
        <f t="shared" si="250"/>
        <v>0</v>
      </c>
      <c r="O1181" s="341">
        <f t="shared" si="250"/>
        <v>239</v>
      </c>
      <c r="P1181" s="340">
        <f t="shared" si="250"/>
        <v>26.326279999999997</v>
      </c>
      <c r="Q1181" s="1053"/>
      <c r="R1181" s="1053"/>
      <c r="T1181" s="341">
        <f>SUM(T1168:T1180)</f>
        <v>66</v>
      </c>
      <c r="U1181" s="340">
        <f>SUM(U1168:U1180)</f>
        <v>6.7987799999999998</v>
      </c>
      <c r="V1181" s="341">
        <f>SUM(V1168:V1180)</f>
        <v>63</v>
      </c>
      <c r="W1181" s="340">
        <f>SUM(W1168:W1180)</f>
        <v>6.6115299999999992</v>
      </c>
    </row>
    <row r="1182" spans="1:23">
      <c r="A1182" s="18"/>
      <c r="B1182" s="18"/>
      <c r="C1182" s="18"/>
      <c r="D1182" s="18"/>
      <c r="E1182" s="18"/>
      <c r="F1182" s="18"/>
      <c r="G1182" s="18"/>
      <c r="H1182" s="18"/>
      <c r="I1182" s="257"/>
      <c r="J1182" s="18"/>
      <c r="K1182" s="199"/>
      <c r="L1182" s="129"/>
      <c r="M1182" s="18"/>
      <c r="N1182" s="18"/>
      <c r="O1182" s="18"/>
      <c r="P1182" s="18"/>
      <c r="Q1182" s="1041"/>
      <c r="R1182" s="1041"/>
    </row>
    <row r="1183" spans="1:23">
      <c r="A1183" s="6" t="s">
        <v>174</v>
      </c>
      <c r="B1183" s="6" t="s">
        <v>223</v>
      </c>
      <c r="C1183" s="6" t="s">
        <v>19</v>
      </c>
      <c r="D1183" s="6" t="s">
        <v>20</v>
      </c>
      <c r="E1183" s="6" t="s">
        <v>57</v>
      </c>
      <c r="F1183" s="7">
        <v>12</v>
      </c>
      <c r="G1183" s="343" t="s">
        <v>21</v>
      </c>
      <c r="H1183" s="358" t="s">
        <v>119</v>
      </c>
      <c r="I1183" s="344">
        <v>10.7</v>
      </c>
      <c r="J1183" s="345">
        <v>8.3000000000000007</v>
      </c>
      <c r="K1183" s="346">
        <v>67</v>
      </c>
      <c r="L1183" s="151">
        <f>(I1183*J1183*K1183/1000)</f>
        <v>5.9502700000000006</v>
      </c>
      <c r="M1183" s="18"/>
      <c r="N1183" s="18"/>
      <c r="O1183" s="18">
        <f>22+13</f>
        <v>35</v>
      </c>
      <c r="P1183" s="413">
        <f>J1183*O1183*I1183/1000</f>
        <v>3.1083499999999997</v>
      </c>
      <c r="Q1183" s="492"/>
      <c r="R1183" s="492"/>
      <c r="S1183" s="150" t="s">
        <v>289</v>
      </c>
      <c r="V1183">
        <v>26</v>
      </c>
      <c r="W1183" s="251">
        <f t="shared" ref="W1183:W1186" si="251">J1183*V1183*I1183/1000</f>
        <v>2.3090600000000001</v>
      </c>
    </row>
    <row r="1184" spans="1:23">
      <c r="A1184" s="18"/>
      <c r="B1184" s="347" t="s">
        <v>207</v>
      </c>
      <c r="C1184" s="18"/>
      <c r="D1184" s="18"/>
      <c r="E1184" s="18"/>
      <c r="F1184" s="18"/>
      <c r="G1184" s="343" t="s">
        <v>21</v>
      </c>
      <c r="H1184" s="343" t="s">
        <v>119</v>
      </c>
      <c r="I1184" s="344">
        <v>10.7</v>
      </c>
      <c r="J1184" s="345">
        <v>10.5</v>
      </c>
      <c r="K1184" s="346">
        <v>91</v>
      </c>
      <c r="L1184" s="151">
        <f>(I1184*J1184*K1184/1000)</f>
        <v>10.223850000000001</v>
      </c>
      <c r="M1184" s="18"/>
      <c r="N1184" s="18"/>
      <c r="O1184" s="18">
        <f>23+13+3</f>
        <v>39</v>
      </c>
      <c r="P1184" s="413">
        <f>J1184*O1184*I1184/1000</f>
        <v>4.3816499999999996</v>
      </c>
      <c r="Q1184" s="492"/>
      <c r="R1184" s="492"/>
      <c r="S1184" s="251" t="s">
        <v>306</v>
      </c>
      <c r="V1184">
        <v>18</v>
      </c>
      <c r="W1184" s="251">
        <f t="shared" si="251"/>
        <v>2.0223</v>
      </c>
    </row>
    <row r="1185" spans="1:23">
      <c r="A1185" s="18"/>
      <c r="B1185" s="18"/>
      <c r="C1185" s="18"/>
      <c r="D1185" s="18"/>
      <c r="E1185" s="18"/>
      <c r="F1185" s="18"/>
      <c r="G1185" s="343" t="s">
        <v>21</v>
      </c>
      <c r="H1185" s="343" t="s">
        <v>119</v>
      </c>
      <c r="I1185" s="344">
        <v>10.7</v>
      </c>
      <c r="J1185" s="345">
        <v>11.6</v>
      </c>
      <c r="K1185" s="346">
        <v>97</v>
      </c>
      <c r="L1185" s="151">
        <f>(I1185*J1185*K1185/1000)</f>
        <v>12.039639999999999</v>
      </c>
      <c r="M1185" s="18"/>
      <c r="N1185" s="18"/>
      <c r="O1185" s="18">
        <f>25+10+24+29+10-39</f>
        <v>59</v>
      </c>
      <c r="P1185" s="413">
        <f>J1185*O1185*I1185/1000</f>
        <v>7.3230799999999991</v>
      </c>
      <c r="Q1185" s="492"/>
      <c r="R1185" s="492"/>
      <c r="T1185">
        <f>29+10</f>
        <v>39</v>
      </c>
      <c r="U1185" s="251">
        <f>J1185*T1185*I1185/1000</f>
        <v>4.840679999999999</v>
      </c>
      <c r="V1185">
        <v>7</v>
      </c>
      <c r="W1185" s="251">
        <f t="shared" si="251"/>
        <v>0.86883999999999995</v>
      </c>
    </row>
    <row r="1186" spans="1:23">
      <c r="A1186" s="18"/>
      <c r="B1186" s="18"/>
      <c r="C1186" s="18"/>
      <c r="D1186" s="18"/>
      <c r="E1186" s="18"/>
      <c r="F1186" s="18"/>
      <c r="G1186" s="358" t="s">
        <v>21</v>
      </c>
      <c r="H1186" s="358" t="s">
        <v>119</v>
      </c>
      <c r="I1186" s="359">
        <v>10.7</v>
      </c>
      <c r="J1186" s="360">
        <v>11.9</v>
      </c>
      <c r="K1186" s="361">
        <v>81</v>
      </c>
      <c r="L1186" s="320">
        <f>(I1186*J1186*K1186/1000)</f>
        <v>10.31373</v>
      </c>
      <c r="M1186" s="18"/>
      <c r="N1186" s="18"/>
      <c r="O1186" s="18">
        <f>19+2</f>
        <v>21</v>
      </c>
      <c r="P1186" s="413">
        <f>J1186*O1186*I1186/1000</f>
        <v>2.6739299999999999</v>
      </c>
      <c r="Q1186" s="492"/>
      <c r="R1186" s="492"/>
      <c r="V1186">
        <f>23+24+7</f>
        <v>54</v>
      </c>
      <c r="W1186" s="251">
        <f t="shared" si="251"/>
        <v>6.87582</v>
      </c>
    </row>
    <row r="1187" spans="1:23">
      <c r="A1187" s="18"/>
      <c r="B1187" s="18"/>
      <c r="C1187" s="18"/>
      <c r="D1187" s="18"/>
      <c r="E1187" s="18"/>
      <c r="F1187" s="18"/>
      <c r="G1187" s="18"/>
      <c r="H1187" s="18"/>
      <c r="I1187" s="257"/>
      <c r="J1187" s="18"/>
      <c r="K1187" s="200">
        <f>SUM(K1183:K1186)</f>
        <v>336</v>
      </c>
      <c r="L1187" s="129">
        <f>SUM(L1183:L1186)</f>
        <v>38.52749</v>
      </c>
      <c r="M1187" s="18"/>
      <c r="N1187" s="18"/>
      <c r="O1187" s="200">
        <f>SUM(O1183:O1186)</f>
        <v>154</v>
      </c>
      <c r="P1187" s="413">
        <f>SUM(P1183:P1186)</f>
        <v>17.487009999999998</v>
      </c>
      <c r="Q1187" s="492"/>
      <c r="R1187" s="492"/>
      <c r="T1187" s="200">
        <f>SUM(T1183:T1186)</f>
        <v>39</v>
      </c>
      <c r="U1187" s="129">
        <f>SUM(U1183:U1186)</f>
        <v>4.840679999999999</v>
      </c>
      <c r="V1187" s="200">
        <f>SUM(V1183:V1186)</f>
        <v>105</v>
      </c>
      <c r="W1187" s="129">
        <f>SUM(W1183:W1186)</f>
        <v>12.07602</v>
      </c>
    </row>
    <row r="1188" spans="1:23">
      <c r="A1188" s="18"/>
      <c r="B1188" s="18"/>
      <c r="C1188" s="18"/>
      <c r="D1188" s="18"/>
      <c r="E1188" s="18"/>
      <c r="F1188" s="18"/>
      <c r="G1188" s="18"/>
      <c r="H1188" s="18"/>
      <c r="I1188" s="257"/>
      <c r="J1188" s="18"/>
      <c r="K1188" s="199"/>
      <c r="L1188" s="129"/>
      <c r="M1188" s="18"/>
      <c r="N1188" s="18"/>
      <c r="O1188" s="18"/>
      <c r="P1188" s="18"/>
      <c r="Q1188" s="1041"/>
      <c r="R1188" s="1041"/>
    </row>
    <row r="1189" spans="1:23">
      <c r="A1189" s="6" t="s">
        <v>174</v>
      </c>
      <c r="B1189" s="6" t="s">
        <v>224</v>
      </c>
      <c r="C1189" s="6" t="s">
        <v>19</v>
      </c>
      <c r="D1189" s="6" t="s">
        <v>20</v>
      </c>
      <c r="E1189" s="6" t="s">
        <v>175</v>
      </c>
      <c r="F1189" s="7">
        <v>12</v>
      </c>
      <c r="G1189" s="343" t="s">
        <v>21</v>
      </c>
      <c r="H1189" s="358" t="s">
        <v>119</v>
      </c>
      <c r="I1189" s="344">
        <v>10.7</v>
      </c>
      <c r="J1189" s="345">
        <v>8.3000000000000007</v>
      </c>
      <c r="K1189" s="346">
        <v>4</v>
      </c>
      <c r="L1189" s="151">
        <f>(I1189*J1189*K1189/1000)</f>
        <v>0.35524</v>
      </c>
      <c r="M1189" s="18"/>
      <c r="N1189" s="18"/>
      <c r="O1189" s="18"/>
      <c r="P1189" s="18"/>
      <c r="Q1189" s="1041"/>
      <c r="R1189" s="1041"/>
      <c r="S1189" s="251" t="s">
        <v>305</v>
      </c>
    </row>
    <row r="1190" spans="1:23">
      <c r="A1190" s="18"/>
      <c r="B1190" s="347" t="s">
        <v>67</v>
      </c>
      <c r="C1190" s="18"/>
      <c r="D1190" s="18"/>
      <c r="E1190" s="18"/>
      <c r="F1190" s="18"/>
      <c r="G1190" s="18"/>
      <c r="H1190" s="18"/>
      <c r="I1190" s="257"/>
      <c r="J1190" s="18"/>
      <c r="K1190" s="199">
        <f t="shared" ref="K1190" si="252">SUM(K1189)</f>
        <v>4</v>
      </c>
      <c r="L1190" s="129">
        <f>SUM(L1189)</f>
        <v>0.35524</v>
      </c>
      <c r="M1190" s="18"/>
      <c r="N1190" s="18"/>
      <c r="O1190" s="18"/>
      <c r="P1190" s="18"/>
      <c r="Q1190" s="1041"/>
      <c r="R1190" s="1041"/>
    </row>
    <row r="1191" spans="1:23">
      <c r="A1191" s="18"/>
      <c r="B1191" s="347"/>
      <c r="C1191" s="18"/>
      <c r="D1191" s="18"/>
      <c r="E1191" s="18"/>
      <c r="F1191" s="18"/>
      <c r="G1191" s="18"/>
      <c r="H1191" s="18"/>
      <c r="I1191" s="257"/>
      <c r="J1191" s="18"/>
      <c r="K1191" s="199"/>
      <c r="L1191" s="129"/>
      <c r="M1191" s="18"/>
      <c r="N1191" s="18"/>
      <c r="O1191" s="18"/>
      <c r="P1191" s="18"/>
      <c r="Q1191" s="1041"/>
      <c r="R1191" s="1041"/>
      <c r="S1191" s="251" t="s">
        <v>305</v>
      </c>
    </row>
    <row r="1192" spans="1:23">
      <c r="A1192" s="6" t="s">
        <v>83</v>
      </c>
      <c r="B1192" s="6" t="s">
        <v>239</v>
      </c>
      <c r="C1192" s="6" t="s">
        <v>19</v>
      </c>
      <c r="D1192" s="6" t="s">
        <v>20</v>
      </c>
      <c r="E1192" s="6" t="s">
        <v>47</v>
      </c>
      <c r="F1192" s="7">
        <v>12</v>
      </c>
      <c r="G1192" s="18" t="s">
        <v>21</v>
      </c>
      <c r="H1192" s="319" t="s">
        <v>119</v>
      </c>
      <c r="I1192" s="257">
        <v>10.7</v>
      </c>
      <c r="J1192" s="77">
        <v>7.1</v>
      </c>
      <c r="K1192" s="81">
        <v>49</v>
      </c>
      <c r="L1192" s="151">
        <f>(I1192*J1192*K1192/1000)</f>
        <v>3.7225299999999995</v>
      </c>
      <c r="M1192" s="81"/>
      <c r="N1192" s="77"/>
      <c r="O1192" s="18">
        <v>16</v>
      </c>
      <c r="P1192" s="413">
        <f t="shared" ref="P1192:P1193" si="253">J1192*O1192*I1192/1000</f>
        <v>1.2155199999999997</v>
      </c>
      <c r="Q1192" s="492"/>
      <c r="R1192" s="492"/>
    </row>
    <row r="1193" spans="1:23">
      <c r="A1193" s="18"/>
      <c r="B1193" s="6" t="s">
        <v>238</v>
      </c>
      <c r="C1193" s="18"/>
      <c r="D1193" s="18"/>
      <c r="E1193" s="18"/>
      <c r="F1193" s="18"/>
      <c r="G1193" s="18" t="s">
        <v>21</v>
      </c>
      <c r="H1193" s="18" t="s">
        <v>119</v>
      </c>
      <c r="I1193" s="257">
        <v>10.7</v>
      </c>
      <c r="J1193" s="77">
        <v>7.8</v>
      </c>
      <c r="K1193" s="81">
        <v>13</v>
      </c>
      <c r="L1193" s="151">
        <f>(I1193*J1193*K1193/1000)</f>
        <v>1.0849800000000001</v>
      </c>
      <c r="M1193" s="81"/>
      <c r="N1193" s="77"/>
      <c r="O1193" s="18">
        <v>5</v>
      </c>
      <c r="P1193" s="413">
        <f t="shared" si="253"/>
        <v>0.41729999999999995</v>
      </c>
      <c r="Q1193" s="492"/>
      <c r="R1193" s="492"/>
    </row>
    <row r="1194" spans="1:23">
      <c r="A1194" s="18"/>
      <c r="B1194" s="18"/>
      <c r="C1194" s="18"/>
      <c r="D1194" s="18"/>
      <c r="E1194" s="18"/>
      <c r="F1194" s="18"/>
      <c r="G1194" s="18" t="s">
        <v>21</v>
      </c>
      <c r="H1194" s="18" t="s">
        <v>119</v>
      </c>
      <c r="I1194" s="257">
        <v>10.7</v>
      </c>
      <c r="J1194" s="77">
        <v>9.5</v>
      </c>
      <c r="K1194" s="81">
        <v>16</v>
      </c>
      <c r="L1194" s="151">
        <f>(I1194*J1194*K1194/1000)</f>
        <v>1.6263999999999998</v>
      </c>
      <c r="M1194" s="81"/>
      <c r="N1194" s="77"/>
      <c r="O1194" s="18"/>
      <c r="P1194" s="18"/>
      <c r="Q1194" s="1041"/>
      <c r="R1194" s="1041"/>
    </row>
    <row r="1195" spans="1:23">
      <c r="A1195" s="18"/>
      <c r="B1195" s="18"/>
      <c r="C1195" s="18"/>
      <c r="D1195" s="18"/>
      <c r="E1195" s="18"/>
      <c r="F1195" s="18"/>
      <c r="G1195" s="18" t="s">
        <v>21</v>
      </c>
      <c r="H1195" s="18" t="s">
        <v>119</v>
      </c>
      <c r="I1195" s="257">
        <v>10.7</v>
      </c>
      <c r="J1195" s="77">
        <v>11.6</v>
      </c>
      <c r="K1195" s="81">
        <v>26</v>
      </c>
      <c r="L1195" s="151">
        <f>(I1195*J1195*K1195/1000)</f>
        <v>3.2271199999999998</v>
      </c>
      <c r="M1195" s="81"/>
      <c r="N1195" s="77"/>
      <c r="O1195" s="18"/>
      <c r="P1195" s="18"/>
      <c r="Q1195" s="1041"/>
      <c r="R1195" s="1041"/>
    </row>
    <row r="1196" spans="1:23">
      <c r="A1196" s="18"/>
      <c r="B1196" s="18"/>
      <c r="C1196" s="18"/>
      <c r="D1196" s="18"/>
      <c r="E1196" s="18"/>
      <c r="F1196" s="18"/>
      <c r="G1196" s="18"/>
      <c r="H1196" s="18"/>
      <c r="I1196" s="152"/>
      <c r="J1196" s="77"/>
      <c r="K1196" s="81">
        <f>SUM(K1192:K1195)</f>
        <v>104</v>
      </c>
      <c r="L1196" s="129">
        <f>SUM(L1192:L1195)</f>
        <v>9.6610299999999985</v>
      </c>
      <c r="M1196" s="81"/>
      <c r="N1196" s="77"/>
      <c r="O1196" s="81">
        <f>SUM(O1192:O1195)</f>
        <v>21</v>
      </c>
      <c r="P1196" s="129">
        <f>SUM(P1192:P1195)</f>
        <v>1.6328199999999997</v>
      </c>
      <c r="Q1196" s="1054"/>
      <c r="R1196" s="1054"/>
    </row>
    <row r="1197" spans="1:23">
      <c r="A1197" s="18"/>
      <c r="B1197" s="347"/>
      <c r="C1197" s="18"/>
      <c r="D1197" s="18"/>
      <c r="E1197" s="18"/>
      <c r="F1197" s="18"/>
      <c r="G1197" s="18"/>
      <c r="H1197" s="18"/>
      <c r="I1197" s="257"/>
      <c r="J1197" s="18"/>
      <c r="K1197" s="354">
        <f t="shared" ref="K1197:P1197" si="254">SUM(K1168:K1196)/2</f>
        <v>966</v>
      </c>
      <c r="L1197" s="129">
        <f t="shared" si="254"/>
        <v>104.45233000000002</v>
      </c>
      <c r="M1197" s="354">
        <f t="shared" si="254"/>
        <v>0</v>
      </c>
      <c r="N1197" s="348">
        <f t="shared" si="254"/>
        <v>0</v>
      </c>
      <c r="O1197" s="354">
        <f t="shared" si="254"/>
        <v>414</v>
      </c>
      <c r="P1197" s="129">
        <f t="shared" si="254"/>
        <v>45.44610999999999</v>
      </c>
      <c r="Q1197" s="1054"/>
      <c r="R1197" s="1054"/>
      <c r="T1197" s="354">
        <f>SUM(T1168:T1196)/2</f>
        <v>105</v>
      </c>
      <c r="U1197" s="129">
        <f>SUM(U1168:U1196)/2</f>
        <v>11.63946</v>
      </c>
    </row>
    <row r="1198" spans="1:23" s="251" customFormat="1">
      <c r="A1198" s="18"/>
      <c r="B1198" s="347"/>
      <c r="C1198" s="18"/>
      <c r="D1198" s="18"/>
      <c r="E1198" s="18"/>
      <c r="F1198" s="18"/>
      <c r="G1198" s="18"/>
      <c r="H1198" s="18"/>
      <c r="I1198" s="257"/>
      <c r="J1198" s="18"/>
      <c r="K1198" s="354"/>
      <c r="L1198" s="129"/>
      <c r="M1198" s="354"/>
      <c r="N1198" s="348"/>
      <c r="O1198" s="18"/>
      <c r="P1198" s="18"/>
      <c r="Q1198" s="1041"/>
      <c r="R1198" s="1041"/>
    </row>
    <row r="1199" spans="1:23">
      <c r="A1199" s="18"/>
      <c r="B1199" s="347"/>
      <c r="C1199" s="18"/>
      <c r="D1199" s="18"/>
      <c r="E1199" s="18"/>
      <c r="F1199" s="18"/>
      <c r="G1199" s="18"/>
      <c r="H1199" s="18"/>
      <c r="I1199" s="257"/>
      <c r="J1199" s="18"/>
      <c r="K1199" s="199"/>
      <c r="L1199" s="129"/>
      <c r="M1199" s="18"/>
      <c r="N1199" s="18"/>
      <c r="O1199" s="18"/>
      <c r="P1199" s="18"/>
      <c r="Q1199" s="1041"/>
      <c r="R1199" s="1041"/>
    </row>
    <row r="1200" spans="1:23">
      <c r="A1200" s="6" t="s">
        <v>174</v>
      </c>
      <c r="B1200" s="6" t="s">
        <v>223</v>
      </c>
      <c r="C1200" s="6" t="s">
        <v>19</v>
      </c>
      <c r="D1200" s="6" t="s">
        <v>20</v>
      </c>
      <c r="E1200" s="6" t="s">
        <v>57</v>
      </c>
      <c r="F1200" s="7">
        <v>12</v>
      </c>
      <c r="G1200" s="343" t="s">
        <v>21</v>
      </c>
      <c r="H1200" s="358" t="s">
        <v>134</v>
      </c>
      <c r="I1200" s="344">
        <v>12.2</v>
      </c>
      <c r="J1200" s="345">
        <v>8.4</v>
      </c>
      <c r="K1200" s="346">
        <v>24</v>
      </c>
      <c r="L1200" s="151">
        <f>(I1200*J1200*K1200/1000)</f>
        <v>2.4595199999999999</v>
      </c>
      <c r="M1200" s="18"/>
      <c r="N1200" s="77">
        <f>J1200*M1200*I1200/1000</f>
        <v>0</v>
      </c>
      <c r="O1200" s="18">
        <v>24</v>
      </c>
      <c r="P1200" s="199">
        <f>J1200*O1200*I1200/1000</f>
        <v>2.4595199999999999</v>
      </c>
      <c r="Q1200" s="199"/>
      <c r="R1200" s="199"/>
      <c r="S1200" s="18">
        <v>1</v>
      </c>
      <c r="T1200" s="150" t="s">
        <v>290</v>
      </c>
    </row>
    <row r="1201" spans="1:23">
      <c r="A1201" s="18"/>
      <c r="B1201" s="347" t="s">
        <v>207</v>
      </c>
      <c r="C1201" s="18"/>
      <c r="D1201" s="18"/>
      <c r="E1201" s="18"/>
      <c r="F1201" s="18"/>
      <c r="G1201" s="343" t="s">
        <v>21</v>
      </c>
      <c r="H1201" s="343" t="s">
        <v>134</v>
      </c>
      <c r="I1201" s="344">
        <v>12.2</v>
      </c>
      <c r="J1201" s="345">
        <v>10</v>
      </c>
      <c r="K1201" s="346">
        <v>42</v>
      </c>
      <c r="L1201" s="151">
        <f>(I1201*J1201*K1201/1000)</f>
        <v>5.1239999999999997</v>
      </c>
      <c r="M1201" s="18">
        <v>8</v>
      </c>
      <c r="N1201" s="77">
        <f>J1201*M1201*I1201/1000</f>
        <v>0.97599999999999998</v>
      </c>
      <c r="O1201" s="18">
        <v>7</v>
      </c>
      <c r="P1201" s="413">
        <f>J1201*O1201*I1201/1000</f>
        <v>0.85399999999999998</v>
      </c>
      <c r="Q1201" s="492"/>
      <c r="R1201" s="492"/>
      <c r="S1201">
        <v>1</v>
      </c>
      <c r="V1201">
        <v>3</v>
      </c>
      <c r="W1201">
        <f>J1201*V1201*I1201/1000</f>
        <v>0.36599999999999999</v>
      </c>
    </row>
    <row r="1202" spans="1:23">
      <c r="A1202" s="18"/>
      <c r="B1202" s="18"/>
      <c r="C1202" s="18"/>
      <c r="D1202" s="18"/>
      <c r="E1202" s="18"/>
      <c r="F1202" s="18"/>
      <c r="G1202" s="343" t="s">
        <v>21</v>
      </c>
      <c r="H1202" s="343" t="s">
        <v>134</v>
      </c>
      <c r="I1202" s="344">
        <v>12.2</v>
      </c>
      <c r="J1202" s="345">
        <v>10.7</v>
      </c>
      <c r="K1202" s="346">
        <v>24</v>
      </c>
      <c r="L1202" s="151">
        <f>(I1202*J1202*K1202/1000)</f>
        <v>3.1329600000000002</v>
      </c>
      <c r="M1202" s="18">
        <v>10</v>
      </c>
      <c r="N1202" s="77">
        <f>J1202*M1202*I1202/1000</f>
        <v>1.3053999999999999</v>
      </c>
      <c r="O1202" s="18">
        <v>6</v>
      </c>
      <c r="P1202" s="413">
        <f t="shared" ref="P1202:P1203" si="255">J1202*O1202*I1202/1000</f>
        <v>0.78323999999999983</v>
      </c>
      <c r="Q1202" s="492"/>
      <c r="R1202" s="492"/>
      <c r="S1202">
        <v>-1</v>
      </c>
    </row>
    <row r="1203" spans="1:23">
      <c r="A1203" s="18"/>
      <c r="B1203" s="18"/>
      <c r="C1203" s="18"/>
      <c r="D1203" s="18"/>
      <c r="E1203" s="18"/>
      <c r="F1203" s="18"/>
      <c r="G1203" s="343" t="s">
        <v>21</v>
      </c>
      <c r="H1203" s="343" t="s">
        <v>134</v>
      </c>
      <c r="I1203" s="344">
        <v>12.2</v>
      </c>
      <c r="J1203" s="345">
        <v>11.4</v>
      </c>
      <c r="K1203" s="346">
        <v>48</v>
      </c>
      <c r="L1203" s="151">
        <f>(I1203*J1203*K1203/1000)</f>
        <v>6.6758399999999991</v>
      </c>
      <c r="M1203" s="18"/>
      <c r="N1203" s="77">
        <f>J1203*M1203*I1203/1000</f>
        <v>0</v>
      </c>
      <c r="O1203" s="18">
        <f>23+5+10</f>
        <v>38</v>
      </c>
      <c r="P1203" s="413">
        <f t="shared" si="255"/>
        <v>5.2850400000000004</v>
      </c>
      <c r="Q1203" s="492"/>
      <c r="R1203" s="492"/>
      <c r="V1203">
        <v>1</v>
      </c>
      <c r="W1203" s="126">
        <f>J1203*V1203*I1203/1000</f>
        <v>0.13907999999999998</v>
      </c>
    </row>
    <row r="1204" spans="1:23">
      <c r="A1204" s="18"/>
      <c r="B1204" s="18"/>
      <c r="C1204" s="18"/>
      <c r="D1204" s="18"/>
      <c r="E1204" s="18"/>
      <c r="F1204" s="18"/>
      <c r="G1204" s="18"/>
      <c r="H1204" s="18"/>
      <c r="I1204" s="257"/>
      <c r="J1204" s="18"/>
      <c r="K1204" s="199">
        <f t="shared" ref="K1204:P1204" si="256">SUM(K1200:K1203)</f>
        <v>138</v>
      </c>
      <c r="L1204" s="129">
        <f t="shared" si="256"/>
        <v>17.392319999999998</v>
      </c>
      <c r="M1204" s="362">
        <f t="shared" si="256"/>
        <v>18</v>
      </c>
      <c r="N1204" s="348">
        <f t="shared" si="256"/>
        <v>2.2813999999999997</v>
      </c>
      <c r="O1204" s="199">
        <f t="shared" si="256"/>
        <v>75</v>
      </c>
      <c r="P1204" s="413">
        <f t="shared" si="256"/>
        <v>9.3818000000000001</v>
      </c>
      <c r="Q1204" s="492"/>
      <c r="R1204" s="492"/>
      <c r="V1204" s="199">
        <f t="shared" ref="V1204:W1204" si="257">SUM(V1200:V1203)</f>
        <v>4</v>
      </c>
      <c r="W1204" s="413">
        <f t="shared" si="257"/>
        <v>0.50507999999999997</v>
      </c>
    </row>
    <row r="1205" spans="1:23">
      <c r="A1205" s="18"/>
      <c r="B1205" s="18"/>
      <c r="C1205" s="18"/>
      <c r="D1205" s="18"/>
      <c r="E1205" s="18"/>
      <c r="F1205" s="18"/>
      <c r="G1205" s="18"/>
      <c r="H1205" s="18"/>
      <c r="I1205" s="257"/>
      <c r="J1205" s="18"/>
      <c r="K1205" s="199"/>
      <c r="L1205" s="129"/>
      <c r="M1205" s="18"/>
      <c r="N1205" s="18"/>
      <c r="O1205" s="18"/>
      <c r="P1205" s="199"/>
      <c r="Q1205" s="1055"/>
      <c r="R1205" s="1055"/>
      <c r="S1205" s="150" t="s">
        <v>290</v>
      </c>
    </row>
    <row r="1206" spans="1:23">
      <c r="A1206" s="6" t="s">
        <v>83</v>
      </c>
      <c r="B1206" s="6" t="s">
        <v>222</v>
      </c>
      <c r="C1206" s="6" t="s">
        <v>19</v>
      </c>
      <c r="D1206" s="6" t="s">
        <v>20</v>
      </c>
      <c r="E1206" s="6" t="s">
        <v>57</v>
      </c>
      <c r="F1206" s="7">
        <v>12</v>
      </c>
      <c r="G1206" s="338" t="s">
        <v>21</v>
      </c>
      <c r="H1206" s="416" t="s">
        <v>134</v>
      </c>
      <c r="I1206" s="339">
        <v>12.2</v>
      </c>
      <c r="J1206" s="340">
        <v>8</v>
      </c>
      <c r="K1206" s="341">
        <v>28</v>
      </c>
      <c r="L1206" s="151">
        <f t="shared" ref="L1206:L1211" si="258">(I1206*J1206*K1206/1000)</f>
        <v>2.7327999999999997</v>
      </c>
      <c r="M1206" s="18"/>
      <c r="N1206" s="77">
        <f t="shared" ref="N1206:N1211" si="259">J1206*M1206*I1206/1000</f>
        <v>0</v>
      </c>
      <c r="O1206" s="18">
        <f>12+5</f>
        <v>17</v>
      </c>
      <c r="P1206" s="413">
        <f t="shared" ref="P1206:P1211" si="260">J1206*O1206*I1206/1000</f>
        <v>1.6591999999999998</v>
      </c>
      <c r="Q1206" s="413"/>
      <c r="R1206" s="413"/>
      <c r="S1206" s="18">
        <f>2+1+1+1+2+1</f>
        <v>8</v>
      </c>
      <c r="T1206">
        <v>4</v>
      </c>
      <c r="U1206">
        <f>J1206*T1206*I1206/1000</f>
        <v>0.39039999999999997</v>
      </c>
      <c r="V1206">
        <v>1</v>
      </c>
      <c r="W1206" s="126">
        <f t="shared" ref="W1206:W1207" si="261">J1206*V1206*I1206/1000</f>
        <v>9.7599999999999992E-2</v>
      </c>
    </row>
    <row r="1207" spans="1:23">
      <c r="A1207" s="18"/>
      <c r="B1207" s="6" t="s">
        <v>204</v>
      </c>
      <c r="C1207" s="18"/>
      <c r="D1207" s="18"/>
      <c r="E1207" s="18"/>
      <c r="F1207" s="18"/>
      <c r="G1207" s="338" t="s">
        <v>21</v>
      </c>
      <c r="H1207" s="338" t="s">
        <v>134</v>
      </c>
      <c r="I1207" s="339">
        <v>12.2</v>
      </c>
      <c r="J1207" s="340">
        <v>9.5</v>
      </c>
      <c r="K1207" s="341">
        <v>24</v>
      </c>
      <c r="L1207" s="151">
        <f t="shared" si="258"/>
        <v>2.7816000000000001</v>
      </c>
      <c r="M1207" s="18"/>
      <c r="N1207" s="77">
        <f t="shared" si="259"/>
        <v>0</v>
      </c>
      <c r="O1207" s="18"/>
      <c r="P1207" s="413">
        <f t="shared" si="260"/>
        <v>0</v>
      </c>
      <c r="Q1207" s="413"/>
      <c r="R1207" s="413"/>
      <c r="S1207" s="18">
        <f>1+4+1+4+1</f>
        <v>11</v>
      </c>
      <c r="T1207">
        <v>8</v>
      </c>
      <c r="U1207" s="251">
        <f>J1207*T1207*I1207/1000</f>
        <v>0.92719999999999991</v>
      </c>
      <c r="V1207">
        <v>1</v>
      </c>
      <c r="W1207" s="126">
        <f t="shared" si="261"/>
        <v>0.11589999999999999</v>
      </c>
    </row>
    <row r="1208" spans="1:23">
      <c r="A1208" s="18"/>
      <c r="B1208" s="18"/>
      <c r="C1208" s="18"/>
      <c r="D1208" s="18"/>
      <c r="E1208" s="18"/>
      <c r="F1208" s="18"/>
      <c r="G1208" s="338" t="s">
        <v>21</v>
      </c>
      <c r="H1208" s="338" t="s">
        <v>134</v>
      </c>
      <c r="I1208" s="339">
        <v>12.2</v>
      </c>
      <c r="J1208" s="340">
        <v>10.199999999999999</v>
      </c>
      <c r="K1208" s="341">
        <v>18</v>
      </c>
      <c r="L1208" s="151">
        <f t="shared" si="258"/>
        <v>2.2399199999999997</v>
      </c>
      <c r="M1208" s="18"/>
      <c r="N1208" s="77">
        <f t="shared" si="259"/>
        <v>0</v>
      </c>
      <c r="O1208" s="18">
        <v>5</v>
      </c>
      <c r="P1208" s="413">
        <f t="shared" si="260"/>
        <v>0.62219999999999998</v>
      </c>
      <c r="Q1208" s="413"/>
      <c r="R1208" s="413"/>
      <c r="S1208" s="18">
        <v>3</v>
      </c>
    </row>
    <row r="1209" spans="1:23">
      <c r="A1209" s="18"/>
      <c r="B1209" s="18"/>
      <c r="C1209" s="18"/>
      <c r="D1209" s="18"/>
      <c r="E1209" s="18"/>
      <c r="F1209" s="18"/>
      <c r="G1209" s="338" t="s">
        <v>21</v>
      </c>
      <c r="H1209" s="338" t="s">
        <v>134</v>
      </c>
      <c r="I1209" s="339">
        <v>12.2</v>
      </c>
      <c r="J1209" s="340">
        <v>10.5</v>
      </c>
      <c r="K1209" s="341">
        <v>43</v>
      </c>
      <c r="L1209" s="151">
        <f t="shared" si="258"/>
        <v>5.5083000000000002</v>
      </c>
      <c r="M1209" s="18"/>
      <c r="N1209" s="77">
        <f t="shared" si="259"/>
        <v>0</v>
      </c>
      <c r="O1209" s="18">
        <v>18</v>
      </c>
      <c r="P1209" s="413">
        <f t="shared" si="260"/>
        <v>2.3057999999999996</v>
      </c>
      <c r="Q1209" s="413"/>
      <c r="R1209" s="413"/>
      <c r="S1209" s="18">
        <f>1+1+2+3+1+1+2</f>
        <v>11</v>
      </c>
    </row>
    <row r="1210" spans="1:23">
      <c r="A1210" s="18"/>
      <c r="B1210" s="18"/>
      <c r="C1210" s="18"/>
      <c r="D1210" s="18"/>
      <c r="E1210" s="18"/>
      <c r="F1210" s="18"/>
      <c r="G1210" s="338" t="s">
        <v>21</v>
      </c>
      <c r="H1210" s="338" t="s">
        <v>134</v>
      </c>
      <c r="I1210" s="339">
        <v>12.2</v>
      </c>
      <c r="J1210" s="340">
        <v>11.5</v>
      </c>
      <c r="K1210" s="341">
        <v>35</v>
      </c>
      <c r="L1210" s="151">
        <f t="shared" si="258"/>
        <v>4.910499999999999</v>
      </c>
      <c r="M1210" s="18"/>
      <c r="N1210" s="77">
        <f t="shared" si="259"/>
        <v>0</v>
      </c>
      <c r="O1210" s="18">
        <f>18+8</f>
        <v>26</v>
      </c>
      <c r="P1210" s="413">
        <f t="shared" si="260"/>
        <v>3.6477999999999997</v>
      </c>
      <c r="Q1210" s="413"/>
      <c r="R1210" s="413"/>
      <c r="S1210" s="18">
        <f>2+4+1+1</f>
        <v>8</v>
      </c>
      <c r="T1210">
        <v>4</v>
      </c>
      <c r="U1210" s="251">
        <f t="shared" ref="U1210:U1211" si="262">J1210*T1210*I1210/1000</f>
        <v>0.56119999999999992</v>
      </c>
      <c r="V1210">
        <v>4</v>
      </c>
      <c r="W1210" s="126">
        <f t="shared" ref="W1210:W1211" si="263">J1210*V1210*I1210/1000</f>
        <v>0.56119999999999992</v>
      </c>
    </row>
    <row r="1211" spans="1:23">
      <c r="A1211" s="18"/>
      <c r="B1211" s="18"/>
      <c r="C1211" s="18"/>
      <c r="D1211" s="18"/>
      <c r="E1211" s="18"/>
      <c r="F1211" s="18"/>
      <c r="G1211" s="338" t="s">
        <v>21</v>
      </c>
      <c r="H1211" s="338" t="s">
        <v>134</v>
      </c>
      <c r="I1211" s="339">
        <v>12.2</v>
      </c>
      <c r="J1211" s="340">
        <v>12</v>
      </c>
      <c r="K1211" s="341">
        <v>61</v>
      </c>
      <c r="L1211" s="151">
        <f t="shared" si="258"/>
        <v>8.930399999999997</v>
      </c>
      <c r="M1211" s="18"/>
      <c r="N1211" s="77">
        <f t="shared" si="259"/>
        <v>0</v>
      </c>
      <c r="O1211" s="18">
        <f>20+20+16+19+4-10-8</f>
        <v>61</v>
      </c>
      <c r="P1211" s="413">
        <f t="shared" si="260"/>
        <v>8.9303999999999988</v>
      </c>
      <c r="Q1211" s="413"/>
      <c r="R1211" s="413"/>
      <c r="S1211" s="18">
        <f>1+1+1+2</f>
        <v>5</v>
      </c>
      <c r="T1211">
        <v>2</v>
      </c>
      <c r="U1211" s="251">
        <f t="shared" si="262"/>
        <v>0.29279999999999995</v>
      </c>
      <c r="V1211">
        <v>1</v>
      </c>
      <c r="W1211" s="126">
        <f t="shared" si="263"/>
        <v>0.14639999999999997</v>
      </c>
    </row>
    <row r="1212" spans="1:23">
      <c r="A1212" s="18"/>
      <c r="B1212" s="18"/>
      <c r="C1212" s="18"/>
      <c r="D1212" s="18"/>
      <c r="E1212" s="18"/>
      <c r="F1212" s="18"/>
      <c r="G1212" s="18"/>
      <c r="H1212" s="18"/>
      <c r="I1212" s="257"/>
      <c r="J1212" s="18"/>
      <c r="K1212" s="200">
        <f t="shared" ref="K1212:M1212" si="264">SUM(K1206:K1211)</f>
        <v>209</v>
      </c>
      <c r="L1212" s="287">
        <f>SUM(L1206:L1211)</f>
        <v>27.103519999999996</v>
      </c>
      <c r="M1212" s="200">
        <f t="shared" si="264"/>
        <v>0</v>
      </c>
      <c r="N1212" s="355">
        <f>SUM(N1206:N1211)</f>
        <v>0</v>
      </c>
      <c r="O1212" s="200">
        <f>SUM(O1206:O1211)</f>
        <v>127</v>
      </c>
      <c r="P1212" s="414">
        <f>SUM(P1206:P1211)</f>
        <v>17.165399999999998</v>
      </c>
      <c r="Q1212" s="1056"/>
      <c r="R1212" s="1056"/>
      <c r="T1212" s="200">
        <f>SUM(T1206:T1211)</f>
        <v>18</v>
      </c>
      <c r="U1212" s="414">
        <f>SUM(U1206:U1211)</f>
        <v>2.1715999999999998</v>
      </c>
      <c r="V1212" s="200">
        <f>SUM(V1206:V1211)</f>
        <v>7</v>
      </c>
      <c r="W1212" s="414">
        <f>SUM(W1206:W1211)</f>
        <v>0.92109999999999992</v>
      </c>
    </row>
    <row r="1213" spans="1:23">
      <c r="A1213" s="18"/>
      <c r="B1213" s="18"/>
      <c r="C1213" s="18"/>
      <c r="D1213" s="18"/>
      <c r="E1213" s="18"/>
      <c r="F1213" s="18"/>
      <c r="G1213" s="18"/>
      <c r="H1213" s="18"/>
      <c r="I1213" s="257"/>
      <c r="J1213" s="18"/>
      <c r="K1213" s="199"/>
      <c r="L1213" s="129"/>
      <c r="M1213" s="18"/>
      <c r="N1213" s="18"/>
      <c r="O1213" s="18"/>
      <c r="P1213" s="199"/>
      <c r="Q1213" s="1055"/>
      <c r="R1213" s="1055"/>
    </row>
    <row r="1214" spans="1:23">
      <c r="A1214" s="6" t="s">
        <v>174</v>
      </c>
      <c r="B1214" s="6" t="s">
        <v>224</v>
      </c>
      <c r="C1214" s="6" t="s">
        <v>19</v>
      </c>
      <c r="D1214" s="6" t="s">
        <v>20</v>
      </c>
      <c r="E1214" s="6" t="s">
        <v>175</v>
      </c>
      <c r="F1214" s="7">
        <v>12</v>
      </c>
      <c r="G1214" s="343" t="s">
        <v>21</v>
      </c>
      <c r="H1214" s="358" t="s">
        <v>134</v>
      </c>
      <c r="I1214" s="344">
        <v>12.2</v>
      </c>
      <c r="J1214" s="345">
        <v>7.9</v>
      </c>
      <c r="K1214" s="346">
        <v>4</v>
      </c>
      <c r="L1214" s="151">
        <f t="shared" ref="L1214" si="265">(I1214*J1214*K1214/1000)</f>
        <v>0.38551999999999997</v>
      </c>
      <c r="M1214" s="18"/>
      <c r="N1214" s="18"/>
      <c r="O1214" s="18">
        <v>2</v>
      </c>
      <c r="P1214" s="413">
        <f t="shared" ref="P1214" si="266">J1214*O1214*I1214/1000</f>
        <v>0.19275999999999999</v>
      </c>
      <c r="Q1214" s="492"/>
      <c r="R1214" s="492"/>
      <c r="S1214" s="150" t="s">
        <v>290</v>
      </c>
    </row>
    <row r="1215" spans="1:23">
      <c r="A1215" s="18"/>
      <c r="B1215" s="347" t="s">
        <v>67</v>
      </c>
      <c r="C1215" s="18"/>
      <c r="D1215" s="18"/>
      <c r="E1215" s="18"/>
      <c r="F1215" s="18"/>
      <c r="G1215" s="18"/>
      <c r="H1215" s="18"/>
      <c r="I1215" s="257"/>
      <c r="J1215" s="18"/>
      <c r="K1215" s="199">
        <f t="shared" ref="K1215" si="267">SUM(K1214)</f>
        <v>4</v>
      </c>
      <c r="L1215" s="129">
        <f>SUM(L1214)</f>
        <v>0.38551999999999997</v>
      </c>
      <c r="M1215" s="18"/>
      <c r="N1215" s="18"/>
      <c r="O1215" s="199">
        <f t="shared" ref="O1215" si="268">SUM(O1214)</f>
        <v>2</v>
      </c>
      <c r="P1215" s="413">
        <f>SUM(P1214)</f>
        <v>0.19275999999999999</v>
      </c>
      <c r="Q1215" s="492"/>
      <c r="R1215" s="492"/>
    </row>
    <row r="1216" spans="1:23">
      <c r="A1216" s="18"/>
      <c r="B1216" s="347"/>
      <c r="C1216" s="18"/>
      <c r="D1216" s="18"/>
      <c r="E1216" s="18"/>
      <c r="F1216" s="18"/>
      <c r="G1216" s="18"/>
      <c r="H1216" s="18"/>
      <c r="I1216" s="257"/>
      <c r="J1216" s="18"/>
      <c r="K1216" s="199"/>
      <c r="L1216" s="129"/>
      <c r="M1216" s="18"/>
      <c r="N1216" s="18"/>
      <c r="O1216" s="18"/>
      <c r="P1216" s="199"/>
      <c r="Q1216" s="1055"/>
      <c r="R1216" s="1055"/>
    </row>
    <row r="1217" spans="1:19">
      <c r="A1217" s="6" t="s">
        <v>83</v>
      </c>
      <c r="B1217" s="6" t="s">
        <v>239</v>
      </c>
      <c r="C1217" s="6" t="s">
        <v>19</v>
      </c>
      <c r="D1217" s="6" t="s">
        <v>20</v>
      </c>
      <c r="E1217" s="6" t="s">
        <v>47</v>
      </c>
      <c r="F1217" s="7">
        <v>12</v>
      </c>
      <c r="G1217" s="18" t="s">
        <v>21</v>
      </c>
      <c r="H1217" s="319" t="s">
        <v>134</v>
      </c>
      <c r="I1217" s="257">
        <v>12.2</v>
      </c>
      <c r="J1217" s="77">
        <v>8.4</v>
      </c>
      <c r="K1217" s="81">
        <v>22</v>
      </c>
      <c r="L1217" s="151">
        <f>(I1217*J1217*K1217/1000)</f>
        <v>2.2545600000000001</v>
      </c>
      <c r="M1217" s="81"/>
      <c r="N1217" s="77"/>
      <c r="O1217" s="18">
        <f>22+22+19+2-24-5</f>
        <v>36</v>
      </c>
      <c r="P1217" s="413">
        <f t="shared" ref="P1217:P1221" si="269">J1217*O1217*I1217/1000</f>
        <v>3.6892800000000001</v>
      </c>
      <c r="Q1217" s="492"/>
      <c r="R1217" s="492"/>
      <c r="S1217" s="150" t="s">
        <v>290</v>
      </c>
    </row>
    <row r="1218" spans="1:19">
      <c r="A1218" s="18"/>
      <c r="B1218" s="6" t="s">
        <v>238</v>
      </c>
      <c r="C1218" s="18"/>
      <c r="D1218" s="18"/>
      <c r="E1218" s="18"/>
      <c r="F1218" s="18"/>
      <c r="G1218" s="18" t="s">
        <v>21</v>
      </c>
      <c r="H1218" s="18" t="s">
        <v>134</v>
      </c>
      <c r="I1218" s="257">
        <v>12.2</v>
      </c>
      <c r="J1218" s="77">
        <v>9.5</v>
      </c>
      <c r="K1218" s="81">
        <v>20</v>
      </c>
      <c r="L1218" s="151">
        <f>(I1218*J1218*K1218/1000)</f>
        <v>2.3180000000000001</v>
      </c>
      <c r="M1218" s="81"/>
      <c r="N1218" s="77"/>
      <c r="O1218" s="18">
        <v>19</v>
      </c>
      <c r="P1218" s="413">
        <f t="shared" si="269"/>
        <v>2.2020999999999997</v>
      </c>
      <c r="Q1218" s="492"/>
      <c r="R1218" s="492"/>
    </row>
    <row r="1219" spans="1:19">
      <c r="A1219" s="18"/>
      <c r="B1219" s="18"/>
      <c r="C1219" s="18"/>
      <c r="D1219" s="18"/>
      <c r="E1219" s="18"/>
      <c r="F1219" s="18"/>
      <c r="G1219" s="18" t="s">
        <v>21</v>
      </c>
      <c r="H1219" s="18" t="s">
        <v>134</v>
      </c>
      <c r="I1219" s="257">
        <v>12.2</v>
      </c>
      <c r="J1219" s="77">
        <v>10</v>
      </c>
      <c r="K1219" s="81">
        <v>18</v>
      </c>
      <c r="L1219" s="151">
        <f>(I1219*J1219*K1219/1000)</f>
        <v>2.1960000000000002</v>
      </c>
      <c r="M1219" s="81"/>
      <c r="N1219" s="77"/>
      <c r="O1219" s="18">
        <v>18</v>
      </c>
      <c r="P1219" s="413">
        <f t="shared" si="269"/>
        <v>2.1960000000000002</v>
      </c>
      <c r="Q1219" s="492"/>
      <c r="R1219" s="492"/>
    </row>
    <row r="1220" spans="1:19">
      <c r="A1220" s="18"/>
      <c r="B1220" s="18"/>
      <c r="C1220" s="18"/>
      <c r="D1220" s="18"/>
      <c r="E1220" s="18"/>
      <c r="F1220" s="18"/>
      <c r="G1220" s="18" t="s">
        <v>21</v>
      </c>
      <c r="H1220" s="18" t="s">
        <v>134</v>
      </c>
      <c r="I1220" s="257">
        <v>12.2</v>
      </c>
      <c r="J1220" s="77">
        <v>10.4</v>
      </c>
      <c r="K1220" s="81">
        <v>208</v>
      </c>
      <c r="L1220" s="151">
        <f>(I1220*J1220*K1220/1000)</f>
        <v>26.39104</v>
      </c>
      <c r="M1220" s="81"/>
      <c r="N1220" s="77"/>
      <c r="O1220" s="18">
        <f>20+20+20+20+25+24+25+13+8</f>
        <v>175</v>
      </c>
      <c r="P1220" s="413">
        <f t="shared" si="269"/>
        <v>22.204000000000001</v>
      </c>
      <c r="Q1220" s="492"/>
      <c r="R1220" s="492"/>
    </row>
    <row r="1221" spans="1:19">
      <c r="A1221" s="18"/>
      <c r="B1221" s="18"/>
      <c r="C1221" s="18"/>
      <c r="D1221" s="18"/>
      <c r="E1221" s="18"/>
      <c r="F1221" s="18"/>
      <c r="G1221" s="18" t="s">
        <v>21</v>
      </c>
      <c r="H1221" s="18" t="s">
        <v>134</v>
      </c>
      <c r="I1221" s="257">
        <v>12.2</v>
      </c>
      <c r="J1221" s="77">
        <v>11.1</v>
      </c>
      <c r="K1221" s="81">
        <v>52</v>
      </c>
      <c r="L1221" s="151">
        <f>(I1221*J1221*K1221/1000)</f>
        <v>7.0418399999999997</v>
      </c>
      <c r="M1221" s="81"/>
      <c r="N1221" s="77"/>
      <c r="O1221" s="18">
        <f>22+19+3</f>
        <v>44</v>
      </c>
      <c r="P1221" s="413">
        <f t="shared" si="269"/>
        <v>5.9584799999999998</v>
      </c>
      <c r="Q1221" s="492"/>
      <c r="R1221" s="492"/>
    </row>
    <row r="1222" spans="1:19">
      <c r="A1222" s="18"/>
      <c r="B1222" s="18"/>
      <c r="C1222" s="18"/>
      <c r="D1222" s="18"/>
      <c r="E1222" s="18"/>
      <c r="F1222" s="18"/>
      <c r="G1222" s="18"/>
      <c r="H1222" s="18"/>
      <c r="I1222" s="152"/>
      <c r="J1222" s="77"/>
      <c r="K1222" s="81">
        <f>SUM(K1217:K1221)</f>
        <v>320</v>
      </c>
      <c r="L1222" s="129">
        <f>SUM(L1217:L1221)</f>
        <v>40.201439999999998</v>
      </c>
      <c r="M1222" s="81"/>
      <c r="N1222" s="77"/>
      <c r="O1222" s="81">
        <f>SUM(O1217:O1221)</f>
        <v>292</v>
      </c>
      <c r="P1222" s="413">
        <f>SUM(P1217:P1221)</f>
        <v>36.249859999999998</v>
      </c>
      <c r="Q1222" s="492"/>
      <c r="R1222" s="492"/>
    </row>
    <row r="1223" spans="1:19">
      <c r="A1223" s="18"/>
      <c r="B1223" s="18"/>
      <c r="C1223" s="18"/>
      <c r="D1223" s="18"/>
      <c r="E1223" s="18"/>
      <c r="F1223" s="18"/>
      <c r="G1223" s="18"/>
      <c r="H1223" s="18"/>
      <c r="I1223" s="257"/>
      <c r="J1223" s="18"/>
      <c r="K1223" s="354">
        <f t="shared" ref="K1223:P1223" si="270">SUM(K1200:K1222)/2</f>
        <v>671</v>
      </c>
      <c r="L1223" s="129">
        <f t="shared" si="270"/>
        <v>85.082799999999978</v>
      </c>
      <c r="M1223" s="354">
        <f t="shared" si="270"/>
        <v>18</v>
      </c>
      <c r="N1223" s="348">
        <f t="shared" si="270"/>
        <v>2.2813999999999997</v>
      </c>
      <c r="O1223" s="354">
        <f t="shared" si="270"/>
        <v>496</v>
      </c>
      <c r="P1223" s="413">
        <f t="shared" si="270"/>
        <v>62.989819999999995</v>
      </c>
      <c r="Q1223" s="492"/>
      <c r="R1223" s="492"/>
      <c r="S1223" s="126">
        <f>P1223-L1223</f>
        <v>-22.092979999999983</v>
      </c>
    </row>
    <row r="1224" spans="1:19">
      <c r="A1224" s="18"/>
      <c r="B1224" s="18"/>
      <c r="C1224" s="18"/>
      <c r="D1224" s="18"/>
      <c r="E1224" s="18"/>
      <c r="F1224" s="18"/>
      <c r="G1224" s="18"/>
      <c r="H1224" s="18"/>
      <c r="I1224" s="257"/>
      <c r="J1224" s="18"/>
      <c r="K1224" s="199"/>
      <c r="L1224" s="129"/>
      <c r="M1224" s="18"/>
      <c r="N1224" s="18"/>
      <c r="O1224" s="18"/>
      <c r="P1224" s="18"/>
      <c r="Q1224" s="1041"/>
      <c r="R1224" s="1041"/>
    </row>
    <row r="1225" spans="1:19">
      <c r="A1225" s="18"/>
      <c r="B1225" s="18"/>
      <c r="C1225" s="18"/>
      <c r="D1225" s="18"/>
      <c r="E1225" s="18"/>
      <c r="F1225" s="18"/>
      <c r="G1225" s="18"/>
      <c r="H1225" s="18"/>
      <c r="I1225" s="257"/>
      <c r="J1225" s="18"/>
      <c r="K1225" s="199"/>
      <c r="L1225" s="129"/>
      <c r="M1225" s="18"/>
      <c r="N1225" s="18"/>
      <c r="O1225" s="18"/>
      <c r="P1225" s="18"/>
      <c r="Q1225" s="1041"/>
      <c r="R1225" s="1041"/>
    </row>
    <row r="1226" spans="1:19">
      <c r="A1226" s="6" t="s">
        <v>83</v>
      </c>
      <c r="B1226" s="6" t="s">
        <v>222</v>
      </c>
      <c r="C1226" s="6" t="s">
        <v>19</v>
      </c>
      <c r="D1226" s="6" t="s">
        <v>20</v>
      </c>
      <c r="E1226" s="6" t="s">
        <v>57</v>
      </c>
      <c r="F1226" s="7">
        <v>12</v>
      </c>
      <c r="G1226" s="338" t="s">
        <v>21</v>
      </c>
      <c r="H1226" s="416" t="s">
        <v>133</v>
      </c>
      <c r="I1226" s="339">
        <v>15</v>
      </c>
      <c r="J1226" s="340">
        <v>6.8</v>
      </c>
      <c r="K1226" s="341">
        <v>31</v>
      </c>
      <c r="L1226" s="151">
        <f>(I1226*J1226*K1226/1000)</f>
        <v>3.1619999999999999</v>
      </c>
      <c r="M1226" s="18"/>
      <c r="N1226" s="18"/>
      <c r="O1226" s="18"/>
      <c r="P1226" s="18"/>
      <c r="Q1226" s="1041"/>
      <c r="R1226" s="1041"/>
      <c r="S1226" s="150" t="s">
        <v>291</v>
      </c>
    </row>
    <row r="1227" spans="1:19">
      <c r="A1227" s="18"/>
      <c r="B1227" s="6" t="s">
        <v>204</v>
      </c>
      <c r="C1227" s="18"/>
      <c r="D1227" s="18"/>
      <c r="E1227" s="18"/>
      <c r="F1227" s="18"/>
      <c r="G1227" s="338" t="s">
        <v>21</v>
      </c>
      <c r="H1227" s="338" t="s">
        <v>133</v>
      </c>
      <c r="I1227" s="339">
        <v>15</v>
      </c>
      <c r="J1227" s="340">
        <v>9.1</v>
      </c>
      <c r="K1227" s="341">
        <v>16</v>
      </c>
      <c r="L1227" s="151">
        <f>(I1227*J1227*K1227/1000)</f>
        <v>2.1840000000000002</v>
      </c>
      <c r="M1227" s="18"/>
      <c r="N1227" s="18"/>
      <c r="O1227" s="18"/>
      <c r="P1227" s="18"/>
      <c r="Q1227" s="1041"/>
      <c r="R1227" s="1041"/>
    </row>
    <row r="1228" spans="1:19">
      <c r="A1228" s="18"/>
      <c r="B1228" s="18"/>
      <c r="C1228" s="18"/>
      <c r="D1228" s="18"/>
      <c r="E1228" s="18"/>
      <c r="F1228" s="18"/>
      <c r="G1228" s="338" t="s">
        <v>21</v>
      </c>
      <c r="H1228" s="338" t="s">
        <v>133</v>
      </c>
      <c r="I1228" s="339">
        <v>15</v>
      </c>
      <c r="J1228" s="340">
        <v>11.6</v>
      </c>
      <c r="K1228" s="341">
        <v>10</v>
      </c>
      <c r="L1228" s="151">
        <f>(I1228*J1228*K1228/1000)</f>
        <v>1.74</v>
      </c>
      <c r="M1228" s="18"/>
      <c r="N1228" s="18"/>
      <c r="O1228" s="18"/>
      <c r="P1228" s="18"/>
      <c r="Q1228" s="1041"/>
      <c r="R1228" s="1041"/>
    </row>
    <row r="1229" spans="1:19">
      <c r="A1229" s="18"/>
      <c r="B1229" s="18"/>
      <c r="C1229" s="18"/>
      <c r="D1229" s="18"/>
      <c r="E1229" s="18"/>
      <c r="F1229" s="18"/>
      <c r="G1229" s="18"/>
      <c r="H1229" s="18"/>
      <c r="I1229" s="257"/>
      <c r="J1229" s="18"/>
      <c r="K1229" s="200">
        <f t="shared" ref="K1229" si="271">SUM(K1226:K1228)</f>
        <v>57</v>
      </c>
      <c r="L1229" s="129">
        <f>SUM(L1226:L1228)</f>
        <v>7.0860000000000003</v>
      </c>
      <c r="M1229" s="18"/>
      <c r="N1229" s="18"/>
      <c r="O1229" s="18"/>
      <c r="P1229" s="18"/>
      <c r="Q1229" s="1041"/>
      <c r="R1229" s="1041"/>
    </row>
    <row r="1230" spans="1:19">
      <c r="A1230" s="18"/>
      <c r="B1230" s="18"/>
      <c r="C1230" s="18"/>
      <c r="D1230" s="18"/>
      <c r="E1230" s="18"/>
      <c r="F1230" s="18"/>
      <c r="G1230" s="18"/>
      <c r="H1230" s="18"/>
      <c r="I1230" s="257"/>
      <c r="J1230" s="18"/>
      <c r="K1230" s="199"/>
      <c r="L1230" s="129"/>
      <c r="M1230" s="18"/>
      <c r="N1230" s="18"/>
      <c r="O1230" s="18"/>
      <c r="P1230" s="18"/>
      <c r="Q1230" s="1041"/>
      <c r="R1230" s="1041"/>
    </row>
    <row r="1231" spans="1:19">
      <c r="A1231" s="6" t="s">
        <v>174</v>
      </c>
      <c r="B1231" s="6" t="s">
        <v>223</v>
      </c>
      <c r="C1231" s="6" t="s">
        <v>19</v>
      </c>
      <c r="D1231" s="6" t="s">
        <v>20</v>
      </c>
      <c r="E1231" s="6" t="s">
        <v>57</v>
      </c>
      <c r="F1231" s="7">
        <v>12</v>
      </c>
      <c r="G1231" s="343" t="s">
        <v>21</v>
      </c>
      <c r="H1231" s="358" t="s">
        <v>133</v>
      </c>
      <c r="I1231" s="344">
        <v>15</v>
      </c>
      <c r="J1231" s="345">
        <v>6.6</v>
      </c>
      <c r="K1231" s="346">
        <v>10</v>
      </c>
      <c r="L1231" s="151">
        <f>(I1231*J1231*K1231/1000)</f>
        <v>0.99</v>
      </c>
      <c r="M1231" s="18"/>
      <c r="N1231" s="18"/>
      <c r="O1231" s="18"/>
      <c r="P1231" s="18"/>
      <c r="Q1231" s="1041"/>
      <c r="R1231" s="1041"/>
      <c r="S1231" s="150" t="s">
        <v>291</v>
      </c>
    </row>
    <row r="1232" spans="1:19">
      <c r="A1232" s="18"/>
      <c r="B1232" s="347" t="s">
        <v>207</v>
      </c>
      <c r="C1232" s="18"/>
      <c r="D1232" s="18"/>
      <c r="E1232" s="18"/>
      <c r="F1232" s="18"/>
      <c r="G1232" s="343" t="s">
        <v>21</v>
      </c>
      <c r="H1232" s="343" t="s">
        <v>133</v>
      </c>
      <c r="I1232" s="344">
        <v>15</v>
      </c>
      <c r="J1232" s="345">
        <v>11.5</v>
      </c>
      <c r="K1232" s="346">
        <v>31</v>
      </c>
      <c r="L1232" s="151">
        <f>(I1232*J1232*K1232/1000)</f>
        <v>5.3475000000000001</v>
      </c>
      <c r="M1232" s="18"/>
      <c r="N1232" s="18"/>
      <c r="O1232" s="18"/>
      <c r="P1232" s="18"/>
      <c r="Q1232" s="1041"/>
      <c r="R1232" s="1041"/>
    </row>
    <row r="1233" spans="1:19">
      <c r="A1233" s="18"/>
      <c r="B1233" s="18"/>
      <c r="C1233" s="18"/>
      <c r="D1233" s="18"/>
      <c r="E1233" s="18"/>
      <c r="F1233" s="18"/>
      <c r="G1233" s="18"/>
      <c r="H1233" s="18"/>
      <c r="I1233" s="257"/>
      <c r="J1233" s="18"/>
      <c r="K1233" s="199">
        <f t="shared" ref="K1233" si="272">SUM(K1231:K1232)</f>
        <v>41</v>
      </c>
      <c r="L1233" s="129">
        <f>SUM(L1231:L1232)</f>
        <v>6.3375000000000004</v>
      </c>
      <c r="M1233" s="18"/>
      <c r="N1233" s="18"/>
      <c r="O1233" s="18"/>
      <c r="P1233" s="18"/>
      <c r="Q1233" s="1041"/>
      <c r="R1233" s="1041"/>
    </row>
    <row r="1234" spans="1:19">
      <c r="A1234" s="18"/>
      <c r="B1234" s="18"/>
      <c r="C1234" s="18"/>
      <c r="D1234" s="18"/>
      <c r="E1234" s="18"/>
      <c r="F1234" s="18"/>
      <c r="G1234" s="18"/>
      <c r="H1234" s="18"/>
      <c r="I1234" s="257"/>
      <c r="J1234" s="18"/>
      <c r="K1234" s="199"/>
      <c r="L1234" s="129"/>
      <c r="M1234" s="18"/>
      <c r="N1234" s="18"/>
      <c r="O1234" s="18"/>
      <c r="P1234" s="18"/>
      <c r="Q1234" s="1041"/>
      <c r="R1234" s="1041"/>
    </row>
    <row r="1235" spans="1:19">
      <c r="A1235" s="6" t="s">
        <v>174</v>
      </c>
      <c r="B1235" s="6" t="s">
        <v>223</v>
      </c>
      <c r="C1235" s="6" t="s">
        <v>19</v>
      </c>
      <c r="D1235" s="6" t="s">
        <v>20</v>
      </c>
      <c r="E1235" s="6" t="s">
        <v>175</v>
      </c>
      <c r="F1235" s="7">
        <v>12</v>
      </c>
      <c r="G1235" s="358" t="s">
        <v>21</v>
      </c>
      <c r="H1235" s="358" t="s">
        <v>133</v>
      </c>
      <c r="I1235" s="359">
        <v>15</v>
      </c>
      <c r="J1235" s="360">
        <v>11.9</v>
      </c>
      <c r="K1235" s="361">
        <v>12</v>
      </c>
      <c r="L1235" s="320">
        <f>(I1235*J1235*K1235/1000)</f>
        <v>2.1419999999999999</v>
      </c>
      <c r="M1235" s="18"/>
      <c r="N1235" s="18"/>
      <c r="O1235" s="18"/>
      <c r="P1235" s="18"/>
      <c r="Q1235" s="1041"/>
      <c r="R1235" s="1041"/>
      <c r="S1235" s="150" t="s">
        <v>291</v>
      </c>
    </row>
    <row r="1236" spans="1:19">
      <c r="A1236" s="18"/>
      <c r="B1236" s="347" t="s">
        <v>208</v>
      </c>
      <c r="C1236" s="18"/>
      <c r="D1236" s="18"/>
      <c r="E1236" s="18"/>
      <c r="F1236" s="18"/>
      <c r="G1236" s="343"/>
      <c r="H1236" s="343"/>
      <c r="I1236" s="344"/>
      <c r="J1236" s="345"/>
      <c r="K1236" s="346">
        <f t="shared" ref="K1236" si="273">SUM(K1235)</f>
        <v>12</v>
      </c>
      <c r="L1236" s="345">
        <f>SUM(L1235)</f>
        <v>2.1419999999999999</v>
      </c>
      <c r="M1236" s="18"/>
      <c r="N1236" s="18"/>
      <c r="O1236" s="18"/>
      <c r="P1236" s="18"/>
      <c r="Q1236" s="1041"/>
      <c r="R1236" s="1041"/>
    </row>
    <row r="1237" spans="1:19">
      <c r="A1237" s="18"/>
      <c r="B1237" s="347"/>
      <c r="C1237" s="18"/>
      <c r="D1237" s="18"/>
      <c r="E1237" s="18"/>
      <c r="F1237" s="18"/>
      <c r="G1237" s="343"/>
      <c r="H1237" s="343"/>
      <c r="I1237" s="344"/>
      <c r="J1237" s="345"/>
      <c r="K1237" s="356">
        <f>SUM(K1226:K1236)/2</f>
        <v>110</v>
      </c>
      <c r="L1237" s="345">
        <f>SUM(L1226:L1236)/2</f>
        <v>15.5655</v>
      </c>
      <c r="M1237" s="18"/>
      <c r="N1237" s="18"/>
      <c r="O1237" s="18"/>
      <c r="P1237" s="18"/>
      <c r="Q1237" s="1041"/>
      <c r="R1237" s="1041"/>
    </row>
    <row r="1238" spans="1:19">
      <c r="A1238" s="18"/>
      <c r="B1238" s="347"/>
      <c r="C1238" s="18"/>
      <c r="D1238" s="18"/>
      <c r="E1238" s="18"/>
      <c r="F1238" s="18"/>
      <c r="G1238" s="343"/>
      <c r="H1238" s="343"/>
      <c r="I1238" s="344"/>
      <c r="J1238" s="345"/>
      <c r="K1238" s="356"/>
      <c r="L1238" s="345"/>
      <c r="M1238" s="18"/>
      <c r="N1238" s="18"/>
      <c r="O1238" s="18"/>
      <c r="P1238" s="18"/>
      <c r="Q1238" s="1041"/>
      <c r="R1238" s="1041"/>
    </row>
    <row r="1239" spans="1:19">
      <c r="A1239" s="18"/>
      <c r="B1239" s="18"/>
      <c r="C1239" s="18"/>
      <c r="D1239" s="18"/>
      <c r="E1239" s="18"/>
      <c r="F1239" s="18"/>
      <c r="G1239" s="18"/>
      <c r="H1239" s="18"/>
      <c r="I1239" s="257"/>
      <c r="J1239" s="18"/>
      <c r="K1239" s="199"/>
      <c r="L1239" s="129"/>
      <c r="M1239" s="18"/>
      <c r="N1239" s="18"/>
      <c r="O1239" s="18"/>
      <c r="P1239" s="18"/>
      <c r="Q1239" s="1041"/>
      <c r="R1239" s="1041"/>
    </row>
    <row r="1240" spans="1:19">
      <c r="A1240" s="6" t="s">
        <v>83</v>
      </c>
      <c r="B1240" s="6" t="s">
        <v>222</v>
      </c>
      <c r="C1240" s="6" t="s">
        <v>19</v>
      </c>
      <c r="D1240" s="6" t="s">
        <v>20</v>
      </c>
      <c r="E1240" s="6" t="s">
        <v>57</v>
      </c>
      <c r="F1240" s="7">
        <v>12</v>
      </c>
      <c r="G1240" s="338" t="s">
        <v>21</v>
      </c>
      <c r="H1240" s="416" t="s">
        <v>203</v>
      </c>
      <c r="I1240" s="339">
        <v>17.8</v>
      </c>
      <c r="J1240" s="340">
        <v>10.55</v>
      </c>
      <c r="K1240" s="341">
        <v>23</v>
      </c>
      <c r="L1240" s="151">
        <f>(I1240*J1240*K1240/1000)</f>
        <v>4.3191699999999997</v>
      </c>
      <c r="M1240" s="18"/>
      <c r="N1240" s="18"/>
      <c r="O1240" s="18"/>
      <c r="P1240" s="18"/>
      <c r="Q1240" s="1041"/>
      <c r="R1240" s="1041"/>
      <c r="S1240" s="150" t="s">
        <v>291</v>
      </c>
    </row>
    <row r="1241" spans="1:19">
      <c r="A1241" s="18"/>
      <c r="B1241" s="6" t="s">
        <v>204</v>
      </c>
      <c r="C1241" s="18"/>
      <c r="D1241" s="18"/>
      <c r="E1241" s="18"/>
      <c r="F1241" s="18"/>
      <c r="G1241" s="338"/>
      <c r="H1241" s="338"/>
      <c r="I1241" s="339"/>
      <c r="J1241" s="340"/>
      <c r="K1241" s="341">
        <f t="shared" ref="K1241" si="274">SUM(K1240)</f>
        <v>23</v>
      </c>
      <c r="L1241" s="340">
        <f>SUM(L1240)</f>
        <v>4.3191699999999997</v>
      </c>
      <c r="M1241" s="18"/>
      <c r="N1241" s="18"/>
      <c r="O1241" s="18"/>
      <c r="P1241" s="18"/>
      <c r="Q1241" s="1041"/>
      <c r="R1241" s="1041"/>
    </row>
    <row r="1242" spans="1:19" s="251" customFormat="1">
      <c r="A1242" s="18"/>
      <c r="B1242" s="6"/>
      <c r="C1242" s="18"/>
      <c r="D1242" s="18"/>
      <c r="E1242" s="18"/>
      <c r="F1242" s="18"/>
      <c r="G1242" s="338"/>
      <c r="H1242" s="338"/>
      <c r="I1242" s="339"/>
      <c r="J1242" s="340"/>
      <c r="K1242" s="341"/>
      <c r="L1242" s="340"/>
      <c r="M1242" s="18"/>
      <c r="N1242" s="18"/>
      <c r="O1242" s="18"/>
      <c r="P1242" s="18"/>
      <c r="Q1242" s="1041"/>
      <c r="R1242" s="1041"/>
    </row>
    <row r="1243" spans="1:19">
      <c r="A1243" s="18"/>
      <c r="B1243" s="18"/>
      <c r="C1243" s="18"/>
      <c r="D1243" s="18"/>
      <c r="E1243" s="18"/>
      <c r="F1243" s="18"/>
      <c r="G1243" s="338"/>
      <c r="H1243" s="338"/>
      <c r="I1243" s="339"/>
      <c r="J1243" s="340"/>
      <c r="K1243" s="341"/>
      <c r="L1243" s="340"/>
      <c r="M1243" s="18"/>
      <c r="N1243" s="18"/>
      <c r="O1243" s="18"/>
      <c r="P1243" s="18"/>
      <c r="Q1243" s="1041"/>
      <c r="R1243" s="1041"/>
    </row>
    <row r="1244" spans="1:19">
      <c r="A1244" s="6" t="s">
        <v>174</v>
      </c>
      <c r="B1244" s="6" t="s">
        <v>224</v>
      </c>
      <c r="C1244" s="6" t="s">
        <v>19</v>
      </c>
      <c r="D1244" s="6" t="s">
        <v>20</v>
      </c>
      <c r="E1244" s="6" t="s">
        <v>175</v>
      </c>
      <c r="F1244" s="7">
        <v>12</v>
      </c>
      <c r="G1244" s="343" t="s">
        <v>21</v>
      </c>
      <c r="H1244" s="410" t="s">
        <v>205</v>
      </c>
      <c r="I1244" s="344">
        <v>13.6</v>
      </c>
      <c r="J1244" s="345">
        <v>10.4</v>
      </c>
      <c r="K1244" s="346">
        <v>2</v>
      </c>
      <c r="L1244" s="151">
        <f>(I1244*J1244*K1244/1000)</f>
        <v>0.28288000000000002</v>
      </c>
      <c r="M1244" s="18">
        <v>2</v>
      </c>
      <c r="N1244" s="77">
        <f>J1244*M1244*I1244/1000</f>
        <v>0.28288000000000002</v>
      </c>
      <c r="O1244" s="18"/>
      <c r="P1244" s="18"/>
      <c r="Q1244" s="1041"/>
      <c r="R1244" s="1041"/>
      <c r="S1244" s="150" t="s">
        <v>287</v>
      </c>
    </row>
    <row r="1245" spans="1:19">
      <c r="A1245" s="18"/>
      <c r="B1245" s="347" t="s">
        <v>206</v>
      </c>
      <c r="C1245" s="18"/>
      <c r="D1245" s="18"/>
      <c r="E1245" s="18"/>
      <c r="F1245" s="18"/>
      <c r="G1245" s="18"/>
      <c r="H1245" s="18"/>
      <c r="I1245" s="257"/>
      <c r="J1245" s="18"/>
      <c r="K1245" s="199">
        <f t="shared" ref="K1245:M1245" si="275">SUM(K1244)</f>
        <v>2</v>
      </c>
      <c r="L1245" s="129">
        <f>SUM(L1244)</f>
        <v>0.28288000000000002</v>
      </c>
      <c r="M1245" s="199">
        <f t="shared" si="275"/>
        <v>2</v>
      </c>
      <c r="N1245" s="348">
        <f>SUM(N1244)</f>
        <v>0.28288000000000002</v>
      </c>
      <c r="O1245" s="18"/>
      <c r="P1245" s="18"/>
      <c r="Q1245" s="1041"/>
      <c r="R1245" s="1041"/>
    </row>
    <row r="1246" spans="1:19">
      <c r="A1246" s="18"/>
      <c r="B1246" s="18"/>
      <c r="C1246" s="18"/>
      <c r="D1246" s="18"/>
      <c r="E1246" s="18"/>
      <c r="F1246" s="18"/>
      <c r="G1246" s="18"/>
      <c r="H1246" s="18"/>
      <c r="I1246" s="257"/>
      <c r="J1246" s="18"/>
      <c r="K1246" s="199"/>
      <c r="L1246" s="129"/>
      <c r="M1246" s="18"/>
      <c r="N1246" s="18"/>
      <c r="O1246" s="18"/>
      <c r="P1246" s="18"/>
      <c r="Q1246" s="1041"/>
      <c r="R1246" s="1041"/>
    </row>
    <row r="1247" spans="1:19">
      <c r="A1247" s="6" t="s">
        <v>174</v>
      </c>
      <c r="B1247" s="6" t="s">
        <v>224</v>
      </c>
      <c r="C1247" s="6" t="s">
        <v>19</v>
      </c>
      <c r="D1247" s="6" t="s">
        <v>20</v>
      </c>
      <c r="E1247" s="6" t="s">
        <v>175</v>
      </c>
      <c r="F1247" s="7">
        <v>12</v>
      </c>
      <c r="G1247" s="343" t="s">
        <v>21</v>
      </c>
      <c r="H1247" s="410" t="s">
        <v>205</v>
      </c>
      <c r="I1247" s="344">
        <v>13.6</v>
      </c>
      <c r="J1247" s="345">
        <v>10.4</v>
      </c>
      <c r="K1247" s="346">
        <v>1</v>
      </c>
      <c r="L1247" s="151">
        <f>(I1247*J1247*K1247/1000)</f>
        <v>0.14144000000000001</v>
      </c>
      <c r="M1247" s="18">
        <v>1</v>
      </c>
      <c r="N1247" s="77">
        <f>J1247*M1247*I1247/1000</f>
        <v>0.14144000000000001</v>
      </c>
      <c r="O1247" s="18"/>
      <c r="P1247" s="18"/>
      <c r="Q1247" s="1041"/>
      <c r="R1247" s="1041"/>
      <c r="S1247" s="150" t="s">
        <v>287</v>
      </c>
    </row>
    <row r="1248" spans="1:19">
      <c r="A1248" s="18"/>
      <c r="B1248" s="347" t="s">
        <v>67</v>
      </c>
      <c r="C1248" s="18"/>
      <c r="D1248" s="18"/>
      <c r="E1248" s="18"/>
      <c r="F1248" s="18"/>
      <c r="G1248" s="18"/>
      <c r="H1248" s="18"/>
      <c r="I1248" s="152"/>
      <c r="J1248" s="18"/>
      <c r="K1248" s="199">
        <f t="shared" ref="K1248:M1248" si="276">SUM(K1247)</f>
        <v>1</v>
      </c>
      <c r="L1248" s="129">
        <f>SUM(L1247)</f>
        <v>0.14144000000000001</v>
      </c>
      <c r="M1248" s="199">
        <f t="shared" si="276"/>
        <v>1</v>
      </c>
      <c r="N1248" s="348">
        <f>SUM(N1247)</f>
        <v>0.14144000000000001</v>
      </c>
      <c r="O1248" s="18"/>
      <c r="P1248" s="18"/>
      <c r="Q1248" s="1041"/>
      <c r="R1248" s="1041"/>
    </row>
    <row r="1249" spans="1:18">
      <c r="A1249" s="18"/>
      <c r="B1249" s="18"/>
      <c r="C1249" s="18"/>
      <c r="D1249" s="18"/>
      <c r="E1249" s="18"/>
      <c r="F1249" s="18"/>
      <c r="G1249" s="18"/>
      <c r="H1249" s="18"/>
      <c r="I1249" s="152"/>
      <c r="J1249" s="18"/>
      <c r="K1249" s="81">
        <f>+K1248+K1245</f>
        <v>3</v>
      </c>
      <c r="L1249" s="129">
        <f>+L1248+L1245</f>
        <v>0.42432000000000003</v>
      </c>
      <c r="M1249" s="81">
        <f>+M1248+M1245</f>
        <v>3</v>
      </c>
      <c r="N1249" s="77">
        <f>+N1248+N1245</f>
        <v>0.42432000000000003</v>
      </c>
      <c r="O1249" s="18"/>
      <c r="P1249" s="18"/>
      <c r="Q1249" s="1041"/>
      <c r="R1249" s="1041"/>
    </row>
    <row r="1250" spans="1:18">
      <c r="A1250" s="18"/>
      <c r="B1250" s="18"/>
      <c r="C1250" s="18"/>
      <c r="D1250" s="18"/>
      <c r="E1250" s="18"/>
      <c r="F1250" s="18"/>
      <c r="G1250" s="18"/>
      <c r="H1250" s="18"/>
      <c r="I1250" s="152"/>
      <c r="J1250" s="18"/>
      <c r="K1250" s="81"/>
      <c r="L1250" s="129"/>
      <c r="M1250" s="81"/>
      <c r="N1250" s="77"/>
      <c r="O1250" s="18"/>
      <c r="P1250" s="18"/>
      <c r="Q1250" s="1041"/>
      <c r="R1250" s="1041"/>
    </row>
    <row r="1251" spans="1:18">
      <c r="A1251" s="18"/>
      <c r="B1251" s="18"/>
      <c r="C1251" s="18"/>
      <c r="D1251" s="18"/>
      <c r="E1251" s="18"/>
      <c r="F1251" s="18"/>
      <c r="G1251" s="18"/>
      <c r="H1251" s="18"/>
      <c r="I1251" s="152"/>
      <c r="J1251" s="18"/>
      <c r="K1251" s="81"/>
      <c r="L1251" s="129"/>
      <c r="M1251" s="81"/>
      <c r="N1251" s="77"/>
      <c r="O1251" s="18"/>
      <c r="P1251" s="18"/>
      <c r="Q1251" s="1041"/>
      <c r="R1251" s="1041"/>
    </row>
    <row r="1252" spans="1:18">
      <c r="A1252" s="18"/>
      <c r="B1252" s="18"/>
      <c r="C1252" s="18"/>
      <c r="D1252" s="18"/>
      <c r="E1252" s="18"/>
      <c r="F1252" s="18"/>
      <c r="G1252" s="18"/>
      <c r="H1252" s="18"/>
      <c r="I1252" s="152"/>
      <c r="J1252" s="18"/>
      <c r="K1252" s="199"/>
      <c r="L1252" s="129"/>
      <c r="M1252" s="18"/>
      <c r="N1252" s="18"/>
      <c r="O1252" s="18"/>
      <c r="P1252" s="18"/>
      <c r="Q1252" s="1041"/>
      <c r="R1252" s="1041"/>
    </row>
    <row r="1253" spans="1:18">
      <c r="A1253" s="18"/>
      <c r="B1253" s="18"/>
      <c r="C1253" s="18"/>
      <c r="D1253" s="18"/>
      <c r="E1253" s="18"/>
      <c r="F1253" s="18"/>
      <c r="G1253" s="18"/>
      <c r="H1253" s="18"/>
      <c r="I1253" s="152"/>
      <c r="J1253" s="18"/>
      <c r="K1253" s="81">
        <f>+K1249+K1223+K1197+K1165+K1241+K1237</f>
        <v>2210</v>
      </c>
      <c r="L1253" s="129">
        <f>+L1249+L1223+L1197+L1165+L1241+L1237</f>
        <v>250.35106400000001</v>
      </c>
      <c r="M1253" s="81">
        <f>+M1249+M1223+M1197+M1165+M1241+M1237</f>
        <v>21</v>
      </c>
      <c r="N1253" s="77">
        <f>+N1249+N1223+N1197+N1165+N1241+N1237</f>
        <v>2.7057199999999995</v>
      </c>
      <c r="O1253" s="18"/>
      <c r="P1253" s="18"/>
      <c r="Q1253" s="1041"/>
      <c r="R1253" s="1041"/>
    </row>
    <row r="1254" spans="1:18">
      <c r="A1254" s="10" t="s">
        <v>48</v>
      </c>
      <c r="B1254" s="10"/>
      <c r="C1254" s="11"/>
      <c r="D1254" s="11"/>
      <c r="E1254" s="11"/>
      <c r="F1254" s="92"/>
      <c r="G1254" s="11"/>
      <c r="H1254" s="92"/>
      <c r="I1254" s="13"/>
      <c r="J1254" s="11"/>
      <c r="K1254" s="202"/>
      <c r="L1254" s="2047" t="s">
        <v>0</v>
      </c>
      <c r="M1254" s="2047"/>
      <c r="N1254" s="2047"/>
      <c r="O1254" s="2048"/>
      <c r="P1254" s="2020"/>
      <c r="Q1254" s="142"/>
      <c r="R1254" s="142"/>
    </row>
    <row r="1255" spans="1:18">
      <c r="A1255" s="14" t="s">
        <v>1</v>
      </c>
      <c r="B1255" s="14"/>
      <c r="C1255" s="14"/>
      <c r="D1255" s="15" t="s">
        <v>2</v>
      </c>
      <c r="E1255" s="15"/>
      <c r="F1255" s="16"/>
      <c r="G1255" s="16"/>
      <c r="H1255" s="16"/>
      <c r="I1255" s="17"/>
      <c r="J1255" s="16"/>
      <c r="K1255" s="203" t="s">
        <v>3</v>
      </c>
      <c r="L1255" s="16"/>
      <c r="M1255" s="14"/>
      <c r="N1255" s="16"/>
      <c r="O1255" s="19"/>
      <c r="P1255" s="2020"/>
      <c r="Q1255" s="142"/>
      <c r="R1255" s="142"/>
    </row>
    <row r="1256" spans="1:18" ht="15.6">
      <c r="A1256" s="188" t="s">
        <v>22</v>
      </c>
      <c r="B1256" s="2021" t="s">
        <v>23</v>
      </c>
      <c r="C1256" s="2022"/>
      <c r="D1256" s="2023"/>
      <c r="E1256" s="188" t="s">
        <v>24</v>
      </c>
      <c r="F1256" s="2021" t="s">
        <v>25</v>
      </c>
      <c r="G1256" s="2023"/>
      <c r="H1256" s="2021" t="s">
        <v>26</v>
      </c>
      <c r="I1256" s="2022"/>
      <c r="J1256" s="2022"/>
      <c r="K1256" s="2023"/>
      <c r="L1256" s="2024" t="s">
        <v>27</v>
      </c>
      <c r="M1256" s="2024"/>
      <c r="N1256" s="2024"/>
      <c r="O1256" s="2021"/>
      <c r="P1256" s="2020"/>
      <c r="Q1256" s="142"/>
      <c r="R1256" s="142"/>
    </row>
    <row r="1257" spans="1:18" ht="15.6">
      <c r="A1257" s="38"/>
      <c r="B1257" s="2025"/>
      <c r="C1257" s="2026"/>
      <c r="D1257" s="2027"/>
      <c r="E1257" s="26"/>
      <c r="F1257" s="2025"/>
      <c r="G1257" s="2027"/>
      <c r="H1257" s="2025"/>
      <c r="I1257" s="2026"/>
      <c r="J1257" s="2026"/>
      <c r="K1257" s="2027"/>
      <c r="L1257" s="2025"/>
      <c r="M1257" s="2026"/>
      <c r="N1257" s="2026"/>
      <c r="O1257" s="2026"/>
      <c r="P1257" s="2020"/>
      <c r="Q1257" s="142"/>
      <c r="R1257" s="142"/>
    </row>
    <row r="1258" spans="1:18" ht="15.6">
      <c r="A1258" s="38"/>
      <c r="B1258" s="189"/>
      <c r="C1258" s="190"/>
      <c r="D1258" s="191"/>
      <c r="E1258" s="26"/>
      <c r="F1258" s="189"/>
      <c r="G1258" s="191"/>
      <c r="H1258" s="189"/>
      <c r="I1258" s="1856"/>
      <c r="J1258" s="190"/>
      <c r="K1258" s="204"/>
      <c r="L1258" s="279"/>
      <c r="M1258" s="190"/>
      <c r="N1258" s="190"/>
      <c r="O1258" s="190"/>
      <c r="P1258" s="2020"/>
      <c r="Q1258" s="142"/>
      <c r="R1258" s="142"/>
    </row>
    <row r="1259" spans="1:18" ht="15.6">
      <c r="A1259" s="38" t="s">
        <v>28</v>
      </c>
      <c r="B1259" s="2025" t="s">
        <v>136</v>
      </c>
      <c r="C1259" s="2026"/>
      <c r="D1259" s="2027"/>
      <c r="E1259" s="26">
        <f>+L1165</f>
        <v>40.506944000000011</v>
      </c>
      <c r="F1259" s="2025">
        <v>12</v>
      </c>
      <c r="G1259" s="2027"/>
      <c r="H1259" s="2025" t="s">
        <v>49</v>
      </c>
      <c r="I1259" s="2026"/>
      <c r="J1259" s="2026"/>
      <c r="K1259" s="2027"/>
      <c r="L1259" s="2025" t="s">
        <v>227</v>
      </c>
      <c r="M1259" s="2026"/>
      <c r="N1259" s="2026"/>
      <c r="O1259" s="2026"/>
      <c r="P1259" s="2020"/>
      <c r="Q1259" s="142"/>
      <c r="R1259" s="142"/>
    </row>
    <row r="1260" spans="1:18" ht="15.6">
      <c r="A1260" s="38" t="s">
        <v>29</v>
      </c>
      <c r="B1260" s="2025" t="s">
        <v>137</v>
      </c>
      <c r="C1260" s="2026"/>
      <c r="D1260" s="2027"/>
      <c r="E1260" s="26">
        <f>+L1197</f>
        <v>104.45233000000002</v>
      </c>
      <c r="F1260" s="2025">
        <v>12</v>
      </c>
      <c r="G1260" s="2027"/>
      <c r="H1260" s="2025" t="s">
        <v>49</v>
      </c>
      <c r="I1260" s="2026"/>
      <c r="J1260" s="2026"/>
      <c r="K1260" s="2027"/>
      <c r="L1260" s="2025" t="s">
        <v>210</v>
      </c>
      <c r="M1260" s="2026"/>
      <c r="N1260" s="2026"/>
      <c r="O1260" s="2026"/>
      <c r="P1260" s="2020"/>
      <c r="Q1260" s="142"/>
      <c r="R1260" s="142"/>
    </row>
    <row r="1261" spans="1:18" ht="15.6">
      <c r="A1261" s="38" t="s">
        <v>30</v>
      </c>
      <c r="B1261" s="2025" t="s">
        <v>138</v>
      </c>
      <c r="C1261" s="2026"/>
      <c r="D1261" s="2027"/>
      <c r="E1261" s="26">
        <f>+L1223-2.281</f>
        <v>82.801799999999972</v>
      </c>
      <c r="F1261" s="2025">
        <v>12</v>
      </c>
      <c r="G1261" s="2027"/>
      <c r="H1261" s="2025" t="s">
        <v>49</v>
      </c>
      <c r="I1261" s="2026"/>
      <c r="J1261" s="2026"/>
      <c r="K1261" s="2027"/>
      <c r="L1261" s="2025" t="s">
        <v>266</v>
      </c>
      <c r="M1261" s="2026"/>
      <c r="N1261" s="2026"/>
      <c r="O1261" s="2026"/>
      <c r="P1261" s="2020"/>
      <c r="Q1261" s="142"/>
      <c r="R1261" s="142"/>
    </row>
    <row r="1262" spans="1:18" ht="15.6">
      <c r="A1262" s="38" t="s">
        <v>46</v>
      </c>
      <c r="B1262" s="2025" t="s">
        <v>159</v>
      </c>
      <c r="C1262" s="2026"/>
      <c r="D1262" s="2027"/>
      <c r="E1262" s="26">
        <f>+L1237</f>
        <v>15.5655</v>
      </c>
      <c r="F1262" s="2025">
        <v>12</v>
      </c>
      <c r="G1262" s="2027"/>
      <c r="H1262" s="2025" t="s">
        <v>49</v>
      </c>
      <c r="I1262" s="2026"/>
      <c r="J1262" s="2026"/>
      <c r="K1262" s="2027"/>
      <c r="L1262" s="2025" t="s">
        <v>266</v>
      </c>
      <c r="M1262" s="2026"/>
      <c r="N1262" s="2026"/>
      <c r="O1262" s="2026"/>
      <c r="P1262" s="2020"/>
      <c r="Q1262" s="142"/>
      <c r="R1262" s="142"/>
    </row>
    <row r="1263" spans="1:18" ht="15.6">
      <c r="A1263" s="38" t="s">
        <v>58</v>
      </c>
      <c r="B1263" s="2025" t="s">
        <v>209</v>
      </c>
      <c r="C1263" s="2026"/>
      <c r="D1263" s="2027"/>
      <c r="E1263" s="26">
        <f>+L1241</f>
        <v>4.3191699999999997</v>
      </c>
      <c r="F1263" s="2025">
        <v>12</v>
      </c>
      <c r="G1263" s="2027"/>
      <c r="H1263" s="2025" t="s">
        <v>49</v>
      </c>
      <c r="I1263" s="2026"/>
      <c r="J1263" s="2026"/>
      <c r="K1263" s="2027"/>
      <c r="L1263" s="2025" t="s">
        <v>266</v>
      </c>
      <c r="M1263" s="2026"/>
      <c r="N1263" s="2026"/>
      <c r="O1263" s="2026"/>
      <c r="P1263" s="2020"/>
      <c r="Q1263" s="142"/>
      <c r="R1263" s="142"/>
    </row>
    <row r="1264" spans="1:18" ht="16.2" thickBot="1">
      <c r="A1264" s="38"/>
      <c r="B1264" s="2025"/>
      <c r="C1264" s="2026"/>
      <c r="D1264" s="2027"/>
      <c r="E1264" s="26"/>
      <c r="F1264" s="2025"/>
      <c r="G1264" s="2027"/>
      <c r="H1264" s="2025"/>
      <c r="I1264" s="2026"/>
      <c r="J1264" s="2026"/>
      <c r="K1264" s="2027"/>
      <c r="L1264" s="2025"/>
      <c r="M1264" s="2026"/>
      <c r="N1264" s="2026"/>
      <c r="O1264" s="2026"/>
      <c r="P1264" s="2020"/>
      <c r="Q1264" s="142"/>
      <c r="R1264" s="142"/>
    </row>
    <row r="1265" spans="1:18" ht="15.6">
      <c r="A1265" s="41"/>
      <c r="B1265" s="42"/>
      <c r="C1265" s="43"/>
      <c r="D1265" s="43"/>
      <c r="E1265" s="2028">
        <f>SUM(E1257:E1264)</f>
        <v>247.64574399999998</v>
      </c>
      <c r="F1265" s="44"/>
      <c r="G1265" s="45"/>
      <c r="H1265" s="46"/>
      <c r="I1265" s="1858"/>
      <c r="J1265" s="43"/>
      <c r="K1265" s="205"/>
      <c r="L1265" s="46"/>
      <c r="M1265" s="43"/>
      <c r="N1265" s="44"/>
      <c r="O1265" s="43"/>
      <c r="P1265" s="2020"/>
      <c r="Q1265" s="142"/>
      <c r="R1265" s="142"/>
    </row>
    <row r="1266" spans="1:18" ht="16.2" thickBot="1">
      <c r="A1266" s="47"/>
      <c r="B1266" s="48"/>
      <c r="C1266" s="49"/>
      <c r="D1266" s="49"/>
      <c r="E1266" s="2029"/>
      <c r="F1266" s="50"/>
      <c r="G1266" s="51"/>
      <c r="H1266" s="52"/>
      <c r="I1266" s="1860"/>
      <c r="J1266" s="49"/>
      <c r="K1266" s="206"/>
      <c r="L1266" s="52"/>
      <c r="M1266" s="49"/>
      <c r="N1266" s="50"/>
      <c r="O1266" s="49"/>
      <c r="P1266" s="2020"/>
      <c r="Q1266" s="142"/>
      <c r="R1266" s="142"/>
    </row>
    <row r="1267" spans="1:18" ht="15.6">
      <c r="A1267" s="53" t="s">
        <v>31</v>
      </c>
      <c r="B1267" s="43"/>
      <c r="C1267" s="43"/>
      <c r="D1267" s="43"/>
      <c r="E1267" s="43"/>
      <c r="F1267" s="44"/>
      <c r="G1267" s="43"/>
      <c r="H1267" s="44"/>
      <c r="I1267" s="1858"/>
      <c r="J1267" s="43"/>
      <c r="K1267" s="207"/>
      <c r="L1267" s="44"/>
      <c r="M1267" s="43"/>
      <c r="N1267" s="44"/>
      <c r="O1267" s="43"/>
      <c r="P1267" s="2020"/>
      <c r="Q1267" s="142"/>
      <c r="R1267" s="142"/>
    </row>
    <row r="1268" spans="1:18" ht="15.6">
      <c r="A1268" s="54"/>
      <c r="B1268" s="55"/>
      <c r="C1268" s="55"/>
      <c r="D1268" s="55"/>
      <c r="E1268" s="55"/>
      <c r="F1268" s="192"/>
      <c r="G1268" s="55"/>
      <c r="H1268" s="192"/>
      <c r="I1268" s="1859"/>
      <c r="J1268" s="55"/>
      <c r="K1268" s="208"/>
      <c r="L1268" s="283"/>
      <c r="M1268" s="55"/>
      <c r="N1268" s="192"/>
      <c r="O1268" s="55"/>
      <c r="P1268" s="2020"/>
      <c r="Q1268" s="142"/>
      <c r="R1268" s="142"/>
    </row>
    <row r="1269" spans="1:18" ht="16.2" thickBot="1">
      <c r="A1269" s="2030" t="s">
        <v>32</v>
      </c>
      <c r="B1269" s="2031"/>
      <c r="C1269" s="2032" t="s">
        <v>33</v>
      </c>
      <c r="D1269" s="2033"/>
      <c r="E1269" s="57" t="s">
        <v>34</v>
      </c>
      <c r="F1269" s="57" t="s">
        <v>35</v>
      </c>
      <c r="G1269" s="2034" t="s">
        <v>36</v>
      </c>
      <c r="H1269" s="2035"/>
      <c r="I1269" s="2035"/>
      <c r="J1269" s="2035"/>
      <c r="K1269" s="2035"/>
      <c r="L1269" s="2035"/>
      <c r="M1269" s="2035"/>
      <c r="N1269" s="2035"/>
      <c r="O1269" s="2035"/>
      <c r="P1269" s="2020"/>
      <c r="Q1269" s="142"/>
      <c r="R1269" s="142"/>
    </row>
    <row r="1270" spans="1:18" ht="15.6">
      <c r="A1270" s="2036"/>
      <c r="B1270" s="2023"/>
      <c r="C1270" s="2021"/>
      <c r="D1270" s="2023"/>
      <c r="E1270" s="188"/>
      <c r="F1270" s="187"/>
      <c r="G1270" s="2037"/>
      <c r="H1270" s="2038"/>
      <c r="I1270" s="2038"/>
      <c r="J1270" s="2038"/>
      <c r="K1270" s="2038"/>
      <c r="L1270" s="2038"/>
      <c r="M1270" s="2038"/>
      <c r="N1270" s="2038"/>
      <c r="O1270" s="2038"/>
      <c r="P1270" s="2020"/>
      <c r="Q1270" s="142"/>
      <c r="R1270" s="142"/>
    </row>
    <row r="1271" spans="1:18" ht="15.6">
      <c r="A1271" s="2043" t="s">
        <v>37</v>
      </c>
      <c r="B1271" s="2044"/>
      <c r="C1271" s="2021"/>
      <c r="D1271" s="2023"/>
      <c r="E1271" s="188"/>
      <c r="F1271" s="187"/>
      <c r="G1271" s="2039"/>
      <c r="H1271" s="2040"/>
      <c r="I1271" s="2040"/>
      <c r="J1271" s="2040"/>
      <c r="K1271" s="2040"/>
      <c r="L1271" s="2040"/>
      <c r="M1271" s="2040"/>
      <c r="N1271" s="2040"/>
      <c r="O1271" s="2040"/>
      <c r="P1271" s="2020"/>
      <c r="Q1271" s="142"/>
      <c r="R1271" s="142"/>
    </row>
    <row r="1272" spans="1:18" ht="15.6">
      <c r="A1272" s="2043" t="s">
        <v>38</v>
      </c>
      <c r="B1272" s="2044"/>
      <c r="C1272" s="2021"/>
      <c r="D1272" s="2023"/>
      <c r="E1272" s="188"/>
      <c r="F1272" s="187"/>
      <c r="G1272" s="2039"/>
      <c r="H1272" s="2040"/>
      <c r="I1272" s="2040"/>
      <c r="J1272" s="2040"/>
      <c r="K1272" s="2040"/>
      <c r="L1272" s="2040"/>
      <c r="M1272" s="2040"/>
      <c r="N1272" s="2040"/>
      <c r="O1272" s="2040"/>
      <c r="P1272" s="2020"/>
      <c r="Q1272" s="142"/>
      <c r="R1272" s="142"/>
    </row>
    <row r="1273" spans="1:18" ht="15.6">
      <c r="A1273" s="2043" t="s">
        <v>39</v>
      </c>
      <c r="B1273" s="2044"/>
      <c r="C1273" s="2021"/>
      <c r="D1273" s="2023"/>
      <c r="E1273" s="188"/>
      <c r="F1273" s="187"/>
      <c r="G1273" s="2039"/>
      <c r="H1273" s="2040"/>
      <c r="I1273" s="2040"/>
      <c r="J1273" s="2040"/>
      <c r="K1273" s="2040"/>
      <c r="L1273" s="2040"/>
      <c r="M1273" s="2040"/>
      <c r="N1273" s="2040"/>
      <c r="O1273" s="2040"/>
      <c r="P1273" s="2020"/>
      <c r="Q1273" s="142"/>
      <c r="R1273" s="142"/>
    </row>
    <row r="1274" spans="1:18" ht="15.6">
      <c r="A1274" s="2043" t="s">
        <v>40</v>
      </c>
      <c r="B1274" s="2044"/>
      <c r="C1274" s="2021"/>
      <c r="D1274" s="2023"/>
      <c r="E1274" s="188"/>
      <c r="F1274" s="187"/>
      <c r="G1274" s="2039"/>
      <c r="H1274" s="2040"/>
      <c r="I1274" s="2040"/>
      <c r="J1274" s="2040"/>
      <c r="K1274" s="2040"/>
      <c r="L1274" s="2040"/>
      <c r="M1274" s="2040"/>
      <c r="N1274" s="2040"/>
      <c r="O1274" s="2040"/>
      <c r="P1274" s="2020"/>
      <c r="Q1274" s="142"/>
      <c r="R1274" s="142"/>
    </row>
    <row r="1275" spans="1:18" ht="16.2" thickBot="1">
      <c r="A1275" s="2049" t="s">
        <v>41</v>
      </c>
      <c r="B1275" s="2050"/>
      <c r="C1275" s="2051"/>
      <c r="D1275" s="2052"/>
      <c r="E1275" s="58"/>
      <c r="F1275" s="193"/>
      <c r="G1275" s="2041"/>
      <c r="H1275" s="2042"/>
      <c r="I1275" s="2042"/>
      <c r="J1275" s="2042"/>
      <c r="K1275" s="2042"/>
      <c r="L1275" s="2042"/>
      <c r="M1275" s="2042"/>
      <c r="N1275" s="2042"/>
      <c r="O1275" s="2042"/>
      <c r="P1275" s="2020"/>
      <c r="Q1275" s="142"/>
      <c r="R1275" s="142"/>
    </row>
    <row r="1276" spans="1:18" ht="15.6">
      <c r="A1276" s="54"/>
      <c r="B1276" s="55"/>
      <c r="C1276" s="55"/>
      <c r="D1276" s="55"/>
      <c r="E1276" s="55"/>
      <c r="F1276" s="192"/>
      <c r="G1276" s="55"/>
      <c r="H1276" s="59"/>
      <c r="I1276" s="60"/>
      <c r="J1276" s="61"/>
      <c r="K1276" s="209"/>
      <c r="L1276" s="301"/>
      <c r="M1276" s="55"/>
      <c r="N1276" s="192"/>
      <c r="O1276" s="55"/>
      <c r="P1276" s="2020"/>
      <c r="Q1276" s="142"/>
      <c r="R1276" s="142"/>
    </row>
    <row r="1277" spans="1:18" ht="15.6">
      <c r="A1277" s="62" t="s">
        <v>42</v>
      </c>
      <c r="B1277" s="56"/>
      <c r="C1277" s="55"/>
      <c r="D1277" s="55"/>
      <c r="E1277" s="55"/>
      <c r="F1277" s="192"/>
      <c r="G1277" s="56"/>
      <c r="H1277" s="59"/>
      <c r="I1277" s="60"/>
      <c r="J1277" s="61"/>
      <c r="K1277" s="208"/>
      <c r="L1277" s="302"/>
      <c r="M1277" s="55"/>
      <c r="N1277" s="2045" t="s">
        <v>43</v>
      </c>
      <c r="O1277" s="2045"/>
      <c r="P1277" s="2020"/>
      <c r="Q1277" s="142"/>
      <c r="R1277" s="142"/>
    </row>
    <row r="1278" spans="1:18" ht="15.6">
      <c r="A1278" s="62"/>
      <c r="B1278" s="56"/>
      <c r="C1278" s="55"/>
      <c r="D1278" s="55"/>
      <c r="E1278" s="55"/>
      <c r="F1278" s="192"/>
      <c r="G1278" s="55"/>
      <c r="H1278" s="192"/>
      <c r="I1278" s="1859"/>
      <c r="J1278" s="55"/>
      <c r="K1278" s="208"/>
      <c r="L1278" s="283"/>
      <c r="M1278" s="55"/>
      <c r="N1278" s="192"/>
      <c r="O1278" s="56"/>
      <c r="P1278" s="2020"/>
      <c r="Q1278" s="142"/>
      <c r="R1278" s="142"/>
    </row>
    <row r="1279" spans="1:18" ht="15.6">
      <c r="A1279" s="62" t="s">
        <v>44</v>
      </c>
      <c r="B1279" s="56"/>
      <c r="C1279" s="55"/>
      <c r="D1279" s="55"/>
      <c r="E1279" s="55"/>
      <c r="F1279" s="192"/>
      <c r="G1279" s="55"/>
      <c r="H1279" s="192"/>
      <c r="I1279" s="1859"/>
      <c r="J1279" s="55"/>
      <c r="K1279" s="208"/>
      <c r="L1279" s="283"/>
      <c r="M1279" s="55"/>
      <c r="N1279" s="2045" t="s">
        <v>45</v>
      </c>
      <c r="O1279" s="2045"/>
      <c r="P1279" s="2020"/>
      <c r="Q1279" s="142"/>
      <c r="R1279" s="142"/>
    </row>
    <row r="1280" spans="1:18" ht="16.2" thickBot="1">
      <c r="A1280" s="48"/>
      <c r="B1280" s="49"/>
      <c r="C1280" s="49"/>
      <c r="D1280" s="49"/>
      <c r="E1280" s="49"/>
      <c r="F1280" s="50"/>
      <c r="G1280" s="49"/>
      <c r="H1280" s="50"/>
      <c r="I1280" s="1860"/>
      <c r="J1280" s="49"/>
      <c r="K1280" s="210"/>
      <c r="L1280" s="50"/>
      <c r="M1280" s="49"/>
      <c r="N1280" s="50"/>
      <c r="O1280" s="49"/>
      <c r="P1280" s="2020"/>
      <c r="Q1280" s="142"/>
      <c r="R1280" s="142"/>
    </row>
    <row r="1283" spans="1:19">
      <c r="A1283" s="1" t="s">
        <v>48</v>
      </c>
      <c r="B1283" s="1"/>
      <c r="C1283" s="2"/>
      <c r="D1283" s="2"/>
      <c r="E1283" s="2"/>
      <c r="F1283" s="3"/>
      <c r="G1283" s="2"/>
      <c r="H1283" s="2"/>
      <c r="I1283" s="4"/>
      <c r="J1283" s="5"/>
      <c r="K1283" s="196"/>
      <c r="L1283" s="2056" t="s">
        <v>0</v>
      </c>
      <c r="M1283" s="2056"/>
      <c r="N1283" s="2056"/>
      <c r="O1283" s="2056"/>
      <c r="P1283" s="64"/>
      <c r="Q1283" s="64"/>
      <c r="R1283" s="64"/>
    </row>
    <row r="1284" spans="1:19" ht="15.6">
      <c r="A1284" s="27" t="s">
        <v>1</v>
      </c>
      <c r="B1284" s="27"/>
      <c r="C1284" s="27"/>
      <c r="D1284" s="28" t="s">
        <v>2</v>
      </c>
      <c r="E1284" s="28"/>
      <c r="F1284" s="29"/>
      <c r="G1284" s="29"/>
      <c r="H1284" s="29"/>
      <c r="I1284" s="30"/>
      <c r="J1284" s="31"/>
      <c r="K1284" s="197" t="s">
        <v>3</v>
      </c>
      <c r="L1284" s="31"/>
      <c r="M1284" s="27"/>
      <c r="N1284" s="29"/>
      <c r="O1284" s="27"/>
      <c r="P1284" s="67"/>
      <c r="Q1284" s="1039"/>
      <c r="R1284" s="1039"/>
    </row>
    <row r="1285" spans="1:19" ht="31.2">
      <c r="A1285" s="32" t="s">
        <v>4</v>
      </c>
      <c r="B1285" s="32" t="s">
        <v>5</v>
      </c>
      <c r="C1285" s="32" t="s">
        <v>6</v>
      </c>
      <c r="D1285" s="32" t="s">
        <v>7</v>
      </c>
      <c r="E1285" s="32" t="s">
        <v>8</v>
      </c>
      <c r="F1285" s="33" t="s">
        <v>9</v>
      </c>
      <c r="G1285" s="34" t="s">
        <v>10</v>
      </c>
      <c r="H1285" s="34" t="s">
        <v>11</v>
      </c>
      <c r="I1285" s="35" t="s">
        <v>12</v>
      </c>
      <c r="J1285" s="36" t="s">
        <v>13</v>
      </c>
      <c r="K1285" s="198" t="s">
        <v>14</v>
      </c>
      <c r="L1285" s="297" t="s">
        <v>15</v>
      </c>
      <c r="M1285" s="33" t="s">
        <v>16</v>
      </c>
      <c r="N1285" s="33" t="s">
        <v>17</v>
      </c>
      <c r="O1285" s="34" t="s">
        <v>18</v>
      </c>
      <c r="P1285" s="8" t="s">
        <v>192</v>
      </c>
      <c r="Q1285" s="1040"/>
      <c r="R1285" s="1040"/>
    </row>
    <row r="1286" spans="1:19" ht="15.6">
      <c r="A1286" s="20"/>
      <c r="B1286" s="20"/>
      <c r="C1286" s="20"/>
      <c r="D1286" s="20"/>
      <c r="E1286" s="20"/>
      <c r="F1286" s="20"/>
      <c r="G1286" s="20"/>
      <c r="H1286" s="20"/>
      <c r="I1286" s="115"/>
      <c r="J1286" s="20"/>
      <c r="K1286" s="25"/>
      <c r="L1286" s="128"/>
      <c r="M1286" s="20"/>
      <c r="N1286" s="20"/>
      <c r="O1286" s="20"/>
      <c r="P1286" s="20"/>
      <c r="Q1286" s="155"/>
      <c r="R1286" s="155"/>
    </row>
    <row r="1287" spans="1:19" ht="15.6">
      <c r="A1287" s="21" t="s">
        <v>174</v>
      </c>
      <c r="B1287" s="21" t="s">
        <v>223</v>
      </c>
      <c r="C1287" s="21" t="s">
        <v>19</v>
      </c>
      <c r="D1287" s="21" t="s">
        <v>20</v>
      </c>
      <c r="E1287" s="21" t="s">
        <v>57</v>
      </c>
      <c r="F1287" s="22">
        <v>11</v>
      </c>
      <c r="G1287" s="20" t="s">
        <v>21</v>
      </c>
      <c r="H1287" s="143" t="s">
        <v>53</v>
      </c>
      <c r="I1287" s="115">
        <v>8.3000000000000007</v>
      </c>
      <c r="J1287" s="23">
        <v>7.9</v>
      </c>
      <c r="K1287" s="25">
        <v>56</v>
      </c>
      <c r="L1287" s="130">
        <f>(I1287*J1287*K1287/1000)</f>
        <v>3.6719200000000005</v>
      </c>
      <c r="M1287" s="20"/>
      <c r="N1287" s="23">
        <f>J1287*M1287*I1287/1000</f>
        <v>0</v>
      </c>
      <c r="O1287" s="20"/>
      <c r="P1287" s="20"/>
      <c r="Q1287" s="155"/>
      <c r="R1287" s="155"/>
      <c r="S1287" s="251" t="s">
        <v>305</v>
      </c>
    </row>
    <row r="1288" spans="1:19" ht="15.6">
      <c r="A1288" s="20"/>
      <c r="B1288" s="229" t="s">
        <v>207</v>
      </c>
      <c r="C1288" s="20"/>
      <c r="D1288" s="20"/>
      <c r="E1288" s="20"/>
      <c r="F1288" s="20"/>
      <c r="G1288" s="20" t="s">
        <v>21</v>
      </c>
      <c r="H1288" s="20" t="s">
        <v>53</v>
      </c>
      <c r="I1288" s="115">
        <v>8.3000000000000007</v>
      </c>
      <c r="J1288" s="23">
        <v>9.9</v>
      </c>
      <c r="K1288" s="25">
        <v>73</v>
      </c>
      <c r="L1288" s="130">
        <f>(I1288*J1288*K1288/1000)</f>
        <v>5.9984100000000007</v>
      </c>
      <c r="M1288" s="20"/>
      <c r="N1288" s="20"/>
      <c r="O1288" s="20"/>
      <c r="P1288" s="20"/>
      <c r="Q1288" s="155"/>
      <c r="R1288" s="155"/>
    </row>
    <row r="1289" spans="1:19" ht="15.6">
      <c r="A1289" s="20"/>
      <c r="B1289" s="20"/>
      <c r="C1289" s="20"/>
      <c r="D1289" s="20"/>
      <c r="E1289" s="20"/>
      <c r="F1289" s="20"/>
      <c r="G1289" s="20" t="s">
        <v>21</v>
      </c>
      <c r="H1289" s="20" t="s">
        <v>53</v>
      </c>
      <c r="I1289" s="115">
        <v>8.3000000000000007</v>
      </c>
      <c r="J1289" s="23">
        <v>10.1</v>
      </c>
      <c r="K1289" s="25">
        <v>34</v>
      </c>
      <c r="L1289" s="130">
        <f>(I1289*J1289*K1289/1000)</f>
        <v>2.8502199999999998</v>
      </c>
      <c r="M1289" s="20"/>
      <c r="N1289" s="20"/>
      <c r="O1289" s="20"/>
      <c r="P1289" s="20"/>
      <c r="Q1289" s="155"/>
      <c r="R1289" s="155"/>
    </row>
    <row r="1290" spans="1:19" ht="15.6">
      <c r="A1290" s="20"/>
      <c r="B1290" s="20"/>
      <c r="C1290" s="20"/>
      <c r="D1290" s="20"/>
      <c r="E1290" s="20"/>
      <c r="F1290" s="20"/>
      <c r="G1290" s="20"/>
      <c r="H1290" s="20"/>
      <c r="I1290" s="115"/>
      <c r="J1290" s="23"/>
      <c r="K1290" s="25">
        <f t="shared" ref="K1290:N1290" si="277">SUM(K1287:K1289)</f>
        <v>163</v>
      </c>
      <c r="L1290" s="128">
        <f t="shared" si="277"/>
        <v>12.520550000000002</v>
      </c>
      <c r="M1290" s="25">
        <f t="shared" si="277"/>
        <v>0</v>
      </c>
      <c r="N1290" s="23">
        <f t="shared" si="277"/>
        <v>0</v>
      </c>
      <c r="O1290" s="20"/>
      <c r="P1290" s="20"/>
      <c r="Q1290" s="155"/>
      <c r="R1290" s="155"/>
    </row>
    <row r="1291" spans="1:19" ht="15.6">
      <c r="A1291" s="20"/>
      <c r="B1291" s="20"/>
      <c r="C1291" s="20"/>
      <c r="D1291" s="20"/>
      <c r="E1291" s="20"/>
      <c r="F1291" s="20"/>
      <c r="G1291" s="20"/>
      <c r="H1291" s="20"/>
      <c r="I1291" s="115"/>
      <c r="J1291" s="23"/>
      <c r="K1291" s="25"/>
      <c r="L1291" s="128"/>
      <c r="M1291" s="20"/>
      <c r="N1291" s="20"/>
      <c r="O1291" s="20"/>
      <c r="P1291" s="20"/>
      <c r="Q1291" s="155"/>
      <c r="R1291" s="155"/>
    </row>
    <row r="1292" spans="1:19" ht="15.6">
      <c r="A1292" s="21" t="s">
        <v>83</v>
      </c>
      <c r="B1292" s="21" t="s">
        <v>222</v>
      </c>
      <c r="C1292" s="21" t="s">
        <v>19</v>
      </c>
      <c r="D1292" s="21" t="s">
        <v>20</v>
      </c>
      <c r="E1292" s="21" t="s">
        <v>57</v>
      </c>
      <c r="F1292" s="22">
        <v>11</v>
      </c>
      <c r="G1292" s="20" t="s">
        <v>21</v>
      </c>
      <c r="H1292" s="143" t="s">
        <v>53</v>
      </c>
      <c r="I1292" s="115">
        <v>8.3000000000000007</v>
      </c>
      <c r="J1292" s="23">
        <v>9.5</v>
      </c>
      <c r="K1292" s="25">
        <v>37</v>
      </c>
      <c r="L1292" s="130">
        <f t="shared" ref="L1292:L1298" si="278">(I1292*J1292*K1292/1000)</f>
        <v>2.9174500000000001</v>
      </c>
      <c r="M1292" s="25"/>
      <c r="N1292" s="23">
        <f t="shared" ref="N1292:N1293" si="279">J1292*M1292*I1292/1000</f>
        <v>0</v>
      </c>
      <c r="O1292" s="20"/>
      <c r="P1292" s="20"/>
      <c r="Q1292" s="155"/>
      <c r="R1292" s="155"/>
      <c r="S1292" s="251" t="s">
        <v>305</v>
      </c>
    </row>
    <row r="1293" spans="1:19" ht="15.6">
      <c r="A1293" s="20"/>
      <c r="B1293" s="21" t="s">
        <v>204</v>
      </c>
      <c r="C1293" s="20"/>
      <c r="D1293" s="20"/>
      <c r="E1293" s="20"/>
      <c r="F1293" s="20"/>
      <c r="G1293" s="20" t="s">
        <v>21</v>
      </c>
      <c r="H1293" s="20" t="s">
        <v>53</v>
      </c>
      <c r="I1293" s="115">
        <v>8.3000000000000007</v>
      </c>
      <c r="J1293" s="23">
        <v>10</v>
      </c>
      <c r="K1293" s="25">
        <v>36</v>
      </c>
      <c r="L1293" s="130">
        <f t="shared" si="278"/>
        <v>2.988</v>
      </c>
      <c r="M1293" s="25"/>
      <c r="N1293" s="23">
        <f t="shared" si="279"/>
        <v>0</v>
      </c>
      <c r="O1293" s="20"/>
      <c r="P1293" s="20"/>
      <c r="Q1293" s="155"/>
      <c r="R1293" s="155"/>
    </row>
    <row r="1294" spans="1:19" ht="15.6">
      <c r="A1294" s="20"/>
      <c r="B1294" s="20"/>
      <c r="C1294" s="20"/>
      <c r="D1294" s="20"/>
      <c r="E1294" s="20"/>
      <c r="F1294" s="20"/>
      <c r="G1294" s="20" t="s">
        <v>21</v>
      </c>
      <c r="H1294" s="20" t="s">
        <v>53</v>
      </c>
      <c r="I1294" s="115">
        <v>8.3000000000000007</v>
      </c>
      <c r="J1294" s="23">
        <v>10.199999999999999</v>
      </c>
      <c r="K1294" s="25">
        <v>27</v>
      </c>
      <c r="L1294" s="130">
        <f t="shared" si="278"/>
        <v>2.2858199999999997</v>
      </c>
      <c r="M1294" s="23"/>
      <c r="N1294" s="20"/>
      <c r="O1294" s="20"/>
      <c r="P1294" s="20"/>
      <c r="Q1294" s="155"/>
      <c r="R1294" s="155"/>
    </row>
    <row r="1295" spans="1:19" ht="15.6">
      <c r="A1295" s="20"/>
      <c r="B1295" s="20"/>
      <c r="C1295" s="20"/>
      <c r="D1295" s="20"/>
      <c r="E1295" s="20"/>
      <c r="F1295" s="20"/>
      <c r="G1295" s="20" t="s">
        <v>21</v>
      </c>
      <c r="H1295" s="20" t="s">
        <v>53</v>
      </c>
      <c r="I1295" s="115">
        <v>8.3000000000000007</v>
      </c>
      <c r="J1295" s="23">
        <v>10.5</v>
      </c>
      <c r="K1295" s="25">
        <v>29</v>
      </c>
      <c r="L1295" s="130">
        <f t="shared" si="278"/>
        <v>2.5273500000000002</v>
      </c>
      <c r="M1295" s="23"/>
      <c r="N1295" s="20"/>
      <c r="O1295" s="20"/>
      <c r="P1295" s="20"/>
      <c r="Q1295" s="155"/>
      <c r="R1295" s="155"/>
    </row>
    <row r="1296" spans="1:19" ht="15.6">
      <c r="A1296" s="20"/>
      <c r="B1296" s="20"/>
      <c r="C1296" s="20"/>
      <c r="D1296" s="20"/>
      <c r="E1296" s="20"/>
      <c r="F1296" s="20"/>
      <c r="G1296" s="20" t="s">
        <v>21</v>
      </c>
      <c r="H1296" s="20" t="s">
        <v>53</v>
      </c>
      <c r="I1296" s="115">
        <v>8.3000000000000007</v>
      </c>
      <c r="J1296" s="23">
        <v>11</v>
      </c>
      <c r="K1296" s="25">
        <v>46</v>
      </c>
      <c r="L1296" s="130">
        <f t="shared" si="278"/>
        <v>4.1997999999999998</v>
      </c>
      <c r="M1296" s="25"/>
      <c r="N1296" s="23">
        <f>J1296*M1296*I1296/1000</f>
        <v>0</v>
      </c>
      <c r="O1296" s="20"/>
      <c r="P1296" s="20"/>
      <c r="Q1296" s="155"/>
      <c r="R1296" s="155"/>
    </row>
    <row r="1297" spans="1:19" ht="15.6">
      <c r="A1297" s="20"/>
      <c r="B1297" s="20"/>
      <c r="C1297" s="20"/>
      <c r="D1297" s="20"/>
      <c r="E1297" s="20"/>
      <c r="F1297" s="20"/>
      <c r="G1297" s="20" t="s">
        <v>21</v>
      </c>
      <c r="H1297" s="20" t="s">
        <v>53</v>
      </c>
      <c r="I1297" s="115">
        <v>8.3000000000000007</v>
      </c>
      <c r="J1297" s="23">
        <v>11.5</v>
      </c>
      <c r="K1297" s="25">
        <v>46</v>
      </c>
      <c r="L1297" s="130">
        <f t="shared" si="278"/>
        <v>4.3906999999999998</v>
      </c>
      <c r="M1297" s="23"/>
      <c r="N1297" s="20"/>
      <c r="O1297" s="20"/>
      <c r="P1297" s="20"/>
      <c r="Q1297" s="155"/>
      <c r="R1297" s="155"/>
    </row>
    <row r="1298" spans="1:19" ht="15.6">
      <c r="A1298" s="20"/>
      <c r="B1298" s="20"/>
      <c r="C1298" s="20"/>
      <c r="D1298" s="20"/>
      <c r="E1298" s="20"/>
      <c r="F1298" s="20"/>
      <c r="G1298" s="20" t="s">
        <v>21</v>
      </c>
      <c r="H1298" s="20" t="s">
        <v>53</v>
      </c>
      <c r="I1298" s="115">
        <v>8.3000000000000007</v>
      </c>
      <c r="J1298" s="23">
        <v>12</v>
      </c>
      <c r="K1298" s="25">
        <v>100</v>
      </c>
      <c r="L1298" s="130">
        <f t="shared" si="278"/>
        <v>9.9600000000000009</v>
      </c>
      <c r="M1298" s="23"/>
      <c r="N1298" s="20"/>
      <c r="O1298" s="20"/>
      <c r="P1298" s="20"/>
      <c r="Q1298" s="155"/>
      <c r="R1298" s="155"/>
    </row>
    <row r="1299" spans="1:19" ht="15.6">
      <c r="A1299" s="20"/>
      <c r="B1299" s="20"/>
      <c r="C1299" s="20"/>
      <c r="D1299" s="20"/>
      <c r="E1299" s="20"/>
      <c r="F1299" s="20"/>
      <c r="G1299" s="20"/>
      <c r="H1299" s="20"/>
      <c r="I1299" s="115"/>
      <c r="J1299" s="23"/>
      <c r="K1299" s="25">
        <f>SUM(K1292:K1298)</f>
        <v>321</v>
      </c>
      <c r="L1299" s="128">
        <f>SUM(L1292:L1298)</f>
        <v>29.269120000000001</v>
      </c>
      <c r="M1299" s="25">
        <f>SUM(M1292:M1298)</f>
        <v>0</v>
      </c>
      <c r="N1299" s="23">
        <f>SUM(N1292:N1298)</f>
        <v>0</v>
      </c>
      <c r="O1299" s="20"/>
      <c r="P1299" s="20"/>
      <c r="Q1299" s="155"/>
      <c r="R1299" s="155"/>
    </row>
    <row r="1300" spans="1:19" ht="15.6">
      <c r="A1300" s="20"/>
      <c r="B1300" s="20"/>
      <c r="C1300" s="20"/>
      <c r="D1300" s="20"/>
      <c r="E1300" s="20"/>
      <c r="F1300" s="20"/>
      <c r="G1300" s="20"/>
      <c r="H1300" s="20"/>
      <c r="I1300" s="115"/>
      <c r="J1300" s="23"/>
      <c r="K1300" s="25"/>
      <c r="L1300" s="128"/>
      <c r="M1300" s="20"/>
      <c r="N1300" s="20"/>
      <c r="O1300" s="20"/>
      <c r="P1300" s="20"/>
      <c r="Q1300" s="155"/>
      <c r="R1300" s="155"/>
    </row>
    <row r="1301" spans="1:19" s="251" customFormat="1" ht="15.6">
      <c r="A1301" s="21" t="s">
        <v>83</v>
      </c>
      <c r="B1301" s="21" t="s">
        <v>239</v>
      </c>
      <c r="C1301" s="21" t="s">
        <v>19</v>
      </c>
      <c r="D1301" s="21" t="s">
        <v>20</v>
      </c>
      <c r="E1301" s="21" t="s">
        <v>47</v>
      </c>
      <c r="F1301" s="22">
        <v>11</v>
      </c>
      <c r="G1301" s="20" t="s">
        <v>21</v>
      </c>
      <c r="H1301" s="143" t="s">
        <v>53</v>
      </c>
      <c r="I1301" s="115">
        <v>8.3000000000000007</v>
      </c>
      <c r="J1301" s="23">
        <v>9.1999999999999993</v>
      </c>
      <c r="K1301" s="25">
        <v>104</v>
      </c>
      <c r="L1301" s="130">
        <f t="shared" ref="L1301:L1305" si="280">(I1301*J1301*K1301/1000)</f>
        <v>7.9414399999999992</v>
      </c>
      <c r="M1301" s="20"/>
      <c r="N1301" s="20"/>
      <c r="O1301" s="20"/>
      <c r="P1301" s="20"/>
      <c r="Q1301" s="155"/>
      <c r="R1301" s="155"/>
      <c r="S1301" s="251" t="s">
        <v>305</v>
      </c>
    </row>
    <row r="1302" spans="1:19" s="251" customFormat="1" ht="15.6">
      <c r="A1302" s="20"/>
      <c r="B1302" s="21" t="s">
        <v>238</v>
      </c>
      <c r="C1302" s="20"/>
      <c r="D1302" s="20"/>
      <c r="E1302" s="20"/>
      <c r="F1302" s="20"/>
      <c r="G1302" s="20" t="s">
        <v>21</v>
      </c>
      <c r="H1302" s="20" t="s">
        <v>53</v>
      </c>
      <c r="I1302" s="115">
        <v>8.3000000000000007</v>
      </c>
      <c r="J1302" s="23">
        <v>10.5</v>
      </c>
      <c r="K1302" s="25">
        <v>60</v>
      </c>
      <c r="L1302" s="130">
        <f t="shared" si="280"/>
        <v>5.2290000000000001</v>
      </c>
      <c r="M1302" s="20"/>
      <c r="N1302" s="20"/>
      <c r="O1302" s="20"/>
      <c r="P1302" s="20"/>
      <c r="Q1302" s="155"/>
      <c r="R1302" s="155"/>
    </row>
    <row r="1303" spans="1:19" s="251" customFormat="1" ht="15.6">
      <c r="A1303" s="20"/>
      <c r="B1303" s="20"/>
      <c r="C1303" s="20"/>
      <c r="D1303" s="20"/>
      <c r="E1303" s="20"/>
      <c r="F1303" s="20"/>
      <c r="G1303" s="20" t="s">
        <v>21</v>
      </c>
      <c r="H1303" s="20" t="s">
        <v>53</v>
      </c>
      <c r="I1303" s="115">
        <v>8.3000000000000007</v>
      </c>
      <c r="J1303" s="23">
        <v>11</v>
      </c>
      <c r="K1303" s="25">
        <v>40</v>
      </c>
      <c r="L1303" s="130">
        <f t="shared" si="280"/>
        <v>3.6520000000000006</v>
      </c>
      <c r="M1303" s="20"/>
      <c r="N1303" s="20"/>
      <c r="O1303" s="20"/>
      <c r="P1303" s="20"/>
      <c r="Q1303" s="155"/>
      <c r="R1303" s="155"/>
    </row>
    <row r="1304" spans="1:19" s="251" customFormat="1" ht="15.6">
      <c r="A1304" s="20"/>
      <c r="B1304" s="20"/>
      <c r="C1304" s="20"/>
      <c r="D1304" s="20"/>
      <c r="E1304" s="20"/>
      <c r="F1304" s="20"/>
      <c r="G1304" s="20" t="s">
        <v>21</v>
      </c>
      <c r="H1304" s="20" t="s">
        <v>53</v>
      </c>
      <c r="I1304" s="115">
        <v>8.3000000000000007</v>
      </c>
      <c r="J1304" s="23">
        <v>11.7</v>
      </c>
      <c r="K1304" s="25">
        <v>32</v>
      </c>
      <c r="L1304" s="130">
        <f t="shared" si="280"/>
        <v>3.1075200000000001</v>
      </c>
      <c r="M1304" s="20"/>
      <c r="N1304" s="20"/>
      <c r="O1304" s="20"/>
      <c r="P1304" s="20"/>
      <c r="Q1304" s="155"/>
      <c r="R1304" s="155"/>
    </row>
    <row r="1305" spans="1:19" s="251" customFormat="1" ht="15.6">
      <c r="A1305" s="20"/>
      <c r="B1305" s="20"/>
      <c r="C1305" s="20"/>
      <c r="D1305" s="20"/>
      <c r="E1305" s="20"/>
      <c r="F1305" s="20"/>
      <c r="G1305" s="20" t="s">
        <v>21</v>
      </c>
      <c r="H1305" s="20" t="s">
        <v>53</v>
      </c>
      <c r="I1305" s="115">
        <v>8.3000000000000007</v>
      </c>
      <c r="J1305" s="23">
        <v>12</v>
      </c>
      <c r="K1305" s="25">
        <v>12</v>
      </c>
      <c r="L1305" s="130">
        <f t="shared" si="280"/>
        <v>1.1952</v>
      </c>
      <c r="M1305" s="20"/>
      <c r="N1305" s="20"/>
      <c r="O1305" s="20"/>
      <c r="P1305" s="20"/>
      <c r="Q1305" s="155"/>
      <c r="R1305" s="155"/>
    </row>
    <row r="1306" spans="1:19" s="251" customFormat="1" ht="15.6">
      <c r="A1306" s="20"/>
      <c r="B1306" s="20"/>
      <c r="C1306" s="20"/>
      <c r="D1306" s="20"/>
      <c r="E1306" s="20"/>
      <c r="F1306" s="20"/>
      <c r="G1306" s="20"/>
      <c r="H1306" s="20"/>
      <c r="I1306" s="131"/>
      <c r="J1306" s="23"/>
      <c r="K1306" s="25">
        <f>SUM(K1301:K1305)</f>
        <v>248</v>
      </c>
      <c r="L1306" s="128">
        <f>SUM(L1301:L1305)</f>
        <v>21.125160000000001</v>
      </c>
      <c r="M1306" s="20"/>
      <c r="N1306" s="20"/>
      <c r="O1306" s="20"/>
      <c r="P1306" s="20"/>
      <c r="Q1306" s="155"/>
      <c r="R1306" s="155"/>
    </row>
    <row r="1307" spans="1:19" s="251" customFormat="1" ht="15.6">
      <c r="A1307" s="20"/>
      <c r="B1307" s="20"/>
      <c r="C1307" s="20"/>
      <c r="D1307" s="20"/>
      <c r="E1307" s="20"/>
      <c r="F1307" s="20"/>
      <c r="G1307" s="20"/>
      <c r="H1307" s="20"/>
      <c r="I1307" s="131"/>
      <c r="J1307" s="23"/>
      <c r="K1307" s="25"/>
      <c r="L1307" s="128"/>
      <c r="M1307" s="20"/>
      <c r="N1307" s="20"/>
      <c r="O1307" s="20"/>
      <c r="P1307" s="20"/>
      <c r="Q1307" s="155"/>
      <c r="R1307" s="155"/>
    </row>
    <row r="1308" spans="1:19" ht="15.6">
      <c r="A1308" s="21" t="s">
        <v>174</v>
      </c>
      <c r="B1308" s="21" t="s">
        <v>223</v>
      </c>
      <c r="C1308" s="21" t="s">
        <v>19</v>
      </c>
      <c r="D1308" s="21" t="s">
        <v>20</v>
      </c>
      <c r="E1308" s="21" t="s">
        <v>175</v>
      </c>
      <c r="F1308" s="22">
        <v>11</v>
      </c>
      <c r="G1308" s="37" t="s">
        <v>21</v>
      </c>
      <c r="H1308" s="143" t="s">
        <v>53</v>
      </c>
      <c r="I1308" s="382">
        <v>8.3000000000000007</v>
      </c>
      <c r="J1308" s="254">
        <v>11.9</v>
      </c>
      <c r="K1308" s="256">
        <v>6</v>
      </c>
      <c r="L1308" s="130">
        <f>(I1308*J1308*K1308/1000)</f>
        <v>0.59262000000000015</v>
      </c>
      <c r="M1308" s="20"/>
      <c r="N1308" s="20"/>
      <c r="O1308" s="20"/>
      <c r="P1308" s="20"/>
      <c r="Q1308" s="155"/>
      <c r="R1308" s="155"/>
      <c r="S1308" s="251" t="s">
        <v>305</v>
      </c>
    </row>
    <row r="1309" spans="1:19" ht="15.6">
      <c r="A1309" s="20"/>
      <c r="B1309" s="229" t="s">
        <v>208</v>
      </c>
      <c r="C1309" s="20"/>
      <c r="D1309" s="20"/>
      <c r="E1309" s="20"/>
      <c r="F1309" s="20"/>
      <c r="G1309" s="20"/>
      <c r="H1309" s="20"/>
      <c r="I1309" s="115"/>
      <c r="J1309" s="20"/>
      <c r="K1309" s="25">
        <f>SUM(K1308)</f>
        <v>6</v>
      </c>
      <c r="L1309" s="128">
        <f>SUM(L1308)</f>
        <v>0.59262000000000015</v>
      </c>
      <c r="M1309" s="20"/>
      <c r="N1309" s="20"/>
      <c r="O1309" s="20"/>
      <c r="P1309" s="20"/>
      <c r="Q1309" s="155"/>
      <c r="R1309" s="155"/>
    </row>
    <row r="1310" spans="1:19" ht="15.6">
      <c r="A1310" s="20"/>
      <c r="B1310" s="20"/>
      <c r="C1310" s="20"/>
      <c r="D1310" s="20"/>
      <c r="E1310" s="20"/>
      <c r="F1310" s="20"/>
      <c r="G1310" s="20"/>
      <c r="H1310" s="20"/>
      <c r="I1310" s="115"/>
      <c r="J1310" s="20"/>
      <c r="K1310" s="211"/>
      <c r="L1310" s="131"/>
      <c r="M1310" s="20"/>
      <c r="N1310" s="20"/>
      <c r="O1310" s="20"/>
      <c r="P1310" s="20"/>
      <c r="Q1310" s="155"/>
      <c r="R1310" s="155"/>
    </row>
    <row r="1311" spans="1:19" ht="15.6">
      <c r="A1311" s="21" t="s">
        <v>174</v>
      </c>
      <c r="B1311" s="21" t="s">
        <v>226</v>
      </c>
      <c r="C1311" s="21" t="s">
        <v>19</v>
      </c>
      <c r="D1311" s="21" t="s">
        <v>20</v>
      </c>
      <c r="E1311" s="21" t="s">
        <v>175</v>
      </c>
      <c r="F1311" s="22">
        <v>11</v>
      </c>
      <c r="G1311" s="20" t="s">
        <v>21</v>
      </c>
      <c r="H1311" s="143" t="s">
        <v>53</v>
      </c>
      <c r="I1311" s="115">
        <v>8.3000000000000007</v>
      </c>
      <c r="J1311" s="23">
        <v>10.1</v>
      </c>
      <c r="K1311" s="25">
        <v>8</v>
      </c>
      <c r="L1311" s="130">
        <f>(I1311*J1311*K1311/1000)</f>
        <v>0.67064000000000001</v>
      </c>
      <c r="M1311" s="20"/>
      <c r="N1311" s="20"/>
      <c r="O1311" s="20"/>
      <c r="P1311" s="20"/>
      <c r="Q1311" s="155"/>
      <c r="R1311" s="155"/>
      <c r="S1311" s="251" t="s">
        <v>305</v>
      </c>
    </row>
    <row r="1312" spans="1:19" ht="15.6">
      <c r="A1312" s="20"/>
      <c r="B1312" s="229" t="s">
        <v>225</v>
      </c>
      <c r="C1312" s="20"/>
      <c r="D1312" s="20"/>
      <c r="E1312" s="20"/>
      <c r="F1312" s="20"/>
      <c r="G1312" s="20" t="s">
        <v>21</v>
      </c>
      <c r="H1312" s="20" t="s">
        <v>53</v>
      </c>
      <c r="I1312" s="115">
        <v>8.3000000000000007</v>
      </c>
      <c r="J1312" s="23">
        <v>10.1</v>
      </c>
      <c r="K1312" s="25">
        <v>5</v>
      </c>
      <c r="L1312" s="130">
        <f>(I1312*J1312*K1312/1000)</f>
        <v>0.41914999999999997</v>
      </c>
      <c r="M1312" s="20"/>
      <c r="N1312" s="20"/>
      <c r="O1312" s="20"/>
      <c r="P1312" s="20"/>
      <c r="Q1312" s="155"/>
      <c r="R1312" s="155"/>
    </row>
    <row r="1313" spans="1:19" ht="15.6">
      <c r="A1313" s="20"/>
      <c r="B1313" s="20"/>
      <c r="C1313" s="20"/>
      <c r="D1313" s="20"/>
      <c r="E1313" s="20"/>
      <c r="F1313" s="20"/>
      <c r="G1313" s="20"/>
      <c r="H1313" s="20"/>
      <c r="I1313" s="115"/>
      <c r="J1313" s="23"/>
      <c r="K1313" s="25">
        <f>SUM(K1311:K1312)</f>
        <v>13</v>
      </c>
      <c r="L1313" s="128">
        <f>SUM(L1311:L1312)</f>
        <v>1.08979</v>
      </c>
      <c r="M1313" s="20"/>
      <c r="N1313" s="20"/>
      <c r="O1313" s="20"/>
      <c r="P1313" s="20"/>
      <c r="Q1313" s="155"/>
      <c r="R1313" s="155"/>
    </row>
    <row r="1314" spans="1:19" s="251" customFormat="1" ht="15.6">
      <c r="A1314" s="20"/>
      <c r="B1314" s="20"/>
      <c r="C1314" s="20"/>
      <c r="D1314" s="20"/>
      <c r="E1314" s="20"/>
      <c r="F1314" s="20"/>
      <c r="G1314" s="20"/>
      <c r="H1314" s="20"/>
      <c r="I1314" s="115"/>
      <c r="J1314" s="23"/>
      <c r="K1314" s="25"/>
      <c r="L1314" s="128"/>
      <c r="M1314" s="20"/>
      <c r="N1314" s="20"/>
      <c r="O1314" s="20"/>
      <c r="P1314" s="20"/>
      <c r="Q1314" s="155"/>
      <c r="R1314" s="155"/>
    </row>
    <row r="1315" spans="1:19" s="251" customFormat="1" ht="15.6">
      <c r="A1315" s="21" t="s">
        <v>83</v>
      </c>
      <c r="B1315" s="21" t="s">
        <v>278</v>
      </c>
      <c r="C1315" s="21" t="s">
        <v>19</v>
      </c>
      <c r="D1315" s="21" t="s">
        <v>20</v>
      </c>
      <c r="E1315" s="63" t="s">
        <v>51</v>
      </c>
      <c r="F1315" s="22">
        <v>11</v>
      </c>
      <c r="G1315" s="20" t="s">
        <v>21</v>
      </c>
      <c r="H1315" s="143" t="s">
        <v>53</v>
      </c>
      <c r="I1315" s="115">
        <v>8.3000000000000007</v>
      </c>
      <c r="J1315" s="402">
        <v>11.8</v>
      </c>
      <c r="K1315" s="403">
        <v>12</v>
      </c>
      <c r="L1315" s="130">
        <f>(I1315*J1315*K1315/1000)</f>
        <v>1.1752800000000001</v>
      </c>
      <c r="M1315" s="20"/>
      <c r="N1315" s="20"/>
      <c r="O1315" s="20"/>
      <c r="P1315" s="20"/>
      <c r="Q1315" s="155"/>
      <c r="R1315" s="155"/>
    </row>
    <row r="1316" spans="1:19" s="251" customFormat="1" ht="15.6">
      <c r="A1316" s="20"/>
      <c r="B1316" s="399" t="s">
        <v>52</v>
      </c>
      <c r="C1316" s="20"/>
      <c r="D1316" s="20"/>
      <c r="E1316" s="20"/>
      <c r="F1316" s="20"/>
      <c r="G1316" s="20"/>
      <c r="H1316" s="20"/>
      <c r="I1316" s="115"/>
      <c r="J1316" s="23"/>
      <c r="K1316" s="25">
        <f>SUM(K1315)</f>
        <v>12</v>
      </c>
      <c r="L1316" s="130">
        <f>SUM(L1315)</f>
        <v>1.1752800000000001</v>
      </c>
      <c r="M1316" s="20"/>
      <c r="N1316" s="20"/>
      <c r="O1316" s="20"/>
      <c r="P1316" s="20"/>
      <c r="Q1316" s="155"/>
      <c r="R1316" s="155"/>
      <c r="S1316" s="251" t="s">
        <v>305</v>
      </c>
    </row>
    <row r="1317" spans="1:19" s="251" customFormat="1" ht="15.6">
      <c r="A1317" s="20"/>
      <c r="B1317" s="399"/>
      <c r="C1317" s="20"/>
      <c r="D1317" s="20"/>
      <c r="E1317" s="20"/>
      <c r="F1317" s="20"/>
      <c r="G1317" s="20"/>
      <c r="H1317" s="20"/>
      <c r="I1317" s="115"/>
      <c r="J1317" s="23"/>
      <c r="K1317" s="25"/>
      <c r="L1317" s="130"/>
      <c r="M1317" s="20"/>
      <c r="N1317" s="20"/>
      <c r="O1317" s="20"/>
      <c r="P1317" s="20"/>
      <c r="Q1317" s="155"/>
      <c r="R1317" s="155"/>
    </row>
    <row r="1318" spans="1:19" s="251" customFormat="1" ht="15.6">
      <c r="A1318" s="21" t="s">
        <v>83</v>
      </c>
      <c r="B1318" s="21" t="s">
        <v>278</v>
      </c>
      <c r="C1318" s="21" t="s">
        <v>19</v>
      </c>
      <c r="D1318" s="21" t="s">
        <v>20</v>
      </c>
      <c r="E1318" s="400" t="s">
        <v>259</v>
      </c>
      <c r="F1318" s="22">
        <v>11</v>
      </c>
      <c r="G1318" s="20" t="s">
        <v>21</v>
      </c>
      <c r="H1318" s="143" t="s">
        <v>53</v>
      </c>
      <c r="I1318" s="115">
        <v>8.32</v>
      </c>
      <c r="J1318" s="404">
        <v>9</v>
      </c>
      <c r="K1318" s="405">
        <v>28</v>
      </c>
      <c r="L1318" s="130">
        <f>(I1318*J1318*K1318/1000)</f>
        <v>2.0966399999999998</v>
      </c>
      <c r="M1318" s="20"/>
      <c r="N1318" s="20"/>
      <c r="O1318" s="20"/>
      <c r="P1318" s="20"/>
      <c r="Q1318" s="155"/>
      <c r="R1318" s="155"/>
    </row>
    <row r="1319" spans="1:19" s="251" customFormat="1" ht="15.6">
      <c r="A1319" s="21"/>
      <c r="B1319" s="399" t="s">
        <v>277</v>
      </c>
      <c r="C1319" s="21"/>
      <c r="D1319" s="21"/>
      <c r="E1319" s="401"/>
      <c r="F1319" s="22"/>
      <c r="G1319" s="20" t="s">
        <v>21</v>
      </c>
      <c r="H1319" s="20" t="s">
        <v>53</v>
      </c>
      <c r="I1319" s="115">
        <v>8.32</v>
      </c>
      <c r="J1319" s="404">
        <v>10</v>
      </c>
      <c r="K1319" s="405">
        <v>8</v>
      </c>
      <c r="L1319" s="130">
        <f>(I1319*J1319*K1319/1000)</f>
        <v>0.66559999999999997</v>
      </c>
      <c r="M1319" s="20"/>
      <c r="N1319" s="20"/>
      <c r="O1319" s="20"/>
      <c r="P1319" s="20"/>
      <c r="Q1319" s="155"/>
      <c r="R1319" s="155"/>
      <c r="S1319" s="251" t="s">
        <v>305</v>
      </c>
    </row>
    <row r="1320" spans="1:19" s="251" customFormat="1" ht="15.6">
      <c r="A1320" s="20"/>
      <c r="B1320" s="399"/>
      <c r="C1320" s="20"/>
      <c r="D1320" s="20"/>
      <c r="E1320" s="20"/>
      <c r="F1320" s="20"/>
      <c r="G1320" s="20" t="s">
        <v>21</v>
      </c>
      <c r="H1320" s="20" t="s">
        <v>53</v>
      </c>
      <c r="I1320" s="115">
        <v>8.32</v>
      </c>
      <c r="J1320" s="404">
        <v>11.5</v>
      </c>
      <c r="K1320" s="405">
        <f>21+6</f>
        <v>27</v>
      </c>
      <c r="L1320" s="130">
        <f>(I1320*J1320*K1320/1000)</f>
        <v>2.5833600000000003</v>
      </c>
      <c r="M1320" s="20"/>
      <c r="N1320" s="20"/>
      <c r="O1320" s="20"/>
      <c r="P1320" s="20"/>
      <c r="Q1320" s="155"/>
      <c r="R1320" s="155"/>
    </row>
    <row r="1321" spans="1:19" s="251" customFormat="1" ht="15.6">
      <c r="A1321" s="20"/>
      <c r="B1321" s="20"/>
      <c r="C1321" s="20"/>
      <c r="D1321" s="20"/>
      <c r="E1321" s="20"/>
      <c r="F1321" s="20"/>
      <c r="G1321" s="20" t="s">
        <v>21</v>
      </c>
      <c r="H1321" s="20" t="s">
        <v>53</v>
      </c>
      <c r="I1321" s="115">
        <v>8.32</v>
      </c>
      <c r="J1321" s="404">
        <v>12</v>
      </c>
      <c r="K1321" s="405">
        <v>36</v>
      </c>
      <c r="L1321" s="130">
        <f>(I1321*J1321*K1321/1000)</f>
        <v>3.5942400000000001</v>
      </c>
      <c r="M1321" s="20"/>
      <c r="N1321" s="20"/>
      <c r="O1321" s="20"/>
      <c r="P1321" s="20"/>
      <c r="Q1321" s="155"/>
      <c r="R1321" s="155"/>
    </row>
    <row r="1322" spans="1:19" s="251" customFormat="1" ht="15.6">
      <c r="A1322" s="20"/>
      <c r="B1322" s="20"/>
      <c r="C1322" s="20"/>
      <c r="D1322" s="20"/>
      <c r="E1322" s="20"/>
      <c r="F1322" s="20"/>
      <c r="G1322" s="20"/>
      <c r="H1322" s="20"/>
      <c r="I1322" s="131"/>
      <c r="J1322" s="23"/>
      <c r="K1322" s="25">
        <f>SUM(K1318:K1321)</f>
        <v>99</v>
      </c>
      <c r="L1322" s="128">
        <f>SUM(L1318:L1321)</f>
        <v>8.9398400000000002</v>
      </c>
      <c r="M1322" s="20"/>
      <c r="N1322" s="20"/>
      <c r="O1322" s="20"/>
      <c r="P1322" s="20"/>
      <c r="Q1322" s="155"/>
      <c r="R1322" s="155"/>
    </row>
    <row r="1323" spans="1:19" ht="15.6">
      <c r="A1323" s="20"/>
      <c r="B1323" s="21"/>
      <c r="C1323" s="20"/>
      <c r="D1323" s="20"/>
      <c r="E1323" s="20"/>
      <c r="F1323" s="20"/>
      <c r="G1323" s="20"/>
      <c r="H1323" s="20"/>
      <c r="I1323" s="115"/>
      <c r="J1323" s="23"/>
      <c r="K1323" s="154">
        <f>SUM(K1287:K1322)/2</f>
        <v>862</v>
      </c>
      <c r="L1323" s="128">
        <f>SUM(L1287:L1322)/2</f>
        <v>74.71235999999999</v>
      </c>
      <c r="M1323" s="25">
        <f>SUM(M1287:M1313)/2</f>
        <v>0</v>
      </c>
      <c r="N1323" s="23">
        <f>SUM(N1287:N1313)/2</f>
        <v>0</v>
      </c>
      <c r="O1323" s="20"/>
      <c r="P1323" s="20"/>
      <c r="Q1323" s="155"/>
      <c r="R1323" s="155"/>
    </row>
    <row r="1324" spans="1:19" s="251" customFormat="1" ht="15.6">
      <c r="A1324" s="20"/>
      <c r="B1324" s="21"/>
      <c r="C1324" s="20"/>
      <c r="D1324" s="20"/>
      <c r="E1324" s="20"/>
      <c r="F1324" s="20"/>
      <c r="G1324" s="20"/>
      <c r="H1324" s="20"/>
      <c r="I1324" s="115"/>
      <c r="J1324" s="23"/>
      <c r="K1324" s="154"/>
      <c r="L1324" s="128"/>
      <c r="M1324" s="25"/>
      <c r="N1324" s="23"/>
      <c r="O1324" s="20"/>
      <c r="P1324" s="20"/>
      <c r="Q1324" s="155"/>
      <c r="R1324" s="155"/>
    </row>
    <row r="1325" spans="1:19" ht="15.6">
      <c r="A1325" s="20"/>
      <c r="B1325" s="21"/>
      <c r="C1325" s="20"/>
      <c r="D1325" s="20"/>
      <c r="E1325" s="20"/>
      <c r="F1325" s="20"/>
      <c r="G1325" s="20"/>
      <c r="H1325" s="20"/>
      <c r="I1325" s="115"/>
      <c r="J1325" s="23"/>
      <c r="K1325" s="154"/>
      <c r="L1325" s="128"/>
      <c r="M1325" s="20"/>
      <c r="N1325" s="20"/>
      <c r="O1325" s="20"/>
      <c r="P1325" s="20"/>
      <c r="Q1325" s="155"/>
      <c r="R1325" s="155"/>
    </row>
    <row r="1326" spans="1:19" ht="15.6">
      <c r="A1326" s="21" t="s">
        <v>174</v>
      </c>
      <c r="B1326" s="21" t="s">
        <v>223</v>
      </c>
      <c r="C1326" s="21" t="s">
        <v>19</v>
      </c>
      <c r="D1326" s="21" t="s">
        <v>20</v>
      </c>
      <c r="E1326" s="21" t="s">
        <v>57</v>
      </c>
      <c r="F1326" s="22">
        <v>11</v>
      </c>
      <c r="G1326" s="20" t="s">
        <v>21</v>
      </c>
      <c r="H1326" s="143" t="s">
        <v>54</v>
      </c>
      <c r="I1326" s="115">
        <v>9.61</v>
      </c>
      <c r="J1326" s="23">
        <v>7.7</v>
      </c>
      <c r="K1326" s="25">
        <v>16</v>
      </c>
      <c r="L1326" s="130">
        <f>(I1326*J1326*K1326/1000)</f>
        <v>1.1839519999999999</v>
      </c>
      <c r="M1326" s="20"/>
      <c r="N1326" s="23">
        <f>J1326*M1326*I1326/1000</f>
        <v>0</v>
      </c>
      <c r="O1326" s="20"/>
      <c r="P1326" s="20"/>
      <c r="Q1326" s="155"/>
      <c r="R1326" s="155"/>
      <c r="S1326" s="251" t="s">
        <v>304</v>
      </c>
    </row>
    <row r="1327" spans="1:19" ht="15.6">
      <c r="A1327" s="20"/>
      <c r="B1327" s="229" t="s">
        <v>207</v>
      </c>
      <c r="C1327" s="20"/>
      <c r="D1327" s="20"/>
      <c r="E1327" s="20"/>
      <c r="F1327" s="20"/>
      <c r="G1327" s="20" t="s">
        <v>21</v>
      </c>
      <c r="H1327" s="20" t="s">
        <v>54</v>
      </c>
      <c r="I1327" s="115">
        <v>9.61</v>
      </c>
      <c r="J1327" s="23">
        <v>9.5</v>
      </c>
      <c r="K1327" s="25">
        <v>23</v>
      </c>
      <c r="L1327" s="130">
        <f>(I1327*J1327*K1327/1000)</f>
        <v>2.0997849999999998</v>
      </c>
      <c r="M1327" s="20"/>
      <c r="N1327" s="23">
        <f>J1327*M1327*I1327/1000</f>
        <v>0</v>
      </c>
      <c r="O1327" s="20"/>
      <c r="P1327" s="20"/>
      <c r="Q1327" s="155"/>
      <c r="R1327" s="155"/>
    </row>
    <row r="1328" spans="1:19" ht="15.6">
      <c r="A1328" s="20"/>
      <c r="B1328" s="20"/>
      <c r="C1328" s="20"/>
      <c r="D1328" s="20"/>
      <c r="E1328" s="20"/>
      <c r="F1328" s="20"/>
      <c r="G1328" s="20" t="s">
        <v>21</v>
      </c>
      <c r="H1328" s="20" t="s">
        <v>54</v>
      </c>
      <c r="I1328" s="115">
        <v>9.61</v>
      </c>
      <c r="J1328" s="23">
        <v>9.6999999999999993</v>
      </c>
      <c r="K1328" s="25">
        <v>16</v>
      </c>
      <c r="L1328" s="130">
        <f>(I1328*J1328*K1328/1000)</f>
        <v>1.4914719999999997</v>
      </c>
      <c r="M1328" s="20"/>
      <c r="N1328" s="23">
        <f>J1328*M1328*I1328/1000</f>
        <v>0</v>
      </c>
      <c r="O1328" s="20"/>
      <c r="P1328" s="20"/>
      <c r="Q1328" s="155"/>
      <c r="R1328" s="155"/>
    </row>
    <row r="1329" spans="1:19" ht="15.6">
      <c r="A1329" s="20"/>
      <c r="B1329" s="20"/>
      <c r="C1329" s="20"/>
      <c r="D1329" s="20"/>
      <c r="E1329" s="20"/>
      <c r="F1329" s="20"/>
      <c r="G1329" s="20" t="s">
        <v>21</v>
      </c>
      <c r="H1329" s="20" t="s">
        <v>54</v>
      </c>
      <c r="I1329" s="115">
        <v>9.61</v>
      </c>
      <c r="J1329" s="23">
        <v>11</v>
      </c>
      <c r="K1329" s="25">
        <v>21</v>
      </c>
      <c r="L1329" s="130">
        <f>(I1329*J1329*K1329/1000)</f>
        <v>2.21991</v>
      </c>
      <c r="M1329" s="20"/>
      <c r="N1329" s="23">
        <f>J1329*M1329*I1329/1000</f>
        <v>0</v>
      </c>
      <c r="O1329" s="20"/>
      <c r="P1329" s="20"/>
      <c r="Q1329" s="155"/>
      <c r="R1329" s="155"/>
    </row>
    <row r="1330" spans="1:19" ht="15.6">
      <c r="A1330" s="20"/>
      <c r="B1330" s="20"/>
      <c r="C1330" s="20"/>
      <c r="D1330" s="20"/>
      <c r="E1330" s="20"/>
      <c r="F1330" s="20"/>
      <c r="G1330" s="20"/>
      <c r="H1330" s="20"/>
      <c r="I1330" s="115"/>
      <c r="J1330" s="23"/>
      <c r="K1330" s="25">
        <f t="shared" ref="K1330:M1330" si="281">SUM(K1326:K1329)</f>
        <v>76</v>
      </c>
      <c r="L1330" s="128">
        <f t="shared" si="281"/>
        <v>6.995118999999999</v>
      </c>
      <c r="M1330" s="25">
        <f t="shared" si="281"/>
        <v>0</v>
      </c>
      <c r="N1330" s="23">
        <f>SUM(N1326:N1329)</f>
        <v>0</v>
      </c>
      <c r="O1330" s="20"/>
      <c r="P1330" s="20"/>
      <c r="Q1330" s="155"/>
      <c r="R1330" s="155"/>
    </row>
    <row r="1331" spans="1:19" ht="15.6">
      <c r="A1331" s="20"/>
      <c r="B1331" s="20"/>
      <c r="C1331" s="20"/>
      <c r="D1331" s="20"/>
      <c r="E1331" s="20"/>
      <c r="F1331" s="20"/>
      <c r="G1331" s="20"/>
      <c r="H1331" s="20"/>
      <c r="I1331" s="115"/>
      <c r="J1331" s="20"/>
      <c r="K1331" s="211"/>
      <c r="L1331" s="131"/>
      <c r="M1331" s="20"/>
      <c r="N1331" s="20"/>
      <c r="O1331" s="20"/>
      <c r="P1331" s="20"/>
      <c r="Q1331" s="155"/>
      <c r="R1331" s="155"/>
    </row>
    <row r="1332" spans="1:19" ht="15.6">
      <c r="A1332" s="21" t="s">
        <v>83</v>
      </c>
      <c r="B1332" s="21" t="s">
        <v>222</v>
      </c>
      <c r="C1332" s="21" t="s">
        <v>19</v>
      </c>
      <c r="D1332" s="21" t="s">
        <v>20</v>
      </c>
      <c r="E1332" s="21" t="s">
        <v>57</v>
      </c>
      <c r="F1332" s="22">
        <v>11</v>
      </c>
      <c r="G1332" s="20" t="s">
        <v>21</v>
      </c>
      <c r="H1332" s="143" t="s">
        <v>54</v>
      </c>
      <c r="I1332" s="115">
        <v>9.61</v>
      </c>
      <c r="J1332" s="23">
        <v>8.1</v>
      </c>
      <c r="K1332" s="25">
        <v>32</v>
      </c>
      <c r="L1332" s="130">
        <f t="shared" ref="L1332:L1335" si="282">(I1332*J1332*K1332/1000)</f>
        <v>2.4909119999999998</v>
      </c>
      <c r="M1332" s="25"/>
      <c r="N1332" s="23">
        <f>J1332*M1332*I1332/1000</f>
        <v>0</v>
      </c>
      <c r="O1332" s="20"/>
      <c r="P1332" s="20"/>
      <c r="Q1332" s="155"/>
      <c r="R1332" s="155"/>
      <c r="S1332" s="251" t="s">
        <v>304</v>
      </c>
    </row>
    <row r="1333" spans="1:19" ht="15.6">
      <c r="A1333" s="20"/>
      <c r="B1333" s="21" t="s">
        <v>204</v>
      </c>
      <c r="C1333" s="20"/>
      <c r="D1333" s="20"/>
      <c r="E1333" s="20"/>
      <c r="F1333" s="20"/>
      <c r="G1333" s="20" t="s">
        <v>21</v>
      </c>
      <c r="H1333" s="20" t="s">
        <v>54</v>
      </c>
      <c r="I1333" s="115">
        <v>9.61</v>
      </c>
      <c r="J1333" s="23">
        <v>10</v>
      </c>
      <c r="K1333" s="25">
        <v>22</v>
      </c>
      <c r="L1333" s="130">
        <f t="shared" si="282"/>
        <v>2.1141999999999999</v>
      </c>
      <c r="M1333" s="25"/>
      <c r="N1333" s="23">
        <f>J1333*M1333*I1333/1000</f>
        <v>0</v>
      </c>
      <c r="O1333" s="20"/>
      <c r="P1333" s="20"/>
      <c r="Q1333" s="155"/>
      <c r="R1333" s="155"/>
    </row>
    <row r="1334" spans="1:19" ht="15.6">
      <c r="A1334" s="20"/>
      <c r="B1334" s="20"/>
      <c r="C1334" s="20"/>
      <c r="D1334" s="20"/>
      <c r="E1334" s="20"/>
      <c r="F1334" s="20"/>
      <c r="G1334" s="20" t="s">
        <v>21</v>
      </c>
      <c r="H1334" s="20" t="s">
        <v>54</v>
      </c>
      <c r="I1334" s="115">
        <v>9.61</v>
      </c>
      <c r="J1334" s="23">
        <v>11</v>
      </c>
      <c r="K1334" s="25">
        <v>78</v>
      </c>
      <c r="L1334" s="130">
        <f t="shared" si="282"/>
        <v>8.245379999999999</v>
      </c>
      <c r="M1334" s="25"/>
      <c r="N1334" s="23">
        <f>J1334*M1334*I1334/1000</f>
        <v>0</v>
      </c>
      <c r="O1334" s="20"/>
      <c r="P1334" s="20"/>
      <c r="Q1334" s="155"/>
      <c r="R1334" s="155"/>
    </row>
    <row r="1335" spans="1:19" ht="15.6">
      <c r="A1335" s="20"/>
      <c r="B1335" s="20"/>
      <c r="C1335" s="20"/>
      <c r="D1335" s="20"/>
      <c r="E1335" s="20"/>
      <c r="F1335" s="20"/>
      <c r="G1335" s="20" t="s">
        <v>21</v>
      </c>
      <c r="H1335" s="20" t="s">
        <v>54</v>
      </c>
      <c r="I1335" s="115">
        <v>9.61</v>
      </c>
      <c r="J1335" s="23">
        <v>12</v>
      </c>
      <c r="K1335" s="25">
        <v>26</v>
      </c>
      <c r="L1335" s="130">
        <f t="shared" si="282"/>
        <v>2.9983199999999997</v>
      </c>
      <c r="M1335" s="25"/>
      <c r="N1335" s="23">
        <f>J1335*M1335*I1335/1000</f>
        <v>0</v>
      </c>
      <c r="O1335" s="20"/>
      <c r="P1335" s="20"/>
      <c r="Q1335" s="155"/>
      <c r="R1335" s="155"/>
    </row>
    <row r="1336" spans="1:19" ht="15.6">
      <c r="A1336" s="20"/>
      <c r="B1336" s="20"/>
      <c r="C1336" s="20"/>
      <c r="D1336" s="20"/>
      <c r="E1336" s="20"/>
      <c r="F1336" s="20"/>
      <c r="G1336" s="20"/>
      <c r="H1336" s="20"/>
      <c r="I1336" s="115"/>
      <c r="J1336" s="25"/>
      <c r="K1336" s="25">
        <f>SUM(K1332:K1335)</f>
        <v>158</v>
      </c>
      <c r="L1336" s="128">
        <f>SUM(L1332:L1335)</f>
        <v>15.848811999999999</v>
      </c>
      <c r="M1336" s="25">
        <f>SUM(M1332:M1335)</f>
        <v>0</v>
      </c>
      <c r="N1336" s="23">
        <f>SUM(N1332:N1335)</f>
        <v>0</v>
      </c>
      <c r="O1336" s="20"/>
      <c r="P1336" s="20"/>
      <c r="Q1336" s="155"/>
      <c r="R1336" s="155"/>
    </row>
    <row r="1337" spans="1:19" ht="15.6">
      <c r="A1337" s="20"/>
      <c r="B1337" s="20"/>
      <c r="C1337" s="20"/>
      <c r="D1337" s="20"/>
      <c r="E1337" s="20"/>
      <c r="F1337" s="20"/>
      <c r="G1337" s="20"/>
      <c r="H1337" s="20"/>
      <c r="I1337" s="115"/>
      <c r="J1337" s="20"/>
      <c r="K1337" s="211"/>
      <c r="L1337" s="131"/>
      <c r="M1337" s="20"/>
      <c r="N1337" s="20"/>
      <c r="O1337" s="20"/>
      <c r="P1337" s="20"/>
      <c r="Q1337" s="155"/>
      <c r="R1337" s="155"/>
    </row>
    <row r="1338" spans="1:19" s="251" customFormat="1" ht="15.6">
      <c r="A1338" s="21" t="s">
        <v>83</v>
      </c>
      <c r="B1338" s="21" t="s">
        <v>239</v>
      </c>
      <c r="C1338" s="21" t="s">
        <v>19</v>
      </c>
      <c r="D1338" s="21" t="s">
        <v>20</v>
      </c>
      <c r="E1338" s="21" t="s">
        <v>47</v>
      </c>
      <c r="F1338" s="22">
        <v>11</v>
      </c>
      <c r="G1338" s="20" t="s">
        <v>21</v>
      </c>
      <c r="H1338" s="143" t="s">
        <v>54</v>
      </c>
      <c r="I1338" s="131">
        <v>9.61</v>
      </c>
      <c r="J1338" s="23">
        <v>9.5</v>
      </c>
      <c r="K1338" s="25">
        <v>30</v>
      </c>
      <c r="L1338" s="130">
        <f t="shared" ref="L1338" si="283">(I1338*J1338*K1338/1000)</f>
        <v>2.7388499999999993</v>
      </c>
      <c r="M1338" s="20"/>
      <c r="N1338" s="20"/>
      <c r="O1338" s="20"/>
      <c r="P1338" s="20"/>
      <c r="Q1338" s="155"/>
      <c r="R1338" s="155"/>
      <c r="S1338" s="251" t="s">
        <v>304</v>
      </c>
    </row>
    <row r="1339" spans="1:19" s="251" customFormat="1" ht="15.6">
      <c r="A1339" s="20"/>
      <c r="B1339" s="21" t="s">
        <v>238</v>
      </c>
      <c r="C1339" s="20"/>
      <c r="D1339" s="20"/>
      <c r="E1339" s="20"/>
      <c r="F1339" s="20"/>
      <c r="G1339" s="20"/>
      <c r="H1339" s="20"/>
      <c r="I1339" s="131"/>
      <c r="J1339" s="23"/>
      <c r="K1339" s="25">
        <f>SUM(K1338:K1338)</f>
        <v>30</v>
      </c>
      <c r="L1339" s="128">
        <f>SUM(L1338:L1338)</f>
        <v>2.7388499999999993</v>
      </c>
      <c r="M1339" s="20"/>
      <c r="N1339" s="20"/>
      <c r="O1339" s="20"/>
      <c r="P1339" s="20"/>
      <c r="Q1339" s="155"/>
      <c r="R1339" s="155"/>
    </row>
    <row r="1340" spans="1:19" s="251" customFormat="1" ht="15.6">
      <c r="A1340" s="20"/>
      <c r="B1340" s="20"/>
      <c r="C1340" s="20"/>
      <c r="D1340" s="20"/>
      <c r="E1340" s="20"/>
      <c r="F1340" s="20"/>
      <c r="G1340" s="20"/>
      <c r="H1340" s="20"/>
      <c r="I1340" s="115"/>
      <c r="J1340" s="24"/>
      <c r="K1340" s="154"/>
      <c r="L1340" s="128"/>
      <c r="M1340" s="20"/>
      <c r="N1340" s="20"/>
      <c r="O1340" s="20"/>
      <c r="P1340" s="20"/>
      <c r="Q1340" s="155"/>
      <c r="R1340" s="155"/>
    </row>
    <row r="1341" spans="1:19" ht="15.6">
      <c r="A1341" s="21" t="s">
        <v>174</v>
      </c>
      <c r="B1341" s="21" t="s">
        <v>226</v>
      </c>
      <c r="C1341" s="21" t="s">
        <v>19</v>
      </c>
      <c r="D1341" s="21" t="s">
        <v>20</v>
      </c>
      <c r="E1341" s="21" t="s">
        <v>175</v>
      </c>
      <c r="F1341" s="22">
        <v>11</v>
      </c>
      <c r="G1341" s="37" t="s">
        <v>21</v>
      </c>
      <c r="H1341" s="143" t="s">
        <v>54</v>
      </c>
      <c r="I1341" s="382">
        <v>9.61</v>
      </c>
      <c r="J1341" s="254">
        <v>11</v>
      </c>
      <c r="K1341" s="256">
        <v>8</v>
      </c>
      <c r="L1341" s="130">
        <f>(I1341*J1341*K1341/1000)</f>
        <v>0.84567999999999999</v>
      </c>
      <c r="M1341" s="37">
        <v>8</v>
      </c>
      <c r="N1341" s="254">
        <f>J1341*M1341*I1341/1000</f>
        <v>0.84567999999999999</v>
      </c>
      <c r="O1341" s="20"/>
      <c r="P1341" s="20"/>
      <c r="Q1341" s="155"/>
      <c r="R1341" s="155"/>
      <c r="S1341" s="251" t="s">
        <v>304</v>
      </c>
    </row>
    <row r="1342" spans="1:19" ht="15.6">
      <c r="A1342" s="37"/>
      <c r="B1342" s="264" t="s">
        <v>67</v>
      </c>
      <c r="C1342" s="37"/>
      <c r="D1342" s="37"/>
      <c r="E1342" s="37"/>
      <c r="F1342" s="37"/>
      <c r="G1342" s="37"/>
      <c r="H1342" s="37"/>
      <c r="I1342" s="382"/>
      <c r="J1342" s="254"/>
      <c r="K1342" s="256">
        <f t="shared" ref="K1342:M1342" si="284">SUM(K1341)</f>
        <v>8</v>
      </c>
      <c r="L1342" s="255">
        <f>SUM(L1341)</f>
        <v>0.84567999999999999</v>
      </c>
      <c r="M1342" s="256">
        <f t="shared" si="284"/>
        <v>8</v>
      </c>
      <c r="N1342" s="254">
        <f>SUM(N1341)</f>
        <v>0.84567999999999999</v>
      </c>
      <c r="O1342" s="20"/>
      <c r="P1342" s="20"/>
      <c r="Q1342" s="155"/>
      <c r="R1342" s="155"/>
    </row>
    <row r="1343" spans="1:19" s="251" customFormat="1" ht="15.6">
      <c r="A1343" s="37"/>
      <c r="B1343" s="264"/>
      <c r="C1343" s="37"/>
      <c r="D1343" s="37"/>
      <c r="E1343" s="37"/>
      <c r="F1343" s="37"/>
      <c r="G1343" s="37"/>
      <c r="H1343" s="37"/>
      <c r="I1343" s="382"/>
      <c r="J1343" s="254"/>
      <c r="K1343" s="256"/>
      <c r="L1343" s="255"/>
      <c r="M1343" s="256"/>
      <c r="N1343" s="254"/>
      <c r="O1343" s="20"/>
      <c r="P1343" s="20"/>
      <c r="Q1343" s="155"/>
      <c r="R1343" s="155"/>
    </row>
    <row r="1344" spans="1:19" s="251" customFormat="1" ht="15.6">
      <c r="A1344" s="21" t="s">
        <v>83</v>
      </c>
      <c r="B1344" s="21" t="s">
        <v>278</v>
      </c>
      <c r="C1344" s="21" t="s">
        <v>19</v>
      </c>
      <c r="D1344" s="21" t="s">
        <v>20</v>
      </c>
      <c r="E1344" s="63" t="s">
        <v>51</v>
      </c>
      <c r="F1344" s="22">
        <v>11</v>
      </c>
      <c r="G1344" s="20" t="s">
        <v>21</v>
      </c>
      <c r="H1344" s="143" t="s">
        <v>54</v>
      </c>
      <c r="I1344" s="131">
        <v>9.61</v>
      </c>
      <c r="J1344" s="404">
        <v>10.1</v>
      </c>
      <c r="K1344" s="405">
        <v>6</v>
      </c>
      <c r="L1344" s="130">
        <f>(I1344*J1344*K1344/1000)</f>
        <v>0.58236599999999994</v>
      </c>
      <c r="M1344" s="20"/>
      <c r="N1344" s="20"/>
      <c r="O1344" s="20"/>
      <c r="P1344" s="20"/>
      <c r="Q1344" s="155"/>
      <c r="R1344" s="155"/>
      <c r="S1344" s="251" t="s">
        <v>304</v>
      </c>
    </row>
    <row r="1345" spans="1:23" s="251" customFormat="1" ht="15.6">
      <c r="A1345" s="20"/>
      <c r="B1345" s="399" t="s">
        <v>52</v>
      </c>
      <c r="C1345" s="20"/>
      <c r="D1345" s="20"/>
      <c r="E1345" s="20"/>
      <c r="F1345" s="20"/>
      <c r="G1345" s="20"/>
      <c r="H1345" s="20"/>
      <c r="I1345" s="131"/>
      <c r="J1345" s="23"/>
      <c r="K1345" s="25">
        <f>SUM(K1344:K1344)</f>
        <v>6</v>
      </c>
      <c r="L1345" s="128">
        <f>SUM(L1344:L1344)</f>
        <v>0.58236599999999994</v>
      </c>
      <c r="M1345" s="20"/>
      <c r="N1345" s="20"/>
      <c r="O1345" s="20"/>
      <c r="P1345" s="20"/>
      <c r="Q1345" s="155"/>
      <c r="R1345" s="155"/>
    </row>
    <row r="1346" spans="1:23" ht="15.6">
      <c r="A1346" s="20"/>
      <c r="B1346" s="20"/>
      <c r="C1346" s="20"/>
      <c r="D1346" s="20"/>
      <c r="E1346" s="20"/>
      <c r="F1346" s="20"/>
      <c r="G1346" s="20"/>
      <c r="H1346" s="20"/>
      <c r="I1346" s="115"/>
      <c r="J1346" s="20"/>
      <c r="K1346" s="154">
        <f>SUM(K1326:K1345)/2</f>
        <v>278</v>
      </c>
      <c r="L1346" s="128">
        <f>SUM(L1326:L1345)/2</f>
        <v>27.010826999999999</v>
      </c>
      <c r="M1346" s="25">
        <f>SUM(M1326:M1342)/2</f>
        <v>8</v>
      </c>
      <c r="N1346" s="23">
        <f>SUM(N1326:N1342)/2</f>
        <v>0.84567999999999999</v>
      </c>
      <c r="O1346" s="20"/>
      <c r="P1346" s="20"/>
      <c r="Q1346" s="155"/>
      <c r="R1346" s="155"/>
    </row>
    <row r="1347" spans="1:23" s="251" customFormat="1" ht="15.6">
      <c r="A1347" s="20"/>
      <c r="B1347" s="20"/>
      <c r="C1347" s="20"/>
      <c r="D1347" s="20"/>
      <c r="E1347" s="20"/>
      <c r="F1347" s="20"/>
      <c r="G1347" s="20"/>
      <c r="H1347" s="20"/>
      <c r="I1347" s="115"/>
      <c r="J1347" s="20"/>
      <c r="K1347" s="25"/>
      <c r="L1347" s="128"/>
      <c r="M1347" s="25"/>
      <c r="N1347" s="23"/>
      <c r="O1347" s="20"/>
      <c r="P1347" s="20"/>
      <c r="Q1347" s="155"/>
      <c r="R1347" s="155"/>
    </row>
    <row r="1348" spans="1:23" s="251" customFormat="1" ht="15.6">
      <c r="A1348" s="20"/>
      <c r="B1348" s="21"/>
      <c r="C1348" s="20"/>
      <c r="D1348" s="20"/>
      <c r="E1348" s="20"/>
      <c r="F1348" s="20"/>
      <c r="G1348" s="20"/>
      <c r="H1348" s="20"/>
      <c r="I1348" s="115"/>
      <c r="J1348" s="23"/>
      <c r="K1348" s="154"/>
      <c r="L1348" s="128"/>
      <c r="M1348" s="20"/>
      <c r="N1348" s="20"/>
      <c r="O1348" s="20"/>
      <c r="P1348" s="20"/>
      <c r="Q1348" s="155"/>
      <c r="R1348" s="155"/>
    </row>
    <row r="1349" spans="1:23" s="251" customFormat="1" ht="15.6">
      <c r="A1349" s="20"/>
      <c r="B1349" s="21"/>
      <c r="C1349" s="20"/>
      <c r="D1349" s="20"/>
      <c r="E1349" s="20"/>
      <c r="F1349" s="20"/>
      <c r="G1349" s="20"/>
      <c r="H1349" s="20"/>
      <c r="I1349" s="115"/>
      <c r="J1349" s="23"/>
      <c r="K1349" s="154"/>
      <c r="L1349" s="128"/>
      <c r="M1349" s="20"/>
      <c r="N1349" s="20"/>
      <c r="O1349" s="20"/>
      <c r="P1349" s="20"/>
      <c r="Q1349" s="155"/>
      <c r="R1349" s="155"/>
    </row>
    <row r="1350" spans="1:23" s="251" customFormat="1" ht="15.6">
      <c r="A1350" s="20"/>
      <c r="B1350" s="21"/>
      <c r="C1350" s="20"/>
      <c r="D1350" s="20"/>
      <c r="E1350" s="20"/>
      <c r="F1350" s="20"/>
      <c r="G1350" s="20"/>
      <c r="H1350" s="20"/>
      <c r="I1350" s="115"/>
      <c r="J1350" s="23"/>
      <c r="K1350" s="154"/>
      <c r="L1350" s="128"/>
      <c r="M1350" s="20"/>
      <c r="N1350" s="20"/>
      <c r="O1350" s="20"/>
      <c r="P1350" s="20"/>
      <c r="Q1350" s="155"/>
      <c r="R1350" s="155"/>
    </row>
    <row r="1351" spans="1:23" s="251" customFormat="1" ht="15.6">
      <c r="A1351" s="21" t="s">
        <v>83</v>
      </c>
      <c r="B1351" s="21" t="s">
        <v>278</v>
      </c>
      <c r="C1351" s="21" t="s">
        <v>19</v>
      </c>
      <c r="D1351" s="21" t="s">
        <v>155</v>
      </c>
      <c r="E1351" s="21" t="s">
        <v>270</v>
      </c>
      <c r="F1351" s="22">
        <v>8.5</v>
      </c>
      <c r="G1351" s="20" t="s">
        <v>61</v>
      </c>
      <c r="H1351" s="143" t="s">
        <v>54</v>
      </c>
      <c r="I1351" s="131">
        <v>9.61</v>
      </c>
      <c r="J1351" s="404">
        <v>10.5</v>
      </c>
      <c r="K1351" s="405">
        <v>2</v>
      </c>
      <c r="L1351" s="180">
        <f>(I1351*J1351*K1351/1000)</f>
        <v>0.20180999999999999</v>
      </c>
      <c r="M1351" s="20">
        <v>2</v>
      </c>
      <c r="N1351" s="254">
        <f>J1351*M1351*I1351/1000</f>
        <v>0.20180999999999999</v>
      </c>
      <c r="O1351" s="20"/>
      <c r="P1351" s="20"/>
      <c r="Q1351" s="155"/>
      <c r="R1351" s="155"/>
      <c r="S1351" s="251" t="s">
        <v>304</v>
      </c>
    </row>
    <row r="1352" spans="1:23" s="251" customFormat="1" ht="15.6">
      <c r="A1352" s="21"/>
      <c r="B1352" s="399" t="s">
        <v>277</v>
      </c>
      <c r="C1352" s="20"/>
      <c r="D1352" s="20"/>
      <c r="E1352" s="20"/>
      <c r="F1352" s="131"/>
      <c r="G1352" s="20"/>
      <c r="H1352" s="20"/>
      <c r="I1352" s="382"/>
      <c r="J1352" s="23"/>
      <c r="K1352" s="25">
        <f>SUM(K1351:K1351)</f>
        <v>2</v>
      </c>
      <c r="L1352" s="181">
        <f>SUM(L1351:L1351)</f>
        <v>0.20180999999999999</v>
      </c>
      <c r="M1352" s="25">
        <f>SUM(M1351:M1351)</f>
        <v>2</v>
      </c>
      <c r="N1352" s="181">
        <f>SUM(N1351:N1351)</f>
        <v>0.20180999999999999</v>
      </c>
      <c r="O1352" s="20"/>
      <c r="P1352" s="20"/>
      <c r="Q1352" s="155"/>
      <c r="R1352" s="155"/>
    </row>
    <row r="1353" spans="1:23" s="251" customFormat="1" ht="15.6">
      <c r="A1353" s="20"/>
      <c r="B1353" s="21"/>
      <c r="C1353" s="20"/>
      <c r="D1353" s="20"/>
      <c r="E1353" s="20"/>
      <c r="F1353" s="20"/>
      <c r="G1353" s="20"/>
      <c r="H1353" s="20"/>
      <c r="I1353" s="115"/>
      <c r="J1353" s="23"/>
      <c r="K1353" s="154"/>
      <c r="L1353" s="128"/>
      <c r="M1353" s="20"/>
      <c r="N1353" s="20"/>
      <c r="O1353" s="20"/>
      <c r="P1353" s="20"/>
      <c r="Q1353" s="155"/>
      <c r="R1353" s="155"/>
    </row>
    <row r="1354" spans="1:23" s="251" customFormat="1" ht="15.6">
      <c r="A1354" s="21" t="s">
        <v>83</v>
      </c>
      <c r="B1354" s="21" t="s">
        <v>278</v>
      </c>
      <c r="C1354" s="21" t="s">
        <v>19</v>
      </c>
      <c r="D1354" s="21" t="s">
        <v>155</v>
      </c>
      <c r="E1354" s="21" t="s">
        <v>247</v>
      </c>
      <c r="F1354" s="22">
        <v>11</v>
      </c>
      <c r="G1354" s="20" t="s">
        <v>61</v>
      </c>
      <c r="H1354" s="143" t="s">
        <v>54</v>
      </c>
      <c r="I1354" s="131">
        <v>9.61</v>
      </c>
      <c r="J1354" s="404">
        <v>10</v>
      </c>
      <c r="K1354" s="405">
        <v>54</v>
      </c>
      <c r="L1354" s="180">
        <f>(I1354*J1354*K1354/1000)</f>
        <v>5.1894</v>
      </c>
      <c r="M1354" s="20">
        <v>10</v>
      </c>
      <c r="N1354" s="254">
        <f>J1354*M1354*I1354/1000</f>
        <v>0.96099999999999997</v>
      </c>
      <c r="O1354" s="20"/>
      <c r="P1354" s="20"/>
      <c r="Q1354" s="155"/>
      <c r="R1354" s="155"/>
      <c r="S1354" s="251" t="s">
        <v>304</v>
      </c>
    </row>
    <row r="1355" spans="1:23" s="251" customFormat="1" ht="15.6">
      <c r="A1355" s="20"/>
      <c r="B1355" s="399" t="s">
        <v>52</v>
      </c>
      <c r="C1355" s="20"/>
      <c r="D1355" s="20"/>
      <c r="E1355" s="20"/>
      <c r="F1355" s="131"/>
      <c r="G1355" s="20"/>
      <c r="H1355" s="20"/>
      <c r="I1355" s="382"/>
      <c r="J1355" s="23"/>
      <c r="K1355" s="25">
        <f>SUM(K1354:K1354)</f>
        <v>54</v>
      </c>
      <c r="L1355" s="181">
        <f>SUM(L1354:L1354)</f>
        <v>5.1894</v>
      </c>
      <c r="M1355" s="25">
        <f>SUM(M1354:M1354)</f>
        <v>10</v>
      </c>
      <c r="N1355" s="181">
        <f>SUM(N1354:N1354)</f>
        <v>0.96099999999999997</v>
      </c>
      <c r="O1355" s="20"/>
      <c r="P1355" s="20"/>
      <c r="Q1355" s="155"/>
      <c r="R1355" s="155"/>
    </row>
    <row r="1356" spans="1:23" s="251" customFormat="1" ht="15.6">
      <c r="A1356" s="20"/>
      <c r="B1356" s="21"/>
      <c r="C1356" s="20"/>
      <c r="D1356" s="20"/>
      <c r="E1356" s="20"/>
      <c r="F1356" s="20"/>
      <c r="G1356" s="20"/>
      <c r="H1356" s="20"/>
      <c r="I1356" s="115"/>
      <c r="J1356" s="23"/>
      <c r="K1356" s="154"/>
      <c r="L1356" s="124">
        <f>+L1355+L1352</f>
        <v>5.3912100000000001</v>
      </c>
      <c r="M1356" s="154">
        <f>+M1355+M1352</f>
        <v>12</v>
      </c>
      <c r="N1356" s="124">
        <f>+N1355+N1352</f>
        <v>1.1628099999999999</v>
      </c>
      <c r="O1356" s="20"/>
      <c r="P1356" s="20"/>
      <c r="Q1356" s="155"/>
      <c r="R1356" s="155"/>
    </row>
    <row r="1357" spans="1:23" s="251" customFormat="1" ht="15.6">
      <c r="A1357" s="20"/>
      <c r="B1357" s="21"/>
      <c r="C1357" s="20"/>
      <c r="D1357" s="20"/>
      <c r="E1357" s="20"/>
      <c r="F1357" s="20"/>
      <c r="G1357" s="20"/>
      <c r="H1357" s="20"/>
      <c r="I1357" s="115"/>
      <c r="J1357" s="23"/>
      <c r="K1357" s="154"/>
      <c r="L1357" s="128"/>
      <c r="M1357" s="20"/>
      <c r="N1357" s="20"/>
      <c r="O1357" s="20"/>
      <c r="P1357" s="20"/>
      <c r="Q1357" s="155"/>
      <c r="R1357" s="155"/>
    </row>
    <row r="1358" spans="1:23" s="251" customFormat="1" ht="15.6">
      <c r="A1358" s="20"/>
      <c r="B1358" s="21"/>
      <c r="C1358" s="20"/>
      <c r="D1358" s="20"/>
      <c r="E1358" s="20"/>
      <c r="F1358" s="20"/>
      <c r="G1358" s="20"/>
      <c r="H1358" s="20"/>
      <c r="I1358" s="115"/>
      <c r="J1358" s="23"/>
      <c r="K1358" s="154"/>
      <c r="L1358" s="128"/>
      <c r="M1358" s="20"/>
      <c r="N1358" s="20"/>
      <c r="O1358" s="20"/>
      <c r="P1358" s="20"/>
      <c r="Q1358" s="155"/>
      <c r="R1358" s="155"/>
    </row>
    <row r="1359" spans="1:23" s="251" customFormat="1" ht="15.6">
      <c r="A1359" s="21" t="s">
        <v>272</v>
      </c>
      <c r="B1359" s="21" t="s">
        <v>278</v>
      </c>
      <c r="C1359" s="21" t="s">
        <v>19</v>
      </c>
      <c r="D1359" s="21" t="s">
        <v>155</v>
      </c>
      <c r="E1359" s="21" t="s">
        <v>270</v>
      </c>
      <c r="F1359" s="22">
        <v>8.5</v>
      </c>
      <c r="G1359" s="20" t="s">
        <v>61</v>
      </c>
      <c r="H1359" s="143" t="s">
        <v>53</v>
      </c>
      <c r="I1359" s="115">
        <v>8.32</v>
      </c>
      <c r="J1359" s="404">
        <v>12</v>
      </c>
      <c r="K1359" s="405">
        <v>309</v>
      </c>
      <c r="L1359" s="180">
        <f>(I1359*J1359*K1359/1000)</f>
        <v>30.850560000000002</v>
      </c>
      <c r="M1359" s="20"/>
      <c r="N1359" s="20"/>
      <c r="O1359" s="20"/>
      <c r="P1359" s="20"/>
      <c r="Q1359" s="155"/>
      <c r="R1359" s="155"/>
      <c r="S1359" s="251">
        <f>31+31+31+32+31+29+29+35+37+7+1</f>
        <v>294</v>
      </c>
      <c r="T1359" s="126">
        <f>J1359*S1359*I1359/1000</f>
        <v>29.352960000000003</v>
      </c>
      <c r="U1359" s="432">
        <v>10</v>
      </c>
      <c r="V1359" s="251">
        <v>2</v>
      </c>
      <c r="W1359" s="126">
        <f>U1359*V1359*8.32/1000</f>
        <v>0.16639999999999999</v>
      </c>
    </row>
    <row r="1360" spans="1:23" s="251" customFormat="1" ht="15.6">
      <c r="A1360" s="20"/>
      <c r="B1360" s="21" t="s">
        <v>271</v>
      </c>
      <c r="C1360" s="20"/>
      <c r="D1360" s="20"/>
      <c r="E1360" s="20"/>
      <c r="F1360" s="131"/>
      <c r="G1360" s="20"/>
      <c r="H1360" s="20"/>
      <c r="I1360" s="382"/>
      <c r="J1360" s="23"/>
      <c r="K1360" s="25">
        <f>SUM(K1359:K1359)</f>
        <v>309</v>
      </c>
      <c r="L1360" s="181">
        <f>SUM(L1359:L1359)</f>
        <v>30.850560000000002</v>
      </c>
      <c r="M1360" s="20"/>
      <c r="N1360" s="20"/>
      <c r="O1360" s="20"/>
      <c r="P1360" s="20"/>
      <c r="Q1360" s="20"/>
      <c r="R1360" s="20"/>
      <c r="S1360" s="25">
        <f>SUM(S1359:S1359)</f>
        <v>294</v>
      </c>
      <c r="T1360" s="181">
        <f>SUM(T1359:T1359)</f>
        <v>29.352960000000003</v>
      </c>
      <c r="U1360" s="432">
        <v>11</v>
      </c>
      <c r="V1360" s="251">
        <v>3</v>
      </c>
      <c r="W1360" s="126">
        <f t="shared" ref="W1360:W1373" si="285">U1360*V1360*8.32/1000</f>
        <v>0.27456000000000003</v>
      </c>
    </row>
    <row r="1361" spans="1:23" s="251" customFormat="1" ht="15.6">
      <c r="A1361" s="20"/>
      <c r="B1361" s="21"/>
      <c r="C1361" s="20"/>
      <c r="D1361" s="20"/>
      <c r="E1361" s="20"/>
      <c r="F1361" s="20"/>
      <c r="G1361" s="20"/>
      <c r="H1361" s="20"/>
      <c r="I1361" s="115"/>
      <c r="J1361" s="23"/>
      <c r="K1361" s="154"/>
      <c r="L1361" s="128"/>
      <c r="M1361" s="20"/>
      <c r="N1361" s="20"/>
      <c r="O1361" s="20"/>
      <c r="P1361" s="20"/>
      <c r="Q1361" s="155"/>
      <c r="R1361" s="155"/>
      <c r="U1361" s="432">
        <v>11.5</v>
      </c>
      <c r="V1361" s="251">
        <v>3</v>
      </c>
      <c r="W1361" s="126">
        <f t="shared" si="285"/>
        <v>0.28704000000000002</v>
      </c>
    </row>
    <row r="1362" spans="1:23" s="251" customFormat="1" ht="15.6">
      <c r="A1362" s="21"/>
      <c r="B1362" s="21"/>
      <c r="C1362" s="21"/>
      <c r="D1362" s="21"/>
      <c r="E1362" s="21"/>
      <c r="F1362" s="22"/>
      <c r="G1362" s="112"/>
      <c r="H1362" s="112"/>
      <c r="I1362" s="449"/>
      <c r="J1362" s="434"/>
      <c r="K1362" s="435"/>
      <c r="L1362" s="436"/>
      <c r="M1362" s="20"/>
      <c r="N1362" s="20"/>
      <c r="O1362" s="20"/>
      <c r="P1362" s="20"/>
      <c r="Q1362" s="155"/>
      <c r="R1362" s="155"/>
      <c r="S1362" s="251" t="s">
        <v>304</v>
      </c>
      <c r="U1362" s="432"/>
      <c r="W1362" s="126"/>
    </row>
    <row r="1363" spans="1:23" s="251" customFormat="1" ht="15.6">
      <c r="A1363" s="20"/>
      <c r="B1363" s="21"/>
      <c r="C1363" s="20"/>
      <c r="D1363" s="20"/>
      <c r="E1363" s="20"/>
      <c r="F1363" s="131"/>
      <c r="G1363" s="112"/>
      <c r="H1363" s="112"/>
      <c r="I1363" s="449"/>
      <c r="J1363" s="434"/>
      <c r="K1363" s="435"/>
      <c r="L1363" s="436"/>
      <c r="M1363" s="20"/>
      <c r="N1363" s="20"/>
      <c r="O1363" s="20"/>
      <c r="P1363" s="20"/>
      <c r="Q1363" s="155"/>
      <c r="R1363" s="155"/>
      <c r="U1363" s="432"/>
      <c r="W1363" s="126"/>
    </row>
    <row r="1364" spans="1:23" s="251" customFormat="1" ht="15.6">
      <c r="A1364" s="20"/>
      <c r="B1364" s="21"/>
      <c r="C1364" s="20"/>
      <c r="D1364" s="20"/>
      <c r="E1364" s="20"/>
      <c r="F1364" s="20"/>
      <c r="G1364" s="112"/>
      <c r="H1364" s="112"/>
      <c r="I1364" s="449"/>
      <c r="J1364" s="434"/>
      <c r="K1364" s="435"/>
      <c r="L1364" s="436"/>
      <c r="M1364" s="20"/>
      <c r="N1364" s="20"/>
      <c r="O1364" s="20"/>
      <c r="P1364" s="20"/>
      <c r="Q1364" s="155"/>
      <c r="R1364" s="155"/>
      <c r="U1364" s="432"/>
      <c r="W1364" s="126"/>
    </row>
    <row r="1365" spans="1:23" s="251" customFormat="1" ht="15.6">
      <c r="A1365" s="20"/>
      <c r="B1365" s="21"/>
      <c r="C1365" s="20"/>
      <c r="D1365" s="20"/>
      <c r="E1365" s="20"/>
      <c r="F1365" s="20"/>
      <c r="G1365" s="149"/>
      <c r="H1365" s="149"/>
      <c r="I1365" s="450"/>
      <c r="J1365" s="133"/>
      <c r="K1365" s="140"/>
      <c r="L1365" s="133"/>
      <c r="M1365" s="20"/>
      <c r="N1365" s="20"/>
      <c r="O1365" s="20"/>
      <c r="P1365" s="20"/>
      <c r="Q1365" s="155"/>
      <c r="R1365" s="155"/>
      <c r="U1365" s="432"/>
      <c r="W1365" s="126"/>
    </row>
    <row r="1366" spans="1:23" s="251" customFormat="1" ht="15.6">
      <c r="A1366" s="20"/>
      <c r="B1366" s="21"/>
      <c r="C1366" s="20"/>
      <c r="D1366" s="20"/>
      <c r="E1366" s="20"/>
      <c r="F1366" s="20"/>
      <c r="G1366" s="20"/>
      <c r="H1366" s="20"/>
      <c r="I1366" s="115"/>
      <c r="J1366" s="23"/>
      <c r="K1366" s="154"/>
      <c r="L1366" s="128"/>
      <c r="M1366" s="20"/>
      <c r="N1366" s="20"/>
      <c r="O1366" s="20"/>
      <c r="P1366" s="20"/>
      <c r="Q1366" s="155"/>
      <c r="R1366" s="155"/>
      <c r="U1366" s="432"/>
      <c r="W1366" s="126"/>
    </row>
    <row r="1367" spans="1:23" s="251" customFormat="1" ht="15.6">
      <c r="A1367" s="20"/>
      <c r="B1367" s="21"/>
      <c r="C1367" s="20"/>
      <c r="D1367" s="20"/>
      <c r="E1367" s="20"/>
      <c r="F1367" s="20"/>
      <c r="G1367" s="20"/>
      <c r="H1367" s="20"/>
      <c r="I1367" s="115"/>
      <c r="J1367" s="23"/>
      <c r="K1367" s="154"/>
      <c r="L1367" s="128"/>
      <c r="M1367" s="20"/>
      <c r="N1367" s="20"/>
      <c r="O1367" s="20"/>
      <c r="P1367" s="20"/>
      <c r="Q1367" s="155"/>
      <c r="R1367" s="155"/>
      <c r="U1367" s="432"/>
      <c r="W1367" s="126"/>
    </row>
    <row r="1368" spans="1:23" ht="15.6">
      <c r="A1368" s="20"/>
      <c r="B1368" s="20"/>
      <c r="C1368" s="20"/>
      <c r="D1368" s="20"/>
      <c r="E1368" s="20"/>
      <c r="F1368" s="20"/>
      <c r="G1368" s="20"/>
      <c r="H1368" s="20"/>
      <c r="I1368" s="115"/>
      <c r="J1368" s="20"/>
      <c r="K1368" s="211"/>
      <c r="L1368" s="131"/>
      <c r="M1368" s="20"/>
      <c r="N1368" s="20"/>
      <c r="O1368" s="20"/>
      <c r="P1368" s="20"/>
      <c r="Q1368" s="155"/>
      <c r="R1368" s="155"/>
      <c r="U1368" s="433">
        <v>11.7</v>
      </c>
      <c r="V1368">
        <v>4</v>
      </c>
      <c r="W1368" s="126">
        <f t="shared" si="285"/>
        <v>0.389376</v>
      </c>
    </row>
    <row r="1369" spans="1:23" ht="15.6">
      <c r="A1369" s="20"/>
      <c r="B1369" s="20"/>
      <c r="C1369" s="20"/>
      <c r="D1369" s="20"/>
      <c r="E1369" s="20"/>
      <c r="F1369" s="20"/>
      <c r="G1369" s="20"/>
      <c r="H1369" s="20"/>
      <c r="I1369" s="131"/>
      <c r="J1369" s="20"/>
      <c r="K1369" s="211"/>
      <c r="L1369" s="128">
        <f>+L1323+L1346+L1360+L1356</f>
        <v>137.964957</v>
      </c>
      <c r="M1369" s="20"/>
      <c r="N1369" s="128">
        <f>+N1323+N1346+N1360+N1356</f>
        <v>2.0084900000000001</v>
      </c>
      <c r="O1369" s="20"/>
      <c r="P1369" s="20"/>
      <c r="Q1369" s="155"/>
      <c r="R1369" s="155"/>
      <c r="U1369" s="433">
        <v>11.6</v>
      </c>
      <c r="V1369">
        <v>6</v>
      </c>
      <c r="W1369" s="126">
        <f t="shared" si="285"/>
        <v>0.57907200000000003</v>
      </c>
    </row>
    <row r="1370" spans="1:23">
      <c r="A1370" s="10" t="s">
        <v>48</v>
      </c>
      <c r="B1370" s="10"/>
      <c r="C1370" s="11"/>
      <c r="D1370" s="11"/>
      <c r="E1370" s="11"/>
      <c r="F1370" s="92"/>
      <c r="G1370" s="11"/>
      <c r="H1370" s="92"/>
      <c r="I1370" s="13"/>
      <c r="J1370" s="11"/>
      <c r="K1370" s="202"/>
      <c r="L1370" s="2047" t="s">
        <v>0</v>
      </c>
      <c r="M1370" s="2047"/>
      <c r="N1370" s="2047"/>
      <c r="O1370" s="2048"/>
      <c r="P1370" s="2020"/>
      <c r="Q1370" s="142"/>
      <c r="R1370" s="142"/>
      <c r="U1370" s="433">
        <v>11.4</v>
      </c>
      <c r="V1370">
        <v>2</v>
      </c>
      <c r="W1370" s="126">
        <f t="shared" si="285"/>
        <v>0.18969600000000003</v>
      </c>
    </row>
    <row r="1371" spans="1:23">
      <c r="A1371" s="14" t="s">
        <v>1</v>
      </c>
      <c r="B1371" s="14"/>
      <c r="C1371" s="14"/>
      <c r="D1371" s="15" t="s">
        <v>2</v>
      </c>
      <c r="E1371" s="15"/>
      <c r="F1371" s="16"/>
      <c r="G1371" s="16"/>
      <c r="H1371" s="16"/>
      <c r="I1371" s="17"/>
      <c r="J1371" s="16"/>
      <c r="K1371" s="203" t="s">
        <v>3</v>
      </c>
      <c r="L1371" s="16"/>
      <c r="M1371" s="14"/>
      <c r="N1371" s="16"/>
      <c r="O1371" s="19"/>
      <c r="P1371" s="2020"/>
      <c r="Q1371" s="142"/>
      <c r="R1371" s="142"/>
      <c r="U1371" s="433">
        <v>11.2</v>
      </c>
      <c r="V1371">
        <v>2</v>
      </c>
      <c r="W1371" s="126">
        <f t="shared" si="285"/>
        <v>0.18636800000000001</v>
      </c>
    </row>
    <row r="1372" spans="1:23" ht="15.6">
      <c r="A1372" s="228" t="s">
        <v>22</v>
      </c>
      <c r="B1372" s="2021" t="s">
        <v>23</v>
      </c>
      <c r="C1372" s="2022"/>
      <c r="D1372" s="2023"/>
      <c r="E1372" s="228" t="s">
        <v>24</v>
      </c>
      <c r="F1372" s="2021" t="s">
        <v>25</v>
      </c>
      <c r="G1372" s="2023"/>
      <c r="H1372" s="2021" t="s">
        <v>26</v>
      </c>
      <c r="I1372" s="2022"/>
      <c r="J1372" s="2022"/>
      <c r="K1372" s="2023"/>
      <c r="L1372" s="2024" t="s">
        <v>27</v>
      </c>
      <c r="M1372" s="2024"/>
      <c r="N1372" s="2024"/>
      <c r="O1372" s="2021"/>
      <c r="P1372" s="2020"/>
      <c r="Q1372" s="142"/>
      <c r="R1372" s="142"/>
      <c r="U1372" s="433">
        <v>10.5</v>
      </c>
      <c r="V1372">
        <v>1</v>
      </c>
      <c r="W1372" s="126">
        <f t="shared" si="285"/>
        <v>8.7359999999999993E-2</v>
      </c>
    </row>
    <row r="1373" spans="1:23" ht="15.6">
      <c r="A1373" s="38"/>
      <c r="B1373" s="2025"/>
      <c r="C1373" s="2026"/>
      <c r="D1373" s="2027"/>
      <c r="E1373" s="26"/>
      <c r="F1373" s="2025"/>
      <c r="G1373" s="2027"/>
      <c r="H1373" s="2025"/>
      <c r="I1373" s="2026"/>
      <c r="J1373" s="2026"/>
      <c r="K1373" s="2027"/>
      <c r="L1373" s="2025"/>
      <c r="M1373" s="2026"/>
      <c r="N1373" s="2026"/>
      <c r="O1373" s="2026"/>
      <c r="P1373" s="2020"/>
      <c r="Q1373" s="142"/>
      <c r="R1373" s="142"/>
      <c r="U1373" s="433">
        <v>10.199999999999999</v>
      </c>
      <c r="V1373">
        <v>1</v>
      </c>
      <c r="W1373" s="126">
        <f t="shared" si="285"/>
        <v>8.4863999999999995E-2</v>
      </c>
    </row>
    <row r="1374" spans="1:23" ht="15.6">
      <c r="A1374" s="38"/>
      <c r="B1374" s="225"/>
      <c r="C1374" s="226"/>
      <c r="D1374" s="227"/>
      <c r="E1374" s="26"/>
      <c r="F1374" s="225"/>
      <c r="G1374" s="227"/>
      <c r="H1374" s="225"/>
      <c r="I1374" s="1856"/>
      <c r="J1374" s="226"/>
      <c r="K1374" s="204"/>
      <c r="L1374" s="279"/>
      <c r="M1374" s="226"/>
      <c r="N1374" s="226"/>
      <c r="O1374" s="226"/>
      <c r="P1374" s="2020"/>
      <c r="Q1374" s="142"/>
      <c r="R1374" s="142"/>
      <c r="W1374" s="431">
        <f>SUM(W1359:W1373)</f>
        <v>2.2447360000000001</v>
      </c>
    </row>
    <row r="1375" spans="1:23" ht="15.6">
      <c r="A1375" s="38" t="s">
        <v>28</v>
      </c>
      <c r="B1375" s="2025" t="s">
        <v>55</v>
      </c>
      <c r="C1375" s="2026"/>
      <c r="D1375" s="2027"/>
      <c r="E1375" s="26">
        <f>+L1323</f>
        <v>74.71235999999999</v>
      </c>
      <c r="F1375" s="2025">
        <v>11</v>
      </c>
      <c r="G1375" s="2027"/>
      <c r="H1375" s="2025" t="s">
        <v>49</v>
      </c>
      <c r="I1375" s="2026"/>
      <c r="J1375" s="2026"/>
      <c r="K1375" s="2027"/>
      <c r="L1375" s="2025" t="s">
        <v>276</v>
      </c>
      <c r="M1375" s="2026"/>
      <c r="N1375" s="2026"/>
      <c r="O1375" s="2026"/>
      <c r="P1375" s="2020"/>
      <c r="Q1375" s="142"/>
      <c r="R1375" s="142"/>
    </row>
    <row r="1376" spans="1:23" s="251" customFormat="1" ht="15.6">
      <c r="A1376" s="38" t="s">
        <v>29</v>
      </c>
      <c r="B1376" s="2025" t="s">
        <v>56</v>
      </c>
      <c r="C1376" s="2026"/>
      <c r="D1376" s="2027"/>
      <c r="E1376" s="26">
        <f>+L1346-0.846</f>
        <v>26.164826999999999</v>
      </c>
      <c r="F1376" s="2025">
        <v>11</v>
      </c>
      <c r="G1376" s="2027"/>
      <c r="H1376" s="2025" t="s">
        <v>49</v>
      </c>
      <c r="I1376" s="2026"/>
      <c r="J1376" s="2026"/>
      <c r="K1376" s="2027"/>
      <c r="L1376" s="2025" t="s">
        <v>276</v>
      </c>
      <c r="M1376" s="2026"/>
      <c r="N1376" s="2026"/>
      <c r="O1376" s="2026"/>
      <c r="P1376" s="2020"/>
      <c r="Q1376" s="142"/>
      <c r="R1376" s="142"/>
    </row>
    <row r="1377" spans="1:18" s="251" customFormat="1" ht="15.6">
      <c r="A1377" s="38"/>
      <c r="B1377" s="395"/>
      <c r="C1377" s="396"/>
      <c r="D1377" s="397"/>
      <c r="E1377" s="26"/>
      <c r="F1377" s="395"/>
      <c r="G1377" s="397"/>
      <c r="H1377" s="395"/>
      <c r="I1377" s="1856"/>
      <c r="J1377" s="396"/>
      <c r="K1377" s="397"/>
      <c r="L1377" s="395"/>
      <c r="M1377" s="396"/>
      <c r="N1377" s="396"/>
      <c r="O1377" s="396"/>
      <c r="P1377" s="2020"/>
      <c r="Q1377" s="142"/>
      <c r="R1377" s="142"/>
    </row>
    <row r="1378" spans="1:18" s="251" customFormat="1" ht="15.6">
      <c r="A1378" s="38" t="s">
        <v>30</v>
      </c>
      <c r="B1378" s="2025" t="s">
        <v>279</v>
      </c>
      <c r="C1378" s="2026"/>
      <c r="D1378" s="2027"/>
      <c r="E1378" s="26">
        <f>+L1356-1.163</f>
        <v>4.2282099999999998</v>
      </c>
      <c r="F1378" s="2025">
        <v>11</v>
      </c>
      <c r="G1378" s="2027"/>
      <c r="H1378" s="2025" t="s">
        <v>155</v>
      </c>
      <c r="I1378" s="2026"/>
      <c r="J1378" s="2026"/>
      <c r="K1378" s="2027"/>
      <c r="L1378" s="2025" t="s">
        <v>253</v>
      </c>
      <c r="M1378" s="2026"/>
      <c r="N1378" s="2026"/>
      <c r="O1378" s="2026"/>
      <c r="P1378" s="2020"/>
      <c r="Q1378" s="142"/>
      <c r="R1378" s="142"/>
    </row>
    <row r="1379" spans="1:18" s="251" customFormat="1" ht="15.6">
      <c r="A1379" s="38"/>
      <c r="B1379" s="395"/>
      <c r="C1379" s="396"/>
      <c r="D1379" s="397"/>
      <c r="E1379" s="26"/>
      <c r="F1379" s="395"/>
      <c r="G1379" s="397"/>
      <c r="H1379" s="395"/>
      <c r="I1379" s="1856"/>
      <c r="J1379" s="396"/>
      <c r="K1379" s="397"/>
      <c r="L1379" s="395"/>
      <c r="M1379" s="396"/>
      <c r="N1379" s="396"/>
      <c r="O1379" s="396"/>
      <c r="P1379" s="2020"/>
      <c r="Q1379" s="142"/>
      <c r="R1379" s="142"/>
    </row>
    <row r="1380" spans="1:18" s="251" customFormat="1" ht="15.6">
      <c r="A1380" s="38" t="s">
        <v>46</v>
      </c>
      <c r="B1380" s="2025" t="s">
        <v>280</v>
      </c>
      <c r="C1380" s="2026"/>
      <c r="D1380" s="2027"/>
      <c r="E1380" s="26">
        <f>+L1360</f>
        <v>30.850560000000002</v>
      </c>
      <c r="F1380" s="2025">
        <v>8.5</v>
      </c>
      <c r="G1380" s="2027"/>
      <c r="H1380" s="2054" t="s">
        <v>281</v>
      </c>
      <c r="I1380" s="2054"/>
      <c r="J1380" s="2054"/>
      <c r="K1380" s="2054"/>
      <c r="L1380" s="2026" t="s">
        <v>253</v>
      </c>
      <c r="M1380" s="2026"/>
      <c r="N1380" s="2026"/>
      <c r="O1380" s="2026"/>
      <c r="P1380" s="2020"/>
      <c r="Q1380" s="142"/>
      <c r="R1380" s="142"/>
    </row>
    <row r="1381" spans="1:18" ht="15.6">
      <c r="A1381" s="38"/>
      <c r="B1381" s="2025"/>
      <c r="C1381" s="2026"/>
      <c r="D1381" s="2027"/>
      <c r="E1381" s="26"/>
      <c r="F1381" s="2025"/>
      <c r="G1381" s="2027"/>
      <c r="H1381" s="2025"/>
      <c r="I1381" s="2026"/>
      <c r="J1381" s="2026"/>
      <c r="K1381" s="2027"/>
      <c r="L1381" s="2025"/>
      <c r="M1381" s="2026"/>
      <c r="N1381" s="2026"/>
      <c r="O1381" s="2026"/>
      <c r="P1381" s="2020"/>
      <c r="Q1381" s="142"/>
      <c r="R1381" s="142"/>
    </row>
    <row r="1382" spans="1:18" ht="16.2" thickBot="1">
      <c r="A1382" s="38"/>
      <c r="B1382" s="225"/>
      <c r="C1382" s="226"/>
      <c r="D1382" s="226"/>
      <c r="E1382" s="26"/>
      <c r="F1382" s="226"/>
      <c r="G1382" s="227"/>
      <c r="H1382" s="225"/>
      <c r="I1382" s="1856"/>
      <c r="J1382" s="226"/>
      <c r="K1382" s="204"/>
      <c r="L1382" s="39"/>
      <c r="M1382" s="40"/>
      <c r="N1382" s="40"/>
      <c r="O1382" s="40"/>
      <c r="P1382" s="2020"/>
      <c r="Q1382" s="142"/>
      <c r="R1382" s="142"/>
    </row>
    <row r="1383" spans="1:18" ht="15.6">
      <c r="A1383" s="41"/>
      <c r="B1383" s="42"/>
      <c r="C1383" s="43"/>
      <c r="D1383" s="43"/>
      <c r="E1383" s="2028">
        <f>SUM(E1373:E1382)</f>
        <v>135.95595700000001</v>
      </c>
      <c r="F1383" s="44"/>
      <c r="G1383" s="45"/>
      <c r="H1383" s="46"/>
      <c r="I1383" s="1858"/>
      <c r="J1383" s="43"/>
      <c r="K1383" s="205"/>
      <c r="L1383" s="46"/>
      <c r="M1383" s="43"/>
      <c r="N1383" s="44"/>
      <c r="O1383" s="43"/>
      <c r="P1383" s="2020"/>
      <c r="Q1383" s="142"/>
      <c r="R1383" s="142"/>
    </row>
    <row r="1384" spans="1:18" ht="16.2" thickBot="1">
      <c r="A1384" s="47"/>
      <c r="B1384" s="48"/>
      <c r="C1384" s="49"/>
      <c r="D1384" s="49"/>
      <c r="E1384" s="2029"/>
      <c r="F1384" s="50"/>
      <c r="G1384" s="51"/>
      <c r="H1384" s="52"/>
      <c r="I1384" s="1860"/>
      <c r="J1384" s="49"/>
      <c r="K1384" s="206"/>
      <c r="L1384" s="52"/>
      <c r="M1384" s="49"/>
      <c r="N1384" s="50"/>
      <c r="O1384" s="49"/>
      <c r="P1384" s="2020"/>
      <c r="Q1384" s="142"/>
      <c r="R1384" s="142"/>
    </row>
    <row r="1385" spans="1:18" ht="15.6">
      <c r="A1385" s="53" t="s">
        <v>31</v>
      </c>
      <c r="B1385" s="43"/>
      <c r="C1385" s="43"/>
      <c r="D1385" s="43"/>
      <c r="E1385" s="43"/>
      <c r="F1385" s="44"/>
      <c r="G1385" s="43"/>
      <c r="H1385" s="44"/>
      <c r="I1385" s="1858"/>
      <c r="J1385" s="43"/>
      <c r="K1385" s="207"/>
      <c r="L1385" s="44"/>
      <c r="M1385" s="43"/>
      <c r="N1385" s="44"/>
      <c r="O1385" s="43"/>
      <c r="P1385" s="2020"/>
      <c r="Q1385" s="142"/>
      <c r="R1385" s="142"/>
    </row>
    <row r="1386" spans="1:18" ht="15.6">
      <c r="A1386" s="54"/>
      <c r="B1386" s="55"/>
      <c r="C1386" s="55"/>
      <c r="D1386" s="55"/>
      <c r="E1386" s="55"/>
      <c r="F1386" s="222"/>
      <c r="G1386" s="55"/>
      <c r="H1386" s="222"/>
      <c r="I1386" s="1859"/>
      <c r="J1386" s="55"/>
      <c r="K1386" s="208"/>
      <c r="L1386" s="283"/>
      <c r="M1386" s="55"/>
      <c r="N1386" s="222"/>
      <c r="O1386" s="55"/>
      <c r="P1386" s="2020"/>
      <c r="Q1386" s="142"/>
      <c r="R1386" s="142"/>
    </row>
    <row r="1387" spans="1:18" ht="16.2" thickBot="1">
      <c r="A1387" s="2030" t="s">
        <v>32</v>
      </c>
      <c r="B1387" s="2031"/>
      <c r="C1387" s="2032" t="s">
        <v>33</v>
      </c>
      <c r="D1387" s="2033"/>
      <c r="E1387" s="57" t="s">
        <v>34</v>
      </c>
      <c r="F1387" s="57" t="s">
        <v>35</v>
      </c>
      <c r="G1387" s="2034" t="s">
        <v>36</v>
      </c>
      <c r="H1387" s="2035"/>
      <c r="I1387" s="2035"/>
      <c r="J1387" s="2035"/>
      <c r="K1387" s="2035"/>
      <c r="L1387" s="2035"/>
      <c r="M1387" s="2035"/>
      <c r="N1387" s="2035"/>
      <c r="O1387" s="2035"/>
      <c r="P1387" s="2020"/>
      <c r="Q1387" s="142"/>
      <c r="R1387" s="142"/>
    </row>
    <row r="1388" spans="1:18" ht="15.6">
      <c r="A1388" s="2036"/>
      <c r="B1388" s="2023"/>
      <c r="C1388" s="2021"/>
      <c r="D1388" s="2023"/>
      <c r="E1388" s="228"/>
      <c r="F1388" s="223"/>
      <c r="G1388" s="2037"/>
      <c r="H1388" s="2038"/>
      <c r="I1388" s="2038"/>
      <c r="J1388" s="2038"/>
      <c r="K1388" s="2038"/>
      <c r="L1388" s="2038"/>
      <c r="M1388" s="2038"/>
      <c r="N1388" s="2038"/>
      <c r="O1388" s="2038"/>
      <c r="P1388" s="2020"/>
      <c r="Q1388" s="142"/>
      <c r="R1388" s="142"/>
    </row>
    <row r="1389" spans="1:18" ht="15.6">
      <c r="A1389" s="2043" t="s">
        <v>37</v>
      </c>
      <c r="B1389" s="2044"/>
      <c r="C1389" s="2021"/>
      <c r="D1389" s="2023"/>
      <c r="E1389" s="228"/>
      <c r="F1389" s="223"/>
      <c r="G1389" s="2039"/>
      <c r="H1389" s="2040"/>
      <c r="I1389" s="2040"/>
      <c r="J1389" s="2040"/>
      <c r="K1389" s="2040"/>
      <c r="L1389" s="2040"/>
      <c r="M1389" s="2040"/>
      <c r="N1389" s="2040"/>
      <c r="O1389" s="2040"/>
      <c r="P1389" s="2020"/>
      <c r="Q1389" s="142"/>
      <c r="R1389" s="142"/>
    </row>
    <row r="1390" spans="1:18" ht="15.6">
      <c r="A1390" s="2043" t="s">
        <v>38</v>
      </c>
      <c r="B1390" s="2044"/>
      <c r="C1390" s="2021"/>
      <c r="D1390" s="2023"/>
      <c r="E1390" s="228"/>
      <c r="F1390" s="223"/>
      <c r="G1390" s="2039"/>
      <c r="H1390" s="2040"/>
      <c r="I1390" s="2040"/>
      <c r="J1390" s="2040"/>
      <c r="K1390" s="2040"/>
      <c r="L1390" s="2040"/>
      <c r="M1390" s="2040"/>
      <c r="N1390" s="2040"/>
      <c r="O1390" s="2040"/>
      <c r="P1390" s="2020"/>
      <c r="Q1390" s="142"/>
      <c r="R1390" s="142"/>
    </row>
    <row r="1391" spans="1:18" ht="15.6">
      <c r="A1391" s="2043" t="s">
        <v>39</v>
      </c>
      <c r="B1391" s="2044"/>
      <c r="C1391" s="2021"/>
      <c r="D1391" s="2023"/>
      <c r="E1391" s="228"/>
      <c r="F1391" s="223"/>
      <c r="G1391" s="2039"/>
      <c r="H1391" s="2040"/>
      <c r="I1391" s="2040"/>
      <c r="J1391" s="2040"/>
      <c r="K1391" s="2040"/>
      <c r="L1391" s="2040"/>
      <c r="M1391" s="2040"/>
      <c r="N1391" s="2040"/>
      <c r="O1391" s="2040"/>
      <c r="P1391" s="2020"/>
      <c r="Q1391" s="142"/>
      <c r="R1391" s="142"/>
    </row>
    <row r="1392" spans="1:18" ht="15.6">
      <c r="A1392" s="2043" t="s">
        <v>40</v>
      </c>
      <c r="B1392" s="2044"/>
      <c r="C1392" s="2021"/>
      <c r="D1392" s="2023"/>
      <c r="E1392" s="228"/>
      <c r="F1392" s="223"/>
      <c r="G1392" s="2039"/>
      <c r="H1392" s="2040"/>
      <c r="I1392" s="2040"/>
      <c r="J1392" s="2040"/>
      <c r="K1392" s="2040"/>
      <c r="L1392" s="2040"/>
      <c r="M1392" s="2040"/>
      <c r="N1392" s="2040"/>
      <c r="O1392" s="2040"/>
      <c r="P1392" s="2020"/>
      <c r="Q1392" s="142"/>
      <c r="R1392" s="142"/>
    </row>
    <row r="1393" spans="1:20" ht="16.2" thickBot="1">
      <c r="A1393" s="2049" t="s">
        <v>41</v>
      </c>
      <c r="B1393" s="2050"/>
      <c r="C1393" s="2051"/>
      <c r="D1393" s="2052"/>
      <c r="E1393" s="58"/>
      <c r="F1393" s="224"/>
      <c r="G1393" s="2041"/>
      <c r="H1393" s="2042"/>
      <c r="I1393" s="2042"/>
      <c r="J1393" s="2042"/>
      <c r="K1393" s="2042"/>
      <c r="L1393" s="2042"/>
      <c r="M1393" s="2042"/>
      <c r="N1393" s="2042"/>
      <c r="O1393" s="2042"/>
      <c r="P1393" s="2020"/>
      <c r="Q1393" s="142"/>
      <c r="R1393" s="142"/>
    </row>
    <row r="1394" spans="1:20" ht="15.6">
      <c r="A1394" s="54"/>
      <c r="B1394" s="55"/>
      <c r="C1394" s="55"/>
      <c r="D1394" s="55"/>
      <c r="E1394" s="55"/>
      <c r="F1394" s="222"/>
      <c r="G1394" s="55"/>
      <c r="H1394" s="59"/>
      <c r="I1394" s="60"/>
      <c r="J1394" s="61"/>
      <c r="K1394" s="209"/>
      <c r="L1394" s="301"/>
      <c r="M1394" s="55"/>
      <c r="N1394" s="222"/>
      <c r="O1394" s="55"/>
      <c r="P1394" s="2020"/>
      <c r="Q1394" s="142"/>
      <c r="R1394" s="142"/>
    </row>
    <row r="1395" spans="1:20" ht="15.6">
      <c r="A1395" s="62" t="s">
        <v>42</v>
      </c>
      <c r="B1395" s="56"/>
      <c r="C1395" s="55"/>
      <c r="D1395" s="55"/>
      <c r="E1395" s="55"/>
      <c r="F1395" s="222"/>
      <c r="G1395" s="56"/>
      <c r="H1395" s="59"/>
      <c r="I1395" s="60"/>
      <c r="J1395" s="61"/>
      <c r="K1395" s="208"/>
      <c r="L1395" s="302"/>
      <c r="M1395" s="55"/>
      <c r="N1395" s="2045" t="s">
        <v>43</v>
      </c>
      <c r="O1395" s="2045"/>
      <c r="P1395" s="2020"/>
      <c r="Q1395" s="142"/>
      <c r="R1395" s="142"/>
    </row>
    <row r="1396" spans="1:20" ht="15.6">
      <c r="A1396" s="62"/>
      <c r="B1396" s="56"/>
      <c r="C1396" s="55"/>
      <c r="D1396" s="55"/>
      <c r="E1396" s="55"/>
      <c r="F1396" s="222"/>
      <c r="G1396" s="55"/>
      <c r="H1396" s="222"/>
      <c r="I1396" s="1859"/>
      <c r="J1396" s="55"/>
      <c r="K1396" s="208"/>
      <c r="L1396" s="283"/>
      <c r="M1396" s="55"/>
      <c r="N1396" s="222"/>
      <c r="O1396" s="56"/>
      <c r="P1396" s="2020"/>
      <c r="Q1396" s="142"/>
      <c r="R1396" s="142"/>
    </row>
    <row r="1397" spans="1:20" ht="15.6">
      <c r="A1397" s="62" t="s">
        <v>44</v>
      </c>
      <c r="B1397" s="56"/>
      <c r="C1397" s="55"/>
      <c r="D1397" s="55"/>
      <c r="E1397" s="55"/>
      <c r="F1397" s="222"/>
      <c r="G1397" s="55"/>
      <c r="H1397" s="222"/>
      <c r="I1397" s="1859"/>
      <c r="J1397" s="55"/>
      <c r="K1397" s="208"/>
      <c r="L1397" s="283"/>
      <c r="M1397" s="55"/>
      <c r="N1397" s="2045" t="s">
        <v>45</v>
      </c>
      <c r="O1397" s="2045"/>
      <c r="P1397" s="2020"/>
      <c r="Q1397" s="142"/>
      <c r="R1397" s="142"/>
    </row>
    <row r="1398" spans="1:20" ht="16.2" thickBot="1">
      <c r="A1398" s="48"/>
      <c r="B1398" s="49"/>
      <c r="C1398" s="49"/>
      <c r="D1398" s="49"/>
      <c r="E1398" s="49"/>
      <c r="F1398" s="50"/>
      <c r="G1398" s="49"/>
      <c r="H1398" s="50"/>
      <c r="I1398" s="1860"/>
      <c r="J1398" s="49"/>
      <c r="K1398" s="210"/>
      <c r="L1398" s="50"/>
      <c r="M1398" s="49"/>
      <c r="N1398" s="50"/>
      <c r="O1398" s="49"/>
      <c r="P1398" s="2020"/>
      <c r="Q1398" s="142"/>
      <c r="R1398" s="142"/>
    </row>
    <row r="1400" spans="1:20" s="251" customFormat="1">
      <c r="A1400" s="1" t="s">
        <v>48</v>
      </c>
      <c r="B1400" s="1"/>
      <c r="C1400" s="2"/>
      <c r="D1400" s="2"/>
      <c r="E1400" s="2"/>
      <c r="F1400" s="3"/>
      <c r="G1400" s="2"/>
      <c r="H1400" s="2"/>
      <c r="I1400" s="4"/>
      <c r="J1400" s="5"/>
      <c r="K1400" s="196"/>
      <c r="L1400" s="2056" t="s">
        <v>0</v>
      </c>
      <c r="M1400" s="2056"/>
      <c r="N1400" s="2056"/>
      <c r="O1400" s="2056"/>
      <c r="P1400" s="64"/>
      <c r="Q1400" s="64"/>
      <c r="R1400" s="64"/>
    </row>
    <row r="1401" spans="1:20" s="251" customFormat="1" ht="15.6">
      <c r="A1401" s="27" t="s">
        <v>1</v>
      </c>
      <c r="B1401" s="27"/>
      <c r="C1401" s="27"/>
      <c r="D1401" s="28" t="s">
        <v>2</v>
      </c>
      <c r="E1401" s="28"/>
      <c r="F1401" s="29"/>
      <c r="G1401" s="29"/>
      <c r="H1401" s="29"/>
      <c r="I1401" s="30"/>
      <c r="J1401" s="31"/>
      <c r="K1401" s="197" t="s">
        <v>3</v>
      </c>
      <c r="L1401" s="31"/>
      <c r="M1401" s="27"/>
      <c r="N1401" s="29"/>
      <c r="O1401" s="27"/>
      <c r="P1401" s="67"/>
      <c r="Q1401" s="1039"/>
      <c r="R1401" s="1039"/>
    </row>
    <row r="1402" spans="1:20" s="251" customFormat="1" ht="31.2">
      <c r="A1402" s="32" t="s">
        <v>4</v>
      </c>
      <c r="B1402" s="32" t="s">
        <v>5</v>
      </c>
      <c r="C1402" s="32" t="s">
        <v>6</v>
      </c>
      <c r="D1402" s="32" t="s">
        <v>7</v>
      </c>
      <c r="E1402" s="32" t="s">
        <v>8</v>
      </c>
      <c r="F1402" s="33" t="s">
        <v>9</v>
      </c>
      <c r="G1402" s="34" t="s">
        <v>10</v>
      </c>
      <c r="H1402" s="34" t="s">
        <v>11</v>
      </c>
      <c r="I1402" s="35" t="s">
        <v>12</v>
      </c>
      <c r="J1402" s="36" t="s">
        <v>13</v>
      </c>
      <c r="K1402" s="198" t="s">
        <v>14</v>
      </c>
      <c r="L1402" s="297" t="s">
        <v>15</v>
      </c>
      <c r="M1402" s="33" t="s">
        <v>16</v>
      </c>
      <c r="N1402" s="33" t="s">
        <v>17</v>
      </c>
      <c r="O1402" s="34" t="s">
        <v>18</v>
      </c>
      <c r="P1402" s="8" t="s">
        <v>192</v>
      </c>
      <c r="Q1402" s="1040"/>
      <c r="R1402" s="1040"/>
    </row>
    <row r="1403" spans="1:20" s="251" customFormat="1">
      <c r="A1403" s="18"/>
      <c r="B1403" s="18"/>
      <c r="C1403" s="18"/>
      <c r="D1403" s="18"/>
      <c r="E1403" s="18"/>
      <c r="F1403" s="18"/>
      <c r="G1403" s="18"/>
      <c r="H1403" s="18"/>
      <c r="I1403" s="152"/>
      <c r="J1403" s="18"/>
      <c r="K1403" s="199"/>
      <c r="L1403" s="152"/>
      <c r="M1403" s="18"/>
      <c r="N1403" s="18"/>
      <c r="O1403" s="18"/>
      <c r="P1403" s="18"/>
      <c r="Q1403" s="1041"/>
      <c r="R1403" s="1041"/>
      <c r="S1403" s="150" t="s">
        <v>291</v>
      </c>
    </row>
    <row r="1404" spans="1:20" s="251" customFormat="1" ht="15.6">
      <c r="A1404" s="6" t="s">
        <v>83</v>
      </c>
      <c r="B1404" s="6" t="s">
        <v>239</v>
      </c>
      <c r="C1404" s="6" t="s">
        <v>19</v>
      </c>
      <c r="D1404" s="6" t="s">
        <v>20</v>
      </c>
      <c r="E1404" s="6" t="s">
        <v>47</v>
      </c>
      <c r="F1404" s="7">
        <v>12</v>
      </c>
      <c r="G1404" s="18" t="s">
        <v>21</v>
      </c>
      <c r="H1404" s="319" t="s">
        <v>98</v>
      </c>
      <c r="I1404" s="257">
        <v>11.8</v>
      </c>
      <c r="J1404" s="77">
        <v>10.1</v>
      </c>
      <c r="K1404" s="81">
        <v>104</v>
      </c>
      <c r="L1404" s="151">
        <f>(I1404*J1404*K1404/1000)</f>
        <v>12.394720000000001</v>
      </c>
      <c r="M1404" s="319">
        <v>19</v>
      </c>
      <c r="N1404" s="23">
        <f>J1404*M1404*I1404/1000</f>
        <v>2.2644199999999999</v>
      </c>
      <c r="O1404" s="18"/>
      <c r="P1404" s="18"/>
      <c r="Q1404" s="1041"/>
      <c r="R1404" s="1041"/>
      <c r="S1404" s="251">
        <f>26+12+1+20+10+3</f>
        <v>72</v>
      </c>
      <c r="T1404" s="126">
        <f>J1404*S1404*I1404/1000</f>
        <v>8.5809599999999993</v>
      </c>
    </row>
    <row r="1405" spans="1:20" s="251" customFormat="1">
      <c r="A1405" s="18"/>
      <c r="B1405" s="6" t="s">
        <v>238</v>
      </c>
      <c r="C1405" s="18"/>
      <c r="D1405" s="18"/>
      <c r="E1405" s="18"/>
      <c r="F1405" s="18"/>
      <c r="G1405" s="18"/>
      <c r="H1405" s="18"/>
      <c r="I1405" s="257"/>
      <c r="J1405" s="77"/>
      <c r="K1405" s="81">
        <f t="shared" ref="K1405:M1405" si="286">SUM(K1404)</f>
        <v>104</v>
      </c>
      <c r="L1405" s="129">
        <f>SUM(L1404)</f>
        <v>12.394720000000001</v>
      </c>
      <c r="M1405" s="81">
        <f t="shared" si="286"/>
        <v>19</v>
      </c>
      <c r="N1405" s="77">
        <f>SUM(N1404)</f>
        <v>2.2644199999999999</v>
      </c>
      <c r="O1405" s="18"/>
      <c r="P1405" s="18"/>
      <c r="Q1405" s="18"/>
      <c r="R1405" s="18"/>
      <c r="S1405" s="81">
        <f t="shared" ref="S1405" si="287">SUM(S1404)</f>
        <v>72</v>
      </c>
      <c r="T1405" s="77">
        <f>SUM(T1404)</f>
        <v>8.5809599999999993</v>
      </c>
    </row>
    <row r="1406" spans="1:20" s="251" customFormat="1">
      <c r="A1406" s="18"/>
      <c r="B1406" s="6"/>
      <c r="C1406" s="18"/>
      <c r="D1406" s="18"/>
      <c r="E1406" s="18"/>
      <c r="F1406" s="18"/>
      <c r="G1406" s="18"/>
      <c r="H1406" s="18"/>
      <c r="I1406" s="257"/>
      <c r="J1406" s="77"/>
      <c r="K1406" s="81"/>
      <c r="L1406" s="129"/>
      <c r="M1406" s="18"/>
      <c r="N1406" s="18"/>
      <c r="O1406" s="18"/>
      <c r="P1406" s="18"/>
      <c r="Q1406" s="1041"/>
      <c r="R1406" s="1041"/>
    </row>
    <row r="1407" spans="1:20" s="251" customFormat="1">
      <c r="A1407" s="18"/>
      <c r="B1407" s="6"/>
      <c r="C1407" s="18"/>
      <c r="D1407" s="18"/>
      <c r="E1407" s="18"/>
      <c r="F1407" s="18"/>
      <c r="G1407" s="18"/>
      <c r="H1407" s="18"/>
      <c r="I1407" s="257"/>
      <c r="J1407" s="77"/>
      <c r="K1407" s="81"/>
      <c r="L1407" s="129"/>
      <c r="M1407" s="18"/>
      <c r="N1407" s="18"/>
      <c r="O1407" s="18"/>
      <c r="P1407" s="18"/>
      <c r="Q1407" s="1041"/>
      <c r="R1407" s="1041"/>
    </row>
    <row r="1408" spans="1:20" s="251" customFormat="1">
      <c r="A1408" s="6" t="s">
        <v>83</v>
      </c>
      <c r="B1408" s="6" t="s">
        <v>239</v>
      </c>
      <c r="C1408" s="6" t="s">
        <v>19</v>
      </c>
      <c r="D1408" s="6" t="s">
        <v>20</v>
      </c>
      <c r="E1408" s="6" t="s">
        <v>47</v>
      </c>
      <c r="F1408" s="7">
        <v>12</v>
      </c>
      <c r="G1408" s="18" t="s">
        <v>21</v>
      </c>
      <c r="H1408" s="319" t="s">
        <v>95</v>
      </c>
      <c r="I1408" s="257">
        <v>13.4</v>
      </c>
      <c r="J1408" s="77">
        <v>8.3000000000000007</v>
      </c>
      <c r="K1408" s="81">
        <v>16</v>
      </c>
      <c r="L1408" s="151">
        <f>(I1408*J1408*K1408/1000)</f>
        <v>1.7795200000000002</v>
      </c>
      <c r="M1408" s="18"/>
      <c r="N1408" s="18"/>
      <c r="O1408" s="18"/>
      <c r="P1408" s="18"/>
      <c r="Q1408" s="1041"/>
      <c r="R1408" s="1041"/>
      <c r="S1408" s="150" t="s">
        <v>291</v>
      </c>
    </row>
    <row r="1409" spans="1:20" s="251" customFormat="1">
      <c r="A1409" s="18"/>
      <c r="B1409" s="6" t="s">
        <v>238</v>
      </c>
      <c r="C1409" s="18"/>
      <c r="D1409" s="18"/>
      <c r="E1409" s="18"/>
      <c r="F1409" s="18"/>
      <c r="G1409" s="18" t="s">
        <v>21</v>
      </c>
      <c r="H1409" s="18" t="s">
        <v>95</v>
      </c>
      <c r="I1409" s="257">
        <v>13.4</v>
      </c>
      <c r="J1409" s="77">
        <v>11</v>
      </c>
      <c r="K1409" s="81">
        <v>208</v>
      </c>
      <c r="L1409" s="151">
        <f>(I1409*J1409*K1409/1000)</f>
        <v>30.659200000000002</v>
      </c>
      <c r="M1409" s="18"/>
      <c r="N1409" s="18"/>
      <c r="O1409" s="18"/>
      <c r="P1409" s="18"/>
      <c r="Q1409" s="1041"/>
      <c r="R1409" s="1041"/>
      <c r="S1409" s="251">
        <v>12</v>
      </c>
      <c r="T1409" s="126">
        <f>J1409*S1409*I1409/1000</f>
        <v>1.7687999999999999</v>
      </c>
    </row>
    <row r="1410" spans="1:20" s="251" customFormat="1">
      <c r="A1410" s="18"/>
      <c r="B1410" s="18"/>
      <c r="C1410" s="18"/>
      <c r="D1410" s="18"/>
      <c r="E1410" s="18"/>
      <c r="F1410" s="18"/>
      <c r="G1410" s="18" t="s">
        <v>21</v>
      </c>
      <c r="H1410" s="18" t="s">
        <v>95</v>
      </c>
      <c r="I1410" s="257">
        <v>13.4</v>
      </c>
      <c r="J1410" s="77">
        <v>12</v>
      </c>
      <c r="K1410" s="81">
        <v>1</v>
      </c>
      <c r="L1410" s="151">
        <f>(I1410*J1410*K1410/1000)</f>
        <v>0.1608</v>
      </c>
      <c r="M1410" s="18"/>
      <c r="N1410" s="18"/>
      <c r="O1410" s="18"/>
      <c r="P1410" s="18"/>
      <c r="Q1410" s="1041"/>
      <c r="R1410" s="1041"/>
    </row>
    <row r="1411" spans="1:20" s="251" customFormat="1">
      <c r="A1411" s="18"/>
      <c r="B1411" s="18"/>
      <c r="C1411" s="18"/>
      <c r="D1411" s="18"/>
      <c r="E1411" s="18"/>
      <c r="F1411" s="18"/>
      <c r="G1411" s="18"/>
      <c r="H1411" s="18"/>
      <c r="I1411" s="257"/>
      <c r="J1411" s="77"/>
      <c r="K1411" s="81">
        <f>SUM(K1408:K1410)</f>
        <v>225</v>
      </c>
      <c r="L1411" s="129">
        <f>SUM(L1408:L1410)</f>
        <v>32.599520000000005</v>
      </c>
      <c r="M1411" s="18"/>
      <c r="N1411" s="18"/>
      <c r="O1411" s="18"/>
      <c r="P1411" s="18"/>
      <c r="Q1411" s="18"/>
      <c r="R1411" s="18"/>
      <c r="S1411" s="81">
        <f>SUM(S1408:S1410)</f>
        <v>12</v>
      </c>
      <c r="T1411" s="129">
        <f>SUM(T1408:T1410)</f>
        <v>1.7687999999999999</v>
      </c>
    </row>
    <row r="1412" spans="1:20" s="251" customFormat="1">
      <c r="A1412" s="18"/>
      <c r="B1412" s="18"/>
      <c r="C1412" s="18"/>
      <c r="D1412" s="18"/>
      <c r="E1412" s="18"/>
      <c r="F1412" s="18"/>
      <c r="G1412" s="18"/>
      <c r="H1412" s="18"/>
      <c r="I1412" s="152"/>
      <c r="J1412" s="18"/>
      <c r="K1412" s="199"/>
      <c r="L1412" s="129"/>
      <c r="M1412" s="18"/>
      <c r="N1412" s="18"/>
      <c r="O1412" s="18"/>
      <c r="P1412" s="18"/>
      <c r="Q1412" s="1041"/>
      <c r="R1412" s="1041"/>
    </row>
    <row r="1413" spans="1:20" s="251" customFormat="1" ht="15.6">
      <c r="A1413" s="6" t="s">
        <v>83</v>
      </c>
      <c r="B1413" s="6" t="s">
        <v>222</v>
      </c>
      <c r="C1413" s="6" t="s">
        <v>19</v>
      </c>
      <c r="D1413" s="6" t="s">
        <v>20</v>
      </c>
      <c r="E1413" s="6" t="s">
        <v>57</v>
      </c>
      <c r="F1413" s="7">
        <v>12</v>
      </c>
      <c r="G1413" s="18" t="s">
        <v>21</v>
      </c>
      <c r="H1413" s="319" t="s">
        <v>95</v>
      </c>
      <c r="I1413" s="257">
        <v>13.4</v>
      </c>
      <c r="J1413" s="77">
        <v>6.7</v>
      </c>
      <c r="K1413" s="81">
        <v>30</v>
      </c>
      <c r="L1413" s="151">
        <f>(I1413*J1413*K1413/1000)</f>
        <v>2.6934</v>
      </c>
      <c r="M1413" s="18"/>
      <c r="N1413" s="23">
        <f t="shared" ref="N1413:N1416" si="288">J1413*M1413*I1413/1000</f>
        <v>0</v>
      </c>
      <c r="O1413" s="18"/>
      <c r="P1413" s="18"/>
      <c r="Q1413" s="1041"/>
      <c r="R1413" s="1041"/>
      <c r="S1413" s="150" t="s">
        <v>291</v>
      </c>
    </row>
    <row r="1414" spans="1:20" s="251" customFormat="1" ht="15.6">
      <c r="A1414" s="18"/>
      <c r="B1414" s="6" t="s">
        <v>204</v>
      </c>
      <c r="C1414" s="18"/>
      <c r="D1414" s="18"/>
      <c r="E1414" s="18"/>
      <c r="F1414" s="18"/>
      <c r="G1414" s="18" t="s">
        <v>21</v>
      </c>
      <c r="H1414" s="18" t="s">
        <v>95</v>
      </c>
      <c r="I1414" s="257">
        <v>13.4</v>
      </c>
      <c r="J1414" s="77">
        <v>7.8</v>
      </c>
      <c r="K1414" s="81">
        <v>28</v>
      </c>
      <c r="L1414" s="151">
        <f>(I1414*J1414*K1414/1000)</f>
        <v>2.9265599999999998</v>
      </c>
      <c r="M1414" s="18">
        <v>2</v>
      </c>
      <c r="N1414" s="23">
        <f t="shared" si="288"/>
        <v>0.20904</v>
      </c>
      <c r="O1414" s="18"/>
      <c r="P1414" s="18"/>
      <c r="Q1414" s="1041"/>
      <c r="R1414" s="1041"/>
    </row>
    <row r="1415" spans="1:20" s="251" customFormat="1" ht="15.6">
      <c r="A1415" s="18"/>
      <c r="B1415" s="18"/>
      <c r="C1415" s="18"/>
      <c r="D1415" s="18"/>
      <c r="E1415" s="18"/>
      <c r="F1415" s="18"/>
      <c r="G1415" s="18" t="s">
        <v>21</v>
      </c>
      <c r="H1415" s="18" t="s">
        <v>95</v>
      </c>
      <c r="I1415" s="257">
        <v>13.4</v>
      </c>
      <c r="J1415" s="77">
        <v>10.3</v>
      </c>
      <c r="K1415" s="81">
        <v>18</v>
      </c>
      <c r="L1415" s="151">
        <f>(I1415*J1415*K1415/1000)</f>
        <v>2.4843600000000001</v>
      </c>
      <c r="M1415" s="98"/>
      <c r="N1415" s="23">
        <f t="shared" si="288"/>
        <v>0</v>
      </c>
      <c r="O1415" s="18"/>
      <c r="P1415" s="18"/>
      <c r="Q1415" s="1041"/>
      <c r="R1415" s="1041"/>
      <c r="S1415" s="251">
        <v>2</v>
      </c>
    </row>
    <row r="1416" spans="1:20" s="251" customFormat="1" ht="15.6">
      <c r="A1416" s="18"/>
      <c r="B1416" s="18"/>
      <c r="C1416" s="18"/>
      <c r="D1416" s="18"/>
      <c r="E1416" s="18"/>
      <c r="F1416" s="18"/>
      <c r="G1416" s="18" t="s">
        <v>21</v>
      </c>
      <c r="H1416" s="18" t="s">
        <v>95</v>
      </c>
      <c r="I1416" s="257">
        <v>13.4</v>
      </c>
      <c r="J1416" s="77">
        <v>11.3</v>
      </c>
      <c r="K1416" s="81">
        <v>36</v>
      </c>
      <c r="L1416" s="151">
        <f>(I1416*J1416*K1416/1000)</f>
        <v>5.4511200000000004</v>
      </c>
      <c r="M1416" s="18"/>
      <c r="N1416" s="23">
        <f t="shared" si="288"/>
        <v>0</v>
      </c>
      <c r="O1416" s="18"/>
      <c r="P1416" s="18"/>
      <c r="Q1416" s="1041"/>
      <c r="R1416" s="1041"/>
    </row>
    <row r="1417" spans="1:20" s="251" customFormat="1">
      <c r="A1417" s="18"/>
      <c r="B1417" s="18"/>
      <c r="C1417" s="18"/>
      <c r="D1417" s="18"/>
      <c r="E1417" s="18"/>
      <c r="F1417" s="18"/>
      <c r="G1417" s="18"/>
      <c r="H1417" s="18"/>
      <c r="I1417" s="257"/>
      <c r="J1417" s="77"/>
      <c r="K1417" s="81">
        <f t="shared" ref="K1417:M1417" si="289">SUM(K1413:K1416)</f>
        <v>112</v>
      </c>
      <c r="L1417" s="129">
        <f>SUM(L1413:L1416)</f>
        <v>13.555440000000001</v>
      </c>
      <c r="M1417" s="81">
        <f t="shared" si="289"/>
        <v>2</v>
      </c>
      <c r="N1417" s="77">
        <f>SUM(N1413:N1416)</f>
        <v>0.20904</v>
      </c>
      <c r="O1417" s="18"/>
      <c r="P1417" s="18"/>
      <c r="Q1417" s="1041"/>
      <c r="R1417" s="1041"/>
    </row>
    <row r="1418" spans="1:20" s="251" customFormat="1">
      <c r="A1418" s="18"/>
      <c r="B1418" s="18"/>
      <c r="C1418" s="18"/>
      <c r="D1418" s="18"/>
      <c r="E1418" s="18"/>
      <c r="F1418" s="18"/>
      <c r="G1418" s="18"/>
      <c r="H1418" s="18"/>
      <c r="I1418" s="152"/>
      <c r="J1418" s="18"/>
      <c r="K1418" s="199"/>
      <c r="L1418" s="129"/>
      <c r="M1418" s="18"/>
      <c r="N1418" s="18"/>
      <c r="O1418" s="18"/>
      <c r="P1418" s="18"/>
      <c r="Q1418" s="1041"/>
      <c r="R1418" s="1041"/>
      <c r="S1418" s="150" t="s">
        <v>291</v>
      </c>
    </row>
    <row r="1419" spans="1:20" s="251" customFormat="1">
      <c r="A1419" s="6" t="s">
        <v>174</v>
      </c>
      <c r="B1419" s="6" t="s">
        <v>223</v>
      </c>
      <c r="C1419" s="6" t="s">
        <v>19</v>
      </c>
      <c r="D1419" s="6" t="s">
        <v>20</v>
      </c>
      <c r="E1419" s="6" t="s">
        <v>57</v>
      </c>
      <c r="F1419" s="7">
        <v>12</v>
      </c>
      <c r="G1419" s="18" t="s">
        <v>21</v>
      </c>
      <c r="H1419" s="319" t="s">
        <v>95</v>
      </c>
      <c r="I1419" s="257">
        <v>13.4</v>
      </c>
      <c r="J1419" s="77">
        <v>10</v>
      </c>
      <c r="K1419" s="81">
        <v>25</v>
      </c>
      <c r="L1419" s="151">
        <f>(I1419*J1419*K1419/1000)</f>
        <v>3.35</v>
      </c>
      <c r="M1419" s="18"/>
      <c r="N1419" s="18"/>
      <c r="O1419" s="18"/>
      <c r="P1419" s="18"/>
      <c r="Q1419" s="1041"/>
      <c r="R1419" s="1041"/>
      <c r="S1419" s="251">
        <v>1</v>
      </c>
      <c r="T1419" s="126">
        <f>J1419*S1419*I1419/1000</f>
        <v>0.13400000000000001</v>
      </c>
    </row>
    <row r="1420" spans="1:20" s="251" customFormat="1">
      <c r="A1420" s="18"/>
      <c r="B1420" s="258" t="s">
        <v>207</v>
      </c>
      <c r="C1420" s="18"/>
      <c r="D1420" s="18"/>
      <c r="E1420" s="18"/>
      <c r="F1420" s="18"/>
      <c r="G1420" s="18"/>
      <c r="H1420" s="18"/>
      <c r="I1420" s="152"/>
      <c r="J1420" s="77"/>
      <c r="K1420" s="81">
        <f t="shared" ref="K1420" si="290">SUM(K1419)</f>
        <v>25</v>
      </c>
      <c r="L1420" s="129">
        <f>SUM(L1419)</f>
        <v>3.35</v>
      </c>
      <c r="M1420" s="18"/>
      <c r="N1420" s="18"/>
      <c r="O1420" s="18"/>
      <c r="P1420" s="18"/>
      <c r="Q1420" s="18"/>
      <c r="R1420" s="18"/>
      <c r="S1420" s="81">
        <f t="shared" ref="S1420" si="291">SUM(S1419)</f>
        <v>1</v>
      </c>
      <c r="T1420" s="413">
        <f>SUM(T1419)</f>
        <v>0.13400000000000001</v>
      </c>
    </row>
    <row r="1421" spans="1:20" s="251" customFormat="1">
      <c r="A1421" s="18"/>
      <c r="B1421" s="258"/>
      <c r="C1421" s="18"/>
      <c r="D1421" s="18"/>
      <c r="E1421" s="18"/>
      <c r="F1421" s="18"/>
      <c r="G1421" s="18"/>
      <c r="H1421" s="18"/>
      <c r="I1421" s="152"/>
      <c r="J1421" s="77"/>
      <c r="K1421" s="81"/>
      <c r="L1421" s="129"/>
      <c r="M1421" s="18"/>
      <c r="N1421" s="18"/>
      <c r="O1421" s="18"/>
      <c r="P1421" s="18"/>
      <c r="Q1421" s="1041"/>
      <c r="R1421" s="1041"/>
    </row>
    <row r="1422" spans="1:20" s="251" customFormat="1">
      <c r="A1422" s="6" t="s">
        <v>174</v>
      </c>
      <c r="B1422" s="6" t="s">
        <v>245</v>
      </c>
      <c r="C1422" s="6" t="s">
        <v>19</v>
      </c>
      <c r="D1422" s="6" t="s">
        <v>20</v>
      </c>
      <c r="E1422" s="6" t="s">
        <v>57</v>
      </c>
      <c r="F1422" s="7">
        <v>12</v>
      </c>
      <c r="G1422" s="18" t="s">
        <v>21</v>
      </c>
      <c r="H1422" s="319" t="s">
        <v>95</v>
      </c>
      <c r="I1422" s="257">
        <v>13.4</v>
      </c>
      <c r="J1422" s="77">
        <v>11</v>
      </c>
      <c r="K1422" s="81">
        <v>32</v>
      </c>
      <c r="L1422" s="151">
        <f>(I1422*J1422*K1422/1000)</f>
        <v>4.7168000000000001</v>
      </c>
      <c r="M1422" s="18"/>
      <c r="N1422" s="18"/>
      <c r="O1422" s="18"/>
      <c r="P1422" s="18"/>
      <c r="Q1422" s="1041"/>
      <c r="R1422" s="1041"/>
      <c r="S1422" s="150" t="s">
        <v>291</v>
      </c>
    </row>
    <row r="1423" spans="1:20" s="251" customFormat="1">
      <c r="A1423" s="18"/>
      <c r="B1423" s="258" t="s">
        <v>207</v>
      </c>
      <c r="C1423" s="18"/>
      <c r="D1423" s="18"/>
      <c r="E1423" s="18"/>
      <c r="F1423" s="18"/>
      <c r="G1423" s="18"/>
      <c r="H1423" s="278"/>
      <c r="I1423" s="257"/>
      <c r="J1423" s="77"/>
      <c r="K1423" s="81">
        <f t="shared" ref="K1423" si="292">SUM(K1422)</f>
        <v>32</v>
      </c>
      <c r="L1423" s="129">
        <f>SUM(L1422)</f>
        <v>4.7168000000000001</v>
      </c>
      <c r="M1423" s="18"/>
      <c r="N1423" s="18"/>
      <c r="O1423" s="18"/>
      <c r="P1423" s="18"/>
      <c r="Q1423" s="1041"/>
      <c r="R1423" s="1041"/>
    </row>
    <row r="1424" spans="1:20" s="251" customFormat="1">
      <c r="A1424" s="18"/>
      <c r="B1424" s="258"/>
      <c r="C1424" s="18"/>
      <c r="D1424" s="18"/>
      <c r="E1424" s="18"/>
      <c r="F1424" s="18"/>
      <c r="G1424" s="18"/>
      <c r="H1424" s="278"/>
      <c r="I1424" s="257"/>
      <c r="J1424" s="77"/>
      <c r="K1424" s="81"/>
      <c r="L1424" s="129"/>
      <c r="M1424" s="18"/>
      <c r="N1424" s="18"/>
      <c r="O1424" s="18"/>
      <c r="P1424" s="18"/>
      <c r="Q1424" s="1041"/>
      <c r="R1424" s="1041"/>
    </row>
    <row r="1425" spans="1:24" s="251" customFormat="1">
      <c r="A1425" s="78" t="s">
        <v>83</v>
      </c>
      <c r="B1425" s="78" t="s">
        <v>282</v>
      </c>
      <c r="C1425" s="78" t="s">
        <v>19</v>
      </c>
      <c r="D1425" s="78" t="s">
        <v>20</v>
      </c>
      <c r="E1425" s="389" t="s">
        <v>259</v>
      </c>
      <c r="F1425" s="94">
        <v>12</v>
      </c>
      <c r="G1425" s="98" t="s">
        <v>21</v>
      </c>
      <c r="H1425" s="319" t="s">
        <v>95</v>
      </c>
      <c r="I1425" s="385">
        <v>13.4</v>
      </c>
      <c r="J1425" s="390">
        <v>7.6</v>
      </c>
      <c r="K1425" s="391">
        <v>22</v>
      </c>
      <c r="L1425" s="299">
        <f>(I1425*J1425*K1425/1000)</f>
        <v>2.2404799999999998</v>
      </c>
      <c r="M1425" s="18"/>
      <c r="N1425" s="18"/>
      <c r="O1425" s="18"/>
      <c r="P1425" s="18"/>
      <c r="Q1425" s="1041"/>
      <c r="R1425" s="1041"/>
      <c r="S1425" s="150" t="s">
        <v>291</v>
      </c>
    </row>
    <row r="1426" spans="1:24" s="251" customFormat="1">
      <c r="A1426" s="98"/>
      <c r="B1426" s="78" t="s">
        <v>277</v>
      </c>
      <c r="C1426" s="98"/>
      <c r="D1426" s="98"/>
      <c r="E1426" s="98"/>
      <c r="F1426" s="98"/>
      <c r="G1426" s="98" t="s">
        <v>21</v>
      </c>
      <c r="H1426" s="98" t="s">
        <v>95</v>
      </c>
      <c r="I1426" s="385">
        <v>13.4</v>
      </c>
      <c r="J1426" s="390">
        <v>12</v>
      </c>
      <c r="K1426" s="391">
        <v>16</v>
      </c>
      <c r="L1426" s="299">
        <f>(I1426*J1426*K1426/1000)</f>
        <v>2.5728</v>
      </c>
      <c r="M1426" s="18"/>
      <c r="N1426" s="18"/>
      <c r="O1426" s="18"/>
      <c r="P1426" s="18"/>
      <c r="Q1426" s="1041"/>
      <c r="R1426" s="1041"/>
    </row>
    <row r="1427" spans="1:24" s="251" customFormat="1">
      <c r="A1427" s="98"/>
      <c r="B1427" s="98"/>
      <c r="C1427" s="98"/>
      <c r="D1427" s="98"/>
      <c r="E1427" s="98"/>
      <c r="F1427" s="98"/>
      <c r="G1427" s="98"/>
      <c r="H1427" s="98"/>
      <c r="I1427" s="385"/>
      <c r="J1427" s="386"/>
      <c r="K1427" s="387">
        <f>SUM(K1425:K1426)</f>
        <v>38</v>
      </c>
      <c r="L1427" s="388">
        <f>SUM(L1425:L1426)</f>
        <v>4.8132799999999998</v>
      </c>
      <c r="M1427" s="18"/>
      <c r="N1427" s="18"/>
      <c r="O1427" s="18"/>
      <c r="P1427" s="18"/>
      <c r="Q1427" s="1041"/>
      <c r="R1427" s="1041"/>
    </row>
    <row r="1428" spans="1:24" s="251" customFormat="1">
      <c r="A1428" s="18"/>
      <c r="B1428" s="258"/>
      <c r="C1428" s="18"/>
      <c r="D1428" s="18"/>
      <c r="E1428" s="18"/>
      <c r="F1428" s="18"/>
      <c r="G1428" s="18"/>
      <c r="H1428" s="18"/>
      <c r="I1428" s="152"/>
      <c r="J1428" s="77"/>
      <c r="K1428" s="153">
        <f>+K1420+K1417+K1411+K1423+K1427</f>
        <v>432</v>
      </c>
      <c r="L1428" s="129">
        <f>+L1420+L1417+L1411+L1423+L1427</f>
        <v>59.035040000000009</v>
      </c>
      <c r="M1428" s="81">
        <f>+M1420+M1417+M1411+M1423</f>
        <v>2</v>
      </c>
      <c r="N1428" s="77">
        <f>+N1420+N1417+N1411+N1423</f>
        <v>0.20904</v>
      </c>
      <c r="O1428" s="18"/>
      <c r="P1428" s="18"/>
      <c r="Q1428" s="1041"/>
      <c r="R1428" s="1041"/>
    </row>
    <row r="1429" spans="1:24" s="251" customFormat="1">
      <c r="A1429" s="18"/>
      <c r="B1429" s="258"/>
      <c r="C1429" s="18"/>
      <c r="D1429" s="18"/>
      <c r="E1429" s="18"/>
      <c r="F1429" s="18"/>
      <c r="G1429" s="18"/>
      <c r="H1429" s="18"/>
      <c r="I1429" s="152"/>
      <c r="J1429" s="77"/>
      <c r="K1429" s="81"/>
      <c r="L1429" s="129"/>
      <c r="M1429" s="18"/>
      <c r="N1429" s="18"/>
      <c r="O1429" s="18"/>
      <c r="P1429" s="18"/>
      <c r="Q1429" s="1041"/>
      <c r="R1429" s="1041"/>
    </row>
    <row r="1430" spans="1:24" s="251" customFormat="1">
      <c r="A1430" s="18"/>
      <c r="B1430" s="18"/>
      <c r="C1430" s="18"/>
      <c r="D1430" s="18"/>
      <c r="E1430" s="18"/>
      <c r="F1430" s="18"/>
      <c r="G1430" s="18"/>
      <c r="H1430" s="18"/>
      <c r="I1430" s="152"/>
      <c r="J1430" s="18"/>
      <c r="K1430" s="199"/>
      <c r="L1430" s="129"/>
      <c r="M1430" s="18"/>
      <c r="N1430" s="18"/>
      <c r="O1430" s="18"/>
      <c r="P1430" s="18"/>
      <c r="Q1430" s="1041"/>
      <c r="R1430" s="1041"/>
    </row>
    <row r="1431" spans="1:24" s="251" customFormat="1">
      <c r="A1431" s="6" t="s">
        <v>83</v>
      </c>
      <c r="B1431" s="6" t="s">
        <v>239</v>
      </c>
      <c r="C1431" s="6" t="s">
        <v>19</v>
      </c>
      <c r="D1431" s="6" t="s">
        <v>20</v>
      </c>
      <c r="E1431" s="6" t="s">
        <v>47</v>
      </c>
      <c r="F1431" s="7">
        <v>12</v>
      </c>
      <c r="G1431" s="18" t="s">
        <v>21</v>
      </c>
      <c r="H1431" s="319" t="s">
        <v>99</v>
      </c>
      <c r="I1431" s="257">
        <v>15</v>
      </c>
      <c r="J1431" s="77">
        <v>10.101000000000001</v>
      </c>
      <c r="K1431" s="81">
        <v>208</v>
      </c>
      <c r="L1431" s="151">
        <f>(I1431*J1431*K1431/1000)</f>
        <v>31.515120000000003</v>
      </c>
      <c r="M1431" s="18"/>
      <c r="N1431" s="18"/>
      <c r="O1431" s="18"/>
      <c r="P1431" s="18"/>
      <c r="Q1431" s="1041"/>
      <c r="R1431" s="1041"/>
      <c r="S1431" s="150" t="s">
        <v>291</v>
      </c>
    </row>
    <row r="1432" spans="1:24" s="251" customFormat="1">
      <c r="A1432" s="18"/>
      <c r="B1432" s="6" t="s">
        <v>238</v>
      </c>
      <c r="C1432" s="18"/>
      <c r="D1432" s="18"/>
      <c r="E1432" s="18"/>
      <c r="F1432" s="18"/>
      <c r="G1432" s="18" t="s">
        <v>21</v>
      </c>
      <c r="H1432" s="18" t="s">
        <v>99</v>
      </c>
      <c r="I1432" s="257">
        <v>15</v>
      </c>
      <c r="J1432" s="77">
        <v>11.4</v>
      </c>
      <c r="K1432" s="81">
        <v>8</v>
      </c>
      <c r="L1432" s="151">
        <f>(I1432*J1432*K1432/1000)</f>
        <v>1.3680000000000001</v>
      </c>
      <c r="M1432" s="18"/>
      <c r="N1432" s="18"/>
      <c r="O1432" s="18"/>
      <c r="P1432" s="18"/>
      <c r="Q1432" s="1041"/>
      <c r="R1432" s="1041"/>
    </row>
    <row r="1433" spans="1:24" s="251" customFormat="1">
      <c r="A1433" s="18"/>
      <c r="B1433" s="18"/>
      <c r="C1433" s="18"/>
      <c r="D1433" s="18"/>
      <c r="E1433" s="18"/>
      <c r="F1433" s="18"/>
      <c r="G1433" s="18"/>
      <c r="H1433" s="18"/>
      <c r="I1433" s="152"/>
      <c r="J1433" s="77"/>
      <c r="K1433" s="81">
        <f t="shared" ref="K1433" si="293">SUM(K1431:K1432)</f>
        <v>216</v>
      </c>
      <c r="L1433" s="129">
        <f>SUM(L1431:L1432)</f>
        <v>32.883120000000005</v>
      </c>
      <c r="M1433" s="18"/>
      <c r="N1433" s="18"/>
      <c r="O1433" s="18"/>
      <c r="P1433" s="18"/>
      <c r="Q1433" s="1041"/>
      <c r="R1433" s="1041"/>
    </row>
    <row r="1434" spans="1:24" s="251" customFormat="1">
      <c r="A1434" s="18"/>
      <c r="B1434" s="18"/>
      <c r="C1434" s="18"/>
      <c r="D1434" s="18"/>
      <c r="E1434" s="18"/>
      <c r="F1434" s="18"/>
      <c r="G1434" s="18"/>
      <c r="H1434" s="18"/>
      <c r="I1434" s="152"/>
      <c r="J1434" s="77"/>
      <c r="K1434" s="81"/>
      <c r="L1434" s="129"/>
      <c r="M1434" s="18"/>
      <c r="N1434" s="18"/>
      <c r="O1434" s="18"/>
      <c r="P1434" s="18"/>
      <c r="Q1434" s="1041"/>
      <c r="R1434" s="1041"/>
    </row>
    <row r="1435" spans="1:24" s="251" customFormat="1">
      <c r="A1435" s="18"/>
      <c r="B1435" s="18"/>
      <c r="C1435" s="18"/>
      <c r="D1435" s="18"/>
      <c r="E1435" s="18"/>
      <c r="F1435" s="18"/>
      <c r="G1435" s="18"/>
      <c r="H1435" s="18"/>
      <c r="I1435" s="152"/>
      <c r="J1435" s="77"/>
      <c r="K1435" s="81"/>
      <c r="L1435" s="129"/>
      <c r="M1435" s="18"/>
      <c r="N1435" s="18"/>
      <c r="O1435" s="18"/>
      <c r="P1435" s="18"/>
      <c r="Q1435" s="1041"/>
      <c r="R1435" s="1041"/>
    </row>
    <row r="1436" spans="1:24" s="251" customFormat="1">
      <c r="A1436" s="6" t="s">
        <v>83</v>
      </c>
      <c r="B1436" s="6" t="s">
        <v>239</v>
      </c>
      <c r="C1436" s="6" t="s">
        <v>19</v>
      </c>
      <c r="D1436" s="6" t="s">
        <v>20</v>
      </c>
      <c r="E1436" s="6" t="s">
        <v>47</v>
      </c>
      <c r="F1436" s="7">
        <v>13</v>
      </c>
      <c r="G1436" s="18" t="s">
        <v>21</v>
      </c>
      <c r="H1436" s="319" t="s">
        <v>92</v>
      </c>
      <c r="I1436" s="257">
        <v>16.600000000000001</v>
      </c>
      <c r="J1436" s="77">
        <v>11</v>
      </c>
      <c r="K1436" s="81">
        <v>20</v>
      </c>
      <c r="L1436" s="151">
        <f t="shared" ref="L1436" si="294">(I1436*J1436*K1436/1000)</f>
        <v>3.6520000000000006</v>
      </c>
      <c r="M1436" s="18"/>
      <c r="N1436" s="18"/>
      <c r="O1436" s="18"/>
      <c r="P1436" s="18"/>
      <c r="Q1436" s="1041"/>
      <c r="R1436" s="1041"/>
      <c r="S1436" s="150" t="s">
        <v>291</v>
      </c>
    </row>
    <row r="1437" spans="1:24" s="251" customFormat="1">
      <c r="A1437" s="18"/>
      <c r="B1437" s="6" t="s">
        <v>238</v>
      </c>
      <c r="C1437" s="18"/>
      <c r="D1437" s="18"/>
      <c r="E1437" s="18"/>
      <c r="F1437" s="18"/>
      <c r="G1437" s="18"/>
      <c r="H1437" s="18"/>
      <c r="I1437" s="257"/>
      <c r="J1437" s="77"/>
      <c r="K1437" s="81">
        <f>SUM(K1436:K1436)</f>
        <v>20</v>
      </c>
      <c r="L1437" s="129">
        <f>SUM(L1436:L1436)</f>
        <v>3.6520000000000006</v>
      </c>
      <c r="M1437" s="18"/>
      <c r="N1437" s="18"/>
      <c r="O1437" s="18"/>
      <c r="P1437" s="18"/>
      <c r="Q1437" s="1041"/>
      <c r="R1437" s="1041"/>
    </row>
    <row r="1438" spans="1:24" s="251" customFormat="1">
      <c r="A1438" s="18"/>
      <c r="B1438" s="6"/>
      <c r="C1438" s="18"/>
      <c r="D1438" s="18"/>
      <c r="E1438" s="18"/>
      <c r="F1438" s="18"/>
      <c r="G1438" s="18"/>
      <c r="H1438" s="18"/>
      <c r="I1438" s="257"/>
      <c r="J1438" s="77"/>
      <c r="K1438" s="81"/>
      <c r="L1438" s="129"/>
      <c r="M1438" s="18"/>
      <c r="N1438" s="18"/>
      <c r="O1438" s="18"/>
      <c r="P1438" s="18"/>
      <c r="Q1438" s="1041"/>
      <c r="R1438" s="1041"/>
    </row>
    <row r="1439" spans="1:24" s="251" customFormat="1">
      <c r="A1439" s="6" t="s">
        <v>83</v>
      </c>
      <c r="B1439" s="6" t="s">
        <v>222</v>
      </c>
      <c r="C1439" s="6" t="s">
        <v>19</v>
      </c>
      <c r="D1439" s="6" t="s">
        <v>20</v>
      </c>
      <c r="E1439" s="6" t="s">
        <v>57</v>
      </c>
      <c r="F1439" s="7">
        <v>13</v>
      </c>
      <c r="G1439" s="18" t="s">
        <v>21</v>
      </c>
      <c r="H1439" s="319" t="s">
        <v>92</v>
      </c>
      <c r="I1439" s="257">
        <v>16.600000000000001</v>
      </c>
      <c r="J1439" s="77">
        <v>11.4</v>
      </c>
      <c r="K1439" s="81">
        <v>16</v>
      </c>
      <c r="L1439" s="151">
        <f t="shared" ref="L1439:L1440" si="295">(I1439*J1439*K1439/1000)</f>
        <v>3.0278400000000003</v>
      </c>
      <c r="M1439" s="18"/>
      <c r="N1439" s="18"/>
      <c r="O1439" s="18"/>
      <c r="P1439" s="18"/>
      <c r="Q1439" s="1041"/>
      <c r="R1439" s="1041"/>
      <c r="S1439" s="251">
        <v>16</v>
      </c>
      <c r="T1439" s="415">
        <f>J1439*S1439*I1439/1000</f>
        <v>3.0278400000000003</v>
      </c>
      <c r="U1439" s="150" t="s">
        <v>291</v>
      </c>
    </row>
    <row r="1440" spans="1:24" s="251" customFormat="1">
      <c r="A1440" s="18"/>
      <c r="B1440" s="6" t="s">
        <v>204</v>
      </c>
      <c r="C1440" s="18"/>
      <c r="D1440" s="18"/>
      <c r="E1440" s="18"/>
      <c r="F1440" s="18"/>
      <c r="G1440" s="18" t="s">
        <v>21</v>
      </c>
      <c r="H1440" s="18" t="s">
        <v>92</v>
      </c>
      <c r="I1440" s="257">
        <v>16.600000000000001</v>
      </c>
      <c r="J1440" s="77">
        <v>12</v>
      </c>
      <c r="K1440" s="81">
        <v>12</v>
      </c>
      <c r="L1440" s="151">
        <f t="shared" si="295"/>
        <v>2.3904000000000001</v>
      </c>
      <c r="M1440" s="18"/>
      <c r="N1440" s="18"/>
      <c r="O1440" s="18"/>
      <c r="P1440" s="18"/>
      <c r="Q1440" s="1041"/>
      <c r="R1440" s="1041"/>
      <c r="S1440" s="251">
        <v>1</v>
      </c>
      <c r="T1440" s="415">
        <f>J1440*S1440*I1440/1000</f>
        <v>0.19920000000000002</v>
      </c>
      <c r="W1440" s="251">
        <v>1</v>
      </c>
      <c r="X1440" s="126">
        <f>J1440*W1440*I1440/1000</f>
        <v>0.19920000000000002</v>
      </c>
    </row>
    <row r="1441" spans="1:24" s="251" customFormat="1">
      <c r="A1441" s="18"/>
      <c r="B1441" s="18"/>
      <c r="C1441" s="18"/>
      <c r="D1441" s="18"/>
      <c r="E1441" s="18"/>
      <c r="F1441" s="18"/>
      <c r="G1441" s="18"/>
      <c r="H1441" s="18"/>
      <c r="I1441" s="257"/>
      <c r="J1441" s="77"/>
      <c r="K1441" s="81">
        <f t="shared" ref="K1441:L1441" si="296">SUM(K1439:K1440)</f>
        <v>28</v>
      </c>
      <c r="L1441" s="129">
        <f t="shared" si="296"/>
        <v>5.4182400000000008</v>
      </c>
      <c r="M1441" s="18"/>
      <c r="N1441" s="18"/>
      <c r="O1441" s="18"/>
      <c r="P1441" s="18"/>
      <c r="Q1441" s="18"/>
      <c r="R1441" s="18"/>
      <c r="S1441" s="81">
        <f t="shared" ref="S1441:T1441" si="297">SUM(S1439:S1440)</f>
        <v>17</v>
      </c>
      <c r="T1441" s="413">
        <f t="shared" si="297"/>
        <v>3.2270400000000001</v>
      </c>
      <c r="W1441" s="81">
        <f t="shared" ref="W1441:X1441" si="298">SUM(W1439:W1440)</f>
        <v>1</v>
      </c>
      <c r="X1441" s="413">
        <f t="shared" si="298"/>
        <v>0.19920000000000002</v>
      </c>
    </row>
    <row r="1442" spans="1:24" s="251" customFormat="1">
      <c r="A1442" s="18"/>
      <c r="B1442" s="18"/>
      <c r="C1442" s="18"/>
      <c r="D1442" s="18"/>
      <c r="E1442" s="18"/>
      <c r="F1442" s="18"/>
      <c r="G1442" s="18"/>
      <c r="H1442" s="18"/>
      <c r="I1442" s="257"/>
      <c r="J1442" s="77"/>
      <c r="K1442" s="81"/>
      <c r="L1442" s="129"/>
      <c r="M1442" s="18"/>
      <c r="N1442" s="18"/>
      <c r="O1442" s="18"/>
      <c r="P1442" s="18"/>
      <c r="Q1442" s="1041"/>
      <c r="R1442" s="1041"/>
    </row>
    <row r="1443" spans="1:24" s="251" customFormat="1" ht="15.6">
      <c r="A1443" s="6" t="s">
        <v>174</v>
      </c>
      <c r="B1443" s="6" t="s">
        <v>223</v>
      </c>
      <c r="C1443" s="6" t="s">
        <v>19</v>
      </c>
      <c r="D1443" s="6" t="s">
        <v>20</v>
      </c>
      <c r="E1443" s="6" t="s">
        <v>57</v>
      </c>
      <c r="F1443" s="7">
        <v>13</v>
      </c>
      <c r="G1443" s="18" t="s">
        <v>21</v>
      </c>
      <c r="H1443" s="319" t="s">
        <v>92</v>
      </c>
      <c r="I1443" s="257">
        <v>16.600000000000001</v>
      </c>
      <c r="J1443" s="77">
        <v>6.6</v>
      </c>
      <c r="K1443" s="81">
        <v>29</v>
      </c>
      <c r="L1443" s="151">
        <f>(I1443*J1443*K1443/1000)</f>
        <v>3.1772400000000003</v>
      </c>
      <c r="M1443" s="18"/>
      <c r="N1443" s="23">
        <f t="shared" ref="N1443:N1447" si="299">J1443*M1443*I1443/1000</f>
        <v>0</v>
      </c>
      <c r="O1443" s="18"/>
      <c r="P1443" s="18"/>
      <c r="Q1443" s="1041"/>
      <c r="R1443" s="1041"/>
      <c r="S1443" s="150" t="s">
        <v>291</v>
      </c>
      <c r="W1443" s="251">
        <v>1</v>
      </c>
      <c r="X1443" s="126">
        <f t="shared" ref="X1443:X1444" si="300">J1443*W1443*I1443/1000</f>
        <v>0.10956</v>
      </c>
    </row>
    <row r="1444" spans="1:24" s="251" customFormat="1" ht="15.6">
      <c r="A1444" s="18"/>
      <c r="B1444" s="258" t="s">
        <v>207</v>
      </c>
      <c r="C1444" s="18"/>
      <c r="D1444" s="18"/>
      <c r="E1444" s="18"/>
      <c r="F1444" s="18"/>
      <c r="G1444" s="18" t="s">
        <v>21</v>
      </c>
      <c r="H1444" s="18" t="s">
        <v>92</v>
      </c>
      <c r="I1444" s="257">
        <v>16.600000000000001</v>
      </c>
      <c r="J1444" s="77">
        <v>6.7</v>
      </c>
      <c r="K1444" s="81">
        <v>14</v>
      </c>
      <c r="L1444" s="151">
        <f>(I1444*J1444*K1444/1000)</f>
        <v>1.5570800000000002</v>
      </c>
      <c r="M1444" s="18"/>
      <c r="N1444" s="23">
        <f t="shared" si="299"/>
        <v>0</v>
      </c>
      <c r="O1444" s="18"/>
      <c r="P1444" s="18"/>
      <c r="Q1444" s="1041"/>
      <c r="R1444" s="1041"/>
      <c r="W1444" s="251">
        <v>1</v>
      </c>
      <c r="X1444" s="126">
        <f t="shared" si="300"/>
        <v>0.11122000000000001</v>
      </c>
    </row>
    <row r="1445" spans="1:24" s="251" customFormat="1" ht="15.6">
      <c r="A1445" s="18"/>
      <c r="B1445" s="18"/>
      <c r="C1445" s="18"/>
      <c r="D1445" s="18"/>
      <c r="E1445" s="18"/>
      <c r="F1445" s="18"/>
      <c r="G1445" s="18" t="s">
        <v>21</v>
      </c>
      <c r="H1445" s="18" t="s">
        <v>92</v>
      </c>
      <c r="I1445" s="257">
        <v>16.600000000000001</v>
      </c>
      <c r="J1445" s="77">
        <v>9.5</v>
      </c>
      <c r="K1445" s="81">
        <v>35</v>
      </c>
      <c r="L1445" s="151">
        <f>(I1445*J1445*K1445/1000)</f>
        <v>5.5195000000000007</v>
      </c>
      <c r="M1445" s="18"/>
      <c r="N1445" s="23">
        <f t="shared" si="299"/>
        <v>0</v>
      </c>
      <c r="O1445" s="18"/>
      <c r="P1445" s="18"/>
      <c r="Q1445" s="1041"/>
      <c r="R1445" s="1041"/>
    </row>
    <row r="1446" spans="1:24" s="251" customFormat="1" ht="15.6">
      <c r="A1446" s="18"/>
      <c r="B1446" s="18"/>
      <c r="C1446" s="18"/>
      <c r="D1446" s="18"/>
      <c r="E1446" s="18"/>
      <c r="F1446" s="18"/>
      <c r="G1446" s="18" t="s">
        <v>21</v>
      </c>
      <c r="H1446" s="18" t="s">
        <v>92</v>
      </c>
      <c r="I1446" s="257">
        <v>16.600000000000001</v>
      </c>
      <c r="J1446" s="77">
        <v>10</v>
      </c>
      <c r="K1446" s="81">
        <v>12</v>
      </c>
      <c r="L1446" s="151">
        <f>(I1446*J1446*K1446/1000)</f>
        <v>1.992</v>
      </c>
      <c r="M1446" s="18"/>
      <c r="N1446" s="23">
        <f t="shared" si="299"/>
        <v>0</v>
      </c>
      <c r="O1446" s="18"/>
      <c r="P1446" s="18"/>
      <c r="Q1446" s="1041"/>
      <c r="R1446" s="1041"/>
    </row>
    <row r="1447" spans="1:24" s="251" customFormat="1" ht="15.6">
      <c r="A1447" s="18"/>
      <c r="B1447" s="18"/>
      <c r="C1447" s="18"/>
      <c r="D1447" s="18"/>
      <c r="E1447" s="18"/>
      <c r="F1447" s="18"/>
      <c r="G1447" s="18" t="s">
        <v>21</v>
      </c>
      <c r="H1447" s="18" t="s">
        <v>92</v>
      </c>
      <c r="I1447" s="257">
        <v>16.600000000000001</v>
      </c>
      <c r="J1447" s="77">
        <v>11.4</v>
      </c>
      <c r="K1447" s="81">
        <v>38</v>
      </c>
      <c r="L1447" s="151">
        <f>(I1447*J1447*K1447/1000)</f>
        <v>7.1911200000000006</v>
      </c>
      <c r="M1447" s="18"/>
      <c r="N1447" s="23">
        <f t="shared" si="299"/>
        <v>0</v>
      </c>
      <c r="O1447" s="18"/>
      <c r="P1447" s="18"/>
      <c r="Q1447" s="1041"/>
      <c r="R1447" s="1041"/>
      <c r="S1447" s="251">
        <v>1</v>
      </c>
      <c r="T1447" s="126">
        <f>J1447*S1447*I1447/1000</f>
        <v>0.18924000000000002</v>
      </c>
      <c r="W1447" s="251">
        <v>7</v>
      </c>
      <c r="X1447" s="126">
        <f>J1447*W1447*I1447/1000</f>
        <v>1.3246800000000001</v>
      </c>
    </row>
    <row r="1448" spans="1:24" s="251" customFormat="1">
      <c r="A1448" s="18"/>
      <c r="B1448" s="18"/>
      <c r="C1448" s="18"/>
      <c r="D1448" s="18"/>
      <c r="E1448" s="18"/>
      <c r="F1448" s="18"/>
      <c r="G1448" s="18"/>
      <c r="H1448" s="18"/>
      <c r="I1448" s="257"/>
      <c r="J1448" s="77"/>
      <c r="K1448" s="81">
        <f t="shared" ref="K1448:N1448" si="301">SUM(K1443:K1447)</f>
        <v>128</v>
      </c>
      <c r="L1448" s="129">
        <f t="shared" si="301"/>
        <v>19.436940000000003</v>
      </c>
      <c r="M1448" s="81">
        <f t="shared" si="301"/>
        <v>0</v>
      </c>
      <c r="N1448" s="77">
        <f t="shared" si="301"/>
        <v>0</v>
      </c>
      <c r="O1448" s="18"/>
      <c r="P1448" s="18"/>
      <c r="Q1448" s="18"/>
      <c r="R1448" s="18"/>
      <c r="S1448" s="81">
        <f t="shared" ref="S1448:T1448" si="302">SUM(S1443:S1447)</f>
        <v>1</v>
      </c>
      <c r="T1448" s="413">
        <f t="shared" si="302"/>
        <v>0.18924000000000002</v>
      </c>
      <c r="W1448" s="81">
        <f t="shared" ref="W1448:X1448" si="303">SUM(W1443:W1447)</f>
        <v>9</v>
      </c>
      <c r="X1448" s="413">
        <f t="shared" si="303"/>
        <v>1.5454600000000001</v>
      </c>
    </row>
    <row r="1449" spans="1:24" s="251" customFormat="1">
      <c r="A1449" s="18"/>
      <c r="B1449" s="18"/>
      <c r="C1449" s="18"/>
      <c r="D1449" s="18"/>
      <c r="E1449" s="18"/>
      <c r="F1449" s="18"/>
      <c r="G1449" s="18"/>
      <c r="H1449" s="18"/>
      <c r="I1449" s="257"/>
      <c r="J1449" s="77"/>
      <c r="K1449" s="81"/>
      <c r="L1449" s="129"/>
      <c r="M1449" s="18"/>
      <c r="N1449" s="18"/>
      <c r="O1449" s="18"/>
      <c r="P1449" s="18"/>
      <c r="Q1449" s="1041"/>
      <c r="R1449" s="1041"/>
      <c r="T1449" s="394"/>
    </row>
    <row r="1450" spans="1:24" s="251" customFormat="1">
      <c r="A1450" s="6" t="s">
        <v>174</v>
      </c>
      <c r="B1450" s="6" t="s">
        <v>245</v>
      </c>
      <c r="C1450" s="6" t="s">
        <v>19</v>
      </c>
      <c r="D1450" s="6" t="s">
        <v>20</v>
      </c>
      <c r="E1450" s="6" t="s">
        <v>57</v>
      </c>
      <c r="F1450" s="7">
        <v>13</v>
      </c>
      <c r="G1450" s="18" t="s">
        <v>21</v>
      </c>
      <c r="H1450" s="319" t="s">
        <v>92</v>
      </c>
      <c r="I1450" s="257">
        <v>16.600000000000001</v>
      </c>
      <c r="J1450" s="77">
        <v>11</v>
      </c>
      <c r="K1450" s="81">
        <v>13</v>
      </c>
      <c r="L1450" s="151">
        <f>(I1450*J1450*K1450/1000)</f>
        <v>2.3738000000000001</v>
      </c>
      <c r="M1450" s="18"/>
      <c r="N1450" s="18"/>
      <c r="O1450" s="18"/>
      <c r="P1450" s="18"/>
      <c r="Q1450" s="1041"/>
      <c r="R1450" s="1041"/>
      <c r="S1450" s="251">
        <v>1</v>
      </c>
      <c r="T1450" s="394">
        <f>J1450*S1450*I1450/1000</f>
        <v>0.18260000000000001</v>
      </c>
      <c r="U1450" s="150" t="s">
        <v>291</v>
      </c>
    </row>
    <row r="1451" spans="1:24" s="251" customFormat="1">
      <c r="A1451" s="18"/>
      <c r="B1451" s="258" t="s">
        <v>207</v>
      </c>
      <c r="C1451" s="18"/>
      <c r="D1451" s="18"/>
      <c r="E1451" s="18"/>
      <c r="F1451" s="18"/>
      <c r="G1451" s="18"/>
      <c r="H1451" s="278"/>
      <c r="I1451" s="257"/>
      <c r="J1451" s="77"/>
      <c r="K1451" s="81">
        <f t="shared" ref="K1451:L1451" si="304">SUM(K1450)</f>
        <v>13</v>
      </c>
      <c r="L1451" s="129">
        <f t="shared" si="304"/>
        <v>2.3738000000000001</v>
      </c>
      <c r="M1451" s="18"/>
      <c r="N1451" s="18"/>
      <c r="O1451" s="18"/>
      <c r="P1451" s="18"/>
      <c r="Q1451" s="18"/>
      <c r="R1451" s="18"/>
      <c r="S1451" s="81">
        <f t="shared" ref="S1451:T1451" si="305">SUM(S1450)</f>
        <v>1</v>
      </c>
      <c r="T1451" s="413">
        <f t="shared" si="305"/>
        <v>0.18260000000000001</v>
      </c>
    </row>
    <row r="1452" spans="1:24" s="251" customFormat="1">
      <c r="A1452" s="18"/>
      <c r="B1452" s="258"/>
      <c r="C1452" s="18"/>
      <c r="D1452" s="18"/>
      <c r="E1452" s="18"/>
      <c r="F1452" s="18"/>
      <c r="G1452" s="18"/>
      <c r="H1452" s="278"/>
      <c r="I1452" s="257"/>
      <c r="J1452" s="77"/>
      <c r="K1452" s="81"/>
      <c r="L1452" s="129"/>
      <c r="M1452" s="18"/>
      <c r="N1452" s="18"/>
      <c r="O1452" s="18"/>
      <c r="P1452" s="18"/>
      <c r="Q1452" s="1041"/>
      <c r="R1452" s="1041"/>
    </row>
    <row r="1453" spans="1:24" s="251" customFormat="1" ht="15.6">
      <c r="A1453" s="6" t="s">
        <v>174</v>
      </c>
      <c r="B1453" s="6" t="s">
        <v>223</v>
      </c>
      <c r="C1453" s="6" t="s">
        <v>19</v>
      </c>
      <c r="D1453" s="6" t="s">
        <v>20</v>
      </c>
      <c r="E1453" s="6" t="s">
        <v>175</v>
      </c>
      <c r="F1453" s="7">
        <v>13</v>
      </c>
      <c r="G1453" s="9" t="s">
        <v>21</v>
      </c>
      <c r="H1453" s="319" t="s">
        <v>92</v>
      </c>
      <c r="I1453" s="381">
        <v>16.600000000000001</v>
      </c>
      <c r="J1453" s="93">
        <v>10.5</v>
      </c>
      <c r="K1453" s="99">
        <v>3</v>
      </c>
      <c r="L1453" s="151">
        <f>(I1453*J1453*K1453/1000)</f>
        <v>0.52290000000000014</v>
      </c>
      <c r="M1453" s="9"/>
      <c r="N1453" s="254">
        <f>J1453*M1453*I1453/1000</f>
        <v>0</v>
      </c>
      <c r="O1453" s="18"/>
      <c r="P1453" s="18"/>
      <c r="Q1453" s="1041"/>
      <c r="R1453" s="1041"/>
      <c r="S1453" s="150" t="s">
        <v>291</v>
      </c>
    </row>
    <row r="1454" spans="1:24" s="251" customFormat="1">
      <c r="A1454" s="9"/>
      <c r="B1454" s="6" t="s">
        <v>208</v>
      </c>
      <c r="C1454" s="9"/>
      <c r="D1454" s="9"/>
      <c r="E1454" s="9"/>
      <c r="F1454" s="9"/>
      <c r="G1454" s="9"/>
      <c r="H1454" s="9"/>
      <c r="I1454" s="7"/>
      <c r="J1454" s="93"/>
      <c r="K1454" s="99">
        <f t="shared" ref="K1454:M1454" si="306">SUM(K1453)</f>
        <v>3</v>
      </c>
      <c r="L1454" s="287">
        <f>SUM(L1453)</f>
        <v>0.52290000000000014</v>
      </c>
      <c r="M1454" s="99">
        <f t="shared" si="306"/>
        <v>0</v>
      </c>
      <c r="N1454" s="93">
        <f>SUM(N1453)</f>
        <v>0</v>
      </c>
      <c r="O1454" s="18"/>
      <c r="P1454" s="18"/>
      <c r="Q1454" s="1041"/>
      <c r="R1454" s="1041"/>
    </row>
    <row r="1455" spans="1:24" s="251" customFormat="1">
      <c r="A1455" s="18"/>
      <c r="B1455" s="18"/>
      <c r="C1455" s="18"/>
      <c r="D1455" s="18"/>
      <c r="E1455" s="18"/>
      <c r="F1455" s="18"/>
      <c r="G1455" s="18"/>
      <c r="H1455" s="18"/>
      <c r="I1455" s="152"/>
      <c r="J1455" s="18"/>
      <c r="K1455" s="81">
        <f>+K1454+K1448+K1441+K1437+K1451</f>
        <v>192</v>
      </c>
      <c r="L1455" s="129">
        <f>+L1454+L1448+L1441+L1437+L1451</f>
        <v>31.403880000000004</v>
      </c>
      <c r="M1455" s="81">
        <f>+M1454+M1448+M1441+M1437+M1451</f>
        <v>0</v>
      </c>
      <c r="N1455" s="77">
        <f>+N1454+N1448+N1441+N1437+N1451</f>
        <v>0</v>
      </c>
      <c r="O1455" s="18"/>
      <c r="P1455" s="18"/>
      <c r="Q1455" s="1041"/>
      <c r="R1455" s="1041"/>
    </row>
    <row r="1456" spans="1:24" s="251" customFormat="1">
      <c r="A1456" s="18"/>
      <c r="B1456" s="18"/>
      <c r="C1456" s="18"/>
      <c r="D1456" s="18"/>
      <c r="E1456" s="18"/>
      <c r="F1456" s="18"/>
      <c r="G1456" s="18"/>
      <c r="H1456" s="18"/>
      <c r="I1456" s="152"/>
      <c r="J1456" s="18"/>
      <c r="K1456" s="199"/>
      <c r="L1456" s="129"/>
      <c r="M1456" s="18"/>
      <c r="N1456" s="18"/>
      <c r="O1456" s="18"/>
      <c r="P1456" s="18"/>
      <c r="Q1456" s="1041"/>
      <c r="R1456" s="1041"/>
    </row>
    <row r="1457" spans="1:18" s="251" customFormat="1">
      <c r="A1457" s="18"/>
      <c r="B1457" s="18"/>
      <c r="C1457" s="18"/>
      <c r="D1457" s="18"/>
      <c r="E1457" s="18"/>
      <c r="F1457" s="18"/>
      <c r="G1457" s="18"/>
      <c r="H1457" s="18"/>
      <c r="I1457" s="152"/>
      <c r="J1457" s="77"/>
      <c r="K1457" s="81"/>
      <c r="L1457" s="129"/>
      <c r="M1457" s="18"/>
      <c r="N1457" s="18"/>
      <c r="O1457" s="18"/>
      <c r="P1457" s="18"/>
      <c r="Q1457" s="1041"/>
      <c r="R1457" s="1041"/>
    </row>
    <row r="1458" spans="1:18" s="251" customFormat="1">
      <c r="A1458" s="18"/>
      <c r="B1458" s="18"/>
      <c r="C1458" s="18"/>
      <c r="D1458" s="18"/>
      <c r="E1458" s="18"/>
      <c r="F1458" s="18"/>
      <c r="G1458" s="18"/>
      <c r="H1458" s="18"/>
      <c r="I1458" s="152"/>
      <c r="J1458" s="18"/>
      <c r="K1458" s="199"/>
      <c r="L1458" s="129">
        <f>+L1433+L1428+L1405+L1455</f>
        <v>135.71676000000002</v>
      </c>
      <c r="M1458" s="81">
        <f>+M1433+M1428+M1405+M1455</f>
        <v>21</v>
      </c>
      <c r="N1458" s="77">
        <f>+N1433+N1428+N1405+N1455</f>
        <v>2.4734599999999998</v>
      </c>
      <c r="O1458" s="18"/>
      <c r="P1458" s="18"/>
      <c r="Q1458" s="1041"/>
      <c r="R1458" s="1041"/>
    </row>
    <row r="1459" spans="1:18" s="251" customFormat="1">
      <c r="A1459" s="10" t="s">
        <v>48</v>
      </c>
      <c r="B1459" s="10"/>
      <c r="C1459" s="11"/>
      <c r="D1459" s="11"/>
      <c r="E1459" s="11"/>
      <c r="F1459" s="92"/>
      <c r="G1459" s="11"/>
      <c r="H1459" s="92"/>
      <c r="I1459" s="13"/>
      <c r="J1459" s="11"/>
      <c r="K1459" s="202"/>
      <c r="L1459" s="2047" t="s">
        <v>0</v>
      </c>
      <c r="M1459" s="2047"/>
      <c r="N1459" s="2047"/>
      <c r="O1459" s="2048"/>
      <c r="P1459" s="2020"/>
      <c r="Q1459" s="142"/>
      <c r="R1459" s="142"/>
    </row>
    <row r="1460" spans="1:18" s="251" customFormat="1">
      <c r="A1460" s="14" t="s">
        <v>1</v>
      </c>
      <c r="B1460" s="14"/>
      <c r="C1460" s="14"/>
      <c r="D1460" s="15" t="s">
        <v>2</v>
      </c>
      <c r="E1460" s="15"/>
      <c r="F1460" s="16"/>
      <c r="G1460" s="16"/>
      <c r="H1460" s="16"/>
      <c r="I1460" s="17"/>
      <c r="J1460" s="16"/>
      <c r="K1460" s="203" t="s">
        <v>3</v>
      </c>
      <c r="L1460" s="16"/>
      <c r="M1460" s="14"/>
      <c r="N1460" s="16"/>
      <c r="O1460" s="19"/>
      <c r="P1460" s="2020"/>
      <c r="Q1460" s="142"/>
      <c r="R1460" s="142"/>
    </row>
    <row r="1461" spans="1:18" s="251" customFormat="1" ht="15.6">
      <c r="A1461" s="274" t="s">
        <v>22</v>
      </c>
      <c r="B1461" s="2021" t="s">
        <v>23</v>
      </c>
      <c r="C1461" s="2022"/>
      <c r="D1461" s="2023"/>
      <c r="E1461" s="274" t="s">
        <v>24</v>
      </c>
      <c r="F1461" s="2021" t="s">
        <v>25</v>
      </c>
      <c r="G1461" s="2023"/>
      <c r="H1461" s="2021" t="s">
        <v>26</v>
      </c>
      <c r="I1461" s="2022"/>
      <c r="J1461" s="2022"/>
      <c r="K1461" s="2023"/>
      <c r="L1461" s="2024" t="s">
        <v>27</v>
      </c>
      <c r="M1461" s="2024"/>
      <c r="N1461" s="2024"/>
      <c r="O1461" s="2021"/>
      <c r="P1461" s="2020"/>
      <c r="Q1461" s="142"/>
      <c r="R1461" s="142"/>
    </row>
    <row r="1462" spans="1:18" s="251" customFormat="1" ht="15.6">
      <c r="A1462" s="38"/>
      <c r="B1462" s="2025"/>
      <c r="C1462" s="2026"/>
      <c r="D1462" s="2027"/>
      <c r="E1462" s="26"/>
      <c r="F1462" s="2025"/>
      <c r="G1462" s="2027"/>
      <c r="H1462" s="2025"/>
      <c r="I1462" s="2026"/>
      <c r="J1462" s="2026"/>
      <c r="K1462" s="2027"/>
      <c r="L1462" s="2025"/>
      <c r="M1462" s="2026"/>
      <c r="N1462" s="2026"/>
      <c r="O1462" s="2026"/>
      <c r="P1462" s="2020"/>
      <c r="Q1462" s="142"/>
      <c r="R1462" s="142"/>
    </row>
    <row r="1463" spans="1:18" s="251" customFormat="1" ht="15.6">
      <c r="A1463" s="38"/>
      <c r="B1463" s="269"/>
      <c r="C1463" s="271"/>
      <c r="D1463" s="270"/>
      <c r="E1463" s="26"/>
      <c r="F1463" s="269"/>
      <c r="G1463" s="270"/>
      <c r="H1463" s="269"/>
      <c r="I1463" s="1856"/>
      <c r="J1463" s="271"/>
      <c r="K1463" s="204"/>
      <c r="L1463" s="279"/>
      <c r="M1463" s="271"/>
      <c r="N1463" s="271"/>
      <c r="O1463" s="271"/>
      <c r="P1463" s="2020"/>
      <c r="Q1463" s="142"/>
      <c r="R1463" s="142"/>
    </row>
    <row r="1464" spans="1:18" s="251" customFormat="1" ht="15.6">
      <c r="A1464" s="38" t="s">
        <v>28</v>
      </c>
      <c r="B1464" s="2025" t="s">
        <v>101</v>
      </c>
      <c r="C1464" s="2026"/>
      <c r="D1464" s="2027"/>
      <c r="E1464" s="26">
        <f>+L1405-2.264</f>
        <v>10.130720000000002</v>
      </c>
      <c r="F1464" s="2025">
        <v>12</v>
      </c>
      <c r="G1464" s="2027"/>
      <c r="H1464" s="2025" t="s">
        <v>49</v>
      </c>
      <c r="I1464" s="2026"/>
      <c r="J1464" s="2026"/>
      <c r="K1464" s="2027"/>
      <c r="L1464" s="2025" t="s">
        <v>276</v>
      </c>
      <c r="M1464" s="2026"/>
      <c r="N1464" s="2026"/>
      <c r="O1464" s="2026"/>
      <c r="P1464" s="2020"/>
      <c r="Q1464" s="142"/>
      <c r="R1464" s="142"/>
    </row>
    <row r="1465" spans="1:18" s="251" customFormat="1" ht="15.6">
      <c r="A1465" s="38" t="s">
        <v>29</v>
      </c>
      <c r="B1465" s="2025" t="s">
        <v>102</v>
      </c>
      <c r="C1465" s="2026"/>
      <c r="D1465" s="2027"/>
      <c r="E1465" s="26">
        <f>+L1428-0.209</f>
        <v>58.826040000000006</v>
      </c>
      <c r="F1465" s="2025">
        <v>12</v>
      </c>
      <c r="G1465" s="2027"/>
      <c r="H1465" s="2025" t="s">
        <v>49</v>
      </c>
      <c r="I1465" s="2026"/>
      <c r="J1465" s="2026"/>
      <c r="K1465" s="2027"/>
      <c r="L1465" s="2025" t="s">
        <v>276</v>
      </c>
      <c r="M1465" s="2026"/>
      <c r="N1465" s="2026"/>
      <c r="O1465" s="2026"/>
      <c r="P1465" s="2020"/>
      <c r="Q1465" s="142"/>
      <c r="R1465" s="142"/>
    </row>
    <row r="1466" spans="1:18" s="251" customFormat="1" ht="15.6">
      <c r="A1466" s="38" t="s">
        <v>30</v>
      </c>
      <c r="B1466" s="2025" t="s">
        <v>103</v>
      </c>
      <c r="C1466" s="2026"/>
      <c r="D1466" s="2027"/>
      <c r="E1466" s="26">
        <f>+L1433</f>
        <v>32.883120000000005</v>
      </c>
      <c r="F1466" s="2025">
        <v>12</v>
      </c>
      <c r="G1466" s="2027"/>
      <c r="H1466" s="2025" t="s">
        <v>49</v>
      </c>
      <c r="I1466" s="2026"/>
      <c r="J1466" s="2026"/>
      <c r="K1466" s="2027"/>
      <c r="L1466" s="2025" t="s">
        <v>276</v>
      </c>
      <c r="M1466" s="2026"/>
      <c r="N1466" s="2026"/>
      <c r="O1466" s="2026"/>
      <c r="P1466" s="2020"/>
      <c r="Q1466" s="142"/>
      <c r="R1466" s="142"/>
    </row>
    <row r="1467" spans="1:18" s="251" customFormat="1" ht="15.6">
      <c r="A1467" s="38" t="s">
        <v>46</v>
      </c>
      <c r="B1467" s="2025" t="s">
        <v>104</v>
      </c>
      <c r="C1467" s="2026"/>
      <c r="D1467" s="2027"/>
      <c r="E1467" s="26">
        <f>+L1455</f>
        <v>31.403880000000004</v>
      </c>
      <c r="F1467" s="2025">
        <v>13</v>
      </c>
      <c r="G1467" s="2027"/>
      <c r="H1467" s="2025" t="s">
        <v>49</v>
      </c>
      <c r="I1467" s="2026"/>
      <c r="J1467" s="2026"/>
      <c r="K1467" s="2027"/>
      <c r="L1467" s="2025" t="s">
        <v>276</v>
      </c>
      <c r="M1467" s="2026"/>
      <c r="N1467" s="2026"/>
      <c r="O1467" s="2026"/>
      <c r="P1467" s="2020"/>
      <c r="Q1467" s="142"/>
      <c r="R1467" s="142"/>
    </row>
    <row r="1468" spans="1:18" s="251" customFormat="1" ht="15.6">
      <c r="A1468" s="38"/>
      <c r="B1468" s="2025"/>
      <c r="C1468" s="2026"/>
      <c r="D1468" s="2027"/>
      <c r="E1468" s="26"/>
      <c r="F1468" s="2025"/>
      <c r="G1468" s="2027"/>
      <c r="H1468" s="2025"/>
      <c r="I1468" s="2026"/>
      <c r="J1468" s="2026"/>
      <c r="K1468" s="2027"/>
      <c r="L1468" s="2025"/>
      <c r="M1468" s="2026"/>
      <c r="N1468" s="2026"/>
      <c r="O1468" s="2026"/>
      <c r="P1468" s="2020"/>
      <c r="Q1468" s="142"/>
      <c r="R1468" s="142"/>
    </row>
    <row r="1469" spans="1:18" s="251" customFormat="1" ht="16.2" thickBot="1">
      <c r="A1469" s="38"/>
      <c r="B1469" s="269"/>
      <c r="C1469" s="271"/>
      <c r="D1469" s="271"/>
      <c r="E1469" s="26"/>
      <c r="F1469" s="271"/>
      <c r="G1469" s="270"/>
      <c r="H1469" s="269"/>
      <c r="I1469" s="1856"/>
      <c r="J1469" s="271"/>
      <c r="K1469" s="204"/>
      <c r="L1469" s="39"/>
      <c r="M1469" s="40"/>
      <c r="N1469" s="40"/>
      <c r="O1469" s="40"/>
      <c r="P1469" s="2020"/>
      <c r="Q1469" s="142"/>
      <c r="R1469" s="142"/>
    </row>
    <row r="1470" spans="1:18" s="251" customFormat="1" ht="15.6">
      <c r="A1470" s="41"/>
      <c r="B1470" s="42"/>
      <c r="C1470" s="43"/>
      <c r="D1470" s="43"/>
      <c r="E1470" s="2028">
        <f>SUM(E1462:E1469)</f>
        <v>133.24376000000001</v>
      </c>
      <c r="F1470" s="44"/>
      <c r="G1470" s="45"/>
      <c r="H1470" s="46"/>
      <c r="I1470" s="1858"/>
      <c r="J1470" s="43"/>
      <c r="K1470" s="205"/>
      <c r="L1470" s="46"/>
      <c r="M1470" s="43"/>
      <c r="N1470" s="44"/>
      <c r="O1470" s="43"/>
      <c r="P1470" s="2020"/>
      <c r="Q1470" s="142"/>
      <c r="R1470" s="142"/>
    </row>
    <row r="1471" spans="1:18" s="251" customFormat="1" ht="16.2" thickBot="1">
      <c r="A1471" s="47"/>
      <c r="B1471" s="48"/>
      <c r="C1471" s="49"/>
      <c r="D1471" s="49"/>
      <c r="E1471" s="2029"/>
      <c r="F1471" s="50"/>
      <c r="G1471" s="51"/>
      <c r="H1471" s="52"/>
      <c r="I1471" s="1860"/>
      <c r="J1471" s="49"/>
      <c r="K1471" s="206"/>
      <c r="L1471" s="52"/>
      <c r="M1471" s="49"/>
      <c r="N1471" s="50"/>
      <c r="O1471" s="49"/>
      <c r="P1471" s="2020"/>
      <c r="Q1471" s="142"/>
      <c r="R1471" s="142"/>
    </row>
    <row r="1472" spans="1:18" s="251" customFormat="1" ht="15.6">
      <c r="A1472" s="53" t="s">
        <v>31</v>
      </c>
      <c r="B1472" s="43"/>
      <c r="C1472" s="43"/>
      <c r="D1472" s="43"/>
      <c r="E1472" s="43"/>
      <c r="F1472" s="44"/>
      <c r="G1472" s="43"/>
      <c r="H1472" s="44"/>
      <c r="I1472" s="1858"/>
      <c r="J1472" s="43"/>
      <c r="K1472" s="207"/>
      <c r="L1472" s="44"/>
      <c r="M1472" s="43"/>
      <c r="N1472" s="44"/>
      <c r="O1472" s="43"/>
      <c r="P1472" s="2020"/>
      <c r="Q1472" s="142"/>
      <c r="R1472" s="142"/>
    </row>
    <row r="1473" spans="1:18" s="251" customFormat="1" ht="15.6">
      <c r="A1473" s="54"/>
      <c r="B1473" s="55"/>
      <c r="C1473" s="55"/>
      <c r="D1473" s="55"/>
      <c r="E1473" s="55"/>
      <c r="F1473" s="268"/>
      <c r="G1473" s="55"/>
      <c r="H1473" s="268"/>
      <c r="I1473" s="1859"/>
      <c r="J1473" s="55"/>
      <c r="K1473" s="208"/>
      <c r="L1473" s="283"/>
      <c r="M1473" s="55"/>
      <c r="N1473" s="268"/>
      <c r="O1473" s="55"/>
      <c r="P1473" s="2020"/>
      <c r="Q1473" s="142"/>
      <c r="R1473" s="142"/>
    </row>
    <row r="1474" spans="1:18" s="251" customFormat="1" ht="16.2" thickBot="1">
      <c r="A1474" s="2030" t="s">
        <v>32</v>
      </c>
      <c r="B1474" s="2031"/>
      <c r="C1474" s="2032" t="s">
        <v>33</v>
      </c>
      <c r="D1474" s="2033"/>
      <c r="E1474" s="57" t="s">
        <v>34</v>
      </c>
      <c r="F1474" s="57" t="s">
        <v>35</v>
      </c>
      <c r="G1474" s="2034" t="s">
        <v>36</v>
      </c>
      <c r="H1474" s="2035"/>
      <c r="I1474" s="2035"/>
      <c r="J1474" s="2035"/>
      <c r="K1474" s="2035"/>
      <c r="L1474" s="2035"/>
      <c r="M1474" s="2035"/>
      <c r="N1474" s="2035"/>
      <c r="O1474" s="2035"/>
      <c r="P1474" s="2020"/>
      <c r="Q1474" s="142"/>
      <c r="R1474" s="142"/>
    </row>
    <row r="1475" spans="1:18" s="251" customFormat="1" ht="15.6">
      <c r="A1475" s="2036"/>
      <c r="B1475" s="2023"/>
      <c r="C1475" s="2021"/>
      <c r="D1475" s="2023"/>
      <c r="E1475" s="274"/>
      <c r="F1475" s="272"/>
      <c r="G1475" s="2037"/>
      <c r="H1475" s="2038"/>
      <c r="I1475" s="2038"/>
      <c r="J1475" s="2038"/>
      <c r="K1475" s="2038"/>
      <c r="L1475" s="2038"/>
      <c r="M1475" s="2038"/>
      <c r="N1475" s="2038"/>
      <c r="O1475" s="2038"/>
      <c r="P1475" s="2020"/>
      <c r="Q1475" s="142"/>
      <c r="R1475" s="142"/>
    </row>
    <row r="1476" spans="1:18" s="251" customFormat="1" ht="15.6">
      <c r="A1476" s="2043" t="s">
        <v>37</v>
      </c>
      <c r="B1476" s="2044"/>
      <c r="C1476" s="2021"/>
      <c r="D1476" s="2023"/>
      <c r="E1476" s="274"/>
      <c r="F1476" s="272"/>
      <c r="G1476" s="2039"/>
      <c r="H1476" s="2040"/>
      <c r="I1476" s="2040"/>
      <c r="J1476" s="2040"/>
      <c r="K1476" s="2040"/>
      <c r="L1476" s="2040"/>
      <c r="M1476" s="2040"/>
      <c r="N1476" s="2040"/>
      <c r="O1476" s="2040"/>
      <c r="P1476" s="2020"/>
      <c r="Q1476" s="142"/>
      <c r="R1476" s="142"/>
    </row>
    <row r="1477" spans="1:18" s="251" customFormat="1" ht="15.6">
      <c r="A1477" s="2043" t="s">
        <v>38</v>
      </c>
      <c r="B1477" s="2044"/>
      <c r="C1477" s="2021"/>
      <c r="D1477" s="2023"/>
      <c r="E1477" s="274"/>
      <c r="F1477" s="272"/>
      <c r="G1477" s="2039"/>
      <c r="H1477" s="2040"/>
      <c r="I1477" s="2040"/>
      <c r="J1477" s="2040"/>
      <c r="K1477" s="2040"/>
      <c r="L1477" s="2040"/>
      <c r="M1477" s="2040"/>
      <c r="N1477" s="2040"/>
      <c r="O1477" s="2040"/>
      <c r="P1477" s="2020"/>
      <c r="Q1477" s="142"/>
      <c r="R1477" s="142"/>
    </row>
    <row r="1478" spans="1:18" s="251" customFormat="1" ht="15.6">
      <c r="A1478" s="2043" t="s">
        <v>39</v>
      </c>
      <c r="B1478" s="2044"/>
      <c r="C1478" s="2021"/>
      <c r="D1478" s="2023"/>
      <c r="E1478" s="274"/>
      <c r="F1478" s="272"/>
      <c r="G1478" s="2039"/>
      <c r="H1478" s="2040"/>
      <c r="I1478" s="2040"/>
      <c r="J1478" s="2040"/>
      <c r="K1478" s="2040"/>
      <c r="L1478" s="2040"/>
      <c r="M1478" s="2040"/>
      <c r="N1478" s="2040"/>
      <c r="O1478" s="2040"/>
      <c r="P1478" s="2020"/>
      <c r="Q1478" s="142"/>
      <c r="R1478" s="142"/>
    </row>
    <row r="1479" spans="1:18" s="251" customFormat="1" ht="15.6">
      <c r="A1479" s="2043" t="s">
        <v>40</v>
      </c>
      <c r="B1479" s="2044"/>
      <c r="C1479" s="2021"/>
      <c r="D1479" s="2023"/>
      <c r="E1479" s="274"/>
      <c r="F1479" s="272"/>
      <c r="G1479" s="2039"/>
      <c r="H1479" s="2040"/>
      <c r="I1479" s="2040"/>
      <c r="J1479" s="2040"/>
      <c r="K1479" s="2040"/>
      <c r="L1479" s="2040"/>
      <c r="M1479" s="2040"/>
      <c r="N1479" s="2040"/>
      <c r="O1479" s="2040"/>
      <c r="P1479" s="2020"/>
      <c r="Q1479" s="142"/>
      <c r="R1479" s="142"/>
    </row>
    <row r="1480" spans="1:18" s="251" customFormat="1" ht="16.2" thickBot="1">
      <c r="A1480" s="2049" t="s">
        <v>41</v>
      </c>
      <c r="B1480" s="2050"/>
      <c r="C1480" s="2051"/>
      <c r="D1480" s="2052"/>
      <c r="E1480" s="58"/>
      <c r="F1480" s="273"/>
      <c r="G1480" s="2041"/>
      <c r="H1480" s="2042"/>
      <c r="I1480" s="2042"/>
      <c r="J1480" s="2042"/>
      <c r="K1480" s="2042"/>
      <c r="L1480" s="2042"/>
      <c r="M1480" s="2042"/>
      <c r="N1480" s="2042"/>
      <c r="O1480" s="2042"/>
      <c r="P1480" s="2020"/>
      <c r="Q1480" s="142"/>
      <c r="R1480" s="142"/>
    </row>
    <row r="1481" spans="1:18" s="251" customFormat="1" ht="15.6">
      <c r="A1481" s="54"/>
      <c r="B1481" s="55"/>
      <c r="C1481" s="55"/>
      <c r="D1481" s="55"/>
      <c r="E1481" s="55"/>
      <c r="F1481" s="268"/>
      <c r="G1481" s="55"/>
      <c r="H1481" s="59"/>
      <c r="I1481" s="60"/>
      <c r="J1481" s="61"/>
      <c r="K1481" s="209"/>
      <c r="L1481" s="301"/>
      <c r="M1481" s="55"/>
      <c r="N1481" s="268"/>
      <c r="O1481" s="55"/>
      <c r="P1481" s="2020"/>
      <c r="Q1481" s="142"/>
      <c r="R1481" s="142"/>
    </row>
    <row r="1482" spans="1:18" s="251" customFormat="1" ht="15.6">
      <c r="A1482" s="62" t="s">
        <v>42</v>
      </c>
      <c r="B1482" s="56"/>
      <c r="C1482" s="55"/>
      <c r="D1482" s="55"/>
      <c r="E1482" s="55"/>
      <c r="F1482" s="268"/>
      <c r="G1482" s="56"/>
      <c r="H1482" s="59"/>
      <c r="I1482" s="60"/>
      <c r="J1482" s="61"/>
      <c r="K1482" s="208"/>
      <c r="L1482" s="302"/>
      <c r="M1482" s="55"/>
      <c r="N1482" s="2045" t="s">
        <v>43</v>
      </c>
      <c r="O1482" s="2045"/>
      <c r="P1482" s="2020"/>
      <c r="Q1482" s="142"/>
      <c r="R1482" s="142"/>
    </row>
    <row r="1483" spans="1:18" s="251" customFormat="1" ht="15.6">
      <c r="A1483" s="62"/>
      <c r="B1483" s="56"/>
      <c r="C1483" s="55"/>
      <c r="D1483" s="55"/>
      <c r="E1483" s="55"/>
      <c r="F1483" s="268"/>
      <c r="G1483" s="55"/>
      <c r="H1483" s="268"/>
      <c r="I1483" s="1859"/>
      <c r="J1483" s="55"/>
      <c r="K1483" s="208"/>
      <c r="L1483" s="283"/>
      <c r="M1483" s="55"/>
      <c r="N1483" s="268"/>
      <c r="O1483" s="56"/>
      <c r="P1483" s="2020"/>
      <c r="Q1483" s="142"/>
      <c r="R1483" s="142"/>
    </row>
    <row r="1484" spans="1:18" s="251" customFormat="1" ht="15.6">
      <c r="A1484" s="62" t="s">
        <v>44</v>
      </c>
      <c r="B1484" s="56"/>
      <c r="C1484" s="55"/>
      <c r="D1484" s="55"/>
      <c r="E1484" s="55"/>
      <c r="F1484" s="268"/>
      <c r="G1484" s="55"/>
      <c r="H1484" s="268"/>
      <c r="I1484" s="1859"/>
      <c r="J1484" s="55"/>
      <c r="K1484" s="208"/>
      <c r="L1484" s="283"/>
      <c r="M1484" s="55"/>
      <c r="N1484" s="2045" t="s">
        <v>45</v>
      </c>
      <c r="O1484" s="2045"/>
      <c r="P1484" s="2020"/>
      <c r="Q1484" s="142"/>
      <c r="R1484" s="142"/>
    </row>
    <row r="1485" spans="1:18" s="251" customFormat="1" ht="16.2" thickBot="1">
      <c r="A1485" s="48"/>
      <c r="B1485" s="49"/>
      <c r="C1485" s="49"/>
      <c r="D1485" s="49"/>
      <c r="E1485" s="49"/>
      <c r="F1485" s="50"/>
      <c r="G1485" s="49"/>
      <c r="H1485" s="50"/>
      <c r="I1485" s="1860"/>
      <c r="J1485" s="49"/>
      <c r="K1485" s="210"/>
      <c r="L1485" s="50"/>
      <c r="M1485" s="49"/>
      <c r="N1485" s="50"/>
      <c r="O1485" s="49"/>
      <c r="P1485" s="2020"/>
      <c r="Q1485" s="142"/>
      <c r="R1485" s="142"/>
    </row>
    <row r="1487" spans="1:18">
      <c r="A1487" s="1" t="s">
        <v>48</v>
      </c>
      <c r="B1487" s="1"/>
      <c r="C1487" s="2"/>
      <c r="D1487" s="2"/>
      <c r="E1487" s="2"/>
      <c r="F1487" s="3"/>
      <c r="G1487" s="2"/>
      <c r="H1487" s="2"/>
      <c r="I1487" s="4"/>
      <c r="J1487" s="5"/>
      <c r="K1487" s="196"/>
      <c r="L1487" s="2056" t="s">
        <v>0</v>
      </c>
      <c r="M1487" s="2056"/>
      <c r="N1487" s="2056"/>
      <c r="O1487" s="2056"/>
      <c r="P1487" s="64"/>
      <c r="Q1487" s="64"/>
      <c r="R1487" s="64"/>
    </row>
    <row r="1488" spans="1:18" ht="15.6">
      <c r="A1488" s="27" t="s">
        <v>1</v>
      </c>
      <c r="B1488" s="27"/>
      <c r="C1488" s="27"/>
      <c r="D1488" s="28" t="s">
        <v>2</v>
      </c>
      <c r="E1488" s="28"/>
      <c r="F1488" s="29"/>
      <c r="G1488" s="29"/>
      <c r="H1488" s="29"/>
      <c r="I1488" s="30"/>
      <c r="J1488" s="31"/>
      <c r="K1488" s="197" t="s">
        <v>3</v>
      </c>
      <c r="L1488" s="31"/>
      <c r="M1488" s="27"/>
      <c r="N1488" s="29"/>
      <c r="O1488" s="27"/>
      <c r="P1488" s="67"/>
      <c r="Q1488" s="1039"/>
      <c r="R1488" s="1039"/>
    </row>
    <row r="1489" spans="1:19" ht="31.2">
      <c r="A1489" s="32" t="s">
        <v>4</v>
      </c>
      <c r="B1489" s="32" t="s">
        <v>5</v>
      </c>
      <c r="C1489" s="32" t="s">
        <v>6</v>
      </c>
      <c r="D1489" s="32" t="s">
        <v>7</v>
      </c>
      <c r="E1489" s="32" t="s">
        <v>8</v>
      </c>
      <c r="F1489" s="33" t="s">
        <v>9</v>
      </c>
      <c r="G1489" s="34" t="s">
        <v>10</v>
      </c>
      <c r="H1489" s="34" t="s">
        <v>11</v>
      </c>
      <c r="I1489" s="35" t="s">
        <v>12</v>
      </c>
      <c r="J1489" s="36" t="s">
        <v>13</v>
      </c>
      <c r="K1489" s="198" t="s">
        <v>14</v>
      </c>
      <c r="L1489" s="297" t="s">
        <v>15</v>
      </c>
      <c r="M1489" s="33" t="s">
        <v>16</v>
      </c>
      <c r="N1489" s="33" t="s">
        <v>17</v>
      </c>
      <c r="O1489" s="34" t="s">
        <v>18</v>
      </c>
      <c r="P1489" s="8" t="s">
        <v>192</v>
      </c>
      <c r="Q1489" s="1040"/>
      <c r="R1489" s="1040"/>
    </row>
    <row r="1490" spans="1:19" ht="15.6">
      <c r="A1490" s="20"/>
      <c r="B1490" s="20"/>
      <c r="C1490" s="20"/>
      <c r="D1490" s="20"/>
      <c r="E1490" s="20"/>
      <c r="F1490" s="20"/>
      <c r="G1490" s="20"/>
      <c r="H1490" s="20"/>
      <c r="I1490" s="115"/>
      <c r="J1490" s="23"/>
      <c r="K1490" s="25"/>
      <c r="L1490" s="128"/>
      <c r="M1490" s="20"/>
      <c r="N1490" s="20"/>
      <c r="O1490" s="20"/>
      <c r="P1490" s="20"/>
      <c r="Q1490" s="155"/>
      <c r="R1490" s="155"/>
    </row>
    <row r="1491" spans="1:19" ht="15.6">
      <c r="A1491" s="21" t="s">
        <v>83</v>
      </c>
      <c r="B1491" s="21" t="s">
        <v>222</v>
      </c>
      <c r="C1491" s="21" t="s">
        <v>19</v>
      </c>
      <c r="D1491" s="21" t="s">
        <v>20</v>
      </c>
      <c r="E1491" s="21" t="s">
        <v>57</v>
      </c>
      <c r="F1491" s="22">
        <v>13</v>
      </c>
      <c r="G1491" s="20" t="s">
        <v>21</v>
      </c>
      <c r="H1491" s="143" t="s">
        <v>229</v>
      </c>
      <c r="I1491" s="115">
        <v>21.6</v>
      </c>
      <c r="J1491" s="23">
        <v>9</v>
      </c>
      <c r="K1491" s="25">
        <v>14</v>
      </c>
      <c r="L1491" s="130">
        <f>(I1491*J1491*K1491/1000)</f>
        <v>2.7216</v>
      </c>
      <c r="M1491" s="20"/>
      <c r="N1491" s="20"/>
      <c r="O1491" s="20"/>
      <c r="P1491" s="20"/>
      <c r="Q1491" s="155"/>
      <c r="R1491" s="155"/>
      <c r="S1491" s="150" t="s">
        <v>311</v>
      </c>
    </row>
    <row r="1492" spans="1:19" ht="15.6">
      <c r="A1492" s="20"/>
      <c r="B1492" s="21" t="s">
        <v>204</v>
      </c>
      <c r="C1492" s="20"/>
      <c r="D1492" s="20"/>
      <c r="E1492" s="20"/>
      <c r="F1492" s="20"/>
      <c r="G1492" s="20"/>
      <c r="H1492" s="20"/>
      <c r="I1492" s="115"/>
      <c r="J1492" s="23"/>
      <c r="K1492" s="25">
        <f t="shared" ref="K1492" si="307">SUM(K1491)</f>
        <v>14</v>
      </c>
      <c r="L1492" s="128">
        <f>SUM(L1491)</f>
        <v>2.7216</v>
      </c>
      <c r="M1492" s="20"/>
      <c r="N1492" s="20"/>
      <c r="O1492" s="20"/>
      <c r="P1492" s="20"/>
      <c r="Q1492" s="155"/>
      <c r="R1492" s="155"/>
    </row>
    <row r="1493" spans="1:19" s="251" customFormat="1" ht="15.6">
      <c r="A1493" s="20"/>
      <c r="B1493" s="21"/>
      <c r="C1493" s="20"/>
      <c r="D1493" s="20"/>
      <c r="E1493" s="20"/>
      <c r="F1493" s="20"/>
      <c r="G1493" s="20"/>
      <c r="H1493" s="20"/>
      <c r="I1493" s="115"/>
      <c r="J1493" s="23"/>
      <c r="K1493" s="25"/>
      <c r="L1493" s="128"/>
      <c r="M1493" s="20"/>
      <c r="N1493" s="20"/>
      <c r="O1493" s="20"/>
      <c r="P1493" s="20"/>
      <c r="Q1493" s="155"/>
      <c r="R1493" s="155"/>
    </row>
    <row r="1494" spans="1:19" s="251" customFormat="1" ht="15.6">
      <c r="A1494" s="21" t="s">
        <v>83</v>
      </c>
      <c r="B1494" s="21" t="s">
        <v>295</v>
      </c>
      <c r="C1494" s="21" t="s">
        <v>19</v>
      </c>
      <c r="D1494" s="21" t="s">
        <v>20</v>
      </c>
      <c r="E1494" s="21" t="s">
        <v>57</v>
      </c>
      <c r="F1494" s="22">
        <v>13</v>
      </c>
      <c r="G1494" s="20" t="s">
        <v>21</v>
      </c>
      <c r="H1494" s="143" t="s">
        <v>229</v>
      </c>
      <c r="I1494" s="115">
        <v>21.6</v>
      </c>
      <c r="J1494" s="23">
        <v>12</v>
      </c>
      <c r="K1494" s="25">
        <v>45</v>
      </c>
      <c r="L1494" s="130">
        <f t="shared" ref="L1494" si="308">(I1494*J1494*K1494/1000)</f>
        <v>11.664000000000001</v>
      </c>
      <c r="M1494" s="20"/>
      <c r="N1494" s="20"/>
      <c r="O1494" s="20"/>
      <c r="P1494" s="20"/>
      <c r="Q1494" s="155"/>
      <c r="R1494" s="155"/>
      <c r="S1494" s="150" t="s">
        <v>311</v>
      </c>
    </row>
    <row r="1495" spans="1:19" s="251" customFormat="1" ht="15.6">
      <c r="A1495" s="20"/>
      <c r="B1495" s="21" t="s">
        <v>204</v>
      </c>
      <c r="C1495" s="20"/>
      <c r="D1495" s="20"/>
      <c r="E1495" s="20"/>
      <c r="F1495" s="20"/>
      <c r="G1495" s="20"/>
      <c r="H1495" s="20"/>
      <c r="I1495" s="104"/>
      <c r="J1495" s="23"/>
      <c r="K1495" s="25">
        <f>SUM(K1494:K1494)</f>
        <v>45</v>
      </c>
      <c r="L1495" s="128">
        <f>SUM(L1494:L1494)</f>
        <v>11.664000000000001</v>
      </c>
      <c r="M1495" s="20"/>
      <c r="N1495" s="20"/>
      <c r="O1495" s="20"/>
      <c r="P1495" s="20"/>
      <c r="Q1495" s="155"/>
      <c r="R1495" s="155"/>
    </row>
    <row r="1496" spans="1:19" s="251" customFormat="1" ht="15.6">
      <c r="A1496" s="20"/>
      <c r="B1496" s="21"/>
      <c r="C1496" s="20"/>
      <c r="D1496" s="20"/>
      <c r="E1496" s="20"/>
      <c r="F1496" s="20"/>
      <c r="G1496" s="20"/>
      <c r="H1496" s="20"/>
      <c r="I1496" s="115"/>
      <c r="J1496" s="23"/>
      <c r="K1496" s="25"/>
      <c r="L1496" s="128">
        <f>+L1495+L1492</f>
        <v>14.385600000000002</v>
      </c>
      <c r="M1496" s="20"/>
      <c r="N1496" s="20"/>
      <c r="O1496" s="20"/>
      <c r="P1496" s="20"/>
      <c r="Q1496" s="155"/>
      <c r="R1496" s="155"/>
    </row>
    <row r="1497" spans="1:19" s="251" customFormat="1" ht="15.6">
      <c r="A1497" s="20"/>
      <c r="B1497" s="21"/>
      <c r="C1497" s="20"/>
      <c r="D1497" s="20"/>
      <c r="E1497" s="20"/>
      <c r="F1497" s="20"/>
      <c r="G1497" s="20"/>
      <c r="H1497" s="20"/>
      <c r="I1497" s="115"/>
      <c r="J1497" s="23"/>
      <c r="K1497" s="25"/>
      <c r="L1497" s="128"/>
      <c r="M1497" s="20"/>
      <c r="N1497" s="20"/>
      <c r="O1497" s="20"/>
      <c r="P1497" s="20"/>
      <c r="Q1497" s="155"/>
      <c r="R1497" s="155"/>
    </row>
    <row r="1498" spans="1:19" s="251" customFormat="1" ht="15.6">
      <c r="A1498" s="20"/>
      <c r="B1498" s="229"/>
      <c r="C1498" s="20"/>
      <c r="D1498" s="20"/>
      <c r="E1498" s="20"/>
      <c r="F1498" s="20"/>
      <c r="G1498" s="20"/>
      <c r="H1498" s="20"/>
      <c r="I1498" s="104"/>
      <c r="J1498" s="23"/>
      <c r="K1498" s="25"/>
      <c r="L1498" s="128"/>
      <c r="M1498" s="20"/>
      <c r="N1498" s="20"/>
      <c r="O1498" s="20"/>
      <c r="P1498" s="20"/>
      <c r="Q1498" s="155"/>
      <c r="R1498" s="155"/>
    </row>
    <row r="1499" spans="1:19" ht="15.6">
      <c r="A1499" s="21" t="s">
        <v>83</v>
      </c>
      <c r="B1499" s="21" t="s">
        <v>222</v>
      </c>
      <c r="C1499" s="21" t="s">
        <v>19</v>
      </c>
      <c r="D1499" s="21" t="s">
        <v>20</v>
      </c>
      <c r="E1499" s="21" t="s">
        <v>57</v>
      </c>
      <c r="F1499" s="22">
        <v>13</v>
      </c>
      <c r="G1499" s="20" t="s">
        <v>21</v>
      </c>
      <c r="H1499" s="143" t="s">
        <v>120</v>
      </c>
      <c r="I1499" s="115">
        <v>18.2</v>
      </c>
      <c r="J1499" s="144">
        <v>8.6999999999999993</v>
      </c>
      <c r="K1499" s="25">
        <v>12</v>
      </c>
      <c r="L1499" s="130">
        <f t="shared" ref="L1499:L1505" si="309">(I1499*J1499*K1499/1000)</f>
        <v>1.9000799999999998</v>
      </c>
      <c r="M1499" s="20"/>
      <c r="N1499" s="20"/>
      <c r="O1499" s="20"/>
      <c r="P1499" s="20"/>
      <c r="Q1499" s="155"/>
      <c r="R1499" s="155"/>
      <c r="S1499" s="150" t="s">
        <v>311</v>
      </c>
    </row>
    <row r="1500" spans="1:19" ht="15.6">
      <c r="A1500" s="20"/>
      <c r="B1500" s="21" t="s">
        <v>204</v>
      </c>
      <c r="C1500" s="20"/>
      <c r="D1500" s="20"/>
      <c r="E1500" s="20"/>
      <c r="F1500" s="20"/>
      <c r="G1500" s="20" t="s">
        <v>21</v>
      </c>
      <c r="H1500" s="20" t="s">
        <v>120</v>
      </c>
      <c r="I1500" s="115">
        <v>18.2</v>
      </c>
      <c r="J1500" s="23">
        <v>8.6999999999999993</v>
      </c>
      <c r="K1500" s="25">
        <v>20</v>
      </c>
      <c r="L1500" s="130">
        <f t="shared" si="309"/>
        <v>3.1667999999999994</v>
      </c>
      <c r="M1500" s="20"/>
      <c r="N1500" s="20"/>
      <c r="O1500" s="20"/>
      <c r="P1500" s="20"/>
      <c r="Q1500" s="155"/>
      <c r="R1500" s="155"/>
    </row>
    <row r="1501" spans="1:19" ht="15.6">
      <c r="A1501" s="20"/>
      <c r="B1501" s="20"/>
      <c r="C1501" s="20"/>
      <c r="D1501" s="20"/>
      <c r="E1501" s="20"/>
      <c r="F1501" s="20"/>
      <c r="G1501" s="20" t="s">
        <v>21</v>
      </c>
      <c r="H1501" s="20" t="s">
        <v>120</v>
      </c>
      <c r="I1501" s="115">
        <v>18.2</v>
      </c>
      <c r="J1501" s="23">
        <v>10</v>
      </c>
      <c r="K1501" s="25">
        <v>12</v>
      </c>
      <c r="L1501" s="130">
        <f t="shared" si="309"/>
        <v>2.1840000000000002</v>
      </c>
      <c r="M1501" s="20"/>
      <c r="N1501" s="20"/>
      <c r="O1501" s="20"/>
      <c r="P1501" s="20"/>
      <c r="Q1501" s="155"/>
      <c r="R1501" s="155"/>
    </row>
    <row r="1502" spans="1:19" ht="15.6">
      <c r="A1502" s="20"/>
      <c r="B1502" s="20"/>
      <c r="C1502" s="20"/>
      <c r="D1502" s="20"/>
      <c r="E1502" s="20"/>
      <c r="F1502" s="20"/>
      <c r="G1502" s="20" t="s">
        <v>21</v>
      </c>
      <c r="H1502" s="20" t="s">
        <v>120</v>
      </c>
      <c r="I1502" s="115">
        <v>18.2</v>
      </c>
      <c r="J1502" s="23">
        <v>10.4</v>
      </c>
      <c r="K1502" s="25">
        <v>20</v>
      </c>
      <c r="L1502" s="130">
        <f t="shared" si="309"/>
        <v>3.7856000000000001</v>
      </c>
      <c r="M1502" s="20"/>
      <c r="N1502" s="20"/>
      <c r="O1502" s="20"/>
      <c r="P1502" s="20"/>
      <c r="Q1502" s="155"/>
      <c r="R1502" s="155"/>
    </row>
    <row r="1503" spans="1:19" ht="15.6">
      <c r="A1503" s="20"/>
      <c r="B1503" s="20"/>
      <c r="C1503" s="20"/>
      <c r="D1503" s="20"/>
      <c r="E1503" s="20"/>
      <c r="F1503" s="20"/>
      <c r="G1503" s="20" t="s">
        <v>21</v>
      </c>
      <c r="H1503" s="20" t="s">
        <v>120</v>
      </c>
      <c r="I1503" s="115">
        <v>18.2</v>
      </c>
      <c r="J1503" s="23">
        <v>10.5</v>
      </c>
      <c r="K1503" s="25">
        <v>44</v>
      </c>
      <c r="L1503" s="130">
        <f t="shared" si="309"/>
        <v>8.4084000000000003</v>
      </c>
      <c r="M1503" s="20"/>
      <c r="N1503" s="20"/>
      <c r="O1503" s="20"/>
      <c r="P1503" s="20"/>
      <c r="Q1503" s="155"/>
      <c r="R1503" s="155"/>
    </row>
    <row r="1504" spans="1:19" ht="15.6">
      <c r="A1504" s="20"/>
      <c r="B1504" s="20"/>
      <c r="C1504" s="20"/>
      <c r="D1504" s="20"/>
      <c r="E1504" s="20"/>
      <c r="F1504" s="20"/>
      <c r="G1504" s="20" t="s">
        <v>21</v>
      </c>
      <c r="H1504" s="20" t="s">
        <v>120</v>
      </c>
      <c r="I1504" s="115">
        <v>18.2</v>
      </c>
      <c r="J1504" s="23">
        <v>11</v>
      </c>
      <c r="K1504" s="25">
        <v>33</v>
      </c>
      <c r="L1504" s="130">
        <f t="shared" si="309"/>
        <v>6.6065999999999994</v>
      </c>
      <c r="M1504" s="20"/>
      <c r="N1504" s="20"/>
      <c r="O1504" s="20"/>
      <c r="P1504" s="20"/>
      <c r="Q1504" s="155"/>
      <c r="R1504" s="155"/>
    </row>
    <row r="1505" spans="1:19" ht="15.6">
      <c r="A1505" s="20"/>
      <c r="B1505" s="20"/>
      <c r="C1505" s="20"/>
      <c r="D1505" s="20"/>
      <c r="E1505" s="20"/>
      <c r="F1505" s="20"/>
      <c r="G1505" s="20" t="s">
        <v>21</v>
      </c>
      <c r="H1505" s="20" t="s">
        <v>120</v>
      </c>
      <c r="I1505" s="115">
        <v>18.2</v>
      </c>
      <c r="J1505" s="23">
        <v>11.5</v>
      </c>
      <c r="K1505" s="25">
        <v>29</v>
      </c>
      <c r="L1505" s="130">
        <f t="shared" si="309"/>
        <v>6.0697000000000001</v>
      </c>
      <c r="M1505" s="20"/>
      <c r="N1505" s="20"/>
      <c r="O1505" s="20"/>
      <c r="P1505" s="20"/>
      <c r="Q1505" s="155"/>
      <c r="R1505" s="155"/>
    </row>
    <row r="1506" spans="1:19" ht="15.6">
      <c r="A1506" s="20"/>
      <c r="B1506" s="20"/>
      <c r="C1506" s="20"/>
      <c r="D1506" s="20"/>
      <c r="E1506" s="20"/>
      <c r="F1506" s="20"/>
      <c r="G1506" s="20" t="s">
        <v>21</v>
      </c>
      <c r="H1506" s="20" t="s">
        <v>120</v>
      </c>
      <c r="I1506" s="115">
        <v>18.2</v>
      </c>
      <c r="J1506" s="23">
        <v>11.8</v>
      </c>
      <c r="K1506" s="25">
        <v>35</v>
      </c>
      <c r="L1506" s="130">
        <f>(I1506*J1506*K1506/1000)</f>
        <v>7.5165999999999995</v>
      </c>
      <c r="M1506" s="20"/>
      <c r="N1506" s="20"/>
      <c r="O1506" s="20"/>
      <c r="P1506" s="20"/>
      <c r="Q1506" s="155"/>
      <c r="R1506" s="155"/>
    </row>
    <row r="1507" spans="1:19" ht="15.6">
      <c r="A1507" s="20"/>
      <c r="B1507" s="20"/>
      <c r="C1507" s="20"/>
      <c r="D1507" s="20"/>
      <c r="E1507" s="20"/>
      <c r="F1507" s="20"/>
      <c r="G1507" s="20"/>
      <c r="H1507" s="20"/>
      <c r="I1507" s="115"/>
      <c r="J1507" s="23"/>
      <c r="K1507" s="25">
        <f t="shared" ref="K1507" si="310">SUM(K1499:K1506)</f>
        <v>205</v>
      </c>
      <c r="L1507" s="128">
        <f>SUM(L1499:L1506)</f>
        <v>39.637779999999992</v>
      </c>
      <c r="M1507" s="20"/>
      <c r="N1507" s="20"/>
      <c r="O1507" s="20"/>
      <c r="P1507" s="20"/>
      <c r="Q1507" s="155"/>
      <c r="R1507" s="155"/>
    </row>
    <row r="1508" spans="1:19" s="251" customFormat="1" ht="15.6">
      <c r="A1508" s="20"/>
      <c r="B1508" s="20"/>
      <c r="C1508" s="20"/>
      <c r="D1508" s="20"/>
      <c r="E1508" s="20"/>
      <c r="F1508" s="20"/>
      <c r="G1508" s="20"/>
      <c r="H1508" s="20"/>
      <c r="I1508" s="115"/>
      <c r="J1508" s="23"/>
      <c r="K1508" s="25"/>
      <c r="L1508" s="128"/>
      <c r="M1508" s="20"/>
      <c r="N1508" s="20"/>
      <c r="O1508" s="20"/>
      <c r="P1508" s="20"/>
      <c r="Q1508" s="155"/>
      <c r="R1508" s="155"/>
    </row>
    <row r="1509" spans="1:19" s="251" customFormat="1" ht="15.6">
      <c r="A1509" s="21" t="s">
        <v>83</v>
      </c>
      <c r="B1509" s="21" t="s">
        <v>293</v>
      </c>
      <c r="C1509" s="21" t="s">
        <v>19</v>
      </c>
      <c r="D1509" s="21" t="s">
        <v>20</v>
      </c>
      <c r="E1509" s="401" t="s">
        <v>259</v>
      </c>
      <c r="F1509" s="22">
        <v>13</v>
      </c>
      <c r="G1509" s="20" t="s">
        <v>21</v>
      </c>
      <c r="H1509" s="143" t="s">
        <v>120</v>
      </c>
      <c r="I1509" s="115">
        <v>18.149999999999999</v>
      </c>
      <c r="J1509" s="23">
        <v>11.5</v>
      </c>
      <c r="K1509" s="25">
        <v>14</v>
      </c>
      <c r="L1509" s="130">
        <f>(I1509*J1509*K1509/1000)</f>
        <v>2.9221500000000002</v>
      </c>
      <c r="M1509" s="25">
        <v>14</v>
      </c>
      <c r="N1509" s="23">
        <f>J1509*M1509*I1509/1000</f>
        <v>2.9221499999999998</v>
      </c>
      <c r="O1509" s="20"/>
      <c r="P1509" s="20"/>
      <c r="Q1509" s="155"/>
      <c r="R1509" s="155"/>
      <c r="S1509" s="150" t="s">
        <v>311</v>
      </c>
    </row>
    <row r="1510" spans="1:19" s="251" customFormat="1" ht="15.6">
      <c r="A1510" s="20"/>
      <c r="B1510" s="21" t="s">
        <v>277</v>
      </c>
      <c r="C1510" s="20"/>
      <c r="D1510" s="20"/>
      <c r="E1510" s="20"/>
      <c r="F1510" s="20"/>
      <c r="G1510" s="20"/>
      <c r="H1510" s="20"/>
      <c r="I1510" s="115"/>
      <c r="J1510" s="23"/>
      <c r="K1510" s="25">
        <f t="shared" ref="K1510:M1510" si="311">SUM(K1509)</f>
        <v>14</v>
      </c>
      <c r="L1510" s="128">
        <f>SUM(L1509)</f>
        <v>2.9221500000000002</v>
      </c>
      <c r="M1510" s="25">
        <f t="shared" si="311"/>
        <v>14</v>
      </c>
      <c r="N1510" s="23">
        <f>SUM(N1509)</f>
        <v>2.9221499999999998</v>
      </c>
      <c r="O1510" s="20"/>
      <c r="P1510" s="20"/>
      <c r="Q1510" s="155"/>
      <c r="R1510" s="155"/>
    </row>
    <row r="1511" spans="1:19" s="251" customFormat="1" ht="15.6">
      <c r="A1511" s="20"/>
      <c r="B1511" s="21"/>
      <c r="C1511" s="20"/>
      <c r="D1511" s="20"/>
      <c r="E1511" s="20"/>
      <c r="F1511" s="20"/>
      <c r="G1511" s="20"/>
      <c r="H1511" s="20"/>
      <c r="I1511" s="115"/>
      <c r="J1511" s="23"/>
      <c r="K1511" s="25"/>
      <c r="L1511" s="128"/>
      <c r="M1511" s="25"/>
      <c r="N1511" s="23"/>
      <c r="O1511" s="20"/>
      <c r="P1511" s="20"/>
      <c r="Q1511" s="155"/>
      <c r="R1511" s="155"/>
    </row>
    <row r="1512" spans="1:19" s="251" customFormat="1" ht="15.6">
      <c r="A1512" s="21" t="s">
        <v>174</v>
      </c>
      <c r="B1512" s="21" t="s">
        <v>230</v>
      </c>
      <c r="C1512" s="21" t="s">
        <v>19</v>
      </c>
      <c r="D1512" s="21" t="s">
        <v>20</v>
      </c>
      <c r="E1512" s="21" t="s">
        <v>57</v>
      </c>
      <c r="F1512" s="22">
        <v>13</v>
      </c>
      <c r="G1512" s="20" t="s">
        <v>21</v>
      </c>
      <c r="H1512" s="143" t="s">
        <v>120</v>
      </c>
      <c r="I1512" s="131">
        <v>18.2</v>
      </c>
      <c r="J1512" s="23">
        <v>9.5</v>
      </c>
      <c r="K1512" s="25">
        <v>31</v>
      </c>
      <c r="L1512" s="130">
        <f>(I1512*J1512*K1512/1000)</f>
        <v>5.3599000000000006</v>
      </c>
      <c r="M1512" s="154"/>
      <c r="N1512" s="23"/>
      <c r="O1512" s="20"/>
      <c r="P1512" s="20"/>
      <c r="Q1512" s="155"/>
      <c r="R1512" s="155"/>
      <c r="S1512" s="150" t="s">
        <v>311</v>
      </c>
    </row>
    <row r="1513" spans="1:19" s="251" customFormat="1" ht="15.6">
      <c r="A1513" s="20"/>
      <c r="B1513" s="229" t="s">
        <v>207</v>
      </c>
      <c r="C1513" s="20"/>
      <c r="D1513" s="20"/>
      <c r="E1513" s="20"/>
      <c r="F1513" s="20"/>
      <c r="G1513" s="20"/>
      <c r="H1513" s="20"/>
      <c r="I1513" s="131"/>
      <c r="J1513" s="23"/>
      <c r="K1513" s="25">
        <f t="shared" ref="K1513:M1513" si="312">SUM(K1512)</f>
        <v>31</v>
      </c>
      <c r="L1513" s="128">
        <f>SUM(L1512)</f>
        <v>5.3599000000000006</v>
      </c>
      <c r="M1513" s="25">
        <f t="shared" si="312"/>
        <v>0</v>
      </c>
      <c r="N1513" s="124">
        <f>SUM(N1512)</f>
        <v>0</v>
      </c>
      <c r="O1513" s="20"/>
      <c r="P1513" s="20"/>
      <c r="Q1513" s="155"/>
      <c r="R1513" s="155"/>
    </row>
    <row r="1514" spans="1:19" s="251" customFormat="1" ht="15.6">
      <c r="A1514" s="20"/>
      <c r="B1514" s="21"/>
      <c r="C1514" s="20"/>
      <c r="D1514" s="20"/>
      <c r="E1514" s="20"/>
      <c r="F1514" s="20"/>
      <c r="G1514" s="20"/>
      <c r="H1514" s="20"/>
      <c r="I1514" s="115"/>
      <c r="J1514" s="23"/>
      <c r="K1514" s="25"/>
      <c r="L1514" s="128">
        <f>+L1510+L1507+L1513</f>
        <v>47.919829999999997</v>
      </c>
      <c r="M1514" s="154">
        <f>+M1510+M1507</f>
        <v>14</v>
      </c>
      <c r="N1514" s="23">
        <f>+N1510+N1507+N1513</f>
        <v>2.9221499999999998</v>
      </c>
      <c r="O1514" s="20"/>
      <c r="P1514" s="20"/>
      <c r="Q1514" s="155"/>
      <c r="R1514" s="155"/>
    </row>
    <row r="1515" spans="1:19" s="251" customFormat="1" ht="15.6">
      <c r="A1515" s="20"/>
      <c r="B1515" s="21"/>
      <c r="C1515" s="20"/>
      <c r="D1515" s="20"/>
      <c r="E1515" s="20"/>
      <c r="F1515" s="20"/>
      <c r="G1515" s="20"/>
      <c r="H1515" s="20"/>
      <c r="I1515" s="115"/>
      <c r="J1515" s="23"/>
      <c r="K1515" s="25"/>
      <c r="L1515" s="128"/>
      <c r="M1515" s="154"/>
      <c r="N1515" s="23"/>
      <c r="O1515" s="20"/>
      <c r="P1515" s="20"/>
      <c r="Q1515" s="155"/>
      <c r="R1515" s="155"/>
    </row>
    <row r="1516" spans="1:19" s="251" customFormat="1" ht="15.6">
      <c r="A1516" s="20"/>
      <c r="B1516" s="21"/>
      <c r="C1516" s="20"/>
      <c r="D1516" s="20"/>
      <c r="E1516" s="20"/>
      <c r="F1516" s="20"/>
      <c r="G1516" s="20"/>
      <c r="H1516" s="20"/>
      <c r="I1516" s="131"/>
      <c r="J1516" s="23"/>
      <c r="K1516" s="25"/>
      <c r="L1516" s="128"/>
      <c r="M1516" s="20"/>
      <c r="N1516" s="20"/>
      <c r="O1516" s="20"/>
      <c r="P1516" s="20"/>
      <c r="Q1516" s="155"/>
      <c r="R1516" s="155"/>
    </row>
    <row r="1517" spans="1:19" s="251" customFormat="1" ht="15.6">
      <c r="A1517" s="21" t="s">
        <v>83</v>
      </c>
      <c r="B1517" s="21" t="s">
        <v>239</v>
      </c>
      <c r="C1517" s="21" t="s">
        <v>19</v>
      </c>
      <c r="D1517" s="21" t="s">
        <v>20</v>
      </c>
      <c r="E1517" s="21" t="s">
        <v>47</v>
      </c>
      <c r="F1517" s="22">
        <v>13</v>
      </c>
      <c r="G1517" s="20" t="s">
        <v>21</v>
      </c>
      <c r="H1517" s="143" t="s">
        <v>123</v>
      </c>
      <c r="I1517" s="115">
        <v>16.5</v>
      </c>
      <c r="J1517" s="23">
        <v>6.15</v>
      </c>
      <c r="K1517" s="25">
        <v>132</v>
      </c>
      <c r="L1517" s="130">
        <f t="shared" ref="L1517:L1521" si="313">(I1517*J1517*K1517/1000)</f>
        <v>13.3947</v>
      </c>
      <c r="M1517" s="20"/>
      <c r="N1517" s="124">
        <f t="shared" ref="N1517:N1521" si="314">J1517*M1517*I1517/1000</f>
        <v>0</v>
      </c>
      <c r="O1517" s="20"/>
      <c r="P1517" s="20"/>
      <c r="Q1517" s="155"/>
      <c r="R1517" s="155"/>
      <c r="S1517" s="150" t="s">
        <v>311</v>
      </c>
    </row>
    <row r="1518" spans="1:19" s="251" customFormat="1" ht="15.6">
      <c r="A1518" s="20"/>
      <c r="B1518" s="21" t="s">
        <v>238</v>
      </c>
      <c r="C1518" s="20"/>
      <c r="D1518" s="20"/>
      <c r="E1518" s="20"/>
      <c r="F1518" s="20"/>
      <c r="G1518" s="20" t="s">
        <v>21</v>
      </c>
      <c r="H1518" s="20" t="s">
        <v>123</v>
      </c>
      <c r="I1518" s="115">
        <v>16.5</v>
      </c>
      <c r="J1518" s="144">
        <v>8.9</v>
      </c>
      <c r="K1518" s="25">
        <v>16</v>
      </c>
      <c r="L1518" s="130">
        <f t="shared" si="313"/>
        <v>2.3495999999999997</v>
      </c>
      <c r="M1518" s="20">
        <v>9</v>
      </c>
      <c r="N1518" s="124">
        <f t="shared" si="314"/>
        <v>1.32165</v>
      </c>
      <c r="O1518" s="24">
        <v>6.5</v>
      </c>
      <c r="P1518" s="20"/>
      <c r="Q1518" s="155"/>
      <c r="R1518" s="155"/>
    </row>
    <row r="1519" spans="1:19" s="251" customFormat="1" ht="15.6">
      <c r="A1519" s="20"/>
      <c r="B1519" s="21"/>
      <c r="C1519" s="20"/>
      <c r="D1519" s="20"/>
      <c r="E1519" s="20"/>
      <c r="F1519" s="20"/>
      <c r="G1519" s="20" t="s">
        <v>21</v>
      </c>
      <c r="H1519" s="20" t="s">
        <v>123</v>
      </c>
      <c r="I1519" s="115">
        <v>16.5</v>
      </c>
      <c r="J1519" s="23">
        <v>8.9</v>
      </c>
      <c r="K1519" s="25">
        <v>112</v>
      </c>
      <c r="L1519" s="130">
        <f t="shared" si="313"/>
        <v>16.447200000000002</v>
      </c>
      <c r="M1519" s="20"/>
      <c r="N1519" s="124">
        <f t="shared" si="314"/>
        <v>0</v>
      </c>
      <c r="O1519" s="20"/>
      <c r="P1519" s="20"/>
      <c r="Q1519" s="155"/>
      <c r="R1519" s="155"/>
    </row>
    <row r="1520" spans="1:19" s="251" customFormat="1" ht="15.6">
      <c r="A1520" s="20"/>
      <c r="B1520" s="21"/>
      <c r="C1520" s="20"/>
      <c r="D1520" s="20"/>
      <c r="E1520" s="20"/>
      <c r="F1520" s="20"/>
      <c r="G1520" s="20" t="s">
        <v>21</v>
      </c>
      <c r="H1520" s="20" t="s">
        <v>123</v>
      </c>
      <c r="I1520" s="115">
        <v>16.5</v>
      </c>
      <c r="J1520" s="23">
        <v>9.1999999999999993</v>
      </c>
      <c r="K1520" s="25">
        <v>60</v>
      </c>
      <c r="L1520" s="130">
        <f t="shared" si="313"/>
        <v>9.1079999999999988</v>
      </c>
      <c r="M1520" s="20">
        <f>7+3</f>
        <v>10</v>
      </c>
      <c r="N1520" s="124">
        <f t="shared" si="314"/>
        <v>1.518</v>
      </c>
      <c r="O1520" s="20"/>
      <c r="P1520" s="20"/>
      <c r="Q1520" s="155"/>
      <c r="R1520" s="155"/>
    </row>
    <row r="1521" spans="1:19" s="251" customFormat="1" ht="15.6">
      <c r="A1521" s="20"/>
      <c r="B1521" s="21"/>
      <c r="C1521" s="20"/>
      <c r="D1521" s="20"/>
      <c r="E1521" s="20"/>
      <c r="F1521" s="20"/>
      <c r="G1521" s="20" t="s">
        <v>21</v>
      </c>
      <c r="H1521" s="20" t="s">
        <v>123</v>
      </c>
      <c r="I1521" s="115">
        <v>16.5</v>
      </c>
      <c r="J1521" s="23">
        <v>12</v>
      </c>
      <c r="K1521" s="25">
        <v>58</v>
      </c>
      <c r="L1521" s="130">
        <f t="shared" si="313"/>
        <v>11.484</v>
      </c>
      <c r="M1521" s="20"/>
      <c r="N1521" s="124">
        <f t="shared" si="314"/>
        <v>0</v>
      </c>
      <c r="O1521" s="20"/>
      <c r="P1521" s="20"/>
      <c r="Q1521" s="155"/>
      <c r="R1521" s="155"/>
    </row>
    <row r="1522" spans="1:19" s="251" customFormat="1" ht="15.6">
      <c r="A1522" s="20"/>
      <c r="B1522" s="21"/>
      <c r="C1522" s="20"/>
      <c r="D1522" s="20"/>
      <c r="E1522" s="20"/>
      <c r="F1522" s="20"/>
      <c r="G1522" s="20"/>
      <c r="H1522" s="20"/>
      <c r="I1522" s="131"/>
      <c r="J1522" s="23"/>
      <c r="K1522" s="25">
        <f>SUM(K1517:K1521)</f>
        <v>378</v>
      </c>
      <c r="L1522" s="128">
        <f>SUM(L1517:L1521)</f>
        <v>52.783500000000004</v>
      </c>
      <c r="M1522" s="25">
        <f>SUM(M1517:M1521)</f>
        <v>19</v>
      </c>
      <c r="N1522" s="124">
        <f>SUM(N1517:N1521)</f>
        <v>2.8396499999999998</v>
      </c>
      <c r="O1522" s="20"/>
      <c r="P1522" s="20"/>
      <c r="Q1522" s="155"/>
      <c r="R1522" s="155"/>
    </row>
    <row r="1523" spans="1:19" s="251" customFormat="1" ht="15.6">
      <c r="A1523" s="20"/>
      <c r="B1523" s="21"/>
      <c r="C1523" s="20"/>
      <c r="D1523" s="20"/>
      <c r="E1523" s="20"/>
      <c r="F1523" s="20"/>
      <c r="G1523" s="20"/>
      <c r="H1523" s="20"/>
      <c r="I1523" s="115"/>
      <c r="J1523" s="23"/>
      <c r="K1523" s="25"/>
      <c r="L1523" s="128"/>
      <c r="M1523" s="20"/>
      <c r="N1523" s="20"/>
      <c r="O1523" s="20"/>
      <c r="P1523" s="20"/>
      <c r="Q1523" s="155"/>
      <c r="R1523" s="155"/>
    </row>
    <row r="1524" spans="1:19" s="251" customFormat="1" ht="15.6">
      <c r="A1524" s="21" t="s">
        <v>83</v>
      </c>
      <c r="B1524" s="21" t="s">
        <v>294</v>
      </c>
      <c r="C1524" s="21" t="s">
        <v>19</v>
      </c>
      <c r="D1524" s="21" t="s">
        <v>20</v>
      </c>
      <c r="E1524" s="401" t="s">
        <v>259</v>
      </c>
      <c r="F1524" s="22">
        <v>13</v>
      </c>
      <c r="G1524" s="20" t="s">
        <v>21</v>
      </c>
      <c r="H1524" s="143" t="s">
        <v>123</v>
      </c>
      <c r="I1524" s="115">
        <v>16.5</v>
      </c>
      <c r="J1524" s="427">
        <v>12</v>
      </c>
      <c r="K1524" s="428">
        <v>2</v>
      </c>
      <c r="L1524" s="130">
        <f>(I1524*J1524*K1524/1000)</f>
        <v>0.39600000000000002</v>
      </c>
      <c r="M1524" s="20">
        <v>2</v>
      </c>
      <c r="N1524" s="124">
        <f>J1524*M1524*I1524/1000</f>
        <v>0.39600000000000002</v>
      </c>
      <c r="O1524" s="20"/>
      <c r="P1524" s="20"/>
      <c r="Q1524" s="155"/>
      <c r="R1524" s="155"/>
      <c r="S1524" s="150" t="s">
        <v>311</v>
      </c>
    </row>
    <row r="1525" spans="1:19" s="251" customFormat="1" ht="15.6">
      <c r="A1525" s="20"/>
      <c r="B1525" s="21" t="s">
        <v>277</v>
      </c>
      <c r="C1525" s="20"/>
      <c r="D1525" s="20"/>
      <c r="E1525" s="20"/>
      <c r="F1525" s="20"/>
      <c r="G1525" s="20"/>
      <c r="H1525" s="20"/>
      <c r="I1525" s="115"/>
      <c r="J1525" s="23"/>
      <c r="K1525" s="25">
        <f t="shared" ref="K1525:N1525" si="315">SUM(K1524)</f>
        <v>2</v>
      </c>
      <c r="L1525" s="128">
        <f t="shared" si="315"/>
        <v>0.39600000000000002</v>
      </c>
      <c r="M1525" s="25">
        <f t="shared" si="315"/>
        <v>2</v>
      </c>
      <c r="N1525" s="124">
        <f t="shared" si="315"/>
        <v>0.39600000000000002</v>
      </c>
      <c r="O1525" s="20"/>
      <c r="P1525" s="20"/>
      <c r="Q1525" s="155"/>
      <c r="R1525" s="155"/>
    </row>
    <row r="1526" spans="1:19" s="251" customFormat="1" ht="15.6">
      <c r="A1526" s="20"/>
      <c r="B1526" s="21"/>
      <c r="C1526" s="20"/>
      <c r="D1526" s="20"/>
      <c r="E1526" s="20"/>
      <c r="F1526" s="20"/>
      <c r="G1526" s="20"/>
      <c r="H1526" s="20"/>
      <c r="I1526" s="115"/>
      <c r="J1526" s="23"/>
      <c r="K1526" s="25"/>
      <c r="L1526" s="128"/>
      <c r="M1526" s="20"/>
      <c r="N1526" s="20"/>
      <c r="O1526" s="20"/>
      <c r="P1526" s="20"/>
      <c r="Q1526" s="155"/>
      <c r="R1526" s="155"/>
    </row>
    <row r="1527" spans="1:19" s="251" customFormat="1" ht="15.6">
      <c r="A1527" s="20"/>
      <c r="B1527" s="21"/>
      <c r="C1527" s="20"/>
      <c r="D1527" s="20"/>
      <c r="E1527" s="20"/>
      <c r="F1527" s="20"/>
      <c r="G1527" s="20"/>
      <c r="H1527" s="20"/>
      <c r="I1527" s="115"/>
      <c r="J1527" s="23"/>
      <c r="K1527" s="25"/>
      <c r="L1527" s="128"/>
      <c r="M1527" s="20"/>
      <c r="N1527" s="20"/>
      <c r="O1527" s="20"/>
      <c r="P1527" s="20"/>
      <c r="Q1527" s="155"/>
      <c r="R1527" s="155"/>
    </row>
    <row r="1528" spans="1:19" s="251" customFormat="1" ht="15.6">
      <c r="A1528" s="21" t="s">
        <v>174</v>
      </c>
      <c r="B1528" s="21" t="s">
        <v>243</v>
      </c>
      <c r="C1528" s="21" t="s">
        <v>19</v>
      </c>
      <c r="D1528" s="21" t="s">
        <v>20</v>
      </c>
      <c r="E1528" s="63" t="s">
        <v>51</v>
      </c>
      <c r="F1528" s="22">
        <v>13</v>
      </c>
      <c r="G1528" s="20" t="s">
        <v>21</v>
      </c>
      <c r="H1528" s="143" t="s">
        <v>123</v>
      </c>
      <c r="I1528" s="115">
        <v>16.5</v>
      </c>
      <c r="J1528" s="23">
        <v>10.5</v>
      </c>
      <c r="K1528" s="25">
        <v>28</v>
      </c>
      <c r="L1528" s="130">
        <f>(I1528*J1528*K1528/1000)</f>
        <v>4.851</v>
      </c>
      <c r="M1528" s="20">
        <f>1+9+1</f>
        <v>11</v>
      </c>
      <c r="N1528" s="124">
        <f>J1528*M1528*I1528/1000</f>
        <v>1.9057500000000001</v>
      </c>
      <c r="O1528" s="20"/>
      <c r="P1528" s="20"/>
      <c r="Q1528" s="155"/>
      <c r="R1528" s="155"/>
      <c r="S1528" s="150" t="s">
        <v>312</v>
      </c>
    </row>
    <row r="1529" spans="1:19" s="251" customFormat="1" ht="15.6">
      <c r="A1529" s="20"/>
      <c r="B1529" s="229" t="s">
        <v>251</v>
      </c>
      <c r="C1529" s="20"/>
      <c r="D1529" s="20"/>
      <c r="E1529" s="20"/>
      <c r="F1529" s="20"/>
      <c r="G1529" s="20" t="s">
        <v>21</v>
      </c>
      <c r="H1529" s="20" t="s">
        <v>123</v>
      </c>
      <c r="I1529" s="115">
        <v>16.5</v>
      </c>
      <c r="J1529" s="23">
        <v>11.5</v>
      </c>
      <c r="K1529" s="25">
        <f>562</f>
        <v>562</v>
      </c>
      <c r="L1529" s="130">
        <f>(I1529*J1529*K1529/1000)</f>
        <v>106.6395</v>
      </c>
      <c r="M1529" s="20">
        <f>3+2+9</f>
        <v>14</v>
      </c>
      <c r="N1529" s="124">
        <f>J1529*M1529*I1529/1000</f>
        <v>2.6564999999999999</v>
      </c>
      <c r="O1529" s="20"/>
      <c r="P1529" s="20"/>
      <c r="Q1529" s="155"/>
      <c r="R1529" s="155"/>
    </row>
    <row r="1530" spans="1:19" s="251" customFormat="1" ht="15.6">
      <c r="A1530" s="20"/>
      <c r="B1530" s="21"/>
      <c r="C1530" s="20"/>
      <c r="D1530" s="20"/>
      <c r="E1530" s="20"/>
      <c r="F1530" s="20"/>
      <c r="G1530" s="20"/>
      <c r="H1530" s="20"/>
      <c r="I1530" s="104"/>
      <c r="J1530" s="23"/>
      <c r="K1530" s="25">
        <f>SUM(K1528:K1529)</f>
        <v>590</v>
      </c>
      <c r="L1530" s="128">
        <f>SUM(L1528:L1529)</f>
        <v>111.4905</v>
      </c>
      <c r="M1530" s="25">
        <f>SUM(M1528:M1529)</f>
        <v>25</v>
      </c>
      <c r="N1530" s="124">
        <f>SUM(N1528:N1529)</f>
        <v>4.5622499999999997</v>
      </c>
      <c r="O1530" s="20"/>
      <c r="P1530" s="20"/>
      <c r="Q1530" s="155"/>
      <c r="R1530" s="155"/>
    </row>
    <row r="1531" spans="1:19" s="251" customFormat="1" ht="15.6">
      <c r="A1531" s="20"/>
      <c r="B1531" s="21"/>
      <c r="C1531" s="20"/>
      <c r="D1531" s="20"/>
      <c r="E1531" s="20"/>
      <c r="F1531" s="20"/>
      <c r="G1531" s="20"/>
      <c r="H1531" s="20"/>
      <c r="I1531" s="104"/>
      <c r="J1531" s="23"/>
      <c r="K1531" s="25"/>
      <c r="L1531" s="128"/>
      <c r="M1531" s="20"/>
      <c r="N1531" s="211"/>
      <c r="O1531" s="20"/>
      <c r="P1531" s="20"/>
      <c r="Q1531" s="155"/>
      <c r="R1531" s="155"/>
    </row>
    <row r="1532" spans="1:19" s="251" customFormat="1" ht="15.6">
      <c r="A1532" s="21" t="s">
        <v>174</v>
      </c>
      <c r="B1532" s="21" t="s">
        <v>243</v>
      </c>
      <c r="C1532" s="21" t="s">
        <v>19</v>
      </c>
      <c r="D1532" s="21" t="s">
        <v>20</v>
      </c>
      <c r="E1532" s="63" t="s">
        <v>51</v>
      </c>
      <c r="F1532" s="22">
        <v>13</v>
      </c>
      <c r="G1532" s="20" t="s">
        <v>21</v>
      </c>
      <c r="H1532" s="143" t="s">
        <v>123</v>
      </c>
      <c r="I1532" s="115">
        <v>16.5</v>
      </c>
      <c r="J1532" s="23">
        <v>11.5</v>
      </c>
      <c r="K1532" s="25">
        <f>371+2</f>
        <v>373</v>
      </c>
      <c r="L1532" s="130">
        <f>(I1532*J1532*K1532/1000)</f>
        <v>70.776750000000007</v>
      </c>
      <c r="M1532" s="20"/>
      <c r="N1532" s="124">
        <f>J1532*M1532*I1532/1000</f>
        <v>0</v>
      </c>
      <c r="O1532" s="20"/>
      <c r="P1532" s="20"/>
      <c r="Q1532" s="155"/>
      <c r="R1532" s="155"/>
      <c r="S1532" s="150" t="s">
        <v>312</v>
      </c>
    </row>
    <row r="1533" spans="1:19" s="251" customFormat="1" ht="15.6">
      <c r="A1533" s="20"/>
      <c r="B1533" s="229" t="s">
        <v>275</v>
      </c>
      <c r="C1533" s="20"/>
      <c r="D1533" s="20"/>
      <c r="E1533" s="20"/>
      <c r="F1533" s="20"/>
      <c r="G1533" s="20"/>
      <c r="H1533" s="20"/>
      <c r="I1533" s="104"/>
      <c r="J1533" s="23"/>
      <c r="K1533" s="25">
        <f t="shared" ref="K1533:M1533" si="316">SUM(K1532)</f>
        <v>373</v>
      </c>
      <c r="L1533" s="128">
        <f>SUM(L1532)</f>
        <v>70.776750000000007</v>
      </c>
      <c r="M1533" s="25">
        <f t="shared" si="316"/>
        <v>0</v>
      </c>
      <c r="N1533" s="124">
        <f>SUM(N1532)</f>
        <v>0</v>
      </c>
      <c r="O1533" s="20"/>
      <c r="P1533" s="20"/>
      <c r="Q1533" s="155"/>
      <c r="R1533" s="155"/>
    </row>
    <row r="1534" spans="1:19" s="251" customFormat="1" ht="15.6">
      <c r="A1534" s="20"/>
      <c r="B1534" s="229"/>
      <c r="C1534" s="20"/>
      <c r="D1534" s="20"/>
      <c r="E1534" s="20"/>
      <c r="F1534" s="20"/>
      <c r="G1534" s="20"/>
      <c r="H1534" s="20"/>
      <c r="I1534" s="104"/>
      <c r="J1534" s="23"/>
      <c r="K1534" s="25"/>
      <c r="L1534" s="128">
        <f>+L1533+L1530+L1522+L1525</f>
        <v>235.44674999999998</v>
      </c>
      <c r="M1534" s="154">
        <f>+M1533+M1530+M1522+M1525</f>
        <v>46</v>
      </c>
      <c r="N1534" s="124">
        <f>+N1533+N1530+N1522+N1525</f>
        <v>7.7978999999999994</v>
      </c>
      <c r="O1534" s="20"/>
      <c r="P1534" s="20"/>
      <c r="Q1534" s="155"/>
      <c r="R1534" s="155"/>
    </row>
    <row r="1535" spans="1:19" s="251" customFormat="1" ht="15.6">
      <c r="A1535" s="20"/>
      <c r="B1535" s="229"/>
      <c r="C1535" s="20"/>
      <c r="D1535" s="20"/>
      <c r="E1535" s="20"/>
      <c r="F1535" s="20"/>
      <c r="G1535" s="20"/>
      <c r="H1535" s="20"/>
      <c r="I1535" s="104"/>
      <c r="J1535" s="23"/>
      <c r="K1535" s="25"/>
      <c r="L1535" s="128"/>
      <c r="M1535" s="154"/>
      <c r="N1535" s="124"/>
      <c r="O1535" s="20"/>
      <c r="P1535" s="20"/>
      <c r="Q1535" s="155"/>
      <c r="R1535" s="155"/>
    </row>
    <row r="1536" spans="1:19" s="251" customFormat="1" ht="15.6">
      <c r="A1536" s="20"/>
      <c r="B1536" s="229"/>
      <c r="C1536" s="20"/>
      <c r="D1536" s="20"/>
      <c r="E1536" s="20"/>
      <c r="F1536" s="20"/>
      <c r="G1536" s="20"/>
      <c r="H1536" s="20"/>
      <c r="I1536" s="104"/>
      <c r="J1536" s="23"/>
      <c r="K1536" s="25"/>
      <c r="L1536" s="128"/>
      <c r="M1536" s="20"/>
      <c r="N1536" s="20"/>
      <c r="O1536" s="20"/>
      <c r="P1536" s="20"/>
      <c r="Q1536" s="155"/>
      <c r="R1536" s="155"/>
    </row>
    <row r="1537" spans="1:19" ht="15.6">
      <c r="A1537" s="21" t="s">
        <v>83</v>
      </c>
      <c r="B1537" s="21" t="s">
        <v>222</v>
      </c>
      <c r="C1537" s="21" t="s">
        <v>19</v>
      </c>
      <c r="D1537" s="21" t="s">
        <v>20</v>
      </c>
      <c r="E1537" s="21" t="s">
        <v>57</v>
      </c>
      <c r="F1537" s="22">
        <v>13</v>
      </c>
      <c r="G1537" s="20" t="s">
        <v>21</v>
      </c>
      <c r="H1537" s="143" t="s">
        <v>122</v>
      </c>
      <c r="I1537" s="115">
        <v>14.7</v>
      </c>
      <c r="J1537" s="23">
        <v>7.8</v>
      </c>
      <c r="K1537" s="25">
        <v>45</v>
      </c>
      <c r="L1537" s="130">
        <f>(I1537*J1537*K1537/1000)</f>
        <v>5.1597</v>
      </c>
      <c r="M1537" s="20"/>
      <c r="N1537" s="23">
        <f t="shared" ref="N1537:N1538" si="317">J1537*M1537*I1537/1000</f>
        <v>0</v>
      </c>
      <c r="O1537" s="20"/>
      <c r="P1537" s="20"/>
      <c r="Q1537" s="155"/>
      <c r="R1537" s="155"/>
      <c r="S1537" s="150" t="s">
        <v>313</v>
      </c>
    </row>
    <row r="1538" spans="1:19" ht="15.6">
      <c r="A1538" s="20"/>
      <c r="B1538" s="21" t="s">
        <v>204</v>
      </c>
      <c r="C1538" s="20"/>
      <c r="D1538" s="20"/>
      <c r="E1538" s="20"/>
      <c r="F1538" s="20"/>
      <c r="G1538" s="20" t="s">
        <v>21</v>
      </c>
      <c r="H1538" s="20" t="s">
        <v>122</v>
      </c>
      <c r="I1538" s="115">
        <v>14.7</v>
      </c>
      <c r="J1538" s="23">
        <v>9.5</v>
      </c>
      <c r="K1538" s="25">
        <v>28</v>
      </c>
      <c r="L1538" s="130">
        <f>(I1538*J1538*K1538/1000)</f>
        <v>3.9102000000000001</v>
      </c>
      <c r="M1538" s="20"/>
      <c r="N1538" s="23">
        <f t="shared" si="317"/>
        <v>0</v>
      </c>
      <c r="O1538" s="20"/>
      <c r="P1538" s="20"/>
      <c r="Q1538" s="155"/>
      <c r="R1538" s="155"/>
    </row>
    <row r="1539" spans="1:19" ht="15.6">
      <c r="A1539" s="20"/>
      <c r="B1539" s="20"/>
      <c r="C1539" s="20"/>
      <c r="D1539" s="20"/>
      <c r="E1539" s="20"/>
      <c r="F1539" s="20"/>
      <c r="G1539" s="20" t="s">
        <v>21</v>
      </c>
      <c r="H1539" s="20" t="s">
        <v>122</v>
      </c>
      <c r="I1539" s="115">
        <v>14.7</v>
      </c>
      <c r="J1539" s="23">
        <v>11</v>
      </c>
      <c r="K1539" s="25">
        <v>27</v>
      </c>
      <c r="L1539" s="130">
        <f>(I1539*J1539*K1539/1000)</f>
        <v>4.3658999999999999</v>
      </c>
      <c r="M1539" s="20"/>
      <c r="N1539" s="20"/>
      <c r="O1539" s="20"/>
      <c r="P1539" s="20"/>
      <c r="Q1539" s="155"/>
      <c r="R1539" s="155"/>
    </row>
    <row r="1540" spans="1:19" ht="15.6">
      <c r="A1540" s="20"/>
      <c r="B1540" s="20"/>
      <c r="C1540" s="20"/>
      <c r="D1540" s="20"/>
      <c r="E1540" s="20"/>
      <c r="F1540" s="20"/>
      <c r="G1540" s="20" t="s">
        <v>21</v>
      </c>
      <c r="H1540" s="20" t="s">
        <v>122</v>
      </c>
      <c r="I1540" s="115">
        <v>14.7</v>
      </c>
      <c r="J1540" s="23">
        <v>11.5</v>
      </c>
      <c r="K1540" s="25">
        <v>18</v>
      </c>
      <c r="L1540" s="130">
        <f>(I1540*J1540*K1540/1000)</f>
        <v>3.0428999999999995</v>
      </c>
      <c r="M1540" s="20"/>
      <c r="N1540" s="20"/>
      <c r="O1540" s="20"/>
      <c r="P1540" s="20"/>
      <c r="Q1540" s="155"/>
      <c r="R1540" s="155"/>
    </row>
    <row r="1541" spans="1:19" ht="15.6">
      <c r="A1541" s="20"/>
      <c r="B1541" s="20"/>
      <c r="C1541" s="20"/>
      <c r="D1541" s="20"/>
      <c r="E1541" s="20"/>
      <c r="F1541" s="20"/>
      <c r="G1541" s="20" t="s">
        <v>21</v>
      </c>
      <c r="H1541" s="20" t="s">
        <v>122</v>
      </c>
      <c r="I1541" s="115">
        <v>14.7</v>
      </c>
      <c r="J1541" s="23">
        <v>11.7</v>
      </c>
      <c r="K1541" s="25">
        <v>33</v>
      </c>
      <c r="L1541" s="130">
        <f>(I1541*J1541*K1541/1000)</f>
        <v>5.6756699999999993</v>
      </c>
      <c r="M1541" s="20"/>
      <c r="N1541" s="20"/>
      <c r="O1541" s="20"/>
      <c r="P1541" s="20"/>
      <c r="Q1541" s="155"/>
      <c r="R1541" s="155"/>
    </row>
    <row r="1542" spans="1:19" ht="15.6">
      <c r="A1542" s="20"/>
      <c r="B1542" s="20"/>
      <c r="C1542" s="20"/>
      <c r="D1542" s="20"/>
      <c r="E1542" s="20"/>
      <c r="F1542" s="20"/>
      <c r="G1542" s="20"/>
      <c r="H1542" s="20"/>
      <c r="I1542" s="115"/>
      <c r="J1542" s="23"/>
      <c r="K1542" s="25">
        <f t="shared" ref="K1542:M1542" si="318">SUM(K1537:K1541)</f>
        <v>151</v>
      </c>
      <c r="L1542" s="128">
        <f>SUM(L1537:L1541)</f>
        <v>22.15437</v>
      </c>
      <c r="M1542" s="25">
        <f t="shared" si="318"/>
        <v>0</v>
      </c>
      <c r="N1542" s="23">
        <f>SUM(N1537:N1541)</f>
        <v>0</v>
      </c>
      <c r="O1542" s="20"/>
      <c r="P1542" s="20"/>
      <c r="Q1542" s="155"/>
      <c r="R1542" s="155"/>
    </row>
    <row r="1543" spans="1:19" ht="15.6">
      <c r="A1543" s="20"/>
      <c r="B1543" s="20"/>
      <c r="C1543" s="20"/>
      <c r="D1543" s="20"/>
      <c r="E1543" s="20"/>
      <c r="F1543" s="20"/>
      <c r="G1543" s="20"/>
      <c r="H1543" s="20"/>
      <c r="I1543" s="131"/>
      <c r="J1543" s="20"/>
      <c r="K1543" s="211"/>
      <c r="L1543" s="131"/>
      <c r="M1543" s="20"/>
      <c r="N1543" s="20"/>
      <c r="O1543" s="20"/>
      <c r="P1543" s="20"/>
      <c r="Q1543" s="155"/>
      <c r="R1543" s="155"/>
    </row>
    <row r="1544" spans="1:19" s="251" customFormat="1" ht="15.6">
      <c r="A1544" s="21" t="s">
        <v>83</v>
      </c>
      <c r="B1544" s="21" t="s">
        <v>239</v>
      </c>
      <c r="C1544" s="21" t="s">
        <v>19</v>
      </c>
      <c r="D1544" s="21" t="s">
        <v>20</v>
      </c>
      <c r="E1544" s="21" t="s">
        <v>47</v>
      </c>
      <c r="F1544" s="22">
        <v>13</v>
      </c>
      <c r="G1544" s="20" t="s">
        <v>21</v>
      </c>
      <c r="H1544" s="143" t="s">
        <v>122</v>
      </c>
      <c r="I1544" s="115">
        <v>14.7</v>
      </c>
      <c r="J1544" s="23">
        <v>6.25</v>
      </c>
      <c r="K1544" s="25">
        <v>32</v>
      </c>
      <c r="L1544" s="130">
        <f>(I1544*J1544*K1544/1000)</f>
        <v>2.94</v>
      </c>
      <c r="M1544" s="20"/>
      <c r="N1544" s="23">
        <f>J1544*M1544*I1544/1000</f>
        <v>0</v>
      </c>
      <c r="O1544" s="20"/>
      <c r="P1544" s="20"/>
      <c r="Q1544" s="155"/>
      <c r="R1544" s="155"/>
      <c r="S1544" s="150" t="s">
        <v>313</v>
      </c>
    </row>
    <row r="1545" spans="1:19" s="251" customFormat="1" ht="15.6">
      <c r="A1545" s="20"/>
      <c r="B1545" s="21" t="s">
        <v>238</v>
      </c>
      <c r="C1545" s="20"/>
      <c r="D1545" s="20"/>
      <c r="E1545" s="20"/>
      <c r="F1545" s="20"/>
      <c r="G1545" s="20"/>
      <c r="H1545" s="20"/>
      <c r="I1545" s="131"/>
      <c r="J1545" s="23"/>
      <c r="K1545" s="25">
        <f>SUM(K1544:K1544)</f>
        <v>32</v>
      </c>
      <c r="L1545" s="128">
        <f>SUM(L1544:L1544)</f>
        <v>2.94</v>
      </c>
      <c r="M1545" s="25">
        <f>SUM(M1544:M1544)</f>
        <v>0</v>
      </c>
      <c r="N1545" s="23">
        <f>SUM(N1544:N1544)</f>
        <v>0</v>
      </c>
      <c r="O1545" s="20"/>
      <c r="P1545" s="20"/>
      <c r="Q1545" s="155"/>
      <c r="R1545" s="155"/>
    </row>
    <row r="1546" spans="1:19" s="251" customFormat="1" ht="15.6">
      <c r="A1546" s="20"/>
      <c r="B1546" s="21"/>
      <c r="C1546" s="20"/>
      <c r="D1546" s="20"/>
      <c r="E1546" s="20"/>
      <c r="F1546" s="20"/>
      <c r="G1546" s="20"/>
      <c r="H1546" s="20"/>
      <c r="I1546" s="131"/>
      <c r="J1546" s="134"/>
      <c r="K1546" s="135"/>
      <c r="L1546" s="128"/>
      <c r="M1546" s="25"/>
      <c r="N1546" s="23"/>
      <c r="O1546" s="20"/>
      <c r="P1546" s="20"/>
      <c r="Q1546" s="155"/>
      <c r="R1546" s="155"/>
    </row>
    <row r="1547" spans="1:19" s="251" customFormat="1" ht="15.6">
      <c r="A1547" s="21" t="s">
        <v>83</v>
      </c>
      <c r="B1547" s="21" t="s">
        <v>294</v>
      </c>
      <c r="C1547" s="21" t="s">
        <v>19</v>
      </c>
      <c r="D1547" s="21" t="s">
        <v>20</v>
      </c>
      <c r="E1547" s="401" t="s">
        <v>259</v>
      </c>
      <c r="F1547" s="22">
        <v>13</v>
      </c>
      <c r="G1547" s="20" t="s">
        <v>21</v>
      </c>
      <c r="H1547" s="143" t="s">
        <v>122</v>
      </c>
      <c r="I1547" s="115">
        <v>14.66</v>
      </c>
      <c r="J1547" s="427">
        <v>12</v>
      </c>
      <c r="K1547" s="428">
        <v>13</v>
      </c>
      <c r="L1547" s="130">
        <f>(I1547*J1547*K1547/1000)</f>
        <v>2.2869600000000001</v>
      </c>
      <c r="M1547" s="20"/>
      <c r="N1547" s="20"/>
      <c r="O1547" s="20"/>
      <c r="P1547" s="20"/>
      <c r="Q1547" s="155"/>
      <c r="R1547" s="155"/>
      <c r="S1547" s="150" t="s">
        <v>313</v>
      </c>
    </row>
    <row r="1548" spans="1:19" s="251" customFormat="1" ht="15.6">
      <c r="A1548" s="20"/>
      <c r="B1548" s="21" t="s">
        <v>277</v>
      </c>
      <c r="C1548" s="20"/>
      <c r="D1548" s="20"/>
      <c r="E1548" s="20"/>
      <c r="F1548" s="20"/>
      <c r="G1548" s="20"/>
      <c r="H1548" s="37"/>
      <c r="I1548" s="115"/>
      <c r="J1548" s="23"/>
      <c r="K1548" s="25">
        <f>SUM(K1547)</f>
        <v>13</v>
      </c>
      <c r="L1548" s="128">
        <f>SUM(L1547)</f>
        <v>2.2869600000000001</v>
      </c>
      <c r="M1548" s="20"/>
      <c r="N1548" s="20"/>
      <c r="O1548" s="20"/>
      <c r="P1548" s="20"/>
      <c r="Q1548" s="155"/>
      <c r="R1548" s="155"/>
    </row>
    <row r="1549" spans="1:19" s="251" customFormat="1" ht="15.6">
      <c r="A1549" s="20"/>
      <c r="B1549" s="21"/>
      <c r="C1549" s="20"/>
      <c r="D1549" s="20"/>
      <c r="E1549" s="20"/>
      <c r="F1549" s="20"/>
      <c r="G1549" s="20"/>
      <c r="H1549" s="20"/>
      <c r="I1549" s="131"/>
      <c r="J1549" s="23"/>
      <c r="K1549" s="25"/>
      <c r="L1549" s="128">
        <f>+L1545+L1542+L1548</f>
        <v>27.381330000000002</v>
      </c>
      <c r="M1549" s="25">
        <f>+M1545+M1542</f>
        <v>0</v>
      </c>
      <c r="N1549" s="23">
        <f>+N1545+N1542</f>
        <v>0</v>
      </c>
      <c r="O1549" s="20"/>
      <c r="P1549" s="20"/>
      <c r="Q1549" s="155"/>
      <c r="R1549" s="155"/>
    </row>
    <row r="1550" spans="1:19" s="251" customFormat="1" ht="15.6">
      <c r="A1550" s="20"/>
      <c r="B1550" s="21"/>
      <c r="C1550" s="20"/>
      <c r="D1550" s="20"/>
      <c r="E1550" s="20"/>
      <c r="F1550" s="20"/>
      <c r="G1550" s="20"/>
      <c r="H1550" s="20"/>
      <c r="I1550" s="131"/>
      <c r="J1550" s="23"/>
      <c r="K1550" s="25"/>
      <c r="L1550" s="128"/>
      <c r="M1550" s="20"/>
      <c r="N1550" s="20"/>
      <c r="O1550" s="20"/>
      <c r="P1550" s="20"/>
      <c r="Q1550" s="155"/>
      <c r="R1550" s="155"/>
    </row>
    <row r="1551" spans="1:19" s="251" customFormat="1" ht="15.6">
      <c r="A1551" s="20"/>
      <c r="B1551" s="21"/>
      <c r="C1551" s="20"/>
      <c r="D1551" s="20"/>
      <c r="E1551" s="20"/>
      <c r="F1551" s="20"/>
      <c r="G1551" s="20"/>
      <c r="H1551" s="20"/>
      <c r="I1551" s="115"/>
      <c r="J1551" s="23"/>
      <c r="K1551" s="25"/>
      <c r="L1551" s="128"/>
      <c r="M1551" s="20"/>
      <c r="N1551" s="20"/>
      <c r="O1551" s="20"/>
      <c r="P1551" s="20"/>
      <c r="Q1551" s="155"/>
      <c r="R1551" s="155"/>
    </row>
    <row r="1552" spans="1:19" s="251" customFormat="1" ht="15.6">
      <c r="A1552" s="21" t="s">
        <v>174</v>
      </c>
      <c r="B1552" s="21" t="s">
        <v>245</v>
      </c>
      <c r="C1552" s="21" t="s">
        <v>19</v>
      </c>
      <c r="D1552" s="21" t="s">
        <v>60</v>
      </c>
      <c r="E1552" s="21" t="s">
        <v>90</v>
      </c>
      <c r="F1552" s="22">
        <v>13</v>
      </c>
      <c r="G1552" s="20" t="s">
        <v>61</v>
      </c>
      <c r="H1552" s="143" t="s">
        <v>122</v>
      </c>
      <c r="I1552" s="115">
        <v>14.7</v>
      </c>
      <c r="J1552" s="23">
        <v>9.1</v>
      </c>
      <c r="K1552" s="25">
        <v>7</v>
      </c>
      <c r="L1552" s="130">
        <f>(I1552*J1552*K1552/1000)</f>
        <v>0.93638999999999983</v>
      </c>
      <c r="M1552" s="20"/>
      <c r="N1552" s="20"/>
      <c r="O1552" s="20"/>
      <c r="P1552" s="20"/>
      <c r="Q1552" s="155"/>
      <c r="R1552" s="155"/>
      <c r="S1552" s="150" t="s">
        <v>326</v>
      </c>
    </row>
    <row r="1553" spans="1:19" s="251" customFormat="1" ht="15.6">
      <c r="A1553" s="20"/>
      <c r="B1553" s="229" t="s">
        <v>246</v>
      </c>
      <c r="C1553" s="20"/>
      <c r="D1553" s="20"/>
      <c r="E1553" s="20"/>
      <c r="F1553" s="20"/>
      <c r="G1553" s="20" t="s">
        <v>61</v>
      </c>
      <c r="H1553" s="20" t="s">
        <v>122</v>
      </c>
      <c r="I1553" s="115">
        <v>14.7</v>
      </c>
      <c r="J1553" s="23">
        <v>9.4</v>
      </c>
      <c r="K1553" s="25">
        <v>13</v>
      </c>
      <c r="L1553" s="130">
        <f>(I1553*J1553*K1553/1000)</f>
        <v>1.79634</v>
      </c>
      <c r="M1553" s="20"/>
      <c r="N1553" s="20"/>
      <c r="O1553" s="20"/>
      <c r="P1553" s="20"/>
      <c r="Q1553" s="155"/>
      <c r="R1553" s="155"/>
    </row>
    <row r="1554" spans="1:19" s="251" customFormat="1" ht="15.6">
      <c r="A1554" s="20"/>
      <c r="B1554" s="21"/>
      <c r="C1554" s="20"/>
      <c r="D1554" s="20"/>
      <c r="E1554" s="20"/>
      <c r="F1554" s="20"/>
      <c r="G1554" s="20" t="s">
        <v>61</v>
      </c>
      <c r="H1554" s="20" t="s">
        <v>122</v>
      </c>
      <c r="I1554" s="115">
        <v>14.7</v>
      </c>
      <c r="J1554" s="23">
        <v>10.8</v>
      </c>
      <c r="K1554" s="25">
        <v>9</v>
      </c>
      <c r="L1554" s="130">
        <f>(I1554*J1554*K1554/1000)</f>
        <v>1.4288399999999999</v>
      </c>
      <c r="M1554" s="20"/>
      <c r="N1554" s="20"/>
      <c r="O1554" s="20"/>
      <c r="P1554" s="20"/>
      <c r="Q1554" s="155"/>
      <c r="R1554" s="155"/>
    </row>
    <row r="1555" spans="1:19" s="251" customFormat="1" ht="15.6">
      <c r="A1555" s="20"/>
      <c r="B1555" s="21"/>
      <c r="C1555" s="20"/>
      <c r="D1555" s="20"/>
      <c r="E1555" s="20"/>
      <c r="F1555" s="20"/>
      <c r="G1555" s="20" t="s">
        <v>61</v>
      </c>
      <c r="H1555" s="20" t="s">
        <v>122</v>
      </c>
      <c r="I1555" s="115">
        <v>14.7</v>
      </c>
      <c r="J1555" s="23">
        <v>11.3</v>
      </c>
      <c r="K1555" s="25">
        <v>4</v>
      </c>
      <c r="L1555" s="130">
        <f>(I1555*J1555*K1555/1000)</f>
        <v>0.66444000000000003</v>
      </c>
      <c r="M1555" s="20"/>
      <c r="N1555" s="20"/>
      <c r="O1555" s="20"/>
      <c r="P1555" s="20"/>
      <c r="Q1555" s="155"/>
      <c r="R1555" s="155"/>
    </row>
    <row r="1556" spans="1:19" s="251" customFormat="1" ht="15.6">
      <c r="A1556" s="20"/>
      <c r="B1556" s="21"/>
      <c r="C1556" s="20"/>
      <c r="D1556" s="20"/>
      <c r="E1556" s="20"/>
      <c r="F1556" s="20"/>
      <c r="G1556" s="20"/>
      <c r="H1556" s="426"/>
      <c r="I1556" s="115"/>
      <c r="J1556" s="23"/>
      <c r="K1556" s="25">
        <f>SUM(K1552:K1555)</f>
        <v>33</v>
      </c>
      <c r="L1556" s="128">
        <f>SUM(L1552:L1555)</f>
        <v>4.8260100000000001</v>
      </c>
      <c r="M1556" s="20"/>
      <c r="N1556" s="20"/>
      <c r="O1556" s="20"/>
      <c r="P1556" s="20"/>
      <c r="Q1556" s="155"/>
      <c r="R1556" s="155"/>
    </row>
    <row r="1557" spans="1:19" s="251" customFormat="1" ht="15.6">
      <c r="A1557" s="20"/>
      <c r="B1557" s="21"/>
      <c r="C1557" s="20"/>
      <c r="D1557" s="20"/>
      <c r="E1557" s="20"/>
      <c r="F1557" s="20"/>
      <c r="G1557" s="20"/>
      <c r="H1557" s="426"/>
      <c r="I1557" s="115"/>
      <c r="J1557" s="23"/>
      <c r="K1557" s="25"/>
      <c r="L1557" s="128"/>
      <c r="M1557" s="20"/>
      <c r="N1557" s="20"/>
      <c r="O1557" s="20"/>
      <c r="P1557" s="20"/>
      <c r="Q1557" s="155"/>
      <c r="R1557" s="155"/>
    </row>
    <row r="1558" spans="1:19" s="251" customFormat="1" ht="15.6">
      <c r="A1558" s="21" t="s">
        <v>174</v>
      </c>
      <c r="B1558" s="21" t="s">
        <v>245</v>
      </c>
      <c r="C1558" s="21" t="s">
        <v>19</v>
      </c>
      <c r="D1558" s="21" t="s">
        <v>60</v>
      </c>
      <c r="E1558" s="21" t="s">
        <v>247</v>
      </c>
      <c r="F1558" s="22">
        <v>13</v>
      </c>
      <c r="G1558" s="20" t="s">
        <v>61</v>
      </c>
      <c r="H1558" s="143" t="s">
        <v>122</v>
      </c>
      <c r="I1558" s="115">
        <v>14.7</v>
      </c>
      <c r="J1558" s="23">
        <v>7.3</v>
      </c>
      <c r="K1558" s="25">
        <v>32</v>
      </c>
      <c r="L1558" s="130">
        <f t="shared" ref="L1558:L1566" si="319">(I1558*J1558*K1558/1000)</f>
        <v>3.4339199999999996</v>
      </c>
      <c r="M1558" s="20"/>
      <c r="N1558" s="20"/>
      <c r="O1558" s="20"/>
      <c r="P1558" s="20"/>
      <c r="Q1558" s="155"/>
      <c r="R1558" s="155"/>
      <c r="S1558" s="150" t="s">
        <v>326</v>
      </c>
    </row>
    <row r="1559" spans="1:19" s="251" customFormat="1" ht="15.6">
      <c r="A1559" s="20"/>
      <c r="B1559" s="229" t="s">
        <v>248</v>
      </c>
      <c r="C1559" s="20"/>
      <c r="D1559" s="20"/>
      <c r="E1559" s="20"/>
      <c r="F1559" s="20"/>
      <c r="G1559" s="20" t="s">
        <v>61</v>
      </c>
      <c r="H1559" s="20" t="s">
        <v>122</v>
      </c>
      <c r="I1559" s="115">
        <v>14.7</v>
      </c>
      <c r="J1559" s="23">
        <v>9</v>
      </c>
      <c r="K1559" s="25">
        <v>10</v>
      </c>
      <c r="L1559" s="130">
        <f t="shared" si="319"/>
        <v>1.3229999999999997</v>
      </c>
      <c r="M1559" s="20"/>
      <c r="N1559" s="20"/>
      <c r="O1559" s="20"/>
      <c r="P1559" s="20"/>
      <c r="Q1559" s="155"/>
      <c r="R1559" s="155"/>
    </row>
    <row r="1560" spans="1:19" s="251" customFormat="1" ht="15.6">
      <c r="A1560" s="20"/>
      <c r="B1560" s="21"/>
      <c r="C1560" s="20"/>
      <c r="D1560" s="20"/>
      <c r="E1560" s="20"/>
      <c r="F1560" s="20"/>
      <c r="G1560" s="20" t="s">
        <v>61</v>
      </c>
      <c r="H1560" s="20" t="s">
        <v>122</v>
      </c>
      <c r="I1560" s="115">
        <v>14.7</v>
      </c>
      <c r="J1560" s="23">
        <v>9</v>
      </c>
      <c r="K1560" s="25">
        <v>96</v>
      </c>
      <c r="L1560" s="130">
        <f t="shared" si="319"/>
        <v>12.700799999999999</v>
      </c>
      <c r="M1560" s="20"/>
      <c r="N1560" s="20"/>
      <c r="O1560" s="20"/>
      <c r="P1560" s="20"/>
      <c r="Q1560" s="155"/>
      <c r="R1560" s="155"/>
    </row>
    <row r="1561" spans="1:19" s="251" customFormat="1" ht="15.6">
      <c r="A1561" s="20"/>
      <c r="B1561" s="21"/>
      <c r="C1561" s="20"/>
      <c r="D1561" s="20"/>
      <c r="E1561" s="20"/>
      <c r="F1561" s="20"/>
      <c r="G1561" s="20" t="s">
        <v>61</v>
      </c>
      <c r="H1561" s="20" t="s">
        <v>122</v>
      </c>
      <c r="I1561" s="115">
        <v>14.7</v>
      </c>
      <c r="J1561" s="23">
        <v>9.1</v>
      </c>
      <c r="K1561" s="25">
        <v>54</v>
      </c>
      <c r="L1561" s="130">
        <f t="shared" si="319"/>
        <v>7.2235799999999992</v>
      </c>
      <c r="M1561" s="20"/>
      <c r="N1561" s="20"/>
      <c r="O1561" s="20"/>
      <c r="P1561" s="20"/>
      <c r="Q1561" s="155"/>
      <c r="R1561" s="155"/>
    </row>
    <row r="1562" spans="1:19" s="251" customFormat="1" ht="15.6">
      <c r="A1562" s="20"/>
      <c r="B1562" s="21"/>
      <c r="C1562" s="20"/>
      <c r="D1562" s="20"/>
      <c r="E1562" s="20"/>
      <c r="F1562" s="20"/>
      <c r="G1562" s="20" t="s">
        <v>61</v>
      </c>
      <c r="H1562" s="20" t="s">
        <v>122</v>
      </c>
      <c r="I1562" s="115">
        <v>14.7</v>
      </c>
      <c r="J1562" s="23">
        <v>9.4</v>
      </c>
      <c r="K1562" s="25">
        <v>32</v>
      </c>
      <c r="L1562" s="130">
        <f t="shared" si="319"/>
        <v>4.4217599999999999</v>
      </c>
      <c r="M1562" s="20"/>
      <c r="N1562" s="20"/>
      <c r="O1562" s="20"/>
      <c r="P1562" s="20"/>
      <c r="Q1562" s="155"/>
      <c r="R1562" s="155"/>
    </row>
    <row r="1563" spans="1:19" s="251" customFormat="1" ht="15.6">
      <c r="A1563" s="20"/>
      <c r="B1563" s="21"/>
      <c r="C1563" s="20"/>
      <c r="D1563" s="20"/>
      <c r="E1563" s="20"/>
      <c r="F1563" s="20"/>
      <c r="G1563" s="20" t="s">
        <v>61</v>
      </c>
      <c r="H1563" s="20" t="s">
        <v>122</v>
      </c>
      <c r="I1563" s="115">
        <v>14.7</v>
      </c>
      <c r="J1563" s="23">
        <v>9.6</v>
      </c>
      <c r="K1563" s="25">
        <v>10</v>
      </c>
      <c r="L1563" s="130">
        <f t="shared" si="319"/>
        <v>1.4111999999999998</v>
      </c>
      <c r="M1563" s="20"/>
      <c r="N1563" s="20"/>
      <c r="O1563" s="20"/>
      <c r="P1563" s="20"/>
      <c r="Q1563" s="155"/>
      <c r="R1563" s="155"/>
    </row>
    <row r="1564" spans="1:19" s="251" customFormat="1" ht="15.6">
      <c r="A1564" s="20"/>
      <c r="B1564" s="21"/>
      <c r="C1564" s="20"/>
      <c r="D1564" s="20"/>
      <c r="E1564" s="20"/>
      <c r="F1564" s="20"/>
      <c r="G1564" s="20" t="s">
        <v>61</v>
      </c>
      <c r="H1564" s="20" t="s">
        <v>122</v>
      </c>
      <c r="I1564" s="115">
        <v>14.7</v>
      </c>
      <c r="J1564" s="23">
        <v>10.8</v>
      </c>
      <c r="K1564" s="25">
        <v>59</v>
      </c>
      <c r="L1564" s="130">
        <f t="shared" si="319"/>
        <v>9.3668399999999998</v>
      </c>
      <c r="M1564" s="20"/>
      <c r="N1564" s="20"/>
      <c r="O1564" s="20"/>
      <c r="P1564" s="20"/>
      <c r="Q1564" s="155"/>
      <c r="R1564" s="155"/>
    </row>
    <row r="1565" spans="1:19" s="251" customFormat="1" ht="15.6">
      <c r="A1565" s="20"/>
      <c r="B1565" s="21"/>
      <c r="C1565" s="20"/>
      <c r="D1565" s="20"/>
      <c r="E1565" s="20"/>
      <c r="F1565" s="20"/>
      <c r="G1565" s="20" t="s">
        <v>61</v>
      </c>
      <c r="H1565" s="20" t="s">
        <v>122</v>
      </c>
      <c r="I1565" s="115">
        <v>14.7</v>
      </c>
      <c r="J1565" s="23">
        <v>11.3</v>
      </c>
      <c r="K1565" s="25">
        <v>60</v>
      </c>
      <c r="L1565" s="130">
        <f t="shared" si="319"/>
        <v>9.9665999999999997</v>
      </c>
      <c r="M1565" s="20"/>
      <c r="N1565" s="20"/>
      <c r="O1565" s="20"/>
      <c r="P1565" s="20"/>
      <c r="Q1565" s="155"/>
      <c r="R1565" s="155"/>
    </row>
    <row r="1566" spans="1:19" s="251" customFormat="1" ht="15.6">
      <c r="A1566" s="20"/>
      <c r="B1566" s="21"/>
      <c r="C1566" s="20"/>
      <c r="D1566" s="20"/>
      <c r="E1566" s="20"/>
      <c r="F1566" s="20"/>
      <c r="G1566" s="143" t="s">
        <v>61</v>
      </c>
      <c r="H1566" s="143" t="s">
        <v>122</v>
      </c>
      <c r="I1566" s="315">
        <v>14.7</v>
      </c>
      <c r="J1566" s="144">
        <v>11.9</v>
      </c>
      <c r="K1566" s="316">
        <v>10</v>
      </c>
      <c r="L1566" s="306">
        <f t="shared" si="319"/>
        <v>1.7493000000000001</v>
      </c>
      <c r="M1566" s="20"/>
      <c r="N1566" s="20"/>
      <c r="O1566" s="20"/>
      <c r="P1566" s="20"/>
      <c r="Q1566" s="155"/>
      <c r="R1566" s="155"/>
    </row>
    <row r="1567" spans="1:19" s="251" customFormat="1" ht="15.6">
      <c r="A1567" s="20"/>
      <c r="B1567" s="21"/>
      <c r="C1567" s="20"/>
      <c r="D1567" s="20"/>
      <c r="E1567" s="20"/>
      <c r="F1567" s="20"/>
      <c r="G1567" s="20"/>
      <c r="H1567" s="426"/>
      <c r="I1567" s="115"/>
      <c r="J1567" s="23"/>
      <c r="K1567" s="25">
        <f>SUM(K1558:K1566)</f>
        <v>363</v>
      </c>
      <c r="L1567" s="128">
        <f>SUM(L1558:L1566)</f>
        <v>51.596999999999994</v>
      </c>
      <c r="M1567" s="20"/>
      <c r="N1567" s="20"/>
      <c r="O1567" s="20"/>
      <c r="P1567" s="20"/>
      <c r="Q1567" s="155"/>
      <c r="R1567" s="155"/>
    </row>
    <row r="1568" spans="1:19" s="251" customFormat="1" ht="15.6">
      <c r="A1568" s="20"/>
      <c r="B1568" s="21"/>
      <c r="C1568" s="20"/>
      <c r="D1568" s="20"/>
      <c r="E1568" s="20"/>
      <c r="F1568" s="20"/>
      <c r="G1568" s="20"/>
      <c r="H1568" s="426"/>
      <c r="I1568" s="115"/>
      <c r="J1568" s="23"/>
      <c r="K1568" s="25"/>
      <c r="L1568" s="128"/>
      <c r="M1568" s="20"/>
      <c r="N1568" s="20"/>
      <c r="O1568" s="20"/>
      <c r="P1568" s="20"/>
      <c r="Q1568" s="155"/>
      <c r="R1568" s="155"/>
    </row>
    <row r="1569" spans="1:19" s="251" customFormat="1" ht="15.6">
      <c r="A1569" s="21" t="s">
        <v>174</v>
      </c>
      <c r="B1569" s="21" t="s">
        <v>243</v>
      </c>
      <c r="C1569" s="21" t="s">
        <v>19</v>
      </c>
      <c r="D1569" s="21" t="s">
        <v>60</v>
      </c>
      <c r="E1569" s="21" t="s">
        <v>247</v>
      </c>
      <c r="F1569" s="22">
        <v>13</v>
      </c>
      <c r="G1569" s="143" t="s">
        <v>61</v>
      </c>
      <c r="H1569" s="143" t="s">
        <v>122</v>
      </c>
      <c r="I1569" s="315">
        <v>14.7</v>
      </c>
      <c r="J1569" s="144">
        <v>11.9</v>
      </c>
      <c r="K1569" s="316">
        <v>2</v>
      </c>
      <c r="L1569" s="306">
        <f>(I1569*J1569*K1569/1000)</f>
        <v>0.34986</v>
      </c>
      <c r="M1569" s="20"/>
      <c r="N1569" s="20"/>
      <c r="O1569" s="20"/>
      <c r="P1569" s="20"/>
      <c r="Q1569" s="155"/>
      <c r="R1569" s="155"/>
      <c r="S1569" s="150" t="s">
        <v>326</v>
      </c>
    </row>
    <row r="1570" spans="1:19" s="251" customFormat="1" ht="15.6">
      <c r="A1570" s="21"/>
      <c r="B1570" s="20" t="s">
        <v>250</v>
      </c>
      <c r="C1570" s="21"/>
      <c r="D1570" s="21"/>
      <c r="E1570" s="21"/>
      <c r="F1570" s="22"/>
      <c r="G1570" s="20" t="s">
        <v>61</v>
      </c>
      <c r="H1570" s="20" t="s">
        <v>122</v>
      </c>
      <c r="I1570" s="115">
        <v>14.7</v>
      </c>
      <c r="J1570" s="23">
        <v>9</v>
      </c>
      <c r="K1570" s="25">
        <v>4</v>
      </c>
      <c r="L1570" s="130">
        <f>(I1570*J1570*K1570/1000)</f>
        <v>0.52919999999999989</v>
      </c>
      <c r="M1570" s="20"/>
      <c r="N1570" s="20"/>
      <c r="O1570" s="20"/>
      <c r="P1570" s="20"/>
      <c r="Q1570" s="155"/>
      <c r="R1570" s="155"/>
    </row>
    <row r="1571" spans="1:19" s="251" customFormat="1" ht="15.6">
      <c r="A1571" s="20"/>
      <c r="B1571" s="20"/>
      <c r="C1571" s="20"/>
      <c r="D1571" s="20"/>
      <c r="E1571" s="20"/>
      <c r="F1571" s="20"/>
      <c r="G1571" s="20" t="s">
        <v>61</v>
      </c>
      <c r="H1571" s="20" t="s">
        <v>122</v>
      </c>
      <c r="I1571" s="115">
        <v>14.7</v>
      </c>
      <c r="J1571" s="23">
        <v>7.3</v>
      </c>
      <c r="K1571" s="25">
        <v>6</v>
      </c>
      <c r="L1571" s="130">
        <f>(I1571*J1571*K1571/1000)</f>
        <v>0.64385999999999988</v>
      </c>
      <c r="M1571" s="20"/>
      <c r="N1571" s="20"/>
      <c r="O1571" s="20"/>
      <c r="P1571" s="20"/>
      <c r="Q1571" s="155"/>
      <c r="R1571" s="155"/>
    </row>
    <row r="1572" spans="1:19" s="251" customFormat="1" ht="15.6">
      <c r="A1572" s="20"/>
      <c r="B1572" s="21"/>
      <c r="C1572" s="20"/>
      <c r="D1572" s="20"/>
      <c r="E1572" s="20"/>
      <c r="F1572" s="20"/>
      <c r="G1572" s="20"/>
      <c r="H1572" s="20"/>
      <c r="I1572" s="104"/>
      <c r="J1572" s="23"/>
      <c r="K1572" s="25">
        <f>SUM(K1569:K1571)</f>
        <v>12</v>
      </c>
      <c r="L1572" s="128">
        <f>SUM(L1569:L1571)</f>
        <v>1.5229199999999998</v>
      </c>
      <c r="M1572" s="20"/>
      <c r="N1572" s="20"/>
      <c r="O1572" s="20"/>
      <c r="P1572" s="20"/>
      <c r="Q1572" s="155"/>
      <c r="R1572" s="155"/>
    </row>
    <row r="1573" spans="1:19" s="251" customFormat="1" ht="15.6">
      <c r="A1573" s="20"/>
      <c r="B1573" s="21"/>
      <c r="C1573" s="20"/>
      <c r="D1573" s="20"/>
      <c r="E1573" s="20"/>
      <c r="F1573" s="20"/>
      <c r="G1573" s="20"/>
      <c r="H1573" s="20"/>
      <c r="I1573" s="104"/>
      <c r="J1573" s="23"/>
      <c r="K1573" s="25"/>
      <c r="L1573" s="128"/>
      <c r="M1573" s="20"/>
      <c r="N1573" s="20"/>
      <c r="O1573" s="20"/>
      <c r="P1573" s="20"/>
      <c r="Q1573" s="155"/>
      <c r="R1573" s="155"/>
    </row>
    <row r="1574" spans="1:19" s="251" customFormat="1" ht="15.6">
      <c r="A1574" s="21" t="s">
        <v>83</v>
      </c>
      <c r="B1574" s="21" t="s">
        <v>296</v>
      </c>
      <c r="C1574" s="21" t="s">
        <v>19</v>
      </c>
      <c r="D1574" s="21" t="s">
        <v>60</v>
      </c>
      <c r="E1574" s="21" t="s">
        <v>247</v>
      </c>
      <c r="F1574" s="22">
        <v>13</v>
      </c>
      <c r="G1574" s="20" t="s">
        <v>61</v>
      </c>
      <c r="H1574" s="143" t="s">
        <v>122</v>
      </c>
      <c r="I1574" s="131">
        <v>14.7</v>
      </c>
      <c r="J1574" s="23">
        <v>12</v>
      </c>
      <c r="K1574" s="25">
        <v>30</v>
      </c>
      <c r="L1574" s="130">
        <f t="shared" ref="L1574" si="320">(I1574*J1574*K1574/1000)</f>
        <v>5.2919999999999989</v>
      </c>
      <c r="M1574" s="20"/>
      <c r="N1574" s="20"/>
      <c r="O1574" s="20"/>
      <c r="P1574" s="20"/>
      <c r="Q1574" s="155"/>
      <c r="R1574" s="155"/>
      <c r="S1574" s="150" t="s">
        <v>326</v>
      </c>
    </row>
    <row r="1575" spans="1:19" s="251" customFormat="1" ht="15.6">
      <c r="A1575" s="20"/>
      <c r="B1575" s="229" t="s">
        <v>88</v>
      </c>
      <c r="C1575" s="20"/>
      <c r="D1575" s="20"/>
      <c r="E1575" s="20"/>
      <c r="F1575" s="20"/>
      <c r="G1575" s="20"/>
      <c r="H1575" s="20"/>
      <c r="I1575" s="131"/>
      <c r="J1575" s="23"/>
      <c r="K1575" s="25">
        <f>SUM(K1574:K1574)</f>
        <v>30</v>
      </c>
      <c r="L1575" s="128">
        <f>SUM(L1574:L1574)</f>
        <v>5.2919999999999989</v>
      </c>
      <c r="M1575" s="20"/>
      <c r="N1575" s="20"/>
      <c r="O1575" s="20"/>
      <c r="P1575" s="20"/>
      <c r="Q1575" s="155"/>
      <c r="R1575" s="155"/>
    </row>
    <row r="1576" spans="1:19" s="251" customFormat="1" ht="15.6">
      <c r="A1576" s="20"/>
      <c r="B1576" s="21"/>
      <c r="C1576" s="20"/>
      <c r="D1576" s="20"/>
      <c r="E1576" s="20"/>
      <c r="F1576" s="20"/>
      <c r="G1576" s="20"/>
      <c r="H1576" s="20"/>
      <c r="I1576" s="104"/>
      <c r="J1576" s="23"/>
      <c r="K1576" s="154">
        <f>+K1572+K1567+K1556+K1575</f>
        <v>438</v>
      </c>
      <c r="L1576" s="128">
        <f>+L1572+L1567+L1556+L1575</f>
        <v>63.237929999999992</v>
      </c>
      <c r="M1576" s="154">
        <f>+M1572+M1567+M1556+M1575</f>
        <v>0</v>
      </c>
      <c r="N1576" s="128">
        <f>+N1572+N1567+N1556+N1575</f>
        <v>0</v>
      </c>
      <c r="O1576" s="20"/>
      <c r="P1576" s="20"/>
      <c r="Q1576" s="155"/>
      <c r="R1576" s="155"/>
    </row>
    <row r="1577" spans="1:19" s="251" customFormat="1" ht="15.6">
      <c r="A1577" s="20"/>
      <c r="B1577" s="21"/>
      <c r="C1577" s="20"/>
      <c r="D1577" s="20"/>
      <c r="E1577" s="20"/>
      <c r="F1577" s="20"/>
      <c r="G1577" s="20"/>
      <c r="H1577" s="20"/>
      <c r="I1577" s="104"/>
      <c r="J1577" s="23"/>
      <c r="K1577" s="25"/>
      <c r="L1577" s="128"/>
      <c r="M1577" s="20"/>
      <c r="N1577" s="20"/>
      <c r="O1577" s="20"/>
      <c r="P1577" s="20"/>
      <c r="Q1577" s="155"/>
      <c r="R1577" s="155"/>
    </row>
    <row r="1578" spans="1:19" s="251" customFormat="1" ht="15.6">
      <c r="A1578" s="20"/>
      <c r="B1578" s="21"/>
      <c r="C1578" s="20"/>
      <c r="D1578" s="20"/>
      <c r="E1578" s="20"/>
      <c r="F1578" s="20"/>
      <c r="G1578" s="20"/>
      <c r="H1578" s="20"/>
      <c r="I1578" s="115"/>
      <c r="J1578" s="23"/>
      <c r="K1578" s="25"/>
      <c r="L1578" s="128"/>
      <c r="M1578" s="20"/>
      <c r="N1578" s="20"/>
      <c r="O1578" s="20"/>
      <c r="P1578" s="20"/>
      <c r="Q1578" s="155"/>
      <c r="R1578" s="155"/>
    </row>
    <row r="1579" spans="1:19" s="251" customFormat="1" ht="15.6">
      <c r="A1579" s="21" t="s">
        <v>174</v>
      </c>
      <c r="B1579" s="21" t="s">
        <v>245</v>
      </c>
      <c r="C1579" s="21" t="s">
        <v>19</v>
      </c>
      <c r="D1579" s="21" t="s">
        <v>60</v>
      </c>
      <c r="E1579" s="21" t="s">
        <v>247</v>
      </c>
      <c r="F1579" s="22">
        <v>13</v>
      </c>
      <c r="G1579" s="20" t="s">
        <v>61</v>
      </c>
      <c r="H1579" s="143" t="s">
        <v>123</v>
      </c>
      <c r="I1579" s="115">
        <v>16.5</v>
      </c>
      <c r="J1579" s="23">
        <v>7.3090000000000002</v>
      </c>
      <c r="K1579" s="25">
        <v>24</v>
      </c>
      <c r="L1579" s="130">
        <f t="shared" ref="L1579:L1584" si="321">(I1579*J1579*K1579/1000)</f>
        <v>2.8943639999999999</v>
      </c>
      <c r="M1579" s="20"/>
      <c r="N1579" s="20"/>
      <c r="O1579" s="20"/>
      <c r="P1579" s="20"/>
      <c r="Q1579" s="155"/>
      <c r="R1579" s="155"/>
      <c r="S1579" s="150" t="s">
        <v>326</v>
      </c>
    </row>
    <row r="1580" spans="1:19" s="251" customFormat="1" ht="15.6">
      <c r="A1580" s="20"/>
      <c r="B1580" s="229" t="s">
        <v>249</v>
      </c>
      <c r="C1580" s="20"/>
      <c r="D1580" s="20"/>
      <c r="E1580" s="20"/>
      <c r="F1580" s="20"/>
      <c r="G1580" s="20" t="s">
        <v>61</v>
      </c>
      <c r="H1580" s="20" t="s">
        <v>123</v>
      </c>
      <c r="I1580" s="115">
        <v>16.5</v>
      </c>
      <c r="J1580" s="144">
        <v>10.103</v>
      </c>
      <c r="K1580" s="25">
        <v>8</v>
      </c>
      <c r="L1580" s="130">
        <f t="shared" si="321"/>
        <v>1.333596</v>
      </c>
      <c r="M1580" s="20"/>
      <c r="N1580" s="20"/>
      <c r="O1580" s="20"/>
      <c r="P1580" s="20"/>
      <c r="Q1580" s="155"/>
      <c r="R1580" s="155"/>
    </row>
    <row r="1581" spans="1:19" s="251" customFormat="1" ht="15.6">
      <c r="A1581" s="20"/>
      <c r="B1581" s="21"/>
      <c r="C1581" s="20"/>
      <c r="D1581" s="20"/>
      <c r="E1581" s="20"/>
      <c r="F1581" s="20"/>
      <c r="G1581" s="20" t="s">
        <v>61</v>
      </c>
      <c r="H1581" s="20" t="s">
        <v>123</v>
      </c>
      <c r="I1581" s="115">
        <v>16.5</v>
      </c>
      <c r="J1581" s="23">
        <v>10.103</v>
      </c>
      <c r="K1581" s="25">
        <v>8</v>
      </c>
      <c r="L1581" s="130">
        <f t="shared" si="321"/>
        <v>1.333596</v>
      </c>
      <c r="M1581" s="20"/>
      <c r="N1581" s="20"/>
      <c r="O1581" s="20"/>
      <c r="P1581" s="20"/>
      <c r="Q1581" s="155"/>
      <c r="R1581" s="155"/>
    </row>
    <row r="1582" spans="1:19" s="251" customFormat="1" ht="15.6">
      <c r="A1582" s="20"/>
      <c r="B1582" s="21"/>
      <c r="C1582" s="20"/>
      <c r="D1582" s="20"/>
      <c r="E1582" s="20"/>
      <c r="F1582" s="20"/>
      <c r="G1582" s="20" t="s">
        <v>61</v>
      </c>
      <c r="H1582" s="20" t="s">
        <v>123</v>
      </c>
      <c r="I1582" s="115">
        <v>16.5</v>
      </c>
      <c r="J1582" s="23">
        <v>11.814</v>
      </c>
      <c r="K1582" s="25">
        <v>6</v>
      </c>
      <c r="L1582" s="130">
        <f t="shared" si="321"/>
        <v>1.169586</v>
      </c>
      <c r="M1582" s="20"/>
      <c r="N1582" s="20"/>
      <c r="O1582" s="20"/>
      <c r="P1582" s="20"/>
      <c r="Q1582" s="155"/>
      <c r="R1582" s="155"/>
    </row>
    <row r="1583" spans="1:19" s="251" customFormat="1" ht="15.6">
      <c r="A1583" s="20"/>
      <c r="B1583" s="21"/>
      <c r="C1583" s="20"/>
      <c r="D1583" s="20"/>
      <c r="E1583" s="20"/>
      <c r="F1583" s="20"/>
      <c r="G1583" s="20" t="s">
        <v>61</v>
      </c>
      <c r="H1583" s="20" t="s">
        <v>123</v>
      </c>
      <c r="I1583" s="115">
        <v>16.5</v>
      </c>
      <c r="J1583" s="23">
        <v>11.814</v>
      </c>
      <c r="K1583" s="25">
        <v>24</v>
      </c>
      <c r="L1583" s="130">
        <f t="shared" si="321"/>
        <v>4.6783440000000001</v>
      </c>
      <c r="M1583" s="20"/>
      <c r="N1583" s="20"/>
      <c r="O1583" s="20"/>
      <c r="P1583" s="20"/>
      <c r="Q1583" s="155"/>
      <c r="R1583" s="155"/>
    </row>
    <row r="1584" spans="1:19" s="251" customFormat="1" ht="15.6">
      <c r="A1584" s="20"/>
      <c r="B1584" s="21"/>
      <c r="C1584" s="20"/>
      <c r="D1584" s="20"/>
      <c r="E1584" s="20"/>
      <c r="F1584" s="20"/>
      <c r="G1584" s="143" t="s">
        <v>61</v>
      </c>
      <c r="H1584" s="143" t="s">
        <v>123</v>
      </c>
      <c r="I1584" s="315">
        <v>16.5</v>
      </c>
      <c r="J1584" s="144">
        <v>11.9</v>
      </c>
      <c r="K1584" s="316">
        <v>12</v>
      </c>
      <c r="L1584" s="306">
        <f t="shared" si="321"/>
        <v>2.3561999999999999</v>
      </c>
      <c r="M1584" s="20"/>
      <c r="N1584" s="20"/>
      <c r="O1584" s="20"/>
      <c r="P1584" s="20"/>
      <c r="Q1584" s="155"/>
      <c r="R1584" s="155"/>
    </row>
    <row r="1585" spans="1:19" s="251" customFormat="1" ht="15.6">
      <c r="A1585" s="20"/>
      <c r="B1585" s="21"/>
      <c r="C1585" s="20"/>
      <c r="D1585" s="20"/>
      <c r="E1585" s="20"/>
      <c r="F1585" s="20"/>
      <c r="G1585" s="20"/>
      <c r="H1585" s="426"/>
      <c r="I1585" s="115"/>
      <c r="J1585" s="23"/>
      <c r="K1585" s="25">
        <f>SUM(K1579:K1584)</f>
        <v>82</v>
      </c>
      <c r="L1585" s="128">
        <f>SUM(L1579:L1584)</f>
        <v>13.765685999999999</v>
      </c>
      <c r="M1585" s="25">
        <f>SUM(M1579:M1584)</f>
        <v>0</v>
      </c>
      <c r="N1585" s="128">
        <f>SUM(N1579:N1584)</f>
        <v>0</v>
      </c>
      <c r="O1585" s="20"/>
      <c r="P1585" s="20"/>
      <c r="Q1585" s="155"/>
      <c r="R1585" s="155"/>
    </row>
    <row r="1586" spans="1:19" s="251" customFormat="1" ht="15.6">
      <c r="A1586" s="20"/>
      <c r="B1586" s="21"/>
      <c r="C1586" s="20"/>
      <c r="D1586" s="20"/>
      <c r="E1586" s="20"/>
      <c r="F1586" s="20"/>
      <c r="G1586" s="20"/>
      <c r="H1586" s="20"/>
      <c r="I1586" s="115"/>
      <c r="J1586" s="23"/>
      <c r="K1586" s="25"/>
      <c r="L1586" s="128"/>
      <c r="M1586" s="20"/>
      <c r="N1586" s="20"/>
      <c r="O1586" s="20"/>
      <c r="P1586" s="20"/>
      <c r="Q1586" s="155"/>
      <c r="R1586" s="155"/>
    </row>
    <row r="1587" spans="1:19" s="251" customFormat="1" ht="15.6">
      <c r="A1587" s="21" t="s">
        <v>174</v>
      </c>
      <c r="B1587" s="21" t="s">
        <v>245</v>
      </c>
      <c r="C1587" s="21" t="s">
        <v>19</v>
      </c>
      <c r="D1587" s="21" t="s">
        <v>60</v>
      </c>
      <c r="E1587" s="21" t="s">
        <v>90</v>
      </c>
      <c r="F1587" s="22">
        <v>13</v>
      </c>
      <c r="G1587" s="20" t="s">
        <v>61</v>
      </c>
      <c r="H1587" s="143" t="s">
        <v>123</v>
      </c>
      <c r="I1587" s="115">
        <v>16.5</v>
      </c>
      <c r="J1587" s="144">
        <v>11.814</v>
      </c>
      <c r="K1587" s="25">
        <v>8</v>
      </c>
      <c r="L1587" s="130">
        <f>(I1587*J1587*K1587/1000)</f>
        <v>1.5594480000000002</v>
      </c>
      <c r="M1587" s="20"/>
      <c r="N1587" s="20"/>
      <c r="O1587" s="20"/>
      <c r="P1587" s="20"/>
      <c r="Q1587" s="155"/>
      <c r="R1587" s="155"/>
      <c r="S1587" s="150" t="s">
        <v>326</v>
      </c>
    </row>
    <row r="1588" spans="1:19" s="251" customFormat="1" ht="15.6">
      <c r="A1588" s="20"/>
      <c r="B1588" s="229" t="s">
        <v>206</v>
      </c>
      <c r="C1588" s="20"/>
      <c r="D1588" s="20"/>
      <c r="E1588" s="20"/>
      <c r="F1588" s="20"/>
      <c r="G1588" s="20"/>
      <c r="H1588" s="426"/>
      <c r="I1588" s="115"/>
      <c r="J1588" s="23"/>
      <c r="K1588" s="25">
        <f t="shared" ref="K1588:M1588" si="322">SUM(K1587)</f>
        <v>8</v>
      </c>
      <c r="L1588" s="128">
        <f>SUM(L1587)</f>
        <v>1.5594480000000002</v>
      </c>
      <c r="M1588" s="25">
        <f t="shared" si="322"/>
        <v>0</v>
      </c>
      <c r="N1588" s="128">
        <f>SUM(N1587)</f>
        <v>0</v>
      </c>
      <c r="O1588" s="20"/>
      <c r="P1588" s="20"/>
      <c r="Q1588" s="155"/>
      <c r="R1588" s="155"/>
    </row>
    <row r="1589" spans="1:19" s="251" customFormat="1" ht="15.6">
      <c r="A1589" s="20"/>
      <c r="B1589" s="21"/>
      <c r="C1589" s="20"/>
      <c r="D1589" s="20"/>
      <c r="E1589" s="20"/>
      <c r="F1589" s="20"/>
      <c r="G1589" s="20"/>
      <c r="H1589" s="20"/>
      <c r="I1589" s="115"/>
      <c r="J1589" s="23"/>
      <c r="K1589" s="154">
        <f>+K1588+K1585</f>
        <v>90</v>
      </c>
      <c r="L1589" s="128">
        <f>+L1588+L1585</f>
        <v>15.325133999999998</v>
      </c>
      <c r="M1589" s="154">
        <f>+M1588+M1585</f>
        <v>0</v>
      </c>
      <c r="N1589" s="128">
        <f>+N1588+N1585</f>
        <v>0</v>
      </c>
      <c r="O1589" s="20"/>
      <c r="P1589" s="20"/>
      <c r="Q1589" s="155"/>
      <c r="R1589" s="155"/>
    </row>
    <row r="1590" spans="1:19" s="251" customFormat="1" ht="15.6">
      <c r="A1590" s="20"/>
      <c r="B1590" s="21"/>
      <c r="C1590" s="20"/>
      <c r="D1590" s="20"/>
      <c r="E1590" s="20"/>
      <c r="F1590" s="20"/>
      <c r="G1590" s="20"/>
      <c r="H1590" s="20"/>
      <c r="I1590" s="115"/>
      <c r="J1590" s="23"/>
      <c r="K1590" s="25"/>
      <c r="L1590" s="128"/>
      <c r="M1590" s="20"/>
      <c r="N1590" s="20"/>
      <c r="O1590" s="20"/>
      <c r="P1590" s="20"/>
      <c r="Q1590" s="155"/>
      <c r="R1590" s="155"/>
    </row>
    <row r="1591" spans="1:19" s="251" customFormat="1" ht="15.6">
      <c r="A1591" s="20"/>
      <c r="B1591" s="21"/>
      <c r="C1591" s="20"/>
      <c r="D1591" s="20"/>
      <c r="E1591" s="20"/>
      <c r="F1591" s="20"/>
      <c r="G1591" s="20"/>
      <c r="H1591" s="20"/>
      <c r="I1591" s="115"/>
      <c r="J1591" s="23"/>
      <c r="K1591" s="25"/>
      <c r="L1591" s="128"/>
      <c r="M1591" s="20"/>
      <c r="N1591" s="20"/>
      <c r="O1591" s="20"/>
      <c r="P1591" s="20"/>
      <c r="Q1591" s="155"/>
      <c r="R1591" s="155"/>
    </row>
    <row r="1592" spans="1:19" ht="15.6">
      <c r="A1592" s="20"/>
      <c r="B1592" s="21"/>
      <c r="C1592" s="20"/>
      <c r="D1592" s="20"/>
      <c r="E1592" s="20"/>
      <c r="F1592" s="20"/>
      <c r="G1592" s="20"/>
      <c r="H1592" s="20"/>
      <c r="I1592" s="115"/>
      <c r="J1592" s="23"/>
      <c r="K1592" s="25"/>
      <c r="L1592" s="128"/>
      <c r="M1592" s="20"/>
      <c r="N1592" s="20"/>
      <c r="O1592" s="20"/>
      <c r="P1592" s="20"/>
      <c r="Q1592" s="155"/>
      <c r="R1592" s="155"/>
    </row>
    <row r="1593" spans="1:19" ht="15.6">
      <c r="A1593" s="20"/>
      <c r="B1593" s="20"/>
      <c r="C1593" s="20"/>
      <c r="D1593" s="20"/>
      <c r="E1593" s="20"/>
      <c r="F1593" s="20"/>
      <c r="G1593" s="20"/>
      <c r="H1593" s="20"/>
      <c r="I1593" s="131"/>
      <c r="J1593" s="20"/>
      <c r="K1593" s="211"/>
      <c r="L1593" s="128">
        <f>+L1589+L1576+L1496+L1514+L1534+L1549</f>
        <v>403.696574</v>
      </c>
      <c r="M1593" s="20"/>
      <c r="N1593" s="128">
        <f>+N1589+N1576+N1496+N1514+N1534+N1549</f>
        <v>10.720049999999999</v>
      </c>
      <c r="O1593" s="20"/>
      <c r="P1593" s="20"/>
      <c r="Q1593" s="155"/>
      <c r="R1593" s="155"/>
    </row>
    <row r="1594" spans="1:19">
      <c r="A1594" s="10" t="s">
        <v>48</v>
      </c>
      <c r="B1594" s="10"/>
      <c r="C1594" s="11"/>
      <c r="D1594" s="11"/>
      <c r="E1594" s="11"/>
      <c r="F1594" s="92"/>
      <c r="G1594" s="11"/>
      <c r="H1594" s="92"/>
      <c r="I1594" s="13"/>
      <c r="J1594" s="11"/>
      <c r="K1594" s="202"/>
      <c r="L1594" s="2047" t="s">
        <v>0</v>
      </c>
      <c r="M1594" s="2047"/>
      <c r="N1594" s="2047"/>
      <c r="O1594" s="2048"/>
      <c r="P1594" s="2020"/>
      <c r="Q1594" s="142"/>
      <c r="R1594" s="142"/>
    </row>
    <row r="1595" spans="1:19">
      <c r="A1595" s="14" t="s">
        <v>1</v>
      </c>
      <c r="B1595" s="14"/>
      <c r="C1595" s="14"/>
      <c r="D1595" s="15" t="s">
        <v>2</v>
      </c>
      <c r="E1595" s="15"/>
      <c r="F1595" s="16"/>
      <c r="G1595" s="16"/>
      <c r="H1595" s="16"/>
      <c r="I1595" s="17"/>
      <c r="J1595" s="16"/>
      <c r="K1595" s="203" t="s">
        <v>3</v>
      </c>
      <c r="L1595" s="16"/>
      <c r="M1595" s="14"/>
      <c r="N1595" s="16"/>
      <c r="O1595" s="19"/>
      <c r="P1595" s="2020"/>
      <c r="Q1595" s="142"/>
      <c r="R1595" s="142"/>
    </row>
    <row r="1596" spans="1:19" ht="15.6">
      <c r="A1596" s="233" t="s">
        <v>22</v>
      </c>
      <c r="B1596" s="2021" t="s">
        <v>23</v>
      </c>
      <c r="C1596" s="2022"/>
      <c r="D1596" s="2023"/>
      <c r="E1596" s="233" t="s">
        <v>24</v>
      </c>
      <c r="F1596" s="2021" t="s">
        <v>25</v>
      </c>
      <c r="G1596" s="2023"/>
      <c r="H1596" s="2021" t="s">
        <v>26</v>
      </c>
      <c r="I1596" s="2022"/>
      <c r="J1596" s="2022"/>
      <c r="K1596" s="2023"/>
      <c r="L1596" s="2024" t="s">
        <v>27</v>
      </c>
      <c r="M1596" s="2024"/>
      <c r="N1596" s="2024"/>
      <c r="O1596" s="2021"/>
      <c r="P1596" s="2020"/>
      <c r="Q1596" s="142"/>
      <c r="R1596" s="142"/>
    </row>
    <row r="1597" spans="1:19" ht="15.6">
      <c r="A1597" s="38"/>
      <c r="B1597" s="2025"/>
      <c r="C1597" s="2026"/>
      <c r="D1597" s="2027"/>
      <c r="E1597" s="26"/>
      <c r="F1597" s="2025"/>
      <c r="G1597" s="2027"/>
      <c r="H1597" s="2025"/>
      <c r="I1597" s="2026"/>
      <c r="J1597" s="2026"/>
      <c r="K1597" s="2027"/>
      <c r="L1597" s="2025"/>
      <c r="M1597" s="2026"/>
      <c r="N1597" s="2026"/>
      <c r="O1597" s="2026"/>
      <c r="P1597" s="2020"/>
      <c r="Q1597" s="142"/>
      <c r="R1597" s="142"/>
    </row>
    <row r="1598" spans="1:19" ht="15.6">
      <c r="A1598" s="38"/>
      <c r="B1598" s="234"/>
      <c r="C1598" s="235"/>
      <c r="D1598" s="236"/>
      <c r="E1598" s="26"/>
      <c r="F1598" s="234"/>
      <c r="G1598" s="236"/>
      <c r="H1598" s="234"/>
      <c r="I1598" s="1856"/>
      <c r="J1598" s="235"/>
      <c r="K1598" s="204"/>
      <c r="L1598" s="279"/>
      <c r="M1598" s="235"/>
      <c r="N1598" s="235"/>
      <c r="O1598" s="235"/>
      <c r="P1598" s="2020"/>
      <c r="Q1598" s="142"/>
      <c r="R1598" s="142"/>
    </row>
    <row r="1599" spans="1:19" ht="15.6">
      <c r="A1599" s="38" t="s">
        <v>28</v>
      </c>
      <c r="B1599" s="2025" t="s">
        <v>254</v>
      </c>
      <c r="C1599" s="2026"/>
      <c r="D1599" s="2027"/>
      <c r="E1599" s="26">
        <f>+L1576</f>
        <v>63.237929999999992</v>
      </c>
      <c r="F1599" s="2025">
        <v>13</v>
      </c>
      <c r="G1599" s="2027"/>
      <c r="H1599" s="2025" t="s">
        <v>60</v>
      </c>
      <c r="I1599" s="2026"/>
      <c r="J1599" s="2026"/>
      <c r="K1599" s="2027"/>
      <c r="L1599" s="2025" t="s">
        <v>253</v>
      </c>
      <c r="M1599" s="2026"/>
      <c r="N1599" s="2026"/>
      <c r="O1599" s="2026"/>
      <c r="P1599" s="2020"/>
      <c r="Q1599" s="142"/>
      <c r="R1599" s="142"/>
    </row>
    <row r="1600" spans="1:19" s="251" customFormat="1" ht="15.6">
      <c r="A1600" s="38" t="s">
        <v>29</v>
      </c>
      <c r="B1600" s="2025" t="s">
        <v>252</v>
      </c>
      <c r="C1600" s="2026"/>
      <c r="D1600" s="2027"/>
      <c r="E1600" s="26">
        <f>+L1589+31.72</f>
        <v>47.045133999999997</v>
      </c>
      <c r="F1600" s="2025">
        <v>13</v>
      </c>
      <c r="G1600" s="2027"/>
      <c r="H1600" s="2025" t="s">
        <v>60</v>
      </c>
      <c r="I1600" s="2026"/>
      <c r="J1600" s="2026"/>
      <c r="K1600" s="2027"/>
      <c r="L1600" s="2025" t="s">
        <v>253</v>
      </c>
      <c r="M1600" s="2026"/>
      <c r="N1600" s="2026"/>
      <c r="O1600" s="2026"/>
      <c r="P1600" s="2020"/>
      <c r="Q1600" s="142"/>
      <c r="R1600" s="142"/>
    </row>
    <row r="1601" spans="1:18" s="251" customFormat="1" ht="15.6">
      <c r="A1601" s="38" t="s">
        <v>30</v>
      </c>
      <c r="B1601" s="2025" t="s">
        <v>254</v>
      </c>
      <c r="C1601" s="2026"/>
      <c r="D1601" s="2027"/>
      <c r="E1601" s="26">
        <v>68.03</v>
      </c>
      <c r="F1601" s="2025">
        <v>13</v>
      </c>
      <c r="G1601" s="2027"/>
      <c r="H1601" s="2025" t="s">
        <v>60</v>
      </c>
      <c r="I1601" s="2026"/>
      <c r="J1601" s="2026"/>
      <c r="K1601" s="2027"/>
      <c r="L1601" s="2025" t="s">
        <v>253</v>
      </c>
      <c r="M1601" s="2026"/>
      <c r="N1601" s="2026"/>
      <c r="O1601" s="2026"/>
      <c r="P1601" s="2020"/>
      <c r="Q1601" s="142"/>
      <c r="R1601" s="142"/>
    </row>
    <row r="1602" spans="1:18" s="251" customFormat="1" ht="15.6">
      <c r="A1602" s="38"/>
      <c r="B1602" s="458"/>
      <c r="C1602" s="459"/>
      <c r="D1602" s="459"/>
      <c r="E1602" s="26"/>
      <c r="F1602" s="459"/>
      <c r="G1602" s="460"/>
      <c r="H1602" s="458"/>
      <c r="I1602" s="1856"/>
      <c r="J1602" s="459"/>
      <c r="K1602" s="460"/>
      <c r="L1602" s="458"/>
      <c r="M1602" s="459"/>
      <c r="N1602" s="459"/>
      <c r="O1602" s="459"/>
      <c r="P1602" s="2020"/>
      <c r="Q1602" s="142"/>
      <c r="R1602" s="142"/>
    </row>
    <row r="1603" spans="1:18" s="251" customFormat="1" ht="15.6">
      <c r="A1603" s="38" t="s">
        <v>46</v>
      </c>
      <c r="B1603" s="2025" t="s">
        <v>146</v>
      </c>
      <c r="C1603" s="2026"/>
      <c r="D1603" s="2027"/>
      <c r="E1603" s="26">
        <v>36.56</v>
      </c>
      <c r="F1603" s="2025">
        <v>13</v>
      </c>
      <c r="G1603" s="2027"/>
      <c r="H1603" s="2025" t="s">
        <v>20</v>
      </c>
      <c r="I1603" s="2026"/>
      <c r="J1603" s="2026"/>
      <c r="K1603" s="2027"/>
      <c r="L1603" s="2025" t="s">
        <v>316</v>
      </c>
      <c r="M1603" s="2026"/>
      <c r="N1603" s="2026"/>
      <c r="O1603" s="2026"/>
      <c r="P1603" s="2020"/>
      <c r="Q1603" s="142"/>
      <c r="R1603" s="142"/>
    </row>
    <row r="1604" spans="1:18" s="251" customFormat="1" ht="15.6">
      <c r="A1604" s="38" t="s">
        <v>58</v>
      </c>
      <c r="B1604" s="2025" t="s">
        <v>145</v>
      </c>
      <c r="C1604" s="2026"/>
      <c r="D1604" s="2027"/>
      <c r="E1604" s="26">
        <f>12.18-9.4</f>
        <v>2.7799999999999994</v>
      </c>
      <c r="F1604" s="2025">
        <v>13</v>
      </c>
      <c r="G1604" s="2027"/>
      <c r="H1604" s="2025" t="s">
        <v>20</v>
      </c>
      <c r="I1604" s="2026"/>
      <c r="J1604" s="2026"/>
      <c r="K1604" s="2027"/>
      <c r="L1604" s="2025" t="s">
        <v>316</v>
      </c>
      <c r="M1604" s="2026"/>
      <c r="N1604" s="2026"/>
      <c r="O1604" s="2026"/>
      <c r="P1604" s="2020"/>
      <c r="Q1604" s="142"/>
      <c r="R1604" s="142"/>
    </row>
    <row r="1605" spans="1:18" s="251" customFormat="1" ht="15.6">
      <c r="A1605" s="38" t="s">
        <v>163</v>
      </c>
      <c r="B1605" s="2025" t="s">
        <v>144</v>
      </c>
      <c r="C1605" s="2026"/>
      <c r="D1605" s="2027"/>
      <c r="E1605" s="26">
        <v>2.58</v>
      </c>
      <c r="F1605" s="2025">
        <v>13</v>
      </c>
      <c r="G1605" s="2027"/>
      <c r="H1605" s="2025" t="s">
        <v>20</v>
      </c>
      <c r="I1605" s="2026"/>
      <c r="J1605" s="2026"/>
      <c r="K1605" s="2027"/>
      <c r="L1605" s="2025" t="s">
        <v>316</v>
      </c>
      <c r="M1605" s="2026"/>
      <c r="N1605" s="2026"/>
      <c r="O1605" s="2026"/>
      <c r="P1605" s="2020"/>
      <c r="Q1605" s="142"/>
      <c r="R1605" s="142"/>
    </row>
    <row r="1606" spans="1:18" s="251" customFormat="1" ht="15.6">
      <c r="A1606" s="38"/>
      <c r="B1606" s="458"/>
      <c r="C1606" s="459"/>
      <c r="D1606" s="459"/>
      <c r="E1606" s="26"/>
      <c r="F1606" s="459"/>
      <c r="G1606" s="460"/>
      <c r="H1606" s="458"/>
      <c r="I1606" s="1856"/>
      <c r="J1606" s="459"/>
      <c r="K1606" s="460"/>
      <c r="L1606" s="458"/>
      <c r="M1606" s="459"/>
      <c r="N1606" s="459"/>
      <c r="O1606" s="459"/>
      <c r="P1606" s="2020"/>
      <c r="Q1606" s="142"/>
      <c r="R1606" s="142"/>
    </row>
    <row r="1607" spans="1:18" ht="16.2" thickBot="1">
      <c r="A1607" s="38"/>
      <c r="B1607" s="234"/>
      <c r="C1607" s="235"/>
      <c r="D1607" s="235"/>
      <c r="E1607" s="26"/>
      <c r="F1607" s="235"/>
      <c r="G1607" s="236"/>
      <c r="H1607" s="234"/>
      <c r="I1607" s="1856"/>
      <c r="J1607" s="235"/>
      <c r="K1607" s="204"/>
      <c r="L1607" s="39"/>
      <c r="M1607" s="40"/>
      <c r="N1607" s="40"/>
      <c r="O1607" s="40"/>
      <c r="P1607" s="2020"/>
      <c r="Q1607" s="142"/>
      <c r="R1607" s="142"/>
    </row>
    <row r="1608" spans="1:18" ht="15.6">
      <c r="A1608" s="41"/>
      <c r="B1608" s="42"/>
      <c r="C1608" s="43"/>
      <c r="D1608" s="43"/>
      <c r="E1608" s="2028">
        <f>SUM(E1597:E1607)</f>
        <v>220.23306400000001</v>
      </c>
      <c r="F1608" s="44"/>
      <c r="G1608" s="45"/>
      <c r="H1608" s="46"/>
      <c r="I1608" s="1858"/>
      <c r="J1608" s="43"/>
      <c r="K1608" s="205"/>
      <c r="L1608" s="46"/>
      <c r="M1608" s="43"/>
      <c r="N1608" s="44"/>
      <c r="O1608" s="43"/>
      <c r="P1608" s="2020"/>
      <c r="Q1608" s="142"/>
      <c r="R1608" s="142"/>
    </row>
    <row r="1609" spans="1:18" ht="16.2" thickBot="1">
      <c r="A1609" s="47"/>
      <c r="B1609" s="48"/>
      <c r="C1609" s="49"/>
      <c r="D1609" s="49"/>
      <c r="E1609" s="2029"/>
      <c r="F1609" s="50"/>
      <c r="G1609" s="51"/>
      <c r="H1609" s="52"/>
      <c r="I1609" s="1860"/>
      <c r="J1609" s="49"/>
      <c r="K1609" s="206"/>
      <c r="L1609" s="52"/>
      <c r="M1609" s="49"/>
      <c r="N1609" s="50"/>
      <c r="O1609" s="49"/>
      <c r="P1609" s="2020"/>
      <c r="Q1609" s="142"/>
      <c r="R1609" s="142"/>
    </row>
    <row r="1610" spans="1:18" ht="15.6">
      <c r="A1610" s="53" t="s">
        <v>31</v>
      </c>
      <c r="B1610" s="43"/>
      <c r="C1610" s="43"/>
      <c r="D1610" s="43"/>
      <c r="E1610" s="43"/>
      <c r="F1610" s="44"/>
      <c r="G1610" s="43"/>
      <c r="H1610" s="44"/>
      <c r="I1610" s="1858"/>
      <c r="J1610" s="43"/>
      <c r="K1610" s="207"/>
      <c r="L1610" s="44"/>
      <c r="M1610" s="43"/>
      <c r="N1610" s="44"/>
      <c r="O1610" s="43"/>
      <c r="P1610" s="2020"/>
      <c r="Q1610" s="142"/>
      <c r="R1610" s="142"/>
    </row>
    <row r="1611" spans="1:18" ht="15.6">
      <c r="A1611" s="54"/>
      <c r="B1611" s="55"/>
      <c r="C1611" s="55"/>
      <c r="D1611" s="55"/>
      <c r="E1611" s="55"/>
      <c r="F1611" s="237"/>
      <c r="G1611" s="55"/>
      <c r="H1611" s="237"/>
      <c r="I1611" s="1859"/>
      <c r="J1611" s="55"/>
      <c r="K1611" s="208"/>
      <c r="L1611" s="283"/>
      <c r="M1611" s="55"/>
      <c r="N1611" s="237"/>
      <c r="O1611" s="55"/>
      <c r="P1611" s="2020"/>
      <c r="Q1611" s="142"/>
      <c r="R1611" s="142"/>
    </row>
    <row r="1612" spans="1:18" ht="16.2" thickBot="1">
      <c r="A1612" s="2030" t="s">
        <v>32</v>
      </c>
      <c r="B1612" s="2031"/>
      <c r="C1612" s="2032" t="s">
        <v>33</v>
      </c>
      <c r="D1612" s="2033"/>
      <c r="E1612" s="57" t="s">
        <v>34</v>
      </c>
      <c r="F1612" s="57" t="s">
        <v>35</v>
      </c>
      <c r="G1612" s="2034" t="s">
        <v>36</v>
      </c>
      <c r="H1612" s="2035"/>
      <c r="I1612" s="2035"/>
      <c r="J1612" s="2035"/>
      <c r="K1612" s="2035"/>
      <c r="L1612" s="2035"/>
      <c r="M1612" s="2035"/>
      <c r="N1612" s="2035"/>
      <c r="O1612" s="2035"/>
      <c r="P1612" s="2020"/>
      <c r="Q1612" s="142"/>
      <c r="R1612" s="142"/>
    </row>
    <row r="1613" spans="1:18" ht="15.6">
      <c r="A1613" s="2036"/>
      <c r="B1613" s="2023"/>
      <c r="C1613" s="2021"/>
      <c r="D1613" s="2023"/>
      <c r="E1613" s="233"/>
      <c r="F1613" s="231"/>
      <c r="G1613" s="2037"/>
      <c r="H1613" s="2038"/>
      <c r="I1613" s="2038"/>
      <c r="J1613" s="2038"/>
      <c r="K1613" s="2038"/>
      <c r="L1613" s="2038"/>
      <c r="M1613" s="2038"/>
      <c r="N1613" s="2038"/>
      <c r="O1613" s="2038"/>
      <c r="P1613" s="2020"/>
      <c r="Q1613" s="142"/>
      <c r="R1613" s="142"/>
    </row>
    <row r="1614" spans="1:18" ht="15.6">
      <c r="A1614" s="2043" t="s">
        <v>37</v>
      </c>
      <c r="B1614" s="2044"/>
      <c r="C1614" s="2021"/>
      <c r="D1614" s="2023"/>
      <c r="E1614" s="233"/>
      <c r="F1614" s="231"/>
      <c r="G1614" s="2039"/>
      <c r="H1614" s="2040"/>
      <c r="I1614" s="2040"/>
      <c r="J1614" s="2040"/>
      <c r="K1614" s="2040"/>
      <c r="L1614" s="2040"/>
      <c r="M1614" s="2040"/>
      <c r="N1614" s="2040"/>
      <c r="O1614" s="2040"/>
      <c r="P1614" s="2020"/>
      <c r="Q1614" s="142"/>
      <c r="R1614" s="142"/>
    </row>
    <row r="1615" spans="1:18" ht="15.6">
      <c r="A1615" s="2043" t="s">
        <v>38</v>
      </c>
      <c r="B1615" s="2044"/>
      <c r="C1615" s="2021"/>
      <c r="D1615" s="2023"/>
      <c r="E1615" s="233"/>
      <c r="F1615" s="231"/>
      <c r="G1615" s="2039"/>
      <c r="H1615" s="2040"/>
      <c r="I1615" s="2040"/>
      <c r="J1615" s="2040"/>
      <c r="K1615" s="2040"/>
      <c r="L1615" s="2040"/>
      <c r="M1615" s="2040"/>
      <c r="N1615" s="2040"/>
      <c r="O1615" s="2040"/>
      <c r="P1615" s="2020"/>
      <c r="Q1615" s="142"/>
      <c r="R1615" s="142"/>
    </row>
    <row r="1616" spans="1:18" ht="15.6">
      <c r="A1616" s="2043" t="s">
        <v>39</v>
      </c>
      <c r="B1616" s="2044"/>
      <c r="C1616" s="2021"/>
      <c r="D1616" s="2023"/>
      <c r="E1616" s="233"/>
      <c r="F1616" s="231"/>
      <c r="G1616" s="2039"/>
      <c r="H1616" s="2040"/>
      <c r="I1616" s="2040"/>
      <c r="J1616" s="2040"/>
      <c r="K1616" s="2040"/>
      <c r="L1616" s="2040"/>
      <c r="M1616" s="2040"/>
      <c r="N1616" s="2040"/>
      <c r="O1616" s="2040"/>
      <c r="P1616" s="2020"/>
      <c r="Q1616" s="142"/>
      <c r="R1616" s="142"/>
    </row>
    <row r="1617" spans="1:19" ht="15.6">
      <c r="A1617" s="2043" t="s">
        <v>40</v>
      </c>
      <c r="B1617" s="2044"/>
      <c r="C1617" s="2021"/>
      <c r="D1617" s="2023"/>
      <c r="E1617" s="233"/>
      <c r="F1617" s="231"/>
      <c r="G1617" s="2039"/>
      <c r="H1617" s="2040"/>
      <c r="I1617" s="2040"/>
      <c r="J1617" s="2040"/>
      <c r="K1617" s="2040"/>
      <c r="L1617" s="2040"/>
      <c r="M1617" s="2040"/>
      <c r="N1617" s="2040"/>
      <c r="O1617" s="2040"/>
      <c r="P1617" s="2020"/>
      <c r="Q1617" s="142"/>
      <c r="R1617" s="142"/>
    </row>
    <row r="1618" spans="1:19" ht="16.2" thickBot="1">
      <c r="A1618" s="2049" t="s">
        <v>41</v>
      </c>
      <c r="B1618" s="2050"/>
      <c r="C1618" s="2051"/>
      <c r="D1618" s="2052"/>
      <c r="E1618" s="58"/>
      <c r="F1618" s="232"/>
      <c r="G1618" s="2041"/>
      <c r="H1618" s="2042"/>
      <c r="I1618" s="2042"/>
      <c r="J1618" s="2042"/>
      <c r="K1618" s="2042"/>
      <c r="L1618" s="2042"/>
      <c r="M1618" s="2042"/>
      <c r="N1618" s="2042"/>
      <c r="O1618" s="2042"/>
      <c r="P1618" s="2020"/>
      <c r="Q1618" s="142"/>
      <c r="R1618" s="142"/>
    </row>
    <row r="1619" spans="1:19" ht="15.6">
      <c r="A1619" s="54"/>
      <c r="B1619" s="55"/>
      <c r="C1619" s="55"/>
      <c r="D1619" s="55"/>
      <c r="E1619" s="55"/>
      <c r="F1619" s="237"/>
      <c r="G1619" s="55"/>
      <c r="H1619" s="59"/>
      <c r="I1619" s="60"/>
      <c r="J1619" s="61"/>
      <c r="K1619" s="209"/>
      <c r="L1619" s="301"/>
      <c r="M1619" s="55"/>
      <c r="N1619" s="237"/>
      <c r="O1619" s="55"/>
      <c r="P1619" s="2020"/>
      <c r="Q1619" s="142"/>
      <c r="R1619" s="142"/>
    </row>
    <row r="1620" spans="1:19" ht="15.6">
      <c r="A1620" s="62" t="s">
        <v>42</v>
      </c>
      <c r="B1620" s="56"/>
      <c r="C1620" s="55"/>
      <c r="D1620" s="55"/>
      <c r="E1620" s="55"/>
      <c r="F1620" s="237"/>
      <c r="G1620" s="56"/>
      <c r="H1620" s="59"/>
      <c r="I1620" s="60"/>
      <c r="J1620" s="61"/>
      <c r="K1620" s="208"/>
      <c r="L1620" s="302"/>
      <c r="M1620" s="55"/>
      <c r="N1620" s="2045" t="s">
        <v>43</v>
      </c>
      <c r="O1620" s="2045"/>
      <c r="P1620" s="2020"/>
      <c r="Q1620" s="142"/>
      <c r="R1620" s="142"/>
    </row>
    <row r="1621" spans="1:19" ht="15.6">
      <c r="A1621" s="62"/>
      <c r="B1621" s="56"/>
      <c r="C1621" s="55"/>
      <c r="D1621" s="55"/>
      <c r="E1621" s="55"/>
      <c r="F1621" s="237"/>
      <c r="G1621" s="55"/>
      <c r="H1621" s="237"/>
      <c r="I1621" s="1859"/>
      <c r="J1621" s="55"/>
      <c r="K1621" s="208"/>
      <c r="L1621" s="283"/>
      <c r="M1621" s="55"/>
      <c r="N1621" s="237"/>
      <c r="O1621" s="56"/>
      <c r="P1621" s="2020"/>
      <c r="Q1621" s="142"/>
      <c r="R1621" s="142"/>
    </row>
    <row r="1622" spans="1:19" ht="15.6">
      <c r="A1622" s="62" t="s">
        <v>44</v>
      </c>
      <c r="B1622" s="56"/>
      <c r="C1622" s="55"/>
      <c r="D1622" s="55"/>
      <c r="E1622" s="55"/>
      <c r="F1622" s="237"/>
      <c r="G1622" s="55"/>
      <c r="H1622" s="237"/>
      <c r="I1622" s="1859"/>
      <c r="J1622" s="55"/>
      <c r="K1622" s="208"/>
      <c r="L1622" s="283"/>
      <c r="M1622" s="55"/>
      <c r="N1622" s="2045" t="s">
        <v>45</v>
      </c>
      <c r="O1622" s="2045"/>
      <c r="P1622" s="2020"/>
      <c r="Q1622" s="142"/>
      <c r="R1622" s="142"/>
    </row>
    <row r="1623" spans="1:19" ht="16.2" thickBot="1">
      <c r="A1623" s="48"/>
      <c r="B1623" s="49"/>
      <c r="C1623" s="49"/>
      <c r="D1623" s="49"/>
      <c r="E1623" s="49"/>
      <c r="F1623" s="50"/>
      <c r="G1623" s="49"/>
      <c r="H1623" s="50"/>
      <c r="I1623" s="1860"/>
      <c r="J1623" s="49"/>
      <c r="K1623" s="210"/>
      <c r="L1623" s="50"/>
      <c r="M1623" s="49"/>
      <c r="N1623" s="50"/>
      <c r="O1623" s="49"/>
      <c r="P1623" s="2020"/>
      <c r="Q1623" s="142"/>
      <c r="R1623" s="142"/>
    </row>
    <row r="1627" spans="1:19">
      <c r="A1627" s="1" t="s">
        <v>48</v>
      </c>
      <c r="B1627" s="1"/>
      <c r="C1627" s="2"/>
      <c r="D1627" s="2"/>
      <c r="E1627" s="2"/>
      <c r="F1627" s="3"/>
      <c r="G1627" s="2"/>
      <c r="H1627" s="2"/>
      <c r="I1627" s="4"/>
      <c r="J1627" s="5"/>
      <c r="K1627" s="196"/>
      <c r="L1627" s="2056" t="s">
        <v>0</v>
      </c>
      <c r="M1627" s="2056"/>
      <c r="N1627" s="2056"/>
      <c r="O1627" s="2056"/>
      <c r="P1627" s="64"/>
      <c r="Q1627" s="64"/>
      <c r="R1627" s="64"/>
    </row>
    <row r="1628" spans="1:19" ht="15.6">
      <c r="A1628" s="27" t="s">
        <v>1</v>
      </c>
      <c r="B1628" s="27"/>
      <c r="C1628" s="27"/>
      <c r="D1628" s="28" t="s">
        <v>2</v>
      </c>
      <c r="E1628" s="28"/>
      <c r="F1628" s="29"/>
      <c r="G1628" s="29"/>
      <c r="H1628" s="29"/>
      <c r="I1628" s="30"/>
      <c r="J1628" s="31"/>
      <c r="K1628" s="197" t="s">
        <v>3</v>
      </c>
      <c r="L1628" s="31"/>
      <c r="M1628" s="27"/>
      <c r="N1628" s="29"/>
      <c r="O1628" s="27"/>
      <c r="P1628" s="67"/>
      <c r="Q1628" s="1039"/>
      <c r="R1628" s="1039"/>
    </row>
    <row r="1629" spans="1:19" ht="31.2">
      <c r="A1629" s="32" t="s">
        <v>4</v>
      </c>
      <c r="B1629" s="32" t="s">
        <v>5</v>
      </c>
      <c r="C1629" s="32" t="s">
        <v>6</v>
      </c>
      <c r="D1629" s="32" t="s">
        <v>7</v>
      </c>
      <c r="E1629" s="32" t="s">
        <v>8</v>
      </c>
      <c r="F1629" s="33" t="s">
        <v>9</v>
      </c>
      <c r="G1629" s="34" t="s">
        <v>10</v>
      </c>
      <c r="H1629" s="34" t="s">
        <v>11</v>
      </c>
      <c r="I1629" s="35" t="s">
        <v>12</v>
      </c>
      <c r="J1629" s="36" t="s">
        <v>13</v>
      </c>
      <c r="K1629" s="198" t="s">
        <v>14</v>
      </c>
      <c r="L1629" s="297" t="s">
        <v>15</v>
      </c>
      <c r="M1629" s="33" t="s">
        <v>16</v>
      </c>
      <c r="N1629" s="33" t="s">
        <v>17</v>
      </c>
      <c r="O1629" s="34" t="s">
        <v>18</v>
      </c>
      <c r="P1629" s="8" t="s">
        <v>192</v>
      </c>
      <c r="Q1629" s="1040"/>
      <c r="R1629" s="1040"/>
    </row>
    <row r="1630" spans="1:19" ht="15.6">
      <c r="A1630" s="21" t="s">
        <v>83</v>
      </c>
      <c r="B1630" s="21" t="s">
        <v>222</v>
      </c>
      <c r="C1630" s="21" t="s">
        <v>19</v>
      </c>
      <c r="D1630" s="21" t="s">
        <v>20</v>
      </c>
      <c r="E1630" s="21" t="s">
        <v>57</v>
      </c>
      <c r="F1630" s="22">
        <v>9</v>
      </c>
      <c r="G1630" s="20" t="s">
        <v>21</v>
      </c>
      <c r="H1630" s="143" t="s">
        <v>69</v>
      </c>
      <c r="I1630" s="115">
        <v>6.85</v>
      </c>
      <c r="J1630" s="23">
        <v>10.5</v>
      </c>
      <c r="K1630" s="25">
        <v>40</v>
      </c>
      <c r="L1630" s="130">
        <f t="shared" ref="L1630:L1633" si="323">(I1630*J1630*K1630/1000)</f>
        <v>2.8769999999999998</v>
      </c>
      <c r="M1630" s="20"/>
      <c r="N1630" s="20"/>
      <c r="O1630" s="20"/>
      <c r="P1630" s="20"/>
      <c r="Q1630" s="155"/>
      <c r="R1630" s="155"/>
      <c r="S1630" s="251" t="s">
        <v>304</v>
      </c>
    </row>
    <row r="1631" spans="1:19" ht="15.6">
      <c r="A1631" s="20"/>
      <c r="B1631" s="21" t="s">
        <v>204</v>
      </c>
      <c r="C1631" s="20"/>
      <c r="D1631" s="20"/>
      <c r="E1631" s="20"/>
      <c r="F1631" s="20"/>
      <c r="G1631" s="20" t="s">
        <v>21</v>
      </c>
      <c r="H1631" s="20" t="s">
        <v>69</v>
      </c>
      <c r="I1631" s="115">
        <v>6.85</v>
      </c>
      <c r="J1631" s="23">
        <v>11</v>
      </c>
      <c r="K1631" s="25">
        <v>45</v>
      </c>
      <c r="L1631" s="130">
        <f t="shared" si="323"/>
        <v>3.3907499999999997</v>
      </c>
      <c r="M1631" s="20"/>
      <c r="N1631" s="20"/>
      <c r="O1631" s="20"/>
      <c r="P1631" s="20"/>
      <c r="Q1631" s="155"/>
      <c r="R1631" s="155"/>
    </row>
    <row r="1632" spans="1:19" ht="15.6">
      <c r="A1632" s="20"/>
      <c r="B1632" s="20"/>
      <c r="C1632" s="20"/>
      <c r="D1632" s="20"/>
      <c r="E1632" s="20"/>
      <c r="F1632" s="20"/>
      <c r="G1632" s="20" t="s">
        <v>21</v>
      </c>
      <c r="H1632" s="20" t="s">
        <v>69</v>
      </c>
      <c r="I1632" s="115">
        <v>6.85</v>
      </c>
      <c r="J1632" s="23">
        <v>11.5</v>
      </c>
      <c r="K1632" s="25">
        <v>32</v>
      </c>
      <c r="L1632" s="130">
        <f t="shared" si="323"/>
        <v>2.5207999999999999</v>
      </c>
      <c r="M1632" s="20"/>
      <c r="N1632" s="20"/>
      <c r="O1632" s="20"/>
      <c r="P1632" s="20"/>
      <c r="Q1632" s="155"/>
      <c r="R1632" s="155"/>
    </row>
    <row r="1633" spans="1:19" ht="15.6">
      <c r="A1633" s="20"/>
      <c r="B1633" s="20"/>
      <c r="C1633" s="20"/>
      <c r="D1633" s="20"/>
      <c r="E1633" s="20"/>
      <c r="F1633" s="20"/>
      <c r="G1633" s="20" t="s">
        <v>21</v>
      </c>
      <c r="H1633" s="20" t="s">
        <v>69</v>
      </c>
      <c r="I1633" s="115">
        <v>6.85</v>
      </c>
      <c r="J1633" s="23">
        <v>12</v>
      </c>
      <c r="K1633" s="25">
        <v>122</v>
      </c>
      <c r="L1633" s="130">
        <f t="shared" si="323"/>
        <v>10.028399999999998</v>
      </c>
      <c r="M1633" s="20"/>
      <c r="N1633" s="20"/>
      <c r="O1633" s="20"/>
      <c r="P1633" s="20"/>
      <c r="Q1633" s="155"/>
      <c r="R1633" s="155"/>
    </row>
    <row r="1634" spans="1:19" ht="15.6">
      <c r="A1634" s="20"/>
      <c r="B1634" s="20"/>
      <c r="C1634" s="20"/>
      <c r="D1634" s="20"/>
      <c r="E1634" s="20"/>
      <c r="F1634" s="20"/>
      <c r="G1634" s="20"/>
      <c r="H1634" s="20"/>
      <c r="I1634" s="115"/>
      <c r="J1634" s="23"/>
      <c r="K1634" s="25">
        <f t="shared" ref="K1634:L1634" si="324">SUM(K1630:K1633)</f>
        <v>239</v>
      </c>
      <c r="L1634" s="128">
        <f t="shared" si="324"/>
        <v>18.816949999999999</v>
      </c>
      <c r="M1634" s="20"/>
      <c r="N1634" s="20"/>
      <c r="O1634" s="20"/>
      <c r="P1634" s="20"/>
      <c r="Q1634" s="155"/>
      <c r="R1634" s="155"/>
    </row>
    <row r="1635" spans="1:19" s="251" customFormat="1" ht="15.6">
      <c r="A1635" s="20"/>
      <c r="B1635" s="20"/>
      <c r="C1635" s="20"/>
      <c r="D1635" s="20"/>
      <c r="E1635" s="20"/>
      <c r="F1635" s="20"/>
      <c r="G1635" s="20"/>
      <c r="H1635" s="20"/>
      <c r="I1635" s="115"/>
      <c r="J1635" s="23"/>
      <c r="K1635" s="25"/>
      <c r="L1635" s="128"/>
      <c r="M1635" s="20"/>
      <c r="N1635" s="20"/>
      <c r="O1635" s="20"/>
      <c r="P1635" s="20"/>
      <c r="Q1635" s="155"/>
      <c r="R1635" s="155"/>
    </row>
    <row r="1636" spans="1:19" ht="15.6">
      <c r="A1636" s="21" t="s">
        <v>174</v>
      </c>
      <c r="B1636" s="21" t="s">
        <v>230</v>
      </c>
      <c r="C1636" s="21" t="s">
        <v>19</v>
      </c>
      <c r="D1636" s="21" t="s">
        <v>20</v>
      </c>
      <c r="E1636" s="21" t="s">
        <v>57</v>
      </c>
      <c r="F1636" s="22">
        <v>9</v>
      </c>
      <c r="G1636" s="20" t="s">
        <v>21</v>
      </c>
      <c r="H1636" s="143" t="s">
        <v>69</v>
      </c>
      <c r="I1636" s="131">
        <v>6.85</v>
      </c>
      <c r="J1636" s="23">
        <v>10.5</v>
      </c>
      <c r="K1636" s="25">
        <v>60</v>
      </c>
      <c r="L1636" s="130">
        <f>(I1636*J1636*K1636/1000)</f>
        <v>4.3155000000000001</v>
      </c>
      <c r="M1636" s="20"/>
      <c r="N1636" s="20"/>
      <c r="O1636" s="20"/>
      <c r="P1636" s="20"/>
      <c r="Q1636" s="155"/>
      <c r="R1636" s="155"/>
      <c r="S1636" s="251" t="s">
        <v>304</v>
      </c>
    </row>
    <row r="1637" spans="1:19" ht="15.6">
      <c r="A1637" s="20"/>
      <c r="B1637" s="229" t="s">
        <v>207</v>
      </c>
      <c r="C1637" s="20"/>
      <c r="D1637" s="20"/>
      <c r="E1637" s="20"/>
      <c r="F1637" s="20"/>
      <c r="G1637" s="20" t="s">
        <v>21</v>
      </c>
      <c r="H1637" s="20" t="s">
        <v>69</v>
      </c>
      <c r="I1637" s="131">
        <v>6.85</v>
      </c>
      <c r="J1637" s="144">
        <v>11.9</v>
      </c>
      <c r="K1637" s="25">
        <v>65</v>
      </c>
      <c r="L1637" s="130">
        <f>(I1637*J1637*K1637/1000)</f>
        <v>5.2984750000000007</v>
      </c>
      <c r="M1637" s="20"/>
      <c r="N1637" s="20"/>
      <c r="O1637" s="20"/>
      <c r="P1637" s="20"/>
      <c r="Q1637" s="155"/>
      <c r="R1637" s="155"/>
    </row>
    <row r="1638" spans="1:19" ht="15.6">
      <c r="A1638" s="20"/>
      <c r="B1638" s="20"/>
      <c r="C1638" s="20"/>
      <c r="D1638" s="20"/>
      <c r="E1638" s="20"/>
      <c r="F1638" s="20"/>
      <c r="G1638" s="20"/>
      <c r="H1638" s="20"/>
      <c r="I1638" s="131"/>
      <c r="J1638" s="23"/>
      <c r="K1638" s="25">
        <f>SUM(K1636:K1637)</f>
        <v>125</v>
      </c>
      <c r="L1638" s="128">
        <f>SUM(L1636:L1637)</f>
        <v>9.6139749999999999</v>
      </c>
      <c r="M1638" s="20"/>
      <c r="N1638" s="20"/>
      <c r="O1638" s="20"/>
      <c r="P1638" s="20"/>
      <c r="Q1638" s="155"/>
      <c r="R1638" s="155"/>
    </row>
    <row r="1639" spans="1:19" s="251" customFormat="1" ht="15.6">
      <c r="A1639" s="20"/>
      <c r="B1639" s="20"/>
      <c r="C1639" s="20"/>
      <c r="D1639" s="20"/>
      <c r="E1639" s="20"/>
      <c r="F1639" s="20"/>
      <c r="G1639" s="20"/>
      <c r="H1639" s="20"/>
      <c r="I1639" s="131"/>
      <c r="J1639" s="23"/>
      <c r="K1639" s="25"/>
      <c r="L1639" s="128"/>
      <c r="M1639" s="20"/>
      <c r="N1639" s="20"/>
      <c r="O1639" s="20"/>
      <c r="P1639" s="20"/>
      <c r="Q1639" s="155"/>
      <c r="R1639" s="155"/>
    </row>
    <row r="1640" spans="1:19" ht="15.6">
      <c r="A1640" s="21" t="s">
        <v>174</v>
      </c>
      <c r="B1640" s="21" t="s">
        <v>230</v>
      </c>
      <c r="C1640" s="21" t="s">
        <v>19</v>
      </c>
      <c r="D1640" s="21" t="s">
        <v>20</v>
      </c>
      <c r="E1640" s="21" t="s">
        <v>264</v>
      </c>
      <c r="F1640" s="22">
        <v>9</v>
      </c>
      <c r="G1640" s="20" t="s">
        <v>21</v>
      </c>
      <c r="H1640" s="143" t="s">
        <v>69</v>
      </c>
      <c r="I1640" s="131">
        <v>6.85</v>
      </c>
      <c r="J1640" s="23">
        <v>6.7</v>
      </c>
      <c r="K1640" s="25">
        <v>92</v>
      </c>
      <c r="L1640" s="130">
        <f>(I1640*J1640*K1640/1000)</f>
        <v>4.2223399999999991</v>
      </c>
      <c r="M1640" s="20">
        <v>2</v>
      </c>
      <c r="N1640" s="23">
        <f>J1640*M1640*I1640/1000</f>
        <v>9.1789999999999997E-2</v>
      </c>
      <c r="O1640" s="20"/>
      <c r="P1640" s="20"/>
      <c r="Q1640" s="155"/>
      <c r="R1640" s="155"/>
      <c r="S1640" s="251" t="s">
        <v>304</v>
      </c>
    </row>
    <row r="1641" spans="1:19" ht="15.6">
      <c r="A1641" s="20"/>
      <c r="B1641" s="229" t="s">
        <v>208</v>
      </c>
      <c r="C1641" s="20"/>
      <c r="D1641" s="20"/>
      <c r="E1641" s="20"/>
      <c r="F1641" s="20"/>
      <c r="G1641" s="20" t="s">
        <v>21</v>
      </c>
      <c r="H1641" s="20" t="s">
        <v>69</v>
      </c>
      <c r="I1641" s="131">
        <v>6.85</v>
      </c>
      <c r="J1641" s="23">
        <v>10.5</v>
      </c>
      <c r="K1641" s="25">
        <v>15</v>
      </c>
      <c r="L1641" s="130">
        <f>(I1641*J1641*K1641/1000)</f>
        <v>1.078875</v>
      </c>
      <c r="M1641" s="20"/>
      <c r="N1641" s="20"/>
      <c r="O1641" s="20"/>
      <c r="P1641" s="20"/>
      <c r="Q1641" s="155"/>
      <c r="R1641" s="155"/>
    </row>
    <row r="1642" spans="1:19" ht="15.6">
      <c r="A1642" s="20"/>
      <c r="B1642" s="20"/>
      <c r="C1642" s="20"/>
      <c r="D1642" s="20"/>
      <c r="E1642" s="20"/>
      <c r="F1642" s="20"/>
      <c r="G1642" s="20" t="s">
        <v>21</v>
      </c>
      <c r="H1642" s="20" t="s">
        <v>69</v>
      </c>
      <c r="I1642" s="131">
        <v>6.85</v>
      </c>
      <c r="J1642" s="23">
        <v>11</v>
      </c>
      <c r="K1642" s="25">
        <v>27</v>
      </c>
      <c r="L1642" s="130">
        <f>(I1642*J1642*K1642/1000)</f>
        <v>2.0344499999999996</v>
      </c>
      <c r="M1642" s="20"/>
      <c r="N1642" s="20"/>
      <c r="O1642" s="20"/>
      <c r="P1642" s="20"/>
      <c r="Q1642" s="155"/>
      <c r="R1642" s="155"/>
    </row>
    <row r="1643" spans="1:19" ht="15.6">
      <c r="A1643" s="20"/>
      <c r="B1643" s="20"/>
      <c r="C1643" s="20"/>
      <c r="D1643" s="20"/>
      <c r="E1643" s="20"/>
      <c r="F1643" s="20"/>
      <c r="G1643" s="20"/>
      <c r="H1643" s="20"/>
      <c r="I1643" s="131"/>
      <c r="J1643" s="23"/>
      <c r="K1643" s="25">
        <f>SUM(K1640:K1642)</f>
        <v>134</v>
      </c>
      <c r="L1643" s="128">
        <f>SUM(L1640:L1642)</f>
        <v>7.3356649999999988</v>
      </c>
      <c r="M1643" s="25">
        <f>SUM(M1640:M1642)</f>
        <v>2</v>
      </c>
      <c r="N1643" s="124">
        <f>SUM(N1640:N1642)</f>
        <v>9.1789999999999997E-2</v>
      </c>
      <c r="O1643" s="20"/>
      <c r="P1643" s="20"/>
      <c r="Q1643" s="155"/>
      <c r="R1643" s="155"/>
    </row>
    <row r="1644" spans="1:19" s="251" customFormat="1" ht="15.6">
      <c r="A1644" s="20"/>
      <c r="B1644" s="20"/>
      <c r="C1644" s="20"/>
      <c r="D1644" s="20"/>
      <c r="E1644" s="20"/>
      <c r="F1644" s="20"/>
      <c r="G1644" s="20"/>
      <c r="H1644" s="20"/>
      <c r="I1644" s="131"/>
      <c r="J1644" s="23"/>
      <c r="K1644" s="25"/>
      <c r="L1644" s="128"/>
      <c r="M1644" s="20"/>
      <c r="N1644" s="211"/>
      <c r="O1644" s="20"/>
      <c r="P1644" s="20"/>
      <c r="Q1644" s="155"/>
      <c r="R1644" s="155"/>
    </row>
    <row r="1645" spans="1:19" ht="15.6">
      <c r="A1645" s="21" t="s">
        <v>174</v>
      </c>
      <c r="B1645" s="21" t="s">
        <v>224</v>
      </c>
      <c r="C1645" s="21" t="s">
        <v>19</v>
      </c>
      <c r="D1645" s="21" t="s">
        <v>20</v>
      </c>
      <c r="E1645" s="21" t="s">
        <v>264</v>
      </c>
      <c r="F1645" s="22">
        <v>9</v>
      </c>
      <c r="G1645" s="20" t="s">
        <v>21</v>
      </c>
      <c r="H1645" s="143" t="s">
        <v>69</v>
      </c>
      <c r="I1645" s="131">
        <v>6.85</v>
      </c>
      <c r="J1645" s="23">
        <v>7.7</v>
      </c>
      <c r="K1645" s="25">
        <v>10</v>
      </c>
      <c r="L1645" s="130">
        <f>(I1645*J1645*K1645/1000)</f>
        <v>0.52744999999999997</v>
      </c>
      <c r="M1645" s="20">
        <v>10</v>
      </c>
      <c r="N1645" s="124">
        <f>J1645*M1645*I1645/1000</f>
        <v>0.52744999999999997</v>
      </c>
      <c r="O1645" s="20"/>
      <c r="P1645" s="20"/>
      <c r="Q1645" s="155"/>
      <c r="R1645" s="155"/>
      <c r="S1645" s="251" t="s">
        <v>304</v>
      </c>
    </row>
    <row r="1646" spans="1:19" ht="15.6">
      <c r="A1646" s="20"/>
      <c r="B1646" s="229" t="s">
        <v>225</v>
      </c>
      <c r="C1646" s="20"/>
      <c r="D1646" s="20"/>
      <c r="E1646" s="20"/>
      <c r="F1646" s="20"/>
      <c r="G1646" s="20" t="s">
        <v>21</v>
      </c>
      <c r="H1646" s="20" t="s">
        <v>69</v>
      </c>
      <c r="I1646" s="131">
        <v>6.85</v>
      </c>
      <c r="J1646" s="23">
        <v>10.5</v>
      </c>
      <c r="K1646" s="25">
        <v>5</v>
      </c>
      <c r="L1646" s="130">
        <f>(I1646*J1646*K1646/1000)</f>
        <v>0.35962499999999997</v>
      </c>
      <c r="M1646" s="20"/>
      <c r="N1646" s="211"/>
      <c r="O1646" s="20"/>
      <c r="P1646" s="20"/>
      <c r="Q1646" s="155"/>
      <c r="R1646" s="155"/>
    </row>
    <row r="1647" spans="1:19" ht="15.6">
      <c r="A1647" s="20"/>
      <c r="B1647" s="20"/>
      <c r="C1647" s="20"/>
      <c r="D1647" s="20"/>
      <c r="E1647" s="20"/>
      <c r="F1647" s="20"/>
      <c r="G1647" s="20"/>
      <c r="H1647" s="20"/>
      <c r="I1647" s="131"/>
      <c r="J1647" s="23"/>
      <c r="K1647" s="25">
        <f t="shared" ref="K1647:M1647" si="325">SUM(K1645:K1646)</f>
        <v>15</v>
      </c>
      <c r="L1647" s="128">
        <f t="shared" si="325"/>
        <v>0.88707499999999995</v>
      </c>
      <c r="M1647" s="25">
        <f t="shared" si="325"/>
        <v>10</v>
      </c>
      <c r="N1647" s="124">
        <f>SUM(N1645:N1646)</f>
        <v>0.52744999999999997</v>
      </c>
      <c r="O1647" s="20"/>
      <c r="P1647" s="20"/>
      <c r="Q1647" s="155"/>
      <c r="R1647" s="155"/>
    </row>
    <row r="1648" spans="1:19" ht="15.6">
      <c r="A1648" s="20"/>
      <c r="B1648" s="20"/>
      <c r="C1648" s="20"/>
      <c r="D1648" s="20"/>
      <c r="E1648" s="20"/>
      <c r="F1648" s="296"/>
      <c r="G1648" s="296"/>
      <c r="H1648" s="296"/>
      <c r="I1648" s="309"/>
      <c r="J1648" s="296"/>
      <c r="K1648" s="296"/>
      <c r="L1648" s="309"/>
      <c r="M1648" s="296"/>
      <c r="N1648" s="20"/>
      <c r="O1648" s="20"/>
      <c r="P1648" s="20"/>
      <c r="Q1648" s="155"/>
      <c r="R1648" s="155"/>
    </row>
    <row r="1649" spans="1:19" ht="15.6">
      <c r="A1649" s="21" t="s">
        <v>83</v>
      </c>
      <c r="B1649" s="21" t="s">
        <v>239</v>
      </c>
      <c r="C1649" s="21" t="s">
        <v>19</v>
      </c>
      <c r="D1649" s="21" t="s">
        <v>20</v>
      </c>
      <c r="E1649" s="21" t="s">
        <v>47</v>
      </c>
      <c r="F1649" s="22">
        <v>9</v>
      </c>
      <c r="G1649" s="20" t="s">
        <v>21</v>
      </c>
      <c r="H1649" s="143" t="s">
        <v>69</v>
      </c>
      <c r="I1649" s="131">
        <v>6.85</v>
      </c>
      <c r="J1649" s="23">
        <v>9.6</v>
      </c>
      <c r="K1649" s="25">
        <v>18</v>
      </c>
      <c r="L1649" s="130">
        <f t="shared" ref="L1649:L1650" si="326">(I1649*J1649*K1649/1000)</f>
        <v>1.1836799999999998</v>
      </c>
      <c r="M1649" s="20"/>
      <c r="N1649" s="20"/>
      <c r="O1649" s="20"/>
      <c r="P1649" s="20"/>
      <c r="Q1649" s="155"/>
      <c r="R1649" s="155"/>
      <c r="S1649" s="251" t="s">
        <v>304</v>
      </c>
    </row>
    <row r="1650" spans="1:19" ht="15.6">
      <c r="A1650" s="20"/>
      <c r="B1650" s="21" t="s">
        <v>238</v>
      </c>
      <c r="C1650" s="20"/>
      <c r="D1650" s="20"/>
      <c r="E1650" s="20"/>
      <c r="F1650" s="20"/>
      <c r="G1650" s="20" t="s">
        <v>21</v>
      </c>
      <c r="H1650" s="20" t="s">
        <v>69</v>
      </c>
      <c r="I1650" s="131">
        <v>6.85</v>
      </c>
      <c r="J1650" s="23">
        <v>12</v>
      </c>
      <c r="K1650" s="25">
        <v>17</v>
      </c>
      <c r="L1650" s="130">
        <f t="shared" si="326"/>
        <v>1.3973999999999998</v>
      </c>
      <c r="M1650" s="20"/>
      <c r="N1650" s="20"/>
      <c r="O1650" s="20"/>
      <c r="P1650" s="20"/>
      <c r="Q1650" s="155"/>
      <c r="R1650" s="155"/>
    </row>
    <row r="1651" spans="1:19" ht="15.6">
      <c r="A1651" s="20"/>
      <c r="B1651" s="20"/>
      <c r="C1651" s="20"/>
      <c r="D1651" s="20"/>
      <c r="E1651" s="20"/>
      <c r="F1651" s="20"/>
      <c r="G1651" s="20"/>
      <c r="H1651" s="20"/>
      <c r="I1651" s="131"/>
      <c r="J1651" s="23"/>
      <c r="K1651" s="25">
        <f t="shared" ref="K1651" si="327">SUM(K1649:K1650)</f>
        <v>35</v>
      </c>
      <c r="L1651" s="128">
        <f>SUM(L1649:L1650)</f>
        <v>2.5810799999999996</v>
      </c>
      <c r="M1651" s="25">
        <f>SUM(M1649:M1650)</f>
        <v>0</v>
      </c>
      <c r="N1651" s="128">
        <f>SUM(N1649:N1650)</f>
        <v>0</v>
      </c>
      <c r="O1651" s="20"/>
      <c r="P1651" s="20"/>
      <c r="Q1651" s="155"/>
      <c r="R1651" s="155"/>
    </row>
    <row r="1652" spans="1:19" s="251" customFormat="1" ht="15.6">
      <c r="A1652" s="20"/>
      <c r="B1652" s="20"/>
      <c r="C1652" s="20"/>
      <c r="D1652" s="20"/>
      <c r="E1652" s="20"/>
      <c r="F1652" s="20"/>
      <c r="G1652" s="20"/>
      <c r="H1652" s="20"/>
      <c r="I1652" s="131"/>
      <c r="J1652" s="23"/>
      <c r="K1652" s="25"/>
      <c r="L1652" s="128"/>
      <c r="M1652" s="25"/>
      <c r="N1652" s="128"/>
      <c r="O1652" s="20"/>
      <c r="P1652" s="20"/>
      <c r="Q1652" s="155"/>
      <c r="R1652" s="155"/>
    </row>
    <row r="1653" spans="1:19" s="251" customFormat="1" ht="15.6">
      <c r="A1653" s="6" t="s">
        <v>83</v>
      </c>
      <c r="B1653" s="6" t="s">
        <v>282</v>
      </c>
      <c r="C1653" s="6" t="s">
        <v>19</v>
      </c>
      <c r="D1653" s="6" t="s">
        <v>20</v>
      </c>
      <c r="E1653" s="406" t="s">
        <v>259</v>
      </c>
      <c r="F1653" s="22">
        <v>9</v>
      </c>
      <c r="G1653" s="20" t="s">
        <v>21</v>
      </c>
      <c r="H1653" s="143" t="s">
        <v>69</v>
      </c>
      <c r="I1653" s="382">
        <v>6.86</v>
      </c>
      <c r="J1653" s="144">
        <v>10.5</v>
      </c>
      <c r="K1653" s="407">
        <v>23</v>
      </c>
      <c r="L1653" s="130">
        <f>(I1653*J1653*K1653/1000)</f>
        <v>1.65669</v>
      </c>
      <c r="M1653" s="292"/>
      <c r="N1653" s="20"/>
      <c r="O1653" s="20"/>
      <c r="P1653" s="20"/>
      <c r="Q1653" s="155"/>
      <c r="R1653" s="155"/>
      <c r="S1653" s="251" t="s">
        <v>304</v>
      </c>
    </row>
    <row r="1654" spans="1:19" s="251" customFormat="1" ht="15.6">
      <c r="A1654" s="20"/>
      <c r="B1654" s="6" t="s">
        <v>277</v>
      </c>
      <c r="C1654" s="20"/>
      <c r="D1654" s="20"/>
      <c r="E1654" s="20"/>
      <c r="F1654" s="20"/>
      <c r="G1654" s="20"/>
      <c r="H1654" s="20"/>
      <c r="I1654" s="131"/>
      <c r="J1654" s="23"/>
      <c r="K1654" s="25">
        <f>SUM(K1653:K1653)</f>
        <v>23</v>
      </c>
      <c r="L1654" s="128">
        <f>SUM(L1653:L1653)</f>
        <v>1.65669</v>
      </c>
      <c r="M1654" s="292"/>
      <c r="N1654" s="20"/>
      <c r="O1654" s="20"/>
      <c r="P1654" s="20"/>
      <c r="Q1654" s="155"/>
      <c r="R1654" s="155"/>
    </row>
    <row r="1655" spans="1:19" s="251" customFormat="1" ht="15.6">
      <c r="A1655" s="20"/>
      <c r="B1655" s="6"/>
      <c r="C1655" s="20"/>
      <c r="D1655" s="20"/>
      <c r="E1655" s="20"/>
      <c r="F1655" s="20"/>
      <c r="G1655" s="20"/>
      <c r="H1655" s="20"/>
      <c r="I1655" s="131"/>
      <c r="J1655" s="23"/>
      <c r="K1655" s="25"/>
      <c r="L1655" s="128"/>
      <c r="M1655" s="292"/>
      <c r="N1655" s="20"/>
      <c r="O1655" s="20"/>
      <c r="P1655" s="20"/>
      <c r="Q1655" s="155"/>
      <c r="R1655" s="155"/>
    </row>
    <row r="1656" spans="1:19" s="251" customFormat="1" ht="15.6">
      <c r="A1656" s="21" t="s">
        <v>83</v>
      </c>
      <c r="B1656" s="21" t="s">
        <v>282</v>
      </c>
      <c r="C1656" s="21" t="s">
        <v>19</v>
      </c>
      <c r="D1656" s="21" t="s">
        <v>20</v>
      </c>
      <c r="E1656" s="401" t="s">
        <v>259</v>
      </c>
      <c r="F1656" s="22">
        <v>9</v>
      </c>
      <c r="G1656" s="20" t="s">
        <v>21</v>
      </c>
      <c r="H1656" s="143" t="s">
        <v>69</v>
      </c>
      <c r="I1656" s="382">
        <v>6.86</v>
      </c>
      <c r="J1656" s="423">
        <v>12</v>
      </c>
      <c r="K1656" s="424">
        <v>33</v>
      </c>
      <c r="L1656" s="130">
        <f>(I1656*J1656*K1656/1000)</f>
        <v>2.7165600000000003</v>
      </c>
      <c r="M1656" s="292"/>
      <c r="N1656" s="20"/>
      <c r="O1656" s="20"/>
      <c r="P1656" s="20"/>
      <c r="Q1656" s="155"/>
      <c r="R1656" s="155"/>
      <c r="S1656" s="251" t="s">
        <v>304</v>
      </c>
    </row>
    <row r="1657" spans="1:19" s="251" customFormat="1" ht="15.6">
      <c r="A1657" s="20"/>
      <c r="B1657" s="21" t="s">
        <v>277</v>
      </c>
      <c r="C1657" s="20"/>
      <c r="D1657" s="20"/>
      <c r="E1657" s="20"/>
      <c r="F1657" s="20"/>
      <c r="G1657" s="20"/>
      <c r="H1657" s="20"/>
      <c r="I1657" s="131"/>
      <c r="J1657" s="23"/>
      <c r="K1657" s="25">
        <f>SUM(K1656:K1656)</f>
        <v>33</v>
      </c>
      <c r="L1657" s="128">
        <f>SUM(L1656:L1656)</f>
        <v>2.7165600000000003</v>
      </c>
      <c r="M1657" s="292"/>
      <c r="N1657" s="20"/>
      <c r="O1657" s="20"/>
      <c r="P1657" s="20"/>
      <c r="Q1657" s="155"/>
      <c r="R1657" s="155"/>
    </row>
    <row r="1658" spans="1:19" s="251" customFormat="1" ht="15.6">
      <c r="A1658" s="20"/>
      <c r="B1658" s="20"/>
      <c r="C1658" s="20"/>
      <c r="D1658" s="20"/>
      <c r="E1658" s="20"/>
      <c r="F1658" s="20"/>
      <c r="G1658" s="20"/>
      <c r="H1658" s="20"/>
      <c r="I1658" s="131"/>
      <c r="J1658" s="23"/>
      <c r="K1658" s="154">
        <f>SUM(K1630:K1657)/2</f>
        <v>604</v>
      </c>
      <c r="L1658" s="128">
        <f>SUM(L1630:L1657)/2</f>
        <v>43.607995000000003</v>
      </c>
      <c r="M1658" s="154">
        <f>SUM(M1630:M1654)/2</f>
        <v>12</v>
      </c>
      <c r="N1658" s="128">
        <f>SUM(N1630:N1654)/2</f>
        <v>0.61924000000000001</v>
      </c>
      <c r="O1658" s="20"/>
      <c r="P1658" s="20"/>
      <c r="Q1658" s="155"/>
      <c r="R1658" s="155"/>
    </row>
    <row r="1659" spans="1:19" s="251" customFormat="1" ht="15.6">
      <c r="A1659" s="20"/>
      <c r="B1659" s="20"/>
      <c r="C1659" s="20"/>
      <c r="D1659" s="20"/>
      <c r="E1659" s="20"/>
      <c r="F1659" s="20"/>
      <c r="G1659" s="20"/>
      <c r="H1659" s="20"/>
      <c r="I1659" s="131"/>
      <c r="J1659" s="23"/>
      <c r="K1659" s="25"/>
      <c r="L1659" s="128"/>
      <c r="M1659" s="20"/>
      <c r="N1659" s="20"/>
      <c r="O1659" s="20"/>
      <c r="P1659" s="20"/>
      <c r="Q1659" s="155"/>
      <c r="R1659" s="155"/>
    </row>
    <row r="1660" spans="1:19" ht="15.6">
      <c r="A1660" s="20"/>
      <c r="B1660" s="20"/>
      <c r="C1660" s="20"/>
      <c r="D1660" s="20"/>
      <c r="E1660" s="20"/>
      <c r="F1660" s="20"/>
      <c r="G1660" s="20"/>
      <c r="H1660" s="20"/>
      <c r="I1660" s="131"/>
      <c r="J1660" s="20"/>
      <c r="K1660" s="211"/>
      <c r="L1660" s="131"/>
      <c r="M1660" s="20"/>
      <c r="N1660" s="20"/>
      <c r="O1660" s="20"/>
      <c r="P1660" s="20"/>
      <c r="Q1660" s="155"/>
      <c r="R1660" s="155"/>
    </row>
    <row r="1661" spans="1:19" ht="15.6">
      <c r="A1661" s="21" t="s">
        <v>83</v>
      </c>
      <c r="B1661" s="21" t="s">
        <v>239</v>
      </c>
      <c r="C1661" s="21" t="s">
        <v>19</v>
      </c>
      <c r="D1661" s="21" t="s">
        <v>20</v>
      </c>
      <c r="E1661" s="21" t="s">
        <v>47</v>
      </c>
      <c r="F1661" s="22">
        <v>9</v>
      </c>
      <c r="G1661" s="20" t="s">
        <v>21</v>
      </c>
      <c r="H1661" s="143" t="s">
        <v>70</v>
      </c>
      <c r="I1661" s="131">
        <v>5.76</v>
      </c>
      <c r="J1661" s="23">
        <v>11.5</v>
      </c>
      <c r="K1661" s="25">
        <v>30</v>
      </c>
      <c r="L1661" s="130">
        <f>(I1661*J1661*K1661/1000)</f>
        <v>1.9871999999999999</v>
      </c>
      <c r="M1661" s="20"/>
      <c r="N1661" s="20"/>
      <c r="O1661" s="23">
        <v>9.9</v>
      </c>
      <c r="P1661" s="20"/>
      <c r="Q1661" s="155"/>
      <c r="R1661" s="155"/>
      <c r="S1661" s="251" t="s">
        <v>310</v>
      </c>
    </row>
    <row r="1662" spans="1:19" s="251" customFormat="1" ht="15.6">
      <c r="A1662" s="21"/>
      <c r="B1662" s="21"/>
      <c r="C1662" s="21"/>
      <c r="D1662" s="21"/>
      <c r="E1662" s="21"/>
      <c r="F1662" s="22"/>
      <c r="G1662" s="20" t="s">
        <v>21</v>
      </c>
      <c r="H1662" s="20" t="s">
        <v>70</v>
      </c>
      <c r="I1662" s="131">
        <v>5.76</v>
      </c>
      <c r="J1662" s="144">
        <v>12</v>
      </c>
      <c r="K1662" s="25">
        <v>5</v>
      </c>
      <c r="L1662" s="130">
        <f>(I1662*J1662*K1662/1000)</f>
        <v>0.34560000000000002</v>
      </c>
      <c r="M1662" s="20"/>
      <c r="N1662" s="20"/>
      <c r="O1662" s="23">
        <v>9.9</v>
      </c>
      <c r="P1662" s="20"/>
      <c r="Q1662" s="155"/>
      <c r="R1662" s="155"/>
    </row>
    <row r="1663" spans="1:19" ht="15.6">
      <c r="A1663" s="20"/>
      <c r="B1663" s="21" t="s">
        <v>238</v>
      </c>
      <c r="C1663" s="20"/>
      <c r="D1663" s="20"/>
      <c r="E1663" s="20"/>
      <c r="F1663" s="20"/>
      <c r="G1663" s="20" t="s">
        <v>21</v>
      </c>
      <c r="H1663" s="20" t="s">
        <v>70</v>
      </c>
      <c r="I1663" s="131">
        <v>5.76</v>
      </c>
      <c r="J1663" s="144">
        <v>12</v>
      </c>
      <c r="K1663" s="25">
        <v>4</v>
      </c>
      <c r="L1663" s="130">
        <f>(I1663*J1663*K1663/1000)</f>
        <v>0.27648</v>
      </c>
      <c r="M1663" s="20"/>
      <c r="N1663" s="20"/>
      <c r="O1663" s="144">
        <v>10.5</v>
      </c>
      <c r="P1663" s="20"/>
      <c r="Q1663" s="155"/>
      <c r="R1663" s="155"/>
    </row>
    <row r="1664" spans="1:19" ht="15.6">
      <c r="A1664" s="20"/>
      <c r="B1664" s="20"/>
      <c r="C1664" s="20"/>
      <c r="D1664" s="20"/>
      <c r="E1664" s="20"/>
      <c r="F1664" s="20"/>
      <c r="G1664" s="20"/>
      <c r="H1664" s="20"/>
      <c r="I1664" s="131"/>
      <c r="J1664" s="23"/>
      <c r="K1664" s="25">
        <f t="shared" ref="K1664" si="328">SUM(K1661:K1663)</f>
        <v>39</v>
      </c>
      <c r="L1664" s="128">
        <f>SUM(L1661:L1663)</f>
        <v>2.6092799999999996</v>
      </c>
      <c r="M1664" s="20"/>
      <c r="N1664" s="20"/>
      <c r="O1664" s="20"/>
      <c r="P1664" s="20"/>
      <c r="Q1664" s="155"/>
      <c r="R1664" s="155"/>
    </row>
    <row r="1665" spans="1:19" s="251" customFormat="1" ht="15.6">
      <c r="A1665" s="20"/>
      <c r="B1665" s="20"/>
      <c r="C1665" s="20"/>
      <c r="D1665" s="20"/>
      <c r="E1665" s="20"/>
      <c r="F1665" s="20"/>
      <c r="G1665" s="20"/>
      <c r="H1665" s="20"/>
      <c r="I1665" s="131"/>
      <c r="J1665" s="23"/>
      <c r="K1665" s="25"/>
      <c r="L1665" s="128"/>
      <c r="M1665" s="20"/>
      <c r="N1665" s="20"/>
      <c r="O1665" s="20"/>
      <c r="P1665" s="20"/>
      <c r="Q1665" s="155"/>
      <c r="R1665" s="155"/>
    </row>
    <row r="1666" spans="1:19" ht="15.6">
      <c r="A1666" s="21" t="s">
        <v>174</v>
      </c>
      <c r="B1666" s="21" t="s">
        <v>230</v>
      </c>
      <c r="C1666" s="21" t="s">
        <v>19</v>
      </c>
      <c r="D1666" s="21" t="s">
        <v>20</v>
      </c>
      <c r="E1666" s="21" t="s">
        <v>57</v>
      </c>
      <c r="F1666" s="22">
        <v>9</v>
      </c>
      <c r="G1666" s="20" t="s">
        <v>21</v>
      </c>
      <c r="H1666" s="143" t="s">
        <v>70</v>
      </c>
      <c r="I1666" s="131">
        <v>5.76</v>
      </c>
      <c r="J1666" s="23">
        <v>11</v>
      </c>
      <c r="K1666" s="25">
        <v>32</v>
      </c>
      <c r="L1666" s="130">
        <f>(I1666*J1666*K1666/1000)</f>
        <v>2.02752</v>
      </c>
      <c r="M1666" s="20"/>
      <c r="N1666" s="20"/>
      <c r="O1666" s="20"/>
      <c r="P1666" s="20"/>
      <c r="Q1666" s="155"/>
      <c r="R1666" s="155"/>
      <c r="S1666" s="251" t="s">
        <v>310</v>
      </c>
    </row>
    <row r="1667" spans="1:19" ht="15.6">
      <c r="A1667" s="20"/>
      <c r="B1667" s="229" t="s">
        <v>207</v>
      </c>
      <c r="C1667" s="20"/>
      <c r="D1667" s="20"/>
      <c r="E1667" s="20"/>
      <c r="F1667" s="20"/>
      <c r="G1667" s="20"/>
      <c r="H1667" s="20"/>
      <c r="I1667" s="131"/>
      <c r="J1667" s="23"/>
      <c r="K1667" s="25">
        <f t="shared" ref="K1667:L1667" si="329">SUM(K1666)</f>
        <v>32</v>
      </c>
      <c r="L1667" s="128">
        <f t="shared" si="329"/>
        <v>2.02752</v>
      </c>
      <c r="M1667" s="20"/>
      <c r="N1667" s="20"/>
      <c r="O1667" s="20"/>
      <c r="P1667" s="20"/>
      <c r="Q1667" s="155"/>
      <c r="R1667" s="155"/>
    </row>
    <row r="1668" spans="1:19" s="251" customFormat="1" ht="15.6">
      <c r="A1668" s="20"/>
      <c r="B1668" s="229"/>
      <c r="C1668" s="20"/>
      <c r="D1668" s="20"/>
      <c r="E1668" s="20"/>
      <c r="F1668" s="20"/>
      <c r="G1668" s="20"/>
      <c r="H1668" s="20"/>
      <c r="I1668" s="131"/>
      <c r="J1668" s="23"/>
      <c r="K1668" s="25"/>
      <c r="L1668" s="128"/>
      <c r="M1668" s="20"/>
      <c r="N1668" s="20"/>
      <c r="O1668" s="20"/>
      <c r="P1668" s="20"/>
      <c r="Q1668" s="155"/>
      <c r="R1668" s="155"/>
    </row>
    <row r="1669" spans="1:19" ht="15.6">
      <c r="A1669" s="21" t="s">
        <v>83</v>
      </c>
      <c r="B1669" s="21" t="s">
        <v>222</v>
      </c>
      <c r="C1669" s="21" t="s">
        <v>19</v>
      </c>
      <c r="D1669" s="21" t="s">
        <v>20</v>
      </c>
      <c r="E1669" s="21" t="s">
        <v>57</v>
      </c>
      <c r="F1669" s="22">
        <v>9</v>
      </c>
      <c r="G1669" s="20" t="s">
        <v>21</v>
      </c>
      <c r="H1669" s="143" t="s">
        <v>70</v>
      </c>
      <c r="I1669" s="115">
        <v>5.76</v>
      </c>
      <c r="J1669" s="23">
        <v>12</v>
      </c>
      <c r="K1669" s="25">
        <v>46</v>
      </c>
      <c r="L1669" s="130">
        <f t="shared" ref="L1669:L1672" si="330">(I1669*J1669*K1669/1000)</f>
        <v>3.1795200000000006</v>
      </c>
      <c r="M1669" s="20"/>
      <c r="N1669" s="20"/>
      <c r="O1669" s="23">
        <v>10.5</v>
      </c>
      <c r="P1669" s="20"/>
      <c r="Q1669" s="155"/>
      <c r="R1669" s="155"/>
      <c r="S1669" s="251" t="s">
        <v>310</v>
      </c>
    </row>
    <row r="1670" spans="1:19" ht="15.6">
      <c r="A1670" s="20"/>
      <c r="B1670" s="21" t="s">
        <v>204</v>
      </c>
      <c r="C1670" s="20"/>
      <c r="D1670" s="20"/>
      <c r="E1670" s="20"/>
      <c r="F1670" s="20"/>
      <c r="G1670" s="20" t="s">
        <v>21</v>
      </c>
      <c r="H1670" s="20" t="s">
        <v>70</v>
      </c>
      <c r="I1670" s="115">
        <v>5.76</v>
      </c>
      <c r="J1670" s="23">
        <v>11</v>
      </c>
      <c r="K1670" s="25">
        <v>37</v>
      </c>
      <c r="L1670" s="130">
        <f t="shared" si="330"/>
        <v>2.3443200000000002</v>
      </c>
      <c r="M1670" s="20"/>
      <c r="N1670" s="20"/>
      <c r="O1670" s="20"/>
      <c r="P1670" s="20"/>
      <c r="Q1670" s="155"/>
      <c r="R1670" s="155"/>
    </row>
    <row r="1671" spans="1:19" ht="15.6">
      <c r="A1671" s="20"/>
      <c r="B1671" s="20"/>
      <c r="C1671" s="20"/>
      <c r="D1671" s="20"/>
      <c r="E1671" s="20"/>
      <c r="F1671" s="20"/>
      <c r="G1671" s="20" t="s">
        <v>21</v>
      </c>
      <c r="H1671" s="20" t="s">
        <v>70</v>
      </c>
      <c r="I1671" s="115">
        <v>5.76</v>
      </c>
      <c r="J1671" s="23">
        <v>11.5</v>
      </c>
      <c r="K1671" s="25">
        <v>36</v>
      </c>
      <c r="L1671" s="130">
        <f t="shared" si="330"/>
        <v>2.3846400000000001</v>
      </c>
      <c r="M1671" s="20"/>
      <c r="N1671" s="20"/>
      <c r="O1671" s="20"/>
      <c r="P1671" s="20"/>
      <c r="Q1671" s="155"/>
      <c r="R1671" s="155"/>
    </row>
    <row r="1672" spans="1:19" ht="15.6">
      <c r="A1672" s="20"/>
      <c r="B1672" s="20"/>
      <c r="C1672" s="20"/>
      <c r="D1672" s="20"/>
      <c r="E1672" s="20"/>
      <c r="F1672" s="20"/>
      <c r="G1672" s="20" t="s">
        <v>21</v>
      </c>
      <c r="H1672" s="20" t="s">
        <v>70</v>
      </c>
      <c r="I1672" s="115">
        <v>5.76</v>
      </c>
      <c r="J1672" s="23">
        <v>12</v>
      </c>
      <c r="K1672" s="25">
        <v>58</v>
      </c>
      <c r="L1672" s="130">
        <f t="shared" si="330"/>
        <v>4.0089600000000001</v>
      </c>
      <c r="M1672" s="20"/>
      <c r="N1672" s="20"/>
      <c r="O1672" s="20"/>
      <c r="P1672" s="20"/>
      <c r="Q1672" s="155"/>
      <c r="R1672" s="155"/>
    </row>
    <row r="1673" spans="1:19" ht="15.6">
      <c r="A1673" s="20"/>
      <c r="B1673" s="20"/>
      <c r="C1673" s="20"/>
      <c r="D1673" s="20"/>
      <c r="E1673" s="20"/>
      <c r="F1673" s="20"/>
      <c r="G1673" s="20"/>
      <c r="H1673" s="20"/>
      <c r="I1673" s="115"/>
      <c r="J1673" s="23"/>
      <c r="K1673" s="25">
        <f t="shared" ref="K1673:L1673" si="331">SUM(K1669:K1672)</f>
        <v>177</v>
      </c>
      <c r="L1673" s="128">
        <f t="shared" si="331"/>
        <v>11.917440000000001</v>
      </c>
      <c r="M1673" s="20"/>
      <c r="N1673" s="20"/>
      <c r="O1673" s="20"/>
      <c r="P1673" s="20"/>
      <c r="Q1673" s="155"/>
      <c r="R1673" s="155"/>
    </row>
    <row r="1674" spans="1:19" s="251" customFormat="1" ht="15.6">
      <c r="A1674" s="20"/>
      <c r="B1674" s="20"/>
      <c r="C1674" s="20"/>
      <c r="D1674" s="20"/>
      <c r="E1674" s="20"/>
      <c r="F1674" s="20"/>
      <c r="G1674" s="20"/>
      <c r="H1674" s="20"/>
      <c r="I1674" s="115"/>
      <c r="J1674" s="23"/>
      <c r="K1674" s="25"/>
      <c r="L1674" s="128"/>
      <c r="M1674" s="20"/>
      <c r="N1674" s="20"/>
      <c r="O1674" s="20"/>
      <c r="P1674" s="20"/>
      <c r="Q1674" s="155"/>
      <c r="R1674" s="155"/>
    </row>
    <row r="1675" spans="1:19" s="251" customFormat="1" ht="15.6">
      <c r="A1675" s="21" t="s">
        <v>83</v>
      </c>
      <c r="B1675" s="21" t="s">
        <v>282</v>
      </c>
      <c r="C1675" s="21" t="s">
        <v>19</v>
      </c>
      <c r="D1675" s="21" t="s">
        <v>20</v>
      </c>
      <c r="E1675" s="401" t="s">
        <v>259</v>
      </c>
      <c r="F1675" s="22">
        <v>9</v>
      </c>
      <c r="G1675" s="20" t="s">
        <v>21</v>
      </c>
      <c r="H1675" s="143" t="s">
        <v>70</v>
      </c>
      <c r="I1675" s="131">
        <v>5.77</v>
      </c>
      <c r="J1675" s="404">
        <v>9.6999999999999993</v>
      </c>
      <c r="K1675" s="417">
        <v>4</v>
      </c>
      <c r="L1675" s="130">
        <f>(I1675*J1675*K1675/1000)</f>
        <v>0.22387599999999996</v>
      </c>
      <c r="M1675" s="292">
        <v>4</v>
      </c>
      <c r="N1675" s="23">
        <f>J1675*M1675*I1675/1000</f>
        <v>0.22387599999999996</v>
      </c>
      <c r="O1675" s="20"/>
      <c r="P1675" s="20"/>
      <c r="Q1675" s="155"/>
      <c r="R1675" s="155"/>
      <c r="S1675" s="251" t="s">
        <v>310</v>
      </c>
    </row>
    <row r="1676" spans="1:19" s="251" customFormat="1" ht="15.6">
      <c r="A1676" s="21"/>
      <c r="B1676" s="21" t="s">
        <v>277</v>
      </c>
      <c r="C1676" s="21"/>
      <c r="D1676" s="21"/>
      <c r="E1676" s="401"/>
      <c r="F1676" s="22"/>
      <c r="G1676" s="20" t="s">
        <v>21</v>
      </c>
      <c r="H1676" s="20" t="s">
        <v>70</v>
      </c>
      <c r="I1676" s="131">
        <v>5.77</v>
      </c>
      <c r="J1676" s="144">
        <v>12</v>
      </c>
      <c r="K1676" s="417">
        <f>29-4</f>
        <v>25</v>
      </c>
      <c r="L1676" s="130">
        <f>(I1676*J1676*K1676/1000)</f>
        <v>1.7309999999999999</v>
      </c>
      <c r="M1676" s="292"/>
      <c r="N1676" s="23"/>
      <c r="O1676" s="144">
        <v>9.9</v>
      </c>
      <c r="P1676" s="20"/>
      <c r="Q1676" s="155"/>
      <c r="R1676" s="155"/>
    </row>
    <row r="1677" spans="1:19" s="251" customFormat="1" ht="15.6">
      <c r="A1677" s="37"/>
      <c r="B1677" s="21"/>
      <c r="C1677" s="37"/>
      <c r="D1677" s="37"/>
      <c r="E1677" s="37"/>
      <c r="F1677" s="37"/>
      <c r="G1677" s="20" t="s">
        <v>21</v>
      </c>
      <c r="H1677" s="20" t="s">
        <v>70</v>
      </c>
      <c r="I1677" s="131">
        <v>5.77</v>
      </c>
      <c r="J1677" s="404">
        <v>12</v>
      </c>
      <c r="K1677" s="417">
        <v>21</v>
      </c>
      <c r="L1677" s="130">
        <f>(I1677*J1677*K1677/1000)</f>
        <v>1.45404</v>
      </c>
      <c r="M1677" s="292"/>
      <c r="N1677" s="20"/>
      <c r="O1677" s="20"/>
      <c r="P1677" s="20"/>
      <c r="Q1677" s="155"/>
      <c r="R1677" s="155"/>
    </row>
    <row r="1678" spans="1:19" s="251" customFormat="1" ht="15.6">
      <c r="A1678" s="20"/>
      <c r="B1678" s="20"/>
      <c r="C1678" s="20"/>
      <c r="D1678" s="20"/>
      <c r="E1678" s="20"/>
      <c r="F1678" s="20"/>
      <c r="G1678" s="20"/>
      <c r="H1678" s="20"/>
      <c r="I1678" s="131"/>
      <c r="J1678" s="23"/>
      <c r="K1678" s="25">
        <f>SUM(K1675:K1677)</f>
        <v>50</v>
      </c>
      <c r="L1678" s="128">
        <f>SUM(L1675:L1677)</f>
        <v>3.4089159999999996</v>
      </c>
      <c r="M1678" s="25">
        <f t="shared" ref="M1678" si="332">SUM(M1675:M1677)</f>
        <v>4</v>
      </c>
      <c r="N1678" s="124">
        <f>SUM(N1675:N1677)</f>
        <v>0.22387599999999996</v>
      </c>
      <c r="O1678" s="20"/>
      <c r="P1678" s="20"/>
      <c r="Q1678" s="155"/>
      <c r="R1678" s="155"/>
    </row>
    <row r="1679" spans="1:19" s="251" customFormat="1" ht="15.6">
      <c r="A1679" s="20"/>
      <c r="B1679" s="20"/>
      <c r="C1679" s="20"/>
      <c r="D1679" s="20"/>
      <c r="E1679" s="20"/>
      <c r="F1679" s="20"/>
      <c r="G1679" s="20"/>
      <c r="H1679" s="20"/>
      <c r="I1679" s="131"/>
      <c r="J1679" s="23"/>
      <c r="K1679" s="25"/>
      <c r="L1679" s="128"/>
      <c r="M1679" s="25"/>
      <c r="N1679" s="124"/>
      <c r="O1679" s="20"/>
      <c r="P1679" s="20"/>
      <c r="Q1679" s="155"/>
      <c r="R1679" s="155"/>
    </row>
    <row r="1680" spans="1:19" s="251" customFormat="1" ht="15.6">
      <c r="A1680" s="21" t="s">
        <v>83</v>
      </c>
      <c r="B1680" s="21" t="s">
        <v>282</v>
      </c>
      <c r="C1680" s="21" t="s">
        <v>19</v>
      </c>
      <c r="D1680" s="21" t="s">
        <v>20</v>
      </c>
      <c r="E1680" s="401" t="s">
        <v>259</v>
      </c>
      <c r="F1680" s="22">
        <v>9</v>
      </c>
      <c r="G1680" s="20" t="s">
        <v>21</v>
      </c>
      <c r="H1680" s="143" t="s">
        <v>70</v>
      </c>
      <c r="I1680" s="131">
        <v>5.77</v>
      </c>
      <c r="J1680" s="425">
        <v>12</v>
      </c>
      <c r="K1680" s="422">
        <v>52</v>
      </c>
      <c r="L1680" s="130">
        <f>(I1680*J1680*K1680/1000)</f>
        <v>3.6004799999999997</v>
      </c>
      <c r="M1680" s="25"/>
      <c r="N1680" s="124"/>
      <c r="O1680" s="20"/>
      <c r="P1680" s="20"/>
      <c r="Q1680" s="155"/>
      <c r="R1680" s="155"/>
      <c r="S1680" s="251" t="s">
        <v>310</v>
      </c>
    </row>
    <row r="1681" spans="1:19" s="251" customFormat="1" ht="15.6">
      <c r="A1681" s="21"/>
      <c r="B1681" s="21" t="s">
        <v>277</v>
      </c>
      <c r="C1681" s="21"/>
      <c r="D1681" s="21"/>
      <c r="E1681" s="401"/>
      <c r="F1681" s="22"/>
      <c r="G1681" s="20"/>
      <c r="H1681" s="20"/>
      <c r="I1681" s="131"/>
      <c r="J1681" s="254"/>
      <c r="K1681" s="417">
        <f>SUM(K1680)</f>
        <v>52</v>
      </c>
      <c r="L1681" s="130">
        <f>SUM(L1680)</f>
        <v>3.6004799999999997</v>
      </c>
      <c r="M1681" s="25"/>
      <c r="N1681" s="124"/>
      <c r="O1681" s="20"/>
      <c r="P1681" s="20"/>
      <c r="Q1681" s="155"/>
      <c r="R1681" s="155"/>
    </row>
    <row r="1682" spans="1:19" s="251" customFormat="1" ht="15.6">
      <c r="A1682" s="20"/>
      <c r="B1682" s="20"/>
      <c r="C1682" s="20"/>
      <c r="D1682" s="20"/>
      <c r="E1682" s="20"/>
      <c r="F1682" s="20"/>
      <c r="G1682" s="20"/>
      <c r="H1682" s="20"/>
      <c r="I1682" s="115"/>
      <c r="J1682" s="23"/>
      <c r="K1682" s="154">
        <f>SUM(K1661:K1681)/2</f>
        <v>350</v>
      </c>
      <c r="L1682" s="128">
        <f>SUM(L1661:L1681)/2</f>
        <v>23.563635999999995</v>
      </c>
      <c r="M1682" s="154">
        <f>SUM(M1661:M1678)/2</f>
        <v>4</v>
      </c>
      <c r="N1682" s="124">
        <f>SUM(N1661:N1678)/2</f>
        <v>0.22387599999999996</v>
      </c>
      <c r="O1682" s="20"/>
      <c r="P1682" s="20"/>
      <c r="Q1682" s="155"/>
      <c r="R1682" s="155"/>
    </row>
    <row r="1683" spans="1:19" s="251" customFormat="1" ht="15.6">
      <c r="A1683" s="20"/>
      <c r="B1683" s="20"/>
      <c r="C1683" s="20"/>
      <c r="D1683" s="20"/>
      <c r="E1683" s="20"/>
      <c r="F1683" s="20"/>
      <c r="G1683" s="20"/>
      <c r="H1683" s="20"/>
      <c r="I1683" s="115"/>
      <c r="J1683" s="23"/>
      <c r="K1683" s="25"/>
      <c r="L1683" s="128"/>
      <c r="M1683" s="20"/>
      <c r="N1683" s="20"/>
      <c r="O1683" s="20"/>
      <c r="P1683" s="20"/>
      <c r="Q1683" s="155"/>
      <c r="R1683" s="155"/>
    </row>
    <row r="1684" spans="1:19" ht="15.6">
      <c r="A1684" s="20"/>
      <c r="B1684" s="293"/>
      <c r="C1684" s="20"/>
      <c r="D1684" s="20"/>
      <c r="E1684" s="20"/>
      <c r="F1684" s="20"/>
      <c r="G1684" s="289"/>
      <c r="H1684" s="289"/>
      <c r="I1684" s="311"/>
      <c r="J1684" s="290"/>
      <c r="K1684" s="290"/>
      <c r="L1684" s="310"/>
      <c r="M1684" s="292"/>
      <c r="N1684" s="20"/>
      <c r="O1684" s="20"/>
      <c r="P1684" s="20"/>
      <c r="Q1684" s="155"/>
      <c r="R1684" s="155"/>
    </row>
    <row r="1685" spans="1:19" ht="15.6">
      <c r="A1685" s="21" t="s">
        <v>272</v>
      </c>
      <c r="B1685" s="21" t="s">
        <v>273</v>
      </c>
      <c r="C1685" s="21" t="s">
        <v>19</v>
      </c>
      <c r="D1685" s="21" t="s">
        <v>155</v>
      </c>
      <c r="E1685" s="21" t="s">
        <v>270</v>
      </c>
      <c r="F1685" s="22">
        <v>7</v>
      </c>
      <c r="G1685" s="20" t="s">
        <v>61</v>
      </c>
      <c r="H1685" s="143" t="s">
        <v>69</v>
      </c>
      <c r="I1685" s="382">
        <v>6.86</v>
      </c>
      <c r="J1685" s="372">
        <v>10</v>
      </c>
      <c r="K1685" s="373">
        <v>150</v>
      </c>
      <c r="L1685" s="180">
        <f>(I1685*J1685*K1685/1000)</f>
        <v>10.290000000000003</v>
      </c>
      <c r="M1685" s="295"/>
      <c r="N1685" s="20"/>
      <c r="O1685" s="20"/>
      <c r="P1685" s="20"/>
      <c r="Q1685" s="155"/>
      <c r="R1685" s="155"/>
      <c r="S1685" s="251" t="s">
        <v>310</v>
      </c>
    </row>
    <row r="1686" spans="1:19" ht="15.6">
      <c r="A1686" s="20"/>
      <c r="B1686" s="21" t="s">
        <v>271</v>
      </c>
      <c r="C1686" s="20"/>
      <c r="D1686" s="20"/>
      <c r="E1686" s="20"/>
      <c r="F1686" s="131"/>
      <c r="G1686" s="20"/>
      <c r="H1686" s="20"/>
      <c r="I1686" s="382"/>
      <c r="J1686" s="23"/>
      <c r="K1686" s="25">
        <f>SUM(K1685:K1685)</f>
        <v>150</v>
      </c>
      <c r="L1686" s="181">
        <f>SUM(L1685:L1685)</f>
        <v>10.290000000000003</v>
      </c>
      <c r="M1686" s="292"/>
      <c r="N1686" s="20"/>
      <c r="O1686" s="20"/>
      <c r="P1686" s="20"/>
      <c r="Q1686" s="155"/>
      <c r="R1686" s="155"/>
    </row>
    <row r="1687" spans="1:19" ht="15.6">
      <c r="A1687" s="20"/>
      <c r="B1687" s="20"/>
      <c r="C1687" s="20"/>
      <c r="D1687" s="20"/>
      <c r="E1687" s="20"/>
      <c r="F1687" s="20"/>
      <c r="G1687" s="20"/>
      <c r="H1687" s="20"/>
      <c r="I1687" s="382"/>
      <c r="J1687" s="23"/>
      <c r="K1687" s="25"/>
      <c r="L1687" s="128"/>
      <c r="M1687" s="292"/>
      <c r="N1687" s="20"/>
      <c r="O1687" s="20"/>
      <c r="P1687" s="20"/>
      <c r="Q1687" s="155"/>
      <c r="R1687" s="155"/>
    </row>
    <row r="1688" spans="1:19" ht="15.6">
      <c r="A1688" s="20"/>
      <c r="B1688" s="293"/>
      <c r="C1688" s="20"/>
      <c r="D1688" s="20"/>
      <c r="E1688" s="20"/>
      <c r="F1688" s="20"/>
      <c r="G1688" s="289"/>
      <c r="H1688" s="289"/>
      <c r="I1688" s="384"/>
      <c r="J1688" s="290"/>
      <c r="K1688" s="291"/>
      <c r="L1688" s="310"/>
      <c r="M1688" s="292"/>
      <c r="N1688" s="20"/>
      <c r="O1688" s="20"/>
      <c r="P1688" s="20"/>
      <c r="Q1688" s="155"/>
      <c r="R1688" s="155"/>
    </row>
    <row r="1689" spans="1:19" ht="15.6">
      <c r="A1689" s="21" t="s">
        <v>272</v>
      </c>
      <c r="B1689" s="21" t="s">
        <v>273</v>
      </c>
      <c r="C1689" s="21" t="s">
        <v>19</v>
      </c>
      <c r="D1689" s="21" t="s">
        <v>155</v>
      </c>
      <c r="E1689" s="21" t="s">
        <v>270</v>
      </c>
      <c r="F1689" s="22">
        <v>7</v>
      </c>
      <c r="G1689" s="20" t="s">
        <v>61</v>
      </c>
      <c r="H1689" s="143" t="s">
        <v>274</v>
      </c>
      <c r="I1689" s="382">
        <v>9</v>
      </c>
      <c r="J1689" s="372">
        <v>12</v>
      </c>
      <c r="K1689" s="373">
        <v>611</v>
      </c>
      <c r="L1689" s="180">
        <f>(I1689*J1689*K1689/1000)</f>
        <v>65.988</v>
      </c>
      <c r="M1689" s="292"/>
      <c r="N1689" s="20"/>
      <c r="O1689" s="20"/>
      <c r="P1689" s="20"/>
      <c r="Q1689" s="155"/>
      <c r="R1689" s="155"/>
      <c r="S1689" s="251" t="s">
        <v>310</v>
      </c>
    </row>
    <row r="1690" spans="1:19" ht="15.6">
      <c r="A1690" s="20"/>
      <c r="B1690" s="21" t="s">
        <v>271</v>
      </c>
      <c r="C1690" s="20"/>
      <c r="D1690" s="20"/>
      <c r="E1690" s="20"/>
      <c r="F1690" s="131"/>
      <c r="G1690" s="20" t="s">
        <v>61</v>
      </c>
      <c r="H1690" s="20" t="s">
        <v>274</v>
      </c>
      <c r="I1690" s="382">
        <v>9</v>
      </c>
      <c r="J1690" s="372">
        <v>11.5</v>
      </c>
      <c r="K1690" s="373">
        <v>490</v>
      </c>
      <c r="L1690" s="180">
        <f>(I1690*J1690*K1690/1000)</f>
        <v>50.715000000000003</v>
      </c>
      <c r="M1690" s="292"/>
      <c r="N1690" s="20"/>
      <c r="O1690" s="20"/>
      <c r="P1690" s="20"/>
      <c r="Q1690" s="155"/>
      <c r="R1690" s="155"/>
    </row>
    <row r="1691" spans="1:19" ht="15.6">
      <c r="A1691" s="20"/>
      <c r="B1691" s="20"/>
      <c r="C1691" s="20"/>
      <c r="D1691" s="20"/>
      <c r="E1691" s="20"/>
      <c r="F1691" s="131"/>
      <c r="G1691" s="20" t="s">
        <v>61</v>
      </c>
      <c r="H1691" s="20" t="s">
        <v>274</v>
      </c>
      <c r="I1691" s="382">
        <v>9</v>
      </c>
      <c r="J1691" s="372">
        <v>11</v>
      </c>
      <c r="K1691" s="373">
        <v>839</v>
      </c>
      <c r="L1691" s="180">
        <f>(I1691*J1691*K1691/1000)</f>
        <v>83.061000000000007</v>
      </c>
      <c r="M1691" s="295"/>
      <c r="N1691" s="20"/>
      <c r="O1691" s="20"/>
      <c r="P1691" s="20"/>
      <c r="Q1691" s="155"/>
      <c r="R1691" s="155"/>
    </row>
    <row r="1692" spans="1:19" ht="15.6">
      <c r="A1692" s="20"/>
      <c r="B1692" s="20"/>
      <c r="C1692" s="20"/>
      <c r="D1692" s="20"/>
      <c r="E1692" s="20"/>
      <c r="F1692" s="131"/>
      <c r="G1692" s="20" t="s">
        <v>61</v>
      </c>
      <c r="H1692" s="20" t="s">
        <v>274</v>
      </c>
      <c r="I1692" s="382">
        <v>9</v>
      </c>
      <c r="J1692" s="372">
        <v>10</v>
      </c>
      <c r="K1692" s="373">
        <v>239</v>
      </c>
      <c r="L1692" s="180">
        <f>(I1692*J1692*K1692/1000)</f>
        <v>21.51</v>
      </c>
      <c r="M1692" s="292"/>
      <c r="N1692" s="20"/>
      <c r="O1692" s="20"/>
      <c r="P1692" s="20"/>
      <c r="Q1692" s="155"/>
      <c r="R1692" s="155"/>
    </row>
    <row r="1693" spans="1:19" ht="15.6">
      <c r="A1693" s="21"/>
      <c r="B1693" s="21"/>
      <c r="C1693" s="21"/>
      <c r="D1693" s="21"/>
      <c r="E1693" s="21"/>
      <c r="F1693" s="22"/>
      <c r="G1693" s="289"/>
      <c r="H1693" s="289"/>
      <c r="I1693" s="311"/>
      <c r="J1693" s="290"/>
      <c r="K1693" s="370">
        <f>SUM(K1689:K1692)</f>
        <v>2179</v>
      </c>
      <c r="L1693" s="371">
        <f>SUM(L1689:L1692)</f>
        <v>221.274</v>
      </c>
      <c r="M1693" s="292"/>
      <c r="N1693" s="20"/>
      <c r="O1693" s="20"/>
      <c r="P1693" s="20"/>
      <c r="Q1693" s="155"/>
      <c r="R1693" s="155"/>
    </row>
    <row r="1694" spans="1:19" s="251" customFormat="1" ht="15.6">
      <c r="A1694" s="21"/>
      <c r="B1694" s="21"/>
      <c r="C1694" s="21"/>
      <c r="D1694" s="21"/>
      <c r="E1694" s="21"/>
      <c r="F1694" s="22"/>
      <c r="G1694" s="289"/>
      <c r="H1694" s="289"/>
      <c r="I1694" s="311"/>
      <c r="J1694" s="290"/>
      <c r="K1694" s="291"/>
      <c r="L1694" s="310"/>
      <c r="M1694" s="292"/>
      <c r="N1694" s="20"/>
      <c r="O1694" s="20"/>
      <c r="P1694" s="20"/>
      <c r="Q1694" s="155"/>
      <c r="R1694" s="155"/>
    </row>
    <row r="1695" spans="1:19" s="251" customFormat="1" ht="15.6">
      <c r="A1695" s="21" t="s">
        <v>272</v>
      </c>
      <c r="B1695" s="21" t="s">
        <v>292</v>
      </c>
      <c r="C1695" s="21" t="s">
        <v>19</v>
      </c>
      <c r="D1695" s="21" t="s">
        <v>155</v>
      </c>
      <c r="E1695" s="21" t="s">
        <v>270</v>
      </c>
      <c r="F1695" s="22">
        <v>7</v>
      </c>
      <c r="G1695" s="20" t="s">
        <v>61</v>
      </c>
      <c r="H1695" s="143" t="s">
        <v>274</v>
      </c>
      <c r="I1695" s="382">
        <v>9</v>
      </c>
      <c r="J1695" s="420">
        <v>8.5</v>
      </c>
      <c r="K1695" s="421">
        <v>12</v>
      </c>
      <c r="L1695" s="100">
        <f t="shared" ref="L1695:L1697" si="333">(I1695*J1695*K1695/1000)</f>
        <v>0.91800000000000004</v>
      </c>
      <c r="M1695" s="292"/>
      <c r="N1695" s="20"/>
      <c r="O1695" s="20"/>
      <c r="P1695" s="20"/>
      <c r="Q1695" s="155"/>
      <c r="R1695" s="155"/>
      <c r="S1695" s="251" t="s">
        <v>310</v>
      </c>
    </row>
    <row r="1696" spans="1:19" s="251" customFormat="1" ht="15.6">
      <c r="A1696" s="20"/>
      <c r="B1696" s="21" t="s">
        <v>271</v>
      </c>
      <c r="C1696" s="20"/>
      <c r="D1696" s="20"/>
      <c r="E1696" s="20"/>
      <c r="F1696" s="131"/>
      <c r="G1696" s="20" t="s">
        <v>61</v>
      </c>
      <c r="H1696" s="20" t="s">
        <v>274</v>
      </c>
      <c r="I1696" s="382">
        <v>9</v>
      </c>
      <c r="J1696" s="420">
        <v>11.5</v>
      </c>
      <c r="K1696" s="421">
        <v>135</v>
      </c>
      <c r="L1696" s="100">
        <f t="shared" si="333"/>
        <v>13.9725</v>
      </c>
      <c r="M1696" s="292"/>
      <c r="N1696" s="20"/>
      <c r="O1696" s="20"/>
      <c r="P1696" s="20"/>
      <c r="Q1696" s="155"/>
      <c r="R1696" s="155"/>
    </row>
    <row r="1697" spans="1:18" s="251" customFormat="1" ht="15.6">
      <c r="A1697" s="20"/>
      <c r="B1697" s="20"/>
      <c r="C1697" s="20"/>
      <c r="D1697" s="20"/>
      <c r="E1697" s="20"/>
      <c r="F1697" s="131"/>
      <c r="G1697" s="20" t="s">
        <v>61</v>
      </c>
      <c r="H1697" s="20" t="s">
        <v>274</v>
      </c>
      <c r="I1697" s="382">
        <v>9</v>
      </c>
      <c r="J1697" s="420">
        <v>11.25</v>
      </c>
      <c r="K1697" s="421">
        <v>78</v>
      </c>
      <c r="L1697" s="100">
        <f t="shared" si="333"/>
        <v>7.8975</v>
      </c>
      <c r="M1697" s="292"/>
      <c r="N1697" s="20"/>
      <c r="O1697" s="20"/>
      <c r="P1697" s="20"/>
      <c r="Q1697" s="155"/>
      <c r="R1697" s="155"/>
    </row>
    <row r="1698" spans="1:18" s="251" customFormat="1" ht="15.6">
      <c r="A1698" s="21"/>
      <c r="B1698" s="21"/>
      <c r="C1698" s="21"/>
      <c r="D1698" s="21"/>
      <c r="E1698" s="21"/>
      <c r="F1698" s="22"/>
      <c r="G1698" s="289"/>
      <c r="H1698" s="289"/>
      <c r="I1698" s="311"/>
      <c r="J1698" s="290"/>
      <c r="K1698" s="418">
        <f>SUM(K1695:K1697)</f>
        <v>225</v>
      </c>
      <c r="L1698" s="419">
        <f>SUM(L1695:L1697)</f>
        <v>22.788</v>
      </c>
      <c r="M1698" s="292"/>
      <c r="N1698" s="20"/>
      <c r="O1698" s="20"/>
      <c r="P1698" s="20"/>
      <c r="Q1698" s="155"/>
      <c r="R1698" s="155"/>
    </row>
    <row r="1699" spans="1:18" s="251" customFormat="1" ht="15.6">
      <c r="A1699" s="21"/>
      <c r="B1699" s="21"/>
      <c r="C1699" s="21"/>
      <c r="D1699" s="21"/>
      <c r="E1699" s="21"/>
      <c r="F1699" s="22"/>
      <c r="G1699" s="289"/>
      <c r="H1699" s="289"/>
      <c r="I1699" s="311"/>
      <c r="J1699" s="290"/>
      <c r="K1699" s="291"/>
      <c r="L1699" s="419">
        <f>+L1698+L1693</f>
        <v>244.06200000000001</v>
      </c>
      <c r="M1699" s="292"/>
      <c r="N1699" s="20"/>
      <c r="O1699" s="20"/>
      <c r="P1699" s="20"/>
      <c r="Q1699" s="155"/>
      <c r="R1699" s="155"/>
    </row>
    <row r="1700" spans="1:18" s="251" customFormat="1" ht="15.6">
      <c r="A1700" s="21"/>
      <c r="B1700" s="21"/>
      <c r="C1700" s="21"/>
      <c r="D1700" s="21"/>
      <c r="E1700" s="21"/>
      <c r="F1700" s="22"/>
      <c r="G1700" s="289"/>
      <c r="H1700" s="289"/>
      <c r="I1700" s="311"/>
      <c r="J1700" s="290"/>
      <c r="K1700" s="291"/>
      <c r="L1700" s="310"/>
      <c r="M1700" s="292"/>
      <c r="N1700" s="20"/>
      <c r="O1700" s="20"/>
      <c r="P1700" s="20"/>
      <c r="Q1700" s="155"/>
      <c r="R1700" s="155"/>
    </row>
    <row r="1701" spans="1:18" s="251" customFormat="1" ht="15.6">
      <c r="A1701" s="21"/>
      <c r="B1701" s="21"/>
      <c r="C1701" s="21"/>
      <c r="D1701" s="21"/>
      <c r="E1701" s="21"/>
      <c r="F1701" s="22"/>
      <c r="G1701" s="289"/>
      <c r="H1701" s="289"/>
      <c r="I1701" s="311"/>
      <c r="J1701" s="290"/>
      <c r="K1701" s="291"/>
      <c r="L1701" s="310"/>
      <c r="M1701" s="292"/>
      <c r="N1701" s="20"/>
      <c r="O1701" s="20"/>
      <c r="P1701" s="20"/>
      <c r="Q1701" s="155"/>
      <c r="R1701" s="155"/>
    </row>
    <row r="1702" spans="1:18" s="251" customFormat="1" ht="15.6">
      <c r="A1702" s="20"/>
      <c r="B1702" s="20"/>
      <c r="C1702" s="20"/>
      <c r="D1702" s="20"/>
      <c r="E1702" s="20"/>
      <c r="F1702" s="294"/>
      <c r="G1702" s="289"/>
      <c r="H1702" s="295"/>
      <c r="I1702" s="451"/>
      <c r="J1702" s="290"/>
      <c r="K1702" s="290"/>
      <c r="L1702" s="311"/>
      <c r="M1702" s="295"/>
      <c r="N1702" s="20"/>
      <c r="O1702" s="20"/>
      <c r="P1702" s="20"/>
      <c r="Q1702" s="155"/>
      <c r="R1702" s="155"/>
    </row>
    <row r="1703" spans="1:18" ht="15.6">
      <c r="A1703" s="20"/>
      <c r="B1703" s="20"/>
      <c r="C1703" s="20"/>
      <c r="D1703" s="20"/>
      <c r="E1703" s="20"/>
      <c r="F1703" s="294"/>
      <c r="G1703" s="289"/>
      <c r="H1703" s="295"/>
      <c r="I1703" s="451"/>
      <c r="J1703" s="290"/>
      <c r="K1703" s="374">
        <f>+K1693+K1686+K1682+K1658</f>
        <v>3283</v>
      </c>
      <c r="L1703" s="312">
        <f>+L1693+L1686+L1682+L1658+L1698</f>
        <v>321.52363100000002</v>
      </c>
      <c r="M1703" s="374">
        <f>+M1693+M1686+M1682+M1658</f>
        <v>16</v>
      </c>
      <c r="N1703" s="312">
        <f>+N1693+N1686+N1682+N1658</f>
        <v>0.84311599999999998</v>
      </c>
      <c r="O1703" s="20"/>
      <c r="P1703" s="20"/>
      <c r="Q1703" s="155"/>
      <c r="R1703" s="155"/>
    </row>
    <row r="1704" spans="1:18" s="251" customFormat="1">
      <c r="A1704" s="10" t="s">
        <v>48</v>
      </c>
      <c r="B1704" s="10"/>
      <c r="C1704" s="11"/>
      <c r="D1704" s="11"/>
      <c r="E1704" s="11"/>
      <c r="F1704" s="92"/>
      <c r="G1704" s="11"/>
      <c r="H1704" s="92"/>
      <c r="I1704" s="13"/>
      <c r="J1704" s="11"/>
      <c r="K1704" s="202"/>
      <c r="L1704" s="2047" t="s">
        <v>0</v>
      </c>
      <c r="M1704" s="2047"/>
      <c r="N1704" s="2047"/>
      <c r="O1704" s="2048"/>
      <c r="P1704" s="2020"/>
      <c r="Q1704" s="142"/>
      <c r="R1704" s="142"/>
    </row>
    <row r="1705" spans="1:18" s="251" customFormat="1">
      <c r="A1705" s="14" t="s">
        <v>1</v>
      </c>
      <c r="B1705" s="14"/>
      <c r="C1705" s="14"/>
      <c r="D1705" s="15" t="s">
        <v>2</v>
      </c>
      <c r="E1705" s="15"/>
      <c r="F1705" s="16"/>
      <c r="G1705" s="16"/>
      <c r="H1705" s="16"/>
      <c r="I1705" s="17"/>
      <c r="J1705" s="16"/>
      <c r="K1705" s="203" t="s">
        <v>3</v>
      </c>
      <c r="L1705" s="16"/>
      <c r="M1705" s="14"/>
      <c r="N1705" s="16"/>
      <c r="O1705" s="19"/>
      <c r="P1705" s="2020"/>
      <c r="Q1705" s="142"/>
      <c r="R1705" s="142"/>
    </row>
    <row r="1706" spans="1:18" s="251" customFormat="1" ht="15.6">
      <c r="A1706" s="285" t="s">
        <v>22</v>
      </c>
      <c r="B1706" s="2021" t="s">
        <v>23</v>
      </c>
      <c r="C1706" s="2022"/>
      <c r="D1706" s="2023"/>
      <c r="E1706" s="285" t="s">
        <v>24</v>
      </c>
      <c r="F1706" s="2021" t="s">
        <v>25</v>
      </c>
      <c r="G1706" s="2023"/>
      <c r="H1706" s="2021" t="s">
        <v>26</v>
      </c>
      <c r="I1706" s="2022"/>
      <c r="J1706" s="2022"/>
      <c r="K1706" s="2023"/>
      <c r="L1706" s="2024" t="s">
        <v>27</v>
      </c>
      <c r="M1706" s="2024"/>
      <c r="N1706" s="2024"/>
      <c r="O1706" s="2021"/>
      <c r="P1706" s="2020"/>
      <c r="Q1706" s="142"/>
      <c r="R1706" s="142"/>
    </row>
    <row r="1707" spans="1:18" s="251" customFormat="1" ht="15.6">
      <c r="A1707" s="38"/>
      <c r="B1707" s="2025"/>
      <c r="C1707" s="2026"/>
      <c r="D1707" s="2027"/>
      <c r="E1707" s="26"/>
      <c r="F1707" s="2025"/>
      <c r="G1707" s="2027"/>
      <c r="H1707" s="2025"/>
      <c r="I1707" s="2026"/>
      <c r="J1707" s="2026"/>
      <c r="K1707" s="2027"/>
      <c r="L1707" s="2025"/>
      <c r="M1707" s="2026"/>
      <c r="N1707" s="2026"/>
      <c r="O1707" s="2026"/>
      <c r="P1707" s="2020"/>
      <c r="Q1707" s="142"/>
      <c r="R1707" s="142"/>
    </row>
    <row r="1708" spans="1:18" s="251" customFormat="1" ht="15.6">
      <c r="A1708" s="38"/>
      <c r="B1708" s="279"/>
      <c r="C1708" s="280"/>
      <c r="D1708" s="281"/>
      <c r="E1708" s="26"/>
      <c r="F1708" s="279"/>
      <c r="G1708" s="281"/>
      <c r="H1708" s="279"/>
      <c r="I1708" s="1856"/>
      <c r="J1708" s="280"/>
      <c r="K1708" s="204"/>
      <c r="L1708" s="279"/>
      <c r="M1708" s="280"/>
      <c r="N1708" s="280"/>
      <c r="O1708" s="280"/>
      <c r="P1708" s="2020"/>
      <c r="Q1708" s="142"/>
      <c r="R1708" s="142"/>
    </row>
    <row r="1709" spans="1:18" s="251" customFormat="1" ht="15.6">
      <c r="A1709" s="38" t="s">
        <v>28</v>
      </c>
      <c r="B1709" s="2025" t="s">
        <v>71</v>
      </c>
      <c r="C1709" s="2026"/>
      <c r="D1709" s="2027"/>
      <c r="E1709" s="26">
        <f>+L1658-0.619</f>
        <v>42.988995000000003</v>
      </c>
      <c r="F1709" s="2025">
        <v>9</v>
      </c>
      <c r="G1709" s="2027"/>
      <c r="H1709" s="2025" t="s">
        <v>49</v>
      </c>
      <c r="I1709" s="2026"/>
      <c r="J1709" s="2026"/>
      <c r="K1709" s="2027"/>
      <c r="L1709" s="2025" t="s">
        <v>283</v>
      </c>
      <c r="M1709" s="2026"/>
      <c r="N1709" s="2026"/>
      <c r="O1709" s="2026"/>
      <c r="P1709" s="2020"/>
      <c r="Q1709" s="142"/>
      <c r="R1709" s="142"/>
    </row>
    <row r="1710" spans="1:18" s="251" customFormat="1" ht="15.6">
      <c r="A1710" s="38" t="s">
        <v>29</v>
      </c>
      <c r="B1710" s="2025" t="s">
        <v>78</v>
      </c>
      <c r="C1710" s="2026"/>
      <c r="D1710" s="2027"/>
      <c r="E1710" s="26">
        <f>+L1682-0.224</f>
        <v>23.339635999999995</v>
      </c>
      <c r="F1710" s="2025">
        <v>9</v>
      </c>
      <c r="G1710" s="2027"/>
      <c r="H1710" s="2025" t="s">
        <v>49</v>
      </c>
      <c r="I1710" s="2026"/>
      <c r="J1710" s="2026"/>
      <c r="K1710" s="2027"/>
      <c r="L1710" s="2025" t="s">
        <v>283</v>
      </c>
      <c r="M1710" s="2026"/>
      <c r="N1710" s="2026"/>
      <c r="O1710" s="2026"/>
      <c r="P1710" s="2020"/>
      <c r="Q1710" s="142"/>
      <c r="R1710" s="142"/>
    </row>
    <row r="1711" spans="1:18" s="251" customFormat="1" ht="15.6">
      <c r="A1711" s="38"/>
      <c r="B1711" s="2025"/>
      <c r="C1711" s="2026"/>
      <c r="D1711" s="2027"/>
      <c r="E1711" s="26"/>
      <c r="F1711" s="2025"/>
      <c r="G1711" s="2027"/>
      <c r="H1711" s="2025"/>
      <c r="I1711" s="2026"/>
      <c r="J1711" s="2026"/>
      <c r="K1711" s="2027"/>
      <c r="L1711" s="2025"/>
      <c r="M1711" s="2026"/>
      <c r="N1711" s="2026"/>
      <c r="O1711" s="2026"/>
      <c r="P1711" s="2020"/>
      <c r="Q1711" s="142"/>
      <c r="R1711" s="142"/>
    </row>
    <row r="1712" spans="1:18" s="251" customFormat="1" ht="15.6">
      <c r="A1712" s="398" t="s">
        <v>30</v>
      </c>
      <c r="B1712" s="2026" t="s">
        <v>268</v>
      </c>
      <c r="C1712" s="2026"/>
      <c r="D1712" s="2026"/>
      <c r="E1712" s="369">
        <f>+L1693+L1698</f>
        <v>244.06200000000001</v>
      </c>
      <c r="F1712" s="2026">
        <v>7</v>
      </c>
      <c r="G1712" s="2026"/>
      <c r="H1712" s="2054" t="s">
        <v>269</v>
      </c>
      <c r="I1712" s="2054"/>
      <c r="J1712" s="2054"/>
      <c r="K1712" s="2054"/>
      <c r="L1712" s="2026" t="s">
        <v>253</v>
      </c>
      <c r="M1712" s="2026"/>
      <c r="N1712" s="2026"/>
      <c r="O1712" s="2026"/>
      <c r="P1712" s="2053"/>
      <c r="Q1712" s="142"/>
      <c r="R1712" s="142"/>
    </row>
    <row r="1713" spans="1:18" s="251" customFormat="1" ht="15.6">
      <c r="A1713" s="398" t="s">
        <v>46</v>
      </c>
      <c r="B1713" s="2026" t="s">
        <v>72</v>
      </c>
      <c r="C1713" s="2026"/>
      <c r="D1713" s="2026"/>
      <c r="E1713" s="369">
        <f>+L1686</f>
        <v>10.290000000000003</v>
      </c>
      <c r="F1713" s="2026">
        <v>7</v>
      </c>
      <c r="G1713" s="2026"/>
      <c r="H1713" s="2054" t="s">
        <v>269</v>
      </c>
      <c r="I1713" s="2054"/>
      <c r="J1713" s="2054"/>
      <c r="K1713" s="2054"/>
      <c r="L1713" s="2026" t="s">
        <v>253</v>
      </c>
      <c r="M1713" s="2026"/>
      <c r="N1713" s="2026"/>
      <c r="O1713" s="2026"/>
      <c r="P1713" s="2053"/>
      <c r="Q1713" s="142"/>
      <c r="R1713" s="142"/>
    </row>
    <row r="1714" spans="1:18" s="251" customFormat="1" ht="15.6">
      <c r="A1714" s="368"/>
      <c r="B1714" s="357"/>
      <c r="C1714" s="357"/>
      <c r="D1714" s="357"/>
      <c r="E1714" s="369"/>
      <c r="F1714" s="357"/>
      <c r="G1714" s="357"/>
      <c r="H1714" s="357"/>
      <c r="I1714" s="1856"/>
      <c r="J1714" s="357"/>
      <c r="K1714" s="357"/>
      <c r="L1714" s="357"/>
      <c r="M1714" s="357"/>
      <c r="N1714" s="357"/>
      <c r="O1714" s="357"/>
      <c r="P1714" s="2053"/>
      <c r="Q1714" s="142"/>
      <c r="R1714" s="142"/>
    </row>
    <row r="1715" spans="1:18" s="251" customFormat="1" ht="16.2" thickBot="1">
      <c r="A1715" s="38"/>
      <c r="B1715" s="279"/>
      <c r="C1715" s="280"/>
      <c r="D1715" s="280"/>
      <c r="E1715" s="26"/>
      <c r="F1715" s="280"/>
      <c r="G1715" s="281"/>
      <c r="H1715" s="279"/>
      <c r="I1715" s="1856"/>
      <c r="J1715" s="280"/>
      <c r="K1715" s="204"/>
      <c r="L1715" s="39"/>
      <c r="M1715" s="40"/>
      <c r="N1715" s="40"/>
      <c r="O1715" s="40"/>
      <c r="P1715" s="2020"/>
      <c r="Q1715" s="142"/>
      <c r="R1715" s="142"/>
    </row>
    <row r="1716" spans="1:18" s="251" customFormat="1" ht="15.6">
      <c r="A1716" s="41"/>
      <c r="B1716" s="42"/>
      <c r="C1716" s="43"/>
      <c r="D1716" s="43"/>
      <c r="E1716" s="2028">
        <f>SUM(E1707:E1715)</f>
        <v>320.68063100000001</v>
      </c>
      <c r="F1716" s="44"/>
      <c r="G1716" s="45"/>
      <c r="H1716" s="46"/>
      <c r="I1716" s="1858"/>
      <c r="J1716" s="43"/>
      <c r="K1716" s="205"/>
      <c r="L1716" s="46"/>
      <c r="M1716" s="43"/>
      <c r="N1716" s="44"/>
      <c r="O1716" s="43"/>
      <c r="P1716" s="2020"/>
      <c r="Q1716" s="142"/>
      <c r="R1716" s="142"/>
    </row>
    <row r="1717" spans="1:18" s="251" customFormat="1" ht="16.2" thickBot="1">
      <c r="A1717" s="47"/>
      <c r="B1717" s="48"/>
      <c r="C1717" s="49"/>
      <c r="D1717" s="49"/>
      <c r="E1717" s="2029"/>
      <c r="F1717" s="50"/>
      <c r="G1717" s="51"/>
      <c r="H1717" s="52"/>
      <c r="I1717" s="1860"/>
      <c r="J1717" s="49"/>
      <c r="K1717" s="206"/>
      <c r="L1717" s="52"/>
      <c r="M1717" s="49"/>
      <c r="N1717" s="50"/>
      <c r="O1717" s="49"/>
      <c r="P1717" s="2020"/>
      <c r="Q1717" s="142"/>
      <c r="R1717" s="142"/>
    </row>
    <row r="1718" spans="1:18" s="251" customFormat="1" ht="15.6">
      <c r="A1718" s="53" t="s">
        <v>31</v>
      </c>
      <c r="B1718" s="43"/>
      <c r="C1718" s="43"/>
      <c r="D1718" s="43"/>
      <c r="E1718" s="43"/>
      <c r="F1718" s="44"/>
      <c r="G1718" s="43"/>
      <c r="H1718" s="44"/>
      <c r="I1718" s="1858"/>
      <c r="J1718" s="43"/>
      <c r="K1718" s="207"/>
      <c r="L1718" s="44"/>
      <c r="M1718" s="43"/>
      <c r="N1718" s="44"/>
      <c r="O1718" s="43"/>
      <c r="P1718" s="2020"/>
      <c r="Q1718" s="142"/>
      <c r="R1718" s="142"/>
    </row>
    <row r="1719" spans="1:18" s="251" customFormat="1" ht="15.6">
      <c r="A1719" s="54"/>
      <c r="B1719" s="55"/>
      <c r="C1719" s="55"/>
      <c r="D1719" s="55"/>
      <c r="E1719" s="55"/>
      <c r="F1719" s="283"/>
      <c r="G1719" s="55"/>
      <c r="H1719" s="283"/>
      <c r="I1719" s="1859"/>
      <c r="J1719" s="55"/>
      <c r="K1719" s="208"/>
      <c r="L1719" s="283"/>
      <c r="M1719" s="55"/>
      <c r="N1719" s="283"/>
      <c r="O1719" s="55"/>
      <c r="P1719" s="2020"/>
      <c r="Q1719" s="142"/>
      <c r="R1719" s="142"/>
    </row>
    <row r="1720" spans="1:18" s="251" customFormat="1" ht="16.2" thickBot="1">
      <c r="A1720" s="2030" t="s">
        <v>32</v>
      </c>
      <c r="B1720" s="2031"/>
      <c r="C1720" s="2032" t="s">
        <v>33</v>
      </c>
      <c r="D1720" s="2033"/>
      <c r="E1720" s="57" t="s">
        <v>34</v>
      </c>
      <c r="F1720" s="57" t="s">
        <v>35</v>
      </c>
      <c r="G1720" s="2034" t="s">
        <v>36</v>
      </c>
      <c r="H1720" s="2035"/>
      <c r="I1720" s="2035"/>
      <c r="J1720" s="2035"/>
      <c r="K1720" s="2035"/>
      <c r="L1720" s="2035"/>
      <c r="M1720" s="2035"/>
      <c r="N1720" s="2035"/>
      <c r="O1720" s="2035"/>
      <c r="P1720" s="2020"/>
      <c r="Q1720" s="142"/>
      <c r="R1720" s="142"/>
    </row>
    <row r="1721" spans="1:18" s="251" customFormat="1" ht="15.6">
      <c r="A1721" s="2036"/>
      <c r="B1721" s="2023"/>
      <c r="C1721" s="2021"/>
      <c r="D1721" s="2023"/>
      <c r="E1721" s="285"/>
      <c r="F1721" s="284"/>
      <c r="G1721" s="2037"/>
      <c r="H1721" s="2038"/>
      <c r="I1721" s="2038"/>
      <c r="J1721" s="2038"/>
      <c r="K1721" s="2038"/>
      <c r="L1721" s="2038"/>
      <c r="M1721" s="2038"/>
      <c r="N1721" s="2038"/>
      <c r="O1721" s="2038"/>
      <c r="P1721" s="2020"/>
      <c r="Q1721" s="142"/>
      <c r="R1721" s="142"/>
    </row>
    <row r="1722" spans="1:18" s="251" customFormat="1" ht="15.6">
      <c r="A1722" s="2043" t="s">
        <v>37</v>
      </c>
      <c r="B1722" s="2044"/>
      <c r="C1722" s="2021"/>
      <c r="D1722" s="2023"/>
      <c r="E1722" s="285"/>
      <c r="F1722" s="284"/>
      <c r="G1722" s="2039"/>
      <c r="H1722" s="2040"/>
      <c r="I1722" s="2040"/>
      <c r="J1722" s="2040"/>
      <c r="K1722" s="2040"/>
      <c r="L1722" s="2040"/>
      <c r="M1722" s="2040"/>
      <c r="N1722" s="2040"/>
      <c r="O1722" s="2040"/>
      <c r="P1722" s="2020"/>
      <c r="Q1722" s="142"/>
      <c r="R1722" s="142"/>
    </row>
    <row r="1723" spans="1:18" s="251" customFormat="1" ht="15.6">
      <c r="A1723" s="2043" t="s">
        <v>38</v>
      </c>
      <c r="B1723" s="2044"/>
      <c r="C1723" s="2021"/>
      <c r="D1723" s="2023"/>
      <c r="E1723" s="285"/>
      <c r="F1723" s="284"/>
      <c r="G1723" s="2039"/>
      <c r="H1723" s="2040"/>
      <c r="I1723" s="2040"/>
      <c r="J1723" s="2040"/>
      <c r="K1723" s="2040"/>
      <c r="L1723" s="2040"/>
      <c r="M1723" s="2040"/>
      <c r="N1723" s="2040"/>
      <c r="O1723" s="2040"/>
      <c r="P1723" s="2020"/>
      <c r="Q1723" s="142"/>
      <c r="R1723" s="142"/>
    </row>
    <row r="1724" spans="1:18" s="251" customFormat="1" ht="15.6">
      <c r="A1724" s="2043" t="s">
        <v>39</v>
      </c>
      <c r="B1724" s="2044"/>
      <c r="C1724" s="2021"/>
      <c r="D1724" s="2023"/>
      <c r="E1724" s="285"/>
      <c r="F1724" s="284"/>
      <c r="G1724" s="2039"/>
      <c r="H1724" s="2040"/>
      <c r="I1724" s="2040"/>
      <c r="J1724" s="2040"/>
      <c r="K1724" s="2040"/>
      <c r="L1724" s="2040"/>
      <c r="M1724" s="2040"/>
      <c r="N1724" s="2040"/>
      <c r="O1724" s="2040"/>
      <c r="P1724" s="2020"/>
      <c r="Q1724" s="142"/>
      <c r="R1724" s="142"/>
    </row>
    <row r="1725" spans="1:18" s="251" customFormat="1" ht="15.6">
      <c r="A1725" s="2043" t="s">
        <v>40</v>
      </c>
      <c r="B1725" s="2044"/>
      <c r="C1725" s="2021"/>
      <c r="D1725" s="2023"/>
      <c r="E1725" s="285"/>
      <c r="F1725" s="284"/>
      <c r="G1725" s="2039"/>
      <c r="H1725" s="2040"/>
      <c r="I1725" s="2040"/>
      <c r="J1725" s="2040"/>
      <c r="K1725" s="2040"/>
      <c r="L1725" s="2040"/>
      <c r="M1725" s="2040"/>
      <c r="N1725" s="2040"/>
      <c r="O1725" s="2040"/>
      <c r="P1725" s="2020"/>
      <c r="Q1725" s="142"/>
      <c r="R1725" s="142"/>
    </row>
    <row r="1726" spans="1:18" s="251" customFormat="1" ht="16.2" thickBot="1">
      <c r="A1726" s="2049" t="s">
        <v>41</v>
      </c>
      <c r="B1726" s="2050"/>
      <c r="C1726" s="2051"/>
      <c r="D1726" s="2052"/>
      <c r="E1726" s="58"/>
      <c r="F1726" s="286"/>
      <c r="G1726" s="2041"/>
      <c r="H1726" s="2042"/>
      <c r="I1726" s="2042"/>
      <c r="J1726" s="2042"/>
      <c r="K1726" s="2042"/>
      <c r="L1726" s="2042"/>
      <c r="M1726" s="2042"/>
      <c r="N1726" s="2042"/>
      <c r="O1726" s="2042"/>
      <c r="P1726" s="2020"/>
      <c r="Q1726" s="142"/>
      <c r="R1726" s="142"/>
    </row>
    <row r="1727" spans="1:18" s="251" customFormat="1" ht="15.6">
      <c r="A1727" s="54"/>
      <c r="B1727" s="55"/>
      <c r="C1727" s="55"/>
      <c r="D1727" s="55"/>
      <c r="E1727" s="55"/>
      <c r="F1727" s="283"/>
      <c r="G1727" s="55"/>
      <c r="H1727" s="59"/>
      <c r="I1727" s="60"/>
      <c r="J1727" s="61"/>
      <c r="K1727" s="209"/>
      <c r="L1727" s="301"/>
      <c r="M1727" s="55"/>
      <c r="N1727" s="283"/>
      <c r="O1727" s="55"/>
      <c r="P1727" s="2020"/>
      <c r="Q1727" s="142"/>
      <c r="R1727" s="142"/>
    </row>
    <row r="1728" spans="1:18" s="251" customFormat="1" ht="15.6">
      <c r="A1728" s="62" t="s">
        <v>42</v>
      </c>
      <c r="B1728" s="56"/>
      <c r="C1728" s="55"/>
      <c r="D1728" s="55"/>
      <c r="E1728" s="55"/>
      <c r="F1728" s="283"/>
      <c r="G1728" s="56"/>
      <c r="H1728" s="59"/>
      <c r="I1728" s="60"/>
      <c r="J1728" s="61"/>
      <c r="K1728" s="208"/>
      <c r="L1728" s="302"/>
      <c r="M1728" s="55"/>
      <c r="N1728" s="2045" t="s">
        <v>43</v>
      </c>
      <c r="O1728" s="2045"/>
      <c r="P1728" s="2020"/>
      <c r="Q1728" s="142"/>
      <c r="R1728" s="142"/>
    </row>
    <row r="1729" spans="1:19" s="251" customFormat="1" ht="15.6">
      <c r="A1729" s="62"/>
      <c r="B1729" s="56"/>
      <c r="C1729" s="55"/>
      <c r="D1729" s="55"/>
      <c r="E1729" s="55"/>
      <c r="F1729" s="283"/>
      <c r="G1729" s="55"/>
      <c r="H1729" s="283"/>
      <c r="I1729" s="1859"/>
      <c r="J1729" s="55"/>
      <c r="K1729" s="208"/>
      <c r="L1729" s="283"/>
      <c r="M1729" s="55"/>
      <c r="N1729" s="283"/>
      <c r="O1729" s="56"/>
      <c r="P1729" s="2020"/>
      <c r="Q1729" s="142"/>
      <c r="R1729" s="142"/>
    </row>
    <row r="1730" spans="1:19" s="251" customFormat="1" ht="15.6">
      <c r="A1730" s="62" t="s">
        <v>44</v>
      </c>
      <c r="B1730" s="56"/>
      <c r="C1730" s="55"/>
      <c r="D1730" s="55"/>
      <c r="E1730" s="55"/>
      <c r="F1730" s="283"/>
      <c r="G1730" s="55"/>
      <c r="H1730" s="283"/>
      <c r="I1730" s="1859"/>
      <c r="J1730" s="55"/>
      <c r="K1730" s="208"/>
      <c r="L1730" s="283"/>
      <c r="M1730" s="55"/>
      <c r="N1730" s="2045" t="s">
        <v>45</v>
      </c>
      <c r="O1730" s="2045"/>
      <c r="P1730" s="2020"/>
      <c r="Q1730" s="142"/>
      <c r="R1730" s="142"/>
    </row>
    <row r="1731" spans="1:19" s="251" customFormat="1" ht="16.2" thickBot="1">
      <c r="A1731" s="48"/>
      <c r="B1731" s="49"/>
      <c r="C1731" s="49"/>
      <c r="D1731" s="49"/>
      <c r="E1731" s="49"/>
      <c r="F1731" s="50"/>
      <c r="G1731" s="49"/>
      <c r="H1731" s="50"/>
      <c r="I1731" s="1860"/>
      <c r="J1731" s="49"/>
      <c r="K1731" s="210"/>
      <c r="L1731" s="50"/>
      <c r="M1731" s="49"/>
      <c r="N1731" s="50"/>
      <c r="O1731" s="49"/>
      <c r="P1731" s="2020"/>
      <c r="Q1731" s="142"/>
      <c r="R1731" s="142"/>
    </row>
    <row r="1735" spans="1:19">
      <c r="A1735" s="1" t="s">
        <v>48</v>
      </c>
      <c r="B1735" s="1"/>
      <c r="C1735" s="2"/>
      <c r="D1735" s="2"/>
      <c r="E1735" s="2"/>
      <c r="F1735" s="3"/>
      <c r="G1735" s="2"/>
      <c r="H1735" s="2"/>
      <c r="I1735" s="4"/>
      <c r="J1735" s="5"/>
      <c r="K1735" s="196"/>
      <c r="L1735" s="2056" t="s">
        <v>0</v>
      </c>
      <c r="M1735" s="2056"/>
      <c r="N1735" s="2056"/>
      <c r="O1735" s="2056"/>
      <c r="P1735" s="64"/>
      <c r="Q1735" s="64"/>
      <c r="R1735" s="64"/>
    </row>
    <row r="1736" spans="1:19" ht="15.6">
      <c r="A1736" s="27" t="s">
        <v>1</v>
      </c>
      <c r="B1736" s="27"/>
      <c r="C1736" s="27"/>
      <c r="D1736" s="28" t="s">
        <v>2</v>
      </c>
      <c r="E1736" s="28"/>
      <c r="F1736" s="29"/>
      <c r="G1736" s="29"/>
      <c r="H1736" s="29"/>
      <c r="I1736" s="30"/>
      <c r="J1736" s="31"/>
      <c r="K1736" s="197" t="s">
        <v>3</v>
      </c>
      <c r="L1736" s="31"/>
      <c r="M1736" s="27"/>
      <c r="N1736" s="29"/>
      <c r="O1736" s="27"/>
      <c r="P1736" s="67"/>
      <c r="Q1736" s="1039"/>
      <c r="R1736" s="1039"/>
    </row>
    <row r="1737" spans="1:19" ht="44.25" customHeight="1">
      <c r="A1737" s="32" t="s">
        <v>4</v>
      </c>
      <c r="B1737" s="32" t="s">
        <v>5</v>
      </c>
      <c r="C1737" s="32" t="s">
        <v>6</v>
      </c>
      <c r="D1737" s="32" t="s">
        <v>7</v>
      </c>
      <c r="E1737" s="32" t="s">
        <v>8</v>
      </c>
      <c r="F1737" s="33" t="s">
        <v>9</v>
      </c>
      <c r="G1737" s="34" t="s">
        <v>10</v>
      </c>
      <c r="H1737" s="34" t="s">
        <v>11</v>
      </c>
      <c r="I1737" s="35" t="s">
        <v>12</v>
      </c>
      <c r="J1737" s="36" t="s">
        <v>13</v>
      </c>
      <c r="K1737" s="198" t="s">
        <v>14</v>
      </c>
      <c r="L1737" s="297" t="s">
        <v>15</v>
      </c>
      <c r="M1737" s="33" t="s">
        <v>16</v>
      </c>
      <c r="N1737" s="33" t="s">
        <v>17</v>
      </c>
      <c r="O1737" s="34" t="s">
        <v>18</v>
      </c>
      <c r="P1737" s="8" t="s">
        <v>192</v>
      </c>
      <c r="Q1737" s="1040"/>
      <c r="R1737" s="1040"/>
    </row>
    <row r="1738" spans="1:19" ht="15.6">
      <c r="A1738" s="21" t="s">
        <v>83</v>
      </c>
      <c r="B1738" s="21" t="s">
        <v>239</v>
      </c>
      <c r="C1738" s="21" t="s">
        <v>19</v>
      </c>
      <c r="D1738" s="21" t="s">
        <v>20</v>
      </c>
      <c r="E1738" s="21" t="s">
        <v>47</v>
      </c>
      <c r="F1738" s="22">
        <v>10</v>
      </c>
      <c r="G1738" s="20" t="s">
        <v>21</v>
      </c>
      <c r="H1738" s="143" t="s">
        <v>131</v>
      </c>
      <c r="I1738" s="131">
        <v>7.34</v>
      </c>
      <c r="J1738" s="23">
        <v>10</v>
      </c>
      <c r="K1738" s="25">
        <v>23</v>
      </c>
      <c r="L1738" s="130">
        <f t="shared" ref="L1738:L1741" si="334">(I1738*J1738*K1738/1000)</f>
        <v>1.6882000000000001</v>
      </c>
      <c r="M1738" s="20"/>
      <c r="N1738" s="20"/>
      <c r="O1738" s="20"/>
      <c r="P1738" s="20" t="s">
        <v>344</v>
      </c>
      <c r="Q1738" s="155"/>
      <c r="R1738" s="155"/>
      <c r="S1738" s="251" t="s">
        <v>329</v>
      </c>
    </row>
    <row r="1739" spans="1:19" ht="15.6">
      <c r="A1739" s="20"/>
      <c r="B1739" s="21" t="s">
        <v>238</v>
      </c>
      <c r="C1739" s="20"/>
      <c r="D1739" s="20"/>
      <c r="E1739" s="20"/>
      <c r="F1739" s="20"/>
      <c r="G1739" s="20" t="s">
        <v>21</v>
      </c>
      <c r="H1739" s="20" t="s">
        <v>131</v>
      </c>
      <c r="I1739" s="131">
        <v>7.34</v>
      </c>
      <c r="J1739" s="23">
        <v>10.5</v>
      </c>
      <c r="K1739" s="25">
        <v>13</v>
      </c>
      <c r="L1739" s="130">
        <f t="shared" si="334"/>
        <v>1.0019099999999999</v>
      </c>
      <c r="M1739" s="20"/>
      <c r="N1739" s="20"/>
      <c r="O1739" s="20"/>
      <c r="P1739" s="20"/>
      <c r="Q1739" s="155"/>
      <c r="R1739" s="155"/>
    </row>
    <row r="1740" spans="1:19" ht="15.6">
      <c r="A1740" s="20"/>
      <c r="B1740" s="20"/>
      <c r="C1740" s="20"/>
      <c r="D1740" s="20"/>
      <c r="E1740" s="20"/>
      <c r="F1740" s="20"/>
      <c r="G1740" s="20" t="s">
        <v>21</v>
      </c>
      <c r="H1740" s="20" t="s">
        <v>131</v>
      </c>
      <c r="I1740" s="131">
        <v>7.34</v>
      </c>
      <c r="J1740" s="23">
        <v>11.5</v>
      </c>
      <c r="K1740" s="25">
        <v>49</v>
      </c>
      <c r="L1740" s="130">
        <f t="shared" si="334"/>
        <v>4.1360900000000003</v>
      </c>
      <c r="M1740" s="20"/>
      <c r="N1740" s="20"/>
      <c r="O1740" s="20"/>
      <c r="P1740" s="20"/>
      <c r="Q1740" s="155"/>
      <c r="R1740" s="155"/>
    </row>
    <row r="1741" spans="1:19" ht="15.6">
      <c r="A1741" s="20"/>
      <c r="B1741" s="20"/>
      <c r="C1741" s="20"/>
      <c r="D1741" s="20"/>
      <c r="E1741" s="20"/>
      <c r="F1741" s="20"/>
      <c r="G1741" s="20" t="s">
        <v>21</v>
      </c>
      <c r="H1741" s="20" t="s">
        <v>131</v>
      </c>
      <c r="I1741" s="131">
        <v>7.34</v>
      </c>
      <c r="J1741" s="23">
        <v>12</v>
      </c>
      <c r="K1741" s="25">
        <v>96</v>
      </c>
      <c r="L1741" s="130">
        <f t="shared" si="334"/>
        <v>8.455680000000001</v>
      </c>
      <c r="M1741" s="20"/>
      <c r="N1741" s="20"/>
      <c r="O1741" s="20"/>
      <c r="P1741" s="20"/>
      <c r="Q1741" s="155"/>
      <c r="R1741" s="155"/>
    </row>
    <row r="1742" spans="1:19" ht="15.6">
      <c r="A1742" s="20"/>
      <c r="B1742" s="20"/>
      <c r="C1742" s="20"/>
      <c r="D1742" s="20"/>
      <c r="E1742" s="20"/>
      <c r="F1742" s="20"/>
      <c r="G1742" s="20"/>
      <c r="H1742" s="20"/>
      <c r="I1742" s="131"/>
      <c r="J1742" s="23"/>
      <c r="K1742" s="25">
        <f t="shared" ref="K1742:L1742" si="335">SUM(K1738:K1741)</f>
        <v>181</v>
      </c>
      <c r="L1742" s="128">
        <f t="shared" si="335"/>
        <v>15.281880000000001</v>
      </c>
      <c r="M1742" s="20"/>
      <c r="N1742" s="20"/>
      <c r="O1742" s="20"/>
      <c r="P1742" s="20"/>
      <c r="Q1742" s="155"/>
      <c r="R1742" s="155"/>
    </row>
    <row r="1743" spans="1:19" ht="15.6">
      <c r="A1743" s="20"/>
      <c r="B1743" s="20"/>
      <c r="C1743" s="20"/>
      <c r="D1743" s="20"/>
      <c r="E1743" s="20"/>
      <c r="F1743" s="22"/>
      <c r="G1743" s="20"/>
      <c r="H1743" s="20"/>
      <c r="I1743" s="131"/>
      <c r="J1743" s="20"/>
      <c r="K1743" s="211"/>
      <c r="L1743" s="131"/>
      <c r="M1743" s="20"/>
      <c r="N1743" s="20"/>
      <c r="O1743" s="20"/>
      <c r="P1743" s="20"/>
      <c r="Q1743" s="155"/>
      <c r="R1743" s="155"/>
    </row>
    <row r="1744" spans="1:19" s="251" customFormat="1" ht="15.6">
      <c r="A1744" s="21" t="s">
        <v>83</v>
      </c>
      <c r="B1744" s="21" t="s">
        <v>315</v>
      </c>
      <c r="C1744" s="21" t="s">
        <v>19</v>
      </c>
      <c r="D1744" s="21" t="s">
        <v>20</v>
      </c>
      <c r="E1744" s="21" t="s">
        <v>47</v>
      </c>
      <c r="F1744" s="22">
        <v>10</v>
      </c>
      <c r="G1744" s="20" t="s">
        <v>21</v>
      </c>
      <c r="H1744" s="143" t="s">
        <v>131</v>
      </c>
      <c r="I1744" s="115">
        <v>7.34</v>
      </c>
      <c r="J1744" s="23">
        <v>9.3000000000000007</v>
      </c>
      <c r="K1744" s="25">
        <v>16</v>
      </c>
      <c r="L1744" s="100">
        <f>(I1744*J1744*K1744/1000)</f>
        <v>1.0921920000000001</v>
      </c>
      <c r="M1744" s="20"/>
      <c r="N1744" s="20"/>
      <c r="O1744" s="20"/>
      <c r="P1744" s="20" t="s">
        <v>344</v>
      </c>
      <c r="Q1744" s="155"/>
      <c r="R1744" s="155"/>
      <c r="S1744" s="251" t="s">
        <v>329</v>
      </c>
    </row>
    <row r="1745" spans="1:19" s="251" customFormat="1" ht="15.6">
      <c r="A1745" s="20"/>
      <c r="B1745" s="21" t="s">
        <v>238</v>
      </c>
      <c r="C1745" s="20"/>
      <c r="D1745" s="20"/>
      <c r="E1745" s="20"/>
      <c r="F1745" s="20"/>
      <c r="G1745" s="20"/>
      <c r="H1745" s="20"/>
      <c r="I1745" s="115"/>
      <c r="J1745" s="23"/>
      <c r="K1745" s="25">
        <f t="shared" ref="K1745:L1745" si="336">SUM(K1744)</f>
        <v>16</v>
      </c>
      <c r="L1745" s="23">
        <f t="shared" si="336"/>
        <v>1.0921920000000001</v>
      </c>
      <c r="M1745" s="20"/>
      <c r="N1745" s="20"/>
      <c r="O1745" s="20"/>
      <c r="P1745" s="20"/>
      <c r="Q1745" s="155"/>
      <c r="R1745" s="155"/>
    </row>
    <row r="1746" spans="1:19" s="251" customFormat="1" ht="15.6">
      <c r="A1746" s="20"/>
      <c r="B1746" s="20"/>
      <c r="C1746" s="20"/>
      <c r="D1746" s="20"/>
      <c r="E1746" s="20"/>
      <c r="F1746" s="20"/>
      <c r="G1746" s="20"/>
      <c r="H1746" s="20"/>
      <c r="I1746" s="115"/>
      <c r="J1746" s="23"/>
      <c r="K1746" s="25"/>
      <c r="L1746" s="23"/>
      <c r="M1746" s="20"/>
      <c r="N1746" s="20"/>
      <c r="O1746" s="20"/>
      <c r="P1746" s="20"/>
      <c r="Q1746" s="155"/>
      <c r="R1746" s="155"/>
    </row>
    <row r="1747" spans="1:19" ht="15.6">
      <c r="A1747" s="21" t="s">
        <v>83</v>
      </c>
      <c r="B1747" s="21" t="s">
        <v>222</v>
      </c>
      <c r="C1747" s="21" t="s">
        <v>19</v>
      </c>
      <c r="D1747" s="21" t="s">
        <v>20</v>
      </c>
      <c r="E1747" s="21" t="s">
        <v>57</v>
      </c>
      <c r="F1747" s="22">
        <v>10</v>
      </c>
      <c r="G1747" s="20" t="s">
        <v>21</v>
      </c>
      <c r="H1747" s="143" t="s">
        <v>131</v>
      </c>
      <c r="I1747" s="115">
        <v>7.34</v>
      </c>
      <c r="J1747" s="23">
        <v>10</v>
      </c>
      <c r="K1747" s="25">
        <v>44</v>
      </c>
      <c r="L1747" s="130">
        <f t="shared" ref="L1747:L1749" si="337">(I1747*J1747*K1747/1000)</f>
        <v>3.2296000000000005</v>
      </c>
      <c r="M1747" s="20"/>
      <c r="N1747" s="20"/>
      <c r="O1747" s="20"/>
      <c r="P1747" s="20" t="s">
        <v>344</v>
      </c>
      <c r="Q1747" s="155"/>
      <c r="R1747" s="155"/>
      <c r="S1747" s="251" t="s">
        <v>329</v>
      </c>
    </row>
    <row r="1748" spans="1:19" ht="15.6">
      <c r="A1748" s="20"/>
      <c r="B1748" s="21" t="s">
        <v>204</v>
      </c>
      <c r="C1748" s="20"/>
      <c r="D1748" s="20"/>
      <c r="E1748" s="20"/>
      <c r="F1748" s="20"/>
      <c r="G1748" s="20" t="s">
        <v>21</v>
      </c>
      <c r="H1748" s="20" t="s">
        <v>131</v>
      </c>
      <c r="I1748" s="115">
        <v>7.34</v>
      </c>
      <c r="J1748" s="23">
        <v>11.5</v>
      </c>
      <c r="K1748" s="25">
        <v>62</v>
      </c>
      <c r="L1748" s="130">
        <f t="shared" si="337"/>
        <v>5.2334199999999997</v>
      </c>
      <c r="M1748" s="20"/>
      <c r="N1748" s="20"/>
      <c r="O1748" s="20"/>
      <c r="P1748" s="20"/>
      <c r="Q1748" s="155"/>
      <c r="R1748" s="155"/>
    </row>
    <row r="1749" spans="1:19" ht="15.6">
      <c r="A1749" s="20"/>
      <c r="B1749" s="20"/>
      <c r="C1749" s="20"/>
      <c r="D1749" s="20"/>
      <c r="E1749" s="20"/>
      <c r="F1749" s="20"/>
      <c r="G1749" s="20" t="s">
        <v>21</v>
      </c>
      <c r="H1749" s="20" t="s">
        <v>131</v>
      </c>
      <c r="I1749" s="115">
        <v>7.34</v>
      </c>
      <c r="J1749" s="23">
        <v>12</v>
      </c>
      <c r="K1749" s="25">
        <v>75</v>
      </c>
      <c r="L1749" s="130">
        <f t="shared" si="337"/>
        <v>6.6059999999999999</v>
      </c>
      <c r="M1749" s="20"/>
      <c r="N1749" s="20"/>
      <c r="O1749" s="20"/>
      <c r="P1749" s="20"/>
      <c r="Q1749" s="155"/>
      <c r="R1749" s="155"/>
    </row>
    <row r="1750" spans="1:19" ht="15.6">
      <c r="A1750" s="20"/>
      <c r="B1750" s="20"/>
      <c r="C1750" s="20"/>
      <c r="D1750" s="20"/>
      <c r="E1750" s="20"/>
      <c r="F1750" s="20"/>
      <c r="G1750" s="20"/>
      <c r="H1750" s="20"/>
      <c r="I1750" s="115"/>
      <c r="J1750" s="23"/>
      <c r="K1750" s="25">
        <f t="shared" ref="K1750:L1750" si="338">SUM(K1747:K1749)</f>
        <v>181</v>
      </c>
      <c r="L1750" s="128">
        <f t="shared" si="338"/>
        <v>15.06902</v>
      </c>
      <c r="M1750" s="20"/>
      <c r="N1750" s="20"/>
      <c r="O1750" s="20"/>
      <c r="P1750" s="20"/>
      <c r="Q1750" s="155"/>
      <c r="R1750" s="155"/>
    </row>
    <row r="1751" spans="1:19" ht="15.6">
      <c r="A1751" s="20"/>
      <c r="B1751" s="20"/>
      <c r="C1751" s="20"/>
      <c r="D1751" s="20"/>
      <c r="E1751" s="20"/>
      <c r="F1751" s="20"/>
      <c r="G1751" s="20"/>
      <c r="H1751" s="20"/>
      <c r="I1751" s="131"/>
      <c r="J1751" s="20"/>
      <c r="K1751" s="211"/>
      <c r="L1751" s="131"/>
      <c r="M1751" s="20"/>
      <c r="N1751" s="20"/>
      <c r="O1751" s="20"/>
      <c r="P1751" s="20"/>
      <c r="Q1751" s="155"/>
      <c r="R1751" s="155"/>
    </row>
    <row r="1752" spans="1:19" ht="15.6">
      <c r="A1752" s="21" t="s">
        <v>174</v>
      </c>
      <c r="B1752" s="21" t="s">
        <v>230</v>
      </c>
      <c r="C1752" s="21" t="s">
        <v>19</v>
      </c>
      <c r="D1752" s="21" t="s">
        <v>20</v>
      </c>
      <c r="E1752" s="21" t="s">
        <v>57</v>
      </c>
      <c r="F1752" s="22">
        <v>10</v>
      </c>
      <c r="G1752" s="20" t="s">
        <v>21</v>
      </c>
      <c r="H1752" s="143" t="s">
        <v>131</v>
      </c>
      <c r="I1752" s="131">
        <v>7.34</v>
      </c>
      <c r="J1752" s="23">
        <v>10</v>
      </c>
      <c r="K1752" s="25">
        <v>63</v>
      </c>
      <c r="L1752" s="130">
        <f>(I1752*J1752*K1752/1000)</f>
        <v>4.624200000000001</v>
      </c>
      <c r="M1752" s="20"/>
      <c r="N1752" s="20"/>
      <c r="O1752" s="20"/>
      <c r="P1752" s="20" t="s">
        <v>344</v>
      </c>
      <c r="Q1752" s="155"/>
      <c r="R1752" s="155"/>
      <c r="S1752" s="251" t="s">
        <v>329</v>
      </c>
    </row>
    <row r="1753" spans="1:19" ht="15.6">
      <c r="A1753" s="20"/>
      <c r="B1753" s="229" t="s">
        <v>207</v>
      </c>
      <c r="C1753" s="20"/>
      <c r="D1753" s="20"/>
      <c r="E1753" s="20"/>
      <c r="F1753" s="20"/>
      <c r="G1753" s="20" t="s">
        <v>21</v>
      </c>
      <c r="H1753" s="20" t="s">
        <v>131</v>
      </c>
      <c r="I1753" s="131">
        <v>7.34</v>
      </c>
      <c r="J1753" s="144">
        <v>11.9</v>
      </c>
      <c r="K1753" s="25">
        <v>21</v>
      </c>
      <c r="L1753" s="130">
        <f>(I1753*J1753*K1753/1000)</f>
        <v>1.8342660000000002</v>
      </c>
      <c r="M1753" s="20"/>
      <c r="N1753" s="20"/>
      <c r="O1753" s="20"/>
      <c r="P1753" s="20"/>
      <c r="Q1753" s="155"/>
      <c r="R1753" s="155"/>
    </row>
    <row r="1754" spans="1:19" ht="15.6">
      <c r="A1754" s="20"/>
      <c r="B1754" s="20"/>
      <c r="C1754" s="20"/>
      <c r="D1754" s="20"/>
      <c r="E1754" s="20"/>
      <c r="F1754" s="20"/>
      <c r="G1754" s="20"/>
      <c r="H1754" s="20"/>
      <c r="I1754" s="131"/>
      <c r="J1754" s="23"/>
      <c r="K1754" s="25">
        <f t="shared" ref="K1754:L1754" si="339">SUM(K1752:K1753)</f>
        <v>84</v>
      </c>
      <c r="L1754" s="128">
        <f t="shared" si="339"/>
        <v>6.4584660000000014</v>
      </c>
      <c r="M1754" s="20"/>
      <c r="N1754" s="20"/>
      <c r="O1754" s="20"/>
      <c r="P1754" s="20"/>
      <c r="Q1754" s="155"/>
      <c r="R1754" s="155"/>
    </row>
    <row r="1755" spans="1:19" ht="15.6">
      <c r="A1755" s="20"/>
      <c r="B1755" s="20"/>
      <c r="C1755" s="20"/>
      <c r="D1755" s="20"/>
      <c r="E1755" s="20"/>
      <c r="F1755" s="20"/>
      <c r="G1755" s="20"/>
      <c r="H1755" s="20"/>
      <c r="I1755" s="131"/>
      <c r="J1755" s="20"/>
      <c r="K1755" s="211"/>
      <c r="L1755" s="131"/>
      <c r="M1755" s="20"/>
      <c r="N1755" s="20"/>
      <c r="O1755" s="20"/>
      <c r="P1755" s="20"/>
      <c r="Q1755" s="155"/>
      <c r="R1755" s="155"/>
    </row>
    <row r="1756" spans="1:19" ht="15.6">
      <c r="A1756" s="21" t="s">
        <v>174</v>
      </c>
      <c r="B1756" s="21" t="s">
        <v>230</v>
      </c>
      <c r="C1756" s="21" t="s">
        <v>19</v>
      </c>
      <c r="D1756" s="21" t="s">
        <v>20</v>
      </c>
      <c r="E1756" s="21" t="s">
        <v>175</v>
      </c>
      <c r="F1756" s="22">
        <v>10</v>
      </c>
      <c r="G1756" s="20" t="s">
        <v>21</v>
      </c>
      <c r="H1756" s="143" t="s">
        <v>131</v>
      </c>
      <c r="I1756" s="131">
        <v>7.34</v>
      </c>
      <c r="J1756" s="23">
        <v>11.5</v>
      </c>
      <c r="K1756" s="25">
        <v>33</v>
      </c>
      <c r="L1756" s="130">
        <f>(I1756*J1756*K1756/1000)</f>
        <v>2.7855299999999996</v>
      </c>
      <c r="M1756" s="20"/>
      <c r="N1756" s="20"/>
      <c r="O1756" s="20"/>
      <c r="P1756" s="20" t="s">
        <v>344</v>
      </c>
      <c r="Q1756" s="155"/>
      <c r="R1756" s="155"/>
      <c r="S1756" s="251" t="s">
        <v>329</v>
      </c>
    </row>
    <row r="1757" spans="1:19" ht="15.6">
      <c r="A1757" s="20"/>
      <c r="B1757" s="229" t="s">
        <v>208</v>
      </c>
      <c r="C1757" s="20"/>
      <c r="D1757" s="20"/>
      <c r="E1757" s="20"/>
      <c r="F1757" s="20"/>
      <c r="G1757" s="20"/>
      <c r="H1757" s="20"/>
      <c r="I1757" s="131"/>
      <c r="J1757" s="23"/>
      <c r="K1757" s="25">
        <f>SUM(K1756)</f>
        <v>33</v>
      </c>
      <c r="L1757" s="128">
        <f>SUM(L1756)</f>
        <v>2.7855299999999996</v>
      </c>
      <c r="M1757" s="20"/>
      <c r="N1757" s="20"/>
      <c r="O1757" s="20"/>
      <c r="P1757" s="20"/>
      <c r="Q1757" s="155"/>
      <c r="R1757" s="155"/>
    </row>
    <row r="1758" spans="1:19" ht="15.6">
      <c r="A1758" s="20"/>
      <c r="B1758" s="20"/>
      <c r="C1758" s="20"/>
      <c r="D1758" s="20"/>
      <c r="E1758" s="20"/>
      <c r="F1758" s="20"/>
      <c r="G1758" s="20"/>
      <c r="H1758" s="20"/>
      <c r="I1758" s="131"/>
      <c r="J1758" s="20"/>
      <c r="K1758" s="211"/>
      <c r="L1758" s="131"/>
      <c r="M1758" s="20"/>
      <c r="N1758" s="20"/>
      <c r="O1758" s="20"/>
      <c r="P1758" s="20"/>
      <c r="Q1758" s="155"/>
      <c r="R1758" s="155"/>
    </row>
    <row r="1759" spans="1:19" ht="15.6">
      <c r="A1759" s="21" t="s">
        <v>174</v>
      </c>
      <c r="B1759" s="21" t="s">
        <v>224</v>
      </c>
      <c r="C1759" s="21" t="s">
        <v>19</v>
      </c>
      <c r="D1759" s="21" t="s">
        <v>20</v>
      </c>
      <c r="E1759" s="21" t="s">
        <v>175</v>
      </c>
      <c r="F1759" s="22">
        <v>10</v>
      </c>
      <c r="G1759" s="20" t="s">
        <v>21</v>
      </c>
      <c r="H1759" s="143" t="s">
        <v>131</v>
      </c>
      <c r="I1759" s="131">
        <v>7.34</v>
      </c>
      <c r="J1759" s="144">
        <v>11.9</v>
      </c>
      <c r="K1759" s="25">
        <v>8</v>
      </c>
      <c r="L1759" s="130">
        <f>(I1759*J1759*K1759/1000)</f>
        <v>0.69876800000000006</v>
      </c>
      <c r="M1759" s="20"/>
      <c r="N1759" s="20"/>
      <c r="O1759" s="20"/>
      <c r="P1759" s="20" t="s">
        <v>344</v>
      </c>
      <c r="Q1759" s="155"/>
      <c r="R1759" s="155"/>
      <c r="S1759" s="251" t="s">
        <v>329</v>
      </c>
    </row>
    <row r="1760" spans="1:19" ht="15.6">
      <c r="A1760" s="20"/>
      <c r="B1760" s="229" t="s">
        <v>67</v>
      </c>
      <c r="C1760" s="20"/>
      <c r="D1760" s="20"/>
      <c r="E1760" s="20"/>
      <c r="F1760" s="20"/>
      <c r="G1760" s="20"/>
      <c r="H1760" s="20"/>
      <c r="I1760" s="131"/>
      <c r="J1760" s="23"/>
      <c r="K1760" s="25">
        <f t="shared" ref="K1760:L1760" si="340">SUM(K1759)</f>
        <v>8</v>
      </c>
      <c r="L1760" s="128">
        <f t="shared" si="340"/>
        <v>0.69876800000000006</v>
      </c>
      <c r="M1760" s="20"/>
      <c r="N1760" s="20"/>
      <c r="O1760" s="20"/>
      <c r="P1760" s="20"/>
      <c r="Q1760" s="155"/>
      <c r="R1760" s="155"/>
    </row>
    <row r="1761" spans="1:19" s="251" customFormat="1" ht="15.6">
      <c r="A1761" s="20"/>
      <c r="B1761" s="229"/>
      <c r="C1761" s="20"/>
      <c r="D1761" s="20"/>
      <c r="E1761" s="20"/>
      <c r="F1761" s="20"/>
      <c r="G1761" s="20"/>
      <c r="H1761" s="20"/>
      <c r="I1761" s="131"/>
      <c r="J1761" s="23"/>
      <c r="K1761" s="25"/>
      <c r="L1761" s="128"/>
      <c r="M1761" s="20"/>
      <c r="N1761" s="20"/>
      <c r="O1761" s="20"/>
      <c r="P1761" s="20"/>
      <c r="Q1761" s="155"/>
      <c r="R1761" s="155"/>
    </row>
    <row r="1762" spans="1:19" s="251" customFormat="1" ht="15.6">
      <c r="A1762" s="21" t="s">
        <v>83</v>
      </c>
      <c r="B1762" s="21" t="s">
        <v>293</v>
      </c>
      <c r="C1762" s="21" t="s">
        <v>19</v>
      </c>
      <c r="D1762" s="21" t="s">
        <v>20</v>
      </c>
      <c r="E1762" s="401" t="s">
        <v>259</v>
      </c>
      <c r="F1762" s="22">
        <v>10</v>
      </c>
      <c r="G1762" s="20" t="s">
        <v>21</v>
      </c>
      <c r="H1762" s="143" t="s">
        <v>131</v>
      </c>
      <c r="I1762" s="115">
        <v>7.36</v>
      </c>
      <c r="J1762" s="23">
        <v>6.75</v>
      </c>
      <c r="K1762" s="25">
        <v>21</v>
      </c>
      <c r="L1762" s="100">
        <f t="shared" ref="L1762:L1763" si="341">(I1762*J1762*K1762/1000)</f>
        <v>1.04328</v>
      </c>
      <c r="M1762" s="20"/>
      <c r="N1762" s="20"/>
      <c r="O1762" s="20"/>
      <c r="P1762" s="20" t="s">
        <v>344</v>
      </c>
      <c r="Q1762" s="155"/>
      <c r="R1762" s="155"/>
      <c r="S1762" s="251" t="s">
        <v>329</v>
      </c>
    </row>
    <row r="1763" spans="1:19" s="251" customFormat="1" ht="15.6">
      <c r="A1763" s="21"/>
      <c r="B1763" s="21" t="s">
        <v>277</v>
      </c>
      <c r="C1763" s="21"/>
      <c r="D1763" s="21"/>
      <c r="E1763" s="401"/>
      <c r="F1763" s="22"/>
      <c r="G1763" s="20" t="s">
        <v>21</v>
      </c>
      <c r="H1763" s="20" t="s">
        <v>131</v>
      </c>
      <c r="I1763" s="115">
        <v>7.36</v>
      </c>
      <c r="J1763" s="23">
        <v>12</v>
      </c>
      <c r="K1763" s="25">
        <v>12</v>
      </c>
      <c r="L1763" s="100">
        <f t="shared" si="341"/>
        <v>1.0598400000000001</v>
      </c>
      <c r="M1763" s="20"/>
      <c r="N1763" s="20"/>
      <c r="O1763" s="20"/>
      <c r="P1763" s="20"/>
      <c r="Q1763" s="155"/>
      <c r="R1763" s="155"/>
    </row>
    <row r="1764" spans="1:19" s="251" customFormat="1" ht="15.6">
      <c r="A1764" s="20"/>
      <c r="B1764" s="20"/>
      <c r="C1764" s="20"/>
      <c r="D1764" s="20"/>
      <c r="E1764" s="20"/>
      <c r="F1764" s="20"/>
      <c r="G1764" s="20"/>
      <c r="H1764" s="20"/>
      <c r="I1764" s="115"/>
      <c r="J1764" s="23"/>
      <c r="K1764" s="25">
        <f t="shared" ref="K1764:L1764" si="342">SUM(K1762:K1763)</f>
        <v>33</v>
      </c>
      <c r="L1764" s="23">
        <f t="shared" si="342"/>
        <v>2.1031200000000001</v>
      </c>
      <c r="M1764" s="20"/>
      <c r="N1764" s="20"/>
      <c r="O1764" s="20"/>
      <c r="P1764" s="20"/>
      <c r="Q1764" s="155"/>
      <c r="R1764" s="155"/>
    </row>
    <row r="1765" spans="1:19" s="251" customFormat="1" ht="15.6">
      <c r="A1765" s="20"/>
      <c r="B1765" s="20"/>
      <c r="C1765" s="20"/>
      <c r="D1765" s="20"/>
      <c r="E1765" s="20"/>
      <c r="F1765" s="20"/>
      <c r="G1765" s="20"/>
      <c r="H1765" s="20"/>
      <c r="I1765" s="131"/>
      <c r="J1765" s="23"/>
      <c r="K1765" s="25"/>
      <c r="L1765" s="128"/>
      <c r="M1765" s="20"/>
      <c r="N1765" s="20"/>
      <c r="O1765" s="20"/>
      <c r="P1765" s="20"/>
      <c r="Q1765" s="155"/>
      <c r="R1765" s="155"/>
    </row>
    <row r="1766" spans="1:19" s="251" customFormat="1" ht="15.6">
      <c r="A1766" s="21" t="s">
        <v>83</v>
      </c>
      <c r="B1766" s="21" t="s">
        <v>303</v>
      </c>
      <c r="C1766" s="21" t="s">
        <v>19</v>
      </c>
      <c r="D1766" s="21" t="s">
        <v>20</v>
      </c>
      <c r="E1766" s="401" t="s">
        <v>259</v>
      </c>
      <c r="F1766" s="22">
        <v>10</v>
      </c>
      <c r="G1766" s="20" t="s">
        <v>21</v>
      </c>
      <c r="H1766" s="143" t="s">
        <v>131</v>
      </c>
      <c r="I1766" s="115">
        <v>7.36</v>
      </c>
      <c r="J1766" s="23">
        <v>12</v>
      </c>
      <c r="K1766" s="25">
        <v>23</v>
      </c>
      <c r="L1766" s="100">
        <f>(I1766*J1766*K1766/1000)</f>
        <v>2.0313600000000003</v>
      </c>
      <c r="M1766" s="20"/>
      <c r="N1766" s="20"/>
      <c r="O1766" s="20"/>
      <c r="P1766" s="20" t="s">
        <v>344</v>
      </c>
      <c r="Q1766" s="155"/>
      <c r="R1766" s="155"/>
      <c r="S1766" s="251" t="s">
        <v>329</v>
      </c>
    </row>
    <row r="1767" spans="1:19" s="251" customFormat="1" ht="15.6">
      <c r="A1767" s="20"/>
      <c r="B1767" s="21" t="s">
        <v>277</v>
      </c>
      <c r="C1767" s="20"/>
      <c r="D1767" s="20"/>
      <c r="E1767" s="20"/>
      <c r="F1767" s="20"/>
      <c r="G1767" s="20"/>
      <c r="H1767" s="20"/>
      <c r="I1767" s="115"/>
      <c r="J1767" s="23"/>
      <c r="K1767" s="25">
        <f>SUM(K1766:K1766)</f>
        <v>23</v>
      </c>
      <c r="L1767" s="23">
        <f>SUM(L1766:L1766)</f>
        <v>2.0313600000000003</v>
      </c>
      <c r="M1767" s="20"/>
      <c r="N1767" s="20"/>
      <c r="O1767" s="20"/>
      <c r="P1767" s="20"/>
      <c r="Q1767" s="155"/>
      <c r="R1767" s="155"/>
    </row>
    <row r="1768" spans="1:19" s="251" customFormat="1" ht="15.6">
      <c r="A1768" s="20"/>
      <c r="B1768" s="229"/>
      <c r="C1768" s="20"/>
      <c r="D1768" s="20"/>
      <c r="E1768" s="20"/>
      <c r="F1768" s="20"/>
      <c r="G1768" s="20"/>
      <c r="H1768" s="20"/>
      <c r="I1768" s="131"/>
      <c r="J1768" s="23"/>
      <c r="K1768" s="154">
        <f>SUM(K1738:K1767)/2</f>
        <v>559</v>
      </c>
      <c r="L1768" s="128">
        <f>SUM(L1738:L1767)/2</f>
        <v>45.520336</v>
      </c>
      <c r="M1768" s="20"/>
      <c r="N1768" s="20"/>
      <c r="O1768" s="20"/>
      <c r="P1768" s="20"/>
      <c r="Q1768" s="155"/>
      <c r="R1768" s="155"/>
    </row>
    <row r="1769" spans="1:19" s="251" customFormat="1" ht="15.6">
      <c r="A1769" s="20"/>
      <c r="B1769" s="229"/>
      <c r="C1769" s="20"/>
      <c r="D1769" s="20"/>
      <c r="E1769" s="20"/>
      <c r="F1769" s="20"/>
      <c r="G1769" s="20"/>
      <c r="H1769" s="20"/>
      <c r="I1769" s="131"/>
      <c r="J1769" s="23"/>
      <c r="K1769" s="25"/>
      <c r="L1769" s="128"/>
      <c r="M1769" s="20"/>
      <c r="N1769" s="20"/>
      <c r="O1769" s="20"/>
      <c r="P1769" s="20"/>
      <c r="Q1769" s="155"/>
      <c r="R1769" s="155"/>
    </row>
    <row r="1770" spans="1:19" ht="15.6">
      <c r="A1770" s="21" t="s">
        <v>83</v>
      </c>
      <c r="B1770" s="21" t="s">
        <v>239</v>
      </c>
      <c r="C1770" s="21" t="s">
        <v>19</v>
      </c>
      <c r="D1770" s="21" t="s">
        <v>20</v>
      </c>
      <c r="E1770" s="21" t="s">
        <v>47</v>
      </c>
      <c r="F1770" s="22">
        <v>10</v>
      </c>
      <c r="G1770" s="20" t="s">
        <v>21</v>
      </c>
      <c r="H1770" s="143" t="s">
        <v>130</v>
      </c>
      <c r="I1770" s="131">
        <v>6.17</v>
      </c>
      <c r="J1770" s="23">
        <v>10.85</v>
      </c>
      <c r="K1770" s="25">
        <v>33</v>
      </c>
      <c r="L1770" s="100">
        <f t="shared" ref="L1770:L1771" si="343">(I1770*J1770*K1770/1000)</f>
        <v>2.2091684999999996</v>
      </c>
      <c r="M1770" s="20"/>
      <c r="N1770" s="20"/>
      <c r="O1770" s="20"/>
      <c r="P1770" s="20" t="s">
        <v>344</v>
      </c>
      <c r="Q1770" s="155"/>
      <c r="R1770" s="155"/>
      <c r="S1770" s="251" t="s">
        <v>329</v>
      </c>
    </row>
    <row r="1771" spans="1:19" ht="15.6">
      <c r="A1771" s="20"/>
      <c r="B1771" s="21" t="s">
        <v>238</v>
      </c>
      <c r="C1771" s="20"/>
      <c r="D1771" s="20"/>
      <c r="E1771" s="20"/>
      <c r="F1771" s="20"/>
      <c r="G1771" s="20" t="s">
        <v>21</v>
      </c>
      <c r="H1771" s="20" t="s">
        <v>130</v>
      </c>
      <c r="I1771" s="131">
        <v>6.17</v>
      </c>
      <c r="J1771" s="23">
        <v>11.85</v>
      </c>
      <c r="K1771" s="25">
        <v>17</v>
      </c>
      <c r="L1771" s="100">
        <f t="shared" si="343"/>
        <v>1.2429464999999997</v>
      </c>
      <c r="M1771" s="20"/>
      <c r="N1771" s="20"/>
      <c r="O1771" s="20"/>
      <c r="P1771" s="20"/>
      <c r="Q1771" s="155"/>
      <c r="R1771" s="155"/>
    </row>
    <row r="1772" spans="1:19" ht="15.6">
      <c r="A1772" s="20"/>
      <c r="B1772" s="20"/>
      <c r="C1772" s="20"/>
      <c r="D1772" s="20"/>
      <c r="E1772" s="20"/>
      <c r="F1772" s="20"/>
      <c r="G1772" s="20"/>
      <c r="H1772" s="20"/>
      <c r="I1772" s="131"/>
      <c r="J1772" s="23"/>
      <c r="K1772" s="25">
        <f t="shared" ref="K1772:L1772" si="344">SUM(K1770:K1771)</f>
        <v>50</v>
      </c>
      <c r="L1772" s="124">
        <f t="shared" si="344"/>
        <v>3.4521149999999992</v>
      </c>
      <c r="M1772" s="20"/>
      <c r="N1772" s="20"/>
      <c r="O1772" s="20"/>
      <c r="P1772" s="20"/>
      <c r="Q1772" s="155"/>
      <c r="R1772" s="155"/>
    </row>
    <row r="1773" spans="1:19" s="251" customFormat="1" ht="15.6">
      <c r="A1773" s="20"/>
      <c r="B1773" s="20"/>
      <c r="C1773" s="20"/>
      <c r="D1773" s="20"/>
      <c r="E1773" s="20"/>
      <c r="F1773" s="20"/>
      <c r="G1773" s="20"/>
      <c r="H1773" s="20"/>
      <c r="I1773" s="131"/>
      <c r="J1773" s="23"/>
      <c r="K1773" s="25"/>
      <c r="L1773" s="124"/>
      <c r="M1773" s="20"/>
      <c r="N1773" s="20"/>
      <c r="O1773" s="20"/>
      <c r="P1773" s="20"/>
      <c r="Q1773" s="155"/>
      <c r="R1773" s="155"/>
    </row>
    <row r="1774" spans="1:19" s="251" customFormat="1" ht="15.6">
      <c r="A1774" s="21" t="s">
        <v>83</v>
      </c>
      <c r="B1774" s="21" t="s">
        <v>315</v>
      </c>
      <c r="C1774" s="21" t="s">
        <v>19</v>
      </c>
      <c r="D1774" s="21" t="s">
        <v>20</v>
      </c>
      <c r="E1774" s="21" t="s">
        <v>47</v>
      </c>
      <c r="F1774" s="22">
        <v>10</v>
      </c>
      <c r="G1774" s="20" t="s">
        <v>21</v>
      </c>
      <c r="H1774" s="143" t="s">
        <v>130</v>
      </c>
      <c r="I1774" s="115">
        <v>6.17</v>
      </c>
      <c r="J1774" s="23">
        <v>11.5</v>
      </c>
      <c r="K1774" s="25">
        <v>24</v>
      </c>
      <c r="L1774" s="100">
        <f>(I1774*J1774*K1774/1000)</f>
        <v>1.70292</v>
      </c>
      <c r="M1774" s="20"/>
      <c r="N1774" s="20"/>
      <c r="O1774" s="20"/>
      <c r="P1774" s="20" t="s">
        <v>344</v>
      </c>
      <c r="Q1774" s="155"/>
      <c r="R1774" s="155"/>
      <c r="S1774" s="251" t="s">
        <v>329</v>
      </c>
    </row>
    <row r="1775" spans="1:19" s="251" customFormat="1" ht="15.6">
      <c r="A1775" s="20"/>
      <c r="B1775" s="21" t="s">
        <v>238</v>
      </c>
      <c r="C1775" s="20"/>
      <c r="D1775" s="20"/>
      <c r="E1775" s="20"/>
      <c r="F1775" s="20"/>
      <c r="G1775" s="20"/>
      <c r="H1775" s="20"/>
      <c r="I1775" s="115"/>
      <c r="J1775" s="23"/>
      <c r="K1775" s="25">
        <f>SUM(K1774)</f>
        <v>24</v>
      </c>
      <c r="L1775" s="23">
        <f>SUM(L1774)</f>
        <v>1.70292</v>
      </c>
      <c r="M1775" s="20"/>
      <c r="N1775" s="20"/>
      <c r="O1775" s="20"/>
      <c r="P1775" s="20"/>
      <c r="Q1775" s="155"/>
      <c r="R1775" s="155"/>
    </row>
    <row r="1776" spans="1:19" s="251" customFormat="1" ht="15.6">
      <c r="A1776" s="20"/>
      <c r="B1776" s="21"/>
      <c r="C1776" s="20"/>
      <c r="D1776" s="20"/>
      <c r="E1776" s="20"/>
      <c r="F1776" s="20"/>
      <c r="G1776" s="149"/>
      <c r="H1776" s="149"/>
      <c r="I1776" s="450"/>
      <c r="J1776" s="133"/>
      <c r="K1776" s="140"/>
      <c r="L1776" s="133"/>
      <c r="M1776" s="20"/>
      <c r="N1776" s="20"/>
      <c r="O1776" s="20"/>
      <c r="P1776" s="20"/>
      <c r="Q1776" s="155"/>
      <c r="R1776" s="155"/>
    </row>
    <row r="1777" spans="1:19" s="251" customFormat="1" ht="15.6">
      <c r="A1777" s="21" t="s">
        <v>83</v>
      </c>
      <c r="B1777" s="21" t="s">
        <v>222</v>
      </c>
      <c r="C1777" s="21" t="s">
        <v>19</v>
      </c>
      <c r="D1777" s="21" t="s">
        <v>20</v>
      </c>
      <c r="E1777" s="21" t="s">
        <v>57</v>
      </c>
      <c r="F1777" s="22">
        <v>10</v>
      </c>
      <c r="G1777" s="20" t="s">
        <v>21</v>
      </c>
      <c r="H1777" s="143" t="s">
        <v>130</v>
      </c>
      <c r="I1777" s="115">
        <v>6.17</v>
      </c>
      <c r="J1777" s="23">
        <v>11.5</v>
      </c>
      <c r="K1777" s="25">
        <v>12</v>
      </c>
      <c r="L1777" s="100">
        <f>(I1777*J1777*K1777/1000)</f>
        <v>0.85145999999999999</v>
      </c>
      <c r="M1777" s="20"/>
      <c r="N1777" s="20"/>
      <c r="O1777" s="20"/>
      <c r="P1777" s="20" t="s">
        <v>344</v>
      </c>
      <c r="Q1777" s="155"/>
      <c r="R1777" s="155"/>
      <c r="S1777" s="251" t="s">
        <v>329</v>
      </c>
    </row>
    <row r="1778" spans="1:19" s="251" customFormat="1" ht="15.6">
      <c r="A1778" s="20"/>
      <c r="B1778" s="21" t="s">
        <v>204</v>
      </c>
      <c r="C1778" s="20"/>
      <c r="D1778" s="20"/>
      <c r="E1778" s="20"/>
      <c r="F1778" s="20"/>
      <c r="G1778" s="20"/>
      <c r="H1778" s="20"/>
      <c r="I1778" s="115"/>
      <c r="J1778" s="23"/>
      <c r="K1778" s="25">
        <f t="shared" ref="K1778:L1778" si="345">SUM(K1777)</f>
        <v>12</v>
      </c>
      <c r="L1778" s="23">
        <f t="shared" si="345"/>
        <v>0.85145999999999999</v>
      </c>
      <c r="M1778" s="20"/>
      <c r="N1778" s="20"/>
      <c r="O1778" s="20"/>
      <c r="P1778" s="20"/>
      <c r="Q1778" s="155"/>
      <c r="R1778" s="155"/>
    </row>
    <row r="1779" spans="1:19" s="251" customFormat="1" ht="15.6">
      <c r="A1779" s="20"/>
      <c r="B1779" s="20"/>
      <c r="C1779" s="20"/>
      <c r="D1779" s="20"/>
      <c r="E1779" s="20"/>
      <c r="F1779" s="20"/>
      <c r="G1779" s="20"/>
      <c r="H1779" s="20"/>
      <c r="I1779" s="131"/>
      <c r="J1779" s="23"/>
      <c r="K1779" s="25"/>
      <c r="L1779" s="128"/>
      <c r="M1779" s="20"/>
      <c r="N1779" s="20"/>
      <c r="O1779" s="20"/>
      <c r="P1779" s="20"/>
      <c r="Q1779" s="155"/>
      <c r="R1779" s="155"/>
    </row>
    <row r="1780" spans="1:19" s="251" customFormat="1" ht="15.6">
      <c r="A1780" s="21" t="s">
        <v>83</v>
      </c>
      <c r="B1780" s="21" t="s">
        <v>293</v>
      </c>
      <c r="C1780" s="21" t="s">
        <v>19</v>
      </c>
      <c r="D1780" s="21" t="s">
        <v>20</v>
      </c>
      <c r="E1780" s="401" t="s">
        <v>259</v>
      </c>
      <c r="F1780" s="22">
        <v>10</v>
      </c>
      <c r="G1780" s="20" t="s">
        <v>21</v>
      </c>
      <c r="H1780" s="143" t="s">
        <v>130</v>
      </c>
      <c r="I1780" s="115">
        <v>6.17</v>
      </c>
      <c r="J1780" s="23">
        <v>10.199999999999999</v>
      </c>
      <c r="K1780" s="25">
        <v>16</v>
      </c>
      <c r="L1780" s="100">
        <f t="shared" ref="L1780:L1781" si="346">(I1780*J1780*K1780/1000)</f>
        <v>1.0069440000000001</v>
      </c>
      <c r="M1780" s="20"/>
      <c r="N1780" s="20"/>
      <c r="O1780" s="20"/>
      <c r="P1780" s="20" t="s">
        <v>344</v>
      </c>
      <c r="Q1780" s="155"/>
      <c r="R1780" s="155"/>
      <c r="S1780" s="251" t="s">
        <v>329</v>
      </c>
    </row>
    <row r="1781" spans="1:19" s="251" customFormat="1" ht="15.6">
      <c r="A1781" s="21"/>
      <c r="B1781" s="21" t="s">
        <v>277</v>
      </c>
      <c r="C1781" s="21"/>
      <c r="D1781" s="21"/>
      <c r="E1781" s="401"/>
      <c r="F1781" s="22"/>
      <c r="G1781" s="20" t="s">
        <v>21</v>
      </c>
      <c r="H1781" s="20" t="s">
        <v>130</v>
      </c>
      <c r="I1781" s="115">
        <v>6.17</v>
      </c>
      <c r="J1781" s="23">
        <v>11.5</v>
      </c>
      <c r="K1781" s="25">
        <v>28</v>
      </c>
      <c r="L1781" s="100">
        <f t="shared" si="346"/>
        <v>1.98674</v>
      </c>
      <c r="M1781" s="20"/>
      <c r="N1781" s="20"/>
      <c r="O1781" s="20"/>
      <c r="P1781" s="20"/>
      <c r="Q1781" s="155"/>
      <c r="R1781" s="155"/>
    </row>
    <row r="1782" spans="1:19" s="251" customFormat="1" ht="15.6">
      <c r="A1782" s="20"/>
      <c r="B1782" s="20"/>
      <c r="C1782" s="20"/>
      <c r="D1782" s="20"/>
      <c r="E1782" s="20"/>
      <c r="F1782" s="20"/>
      <c r="G1782" s="20"/>
      <c r="H1782" s="20"/>
      <c r="I1782" s="115"/>
      <c r="J1782" s="23"/>
      <c r="K1782" s="25">
        <f t="shared" ref="K1782:L1782" si="347">SUM(K1780:K1781)</f>
        <v>44</v>
      </c>
      <c r="L1782" s="23">
        <f t="shared" si="347"/>
        <v>2.993684</v>
      </c>
      <c r="M1782" s="20"/>
      <c r="N1782" s="20"/>
      <c r="O1782" s="20"/>
      <c r="P1782" s="20"/>
      <c r="Q1782" s="155"/>
      <c r="R1782" s="155"/>
    </row>
    <row r="1783" spans="1:19" s="251" customFormat="1" ht="15.6">
      <c r="A1783" s="20"/>
      <c r="B1783" s="20"/>
      <c r="C1783" s="20"/>
      <c r="D1783" s="20"/>
      <c r="E1783" s="20"/>
      <c r="F1783" s="20"/>
      <c r="G1783" s="20"/>
      <c r="H1783" s="20"/>
      <c r="I1783" s="115"/>
      <c r="J1783" s="23"/>
      <c r="K1783" s="25"/>
      <c r="L1783" s="23"/>
      <c r="M1783" s="20"/>
      <c r="N1783" s="20"/>
      <c r="O1783" s="20"/>
      <c r="P1783" s="20"/>
      <c r="Q1783" s="155"/>
      <c r="R1783" s="155"/>
    </row>
    <row r="1784" spans="1:19" s="251" customFormat="1" ht="15.6">
      <c r="A1784" s="21" t="s">
        <v>83</v>
      </c>
      <c r="B1784" s="21" t="s">
        <v>303</v>
      </c>
      <c r="C1784" s="21" t="s">
        <v>19</v>
      </c>
      <c r="D1784" s="21" t="s">
        <v>20</v>
      </c>
      <c r="E1784" s="401" t="s">
        <v>259</v>
      </c>
      <c r="F1784" s="22">
        <v>10</v>
      </c>
      <c r="G1784" s="20" t="s">
        <v>21</v>
      </c>
      <c r="H1784" s="143" t="s">
        <v>130</v>
      </c>
      <c r="I1784" s="115">
        <v>6.17</v>
      </c>
      <c r="J1784" s="23">
        <v>12</v>
      </c>
      <c r="K1784" s="25">
        <v>18</v>
      </c>
      <c r="L1784" s="100">
        <f t="shared" ref="L1784" si="348">(I1784*J1784*K1784/1000)</f>
        <v>1.3327199999999999</v>
      </c>
      <c r="M1784" s="20"/>
      <c r="N1784" s="20"/>
      <c r="O1784" s="20"/>
      <c r="P1784" s="20" t="s">
        <v>344</v>
      </c>
      <c r="Q1784" s="155"/>
      <c r="R1784" s="155"/>
      <c r="S1784" s="251" t="s">
        <v>329</v>
      </c>
    </row>
    <row r="1785" spans="1:19" s="251" customFormat="1" ht="15.6">
      <c r="A1785" s="20"/>
      <c r="B1785" s="21" t="s">
        <v>277</v>
      </c>
      <c r="C1785" s="20"/>
      <c r="D1785" s="20"/>
      <c r="E1785" s="20"/>
      <c r="F1785" s="20"/>
      <c r="G1785" s="20"/>
      <c r="H1785" s="20"/>
      <c r="I1785" s="115"/>
      <c r="J1785" s="23"/>
      <c r="K1785" s="25">
        <f>SUM(K1784:K1784)</f>
        <v>18</v>
      </c>
      <c r="L1785" s="23">
        <f>SUM(L1784:L1784)</f>
        <v>1.3327199999999999</v>
      </c>
      <c r="M1785" s="20"/>
      <c r="N1785" s="20"/>
      <c r="O1785" s="20"/>
      <c r="P1785" s="20"/>
      <c r="Q1785" s="155"/>
      <c r="R1785" s="155"/>
    </row>
    <row r="1786" spans="1:19" s="251" customFormat="1" ht="15.6">
      <c r="A1786" s="20"/>
      <c r="B1786" s="21"/>
      <c r="C1786" s="20"/>
      <c r="D1786" s="20"/>
      <c r="E1786" s="20"/>
      <c r="F1786" s="20"/>
      <c r="G1786" s="20"/>
      <c r="H1786" s="20"/>
      <c r="I1786" s="115"/>
      <c r="J1786" s="23"/>
      <c r="K1786" s="25">
        <f>SUM(K1770:K1785)/2</f>
        <v>148</v>
      </c>
      <c r="L1786" s="23">
        <f>SUM(L1770:L1785)/2</f>
        <v>10.332898999999998</v>
      </c>
      <c r="M1786" s="20"/>
      <c r="N1786" s="20"/>
      <c r="O1786" s="20"/>
      <c r="P1786" s="20"/>
      <c r="Q1786" s="155"/>
      <c r="R1786" s="155"/>
    </row>
    <row r="1787" spans="1:19" s="251" customFormat="1" ht="15.6">
      <c r="A1787" s="20"/>
      <c r="B1787" s="20"/>
      <c r="C1787" s="20"/>
      <c r="D1787" s="20"/>
      <c r="E1787" s="20"/>
      <c r="F1787" s="20"/>
      <c r="G1787" s="20"/>
      <c r="H1787" s="20"/>
      <c r="I1787" s="115"/>
      <c r="J1787" s="23"/>
      <c r="K1787" s="25"/>
      <c r="L1787" s="23"/>
      <c r="M1787" s="20"/>
      <c r="N1787" s="20"/>
      <c r="O1787" s="20"/>
      <c r="P1787" s="20"/>
      <c r="Q1787" s="155"/>
      <c r="R1787" s="155"/>
    </row>
    <row r="1788" spans="1:19" s="251" customFormat="1" ht="15.6">
      <c r="A1788" s="20"/>
      <c r="B1788" s="20"/>
      <c r="C1788" s="20"/>
      <c r="D1788" s="20"/>
      <c r="E1788" s="20"/>
      <c r="F1788" s="20"/>
      <c r="G1788" s="34"/>
      <c r="H1788" s="34"/>
      <c r="I1788" s="35"/>
      <c r="J1788" s="36"/>
      <c r="K1788" s="198"/>
      <c r="L1788" s="297"/>
      <c r="M1788" s="20"/>
      <c r="N1788" s="20"/>
      <c r="O1788" s="20"/>
      <c r="P1788" s="20"/>
      <c r="Q1788" s="155"/>
      <c r="R1788" s="155"/>
    </row>
    <row r="1789" spans="1:19" s="251" customFormat="1" ht="15.6">
      <c r="A1789" s="21" t="s">
        <v>272</v>
      </c>
      <c r="B1789" s="21" t="s">
        <v>292</v>
      </c>
      <c r="C1789" s="21" t="s">
        <v>19</v>
      </c>
      <c r="D1789" s="21" t="s">
        <v>155</v>
      </c>
      <c r="E1789" s="21" t="s">
        <v>270</v>
      </c>
      <c r="F1789" s="22">
        <v>8</v>
      </c>
      <c r="G1789" s="20" t="s">
        <v>61</v>
      </c>
      <c r="H1789" s="143" t="s">
        <v>322</v>
      </c>
      <c r="I1789" s="382">
        <v>9.65</v>
      </c>
      <c r="J1789" s="420">
        <v>12</v>
      </c>
      <c r="K1789" s="421">
        <v>132</v>
      </c>
      <c r="L1789" s="100">
        <f>(I1789*J1789*K1789/1000)</f>
        <v>15.285600000000002</v>
      </c>
      <c r="M1789" s="20"/>
      <c r="N1789" s="20"/>
      <c r="O1789" s="20"/>
      <c r="P1789" s="20" t="s">
        <v>345</v>
      </c>
      <c r="Q1789" s="155"/>
      <c r="R1789" s="155"/>
      <c r="S1789" s="497" t="s">
        <v>329</v>
      </c>
    </row>
    <row r="1790" spans="1:19" s="251" customFormat="1" ht="15.6">
      <c r="A1790" s="20"/>
      <c r="B1790" s="21" t="s">
        <v>271</v>
      </c>
      <c r="C1790" s="20"/>
      <c r="D1790" s="20"/>
      <c r="E1790" s="20"/>
      <c r="F1790" s="131"/>
      <c r="G1790" s="20" t="s">
        <v>61</v>
      </c>
      <c r="H1790" s="37" t="s">
        <v>322</v>
      </c>
      <c r="I1790" s="382">
        <v>9.65</v>
      </c>
      <c r="J1790" s="420">
        <v>12.25</v>
      </c>
      <c r="K1790" s="421">
        <v>125</v>
      </c>
      <c r="L1790" s="100">
        <f>(I1790*J1790*K1790/1000)</f>
        <v>14.776562500000001</v>
      </c>
      <c r="M1790" s="20"/>
      <c r="N1790" s="20"/>
      <c r="O1790" s="20"/>
      <c r="P1790" s="20"/>
      <c r="Q1790" s="155"/>
      <c r="R1790" s="155"/>
    </row>
    <row r="1791" spans="1:19" s="251" customFormat="1" ht="15.6">
      <c r="A1791" s="20"/>
      <c r="B1791" s="20"/>
      <c r="C1791" s="20"/>
      <c r="D1791" s="20"/>
      <c r="E1791" s="20"/>
      <c r="F1791" s="131"/>
      <c r="G1791" s="20" t="s">
        <v>61</v>
      </c>
      <c r="H1791" s="37" t="s">
        <v>322</v>
      </c>
      <c r="I1791" s="382">
        <v>9.65</v>
      </c>
      <c r="J1791" s="420">
        <v>13.1</v>
      </c>
      <c r="K1791" s="421">
        <v>160</v>
      </c>
      <c r="L1791" s="100">
        <f>(I1791*J1791*K1791/1000)</f>
        <v>20.226400000000002</v>
      </c>
      <c r="M1791" s="20"/>
      <c r="N1791" s="20"/>
      <c r="O1791" s="20"/>
      <c r="P1791" s="20"/>
      <c r="Q1791" s="155"/>
      <c r="R1791" s="155"/>
    </row>
    <row r="1792" spans="1:19" s="251" customFormat="1" ht="15.6">
      <c r="A1792" s="21"/>
      <c r="B1792" s="21"/>
      <c r="C1792" s="21"/>
      <c r="D1792" s="21"/>
      <c r="E1792" s="21"/>
      <c r="F1792" s="22"/>
      <c r="G1792" s="289"/>
      <c r="H1792" s="289"/>
      <c r="I1792" s="311"/>
      <c r="J1792" s="290"/>
      <c r="K1792" s="418">
        <f>SUM(K1789:K1791)</f>
        <v>417</v>
      </c>
      <c r="L1792" s="419">
        <f>SUM(L1789:L1791)</f>
        <v>50.288562500000005</v>
      </c>
      <c r="M1792" s="20"/>
      <c r="N1792" s="20"/>
      <c r="O1792" s="20"/>
      <c r="P1792" s="20"/>
      <c r="Q1792" s="155"/>
      <c r="R1792" s="155"/>
    </row>
    <row r="1793" spans="1:19" s="251" customFormat="1" ht="15.6">
      <c r="A1793" s="20"/>
      <c r="B1793" s="20"/>
      <c r="C1793" s="20"/>
      <c r="D1793" s="20"/>
      <c r="E1793" s="20"/>
      <c r="F1793" s="20"/>
      <c r="G1793" s="20"/>
      <c r="H1793" s="20"/>
      <c r="I1793" s="115"/>
      <c r="J1793" s="23"/>
      <c r="K1793" s="25"/>
      <c r="L1793" s="23"/>
      <c r="M1793" s="20"/>
      <c r="N1793" s="20"/>
      <c r="O1793" s="20"/>
      <c r="P1793" s="20"/>
      <c r="Q1793" s="155"/>
      <c r="R1793" s="155"/>
    </row>
    <row r="1794" spans="1:19" s="251" customFormat="1" ht="15.6">
      <c r="A1794" s="21" t="s">
        <v>272</v>
      </c>
      <c r="B1794" s="21" t="s">
        <v>292</v>
      </c>
      <c r="C1794" s="21" t="s">
        <v>19</v>
      </c>
      <c r="D1794" s="21" t="s">
        <v>155</v>
      </c>
      <c r="E1794" s="21" t="s">
        <v>270</v>
      </c>
      <c r="F1794" s="22">
        <v>8</v>
      </c>
      <c r="G1794" s="20" t="s">
        <v>61</v>
      </c>
      <c r="H1794" s="143" t="s">
        <v>131</v>
      </c>
      <c r="I1794" s="115">
        <v>7.36</v>
      </c>
      <c r="J1794" s="420">
        <v>12</v>
      </c>
      <c r="K1794" s="421">
        <v>20</v>
      </c>
      <c r="L1794" s="100">
        <f>(I1794*J1794*K1794/1000)</f>
        <v>1.7664000000000002</v>
      </c>
      <c r="M1794" s="20"/>
      <c r="N1794" s="20"/>
      <c r="O1794" s="20"/>
      <c r="P1794" s="20" t="s">
        <v>345</v>
      </c>
      <c r="Q1794" s="155"/>
      <c r="R1794" s="155"/>
      <c r="S1794" s="497" t="s">
        <v>329</v>
      </c>
    </row>
    <row r="1795" spans="1:19" s="251" customFormat="1" ht="15.6">
      <c r="A1795" s="21"/>
      <c r="B1795" s="21" t="s">
        <v>271</v>
      </c>
      <c r="C1795" s="21"/>
      <c r="D1795" s="21"/>
      <c r="E1795" s="21"/>
      <c r="F1795" s="22"/>
      <c r="G1795" s="20" t="s">
        <v>61</v>
      </c>
      <c r="H1795" s="20" t="s">
        <v>131</v>
      </c>
      <c r="I1795" s="115">
        <v>7.36</v>
      </c>
      <c r="J1795" s="420">
        <v>12.25</v>
      </c>
      <c r="K1795" s="421">
        <v>12</v>
      </c>
      <c r="L1795" s="100">
        <f>(I1795*J1795*K1795/1000)</f>
        <v>1.08192</v>
      </c>
      <c r="M1795" s="20"/>
      <c r="N1795" s="20"/>
      <c r="O1795" s="20"/>
      <c r="P1795" s="20"/>
      <c r="Q1795" s="155"/>
      <c r="R1795" s="155"/>
    </row>
    <row r="1796" spans="1:19" s="251" customFormat="1" ht="15.6">
      <c r="A1796" s="20"/>
      <c r="B1796" s="21"/>
      <c r="C1796" s="20"/>
      <c r="D1796" s="20"/>
      <c r="E1796" s="20"/>
      <c r="F1796" s="131"/>
      <c r="G1796" s="20" t="s">
        <v>61</v>
      </c>
      <c r="H1796" s="20" t="s">
        <v>131</v>
      </c>
      <c r="I1796" s="115">
        <v>7.36</v>
      </c>
      <c r="J1796" s="420">
        <v>11.5</v>
      </c>
      <c r="K1796" s="421">
        <v>5</v>
      </c>
      <c r="L1796" s="100">
        <f>(I1796*J1796*K1796/1000)</f>
        <v>0.42319999999999997</v>
      </c>
      <c r="M1796" s="20"/>
      <c r="N1796" s="20"/>
      <c r="O1796" s="20"/>
      <c r="P1796" s="20"/>
      <c r="Q1796" s="155"/>
      <c r="R1796" s="155"/>
    </row>
    <row r="1797" spans="1:19" s="251" customFormat="1" ht="15.6">
      <c r="A1797" s="21"/>
      <c r="B1797" s="21"/>
      <c r="C1797" s="21"/>
      <c r="D1797" s="21"/>
      <c r="E1797" s="21"/>
      <c r="F1797" s="22"/>
      <c r="G1797" s="289"/>
      <c r="H1797" s="289"/>
      <c r="I1797" s="311"/>
      <c r="J1797" s="290"/>
      <c r="K1797" s="418">
        <f>SUM(K1794:K1796)</f>
        <v>37</v>
      </c>
      <c r="L1797" s="419">
        <f>SUM(L1794:L1796)</f>
        <v>3.2715200000000002</v>
      </c>
      <c r="M1797" s="20"/>
      <c r="N1797" s="20"/>
      <c r="O1797" s="20"/>
      <c r="P1797" s="20"/>
      <c r="Q1797" s="155"/>
      <c r="R1797" s="155"/>
    </row>
    <row r="1798" spans="1:19" s="251" customFormat="1" ht="15.6">
      <c r="A1798" s="20"/>
      <c r="B1798" s="20"/>
      <c r="C1798" s="20"/>
      <c r="D1798" s="20"/>
      <c r="E1798" s="20"/>
      <c r="F1798" s="20"/>
      <c r="G1798" s="20"/>
      <c r="H1798" s="20"/>
      <c r="I1798" s="115"/>
      <c r="J1798" s="23"/>
      <c r="K1798" s="25"/>
      <c r="L1798" s="23"/>
      <c r="M1798" s="20"/>
      <c r="N1798" s="20"/>
      <c r="O1798" s="20"/>
      <c r="P1798" s="20"/>
      <c r="Q1798" s="155"/>
      <c r="R1798" s="155"/>
    </row>
    <row r="1799" spans="1:19" s="251" customFormat="1" ht="15.6">
      <c r="A1799" s="21" t="s">
        <v>83</v>
      </c>
      <c r="B1799" s="21" t="s">
        <v>315</v>
      </c>
      <c r="C1799" s="21" t="s">
        <v>19</v>
      </c>
      <c r="D1799" s="21" t="s">
        <v>155</v>
      </c>
      <c r="E1799" s="21" t="s">
        <v>323</v>
      </c>
      <c r="F1799" s="22">
        <v>10</v>
      </c>
      <c r="G1799" s="20" t="s">
        <v>61</v>
      </c>
      <c r="H1799" s="143" t="s">
        <v>131</v>
      </c>
      <c r="I1799" s="115">
        <v>7.34</v>
      </c>
      <c r="J1799" s="420">
        <v>11.5</v>
      </c>
      <c r="K1799" s="421">
        <v>4</v>
      </c>
      <c r="L1799" s="100">
        <f>(I1799*J1799*K1799/1000)</f>
        <v>0.33764</v>
      </c>
      <c r="M1799" s="20"/>
      <c r="N1799" s="20"/>
      <c r="O1799" s="20"/>
      <c r="P1799" s="20" t="s">
        <v>345</v>
      </c>
      <c r="Q1799" s="155"/>
      <c r="R1799" s="155"/>
      <c r="S1799" s="497" t="s">
        <v>329</v>
      </c>
    </row>
    <row r="1800" spans="1:19" s="251" customFormat="1" ht="15.6">
      <c r="A1800" s="21"/>
      <c r="B1800" s="491" t="s">
        <v>238</v>
      </c>
      <c r="C1800" s="21"/>
      <c r="D1800" s="21"/>
      <c r="E1800" s="21"/>
      <c r="F1800" s="22"/>
      <c r="G1800" s="289"/>
      <c r="H1800" s="289"/>
      <c r="I1800" s="311"/>
      <c r="J1800" s="290"/>
      <c r="K1800" s="418">
        <f>SUM(K1799:K1799)</f>
        <v>4</v>
      </c>
      <c r="L1800" s="419">
        <f>SUM(L1799:L1799)</f>
        <v>0.33764</v>
      </c>
      <c r="M1800" s="20"/>
      <c r="N1800" s="20"/>
      <c r="O1800" s="20"/>
      <c r="P1800" s="20"/>
      <c r="Q1800" s="155"/>
      <c r="R1800" s="155"/>
    </row>
    <row r="1801" spans="1:19" s="251" customFormat="1" ht="15.6">
      <c r="A1801" s="20"/>
      <c r="B1801" s="20"/>
      <c r="C1801" s="20"/>
      <c r="D1801" s="20"/>
      <c r="E1801" s="20"/>
      <c r="F1801" s="20"/>
      <c r="G1801" s="20"/>
      <c r="H1801" s="20"/>
      <c r="I1801" s="115"/>
      <c r="J1801" s="23"/>
      <c r="K1801" s="104">
        <f>+K1800+K1797</f>
        <v>41</v>
      </c>
      <c r="L1801" s="23">
        <f>+L1800+L1797</f>
        <v>3.6091600000000001</v>
      </c>
      <c r="M1801" s="20"/>
      <c r="N1801" s="20"/>
      <c r="O1801" s="20"/>
      <c r="P1801" s="20"/>
      <c r="Q1801" s="155"/>
      <c r="R1801" s="155"/>
    </row>
    <row r="1802" spans="1:19" s="251" customFormat="1" ht="15.6">
      <c r="A1802" s="20"/>
      <c r="B1802" s="20"/>
      <c r="C1802" s="20"/>
      <c r="D1802" s="20"/>
      <c r="E1802" s="20"/>
      <c r="F1802" s="20"/>
      <c r="G1802" s="20"/>
      <c r="H1802" s="20"/>
      <c r="I1802" s="115"/>
      <c r="J1802" s="23"/>
      <c r="K1802" s="25"/>
      <c r="L1802" s="23"/>
      <c r="M1802" s="20"/>
      <c r="N1802" s="20"/>
      <c r="O1802" s="20"/>
      <c r="P1802" s="20"/>
      <c r="Q1802" s="155"/>
      <c r="R1802" s="155"/>
    </row>
    <row r="1803" spans="1:19" s="251" customFormat="1" ht="15.6">
      <c r="A1803" s="20"/>
      <c r="B1803" s="20"/>
      <c r="C1803" s="20"/>
      <c r="D1803" s="20"/>
      <c r="E1803" s="20"/>
      <c r="F1803" s="20"/>
      <c r="G1803" s="20"/>
      <c r="H1803" s="20"/>
      <c r="I1803" s="131"/>
      <c r="J1803" s="23"/>
      <c r="K1803" s="25"/>
      <c r="L1803" s="128">
        <f>+L1786+L1768+L1797+L1792+L1800</f>
        <v>109.7509575</v>
      </c>
      <c r="M1803" s="20"/>
      <c r="N1803" s="20"/>
      <c r="O1803" s="20"/>
      <c r="P1803" s="20"/>
      <c r="Q1803" s="155"/>
      <c r="R1803" s="155"/>
    </row>
    <row r="1804" spans="1:19" s="251" customFormat="1">
      <c r="A1804" s="10" t="s">
        <v>48</v>
      </c>
      <c r="B1804" s="10"/>
      <c r="C1804" s="11"/>
      <c r="D1804" s="11"/>
      <c r="E1804" s="11"/>
      <c r="F1804" s="92"/>
      <c r="G1804" s="11"/>
      <c r="H1804" s="92"/>
      <c r="I1804" s="13"/>
      <c r="J1804" s="11"/>
      <c r="K1804" s="202"/>
      <c r="L1804" s="2047" t="s">
        <v>0</v>
      </c>
      <c r="M1804" s="2047"/>
      <c r="N1804" s="2047"/>
      <c r="O1804" s="2048"/>
      <c r="P1804" s="2020"/>
      <c r="Q1804" s="142"/>
      <c r="R1804" s="142"/>
    </row>
    <row r="1805" spans="1:19" s="251" customFormat="1">
      <c r="A1805" s="14" t="s">
        <v>1</v>
      </c>
      <c r="B1805" s="14"/>
      <c r="C1805" s="14"/>
      <c r="D1805" s="15" t="s">
        <v>2</v>
      </c>
      <c r="E1805" s="15"/>
      <c r="F1805" s="16"/>
      <c r="G1805" s="16"/>
      <c r="H1805" s="16"/>
      <c r="I1805" s="17"/>
      <c r="J1805" s="16"/>
      <c r="K1805" s="203" t="s">
        <v>3</v>
      </c>
      <c r="L1805" s="16"/>
      <c r="M1805" s="14"/>
      <c r="N1805" s="16"/>
      <c r="O1805" s="19"/>
      <c r="P1805" s="2020"/>
      <c r="Q1805" s="142"/>
      <c r="R1805" s="142"/>
    </row>
    <row r="1806" spans="1:19" s="251" customFormat="1" ht="15.6">
      <c r="A1806" s="285" t="s">
        <v>22</v>
      </c>
      <c r="B1806" s="2021" t="s">
        <v>23</v>
      </c>
      <c r="C1806" s="2022"/>
      <c r="D1806" s="2023"/>
      <c r="E1806" s="285" t="s">
        <v>24</v>
      </c>
      <c r="F1806" s="2021" t="s">
        <v>25</v>
      </c>
      <c r="G1806" s="2023"/>
      <c r="H1806" s="2021" t="s">
        <v>26</v>
      </c>
      <c r="I1806" s="2022"/>
      <c r="J1806" s="2022"/>
      <c r="K1806" s="2023"/>
      <c r="L1806" s="2024" t="s">
        <v>27</v>
      </c>
      <c r="M1806" s="2024"/>
      <c r="N1806" s="2024"/>
      <c r="O1806" s="2021"/>
      <c r="P1806" s="2020"/>
      <c r="Q1806" s="142"/>
      <c r="R1806" s="142"/>
    </row>
    <row r="1807" spans="1:19" s="251" customFormat="1" ht="15.6">
      <c r="A1807" s="38"/>
      <c r="B1807" s="2025"/>
      <c r="C1807" s="2026"/>
      <c r="D1807" s="2027"/>
      <c r="E1807" s="26"/>
      <c r="F1807" s="2025"/>
      <c r="G1807" s="2027"/>
      <c r="H1807" s="2025"/>
      <c r="I1807" s="2026"/>
      <c r="J1807" s="2026"/>
      <c r="K1807" s="2027"/>
      <c r="L1807" s="2025"/>
      <c r="M1807" s="2026"/>
      <c r="N1807" s="2026"/>
      <c r="O1807" s="2026"/>
      <c r="P1807" s="2020"/>
      <c r="Q1807" s="142"/>
      <c r="R1807" s="142"/>
    </row>
    <row r="1808" spans="1:19" s="251" customFormat="1" ht="15.6">
      <c r="A1808" s="38"/>
      <c r="B1808" s="279"/>
      <c r="C1808" s="280"/>
      <c r="D1808" s="281"/>
      <c r="E1808" s="26"/>
      <c r="F1808" s="279"/>
      <c r="G1808" s="281"/>
      <c r="H1808" s="279"/>
      <c r="I1808" s="1856"/>
      <c r="J1808" s="280"/>
      <c r="K1808" s="204"/>
      <c r="L1808" s="279"/>
      <c r="M1808" s="280"/>
      <c r="N1808" s="280"/>
      <c r="O1808" s="280"/>
      <c r="P1808" s="2020"/>
      <c r="Q1808" s="142"/>
      <c r="R1808" s="142"/>
    </row>
    <row r="1809" spans="1:18" s="251" customFormat="1" ht="15.6">
      <c r="A1809" s="488" t="s">
        <v>28</v>
      </c>
      <c r="B1809" s="2026" t="s">
        <v>317</v>
      </c>
      <c r="C1809" s="2026"/>
      <c r="D1809" s="2026"/>
      <c r="E1809" s="369">
        <f>+L1792</f>
        <v>50.288562500000005</v>
      </c>
      <c r="F1809" s="2026">
        <v>8</v>
      </c>
      <c r="G1809" s="2026"/>
      <c r="H1809" s="2054" t="s">
        <v>319</v>
      </c>
      <c r="I1809" s="2054"/>
      <c r="J1809" s="2054"/>
      <c r="K1809" s="2054"/>
      <c r="L1809" s="2026" t="s">
        <v>253</v>
      </c>
      <c r="M1809" s="2026"/>
      <c r="N1809" s="2026"/>
      <c r="O1809" s="2026"/>
      <c r="P1809" s="2020"/>
      <c r="Q1809" s="142"/>
      <c r="R1809" s="142"/>
    </row>
    <row r="1810" spans="1:18" s="251" customFormat="1" ht="15.6">
      <c r="A1810" s="488" t="s">
        <v>29</v>
      </c>
      <c r="B1810" s="2026" t="s">
        <v>318</v>
      </c>
      <c r="C1810" s="2026"/>
      <c r="D1810" s="2026"/>
      <c r="E1810" s="369">
        <f>+L1797+L1800</f>
        <v>3.6091600000000001</v>
      </c>
      <c r="F1810" s="2026">
        <v>8</v>
      </c>
      <c r="G1810" s="2026"/>
      <c r="H1810" s="2054" t="s">
        <v>319</v>
      </c>
      <c r="I1810" s="2054"/>
      <c r="J1810" s="2054"/>
      <c r="K1810" s="2054"/>
      <c r="L1810" s="2026" t="s">
        <v>253</v>
      </c>
      <c r="M1810" s="2026"/>
      <c r="N1810" s="2026"/>
      <c r="O1810" s="2026"/>
      <c r="P1810" s="2020"/>
      <c r="Q1810" s="142"/>
      <c r="R1810" s="142"/>
    </row>
    <row r="1811" spans="1:18" s="251" customFormat="1" ht="15.6">
      <c r="A1811" s="38"/>
      <c r="B1811" s="485"/>
      <c r="C1811" s="487"/>
      <c r="D1811" s="486"/>
      <c r="E1811" s="26"/>
      <c r="F1811" s="485"/>
      <c r="G1811" s="486"/>
      <c r="H1811" s="485"/>
      <c r="I1811" s="1856"/>
      <c r="J1811" s="487"/>
      <c r="K1811" s="204"/>
      <c r="L1811" s="485"/>
      <c r="M1811" s="487"/>
      <c r="N1811" s="487"/>
      <c r="O1811" s="487"/>
      <c r="P1811" s="2020"/>
      <c r="Q1811" s="142"/>
      <c r="R1811" s="142"/>
    </row>
    <row r="1812" spans="1:18" s="251" customFormat="1" ht="15.6">
      <c r="A1812" s="38" t="s">
        <v>30</v>
      </c>
      <c r="B1812" s="2025" t="s">
        <v>198</v>
      </c>
      <c r="C1812" s="2026"/>
      <c r="D1812" s="2027"/>
      <c r="E1812" s="26">
        <f>+L1768</f>
        <v>45.520336</v>
      </c>
      <c r="F1812" s="2025">
        <v>10</v>
      </c>
      <c r="G1812" s="2027"/>
      <c r="H1812" s="2025" t="s">
        <v>49</v>
      </c>
      <c r="I1812" s="2026"/>
      <c r="J1812" s="2026"/>
      <c r="K1812" s="2027"/>
      <c r="L1812" s="2025" t="s">
        <v>283</v>
      </c>
      <c r="M1812" s="2026"/>
      <c r="N1812" s="2026"/>
      <c r="O1812" s="2026"/>
      <c r="P1812" s="2020"/>
      <c r="Q1812" s="142"/>
      <c r="R1812" s="142"/>
    </row>
    <row r="1813" spans="1:18" s="251" customFormat="1" ht="15.6">
      <c r="A1813" s="38" t="s">
        <v>46</v>
      </c>
      <c r="B1813" s="2025" t="s">
        <v>199</v>
      </c>
      <c r="C1813" s="2026"/>
      <c r="D1813" s="2027"/>
      <c r="E1813" s="26">
        <f>+L1786</f>
        <v>10.332898999999998</v>
      </c>
      <c r="F1813" s="2025">
        <v>10</v>
      </c>
      <c r="G1813" s="2027"/>
      <c r="H1813" s="2025" t="s">
        <v>49</v>
      </c>
      <c r="I1813" s="2026"/>
      <c r="J1813" s="2026"/>
      <c r="K1813" s="2027"/>
      <c r="L1813" s="2025" t="s">
        <v>283</v>
      </c>
      <c r="M1813" s="2026"/>
      <c r="N1813" s="2026"/>
      <c r="O1813" s="2026"/>
      <c r="P1813" s="2020"/>
      <c r="Q1813" s="142"/>
      <c r="R1813" s="142"/>
    </row>
    <row r="1814" spans="1:18" s="251" customFormat="1" ht="15.6">
      <c r="A1814" s="38"/>
      <c r="B1814" s="458"/>
      <c r="C1814" s="459"/>
      <c r="D1814" s="460"/>
      <c r="E1814" s="26"/>
      <c r="F1814" s="458"/>
      <c r="G1814" s="460"/>
      <c r="H1814" s="458"/>
      <c r="I1814" s="1856"/>
      <c r="J1814" s="459"/>
      <c r="K1814" s="460"/>
      <c r="L1814" s="458"/>
      <c r="M1814" s="459"/>
      <c r="N1814" s="459"/>
      <c r="O1814" s="459"/>
      <c r="P1814" s="2020"/>
      <c r="Q1814" s="142"/>
      <c r="R1814" s="142"/>
    </row>
    <row r="1815" spans="1:18" s="251" customFormat="1" ht="16.2" thickBot="1">
      <c r="A1815" s="38"/>
      <c r="B1815" s="279"/>
      <c r="C1815" s="280"/>
      <c r="D1815" s="280"/>
      <c r="E1815" s="26"/>
      <c r="F1815" s="280"/>
      <c r="G1815" s="281"/>
      <c r="H1815" s="279"/>
      <c r="I1815" s="1856"/>
      <c r="J1815" s="280"/>
      <c r="K1815" s="204"/>
      <c r="L1815" s="39"/>
      <c r="M1815" s="40"/>
      <c r="N1815" s="40"/>
      <c r="O1815" s="40"/>
      <c r="P1815" s="2020"/>
      <c r="Q1815" s="142"/>
      <c r="R1815" s="142"/>
    </row>
    <row r="1816" spans="1:18" s="251" customFormat="1" ht="15.6">
      <c r="A1816" s="41"/>
      <c r="B1816" s="42"/>
      <c r="C1816" s="43"/>
      <c r="D1816" s="43"/>
      <c r="E1816" s="2028">
        <f>SUM(E1807:E1815)</f>
        <v>109.7509575</v>
      </c>
      <c r="F1816" s="44"/>
      <c r="G1816" s="45"/>
      <c r="H1816" s="46"/>
      <c r="I1816" s="1858"/>
      <c r="J1816" s="43"/>
      <c r="K1816" s="205"/>
      <c r="L1816" s="46"/>
      <c r="M1816" s="43"/>
      <c r="N1816" s="44"/>
      <c r="O1816" s="43"/>
      <c r="P1816" s="2020"/>
      <c r="Q1816" s="142"/>
      <c r="R1816" s="142"/>
    </row>
    <row r="1817" spans="1:18" s="251" customFormat="1" ht="16.2" thickBot="1">
      <c r="A1817" s="47"/>
      <c r="B1817" s="48"/>
      <c r="C1817" s="49"/>
      <c r="D1817" s="49"/>
      <c r="E1817" s="2029"/>
      <c r="F1817" s="50"/>
      <c r="G1817" s="51"/>
      <c r="H1817" s="52"/>
      <c r="I1817" s="1860"/>
      <c r="J1817" s="49"/>
      <c r="K1817" s="206"/>
      <c r="L1817" s="52"/>
      <c r="M1817" s="49"/>
      <c r="N1817" s="50"/>
      <c r="O1817" s="49"/>
      <c r="P1817" s="2020"/>
      <c r="Q1817" s="142"/>
      <c r="R1817" s="142"/>
    </row>
    <row r="1818" spans="1:18" s="251" customFormat="1" ht="15.6">
      <c r="A1818" s="53" t="s">
        <v>31</v>
      </c>
      <c r="B1818" s="43"/>
      <c r="C1818" s="43"/>
      <c r="D1818" s="43"/>
      <c r="E1818" s="43"/>
      <c r="F1818" s="44"/>
      <c r="G1818" s="43"/>
      <c r="H1818" s="44"/>
      <c r="I1818" s="1858"/>
      <c r="J1818" s="43"/>
      <c r="K1818" s="207"/>
      <c r="L1818" s="44"/>
      <c r="M1818" s="43"/>
      <c r="N1818" s="44"/>
      <c r="O1818" s="43"/>
      <c r="P1818" s="2020"/>
      <c r="Q1818" s="142"/>
      <c r="R1818" s="142"/>
    </row>
    <row r="1819" spans="1:18" s="251" customFormat="1" ht="15.6">
      <c r="A1819" s="54"/>
      <c r="B1819" s="55"/>
      <c r="C1819" s="55"/>
      <c r="D1819" s="55"/>
      <c r="E1819" s="55"/>
      <c r="F1819" s="283"/>
      <c r="G1819" s="55"/>
      <c r="H1819" s="283"/>
      <c r="I1819" s="1859"/>
      <c r="J1819" s="55"/>
      <c r="K1819" s="208"/>
      <c r="L1819" s="283"/>
      <c r="M1819" s="55"/>
      <c r="N1819" s="283"/>
      <c r="O1819" s="55"/>
      <c r="P1819" s="2020"/>
      <c r="Q1819" s="142"/>
      <c r="R1819" s="142"/>
    </row>
    <row r="1820" spans="1:18" s="251" customFormat="1" ht="16.2" thickBot="1">
      <c r="A1820" s="2030" t="s">
        <v>32</v>
      </c>
      <c r="B1820" s="2031"/>
      <c r="C1820" s="2032" t="s">
        <v>33</v>
      </c>
      <c r="D1820" s="2033"/>
      <c r="E1820" s="57" t="s">
        <v>34</v>
      </c>
      <c r="F1820" s="57" t="s">
        <v>35</v>
      </c>
      <c r="G1820" s="2034" t="s">
        <v>36</v>
      </c>
      <c r="H1820" s="2035"/>
      <c r="I1820" s="2035"/>
      <c r="J1820" s="2035"/>
      <c r="K1820" s="2035"/>
      <c r="L1820" s="2035"/>
      <c r="M1820" s="2035"/>
      <c r="N1820" s="2035"/>
      <c r="O1820" s="2035"/>
      <c r="P1820" s="2020"/>
      <c r="Q1820" s="142"/>
      <c r="R1820" s="142"/>
    </row>
    <row r="1821" spans="1:18" s="251" customFormat="1" ht="15.6">
      <c r="A1821" s="2036"/>
      <c r="B1821" s="2023"/>
      <c r="C1821" s="2021"/>
      <c r="D1821" s="2023"/>
      <c r="E1821" s="285"/>
      <c r="F1821" s="284"/>
      <c r="G1821" s="2037"/>
      <c r="H1821" s="2038"/>
      <c r="I1821" s="2038"/>
      <c r="J1821" s="2038"/>
      <c r="K1821" s="2038"/>
      <c r="L1821" s="2038"/>
      <c r="M1821" s="2038"/>
      <c r="N1821" s="2038"/>
      <c r="O1821" s="2038"/>
      <c r="P1821" s="2020"/>
      <c r="Q1821" s="142"/>
      <c r="R1821" s="142"/>
    </row>
    <row r="1822" spans="1:18" s="251" customFormat="1" ht="15.6">
      <c r="A1822" s="2043" t="s">
        <v>37</v>
      </c>
      <c r="B1822" s="2044"/>
      <c r="C1822" s="2021"/>
      <c r="D1822" s="2023"/>
      <c r="E1822" s="285"/>
      <c r="F1822" s="284"/>
      <c r="G1822" s="2039"/>
      <c r="H1822" s="2040"/>
      <c r="I1822" s="2040"/>
      <c r="J1822" s="2040"/>
      <c r="K1822" s="2040"/>
      <c r="L1822" s="2040"/>
      <c r="M1822" s="2040"/>
      <c r="N1822" s="2040"/>
      <c r="O1822" s="2040"/>
      <c r="P1822" s="2020"/>
      <c r="Q1822" s="142"/>
      <c r="R1822" s="142"/>
    </row>
    <row r="1823" spans="1:18" s="251" customFormat="1" ht="15.6">
      <c r="A1823" s="2043" t="s">
        <v>38</v>
      </c>
      <c r="B1823" s="2044"/>
      <c r="C1823" s="2021"/>
      <c r="D1823" s="2023"/>
      <c r="E1823" s="285"/>
      <c r="F1823" s="284"/>
      <c r="G1823" s="2039"/>
      <c r="H1823" s="2040"/>
      <c r="I1823" s="2040"/>
      <c r="J1823" s="2040"/>
      <c r="K1823" s="2040"/>
      <c r="L1823" s="2040"/>
      <c r="M1823" s="2040"/>
      <c r="N1823" s="2040"/>
      <c r="O1823" s="2040"/>
      <c r="P1823" s="2020"/>
      <c r="Q1823" s="142"/>
      <c r="R1823" s="142"/>
    </row>
    <row r="1824" spans="1:18" s="251" customFormat="1" ht="15.6">
      <c r="A1824" s="2043" t="s">
        <v>39</v>
      </c>
      <c r="B1824" s="2044"/>
      <c r="C1824" s="2021"/>
      <c r="D1824" s="2023"/>
      <c r="E1824" s="285"/>
      <c r="F1824" s="284"/>
      <c r="G1824" s="2039"/>
      <c r="H1824" s="2040"/>
      <c r="I1824" s="2040"/>
      <c r="J1824" s="2040"/>
      <c r="K1824" s="2040"/>
      <c r="L1824" s="2040"/>
      <c r="M1824" s="2040"/>
      <c r="N1824" s="2040"/>
      <c r="O1824" s="2040"/>
      <c r="P1824" s="2020"/>
      <c r="Q1824" s="142"/>
      <c r="R1824" s="142"/>
    </row>
    <row r="1825" spans="1:22" s="251" customFormat="1" ht="15.6">
      <c r="A1825" s="2043" t="s">
        <v>40</v>
      </c>
      <c r="B1825" s="2044"/>
      <c r="C1825" s="2021"/>
      <c r="D1825" s="2023"/>
      <c r="E1825" s="285"/>
      <c r="F1825" s="284"/>
      <c r="G1825" s="2039"/>
      <c r="H1825" s="2040"/>
      <c r="I1825" s="2040"/>
      <c r="J1825" s="2040"/>
      <c r="K1825" s="2040"/>
      <c r="L1825" s="2040"/>
      <c r="M1825" s="2040"/>
      <c r="N1825" s="2040"/>
      <c r="O1825" s="2040"/>
      <c r="P1825" s="2020"/>
      <c r="Q1825" s="142"/>
      <c r="R1825" s="142"/>
    </row>
    <row r="1826" spans="1:22" s="251" customFormat="1" ht="16.2" thickBot="1">
      <c r="A1826" s="2049" t="s">
        <v>41</v>
      </c>
      <c r="B1826" s="2050"/>
      <c r="C1826" s="2051"/>
      <c r="D1826" s="2052"/>
      <c r="E1826" s="58"/>
      <c r="F1826" s="286"/>
      <c r="G1826" s="2041"/>
      <c r="H1826" s="2042"/>
      <c r="I1826" s="2042"/>
      <c r="J1826" s="2042"/>
      <c r="K1826" s="2042"/>
      <c r="L1826" s="2042"/>
      <c r="M1826" s="2042"/>
      <c r="N1826" s="2042"/>
      <c r="O1826" s="2042"/>
      <c r="P1826" s="2020"/>
      <c r="Q1826" s="142"/>
      <c r="R1826" s="142"/>
    </row>
    <row r="1827" spans="1:22" s="251" customFormat="1" ht="15.6">
      <c r="A1827" s="54"/>
      <c r="B1827" s="55"/>
      <c r="C1827" s="55"/>
      <c r="D1827" s="55"/>
      <c r="E1827" s="55"/>
      <c r="F1827" s="283"/>
      <c r="G1827" s="55"/>
      <c r="H1827" s="59"/>
      <c r="I1827" s="60"/>
      <c r="J1827" s="61"/>
      <c r="K1827" s="209"/>
      <c r="L1827" s="301"/>
      <c r="M1827" s="55"/>
      <c r="N1827" s="283"/>
      <c r="O1827" s="55"/>
      <c r="P1827" s="2020"/>
      <c r="Q1827" s="142"/>
      <c r="R1827" s="142"/>
    </row>
    <row r="1828" spans="1:22" s="251" customFormat="1" ht="15.6">
      <c r="A1828" s="62" t="s">
        <v>42</v>
      </c>
      <c r="B1828" s="56"/>
      <c r="C1828" s="55"/>
      <c r="D1828" s="55"/>
      <c r="E1828" s="55"/>
      <c r="F1828" s="283"/>
      <c r="G1828" s="56"/>
      <c r="H1828" s="59"/>
      <c r="I1828" s="60"/>
      <c r="J1828" s="61"/>
      <c r="K1828" s="208"/>
      <c r="L1828" s="302"/>
      <c r="M1828" s="55"/>
      <c r="N1828" s="2045" t="s">
        <v>43</v>
      </c>
      <c r="O1828" s="2045"/>
      <c r="P1828" s="2020"/>
      <c r="Q1828" s="142"/>
      <c r="R1828" s="142"/>
    </row>
    <row r="1829" spans="1:22" s="251" customFormat="1" ht="15.6">
      <c r="A1829" s="62"/>
      <c r="B1829" s="56"/>
      <c r="C1829" s="55"/>
      <c r="D1829" s="55"/>
      <c r="E1829" s="55"/>
      <c r="F1829" s="283"/>
      <c r="G1829" s="55"/>
      <c r="H1829" s="283"/>
      <c r="I1829" s="1859"/>
      <c r="J1829" s="55"/>
      <c r="K1829" s="208"/>
      <c r="L1829" s="283"/>
      <c r="M1829" s="55"/>
      <c r="N1829" s="283"/>
      <c r="O1829" s="56"/>
      <c r="P1829" s="2020"/>
      <c r="Q1829" s="142"/>
      <c r="R1829" s="142"/>
    </row>
    <row r="1830" spans="1:22" s="251" customFormat="1" ht="15.6">
      <c r="A1830" s="62" t="s">
        <v>44</v>
      </c>
      <c r="B1830" s="56"/>
      <c r="C1830" s="55"/>
      <c r="D1830" s="55"/>
      <c r="E1830" s="55"/>
      <c r="F1830" s="283"/>
      <c r="G1830" s="55"/>
      <c r="H1830" s="283"/>
      <c r="I1830" s="1859"/>
      <c r="J1830" s="55"/>
      <c r="K1830" s="208"/>
      <c r="L1830" s="283"/>
      <c r="M1830" s="55"/>
      <c r="N1830" s="2045" t="s">
        <v>45</v>
      </c>
      <c r="O1830" s="2045"/>
      <c r="P1830" s="2020"/>
      <c r="Q1830" s="142"/>
      <c r="R1830" s="142"/>
    </row>
    <row r="1831" spans="1:22" s="251" customFormat="1" ht="16.2" thickBot="1">
      <c r="A1831" s="48"/>
      <c r="B1831" s="49"/>
      <c r="C1831" s="49"/>
      <c r="D1831" s="49"/>
      <c r="E1831" s="49"/>
      <c r="F1831" s="50"/>
      <c r="G1831" s="49"/>
      <c r="H1831" s="50"/>
      <c r="I1831" s="1860"/>
      <c r="J1831" s="49"/>
      <c r="K1831" s="210"/>
      <c r="L1831" s="50"/>
      <c r="M1831" s="49"/>
      <c r="N1831" s="50"/>
      <c r="O1831" s="49"/>
      <c r="P1831" s="2020"/>
      <c r="Q1831" s="142"/>
      <c r="R1831" s="142"/>
    </row>
    <row r="1834" spans="1:22">
      <c r="A1834" s="1" t="s">
        <v>48</v>
      </c>
      <c r="B1834" s="1"/>
      <c r="C1834" s="2"/>
      <c r="D1834" s="2"/>
      <c r="E1834" s="2"/>
      <c r="F1834" s="3"/>
      <c r="G1834" s="2"/>
      <c r="H1834" s="2"/>
      <c r="I1834" s="4"/>
      <c r="J1834" s="5"/>
      <c r="K1834" s="196"/>
      <c r="L1834" s="2056" t="s">
        <v>0</v>
      </c>
      <c r="M1834" s="2056"/>
      <c r="N1834" s="2056"/>
      <c r="O1834" s="2056"/>
      <c r="P1834" s="64"/>
      <c r="Q1834" s="64"/>
      <c r="R1834" s="64"/>
    </row>
    <row r="1835" spans="1:22" ht="15.6">
      <c r="A1835" s="27" t="s">
        <v>1</v>
      </c>
      <c r="B1835" s="27"/>
      <c r="C1835" s="27"/>
      <c r="D1835" s="28" t="s">
        <v>2</v>
      </c>
      <c r="E1835" s="28"/>
      <c r="F1835" s="29"/>
      <c r="G1835" s="29"/>
      <c r="H1835" s="29"/>
      <c r="I1835" s="30"/>
      <c r="J1835" s="31"/>
      <c r="K1835" s="197" t="s">
        <v>3</v>
      </c>
      <c r="L1835" s="31"/>
      <c r="M1835" s="27"/>
      <c r="N1835" s="29"/>
      <c r="O1835" s="27"/>
      <c r="P1835" s="67"/>
      <c r="Q1835" s="1039"/>
      <c r="R1835" s="1039"/>
    </row>
    <row r="1836" spans="1:22" ht="31.2">
      <c r="A1836" s="32" t="s">
        <v>4</v>
      </c>
      <c r="B1836" s="32" t="s">
        <v>5</v>
      </c>
      <c r="C1836" s="32" t="s">
        <v>6</v>
      </c>
      <c r="D1836" s="32" t="s">
        <v>7</v>
      </c>
      <c r="E1836" s="32" t="s">
        <v>8</v>
      </c>
      <c r="F1836" s="33" t="s">
        <v>9</v>
      </c>
      <c r="G1836" s="34" t="s">
        <v>10</v>
      </c>
      <c r="H1836" s="34" t="s">
        <v>11</v>
      </c>
      <c r="I1836" s="35" t="s">
        <v>12</v>
      </c>
      <c r="J1836" s="36" t="s">
        <v>13</v>
      </c>
      <c r="K1836" s="198" t="s">
        <v>14</v>
      </c>
      <c r="L1836" s="297" t="s">
        <v>15</v>
      </c>
      <c r="M1836" s="33" t="s">
        <v>16</v>
      </c>
      <c r="N1836" s="33" t="s">
        <v>17</v>
      </c>
      <c r="O1836" s="34" t="s">
        <v>18</v>
      </c>
      <c r="P1836" s="8" t="s">
        <v>192</v>
      </c>
      <c r="Q1836" s="1040"/>
      <c r="R1836" s="1040"/>
    </row>
    <row r="1837" spans="1:22" s="251" customFormat="1" ht="15.6">
      <c r="A1837" s="21" t="s">
        <v>83</v>
      </c>
      <c r="B1837" s="21" t="s">
        <v>295</v>
      </c>
      <c r="C1837" s="21" t="s">
        <v>19</v>
      </c>
      <c r="D1837" s="21" t="s">
        <v>20</v>
      </c>
      <c r="E1837" s="21" t="s">
        <v>57</v>
      </c>
      <c r="F1837" s="22">
        <v>16</v>
      </c>
      <c r="G1837" s="20" t="s">
        <v>21</v>
      </c>
      <c r="H1837" s="143" t="s">
        <v>182</v>
      </c>
      <c r="I1837" s="115">
        <v>44.2</v>
      </c>
      <c r="J1837" s="23">
        <v>9.6999999999999993</v>
      </c>
      <c r="K1837" s="25">
        <v>12</v>
      </c>
      <c r="L1837" s="100">
        <f>(I1837*J1837*K1837/1000)</f>
        <v>5.1448799999999997</v>
      </c>
      <c r="M1837" s="20"/>
      <c r="N1837" s="20"/>
      <c r="O1837" s="20"/>
      <c r="P1837" s="20"/>
      <c r="Q1837" s="155"/>
      <c r="R1837" s="155"/>
      <c r="S1837" s="497" t="s">
        <v>337</v>
      </c>
    </row>
    <row r="1838" spans="1:22" s="251" customFormat="1" ht="15.6">
      <c r="A1838" s="20"/>
      <c r="B1838" s="21" t="s">
        <v>204</v>
      </c>
      <c r="C1838" s="20"/>
      <c r="D1838" s="20"/>
      <c r="E1838" s="20"/>
      <c r="F1838" s="20"/>
      <c r="G1838" s="20"/>
      <c r="H1838" s="20"/>
      <c r="I1838" s="115"/>
      <c r="J1838" s="23"/>
      <c r="K1838" s="25">
        <f>SUM(K1837:K1837)</f>
        <v>12</v>
      </c>
      <c r="L1838" s="124">
        <f>SUM(L1837:L1837)</f>
        <v>5.1448799999999997</v>
      </c>
      <c r="M1838" s="20"/>
      <c r="N1838" s="20"/>
      <c r="O1838" s="20"/>
      <c r="P1838" s="20"/>
      <c r="Q1838" s="155"/>
      <c r="R1838" s="155"/>
    </row>
    <row r="1839" spans="1:22" s="251" customFormat="1" ht="15.6">
      <c r="A1839" s="20"/>
      <c r="B1839" s="21"/>
      <c r="C1839" s="20"/>
      <c r="D1839" s="20"/>
      <c r="E1839" s="20"/>
      <c r="F1839" s="20"/>
      <c r="G1839" s="20"/>
      <c r="H1839" s="20"/>
      <c r="I1839" s="115"/>
      <c r="J1839" s="23"/>
      <c r="K1839" s="25"/>
      <c r="L1839" s="124"/>
      <c r="M1839" s="20"/>
      <c r="N1839" s="20"/>
      <c r="O1839" s="20"/>
      <c r="P1839" s="20"/>
      <c r="Q1839" s="155"/>
      <c r="R1839" s="155"/>
    </row>
    <row r="1840" spans="1:22" ht="15.6">
      <c r="A1840" s="21" t="s">
        <v>83</v>
      </c>
      <c r="B1840" s="21" t="s">
        <v>222</v>
      </c>
      <c r="C1840" s="21" t="s">
        <v>19</v>
      </c>
      <c r="D1840" s="21" t="s">
        <v>20</v>
      </c>
      <c r="E1840" s="21" t="s">
        <v>57</v>
      </c>
      <c r="F1840" s="22">
        <v>16</v>
      </c>
      <c r="G1840" s="20" t="s">
        <v>21</v>
      </c>
      <c r="H1840" s="143" t="s">
        <v>181</v>
      </c>
      <c r="I1840" s="115">
        <v>40.1</v>
      </c>
      <c r="J1840" s="23">
        <v>6</v>
      </c>
      <c r="K1840" s="25">
        <v>16</v>
      </c>
      <c r="L1840" s="100">
        <f>(I1840*J1840*K1840/1000)</f>
        <v>3.8496000000000006</v>
      </c>
      <c r="M1840" s="20">
        <f>1+1</f>
        <v>2</v>
      </c>
      <c r="N1840" s="23">
        <f>J1840*M1840*I1840/1000</f>
        <v>0.48120000000000007</v>
      </c>
      <c r="O1840" s="20"/>
      <c r="P1840" s="20"/>
      <c r="Q1840" s="155"/>
      <c r="R1840" s="155"/>
      <c r="S1840" s="497">
        <v>8</v>
      </c>
      <c r="T1840" s="126">
        <f>J1840*S1840*I1840/1000</f>
        <v>1.9248000000000003</v>
      </c>
      <c r="U1840" s="168">
        <f>K1840-M1840-S1840</f>
        <v>6</v>
      </c>
      <c r="V1840" s="497" t="s">
        <v>337</v>
      </c>
    </row>
    <row r="1841" spans="1:22" ht="15.6">
      <c r="A1841" s="20"/>
      <c r="B1841" s="21" t="s">
        <v>204</v>
      </c>
      <c r="C1841" s="20"/>
      <c r="D1841" s="20"/>
      <c r="E1841" s="20"/>
      <c r="F1841" s="20"/>
      <c r="G1841" s="20" t="s">
        <v>21</v>
      </c>
      <c r="H1841" s="20" t="s">
        <v>181</v>
      </c>
      <c r="I1841" s="115">
        <v>40.1</v>
      </c>
      <c r="J1841" s="23">
        <v>6.3</v>
      </c>
      <c r="K1841" s="25">
        <v>8</v>
      </c>
      <c r="L1841" s="100">
        <f>(I1841*J1841*K1841/1000)</f>
        <v>2.0210400000000002</v>
      </c>
      <c r="M1841" s="20">
        <v>1</v>
      </c>
      <c r="N1841" s="23">
        <f>J1841*M1841*I1841/1000</f>
        <v>0.25263000000000002</v>
      </c>
      <c r="O1841" s="20"/>
      <c r="P1841" s="20"/>
      <c r="Q1841" s="155"/>
      <c r="R1841" s="155"/>
      <c r="S1841">
        <f>5+1</f>
        <v>6</v>
      </c>
      <c r="T1841" s="126">
        <f t="shared" ref="T1841:T1843" si="349">J1841*S1841*I1841/1000</f>
        <v>1.5157799999999999</v>
      </c>
      <c r="U1841" s="168">
        <f t="shared" ref="U1841:U1843" si="350">K1841-M1841-S1841</f>
        <v>1</v>
      </c>
    </row>
    <row r="1842" spans="1:22" ht="15.6">
      <c r="A1842" s="20"/>
      <c r="B1842" s="20"/>
      <c r="C1842" s="20"/>
      <c r="D1842" s="20"/>
      <c r="E1842" s="20"/>
      <c r="F1842" s="20"/>
      <c r="G1842" s="20" t="s">
        <v>21</v>
      </c>
      <c r="H1842" s="20" t="s">
        <v>181</v>
      </c>
      <c r="I1842" s="115">
        <v>40.1</v>
      </c>
      <c r="J1842" s="23">
        <v>6.8</v>
      </c>
      <c r="K1842" s="25">
        <v>19</v>
      </c>
      <c r="L1842" s="100">
        <f>(I1842*J1842*K1842/1000)</f>
        <v>5.1809200000000004</v>
      </c>
      <c r="M1842" s="20">
        <f>10+1</f>
        <v>11</v>
      </c>
      <c r="N1842" s="23">
        <f>J1842*M1842*I1842/1000</f>
        <v>2.9994800000000001</v>
      </c>
      <c r="O1842" s="20"/>
      <c r="P1842" s="20"/>
      <c r="Q1842" s="155"/>
      <c r="R1842" s="155"/>
      <c r="S1842">
        <v>8</v>
      </c>
      <c r="T1842" s="126">
        <f t="shared" si="349"/>
        <v>2.1814400000000003</v>
      </c>
      <c r="U1842" s="168">
        <f t="shared" si="350"/>
        <v>0</v>
      </c>
    </row>
    <row r="1843" spans="1:22" ht="15.6">
      <c r="A1843" s="20"/>
      <c r="B1843" s="20"/>
      <c r="C1843" s="20"/>
      <c r="D1843" s="20"/>
      <c r="E1843" s="20"/>
      <c r="F1843" s="20"/>
      <c r="G1843" s="20" t="s">
        <v>21</v>
      </c>
      <c r="H1843" s="20" t="s">
        <v>181</v>
      </c>
      <c r="I1843" s="115">
        <v>40.1</v>
      </c>
      <c r="J1843" s="23">
        <v>10.1</v>
      </c>
      <c r="K1843" s="25">
        <v>4</v>
      </c>
      <c r="L1843" s="100">
        <f>(I1843*J1843*K1843/1000)</f>
        <v>1.6200399999999999</v>
      </c>
      <c r="M1843" s="20"/>
      <c r="N1843" s="23">
        <f>J1843*M1843*I1843/1000</f>
        <v>0</v>
      </c>
      <c r="O1843" s="20"/>
      <c r="P1843" s="20"/>
      <c r="Q1843" s="155"/>
      <c r="R1843" s="155"/>
      <c r="S1843">
        <v>3</v>
      </c>
      <c r="T1843" s="126">
        <f t="shared" si="349"/>
        <v>1.2150300000000001</v>
      </c>
      <c r="U1843" s="168">
        <f t="shared" si="350"/>
        <v>1</v>
      </c>
    </row>
    <row r="1844" spans="1:22" ht="15.6">
      <c r="A1844" s="20"/>
      <c r="B1844" s="20"/>
      <c r="C1844" s="20"/>
      <c r="D1844" s="20"/>
      <c r="E1844" s="20"/>
      <c r="F1844" s="20"/>
      <c r="G1844" s="20"/>
      <c r="H1844" s="20"/>
      <c r="I1844" s="115"/>
      <c r="J1844" s="23"/>
      <c r="K1844" s="25">
        <f>SUM(K1840:K1843)</f>
        <v>47</v>
      </c>
      <c r="L1844" s="124">
        <f>SUM(L1840:L1843)</f>
        <v>12.671600000000002</v>
      </c>
      <c r="M1844" s="25">
        <f>SUM(M1840:M1843)</f>
        <v>14</v>
      </c>
      <c r="N1844" s="124">
        <f>SUM(N1840:N1843)</f>
        <v>3.7333100000000004</v>
      </c>
      <c r="O1844" s="20"/>
      <c r="P1844" s="20"/>
      <c r="Q1844" s="20"/>
      <c r="R1844" s="20"/>
      <c r="S1844" s="25">
        <f>SUM(S1840:S1843)</f>
        <v>25</v>
      </c>
      <c r="T1844" s="124">
        <f>SUM(T1840:T1843)</f>
        <v>6.8370500000000014</v>
      </c>
      <c r="U1844" s="25">
        <f>SUM(U1840:U1843)</f>
        <v>8</v>
      </c>
    </row>
    <row r="1845" spans="1:22" s="251" customFormat="1" ht="15.6">
      <c r="A1845" s="20"/>
      <c r="B1845" s="20"/>
      <c r="C1845" s="20"/>
      <c r="D1845" s="20"/>
      <c r="E1845" s="20"/>
      <c r="F1845" s="20"/>
      <c r="G1845" s="20"/>
      <c r="H1845" s="20"/>
      <c r="I1845" s="115"/>
      <c r="J1845" s="23"/>
      <c r="K1845" s="25"/>
      <c r="L1845" s="124"/>
      <c r="M1845" s="20"/>
      <c r="N1845" s="20"/>
      <c r="O1845" s="20"/>
      <c r="P1845" s="20"/>
      <c r="Q1845" s="155"/>
      <c r="R1845" s="155"/>
    </row>
    <row r="1846" spans="1:22" s="251" customFormat="1" ht="15.6">
      <c r="A1846" s="20"/>
      <c r="B1846" s="20"/>
      <c r="C1846" s="20"/>
      <c r="D1846" s="20"/>
      <c r="E1846" s="20"/>
      <c r="F1846" s="20"/>
      <c r="G1846" s="20"/>
      <c r="H1846" s="20"/>
      <c r="I1846" s="115"/>
      <c r="J1846" s="23"/>
      <c r="K1846" s="25"/>
      <c r="L1846" s="124"/>
      <c r="M1846" s="20"/>
      <c r="N1846" s="20"/>
      <c r="O1846" s="20"/>
      <c r="P1846" s="20"/>
      <c r="Q1846" s="155"/>
      <c r="R1846" s="155"/>
    </row>
    <row r="1847" spans="1:22" ht="15.6">
      <c r="A1847" s="21" t="s">
        <v>83</v>
      </c>
      <c r="B1847" s="21" t="s">
        <v>222</v>
      </c>
      <c r="C1847" s="21" t="s">
        <v>19</v>
      </c>
      <c r="D1847" s="21" t="s">
        <v>20</v>
      </c>
      <c r="E1847" s="21" t="s">
        <v>57</v>
      </c>
      <c r="F1847" s="22">
        <v>16</v>
      </c>
      <c r="G1847" s="20" t="s">
        <v>21</v>
      </c>
      <c r="H1847" s="143" t="s">
        <v>180</v>
      </c>
      <c r="I1847" s="115">
        <v>35.9</v>
      </c>
      <c r="J1847" s="23">
        <v>10</v>
      </c>
      <c r="K1847" s="25">
        <v>2</v>
      </c>
      <c r="L1847" s="100">
        <f t="shared" ref="L1847:L1848" si="351">(I1847*J1847*K1847/1000)</f>
        <v>0.71799999999999997</v>
      </c>
      <c r="M1847" s="20"/>
      <c r="N1847" s="20"/>
      <c r="O1847" s="23">
        <v>7.5</v>
      </c>
      <c r="P1847" s="20"/>
      <c r="Q1847" s="155"/>
      <c r="R1847" s="155"/>
      <c r="S1847" s="497">
        <v>2</v>
      </c>
      <c r="T1847" s="126">
        <f t="shared" ref="T1847:T1848" si="352">J1847*S1847*I1847/1000</f>
        <v>0.71799999999999997</v>
      </c>
      <c r="U1847" s="168">
        <f t="shared" ref="U1847:U1848" si="353">K1847-M1847-S1847</f>
        <v>0</v>
      </c>
      <c r="V1847" s="497" t="s">
        <v>337</v>
      </c>
    </row>
    <row r="1848" spans="1:22" ht="15.6">
      <c r="A1848" s="20"/>
      <c r="B1848" s="21" t="s">
        <v>204</v>
      </c>
      <c r="C1848" s="20"/>
      <c r="D1848" s="20"/>
      <c r="E1848" s="20"/>
      <c r="F1848" s="20"/>
      <c r="G1848" s="20" t="s">
        <v>21</v>
      </c>
      <c r="H1848" s="20" t="s">
        <v>180</v>
      </c>
      <c r="I1848" s="115">
        <v>35.9</v>
      </c>
      <c r="J1848" s="23">
        <v>11.2</v>
      </c>
      <c r="K1848" s="25">
        <v>12</v>
      </c>
      <c r="L1848" s="100">
        <f t="shared" si="351"/>
        <v>4.8249599999999999</v>
      </c>
      <c r="M1848" s="20"/>
      <c r="N1848" s="20"/>
      <c r="O1848" s="20"/>
      <c r="P1848" s="20"/>
      <c r="Q1848" s="155"/>
      <c r="R1848" s="155"/>
      <c r="S1848">
        <v>6</v>
      </c>
      <c r="T1848" s="126">
        <f t="shared" si="352"/>
        <v>2.4124799999999995</v>
      </c>
      <c r="U1848" s="168">
        <f t="shared" si="353"/>
        <v>6</v>
      </c>
    </row>
    <row r="1849" spans="1:22" ht="15.6">
      <c r="A1849" s="20"/>
      <c r="B1849" s="20"/>
      <c r="C1849" s="20"/>
      <c r="D1849" s="20"/>
      <c r="E1849" s="20"/>
      <c r="F1849" s="20"/>
      <c r="G1849" s="20"/>
      <c r="H1849" s="20"/>
      <c r="I1849" s="115"/>
      <c r="J1849" s="23"/>
      <c r="K1849" s="25">
        <f t="shared" ref="K1849:L1849" si="354">SUM(K1847:K1848)</f>
        <v>14</v>
      </c>
      <c r="L1849" s="124">
        <f t="shared" si="354"/>
        <v>5.5429599999999999</v>
      </c>
      <c r="M1849" s="20"/>
      <c r="N1849" s="20"/>
      <c r="O1849" s="20"/>
      <c r="P1849" s="20"/>
      <c r="Q1849" s="20"/>
      <c r="R1849" s="20"/>
      <c r="S1849" s="25">
        <f t="shared" ref="S1849:T1849" si="355">SUM(S1847:S1848)</f>
        <v>8</v>
      </c>
      <c r="T1849" s="124">
        <f t="shared" si="355"/>
        <v>3.1304799999999995</v>
      </c>
      <c r="U1849" s="25">
        <f>SUM(U1847:U1848)</f>
        <v>6</v>
      </c>
    </row>
    <row r="1850" spans="1:22" s="251" customFormat="1" ht="15.6">
      <c r="A1850" s="20"/>
      <c r="B1850" s="20"/>
      <c r="C1850" s="20"/>
      <c r="D1850" s="20"/>
      <c r="E1850" s="20"/>
      <c r="F1850" s="20"/>
      <c r="G1850" s="20"/>
      <c r="H1850" s="20"/>
      <c r="I1850" s="115"/>
      <c r="J1850" s="23"/>
      <c r="K1850" s="25"/>
      <c r="L1850" s="124"/>
      <c r="M1850" s="20"/>
      <c r="N1850" s="20"/>
      <c r="O1850" s="20"/>
      <c r="P1850" s="20"/>
      <c r="Q1850" s="155"/>
      <c r="R1850" s="155"/>
    </row>
    <row r="1851" spans="1:22" s="251" customFormat="1" ht="15.6">
      <c r="A1851" s="313" t="s">
        <v>83</v>
      </c>
      <c r="B1851" s="313" t="s">
        <v>298</v>
      </c>
      <c r="C1851" s="313" t="s">
        <v>19</v>
      </c>
      <c r="D1851" s="313" t="s">
        <v>20</v>
      </c>
      <c r="E1851" s="535" t="s">
        <v>259</v>
      </c>
      <c r="F1851" s="314">
        <v>16</v>
      </c>
      <c r="G1851" s="143" t="s">
        <v>21</v>
      </c>
      <c r="H1851" s="143" t="s">
        <v>180</v>
      </c>
      <c r="I1851" s="315">
        <v>35.840000000000003</v>
      </c>
      <c r="J1851" s="144">
        <v>6.8</v>
      </c>
      <c r="K1851" s="316">
        <v>6</v>
      </c>
      <c r="L1851" s="536">
        <f t="shared" ref="L1851:L1852" si="356">(I1851*J1851*K1851/1000)</f>
        <v>1.4622720000000002</v>
      </c>
      <c r="M1851" s="20"/>
      <c r="N1851" s="20"/>
      <c r="O1851" s="20"/>
      <c r="P1851" s="20"/>
      <c r="Q1851" s="155"/>
      <c r="R1851" s="155"/>
      <c r="S1851" s="251">
        <v>3</v>
      </c>
      <c r="T1851" s="126">
        <f t="shared" ref="T1851:T1852" si="357">J1851*S1851*I1851/1000</f>
        <v>0.73113600000000001</v>
      </c>
      <c r="U1851" s="168">
        <f t="shared" ref="U1851:U1852" si="358">K1851-M1851-S1851</f>
        <v>3</v>
      </c>
    </row>
    <row r="1852" spans="1:22" s="251" customFormat="1" ht="15.6">
      <c r="A1852" s="313"/>
      <c r="B1852" s="313" t="s">
        <v>277</v>
      </c>
      <c r="C1852" s="313"/>
      <c r="D1852" s="313"/>
      <c r="E1852" s="535"/>
      <c r="F1852" s="314"/>
      <c r="G1852" s="143" t="s">
        <v>21</v>
      </c>
      <c r="H1852" s="143" t="s">
        <v>180</v>
      </c>
      <c r="I1852" s="315">
        <v>35.840000000000003</v>
      </c>
      <c r="J1852" s="144">
        <v>10</v>
      </c>
      <c r="K1852" s="316">
        <v>3</v>
      </c>
      <c r="L1852" s="536">
        <f t="shared" si="356"/>
        <v>1.0752000000000002</v>
      </c>
      <c r="M1852" s="20"/>
      <c r="N1852" s="20"/>
      <c r="O1852" s="20"/>
      <c r="P1852" s="20"/>
      <c r="Q1852" s="155"/>
      <c r="R1852" s="155"/>
      <c r="S1852" s="512">
        <v>1</v>
      </c>
      <c r="T1852" s="126">
        <f t="shared" si="357"/>
        <v>0.35840000000000005</v>
      </c>
      <c r="U1852" s="168">
        <f t="shared" si="358"/>
        <v>2</v>
      </c>
    </row>
    <row r="1853" spans="1:22" s="251" customFormat="1" ht="15.6">
      <c r="A1853" s="143"/>
      <c r="B1853" s="143"/>
      <c r="C1853" s="143"/>
      <c r="D1853" s="143"/>
      <c r="E1853" s="143"/>
      <c r="F1853" s="143"/>
      <c r="G1853" s="143"/>
      <c r="H1853" s="143"/>
      <c r="I1853" s="315"/>
      <c r="J1853" s="144"/>
      <c r="K1853" s="316">
        <f t="shared" ref="K1853:L1853" si="359">SUM(K1851:K1852)</f>
        <v>9</v>
      </c>
      <c r="L1853" s="537">
        <f t="shared" si="359"/>
        <v>2.5374720000000002</v>
      </c>
      <c r="M1853" s="20"/>
      <c r="N1853" s="20"/>
      <c r="O1853" s="20"/>
      <c r="P1853" s="20"/>
      <c r="Q1853" s="20"/>
      <c r="R1853" s="20"/>
      <c r="S1853" s="25">
        <f t="shared" ref="S1853:T1853" si="360">SUM(S1851:S1852)</f>
        <v>4</v>
      </c>
      <c r="T1853" s="124">
        <f t="shared" si="360"/>
        <v>1.0895360000000001</v>
      </c>
      <c r="U1853" s="25">
        <f>SUM(U1851:U1852)</f>
        <v>5</v>
      </c>
    </row>
    <row r="1854" spans="1:22" s="251" customFormat="1" ht="15.6">
      <c r="A1854" s="20"/>
      <c r="B1854" s="20"/>
      <c r="C1854" s="20"/>
      <c r="D1854" s="20"/>
      <c r="E1854" s="20"/>
      <c r="F1854" s="20"/>
      <c r="G1854" s="20"/>
      <c r="H1854" s="20"/>
      <c r="I1854" s="115"/>
      <c r="J1854" s="23"/>
      <c r="K1854" s="154">
        <f>+K1853+K1849</f>
        <v>23</v>
      </c>
      <c r="L1854" s="124">
        <f>+L1853+L1849</f>
        <v>8.0804320000000001</v>
      </c>
      <c r="M1854" s="154">
        <f>+M1853+M1849</f>
        <v>0</v>
      </c>
      <c r="N1854" s="124">
        <f>+N1853+N1849</f>
        <v>0</v>
      </c>
      <c r="O1854" s="20"/>
      <c r="P1854" s="20"/>
      <c r="Q1854" s="155"/>
      <c r="R1854" s="155"/>
    </row>
    <row r="1855" spans="1:22" s="251" customFormat="1" ht="15.6">
      <c r="A1855" s="20"/>
      <c r="B1855" s="20"/>
      <c r="C1855" s="20"/>
      <c r="D1855" s="20"/>
      <c r="E1855" s="20"/>
      <c r="F1855" s="20"/>
      <c r="G1855" s="20"/>
      <c r="H1855" s="20"/>
      <c r="I1855" s="115"/>
      <c r="J1855" s="23"/>
      <c r="K1855" s="25"/>
      <c r="L1855" s="124"/>
      <c r="M1855" s="20"/>
      <c r="N1855" s="20"/>
      <c r="O1855" s="20"/>
      <c r="P1855" s="20"/>
      <c r="Q1855" s="155"/>
      <c r="R1855" s="155"/>
    </row>
    <row r="1856" spans="1:22" ht="15.6">
      <c r="A1856" s="20"/>
      <c r="B1856" s="20"/>
      <c r="C1856" s="20"/>
      <c r="D1856" s="20"/>
      <c r="E1856" s="20"/>
      <c r="F1856" s="20"/>
      <c r="G1856" s="20"/>
      <c r="H1856" s="20"/>
      <c r="I1856" s="115"/>
      <c r="J1856" s="20"/>
      <c r="K1856" s="211"/>
      <c r="L1856" s="211"/>
      <c r="M1856" s="20"/>
      <c r="N1856" s="20"/>
      <c r="O1856" s="20"/>
      <c r="P1856" s="20"/>
      <c r="Q1856" s="155"/>
      <c r="R1856" s="155"/>
    </row>
    <row r="1857" spans="1:22" ht="15.6">
      <c r="A1857" s="21" t="s">
        <v>83</v>
      </c>
      <c r="B1857" s="21" t="s">
        <v>222</v>
      </c>
      <c r="C1857" s="21" t="s">
        <v>19</v>
      </c>
      <c r="D1857" s="21" t="s">
        <v>20</v>
      </c>
      <c r="E1857" s="21" t="s">
        <v>57</v>
      </c>
      <c r="F1857" s="22">
        <v>16</v>
      </c>
      <c r="G1857" s="20" t="s">
        <v>21</v>
      </c>
      <c r="H1857" s="143" t="s">
        <v>179</v>
      </c>
      <c r="I1857" s="115">
        <v>33.799999999999997</v>
      </c>
      <c r="J1857" s="23">
        <v>8.1</v>
      </c>
      <c r="K1857" s="25">
        <v>13</v>
      </c>
      <c r="L1857" s="100">
        <f t="shared" ref="L1857:L1860" si="361">(I1857*J1857*K1857/1000)</f>
        <v>3.5591399999999993</v>
      </c>
      <c r="M1857" s="20">
        <f>1+4</f>
        <v>5</v>
      </c>
      <c r="N1857" s="23">
        <f t="shared" ref="N1857:N1860" si="362">J1857*M1857*I1857/1000</f>
        <v>1.3688999999999998</v>
      </c>
      <c r="O1857" s="20"/>
      <c r="P1857" s="20"/>
      <c r="Q1857" s="155"/>
      <c r="R1857" s="155"/>
      <c r="S1857" s="497">
        <v>4</v>
      </c>
      <c r="T1857" s="126">
        <f t="shared" ref="T1857:T1860" si="363">J1857*S1857*I1857/1000</f>
        <v>1.0951199999999999</v>
      </c>
      <c r="U1857" s="168">
        <f t="shared" ref="U1857:U1858" si="364">K1857-M1857-S1857</f>
        <v>4</v>
      </c>
      <c r="V1857" s="497" t="s">
        <v>337</v>
      </c>
    </row>
    <row r="1858" spans="1:22" ht="15.6">
      <c r="A1858" s="20"/>
      <c r="B1858" s="21" t="s">
        <v>204</v>
      </c>
      <c r="C1858" s="20"/>
      <c r="D1858" s="20"/>
      <c r="E1858" s="20"/>
      <c r="F1858" s="20"/>
      <c r="G1858" s="20" t="s">
        <v>21</v>
      </c>
      <c r="H1858" s="20" t="s">
        <v>179</v>
      </c>
      <c r="I1858" s="115">
        <v>33.799999999999997</v>
      </c>
      <c r="J1858" s="254">
        <v>9</v>
      </c>
      <c r="K1858" s="25">
        <v>4</v>
      </c>
      <c r="L1858" s="100">
        <f t="shared" si="361"/>
        <v>1.2167999999999999</v>
      </c>
      <c r="M1858" s="20"/>
      <c r="N1858" s="23">
        <f t="shared" si="362"/>
        <v>0</v>
      </c>
      <c r="O1858" s="23">
        <v>8.4</v>
      </c>
      <c r="P1858" s="20"/>
      <c r="Q1858" s="155"/>
      <c r="R1858" s="155"/>
      <c r="S1858">
        <v>4</v>
      </c>
      <c r="T1858" s="126">
        <f t="shared" si="363"/>
        <v>1.2167999999999999</v>
      </c>
      <c r="U1858" s="168">
        <f t="shared" si="364"/>
        <v>0</v>
      </c>
    </row>
    <row r="1859" spans="1:22" ht="15.6">
      <c r="A1859" s="20"/>
      <c r="B1859" s="20"/>
      <c r="C1859" s="20"/>
      <c r="D1859" s="20"/>
      <c r="E1859" s="20"/>
      <c r="F1859" s="20"/>
      <c r="G1859" s="20" t="s">
        <v>21</v>
      </c>
      <c r="H1859" s="20" t="s">
        <v>179</v>
      </c>
      <c r="I1859" s="115">
        <v>33.799999999999997</v>
      </c>
      <c r="J1859" s="23">
        <v>11</v>
      </c>
      <c r="K1859" s="25">
        <v>6</v>
      </c>
      <c r="L1859" s="100">
        <f t="shared" si="361"/>
        <v>2.2307999999999999</v>
      </c>
      <c r="M1859" s="20"/>
      <c r="N1859" s="23">
        <f t="shared" si="362"/>
        <v>0</v>
      </c>
      <c r="O1859" s="20"/>
      <c r="P1859" s="20"/>
      <c r="Q1859" s="155"/>
      <c r="R1859" s="155"/>
      <c r="S1859">
        <v>6</v>
      </c>
      <c r="T1859" s="126">
        <f t="shared" si="363"/>
        <v>2.2307999999999999</v>
      </c>
      <c r="U1859" s="168">
        <f>K1859-M1859-S1859</f>
        <v>0</v>
      </c>
    </row>
    <row r="1860" spans="1:22" ht="15.6">
      <c r="A1860" s="20"/>
      <c r="B1860" s="20"/>
      <c r="C1860" s="20"/>
      <c r="D1860" s="20"/>
      <c r="E1860" s="20"/>
      <c r="F1860" s="20"/>
      <c r="G1860" s="20" t="s">
        <v>21</v>
      </c>
      <c r="H1860" s="20" t="s">
        <v>179</v>
      </c>
      <c r="I1860" s="115">
        <v>33.799999999999997</v>
      </c>
      <c r="J1860" s="23">
        <v>12</v>
      </c>
      <c r="K1860" s="25">
        <v>8</v>
      </c>
      <c r="L1860" s="100">
        <f t="shared" si="361"/>
        <v>3.2447999999999997</v>
      </c>
      <c r="M1860" s="20">
        <v>1</v>
      </c>
      <c r="N1860" s="23">
        <f t="shared" si="362"/>
        <v>0.40559999999999996</v>
      </c>
      <c r="O1860" s="20"/>
      <c r="P1860" s="20"/>
      <c r="Q1860" s="155"/>
      <c r="R1860" s="155"/>
      <c r="S1860">
        <v>6</v>
      </c>
      <c r="T1860" s="126">
        <f t="shared" si="363"/>
        <v>2.4335999999999998</v>
      </c>
      <c r="U1860" s="168">
        <f>K1860-M1860-S1860</f>
        <v>1</v>
      </c>
    </row>
    <row r="1861" spans="1:22" ht="15.6">
      <c r="A1861" s="20"/>
      <c r="B1861" s="20"/>
      <c r="C1861" s="20"/>
      <c r="D1861" s="20"/>
      <c r="E1861" s="20"/>
      <c r="F1861" s="20"/>
      <c r="G1861" s="20"/>
      <c r="H1861" s="20"/>
      <c r="I1861" s="115"/>
      <c r="J1861" s="23"/>
      <c r="K1861" s="25">
        <f t="shared" ref="K1861:N1861" si="365">SUM(K1857:K1860)</f>
        <v>31</v>
      </c>
      <c r="L1861" s="124">
        <f t="shared" si="365"/>
        <v>10.251539999999999</v>
      </c>
      <c r="M1861" s="25">
        <f t="shared" si="365"/>
        <v>6</v>
      </c>
      <c r="N1861" s="124">
        <f t="shared" si="365"/>
        <v>1.7744999999999997</v>
      </c>
      <c r="O1861" s="20"/>
      <c r="P1861" s="20"/>
      <c r="Q1861" s="20"/>
      <c r="R1861" s="20"/>
      <c r="S1861" s="25">
        <f t="shared" ref="S1861:U1861" si="366">SUM(S1857:S1860)</f>
        <v>20</v>
      </c>
      <c r="T1861" s="124">
        <f t="shared" si="366"/>
        <v>6.9763199999999994</v>
      </c>
      <c r="U1861" s="25">
        <f t="shared" si="366"/>
        <v>5</v>
      </c>
    </row>
    <row r="1862" spans="1:22" s="251" customFormat="1" ht="15.6">
      <c r="A1862" s="20"/>
      <c r="B1862" s="20"/>
      <c r="C1862" s="20"/>
      <c r="D1862" s="20"/>
      <c r="E1862" s="20"/>
      <c r="F1862" s="20"/>
      <c r="G1862" s="20"/>
      <c r="H1862" s="20"/>
      <c r="I1862" s="115"/>
      <c r="J1862" s="23"/>
      <c r="K1862" s="25"/>
      <c r="L1862" s="124"/>
      <c r="M1862" s="20"/>
      <c r="N1862" s="20"/>
      <c r="O1862" s="20"/>
      <c r="P1862" s="20"/>
      <c r="Q1862" s="155"/>
      <c r="R1862" s="155"/>
    </row>
    <row r="1863" spans="1:22" ht="15.6">
      <c r="A1863" s="313" t="s">
        <v>83</v>
      </c>
      <c r="B1863" s="313" t="s">
        <v>239</v>
      </c>
      <c r="C1863" s="313" t="s">
        <v>19</v>
      </c>
      <c r="D1863" s="313" t="s">
        <v>20</v>
      </c>
      <c r="E1863" s="313" t="s">
        <v>47</v>
      </c>
      <c r="F1863" s="314">
        <v>16</v>
      </c>
      <c r="G1863" s="143" t="s">
        <v>21</v>
      </c>
      <c r="H1863" s="143" t="s">
        <v>179</v>
      </c>
      <c r="I1863" s="315">
        <v>33.799999999999997</v>
      </c>
      <c r="J1863" s="144">
        <v>9.6999999999999993</v>
      </c>
      <c r="K1863" s="316">
        <v>8</v>
      </c>
      <c r="L1863" s="536">
        <f t="shared" ref="L1863:L1864" si="367">(I1863*J1863*K1863/1000)</f>
        <v>2.6228799999999994</v>
      </c>
      <c r="M1863" s="20">
        <v>4</v>
      </c>
      <c r="N1863" s="23">
        <f t="shared" ref="N1863:N1864" si="368">J1863*M1863*I1863/1000</f>
        <v>1.3114399999999997</v>
      </c>
      <c r="O1863" s="20"/>
      <c r="P1863" s="20"/>
      <c r="Q1863" s="155"/>
      <c r="R1863" s="155"/>
      <c r="S1863" s="512">
        <v>1</v>
      </c>
      <c r="T1863" s="126">
        <f t="shared" ref="T1863:T1864" si="369">J1863*S1863*I1863/1000</f>
        <v>0.32785999999999993</v>
      </c>
      <c r="U1863" s="168">
        <f t="shared" ref="U1863:U1864" si="370">K1863-M1863-S1863</f>
        <v>3</v>
      </c>
      <c r="V1863" s="497" t="s">
        <v>354</v>
      </c>
    </row>
    <row r="1864" spans="1:22" ht="15.6">
      <c r="A1864" s="143"/>
      <c r="B1864" s="313" t="s">
        <v>238</v>
      </c>
      <c r="C1864" s="143"/>
      <c r="D1864" s="143"/>
      <c r="E1864" s="143"/>
      <c r="F1864" s="143"/>
      <c r="G1864" s="143" t="s">
        <v>21</v>
      </c>
      <c r="H1864" s="143" t="s">
        <v>179</v>
      </c>
      <c r="I1864" s="315">
        <v>33.799999999999997</v>
      </c>
      <c r="J1864" s="144">
        <v>11</v>
      </c>
      <c r="K1864" s="316">
        <v>16</v>
      </c>
      <c r="L1864" s="536">
        <f t="shared" si="367"/>
        <v>5.9487999999999994</v>
      </c>
      <c r="M1864" s="20">
        <v>3</v>
      </c>
      <c r="N1864" s="23">
        <f t="shared" si="368"/>
        <v>1.1153999999999999</v>
      </c>
      <c r="O1864" s="20"/>
      <c r="P1864" s="20"/>
      <c r="Q1864" s="155"/>
      <c r="R1864" s="155"/>
      <c r="S1864" s="512">
        <v>2</v>
      </c>
      <c r="T1864" s="126">
        <f t="shared" si="369"/>
        <v>0.74359999999999993</v>
      </c>
      <c r="U1864" s="168">
        <f t="shared" si="370"/>
        <v>11</v>
      </c>
    </row>
    <row r="1865" spans="1:22" ht="15.6">
      <c r="A1865" s="143"/>
      <c r="B1865" s="143"/>
      <c r="C1865" s="143"/>
      <c r="D1865" s="143"/>
      <c r="E1865" s="143"/>
      <c r="F1865" s="143"/>
      <c r="G1865" s="143"/>
      <c r="H1865" s="143"/>
      <c r="I1865" s="315"/>
      <c r="J1865" s="144"/>
      <c r="K1865" s="316">
        <f>SUM(K1863:K1864)</f>
        <v>24</v>
      </c>
      <c r="L1865" s="537">
        <f>SUM(L1863:L1864)</f>
        <v>8.5716799999999989</v>
      </c>
      <c r="M1865" s="25">
        <f>SUM(M1863:M1864)</f>
        <v>7</v>
      </c>
      <c r="N1865" s="124">
        <f>SUM(N1863:N1864)</f>
        <v>2.4268399999999994</v>
      </c>
      <c r="O1865" s="20"/>
      <c r="P1865" s="20"/>
      <c r="Q1865" s="20"/>
      <c r="R1865" s="20"/>
      <c r="S1865" s="25">
        <f>SUM(S1863:S1864)</f>
        <v>3</v>
      </c>
      <c r="T1865" s="124">
        <f>SUM(T1863:T1864)</f>
        <v>1.0714599999999999</v>
      </c>
      <c r="U1865" s="25">
        <f>SUM(U1863:U1864)</f>
        <v>14</v>
      </c>
    </row>
    <row r="1866" spans="1:22" ht="15.6">
      <c r="A1866" s="20"/>
      <c r="B1866" s="20"/>
      <c r="C1866" s="20"/>
      <c r="D1866" s="20"/>
      <c r="E1866" s="20"/>
      <c r="F1866" s="20"/>
      <c r="G1866" s="20"/>
      <c r="H1866" s="20"/>
      <c r="I1866" s="115"/>
      <c r="J1866" s="20"/>
      <c r="K1866" s="211"/>
      <c r="L1866" s="211"/>
      <c r="M1866" s="20"/>
      <c r="N1866" s="20"/>
      <c r="O1866" s="20"/>
      <c r="P1866" s="20"/>
      <c r="Q1866" s="155"/>
      <c r="R1866" s="155"/>
    </row>
    <row r="1867" spans="1:22" s="251" customFormat="1" ht="15.6">
      <c r="A1867" s="313" t="s">
        <v>83</v>
      </c>
      <c r="B1867" s="313" t="s">
        <v>315</v>
      </c>
      <c r="C1867" s="313" t="s">
        <v>19</v>
      </c>
      <c r="D1867" s="313" t="s">
        <v>20</v>
      </c>
      <c r="E1867" s="313" t="s">
        <v>47</v>
      </c>
      <c r="F1867" s="314">
        <v>16</v>
      </c>
      <c r="G1867" s="143" t="s">
        <v>21</v>
      </c>
      <c r="H1867" s="143" t="s">
        <v>179</v>
      </c>
      <c r="I1867" s="315">
        <v>33.799999999999997</v>
      </c>
      <c r="J1867" s="144">
        <v>6.3</v>
      </c>
      <c r="K1867" s="316">
        <v>8</v>
      </c>
      <c r="L1867" s="536">
        <f t="shared" ref="L1867:L1872" si="371">(I1867*J1867*K1867/1000)</f>
        <v>1.7035199999999997</v>
      </c>
      <c r="M1867" s="20">
        <v>2</v>
      </c>
      <c r="N1867" s="23">
        <f t="shared" ref="N1867:N1872" si="372">J1867*M1867*I1867/1000</f>
        <v>0.42587999999999993</v>
      </c>
      <c r="O1867" s="20"/>
      <c r="P1867" s="20"/>
      <c r="Q1867" s="155"/>
      <c r="R1867" s="155"/>
      <c r="S1867" s="251">
        <v>3</v>
      </c>
      <c r="T1867" s="126">
        <f t="shared" ref="T1867:T1872" si="373">J1867*S1867*I1867/1000</f>
        <v>0.63881999999999994</v>
      </c>
      <c r="U1867" s="168">
        <f t="shared" ref="U1867:U1872" si="374">K1867-M1867-S1867</f>
        <v>3</v>
      </c>
      <c r="V1867" s="497" t="s">
        <v>354</v>
      </c>
    </row>
    <row r="1868" spans="1:22" s="251" customFormat="1" ht="15.6">
      <c r="A1868" s="143"/>
      <c r="B1868" s="313" t="s">
        <v>238</v>
      </c>
      <c r="C1868" s="143"/>
      <c r="D1868" s="143"/>
      <c r="E1868" s="143"/>
      <c r="F1868" s="143"/>
      <c r="G1868" s="143" t="s">
        <v>21</v>
      </c>
      <c r="H1868" s="143" t="s">
        <v>179</v>
      </c>
      <c r="I1868" s="315">
        <v>33.799999999999997</v>
      </c>
      <c r="J1868" s="144">
        <v>6.7</v>
      </c>
      <c r="K1868" s="316">
        <v>8</v>
      </c>
      <c r="L1868" s="536">
        <f t="shared" si="371"/>
        <v>1.8116799999999997</v>
      </c>
      <c r="M1868" s="20">
        <v>1</v>
      </c>
      <c r="N1868" s="23">
        <f t="shared" si="372"/>
        <v>0.22645999999999997</v>
      </c>
      <c r="O1868" s="20"/>
      <c r="P1868" s="20"/>
      <c r="Q1868" s="155"/>
      <c r="R1868" s="155"/>
      <c r="S1868" s="512">
        <v>7</v>
      </c>
      <c r="T1868" s="126">
        <f t="shared" si="373"/>
        <v>1.5852199999999999</v>
      </c>
      <c r="U1868" s="168">
        <f t="shared" si="374"/>
        <v>0</v>
      </c>
    </row>
    <row r="1869" spans="1:22" s="251" customFormat="1" ht="15.6">
      <c r="A1869" s="143"/>
      <c r="B1869" s="313"/>
      <c r="C1869" s="143"/>
      <c r="D1869" s="143"/>
      <c r="E1869" s="143"/>
      <c r="F1869" s="143"/>
      <c r="G1869" s="143" t="s">
        <v>21</v>
      </c>
      <c r="H1869" s="143" t="s">
        <v>179</v>
      </c>
      <c r="I1869" s="315">
        <v>33.799999999999997</v>
      </c>
      <c r="J1869" s="144">
        <v>8.1999999999999993</v>
      </c>
      <c r="K1869" s="316">
        <v>4</v>
      </c>
      <c r="L1869" s="536">
        <f t="shared" si="371"/>
        <v>1.1086399999999998</v>
      </c>
      <c r="M1869" s="20"/>
      <c r="N1869" s="23">
        <f t="shared" si="372"/>
        <v>0</v>
      </c>
      <c r="O1869" s="20"/>
      <c r="P1869" s="20"/>
      <c r="Q1869" s="155"/>
      <c r="R1869" s="155"/>
      <c r="S1869" s="512">
        <v>4</v>
      </c>
      <c r="T1869" s="126">
        <f t="shared" si="373"/>
        <v>1.1086399999999998</v>
      </c>
      <c r="U1869" s="168">
        <f t="shared" si="374"/>
        <v>0</v>
      </c>
    </row>
    <row r="1870" spans="1:22" s="251" customFormat="1" ht="15.6">
      <c r="A1870" s="143"/>
      <c r="B1870" s="313"/>
      <c r="C1870" s="143"/>
      <c r="D1870" s="143"/>
      <c r="E1870" s="143"/>
      <c r="F1870" s="143"/>
      <c r="G1870" s="143" t="s">
        <v>21</v>
      </c>
      <c r="H1870" s="143" t="s">
        <v>179</v>
      </c>
      <c r="I1870" s="315">
        <v>33.799999999999997</v>
      </c>
      <c r="J1870" s="144">
        <v>10</v>
      </c>
      <c r="K1870" s="316">
        <v>4</v>
      </c>
      <c r="L1870" s="536">
        <f t="shared" si="371"/>
        <v>1.3520000000000001</v>
      </c>
      <c r="M1870" s="20"/>
      <c r="N1870" s="23">
        <f t="shared" si="372"/>
        <v>0</v>
      </c>
      <c r="O1870" s="20"/>
      <c r="P1870" s="20"/>
      <c r="Q1870" s="155"/>
      <c r="R1870" s="155"/>
      <c r="S1870" s="512">
        <v>3</v>
      </c>
      <c r="T1870" s="126">
        <f t="shared" si="373"/>
        <v>1.0139999999999998</v>
      </c>
      <c r="U1870" s="168">
        <f t="shared" si="374"/>
        <v>1</v>
      </c>
    </row>
    <row r="1871" spans="1:22" s="251" customFormat="1" ht="15.6">
      <c r="A1871" s="143"/>
      <c r="B1871" s="313"/>
      <c r="C1871" s="143"/>
      <c r="D1871" s="143"/>
      <c r="E1871" s="143"/>
      <c r="F1871" s="143"/>
      <c r="G1871" s="143" t="s">
        <v>21</v>
      </c>
      <c r="H1871" s="143" t="s">
        <v>179</v>
      </c>
      <c r="I1871" s="315">
        <v>33.799999999999997</v>
      </c>
      <c r="J1871" s="144">
        <v>10.4</v>
      </c>
      <c r="K1871" s="316">
        <v>6</v>
      </c>
      <c r="L1871" s="536">
        <f t="shared" si="371"/>
        <v>2.1091199999999999</v>
      </c>
      <c r="M1871" s="20"/>
      <c r="N1871" s="23">
        <f t="shared" si="372"/>
        <v>0</v>
      </c>
      <c r="O1871" s="20"/>
      <c r="P1871" s="20"/>
      <c r="Q1871" s="155"/>
      <c r="R1871" s="155"/>
      <c r="S1871" s="512">
        <v>2</v>
      </c>
      <c r="T1871" s="126">
        <f t="shared" si="373"/>
        <v>0.70304</v>
      </c>
      <c r="U1871" s="168">
        <f t="shared" si="374"/>
        <v>4</v>
      </c>
    </row>
    <row r="1872" spans="1:22" s="251" customFormat="1" ht="15.6">
      <c r="A1872" s="143"/>
      <c r="B1872" s="313"/>
      <c r="C1872" s="143"/>
      <c r="D1872" s="143"/>
      <c r="E1872" s="143"/>
      <c r="F1872" s="143"/>
      <c r="G1872" s="143" t="s">
        <v>21</v>
      </c>
      <c r="H1872" s="143" t="s">
        <v>179</v>
      </c>
      <c r="I1872" s="315">
        <v>33.799999999999997</v>
      </c>
      <c r="J1872" s="144">
        <v>11.1</v>
      </c>
      <c r="K1872" s="316">
        <v>4</v>
      </c>
      <c r="L1872" s="536">
        <f t="shared" si="371"/>
        <v>1.5007199999999998</v>
      </c>
      <c r="M1872" s="20"/>
      <c r="N1872" s="23">
        <f t="shared" si="372"/>
        <v>0</v>
      </c>
      <c r="O1872" s="20"/>
      <c r="P1872" s="20"/>
      <c r="Q1872" s="155"/>
      <c r="R1872" s="155"/>
      <c r="S1872" s="512">
        <v>2</v>
      </c>
      <c r="T1872" s="126">
        <f t="shared" si="373"/>
        <v>0.75035999999999992</v>
      </c>
      <c r="U1872" s="168">
        <f t="shared" si="374"/>
        <v>2</v>
      </c>
    </row>
    <row r="1873" spans="1:23" s="251" customFormat="1" ht="15.6">
      <c r="A1873" s="143"/>
      <c r="B1873" s="313"/>
      <c r="C1873" s="143"/>
      <c r="D1873" s="143"/>
      <c r="E1873" s="143"/>
      <c r="F1873" s="143"/>
      <c r="G1873" s="143"/>
      <c r="H1873" s="143"/>
      <c r="I1873" s="315"/>
      <c r="J1873" s="144"/>
      <c r="K1873" s="316">
        <f>SUM(K1867:K1872)</f>
        <v>34</v>
      </c>
      <c r="L1873" s="144">
        <f>SUM(L1867:L1872)</f>
        <v>9.5856799999999982</v>
      </c>
      <c r="M1873" s="25">
        <f>SUM(M1867:M1872)</f>
        <v>3</v>
      </c>
      <c r="N1873" s="23">
        <f>SUM(N1867:N1872)</f>
        <v>0.65233999999999992</v>
      </c>
      <c r="O1873" s="20"/>
      <c r="P1873" s="20"/>
      <c r="Q1873" s="20"/>
      <c r="R1873" s="20"/>
      <c r="S1873" s="25">
        <f>SUM(S1867:S1872)</f>
        <v>21</v>
      </c>
      <c r="T1873" s="23">
        <f>SUM(T1867:T1872)</f>
        <v>5.8000799999999986</v>
      </c>
      <c r="U1873" s="25">
        <f>SUM(U1867:U1872)</f>
        <v>10</v>
      </c>
    </row>
    <row r="1874" spans="1:23" s="251" customFormat="1" ht="15.6">
      <c r="A1874" s="20"/>
      <c r="B1874" s="21"/>
      <c r="C1874" s="20"/>
      <c r="D1874" s="20"/>
      <c r="E1874" s="20"/>
      <c r="F1874" s="20"/>
      <c r="G1874" s="20"/>
      <c r="H1874" s="20"/>
      <c r="I1874" s="115"/>
      <c r="J1874" s="23"/>
      <c r="K1874" s="25"/>
      <c r="L1874" s="124"/>
      <c r="M1874" s="20"/>
      <c r="N1874" s="20"/>
      <c r="O1874" s="20"/>
      <c r="P1874" s="20"/>
      <c r="Q1874" s="155"/>
      <c r="R1874" s="155"/>
    </row>
    <row r="1875" spans="1:23" ht="15.6">
      <c r="A1875" s="313" t="s">
        <v>174</v>
      </c>
      <c r="B1875" s="313" t="s">
        <v>242</v>
      </c>
      <c r="C1875" s="313" t="s">
        <v>19</v>
      </c>
      <c r="D1875" s="313" t="s">
        <v>20</v>
      </c>
      <c r="E1875" s="313" t="s">
        <v>57</v>
      </c>
      <c r="F1875" s="314">
        <v>16</v>
      </c>
      <c r="G1875" s="143" t="s">
        <v>21</v>
      </c>
      <c r="H1875" s="143" t="s">
        <v>179</v>
      </c>
      <c r="I1875" s="315">
        <v>33.799999999999997</v>
      </c>
      <c r="J1875" s="144">
        <v>9</v>
      </c>
      <c r="K1875" s="316">
        <v>7</v>
      </c>
      <c r="L1875" s="536">
        <f>(I1875*J1875*K1875/1000)</f>
        <v>2.1294</v>
      </c>
      <c r="M1875" s="20">
        <v>3</v>
      </c>
      <c r="N1875" s="23">
        <f>J1875*M1875*I1875/1000</f>
        <v>0.91259999999999986</v>
      </c>
      <c r="O1875" s="20"/>
      <c r="P1875" s="20"/>
      <c r="Q1875" s="155"/>
      <c r="R1875" s="155"/>
      <c r="U1875" s="168">
        <f t="shared" ref="U1875" si="375">K1875-M1875-S1875</f>
        <v>4</v>
      </c>
      <c r="V1875" s="497" t="s">
        <v>354</v>
      </c>
    </row>
    <row r="1876" spans="1:23" ht="15.6">
      <c r="A1876" s="143"/>
      <c r="B1876" s="317" t="s">
        <v>207</v>
      </c>
      <c r="C1876" s="143"/>
      <c r="D1876" s="143"/>
      <c r="E1876" s="143"/>
      <c r="F1876" s="143"/>
      <c r="G1876" s="143"/>
      <c r="H1876" s="318"/>
      <c r="I1876" s="315"/>
      <c r="J1876" s="144"/>
      <c r="K1876" s="316">
        <f t="shared" ref="K1876:M1876" si="376">SUM(K1875)</f>
        <v>7</v>
      </c>
      <c r="L1876" s="537">
        <f>SUM(L1875)</f>
        <v>2.1294</v>
      </c>
      <c r="M1876" s="256">
        <f t="shared" si="376"/>
        <v>3</v>
      </c>
      <c r="N1876" s="430">
        <f>SUM(N1875)</f>
        <v>0.91259999999999986</v>
      </c>
      <c r="O1876" s="20"/>
      <c r="P1876" s="20"/>
      <c r="Q1876" s="20"/>
      <c r="R1876" s="20"/>
      <c r="S1876" s="256">
        <f t="shared" ref="S1876" si="377">SUM(S1875)</f>
        <v>0</v>
      </c>
      <c r="T1876" s="126">
        <f t="shared" ref="T1876" si="378">J1876*S1876*I1876/1000</f>
        <v>0</v>
      </c>
      <c r="U1876" s="256">
        <f>SUM(U1875)</f>
        <v>4</v>
      </c>
    </row>
    <row r="1877" spans="1:23" s="251" customFormat="1" ht="15.6">
      <c r="A1877" s="20"/>
      <c r="B1877" s="229"/>
      <c r="C1877" s="20"/>
      <c r="D1877" s="20"/>
      <c r="E1877" s="20"/>
      <c r="F1877" s="20"/>
      <c r="G1877" s="20"/>
      <c r="H1877" s="125"/>
      <c r="I1877" s="115"/>
      <c r="J1877" s="23"/>
      <c r="K1877" s="25">
        <f>SUM(K1857:K1876)/2</f>
        <v>96</v>
      </c>
      <c r="L1877" s="124">
        <f>SUM(L1857:L1876)/2</f>
        <v>30.538299999999989</v>
      </c>
      <c r="M1877" s="25">
        <f>SUM(M1857:M1876)/2</f>
        <v>19</v>
      </c>
      <c r="N1877" s="124">
        <f>SUM(N1857:N1876)/2</f>
        <v>5.7662799999999983</v>
      </c>
      <c r="O1877" s="20"/>
      <c r="P1877" s="20"/>
      <c r="Q1877" s="20"/>
      <c r="R1877" s="20"/>
      <c r="S1877" s="25">
        <f>SUM(S1857:S1876)/2</f>
        <v>44</v>
      </c>
      <c r="T1877" s="124">
        <f>SUM(T1857:T1876)/2</f>
        <v>13.847859999999999</v>
      </c>
      <c r="U1877" s="25">
        <f>SUM(U1857:U1876)/2</f>
        <v>33</v>
      </c>
    </row>
    <row r="1878" spans="1:23" s="251" customFormat="1" ht="15.6">
      <c r="A1878" s="20"/>
      <c r="B1878" s="229"/>
      <c r="C1878" s="20"/>
      <c r="D1878" s="20"/>
      <c r="E1878" s="20"/>
      <c r="F1878" s="20"/>
      <c r="G1878" s="20"/>
      <c r="H1878" s="125"/>
      <c r="I1878" s="115"/>
      <c r="J1878" s="23"/>
      <c r="K1878" s="25"/>
      <c r="L1878" s="124"/>
      <c r="M1878" s="20"/>
      <c r="N1878" s="20"/>
      <c r="O1878" s="20"/>
      <c r="P1878" s="20"/>
      <c r="Q1878" s="155"/>
      <c r="R1878" s="155"/>
    </row>
    <row r="1879" spans="1:23" s="251" customFormat="1" ht="15.6">
      <c r="A1879" s="20"/>
      <c r="B1879" s="20"/>
      <c r="C1879" s="20"/>
      <c r="D1879" s="20"/>
      <c r="E1879" s="20"/>
      <c r="F1879" s="20"/>
      <c r="G1879" s="20"/>
      <c r="H1879" s="20"/>
      <c r="I1879" s="115"/>
      <c r="J1879" s="23"/>
      <c r="K1879" s="25"/>
      <c r="L1879" s="124"/>
      <c r="M1879" s="20"/>
      <c r="N1879" s="20"/>
      <c r="O1879" s="20"/>
      <c r="P1879" s="20"/>
      <c r="Q1879" s="155"/>
      <c r="R1879" s="155"/>
    </row>
    <row r="1880" spans="1:23" s="251" customFormat="1" ht="15.6">
      <c r="A1880" s="21" t="s">
        <v>174</v>
      </c>
      <c r="B1880" s="21" t="s">
        <v>299</v>
      </c>
      <c r="C1880" s="21" t="s">
        <v>19</v>
      </c>
      <c r="D1880" s="21" t="s">
        <v>20</v>
      </c>
      <c r="E1880" s="63" t="s">
        <v>51</v>
      </c>
      <c r="F1880" s="22">
        <v>16</v>
      </c>
      <c r="G1880" s="65" t="s">
        <v>21</v>
      </c>
      <c r="H1880" s="146" t="s">
        <v>179</v>
      </c>
      <c r="I1880" s="448">
        <v>33.799999999999997</v>
      </c>
      <c r="J1880" s="66">
        <v>11.5</v>
      </c>
      <c r="K1880" s="101">
        <v>256</v>
      </c>
      <c r="L1880" s="180">
        <f t="shared" ref="L1880:L1881" si="379">(I1880*J1880*K1880/1000)</f>
        <v>99.507199999999997</v>
      </c>
      <c r="M1880" s="20"/>
      <c r="N1880" s="23">
        <f t="shared" ref="N1880:N1881" si="380">J1880*M1880*I1880/1000</f>
        <v>0</v>
      </c>
      <c r="O1880" s="20"/>
      <c r="P1880" s="20"/>
      <c r="Q1880" s="155"/>
      <c r="R1880" s="155"/>
      <c r="S1880" s="251">
        <f>6+6+6+6+6+6</f>
        <v>36</v>
      </c>
      <c r="T1880" s="126">
        <f>J1880*S1880*I1880/1000</f>
        <v>13.993199999999998</v>
      </c>
      <c r="V1880" s="497"/>
      <c r="W1880" s="497" t="s">
        <v>369</v>
      </c>
    </row>
    <row r="1881" spans="1:23" s="251" customFormat="1" ht="15.6">
      <c r="A1881" s="20"/>
      <c r="B1881" s="20" t="s">
        <v>250</v>
      </c>
      <c r="C1881" s="20"/>
      <c r="D1881" s="20"/>
      <c r="E1881" s="20"/>
      <c r="F1881" s="20"/>
      <c r="G1881" s="65" t="s">
        <v>21</v>
      </c>
      <c r="H1881" s="65" t="s">
        <v>179</v>
      </c>
      <c r="I1881" s="448">
        <v>33.799999999999997</v>
      </c>
      <c r="J1881" s="66">
        <v>11.6</v>
      </c>
      <c r="K1881" s="101">
        <v>67</v>
      </c>
      <c r="L1881" s="180">
        <f t="shared" si="379"/>
        <v>26.269359999999992</v>
      </c>
      <c r="M1881" s="20"/>
      <c r="N1881" s="23">
        <f t="shared" si="380"/>
        <v>0</v>
      </c>
      <c r="O1881" s="20"/>
      <c r="P1881" s="20"/>
      <c r="Q1881" s="155"/>
      <c r="R1881" s="155"/>
      <c r="S1881" s="251">
        <f>6+7+7</f>
        <v>20</v>
      </c>
      <c r="T1881" s="126">
        <f>J1881*S1881*I1881/1000</f>
        <v>7.8415999999999997</v>
      </c>
      <c r="U1881" s="251">
        <v>6</v>
      </c>
      <c r="V1881" s="126">
        <f>J1881*U1881*I1881/1000</f>
        <v>2.3524799999999995</v>
      </c>
    </row>
    <row r="1882" spans="1:23" s="251" customFormat="1" ht="15.6">
      <c r="A1882" s="20"/>
      <c r="B1882" s="20"/>
      <c r="C1882" s="20"/>
      <c r="D1882" s="20"/>
      <c r="E1882" s="20"/>
      <c r="F1882" s="20"/>
      <c r="G1882" s="65"/>
      <c r="H1882" s="65"/>
      <c r="I1882" s="453"/>
      <c r="J1882" s="66"/>
      <c r="K1882" s="101">
        <f>SUM(K1880:K1881)</f>
        <v>323</v>
      </c>
      <c r="L1882" s="455">
        <f>SUM(L1880:L1881)</f>
        <v>125.77655999999999</v>
      </c>
      <c r="M1882" s="101">
        <f>SUM(M1880:M1881)</f>
        <v>0</v>
      </c>
      <c r="N1882" s="455">
        <f>SUM(N1880:N1881)</f>
        <v>0</v>
      </c>
      <c r="O1882" s="20"/>
      <c r="P1882" s="20"/>
      <c r="Q1882" s="20"/>
      <c r="R1882" s="20"/>
      <c r="S1882" s="101">
        <f>SUM(S1880:S1881)</f>
        <v>56</v>
      </c>
      <c r="T1882" s="455">
        <f>SUM(T1880:T1881)</f>
        <v>21.834799999999998</v>
      </c>
      <c r="U1882" s="101">
        <f>SUM(U1880:U1881)</f>
        <v>6</v>
      </c>
      <c r="V1882" s="455">
        <f>SUM(V1880:V1881)</f>
        <v>2.3524799999999995</v>
      </c>
    </row>
    <row r="1883" spans="1:23" s="251" customFormat="1" ht="15.6">
      <c r="A1883" s="20"/>
      <c r="B1883" s="20"/>
      <c r="C1883" s="20"/>
      <c r="D1883" s="20"/>
      <c r="E1883" s="20"/>
      <c r="F1883" s="20"/>
      <c r="G1883" s="20"/>
      <c r="H1883" s="20"/>
      <c r="I1883" s="115"/>
      <c r="J1883" s="23"/>
      <c r="K1883" s="25"/>
      <c r="L1883" s="181"/>
      <c r="M1883" s="20"/>
      <c r="N1883" s="20"/>
      <c r="O1883" s="20"/>
      <c r="P1883" s="20"/>
      <c r="Q1883" s="155"/>
      <c r="R1883" s="155"/>
    </row>
    <row r="1884" spans="1:23" s="251" customFormat="1" ht="15.6">
      <c r="A1884" s="21" t="s">
        <v>174</v>
      </c>
      <c r="B1884" s="21" t="s">
        <v>300</v>
      </c>
      <c r="C1884" s="21" t="s">
        <v>19</v>
      </c>
      <c r="D1884" s="21" t="s">
        <v>20</v>
      </c>
      <c r="E1884" s="63" t="s">
        <v>51</v>
      </c>
      <c r="F1884" s="22">
        <v>16</v>
      </c>
      <c r="G1884" s="65" t="s">
        <v>21</v>
      </c>
      <c r="H1884" s="598" t="s">
        <v>179</v>
      </c>
      <c r="I1884" s="448">
        <v>33.799999999999997</v>
      </c>
      <c r="J1884" s="66">
        <v>8.6999999999999993</v>
      </c>
      <c r="K1884" s="101">
        <v>150</v>
      </c>
      <c r="L1884" s="180">
        <f t="shared" ref="L1884:L1885" si="381">(I1884*J1884*K1884/1000)</f>
        <v>44.108999999999995</v>
      </c>
      <c r="M1884" s="20"/>
      <c r="N1884" s="23">
        <f t="shared" ref="N1884:N1885" si="382">J1884*M1884*I1884/1000</f>
        <v>0</v>
      </c>
      <c r="O1884" s="20"/>
      <c r="P1884" s="20"/>
      <c r="Q1884" s="155"/>
      <c r="R1884" s="155"/>
      <c r="S1884" s="251">
        <f>6+6</f>
        <v>12</v>
      </c>
      <c r="T1884" s="126">
        <f>J1884*S1884*I1884/1000</f>
        <v>3.5287199999999994</v>
      </c>
      <c r="U1884" s="251">
        <f>6+6+6+5</f>
        <v>23</v>
      </c>
      <c r="V1884" s="126">
        <f t="shared" ref="V1884:V1885" si="383">J1884*U1884*I1884/1000</f>
        <v>6.7633799999999988</v>
      </c>
      <c r="W1884" s="497" t="s">
        <v>392</v>
      </c>
    </row>
    <row r="1885" spans="1:23" s="251" customFormat="1" ht="15.6">
      <c r="A1885" s="20"/>
      <c r="B1885" s="20" t="s">
        <v>244</v>
      </c>
      <c r="C1885" s="20"/>
      <c r="D1885" s="20"/>
      <c r="E1885" s="20"/>
      <c r="F1885" s="20"/>
      <c r="G1885" s="65" t="s">
        <v>21</v>
      </c>
      <c r="H1885" s="65" t="s">
        <v>179</v>
      </c>
      <c r="I1885" s="448">
        <v>33.799999999999997</v>
      </c>
      <c r="J1885" s="66">
        <v>11.5</v>
      </c>
      <c r="K1885" s="101">
        <v>444</v>
      </c>
      <c r="L1885" s="180">
        <f t="shared" si="381"/>
        <v>172.58279999999999</v>
      </c>
      <c r="M1885" s="20"/>
      <c r="N1885" s="23">
        <f t="shared" si="382"/>
        <v>0</v>
      </c>
      <c r="O1885" s="20"/>
      <c r="P1885" s="20"/>
      <c r="Q1885" s="155"/>
      <c r="R1885" s="155"/>
      <c r="U1885" s="251">
        <f>6+6+6+6+6+5+6+4</f>
        <v>45</v>
      </c>
      <c r="V1885" s="126">
        <f t="shared" si="383"/>
        <v>17.491499999999998</v>
      </c>
      <c r="W1885" s="497" t="s">
        <v>402</v>
      </c>
    </row>
    <row r="1886" spans="1:23" s="251" customFormat="1" ht="15.6">
      <c r="A1886" s="20"/>
      <c r="B1886" s="20"/>
      <c r="C1886" s="20"/>
      <c r="D1886" s="20"/>
      <c r="E1886" s="20"/>
      <c r="F1886" s="20"/>
      <c r="G1886" s="65"/>
      <c r="H1886" s="65"/>
      <c r="I1886" s="453"/>
      <c r="J1886" s="66"/>
      <c r="K1886" s="101">
        <f>SUM(K1884:K1885)</f>
        <v>594</v>
      </c>
      <c r="L1886" s="455">
        <f>SUM(L1884:L1885)</f>
        <v>216.6918</v>
      </c>
      <c r="M1886" s="101">
        <f>SUM(M1884:M1885)</f>
        <v>0</v>
      </c>
      <c r="N1886" s="455">
        <f>SUM(N1884:N1885)</f>
        <v>0</v>
      </c>
      <c r="O1886" s="20"/>
      <c r="P1886" s="20"/>
      <c r="Q1886" s="20"/>
      <c r="R1886" s="20"/>
      <c r="S1886" s="101">
        <f>SUM(S1884:S1885)</f>
        <v>12</v>
      </c>
      <c r="T1886" s="455">
        <f>SUM(T1884:T1885)</f>
        <v>3.5287199999999994</v>
      </c>
      <c r="U1886" s="101">
        <f>SUM(U1884:U1885)</f>
        <v>68</v>
      </c>
      <c r="V1886" s="455">
        <f>SUM(V1884:V1885)</f>
        <v>24.254879999999996</v>
      </c>
    </row>
    <row r="1887" spans="1:23" s="251" customFormat="1" ht="15.6">
      <c r="A1887" s="20"/>
      <c r="B1887" s="20"/>
      <c r="C1887" s="20"/>
      <c r="D1887" s="20"/>
      <c r="E1887" s="20"/>
      <c r="F1887" s="20"/>
      <c r="G1887" s="296"/>
      <c r="H1887" s="296"/>
      <c r="I1887" s="452"/>
      <c r="J1887" s="444"/>
      <c r="K1887" s="445"/>
      <c r="L1887" s="456"/>
      <c r="M1887" s="20"/>
      <c r="N1887" s="20"/>
      <c r="O1887" s="20"/>
      <c r="P1887" s="20"/>
      <c r="Q1887" s="155"/>
      <c r="R1887" s="155"/>
    </row>
    <row r="1888" spans="1:23" s="251" customFormat="1" ht="15.6">
      <c r="A1888" s="21" t="s">
        <v>174</v>
      </c>
      <c r="B1888" s="21" t="s">
        <v>324</v>
      </c>
      <c r="C1888" s="21" t="s">
        <v>19</v>
      </c>
      <c r="D1888" s="21" t="s">
        <v>20</v>
      </c>
      <c r="E1888" s="63" t="s">
        <v>51</v>
      </c>
      <c r="F1888" s="22">
        <v>16</v>
      </c>
      <c r="G1888" s="296" t="s">
        <v>21</v>
      </c>
      <c r="H1888" s="143" t="s">
        <v>179</v>
      </c>
      <c r="I1888" s="452">
        <v>33.799999999999997</v>
      </c>
      <c r="J1888" s="444">
        <v>8.1</v>
      </c>
      <c r="K1888" s="445">
        <v>16</v>
      </c>
      <c r="L1888" s="180">
        <f>(I1888*J1888*K1888/1000)</f>
        <v>4.3804799999999995</v>
      </c>
      <c r="M1888" s="20">
        <v>7</v>
      </c>
      <c r="N1888" s="23">
        <f>J1888*M1888*I1888/1000</f>
        <v>1.9164599999999996</v>
      </c>
      <c r="O1888" s="20"/>
      <c r="P1888" s="20"/>
      <c r="Q1888" s="155"/>
      <c r="R1888" s="155"/>
      <c r="S1888" s="251">
        <v>2</v>
      </c>
      <c r="T1888" s="126">
        <f>J1888*S1888*I1888/1000</f>
        <v>0.54755999999999994</v>
      </c>
      <c r="U1888" s="251">
        <v>1</v>
      </c>
      <c r="V1888" s="126">
        <f t="shared" ref="V1888:V1889" si="384">J1888*U1888*I1888/1000</f>
        <v>0.27377999999999997</v>
      </c>
      <c r="W1888" s="497" t="s">
        <v>369</v>
      </c>
    </row>
    <row r="1889" spans="1:22" s="251" customFormat="1" ht="15.6">
      <c r="A1889" s="20"/>
      <c r="B1889" s="20"/>
      <c r="C1889" s="20"/>
      <c r="D1889" s="20"/>
      <c r="E1889" s="20"/>
      <c r="F1889" s="20"/>
      <c r="G1889" s="296" t="s">
        <v>21</v>
      </c>
      <c r="H1889" s="296" t="s">
        <v>179</v>
      </c>
      <c r="I1889" s="452">
        <v>33.799999999999997</v>
      </c>
      <c r="J1889" s="444">
        <v>9</v>
      </c>
      <c r="K1889" s="445">
        <v>84</v>
      </c>
      <c r="L1889" s="180">
        <f>(I1889*J1889*K1889/1000)</f>
        <v>25.552799999999998</v>
      </c>
      <c r="M1889" s="20">
        <v>1</v>
      </c>
      <c r="N1889" s="23">
        <f>J1889*M1889*I1889/1000</f>
        <v>0.30419999999999997</v>
      </c>
      <c r="O1889" s="20"/>
      <c r="P1889" s="20"/>
      <c r="Q1889" s="155"/>
      <c r="R1889" s="155"/>
      <c r="S1889" s="251">
        <f>6+6+6+6+10</f>
        <v>34</v>
      </c>
      <c r="T1889" s="126">
        <f>J1889*S1889*I1889/1000</f>
        <v>10.342799999999999</v>
      </c>
      <c r="U1889" s="251">
        <f>6+6+3</f>
        <v>15</v>
      </c>
      <c r="V1889" s="126">
        <f t="shared" si="384"/>
        <v>4.5629999999999997</v>
      </c>
    </row>
    <row r="1890" spans="1:22" s="251" customFormat="1" ht="15.6">
      <c r="A1890" s="20"/>
      <c r="B1890" s="20"/>
      <c r="C1890" s="20"/>
      <c r="D1890" s="20"/>
      <c r="E1890" s="20"/>
      <c r="F1890" s="20"/>
      <c r="G1890" s="296"/>
      <c r="H1890" s="296"/>
      <c r="I1890" s="452"/>
      <c r="J1890" s="444"/>
      <c r="K1890" s="445">
        <f>SUM(K1888:K1889)</f>
        <v>100</v>
      </c>
      <c r="L1890" s="456">
        <f>SUM(L1888:L1889)</f>
        <v>29.933279999999996</v>
      </c>
      <c r="M1890" s="445">
        <f>SUM(M1888:M1889)</f>
        <v>8</v>
      </c>
      <c r="N1890" s="456">
        <f>SUM(N1888:N1889)</f>
        <v>2.2206599999999996</v>
      </c>
      <c r="O1890" s="20"/>
      <c r="P1890" s="20"/>
      <c r="Q1890" s="20"/>
      <c r="R1890" s="20"/>
      <c r="S1890" s="445">
        <f>SUM(S1888:S1889)</f>
        <v>36</v>
      </c>
      <c r="T1890" s="456">
        <f>SUM(T1888:T1889)</f>
        <v>10.890359999999999</v>
      </c>
      <c r="U1890" s="445">
        <f>SUM(U1888:U1889)</f>
        <v>16</v>
      </c>
      <c r="V1890" s="456">
        <f>SUM(V1888:V1889)</f>
        <v>4.8367800000000001</v>
      </c>
    </row>
    <row r="1891" spans="1:22" s="251" customFormat="1" ht="15.6">
      <c r="A1891" s="20"/>
      <c r="B1891" s="20"/>
      <c r="C1891" s="20"/>
      <c r="D1891" s="20"/>
      <c r="E1891" s="20"/>
      <c r="F1891" s="20"/>
      <c r="G1891" s="20"/>
      <c r="H1891" s="20"/>
      <c r="I1891" s="115"/>
      <c r="J1891" s="23"/>
      <c r="K1891" s="154">
        <f>SUM(K1880:K1890)/2</f>
        <v>1017</v>
      </c>
      <c r="L1891" s="181">
        <f>SUM(L1880:L1890)/2</f>
        <v>372.40163999999999</v>
      </c>
      <c r="M1891" s="154">
        <f>SUM(M1880:M1890)/2</f>
        <v>8</v>
      </c>
      <c r="N1891" s="181">
        <f>SUM(N1880:N1890)/2</f>
        <v>2.2206599999999996</v>
      </c>
      <c r="O1891" s="23">
        <f>N1891-L1891</f>
        <v>-370.18097999999998</v>
      </c>
      <c r="P1891" s="20"/>
      <c r="Q1891" s="155"/>
      <c r="R1891" s="155"/>
    </row>
    <row r="1892" spans="1:22" s="251" customFormat="1" ht="15.6">
      <c r="A1892" s="20"/>
      <c r="B1892" s="20"/>
      <c r="C1892" s="20"/>
      <c r="D1892" s="20"/>
      <c r="E1892" s="20"/>
      <c r="F1892" s="20"/>
      <c r="G1892" s="20"/>
      <c r="H1892" s="20"/>
      <c r="I1892" s="115"/>
      <c r="J1892" s="23"/>
      <c r="K1892" s="154"/>
      <c r="L1892" s="181"/>
      <c r="M1892" s="154"/>
      <c r="N1892" s="181"/>
      <c r="O1892" s="20"/>
      <c r="P1892" s="20"/>
      <c r="Q1892" s="155"/>
      <c r="R1892" s="155"/>
    </row>
    <row r="1893" spans="1:22" s="251" customFormat="1" ht="15.6">
      <c r="A1893" s="20"/>
      <c r="B1893" s="20"/>
      <c r="C1893" s="20"/>
      <c r="D1893" s="20"/>
      <c r="E1893" s="20"/>
      <c r="F1893" s="20"/>
      <c r="G1893" s="20"/>
      <c r="H1893" s="20"/>
      <c r="I1893" s="115"/>
      <c r="J1893" s="23"/>
      <c r="K1893" s="154"/>
      <c r="L1893" s="124"/>
      <c r="M1893" s="20"/>
      <c r="N1893" s="20"/>
      <c r="O1893" s="20"/>
      <c r="P1893" s="20"/>
      <c r="Q1893" s="155"/>
      <c r="R1893" s="155"/>
    </row>
    <row r="1894" spans="1:22" ht="15.6">
      <c r="A1894" s="21" t="s">
        <v>83</v>
      </c>
      <c r="B1894" s="21" t="s">
        <v>239</v>
      </c>
      <c r="C1894" s="21" t="s">
        <v>19</v>
      </c>
      <c r="D1894" s="21" t="s">
        <v>20</v>
      </c>
      <c r="E1894" s="21" t="s">
        <v>47</v>
      </c>
      <c r="F1894" s="22">
        <v>16</v>
      </c>
      <c r="G1894" s="20" t="s">
        <v>21</v>
      </c>
      <c r="H1894" s="143" t="s">
        <v>178</v>
      </c>
      <c r="I1894" s="115">
        <v>31.6</v>
      </c>
      <c r="J1894" s="23">
        <v>9</v>
      </c>
      <c r="K1894" s="25">
        <v>8</v>
      </c>
      <c r="L1894" s="100">
        <f>(I1894*J1894*K1894/1000)</f>
        <v>2.2752000000000003</v>
      </c>
      <c r="M1894" s="20"/>
      <c r="N1894" s="20"/>
      <c r="O1894" s="20"/>
      <c r="P1894" s="20"/>
      <c r="Q1894" s="155"/>
      <c r="R1894" s="155"/>
      <c r="S1894" s="497" t="s">
        <v>374</v>
      </c>
    </row>
    <row r="1895" spans="1:22" ht="15.6">
      <c r="A1895" s="20"/>
      <c r="B1895" s="21" t="s">
        <v>238</v>
      </c>
      <c r="C1895" s="20"/>
      <c r="D1895" s="20"/>
      <c r="E1895" s="20"/>
      <c r="F1895" s="20"/>
      <c r="G1895" s="20"/>
      <c r="H1895" s="20"/>
      <c r="I1895" s="115"/>
      <c r="J1895" s="23"/>
      <c r="K1895" s="25">
        <f t="shared" ref="K1895:L1895" si="385">SUM(K1894)</f>
        <v>8</v>
      </c>
      <c r="L1895" s="124">
        <f t="shared" si="385"/>
        <v>2.2752000000000003</v>
      </c>
      <c r="M1895" s="20"/>
      <c r="N1895" s="20"/>
      <c r="O1895" s="20"/>
      <c r="P1895" s="20"/>
      <c r="Q1895" s="155"/>
      <c r="R1895" s="155"/>
    </row>
    <row r="1896" spans="1:22" s="251" customFormat="1" ht="15.6">
      <c r="A1896" s="20"/>
      <c r="B1896" s="21"/>
      <c r="C1896" s="20"/>
      <c r="D1896" s="20"/>
      <c r="E1896" s="20"/>
      <c r="F1896" s="20"/>
      <c r="G1896" s="20"/>
      <c r="H1896" s="20"/>
      <c r="I1896" s="115"/>
      <c r="J1896" s="23"/>
      <c r="K1896" s="25"/>
      <c r="L1896" s="124"/>
      <c r="M1896" s="20"/>
      <c r="N1896" s="20"/>
      <c r="O1896" s="20"/>
      <c r="P1896" s="20"/>
      <c r="Q1896" s="155"/>
      <c r="R1896" s="155"/>
    </row>
    <row r="1897" spans="1:22" s="251" customFormat="1" ht="15.6">
      <c r="A1897" s="20"/>
      <c r="B1897" s="20"/>
      <c r="C1897" s="20"/>
      <c r="D1897" s="20"/>
      <c r="E1897" s="20"/>
      <c r="F1897" s="20"/>
      <c r="G1897" s="20"/>
      <c r="H1897" s="20"/>
      <c r="I1897" s="115"/>
      <c r="J1897" s="23"/>
      <c r="K1897" s="25"/>
      <c r="L1897" s="124"/>
      <c r="M1897" s="20"/>
      <c r="N1897" s="20"/>
      <c r="O1897" s="20"/>
      <c r="P1897" s="20"/>
      <c r="Q1897" s="155"/>
      <c r="R1897" s="155"/>
    </row>
    <row r="1898" spans="1:22" ht="15.6">
      <c r="A1898" s="21" t="s">
        <v>83</v>
      </c>
      <c r="B1898" s="21" t="s">
        <v>222</v>
      </c>
      <c r="C1898" s="21" t="s">
        <v>19</v>
      </c>
      <c r="D1898" s="21" t="s">
        <v>20</v>
      </c>
      <c r="E1898" s="21" t="s">
        <v>57</v>
      </c>
      <c r="F1898" s="22">
        <v>16</v>
      </c>
      <c r="G1898" s="20" t="s">
        <v>21</v>
      </c>
      <c r="H1898" s="143" t="s">
        <v>177</v>
      </c>
      <c r="I1898" s="115">
        <v>27.3</v>
      </c>
      <c r="J1898" s="23">
        <v>8.6999999999999993</v>
      </c>
      <c r="K1898" s="25">
        <v>15</v>
      </c>
      <c r="L1898" s="100">
        <f t="shared" ref="L1898:L1903" si="386">(I1898*J1898*K1898/1000)</f>
        <v>3.5626499999999997</v>
      </c>
      <c r="M1898" s="20"/>
      <c r="N1898" s="20"/>
      <c r="O1898" s="20"/>
      <c r="P1898" s="20"/>
      <c r="Q1898" s="155"/>
      <c r="R1898" s="155"/>
      <c r="S1898" s="497" t="s">
        <v>337</v>
      </c>
    </row>
    <row r="1899" spans="1:22" ht="15.6">
      <c r="A1899" s="20"/>
      <c r="B1899" s="21" t="s">
        <v>204</v>
      </c>
      <c r="C1899" s="20"/>
      <c r="D1899" s="20"/>
      <c r="E1899" s="20"/>
      <c r="F1899" s="20"/>
      <c r="G1899" s="20" t="s">
        <v>21</v>
      </c>
      <c r="H1899" s="20" t="s">
        <v>177</v>
      </c>
      <c r="I1899" s="115">
        <v>27.3</v>
      </c>
      <c r="J1899" s="23">
        <v>9</v>
      </c>
      <c r="K1899" s="25">
        <v>10</v>
      </c>
      <c r="L1899" s="100">
        <f t="shared" si="386"/>
        <v>2.4569999999999999</v>
      </c>
      <c r="M1899" s="20"/>
      <c r="N1899" s="20"/>
      <c r="O1899" s="20"/>
      <c r="P1899" s="20"/>
      <c r="Q1899" s="155"/>
      <c r="R1899" s="155"/>
    </row>
    <row r="1900" spans="1:22" ht="15.6">
      <c r="A1900" s="20"/>
      <c r="B1900" s="20"/>
      <c r="C1900" s="20"/>
      <c r="D1900" s="20"/>
      <c r="E1900" s="20"/>
      <c r="F1900" s="20"/>
      <c r="G1900" s="20" t="s">
        <v>21</v>
      </c>
      <c r="H1900" s="20" t="s">
        <v>177</v>
      </c>
      <c r="I1900" s="115">
        <v>27.3</v>
      </c>
      <c r="J1900" s="23">
        <v>10.199999999999999</v>
      </c>
      <c r="K1900" s="25">
        <v>25</v>
      </c>
      <c r="L1900" s="100">
        <f t="shared" si="386"/>
        <v>6.9614999999999991</v>
      </c>
      <c r="M1900" s="20"/>
      <c r="N1900" s="20"/>
      <c r="O1900" s="20"/>
      <c r="P1900" s="20"/>
      <c r="Q1900" s="155"/>
      <c r="R1900" s="155"/>
    </row>
    <row r="1901" spans="1:22" ht="15.6">
      <c r="A1901" s="20"/>
      <c r="B1901" s="20"/>
      <c r="C1901" s="20"/>
      <c r="D1901" s="20"/>
      <c r="E1901" s="20"/>
      <c r="F1901" s="20"/>
      <c r="G1901" s="20" t="s">
        <v>21</v>
      </c>
      <c r="H1901" s="20" t="s">
        <v>177</v>
      </c>
      <c r="I1901" s="115">
        <v>27.3</v>
      </c>
      <c r="J1901" s="23">
        <v>10.7</v>
      </c>
      <c r="K1901" s="25">
        <v>11</v>
      </c>
      <c r="L1901" s="100">
        <f t="shared" si="386"/>
        <v>3.2132100000000001</v>
      </c>
      <c r="M1901" s="20"/>
      <c r="N1901" s="20"/>
      <c r="O1901" s="20"/>
      <c r="P1901" s="20"/>
      <c r="Q1901" s="155"/>
      <c r="R1901" s="155"/>
    </row>
    <row r="1902" spans="1:22" ht="15.6">
      <c r="A1902" s="20"/>
      <c r="B1902" s="20"/>
      <c r="C1902" s="20"/>
      <c r="D1902" s="20"/>
      <c r="E1902" s="20"/>
      <c r="F1902" s="20"/>
      <c r="G1902" s="20" t="s">
        <v>21</v>
      </c>
      <c r="H1902" s="20" t="s">
        <v>177</v>
      </c>
      <c r="I1902" s="115">
        <v>27.3</v>
      </c>
      <c r="J1902" s="23">
        <v>11.8</v>
      </c>
      <c r="K1902" s="25">
        <v>11</v>
      </c>
      <c r="L1902" s="100">
        <f t="shared" si="386"/>
        <v>3.5435400000000006</v>
      </c>
      <c r="M1902" s="20"/>
      <c r="N1902" s="20"/>
      <c r="O1902" s="20"/>
      <c r="P1902" s="20"/>
      <c r="Q1902" s="155"/>
      <c r="R1902" s="155"/>
    </row>
    <row r="1903" spans="1:22" ht="15.6">
      <c r="A1903" s="20"/>
      <c r="B1903" s="20"/>
      <c r="C1903" s="20"/>
      <c r="D1903" s="20"/>
      <c r="E1903" s="20"/>
      <c r="F1903" s="20"/>
      <c r="G1903" s="20" t="s">
        <v>21</v>
      </c>
      <c r="H1903" s="20" t="s">
        <v>177</v>
      </c>
      <c r="I1903" s="115">
        <v>27.3</v>
      </c>
      <c r="J1903" s="23">
        <v>12</v>
      </c>
      <c r="K1903" s="25">
        <v>8</v>
      </c>
      <c r="L1903" s="100">
        <f t="shared" si="386"/>
        <v>2.6208</v>
      </c>
      <c r="M1903" s="20"/>
      <c r="N1903" s="20"/>
      <c r="O1903" s="20"/>
      <c r="P1903" s="20"/>
      <c r="Q1903" s="155"/>
      <c r="R1903" s="155"/>
    </row>
    <row r="1904" spans="1:22" ht="15.6">
      <c r="A1904" s="20"/>
      <c r="B1904" s="20"/>
      <c r="C1904" s="20"/>
      <c r="D1904" s="20"/>
      <c r="E1904" s="20"/>
      <c r="F1904" s="20"/>
      <c r="G1904" s="20"/>
      <c r="H1904" s="20"/>
      <c r="I1904" s="115"/>
      <c r="J1904" s="23"/>
      <c r="K1904" s="25">
        <f t="shared" ref="K1904:L1904" si="387">SUM(K1898:K1903)</f>
        <v>80</v>
      </c>
      <c r="L1904" s="124">
        <f t="shared" si="387"/>
        <v>22.358699999999999</v>
      </c>
      <c r="M1904" s="20"/>
      <c r="N1904" s="20"/>
      <c r="O1904" s="20"/>
      <c r="P1904" s="20"/>
      <c r="Q1904" s="155"/>
      <c r="R1904" s="155"/>
    </row>
    <row r="1905" spans="1:19" s="251" customFormat="1" ht="15.6">
      <c r="A1905" s="20"/>
      <c r="B1905" s="20"/>
      <c r="C1905" s="20"/>
      <c r="D1905" s="20"/>
      <c r="E1905" s="20"/>
      <c r="F1905" s="20"/>
      <c r="G1905" s="20"/>
      <c r="H1905" s="20"/>
      <c r="I1905" s="115"/>
      <c r="J1905" s="23"/>
      <c r="K1905" s="25"/>
      <c r="L1905" s="124"/>
      <c r="M1905" s="20"/>
      <c r="N1905" s="20"/>
      <c r="O1905" s="20"/>
      <c r="P1905" s="20"/>
      <c r="Q1905" s="155"/>
      <c r="R1905" s="155"/>
    </row>
    <row r="1906" spans="1:19" ht="15.6">
      <c r="A1906" s="21" t="s">
        <v>83</v>
      </c>
      <c r="B1906" s="21" t="s">
        <v>239</v>
      </c>
      <c r="C1906" s="21" t="s">
        <v>19</v>
      </c>
      <c r="D1906" s="21" t="s">
        <v>20</v>
      </c>
      <c r="E1906" s="21" t="s">
        <v>47</v>
      </c>
      <c r="F1906" s="22">
        <v>16</v>
      </c>
      <c r="G1906" s="20" t="s">
        <v>21</v>
      </c>
      <c r="H1906" s="143" t="s">
        <v>177</v>
      </c>
      <c r="I1906" s="115">
        <v>27.3</v>
      </c>
      <c r="J1906" s="23">
        <v>7.4</v>
      </c>
      <c r="K1906" s="25">
        <v>16</v>
      </c>
      <c r="L1906" s="100">
        <f t="shared" ref="L1906:L1908" si="388">(I1906*J1906*K1906/1000)</f>
        <v>3.2323200000000001</v>
      </c>
      <c r="M1906" s="20">
        <v>6</v>
      </c>
      <c r="N1906" s="23">
        <f t="shared" ref="N1906" si="389">J1906*M1906*I1906/1000</f>
        <v>1.2121200000000001</v>
      </c>
      <c r="O1906" s="20"/>
      <c r="P1906" s="20"/>
      <c r="Q1906" s="155"/>
      <c r="R1906" s="155"/>
      <c r="S1906" s="497" t="s">
        <v>355</v>
      </c>
    </row>
    <row r="1907" spans="1:19" ht="15.6">
      <c r="A1907" s="20"/>
      <c r="B1907" s="21" t="s">
        <v>238</v>
      </c>
      <c r="C1907" s="20"/>
      <c r="D1907" s="20"/>
      <c r="E1907" s="20"/>
      <c r="F1907" s="20"/>
      <c r="G1907" s="20" t="s">
        <v>21</v>
      </c>
      <c r="H1907" s="20" t="s">
        <v>177</v>
      </c>
      <c r="I1907" s="115">
        <v>27.3</v>
      </c>
      <c r="J1907" s="23">
        <v>8.5</v>
      </c>
      <c r="K1907" s="25">
        <v>8</v>
      </c>
      <c r="L1907" s="100">
        <f t="shared" si="388"/>
        <v>1.8564000000000001</v>
      </c>
      <c r="M1907" s="20"/>
      <c r="N1907" s="20"/>
      <c r="O1907" s="20"/>
      <c r="P1907" s="20"/>
      <c r="Q1907" s="155"/>
      <c r="R1907" s="155"/>
    </row>
    <row r="1908" spans="1:19" ht="15.6">
      <c r="A1908" s="20"/>
      <c r="B1908" s="20"/>
      <c r="C1908" s="20"/>
      <c r="D1908" s="20"/>
      <c r="E1908" s="20"/>
      <c r="F1908" s="20"/>
      <c r="G1908" s="20" t="s">
        <v>21</v>
      </c>
      <c r="H1908" s="20" t="s">
        <v>177</v>
      </c>
      <c r="I1908" s="115">
        <v>27.3</v>
      </c>
      <c r="J1908" s="23">
        <v>11.5</v>
      </c>
      <c r="K1908" s="25">
        <v>8</v>
      </c>
      <c r="L1908" s="100">
        <f t="shared" si="388"/>
        <v>2.5116000000000001</v>
      </c>
      <c r="M1908" s="20"/>
      <c r="N1908" s="20"/>
      <c r="O1908" s="20"/>
      <c r="P1908" s="20"/>
      <c r="Q1908" s="155"/>
      <c r="R1908" s="155"/>
    </row>
    <row r="1909" spans="1:19" ht="15.6">
      <c r="A1909" s="20"/>
      <c r="B1909" s="20"/>
      <c r="C1909" s="20"/>
      <c r="D1909" s="20"/>
      <c r="E1909" s="20"/>
      <c r="F1909" s="20"/>
      <c r="G1909" s="20"/>
      <c r="H1909" s="20"/>
      <c r="I1909" s="115"/>
      <c r="J1909" s="23"/>
      <c r="K1909" s="25">
        <f>SUM(K1906:K1908)</f>
        <v>32</v>
      </c>
      <c r="L1909" s="124">
        <f>SUM(L1906:L1908)</f>
        <v>7.60032</v>
      </c>
      <c r="M1909" s="25">
        <f>SUM(M1906:M1908)</f>
        <v>6</v>
      </c>
      <c r="N1909" s="124">
        <f>SUM(N1906:N1908)</f>
        <v>1.2121200000000001</v>
      </c>
      <c r="O1909" s="20"/>
      <c r="P1909" s="20"/>
      <c r="Q1909" s="155"/>
      <c r="R1909" s="155"/>
    </row>
    <row r="1910" spans="1:19" s="251" customFormat="1" ht="15.6">
      <c r="A1910" s="20"/>
      <c r="B1910" s="20"/>
      <c r="C1910" s="20"/>
      <c r="D1910" s="20"/>
      <c r="E1910" s="20"/>
      <c r="F1910" s="20"/>
      <c r="G1910" s="20"/>
      <c r="H1910" s="20"/>
      <c r="I1910" s="115"/>
      <c r="J1910" s="23"/>
      <c r="K1910" s="25"/>
      <c r="L1910" s="124"/>
      <c r="M1910" s="20"/>
      <c r="N1910" s="20"/>
      <c r="O1910" s="20"/>
      <c r="P1910" s="20"/>
      <c r="Q1910" s="155"/>
      <c r="R1910" s="155"/>
    </row>
    <row r="1911" spans="1:19" s="251" customFormat="1" ht="15.6">
      <c r="A1911" s="21" t="s">
        <v>83</v>
      </c>
      <c r="B1911" s="21" t="s">
        <v>315</v>
      </c>
      <c r="C1911" s="21" t="s">
        <v>19</v>
      </c>
      <c r="D1911" s="21" t="s">
        <v>20</v>
      </c>
      <c r="E1911" s="21" t="s">
        <v>47</v>
      </c>
      <c r="F1911" s="22">
        <v>16</v>
      </c>
      <c r="G1911" s="20" t="s">
        <v>21</v>
      </c>
      <c r="H1911" s="143" t="s">
        <v>177</v>
      </c>
      <c r="I1911" s="115">
        <v>27.3</v>
      </c>
      <c r="J1911" s="23">
        <v>7</v>
      </c>
      <c r="K1911" s="25">
        <v>24</v>
      </c>
      <c r="L1911" s="100">
        <f>(I1911*J1911*K1911/1000)</f>
        <v>4.5863999999999994</v>
      </c>
      <c r="M1911" s="20"/>
      <c r="N1911" s="20"/>
      <c r="O1911" s="20"/>
      <c r="P1911" s="20"/>
      <c r="Q1911" s="155"/>
      <c r="R1911" s="155"/>
      <c r="S1911" s="497" t="s">
        <v>355</v>
      </c>
    </row>
    <row r="1912" spans="1:19" s="251" customFormat="1" ht="15.6">
      <c r="A1912" s="20"/>
      <c r="B1912" s="21" t="s">
        <v>238</v>
      </c>
      <c r="C1912" s="20"/>
      <c r="D1912" s="20"/>
      <c r="E1912" s="20"/>
      <c r="F1912" s="20"/>
      <c r="G1912" s="20" t="s">
        <v>21</v>
      </c>
      <c r="H1912" s="20" t="s">
        <v>177</v>
      </c>
      <c r="I1912" s="115">
        <v>27.3</v>
      </c>
      <c r="J1912" s="23">
        <v>8</v>
      </c>
      <c r="K1912" s="25">
        <v>24</v>
      </c>
      <c r="L1912" s="100">
        <f>(I1912*J1912*K1912/1000)</f>
        <v>5.2416</v>
      </c>
      <c r="M1912" s="20"/>
      <c r="N1912" s="20"/>
      <c r="O1912" s="20"/>
      <c r="P1912" s="20"/>
      <c r="Q1912" s="155"/>
      <c r="R1912" s="155"/>
    </row>
    <row r="1913" spans="1:19" s="251" customFormat="1" ht="15.6">
      <c r="A1913" s="20"/>
      <c r="B1913" s="21"/>
      <c r="C1913" s="20"/>
      <c r="D1913" s="20"/>
      <c r="E1913" s="20"/>
      <c r="F1913" s="20"/>
      <c r="G1913" s="20"/>
      <c r="H1913" s="20"/>
      <c r="I1913" s="115"/>
      <c r="J1913" s="23"/>
      <c r="K1913" s="25">
        <f t="shared" ref="K1913:L1913" si="390">SUM(K1911:K1912)</f>
        <v>48</v>
      </c>
      <c r="L1913" s="23">
        <f t="shared" si="390"/>
        <v>9.8279999999999994</v>
      </c>
      <c r="M1913" s="20"/>
      <c r="N1913" s="20"/>
      <c r="O1913" s="20"/>
      <c r="P1913" s="20"/>
      <c r="Q1913" s="155"/>
      <c r="R1913" s="155"/>
    </row>
    <row r="1914" spans="1:19" s="251" customFormat="1" ht="15.6">
      <c r="A1914" s="20"/>
      <c r="B1914" s="21"/>
      <c r="C1914" s="20"/>
      <c r="D1914" s="20"/>
      <c r="E1914" s="20"/>
      <c r="F1914" s="20"/>
      <c r="G1914" s="20"/>
      <c r="H1914" s="20"/>
      <c r="I1914" s="115"/>
      <c r="J1914" s="23"/>
      <c r="K1914" s="25"/>
      <c r="L1914" s="23"/>
      <c r="M1914" s="20"/>
      <c r="N1914" s="20"/>
      <c r="O1914" s="20"/>
      <c r="P1914" s="20"/>
      <c r="Q1914" s="155"/>
      <c r="R1914" s="155"/>
    </row>
    <row r="1915" spans="1:19" s="251" customFormat="1" ht="15.6">
      <c r="A1915" s="21" t="s">
        <v>83</v>
      </c>
      <c r="B1915" s="21" t="s">
        <v>297</v>
      </c>
      <c r="C1915" s="21" t="s">
        <v>19</v>
      </c>
      <c r="D1915" s="21" t="s">
        <v>20</v>
      </c>
      <c r="E1915" s="401" t="s">
        <v>259</v>
      </c>
      <c r="F1915" s="22">
        <v>16</v>
      </c>
      <c r="G1915" s="20" t="s">
        <v>21</v>
      </c>
      <c r="H1915" s="143" t="s">
        <v>177</v>
      </c>
      <c r="I1915" s="115">
        <v>27.3</v>
      </c>
      <c r="J1915" s="23">
        <v>12</v>
      </c>
      <c r="K1915" s="25">
        <v>10</v>
      </c>
      <c r="L1915" s="100">
        <f>(I1915*J1915*K1915/1000)</f>
        <v>3.2759999999999998</v>
      </c>
      <c r="M1915" s="20"/>
      <c r="N1915" s="20"/>
      <c r="O1915" s="20"/>
      <c r="P1915" s="20"/>
      <c r="Q1915" s="155"/>
      <c r="R1915" s="155"/>
      <c r="S1915" s="497" t="s">
        <v>355</v>
      </c>
    </row>
    <row r="1916" spans="1:19" s="251" customFormat="1" ht="15.6">
      <c r="A1916" s="21"/>
      <c r="B1916" s="21" t="s">
        <v>277</v>
      </c>
      <c r="C1916" s="21"/>
      <c r="D1916" s="21"/>
      <c r="E1916" s="401"/>
      <c r="F1916" s="22"/>
      <c r="G1916" s="20"/>
      <c r="H1916" s="20"/>
      <c r="I1916" s="115"/>
      <c r="J1916" s="23"/>
      <c r="K1916" s="25">
        <f t="shared" ref="K1916:L1916" si="391">SUM(K1915)</f>
        <v>10</v>
      </c>
      <c r="L1916" s="124">
        <f t="shared" si="391"/>
        <v>3.2759999999999998</v>
      </c>
      <c r="M1916" s="20"/>
      <c r="N1916" s="20"/>
      <c r="O1916" s="20"/>
      <c r="P1916" s="20"/>
      <c r="Q1916" s="155"/>
      <c r="R1916" s="155"/>
    </row>
    <row r="1917" spans="1:19" s="251" customFormat="1" ht="15.6">
      <c r="A1917" s="21"/>
      <c r="B1917" s="21"/>
      <c r="C1917" s="21"/>
      <c r="D1917" s="21"/>
      <c r="E1917" s="401"/>
      <c r="F1917" s="22"/>
      <c r="G1917" s="20"/>
      <c r="H1917" s="20"/>
      <c r="I1917" s="115"/>
      <c r="J1917" s="23"/>
      <c r="K1917" s="25"/>
      <c r="L1917" s="124"/>
      <c r="M1917" s="20"/>
      <c r="N1917" s="20"/>
      <c r="O1917" s="20"/>
      <c r="P1917" s="20"/>
      <c r="Q1917" s="155"/>
      <c r="R1917" s="155"/>
    </row>
    <row r="1918" spans="1:19" s="251" customFormat="1" ht="15.6">
      <c r="A1918" s="21" t="s">
        <v>83</v>
      </c>
      <c r="B1918" s="21" t="s">
        <v>309</v>
      </c>
      <c r="C1918" s="21" t="s">
        <v>19</v>
      </c>
      <c r="D1918" s="21" t="s">
        <v>20</v>
      </c>
      <c r="E1918" s="401" t="s">
        <v>259</v>
      </c>
      <c r="F1918" s="22">
        <v>16</v>
      </c>
      <c r="G1918" s="20" t="s">
        <v>21</v>
      </c>
      <c r="H1918" s="143" t="s">
        <v>177</v>
      </c>
      <c r="I1918" s="115">
        <v>27.3</v>
      </c>
      <c r="J1918" s="23">
        <v>9.1</v>
      </c>
      <c r="K1918" s="25">
        <v>8</v>
      </c>
      <c r="L1918" s="100">
        <f>(I1918*J1918*K1918/1000)</f>
        <v>1.9874400000000001</v>
      </c>
      <c r="M1918" s="20"/>
      <c r="N1918" s="20"/>
      <c r="O1918" s="20"/>
      <c r="P1918" s="20"/>
      <c r="Q1918" s="155"/>
      <c r="R1918" s="155"/>
      <c r="S1918" s="497" t="s">
        <v>355</v>
      </c>
    </row>
    <row r="1919" spans="1:19" s="251" customFormat="1" ht="15.6">
      <c r="A1919" s="21"/>
      <c r="B1919" s="21" t="s">
        <v>277</v>
      </c>
      <c r="C1919" s="21"/>
      <c r="D1919" s="21"/>
      <c r="E1919" s="401"/>
      <c r="F1919" s="22"/>
      <c r="G1919" s="20"/>
      <c r="H1919" s="20"/>
      <c r="I1919" s="115"/>
      <c r="J1919" s="23"/>
      <c r="K1919" s="25">
        <f t="shared" ref="K1919:L1919" si="392">SUM(K1918)</f>
        <v>8</v>
      </c>
      <c r="L1919" s="124">
        <f t="shared" si="392"/>
        <v>1.9874400000000001</v>
      </c>
      <c r="M1919" s="20"/>
      <c r="N1919" s="20"/>
      <c r="O1919" s="20"/>
      <c r="P1919" s="20"/>
      <c r="Q1919" s="155"/>
      <c r="R1919" s="155"/>
    </row>
    <row r="1920" spans="1:19" s="251" customFormat="1" ht="15.6">
      <c r="A1920" s="20"/>
      <c r="B1920" s="20"/>
      <c r="C1920" s="20"/>
      <c r="D1920" s="20"/>
      <c r="E1920" s="20"/>
      <c r="F1920" s="20"/>
      <c r="G1920" s="20"/>
      <c r="H1920" s="20"/>
      <c r="I1920" s="115"/>
      <c r="J1920" s="23"/>
      <c r="K1920" s="154">
        <f>SUM(K1898:K1919)/2</f>
        <v>178</v>
      </c>
      <c r="L1920" s="124">
        <f>SUM(L1898:L1919)/2</f>
        <v>45.050460000000008</v>
      </c>
      <c r="M1920" s="154">
        <f>SUM(M1898:M1919)/2</f>
        <v>6</v>
      </c>
      <c r="N1920" s="124">
        <f>SUM(N1898:N1919)/2</f>
        <v>1.2121200000000001</v>
      </c>
      <c r="O1920" s="20"/>
      <c r="P1920" s="20"/>
      <c r="Q1920" s="155"/>
      <c r="R1920" s="155"/>
    </row>
    <row r="1921" spans="1:21" s="251" customFormat="1" ht="15.6">
      <c r="A1921" s="20"/>
      <c r="B1921" s="20"/>
      <c r="C1921" s="20"/>
      <c r="D1921" s="20"/>
      <c r="E1921" s="20"/>
      <c r="F1921" s="20"/>
      <c r="G1921" s="20"/>
      <c r="H1921" s="20"/>
      <c r="I1921" s="115"/>
      <c r="J1921" s="23"/>
      <c r="K1921" s="25"/>
      <c r="L1921" s="124"/>
      <c r="M1921" s="20"/>
      <c r="N1921" s="20"/>
      <c r="O1921" s="20"/>
      <c r="P1921" s="20"/>
      <c r="Q1921" s="155"/>
      <c r="R1921" s="155"/>
    </row>
    <row r="1922" spans="1:21" s="251" customFormat="1" ht="15.6">
      <c r="A1922" s="20"/>
      <c r="B1922" s="20"/>
      <c r="C1922" s="20"/>
      <c r="D1922" s="20"/>
      <c r="E1922" s="20"/>
      <c r="F1922" s="20"/>
      <c r="G1922" s="20"/>
      <c r="H1922" s="20"/>
      <c r="I1922" s="115"/>
      <c r="J1922" s="23"/>
      <c r="K1922" s="25"/>
      <c r="L1922" s="124"/>
      <c r="M1922" s="20"/>
      <c r="N1922" s="20"/>
      <c r="O1922" s="20"/>
      <c r="P1922" s="20"/>
      <c r="Q1922" s="155"/>
      <c r="R1922" s="155"/>
    </row>
    <row r="1923" spans="1:21" s="251" customFormat="1" ht="15.6">
      <c r="A1923" s="21" t="s">
        <v>174</v>
      </c>
      <c r="B1923" s="21" t="s">
        <v>299</v>
      </c>
      <c r="C1923" s="21" t="s">
        <v>19</v>
      </c>
      <c r="D1923" s="21" t="s">
        <v>20</v>
      </c>
      <c r="E1923" s="63" t="s">
        <v>51</v>
      </c>
      <c r="F1923" s="22">
        <v>16</v>
      </c>
      <c r="G1923" s="20" t="s">
        <v>21</v>
      </c>
      <c r="H1923" s="143" t="s">
        <v>177</v>
      </c>
      <c r="I1923" s="115">
        <v>27.3</v>
      </c>
      <c r="J1923" s="23">
        <v>7.2</v>
      </c>
      <c r="K1923" s="25">
        <v>64</v>
      </c>
      <c r="L1923" s="100">
        <f t="shared" ref="L1923:L1925" si="393">(I1923*J1923*K1923/1000)</f>
        <v>12.579840000000001</v>
      </c>
      <c r="M1923" s="20"/>
      <c r="N1923" s="20"/>
      <c r="O1923" s="20"/>
      <c r="P1923" s="20"/>
      <c r="Q1923" s="155"/>
      <c r="R1923" s="155"/>
      <c r="S1923" s="251">
        <f>12+12+13+8+13+6</f>
        <v>64</v>
      </c>
      <c r="T1923" s="126">
        <f>J1923*S1923*I1923/1000</f>
        <v>12.579840000000001</v>
      </c>
      <c r="U1923" s="497" t="s">
        <v>370</v>
      </c>
    </row>
    <row r="1924" spans="1:21" s="251" customFormat="1" ht="15.6">
      <c r="A1924" s="20"/>
      <c r="B1924" s="20" t="s">
        <v>250</v>
      </c>
      <c r="C1924" s="20"/>
      <c r="D1924" s="20"/>
      <c r="E1924" s="20"/>
      <c r="F1924" s="20"/>
      <c r="G1924" s="20" t="s">
        <v>21</v>
      </c>
      <c r="H1924" s="20" t="s">
        <v>177</v>
      </c>
      <c r="I1924" s="115">
        <v>27.3</v>
      </c>
      <c r="J1924" s="23">
        <v>11.9</v>
      </c>
      <c r="K1924" s="25">
        <v>2</v>
      </c>
      <c r="L1924" s="100">
        <f t="shared" si="393"/>
        <v>0.64973999999999998</v>
      </c>
      <c r="M1924" s="20"/>
      <c r="N1924" s="20"/>
      <c r="O1924" s="23">
        <v>8.4</v>
      </c>
      <c r="P1924" s="20"/>
      <c r="Q1924" s="155"/>
      <c r="R1924" s="155"/>
    </row>
    <row r="1925" spans="1:21" s="251" customFormat="1" ht="15.6">
      <c r="A1925" s="20"/>
      <c r="B1925" s="20"/>
      <c r="C1925" s="20"/>
      <c r="D1925" s="20"/>
      <c r="E1925" s="20"/>
      <c r="F1925" s="20"/>
      <c r="G1925" s="20" t="s">
        <v>21</v>
      </c>
      <c r="H1925" s="20" t="s">
        <v>177</v>
      </c>
      <c r="I1925" s="115">
        <v>27.3</v>
      </c>
      <c r="J1925" s="23">
        <v>11.9</v>
      </c>
      <c r="K1925" s="25">
        <v>7</v>
      </c>
      <c r="L1925" s="100">
        <f t="shared" si="393"/>
        <v>2.2740900000000002</v>
      </c>
      <c r="M1925" s="20"/>
      <c r="N1925" s="20"/>
      <c r="O1925" s="20"/>
      <c r="P1925" s="20"/>
      <c r="Q1925" s="155"/>
      <c r="R1925" s="155"/>
    </row>
    <row r="1926" spans="1:21" s="251" customFormat="1" ht="15.6">
      <c r="A1926" s="20"/>
      <c r="B1926" s="20"/>
      <c r="C1926" s="20"/>
      <c r="D1926" s="20"/>
      <c r="E1926" s="20"/>
      <c r="F1926" s="20"/>
      <c r="G1926" s="20"/>
      <c r="H1926" s="20"/>
      <c r="I1926" s="104"/>
      <c r="J1926" s="23"/>
      <c r="K1926" s="25">
        <f t="shared" ref="K1926" si="394">SUM(K1923:K1925)</f>
        <v>73</v>
      </c>
      <c r="L1926" s="124">
        <f>SUM(L1923:L1925)</f>
        <v>15.50367</v>
      </c>
      <c r="M1926" s="20"/>
      <c r="N1926" s="20"/>
      <c r="O1926" s="20"/>
      <c r="P1926" s="20"/>
      <c r="Q1926" s="20"/>
      <c r="R1926" s="20"/>
      <c r="S1926" s="25">
        <f t="shared" ref="S1926" si="395">SUM(S1923:S1925)</f>
        <v>64</v>
      </c>
      <c r="T1926" s="124">
        <f>SUM(T1923:T1925)</f>
        <v>12.579840000000001</v>
      </c>
    </row>
    <row r="1927" spans="1:21" s="251" customFormat="1" ht="15.6">
      <c r="A1927" s="20"/>
      <c r="B1927" s="20"/>
      <c r="C1927" s="20"/>
      <c r="D1927" s="20"/>
      <c r="E1927" s="20"/>
      <c r="F1927" s="20"/>
      <c r="G1927" s="20"/>
      <c r="H1927" s="20"/>
      <c r="I1927" s="115"/>
      <c r="J1927" s="23"/>
      <c r="K1927" s="25"/>
      <c r="L1927" s="124"/>
      <c r="M1927" s="20"/>
      <c r="N1927" s="20"/>
      <c r="O1927" s="20"/>
      <c r="P1927" s="20"/>
      <c r="Q1927" s="155"/>
      <c r="R1927" s="155"/>
    </row>
    <row r="1928" spans="1:21" s="251" customFormat="1" ht="15.6">
      <c r="A1928" s="21" t="s">
        <v>174</v>
      </c>
      <c r="B1928" s="21" t="s">
        <v>300</v>
      </c>
      <c r="C1928" s="21" t="s">
        <v>19</v>
      </c>
      <c r="D1928" s="21" t="s">
        <v>20</v>
      </c>
      <c r="E1928" s="63" t="s">
        <v>51</v>
      </c>
      <c r="F1928" s="22">
        <v>16</v>
      </c>
      <c r="G1928" s="20" t="s">
        <v>21</v>
      </c>
      <c r="H1928" s="143" t="s">
        <v>177</v>
      </c>
      <c r="I1928" s="115">
        <v>27.3</v>
      </c>
      <c r="J1928" s="23">
        <v>7.2</v>
      </c>
      <c r="K1928" s="25">
        <v>99</v>
      </c>
      <c r="L1928" s="100">
        <f>(I1928*J1928*K1928/1000)</f>
        <v>19.459439999999997</v>
      </c>
      <c r="M1928" s="20"/>
      <c r="N1928" s="20"/>
      <c r="O1928" s="20"/>
      <c r="P1928" s="20"/>
      <c r="Q1928" s="155"/>
      <c r="R1928" s="155"/>
      <c r="S1928" s="497">
        <f>13+13+13+13+6</f>
        <v>58</v>
      </c>
      <c r="T1928" s="126">
        <f>J1928*S1928*I1928/1000</f>
        <v>11.400480000000002</v>
      </c>
    </row>
    <row r="1929" spans="1:21" s="251" customFormat="1" ht="15.6">
      <c r="A1929" s="20"/>
      <c r="B1929" s="20" t="s">
        <v>244</v>
      </c>
      <c r="C1929" s="20"/>
      <c r="D1929" s="20"/>
      <c r="E1929" s="20"/>
      <c r="F1929" s="20"/>
      <c r="G1929" s="20"/>
      <c r="H1929" s="20"/>
      <c r="I1929" s="104"/>
      <c r="J1929" s="23"/>
      <c r="K1929" s="25">
        <f>SUM(K1928:K1928)</f>
        <v>99</v>
      </c>
      <c r="L1929" s="124">
        <f>SUM(L1928:L1928)</f>
        <v>19.459439999999997</v>
      </c>
      <c r="M1929" s="20"/>
      <c r="N1929" s="20"/>
      <c r="O1929" s="20"/>
      <c r="P1929" s="20"/>
      <c r="Q1929" s="20"/>
      <c r="R1929" s="20"/>
      <c r="S1929" s="25">
        <f>SUM(S1928:S1928)</f>
        <v>58</v>
      </c>
      <c r="T1929" s="124">
        <f>SUM(T1928:T1928)</f>
        <v>11.400480000000002</v>
      </c>
      <c r="U1929" s="497" t="s">
        <v>369</v>
      </c>
    </row>
    <row r="1930" spans="1:21" s="251" customFormat="1" ht="15.6">
      <c r="A1930" s="20"/>
      <c r="B1930" s="20"/>
      <c r="C1930" s="20"/>
      <c r="D1930" s="20"/>
      <c r="E1930" s="20"/>
      <c r="F1930" s="20"/>
      <c r="G1930" s="20"/>
      <c r="H1930" s="20"/>
      <c r="I1930" s="104"/>
      <c r="J1930" s="23"/>
      <c r="K1930" s="25"/>
      <c r="L1930" s="124"/>
      <c r="M1930" s="20"/>
      <c r="N1930" s="20"/>
      <c r="O1930" s="20"/>
      <c r="P1930" s="20"/>
      <c r="Q1930" s="155"/>
      <c r="R1930" s="155"/>
    </row>
    <row r="1931" spans="1:21" s="251" customFormat="1" ht="15.6">
      <c r="A1931" s="21" t="s">
        <v>174</v>
      </c>
      <c r="B1931" s="21" t="s">
        <v>324</v>
      </c>
      <c r="C1931" s="21" t="s">
        <v>19</v>
      </c>
      <c r="D1931" s="21" t="s">
        <v>20</v>
      </c>
      <c r="E1931" s="63" t="s">
        <v>51</v>
      </c>
      <c r="F1931" s="22">
        <v>16</v>
      </c>
      <c r="G1931" s="296" t="s">
        <v>21</v>
      </c>
      <c r="H1931" s="143" t="s">
        <v>177</v>
      </c>
      <c r="I1931" s="452">
        <v>27.3</v>
      </c>
      <c r="J1931" s="444">
        <v>6.6</v>
      </c>
      <c r="K1931" s="445">
        <v>68</v>
      </c>
      <c r="L1931" s="100">
        <f t="shared" ref="L1931:L1935" si="396">(I1931*J1931*K1931/1000)</f>
        <v>12.25224</v>
      </c>
      <c r="M1931" s="20"/>
      <c r="N1931" s="20"/>
      <c r="O1931" s="20"/>
      <c r="P1931" s="20"/>
      <c r="Q1931" s="155"/>
      <c r="R1931" s="155"/>
      <c r="S1931" s="251">
        <f>15+7</f>
        <v>22</v>
      </c>
      <c r="T1931" s="126">
        <f t="shared" ref="T1931:T1933" si="397">J1931*S1931*I1931/1000</f>
        <v>3.9639599999999997</v>
      </c>
      <c r="U1931" s="497" t="s">
        <v>369</v>
      </c>
    </row>
    <row r="1932" spans="1:21" s="251" customFormat="1" ht="15.6">
      <c r="A1932" s="20"/>
      <c r="B1932" s="20"/>
      <c r="C1932" s="20"/>
      <c r="D1932" s="20"/>
      <c r="E1932" s="20"/>
      <c r="F1932" s="20"/>
      <c r="G1932" s="296" t="s">
        <v>21</v>
      </c>
      <c r="H1932" s="296" t="s">
        <v>177</v>
      </c>
      <c r="I1932" s="452">
        <v>27.3</v>
      </c>
      <c r="J1932" s="444">
        <v>6.8</v>
      </c>
      <c r="K1932" s="445">
        <v>92</v>
      </c>
      <c r="L1932" s="100">
        <f t="shared" si="396"/>
        <v>17.078879999999998</v>
      </c>
      <c r="M1932" s="20"/>
      <c r="N1932" s="20"/>
      <c r="O1932" s="20"/>
      <c r="P1932" s="20"/>
      <c r="Q1932" s="155"/>
      <c r="R1932" s="155"/>
      <c r="S1932" s="497">
        <f>15+15+10+2</f>
        <v>42</v>
      </c>
      <c r="T1932" s="126">
        <f t="shared" si="397"/>
        <v>7.7968799999999989</v>
      </c>
    </row>
    <row r="1933" spans="1:21" s="251" customFormat="1" ht="15.6">
      <c r="A1933" s="20"/>
      <c r="B1933" s="20"/>
      <c r="C1933" s="20"/>
      <c r="D1933" s="20"/>
      <c r="E1933" s="20"/>
      <c r="F1933" s="20"/>
      <c r="G1933" s="296" t="s">
        <v>21</v>
      </c>
      <c r="H1933" s="296" t="s">
        <v>177</v>
      </c>
      <c r="I1933" s="452">
        <v>27.3</v>
      </c>
      <c r="J1933" s="444">
        <v>7.3</v>
      </c>
      <c r="K1933" s="445">
        <v>29</v>
      </c>
      <c r="L1933" s="100">
        <f t="shared" si="396"/>
        <v>5.7794099999999995</v>
      </c>
      <c r="M1933" s="20"/>
      <c r="N1933" s="20"/>
      <c r="O1933" s="20"/>
      <c r="P1933" s="20"/>
      <c r="Q1933" s="155"/>
      <c r="R1933" s="155"/>
      <c r="S1933" s="251">
        <v>6</v>
      </c>
      <c r="T1933" s="126">
        <f t="shared" si="397"/>
        <v>1.19574</v>
      </c>
    </row>
    <row r="1934" spans="1:21" s="251" customFormat="1" ht="15.6">
      <c r="A1934" s="20"/>
      <c r="B1934" s="20"/>
      <c r="C1934" s="20"/>
      <c r="D1934" s="20"/>
      <c r="E1934" s="20"/>
      <c r="F1934" s="20"/>
      <c r="G1934" s="296" t="s">
        <v>21</v>
      </c>
      <c r="H1934" s="296" t="s">
        <v>177</v>
      </c>
      <c r="I1934" s="452">
        <v>27.3</v>
      </c>
      <c r="J1934" s="444">
        <v>8.1</v>
      </c>
      <c r="K1934" s="445">
        <v>9</v>
      </c>
      <c r="L1934" s="100">
        <f t="shared" si="396"/>
        <v>1.99017</v>
      </c>
      <c r="M1934" s="20"/>
      <c r="N1934" s="20"/>
      <c r="O1934" s="20"/>
      <c r="P1934" s="20"/>
      <c r="Q1934" s="155"/>
      <c r="R1934" s="155"/>
    </row>
    <row r="1935" spans="1:21" s="251" customFormat="1" ht="15.6">
      <c r="A1935" s="20"/>
      <c r="B1935" s="20"/>
      <c r="C1935" s="20"/>
      <c r="D1935" s="20"/>
      <c r="E1935" s="20"/>
      <c r="F1935" s="20"/>
      <c r="G1935" s="296" t="s">
        <v>21</v>
      </c>
      <c r="H1935" s="296" t="s">
        <v>177</v>
      </c>
      <c r="I1935" s="452">
        <v>27.3</v>
      </c>
      <c r="J1935" s="444">
        <v>11.4</v>
      </c>
      <c r="K1935" s="445">
        <v>19</v>
      </c>
      <c r="L1935" s="100">
        <f t="shared" si="396"/>
        <v>5.9131800000000005</v>
      </c>
      <c r="M1935" s="20"/>
      <c r="N1935" s="20"/>
      <c r="O1935" s="20"/>
      <c r="P1935" s="20"/>
      <c r="Q1935" s="155"/>
      <c r="R1935" s="155"/>
      <c r="S1935" s="251">
        <v>9</v>
      </c>
      <c r="T1935" s="126">
        <f>J1935*S1935*I1935/1000</f>
        <v>2.8009800000000005</v>
      </c>
    </row>
    <row r="1936" spans="1:21" s="251" customFormat="1" ht="15.6">
      <c r="A1936" s="20"/>
      <c r="B1936" s="20"/>
      <c r="C1936" s="20"/>
      <c r="D1936" s="20"/>
      <c r="E1936" s="20"/>
      <c r="F1936" s="20"/>
      <c r="G1936" s="296"/>
      <c r="H1936" s="296"/>
      <c r="I1936" s="452"/>
      <c r="J1936" s="444"/>
      <c r="K1936" s="445">
        <f t="shared" ref="K1936:M1936" si="398">SUM(K1931:K1935)</f>
        <v>217</v>
      </c>
      <c r="L1936" s="444">
        <f>SUM(L1931:L1935)</f>
        <v>43.01388</v>
      </c>
      <c r="M1936" s="445">
        <f t="shared" si="398"/>
        <v>0</v>
      </c>
      <c r="N1936" s="444">
        <f>SUM(N1931:N1935)</f>
        <v>0</v>
      </c>
      <c r="O1936" s="20"/>
      <c r="P1936" s="20"/>
      <c r="Q1936" s="20"/>
      <c r="R1936" s="20"/>
      <c r="S1936" s="445">
        <f>SUM(S1931:S1935)</f>
        <v>79</v>
      </c>
      <c r="T1936" s="444">
        <f>SUM(T1931:T1935)</f>
        <v>15.75756</v>
      </c>
    </row>
    <row r="1937" spans="1:21" s="251" customFormat="1" ht="15.6">
      <c r="A1937" s="20"/>
      <c r="B1937" s="20"/>
      <c r="C1937" s="20"/>
      <c r="D1937" s="20"/>
      <c r="E1937" s="20"/>
      <c r="F1937" s="20"/>
      <c r="G1937" s="20"/>
      <c r="H1937" s="20"/>
      <c r="I1937" s="115"/>
      <c r="J1937" s="23"/>
      <c r="K1937" s="154">
        <f>SUM(K1923:K1936)/2</f>
        <v>389</v>
      </c>
      <c r="L1937" s="124">
        <f>SUM(L1923:L1936)/2</f>
        <v>77.976990000000001</v>
      </c>
      <c r="M1937" s="154">
        <f>SUM(M1923:M1936)/2</f>
        <v>0</v>
      </c>
      <c r="N1937" s="124">
        <f>SUM(N1923:N1936)/2</f>
        <v>0</v>
      </c>
      <c r="O1937" s="20"/>
      <c r="P1937" s="20"/>
      <c r="Q1937" s="155"/>
      <c r="R1937" s="155"/>
      <c r="T1937" s="124">
        <f>SUM(T1923:T1936)/2</f>
        <v>39.737880000000004</v>
      </c>
    </row>
    <row r="1938" spans="1:21" s="251" customFormat="1" ht="15.6">
      <c r="A1938" s="20"/>
      <c r="B1938" s="20"/>
      <c r="C1938" s="20"/>
      <c r="D1938" s="20"/>
      <c r="E1938" s="20"/>
      <c r="F1938" s="20"/>
      <c r="G1938" s="20"/>
      <c r="H1938" s="20"/>
      <c r="I1938" s="115"/>
      <c r="J1938" s="23"/>
      <c r="K1938" s="154"/>
      <c r="L1938" s="124"/>
      <c r="M1938" s="20"/>
      <c r="N1938" s="20"/>
      <c r="O1938" s="20"/>
      <c r="P1938" s="20"/>
      <c r="Q1938" s="155"/>
      <c r="R1938" s="155"/>
    </row>
    <row r="1939" spans="1:21" s="251" customFormat="1" ht="15.6">
      <c r="A1939" s="20"/>
      <c r="B1939" s="20"/>
      <c r="C1939" s="20"/>
      <c r="D1939" s="20"/>
      <c r="E1939" s="20"/>
      <c r="F1939" s="20"/>
      <c r="G1939" s="20"/>
      <c r="H1939" s="20"/>
      <c r="I1939" s="115"/>
      <c r="J1939" s="23"/>
      <c r="K1939" s="25"/>
      <c r="L1939" s="124"/>
      <c r="M1939" s="20"/>
      <c r="N1939" s="20"/>
      <c r="O1939" s="20"/>
      <c r="P1939" s="20"/>
      <c r="Q1939" s="155"/>
      <c r="R1939" s="155"/>
    </row>
    <row r="1940" spans="1:21" ht="15.6">
      <c r="A1940" s="21" t="s">
        <v>83</v>
      </c>
      <c r="B1940" s="21" t="s">
        <v>222</v>
      </c>
      <c r="C1940" s="21" t="s">
        <v>19</v>
      </c>
      <c r="D1940" s="21" t="s">
        <v>20</v>
      </c>
      <c r="E1940" s="21" t="s">
        <v>57</v>
      </c>
      <c r="F1940" s="22">
        <v>16</v>
      </c>
      <c r="G1940" s="20" t="s">
        <v>21</v>
      </c>
      <c r="H1940" s="143" t="s">
        <v>176</v>
      </c>
      <c r="I1940" s="115">
        <v>23</v>
      </c>
      <c r="J1940" s="23">
        <v>9.3000000000000007</v>
      </c>
      <c r="K1940" s="25">
        <v>10</v>
      </c>
      <c r="L1940" s="100">
        <f>(I1940*J1940*K1940/1000)</f>
        <v>2.1389999999999998</v>
      </c>
      <c r="M1940" s="20"/>
      <c r="N1940" s="20"/>
      <c r="O1940" s="20"/>
      <c r="P1940" s="20"/>
      <c r="Q1940" s="155"/>
      <c r="R1940" s="155"/>
      <c r="S1940" s="497"/>
      <c r="U1940" s="497" t="s">
        <v>337</v>
      </c>
    </row>
    <row r="1941" spans="1:21" ht="15.6">
      <c r="A1941" s="20"/>
      <c r="B1941" s="21" t="s">
        <v>204</v>
      </c>
      <c r="C1941" s="20"/>
      <c r="D1941" s="20"/>
      <c r="E1941" s="20"/>
      <c r="F1941" s="20"/>
      <c r="G1941" s="20" t="s">
        <v>21</v>
      </c>
      <c r="H1941" s="20" t="s">
        <v>176</v>
      </c>
      <c r="I1941" s="115">
        <v>23</v>
      </c>
      <c r="J1941" s="23">
        <v>10.9</v>
      </c>
      <c r="K1941" s="25">
        <v>4</v>
      </c>
      <c r="L1941" s="100">
        <f>(I1941*J1941*K1941/1000)</f>
        <v>1.0028000000000001</v>
      </c>
      <c r="M1941" s="20"/>
      <c r="N1941" s="20"/>
      <c r="O1941" s="20"/>
      <c r="P1941" s="20"/>
      <c r="Q1941" s="155"/>
      <c r="R1941" s="155"/>
    </row>
    <row r="1942" spans="1:21" ht="15.6">
      <c r="A1942" s="20"/>
      <c r="B1942" s="20"/>
      <c r="C1942" s="20"/>
      <c r="D1942" s="20"/>
      <c r="E1942" s="20"/>
      <c r="F1942" s="20"/>
      <c r="G1942" s="20"/>
      <c r="H1942" s="20"/>
      <c r="I1942" s="115"/>
      <c r="J1942" s="23"/>
      <c r="K1942" s="25">
        <f t="shared" ref="K1942:L1942" si="399">SUM(K1940:K1941)</f>
        <v>14</v>
      </c>
      <c r="L1942" s="124">
        <f t="shared" si="399"/>
        <v>3.1417999999999999</v>
      </c>
      <c r="M1942" s="20"/>
      <c r="N1942" s="20"/>
      <c r="O1942" s="20"/>
      <c r="P1942" s="20"/>
      <c r="Q1942" s="155"/>
      <c r="R1942" s="155"/>
    </row>
    <row r="1943" spans="1:21" s="251" customFormat="1" ht="15.6">
      <c r="A1943" s="20"/>
      <c r="B1943" s="20"/>
      <c r="C1943" s="20"/>
      <c r="D1943" s="20"/>
      <c r="E1943" s="20"/>
      <c r="F1943" s="20"/>
      <c r="G1943" s="20"/>
      <c r="H1943" s="20"/>
      <c r="I1943" s="115"/>
      <c r="J1943" s="23"/>
      <c r="K1943" s="25"/>
      <c r="L1943" s="124"/>
      <c r="M1943" s="20"/>
      <c r="N1943" s="20"/>
      <c r="O1943" s="20"/>
      <c r="P1943" s="20"/>
      <c r="Q1943" s="155"/>
      <c r="R1943" s="155"/>
    </row>
    <row r="1944" spans="1:21" s="251" customFormat="1" ht="15.6">
      <c r="A1944" s="21" t="s">
        <v>174</v>
      </c>
      <c r="B1944" s="21" t="s">
        <v>243</v>
      </c>
      <c r="C1944" s="21" t="s">
        <v>19</v>
      </c>
      <c r="D1944" s="21" t="s">
        <v>20</v>
      </c>
      <c r="E1944" s="63" t="s">
        <v>51</v>
      </c>
      <c r="F1944" s="22">
        <v>16</v>
      </c>
      <c r="G1944" s="20" t="s">
        <v>21</v>
      </c>
      <c r="H1944" s="143" t="s">
        <v>176</v>
      </c>
      <c r="I1944" s="115">
        <v>23</v>
      </c>
      <c r="J1944" s="23">
        <v>6.6</v>
      </c>
      <c r="K1944" s="25">
        <v>8</v>
      </c>
      <c r="L1944" s="100">
        <f>(I1944*J1944*K1944/1000)</f>
        <v>1.2143999999999999</v>
      </c>
      <c r="M1944" s="20"/>
      <c r="N1944" s="20"/>
      <c r="O1944" s="20"/>
      <c r="P1944" s="20"/>
      <c r="Q1944" s="155"/>
      <c r="R1944" s="155"/>
      <c r="S1944" s="251">
        <v>1</v>
      </c>
      <c r="T1944" s="126">
        <f>J1944*S1944*I1944/1000</f>
        <v>0.15179999999999999</v>
      </c>
      <c r="U1944" s="497" t="s">
        <v>369</v>
      </c>
    </row>
    <row r="1945" spans="1:21" s="251" customFormat="1" ht="15.6">
      <c r="A1945" s="20"/>
      <c r="B1945" s="20" t="s">
        <v>250</v>
      </c>
      <c r="C1945" s="20"/>
      <c r="D1945" s="20"/>
      <c r="E1945" s="20"/>
      <c r="F1945" s="20"/>
      <c r="G1945" s="20"/>
      <c r="H1945" s="20"/>
      <c r="I1945" s="104"/>
      <c r="J1945" s="23"/>
      <c r="K1945" s="25">
        <f t="shared" ref="K1945" si="400">SUM(K1944)</f>
        <v>8</v>
      </c>
      <c r="L1945" s="124">
        <f>SUM(L1944)</f>
        <v>1.2143999999999999</v>
      </c>
      <c r="M1945" s="20"/>
      <c r="N1945" s="20"/>
      <c r="O1945" s="20"/>
      <c r="P1945" s="20"/>
      <c r="Q1945" s="20"/>
      <c r="R1945" s="20"/>
      <c r="S1945" s="25">
        <f t="shared" ref="S1945" si="401">SUM(S1944)</f>
        <v>1</v>
      </c>
      <c r="T1945" s="124">
        <f>SUM(T1944)</f>
        <v>0.15179999999999999</v>
      </c>
    </row>
    <row r="1946" spans="1:21" s="251" customFormat="1" ht="15.6">
      <c r="A1946" s="20"/>
      <c r="B1946" s="20"/>
      <c r="C1946" s="20"/>
      <c r="D1946" s="20"/>
      <c r="E1946" s="20"/>
      <c r="F1946" s="20"/>
      <c r="G1946" s="20"/>
      <c r="H1946" s="20"/>
      <c r="I1946" s="104"/>
      <c r="J1946" s="23"/>
      <c r="K1946" s="25"/>
      <c r="L1946" s="124"/>
      <c r="M1946" s="20"/>
      <c r="N1946" s="20"/>
      <c r="O1946" s="20"/>
      <c r="P1946" s="20"/>
      <c r="Q1946" s="155"/>
      <c r="R1946" s="155"/>
    </row>
    <row r="1947" spans="1:21" s="251" customFormat="1" ht="15.6">
      <c r="A1947" s="21" t="s">
        <v>174</v>
      </c>
      <c r="B1947" s="21" t="s">
        <v>324</v>
      </c>
      <c r="C1947" s="21" t="s">
        <v>19</v>
      </c>
      <c r="D1947" s="21" t="s">
        <v>20</v>
      </c>
      <c r="E1947" s="63" t="s">
        <v>51</v>
      </c>
      <c r="F1947" s="22">
        <v>16</v>
      </c>
      <c r="G1947" s="296" t="s">
        <v>21</v>
      </c>
      <c r="H1947" s="143" t="s">
        <v>176</v>
      </c>
      <c r="I1947" s="452">
        <v>23</v>
      </c>
      <c r="J1947" s="444">
        <v>6.6</v>
      </c>
      <c r="K1947" s="445">
        <v>24</v>
      </c>
      <c r="L1947" s="100">
        <f>(I1947*J1947*K1947/1000)</f>
        <v>3.6431999999999998</v>
      </c>
      <c r="M1947" s="20"/>
      <c r="N1947" s="20"/>
      <c r="O1947" s="20"/>
      <c r="P1947" s="20"/>
      <c r="Q1947" s="155"/>
      <c r="R1947" s="155"/>
      <c r="S1947" s="251">
        <f>12+12</f>
        <v>24</v>
      </c>
      <c r="T1947" s="126">
        <f>J1947*S1947*I1947/1000</f>
        <v>3.6431999999999993</v>
      </c>
      <c r="U1947" s="497" t="s">
        <v>369</v>
      </c>
    </row>
    <row r="1948" spans="1:21" s="251" customFormat="1" ht="15.6">
      <c r="A1948" s="20"/>
      <c r="B1948" s="131"/>
      <c r="C1948" s="20"/>
      <c r="D1948" s="20"/>
      <c r="E1948" s="20"/>
      <c r="F1948" s="20"/>
      <c r="G1948" s="296" t="s">
        <v>21</v>
      </c>
      <c r="H1948" s="296" t="s">
        <v>176</v>
      </c>
      <c r="I1948" s="452">
        <v>23</v>
      </c>
      <c r="J1948" s="444">
        <v>7.3</v>
      </c>
      <c r="K1948" s="445">
        <v>68</v>
      </c>
      <c r="L1948" s="100">
        <f>(I1948*J1948*K1948/1000)</f>
        <v>11.417200000000001</v>
      </c>
      <c r="M1948" s="20"/>
      <c r="N1948" s="20"/>
      <c r="O1948" s="20"/>
      <c r="P1948" s="20"/>
      <c r="Q1948" s="155"/>
      <c r="R1948" s="155"/>
      <c r="S1948" s="251">
        <f>11+9</f>
        <v>20</v>
      </c>
      <c r="T1948" s="497">
        <f t="shared" ref="T1948:T1949" si="402">J1948*S1948*I1948/1000</f>
        <v>3.3580000000000001</v>
      </c>
    </row>
    <row r="1949" spans="1:21" s="251" customFormat="1" ht="15.6">
      <c r="A1949" s="20"/>
      <c r="B1949" s="20"/>
      <c r="C1949" s="20"/>
      <c r="D1949" s="20"/>
      <c r="E1949" s="20"/>
      <c r="F1949" s="20"/>
      <c r="G1949" s="296" t="s">
        <v>21</v>
      </c>
      <c r="H1949" s="296" t="s">
        <v>176</v>
      </c>
      <c r="I1949" s="452">
        <v>23</v>
      </c>
      <c r="J1949" s="444">
        <v>10.5</v>
      </c>
      <c r="K1949" s="445">
        <v>17</v>
      </c>
      <c r="L1949" s="100">
        <f>(I1949*J1949*K1949/1000)</f>
        <v>4.1055000000000001</v>
      </c>
      <c r="M1949" s="20"/>
      <c r="N1949" s="20"/>
      <c r="O1949" s="20"/>
      <c r="P1949" s="20"/>
      <c r="Q1949" s="155"/>
      <c r="R1949" s="155"/>
      <c r="S1949" s="251">
        <v>6</v>
      </c>
      <c r="T1949" s="497">
        <f t="shared" si="402"/>
        <v>1.4490000000000001</v>
      </c>
    </row>
    <row r="1950" spans="1:21" s="251" customFormat="1" ht="15.6">
      <c r="A1950" s="20"/>
      <c r="B1950" s="20"/>
      <c r="C1950" s="20"/>
      <c r="D1950" s="20"/>
      <c r="E1950" s="20"/>
      <c r="F1950" s="20"/>
      <c r="G1950" s="296"/>
      <c r="H1950" s="296"/>
      <c r="I1950" s="452"/>
      <c r="J1950" s="444"/>
      <c r="K1950" s="445">
        <f>SUM(K1947:K1949)</f>
        <v>109</v>
      </c>
      <c r="L1950" s="444">
        <f>SUM(L1947:L1949)</f>
        <v>19.165900000000001</v>
      </c>
      <c r="M1950" s="445">
        <f>SUM(M1947:M1949)</f>
        <v>0</v>
      </c>
      <c r="N1950" s="444">
        <f>SUM(N1947:N1949)</f>
        <v>0</v>
      </c>
      <c r="O1950" s="20"/>
      <c r="P1950" s="20"/>
      <c r="Q1950" s="20"/>
      <c r="R1950" s="20"/>
      <c r="S1950" s="445">
        <f>SUM(S1947:S1949)</f>
        <v>50</v>
      </c>
      <c r="T1950" s="444">
        <f>SUM(T1947:T1949)</f>
        <v>8.4501999999999988</v>
      </c>
    </row>
    <row r="1951" spans="1:21" s="251" customFormat="1" ht="15.6">
      <c r="A1951" s="20"/>
      <c r="B1951" s="20"/>
      <c r="C1951" s="20"/>
      <c r="D1951" s="20"/>
      <c r="E1951" s="20"/>
      <c r="F1951" s="20"/>
      <c r="G1951" s="20"/>
      <c r="H1951" s="20"/>
      <c r="I1951" s="104"/>
      <c r="J1951" s="23"/>
      <c r="K1951" s="154">
        <f>+K1945+K1942+K1950</f>
        <v>131</v>
      </c>
      <c r="L1951" s="124">
        <f>+L1945+L1942+L1950</f>
        <v>23.522100000000002</v>
      </c>
      <c r="M1951" s="154">
        <f>+M1945+M1942+M1950</f>
        <v>0</v>
      </c>
      <c r="N1951" s="124">
        <f>+N1945+N1942+N1950</f>
        <v>0</v>
      </c>
      <c r="O1951" s="20"/>
      <c r="P1951" s="20"/>
      <c r="Q1951" s="155"/>
      <c r="R1951" s="155"/>
      <c r="T1951" s="124">
        <f>+T1945+T1942+T1950</f>
        <v>8.6019999999999985</v>
      </c>
    </row>
    <row r="1952" spans="1:21" s="251" customFormat="1" ht="15.6">
      <c r="A1952" s="20"/>
      <c r="B1952" s="20"/>
      <c r="C1952" s="20"/>
      <c r="D1952" s="20"/>
      <c r="E1952" s="20"/>
      <c r="F1952" s="20"/>
      <c r="G1952" s="20"/>
      <c r="H1952" s="20"/>
      <c r="I1952" s="104"/>
      <c r="J1952" s="23"/>
      <c r="K1952" s="154"/>
      <c r="L1952" s="124"/>
      <c r="M1952" s="20"/>
      <c r="N1952" s="20"/>
      <c r="O1952" s="20"/>
      <c r="P1952" s="20"/>
      <c r="Q1952" s="155"/>
      <c r="R1952" s="155"/>
    </row>
    <row r="1953" spans="1:19" s="251" customFormat="1" ht="15.6">
      <c r="A1953" s="20"/>
      <c r="B1953" s="20"/>
      <c r="C1953" s="20"/>
      <c r="D1953" s="20"/>
      <c r="E1953" s="20"/>
      <c r="F1953" s="20"/>
      <c r="G1953" s="20"/>
      <c r="H1953" s="20"/>
      <c r="I1953" s="104"/>
      <c r="J1953" s="23"/>
      <c r="K1953" s="154"/>
      <c r="L1953" s="124"/>
      <c r="M1953" s="20"/>
      <c r="N1953" s="20"/>
      <c r="O1953" s="20"/>
      <c r="P1953" s="20"/>
      <c r="Q1953" s="155"/>
      <c r="R1953" s="155"/>
    </row>
    <row r="1954" spans="1:19" s="251" customFormat="1" ht="15.6">
      <c r="A1954" s="20"/>
      <c r="B1954" s="20"/>
      <c r="C1954" s="20"/>
      <c r="D1954" s="20"/>
      <c r="E1954" s="20"/>
      <c r="F1954" s="20"/>
      <c r="G1954" s="20"/>
      <c r="H1954" s="20"/>
      <c r="I1954" s="104"/>
      <c r="J1954" s="23"/>
      <c r="K1954" s="154"/>
      <c r="L1954" s="124"/>
      <c r="M1954" s="20"/>
      <c r="N1954" s="20"/>
      <c r="O1954" s="20"/>
      <c r="P1954" s="20"/>
      <c r="Q1954" s="155"/>
      <c r="R1954" s="155"/>
    </row>
    <row r="1955" spans="1:19" s="251" customFormat="1" ht="15.6">
      <c r="A1955" s="20"/>
      <c r="B1955" s="20"/>
      <c r="C1955" s="20"/>
      <c r="D1955" s="20"/>
      <c r="E1955" s="20"/>
      <c r="F1955" s="20"/>
      <c r="G1955" s="20"/>
      <c r="H1955" s="20"/>
      <c r="I1955" s="104"/>
      <c r="J1955" s="23"/>
      <c r="K1955" s="154"/>
      <c r="L1955" s="124"/>
      <c r="M1955" s="20"/>
      <c r="N1955" s="20"/>
      <c r="O1955" s="20"/>
      <c r="P1955" s="20"/>
      <c r="Q1955" s="155"/>
      <c r="R1955" s="155"/>
    </row>
    <row r="1956" spans="1:19" s="251" customFormat="1" ht="15.6">
      <c r="A1956" s="21" t="s">
        <v>332</v>
      </c>
      <c r="B1956" s="21" t="s">
        <v>330</v>
      </c>
      <c r="C1956" s="21" t="s">
        <v>19</v>
      </c>
      <c r="D1956" s="21" t="s">
        <v>20</v>
      </c>
      <c r="E1956" s="401" t="s">
        <v>259</v>
      </c>
      <c r="F1956" s="22">
        <v>16</v>
      </c>
      <c r="G1956" s="296" t="s">
        <v>21</v>
      </c>
      <c r="H1956" s="143" t="s">
        <v>177</v>
      </c>
      <c r="I1956" s="452">
        <v>27.3</v>
      </c>
      <c r="J1956" s="495">
        <v>10</v>
      </c>
      <c r="K1956" s="496">
        <v>5</v>
      </c>
      <c r="L1956" s="100">
        <f>(I1956*J1956*K1956/1000)</f>
        <v>1.365</v>
      </c>
      <c r="M1956" s="20"/>
      <c r="N1956" s="20"/>
      <c r="O1956" s="20"/>
      <c r="P1956" s="20"/>
      <c r="Q1956" s="155"/>
      <c r="R1956" s="155"/>
      <c r="S1956" s="497" t="s">
        <v>355</v>
      </c>
    </row>
    <row r="1957" spans="1:19" s="251" customFormat="1" ht="15.6">
      <c r="A1957" s="20"/>
      <c r="B1957" s="131" t="s">
        <v>331</v>
      </c>
      <c r="C1957" s="20"/>
      <c r="D1957" s="20"/>
      <c r="E1957" s="20"/>
      <c r="F1957" s="20"/>
      <c r="G1957" s="296" t="s">
        <v>21</v>
      </c>
      <c r="H1957" s="296" t="s">
        <v>177</v>
      </c>
      <c r="I1957" s="452">
        <v>27.3</v>
      </c>
      <c r="J1957" s="495">
        <v>10.3</v>
      </c>
      <c r="K1957" s="496">
        <v>4</v>
      </c>
      <c r="L1957" s="100">
        <f>(I1957*J1957*K1957/1000)</f>
        <v>1.1247600000000002</v>
      </c>
      <c r="M1957" s="20"/>
      <c r="N1957" s="20"/>
      <c r="O1957" s="20"/>
      <c r="P1957" s="20"/>
      <c r="Q1957" s="155"/>
      <c r="R1957" s="155"/>
    </row>
    <row r="1958" spans="1:19" s="251" customFormat="1" ht="15.6">
      <c r="A1958" s="20"/>
      <c r="B1958" s="20"/>
      <c r="C1958" s="20"/>
      <c r="D1958" s="20"/>
      <c r="E1958" s="20"/>
      <c r="F1958" s="20"/>
      <c r="G1958" s="296" t="s">
        <v>21</v>
      </c>
      <c r="H1958" s="296" t="s">
        <v>177</v>
      </c>
      <c r="I1958" s="452">
        <v>27.3</v>
      </c>
      <c r="J1958" s="495">
        <v>10.5</v>
      </c>
      <c r="K1958" s="496">
        <v>5</v>
      </c>
      <c r="L1958" s="100">
        <f>(I1958*J1958*K1958/1000)</f>
        <v>1.4332500000000001</v>
      </c>
      <c r="M1958" s="20"/>
      <c r="N1958" s="20"/>
      <c r="O1958" s="20"/>
      <c r="P1958" s="20"/>
      <c r="Q1958" s="155"/>
      <c r="R1958" s="155"/>
    </row>
    <row r="1959" spans="1:19" s="251" customFormat="1" ht="15.6">
      <c r="A1959" s="20"/>
      <c r="B1959" s="20"/>
      <c r="C1959" s="20"/>
      <c r="D1959" s="20"/>
      <c r="E1959" s="20"/>
      <c r="F1959" s="20"/>
      <c r="G1959" s="296"/>
      <c r="H1959" s="296"/>
      <c r="I1959" s="452"/>
      <c r="J1959" s="444"/>
      <c r="K1959" s="309">
        <f>SUM(K1956:K1958)</f>
        <v>14</v>
      </c>
      <c r="L1959" s="444">
        <f>SUM(L1956:L1958)</f>
        <v>3.9230100000000006</v>
      </c>
      <c r="M1959" s="20"/>
      <c r="N1959" s="20"/>
      <c r="O1959" s="20"/>
      <c r="P1959" s="20"/>
      <c r="Q1959" s="155"/>
      <c r="R1959" s="155"/>
    </row>
    <row r="1960" spans="1:19" s="251" customFormat="1" ht="15.6">
      <c r="A1960" s="20"/>
      <c r="B1960" s="20"/>
      <c r="C1960" s="20"/>
      <c r="D1960" s="20"/>
      <c r="E1960" s="20"/>
      <c r="F1960" s="20"/>
      <c r="G1960" s="20"/>
      <c r="H1960" s="20"/>
      <c r="I1960" s="104"/>
      <c r="J1960" s="23"/>
      <c r="K1960" s="154"/>
      <c r="L1960" s="124"/>
      <c r="M1960" s="20"/>
      <c r="N1960" s="20"/>
      <c r="O1960" s="20"/>
      <c r="P1960" s="20"/>
      <c r="Q1960" s="155"/>
      <c r="R1960" s="155"/>
    </row>
    <row r="1961" spans="1:19" s="251" customFormat="1" ht="15.6">
      <c r="A1961" s="21" t="s">
        <v>272</v>
      </c>
      <c r="B1961" s="21" t="s">
        <v>330</v>
      </c>
      <c r="C1961" s="21" t="s">
        <v>19</v>
      </c>
      <c r="D1961" s="21" t="s">
        <v>20</v>
      </c>
      <c r="E1961" s="401" t="s">
        <v>259</v>
      </c>
      <c r="F1961" s="22">
        <v>16</v>
      </c>
      <c r="G1961" s="296" t="s">
        <v>21</v>
      </c>
      <c r="H1961" s="143" t="s">
        <v>177</v>
      </c>
      <c r="I1961" s="452">
        <v>27.3</v>
      </c>
      <c r="J1961" s="495">
        <v>8</v>
      </c>
      <c r="K1961" s="496">
        <v>3</v>
      </c>
      <c r="L1961" s="100">
        <f>(I1961*J1961*K1961/1000)</f>
        <v>0.6552</v>
      </c>
      <c r="M1961" s="20"/>
      <c r="N1961" s="20"/>
      <c r="O1961" s="20"/>
      <c r="P1961" s="20"/>
      <c r="Q1961" s="155"/>
      <c r="R1961" s="155"/>
      <c r="S1961" s="497" t="s">
        <v>355</v>
      </c>
    </row>
    <row r="1962" spans="1:19" s="251" customFormat="1" ht="15.6">
      <c r="A1962" s="20"/>
      <c r="B1962" s="131" t="s">
        <v>333</v>
      </c>
      <c r="C1962" s="20"/>
      <c r="D1962" s="20"/>
      <c r="E1962" s="20"/>
      <c r="F1962" s="20"/>
      <c r="G1962" s="296"/>
      <c r="H1962" s="296"/>
      <c r="I1962" s="452"/>
      <c r="J1962" s="444"/>
      <c r="K1962" s="309">
        <f>SUM(K1961:K1961)</f>
        <v>3</v>
      </c>
      <c r="L1962" s="444">
        <f>SUM(L1961:L1961)</f>
        <v>0.6552</v>
      </c>
      <c r="M1962" s="20"/>
      <c r="N1962" s="20"/>
      <c r="O1962" s="20"/>
      <c r="P1962" s="20"/>
      <c r="Q1962" s="155"/>
      <c r="R1962" s="155"/>
    </row>
    <row r="1963" spans="1:19" s="251" customFormat="1" ht="15.6">
      <c r="A1963" s="20"/>
      <c r="B1963" s="20"/>
      <c r="C1963" s="20"/>
      <c r="D1963" s="20"/>
      <c r="E1963" s="20"/>
      <c r="F1963" s="20"/>
      <c r="G1963" s="20"/>
      <c r="H1963" s="20"/>
      <c r="I1963" s="104"/>
      <c r="J1963" s="23"/>
      <c r="K1963" s="154"/>
      <c r="L1963" s="124">
        <f>+L1962+L1959</f>
        <v>4.5782100000000003</v>
      </c>
      <c r="M1963" s="20"/>
      <c r="N1963" s="20"/>
      <c r="O1963" s="20"/>
      <c r="P1963" s="20"/>
      <c r="Q1963" s="155"/>
      <c r="R1963" s="155"/>
    </row>
    <row r="1964" spans="1:19" s="251" customFormat="1" ht="15.6">
      <c r="A1964" s="20"/>
      <c r="B1964" s="20"/>
      <c r="C1964" s="20"/>
      <c r="D1964" s="20"/>
      <c r="E1964" s="20"/>
      <c r="F1964" s="20"/>
      <c r="G1964" s="20"/>
      <c r="H1964" s="20"/>
      <c r="I1964" s="104"/>
      <c r="J1964" s="23"/>
      <c r="K1964" s="154"/>
      <c r="L1964" s="124"/>
      <c r="M1964" s="20"/>
      <c r="N1964" s="20"/>
      <c r="O1964" s="20"/>
      <c r="P1964" s="20"/>
      <c r="Q1964" s="155"/>
      <c r="R1964" s="155"/>
    </row>
    <row r="1965" spans="1:19" s="251" customFormat="1" ht="15.6">
      <c r="A1965" s="20"/>
      <c r="B1965" s="20"/>
      <c r="C1965" s="20"/>
      <c r="D1965" s="20"/>
      <c r="E1965" s="20"/>
      <c r="F1965" s="20"/>
      <c r="G1965" s="20"/>
      <c r="H1965" s="20"/>
      <c r="I1965" s="104"/>
      <c r="J1965" s="23"/>
      <c r="K1965" s="154"/>
      <c r="L1965" s="124"/>
      <c r="M1965" s="20"/>
      <c r="N1965" s="20"/>
      <c r="O1965" s="20"/>
      <c r="P1965" s="20"/>
      <c r="Q1965" s="155"/>
      <c r="R1965" s="155"/>
    </row>
    <row r="1966" spans="1:19" s="251" customFormat="1" ht="15.6">
      <c r="A1966" s="20"/>
      <c r="B1966" s="20"/>
      <c r="C1966" s="20"/>
      <c r="D1966" s="20"/>
      <c r="E1966" s="20"/>
      <c r="F1966" s="20"/>
      <c r="G1966" s="20"/>
      <c r="H1966" s="20"/>
      <c r="I1966" s="104"/>
      <c r="J1966" s="23"/>
      <c r="K1966" s="154"/>
      <c r="L1966" s="124"/>
      <c r="M1966" s="20"/>
      <c r="N1966" s="20"/>
      <c r="O1966" s="20"/>
      <c r="P1966" s="20"/>
      <c r="Q1966" s="155"/>
      <c r="R1966" s="155"/>
    </row>
    <row r="1967" spans="1:19" s="251" customFormat="1" ht="15.6">
      <c r="A1967" s="21" t="s">
        <v>174</v>
      </c>
      <c r="B1967" s="21" t="s">
        <v>330</v>
      </c>
      <c r="C1967" s="21" t="s">
        <v>19</v>
      </c>
      <c r="D1967" s="21" t="s">
        <v>20</v>
      </c>
      <c r="E1967" s="21" t="s">
        <v>47</v>
      </c>
      <c r="F1967" s="22">
        <v>16</v>
      </c>
      <c r="G1967" s="20" t="s">
        <v>21</v>
      </c>
      <c r="H1967" s="143" t="s">
        <v>177</v>
      </c>
      <c r="I1967" s="115">
        <v>27.3</v>
      </c>
      <c r="J1967" s="498">
        <v>6.3</v>
      </c>
      <c r="K1967" s="499">
        <v>12</v>
      </c>
      <c r="L1967" s="100">
        <f t="shared" ref="L1967:L1970" si="403">(I1967*J1967*K1967/1000)</f>
        <v>2.0638800000000002</v>
      </c>
      <c r="M1967" s="20"/>
      <c r="N1967" s="20"/>
      <c r="O1967" s="20"/>
      <c r="P1967" s="20"/>
      <c r="Q1967" s="155"/>
      <c r="R1967" s="155"/>
      <c r="S1967" s="497" t="s">
        <v>390</v>
      </c>
    </row>
    <row r="1968" spans="1:19" s="251" customFormat="1" ht="15.6">
      <c r="A1968" s="20"/>
      <c r="B1968" s="499" t="s">
        <v>334</v>
      </c>
      <c r="C1968" s="20"/>
      <c r="D1968" s="20"/>
      <c r="E1968" s="20"/>
      <c r="F1968" s="20"/>
      <c r="G1968" s="20" t="s">
        <v>21</v>
      </c>
      <c r="H1968" s="20" t="s">
        <v>177</v>
      </c>
      <c r="I1968" s="115">
        <v>27.3</v>
      </c>
      <c r="J1968" s="498">
        <v>7.8</v>
      </c>
      <c r="K1968" s="499">
        <v>24</v>
      </c>
      <c r="L1968" s="100">
        <f t="shared" si="403"/>
        <v>5.1105599999999995</v>
      </c>
      <c r="M1968" s="20"/>
      <c r="N1968" s="20"/>
      <c r="O1968" s="20"/>
      <c r="P1968" s="20"/>
      <c r="Q1968" s="155"/>
      <c r="R1968" s="155"/>
    </row>
    <row r="1969" spans="1:21" s="251" customFormat="1" ht="15.6">
      <c r="A1969" s="20"/>
      <c r="B1969" s="20"/>
      <c r="C1969" s="20"/>
      <c r="D1969" s="20"/>
      <c r="E1969" s="20"/>
      <c r="F1969" s="20"/>
      <c r="G1969" s="20" t="s">
        <v>21</v>
      </c>
      <c r="H1969" s="20" t="s">
        <v>177</v>
      </c>
      <c r="I1969" s="115">
        <v>27.3</v>
      </c>
      <c r="J1969" s="498">
        <v>9.32</v>
      </c>
      <c r="K1969" s="499">
        <v>22</v>
      </c>
      <c r="L1969" s="100">
        <f t="shared" si="403"/>
        <v>5.5975920000000006</v>
      </c>
      <c r="M1969" s="20"/>
      <c r="N1969" s="20"/>
      <c r="O1969" s="20"/>
      <c r="P1969" s="20"/>
      <c r="Q1969" s="155"/>
      <c r="R1969" s="155"/>
    </row>
    <row r="1970" spans="1:21" s="251" customFormat="1" ht="15.6">
      <c r="A1970" s="20"/>
      <c r="B1970" s="20"/>
      <c r="C1970" s="20"/>
      <c r="D1970" s="20"/>
      <c r="E1970" s="20"/>
      <c r="F1970" s="20"/>
      <c r="G1970" s="20" t="s">
        <v>21</v>
      </c>
      <c r="H1970" s="20" t="s">
        <v>177</v>
      </c>
      <c r="I1970" s="115">
        <v>27.3</v>
      </c>
      <c r="J1970" s="498">
        <v>9.6</v>
      </c>
      <c r="K1970" s="499">
        <v>28</v>
      </c>
      <c r="L1970" s="100">
        <f t="shared" si="403"/>
        <v>7.3382399999999999</v>
      </c>
      <c r="M1970" s="20"/>
      <c r="N1970" s="20"/>
      <c r="O1970" s="20"/>
      <c r="P1970" s="20"/>
      <c r="Q1970" s="155"/>
      <c r="R1970" s="155"/>
    </row>
    <row r="1971" spans="1:21" s="251" customFormat="1" ht="15.6">
      <c r="A1971" s="20"/>
      <c r="B1971" s="20"/>
      <c r="C1971" s="20"/>
      <c r="D1971" s="20"/>
      <c r="E1971" s="20"/>
      <c r="F1971" s="20"/>
      <c r="G1971" s="20"/>
      <c r="H1971" s="20"/>
      <c r="I1971" s="104"/>
      <c r="J1971" s="23"/>
      <c r="K1971" s="104">
        <f>SUM(K1967:K1970)</f>
        <v>86</v>
      </c>
      <c r="L1971" s="124">
        <f>SUM(L1967:L1970)</f>
        <v>20.110271999999998</v>
      </c>
      <c r="M1971" s="20"/>
      <c r="N1971" s="20"/>
      <c r="O1971" s="20"/>
      <c r="P1971" s="20"/>
      <c r="Q1971" s="155"/>
      <c r="R1971" s="155"/>
    </row>
    <row r="1972" spans="1:21" s="251" customFormat="1" ht="15.6">
      <c r="A1972" s="20"/>
      <c r="B1972" s="20"/>
      <c r="C1972" s="20"/>
      <c r="D1972" s="20"/>
      <c r="E1972" s="20"/>
      <c r="F1972" s="20"/>
      <c r="G1972" s="20"/>
      <c r="H1972" s="20"/>
      <c r="I1972" s="104"/>
      <c r="J1972" s="23"/>
      <c r="K1972" s="154"/>
      <c r="L1972" s="124"/>
      <c r="M1972" s="20"/>
      <c r="N1972" s="20"/>
      <c r="O1972" s="20"/>
      <c r="P1972" s="20"/>
      <c r="Q1972" s="155"/>
      <c r="R1972" s="155"/>
    </row>
    <row r="1973" spans="1:21" s="251" customFormat="1" ht="15.6">
      <c r="A1973" s="20"/>
      <c r="B1973" s="20"/>
      <c r="C1973" s="20"/>
      <c r="D1973" s="20"/>
      <c r="E1973" s="20"/>
      <c r="F1973" s="20"/>
      <c r="G1973" s="20"/>
      <c r="H1973" s="20"/>
      <c r="I1973" s="104"/>
      <c r="J1973" s="23"/>
      <c r="K1973" s="154"/>
      <c r="L1973" s="124"/>
      <c r="M1973" s="20"/>
      <c r="N1973" s="20"/>
      <c r="O1973" s="20"/>
      <c r="P1973" s="20"/>
      <c r="Q1973" s="155"/>
      <c r="R1973" s="155"/>
    </row>
    <row r="1974" spans="1:21" s="251" customFormat="1" ht="15.6">
      <c r="A1974" s="21" t="s">
        <v>174</v>
      </c>
      <c r="B1974" s="21" t="s">
        <v>330</v>
      </c>
      <c r="C1974" s="21" t="s">
        <v>19</v>
      </c>
      <c r="D1974" s="21" t="s">
        <v>20</v>
      </c>
      <c r="E1974" s="21" t="s">
        <v>47</v>
      </c>
      <c r="F1974" s="22">
        <v>16</v>
      </c>
      <c r="G1974" s="20" t="s">
        <v>21</v>
      </c>
      <c r="H1974" s="143" t="s">
        <v>179</v>
      </c>
      <c r="I1974" s="115">
        <v>33.799999999999997</v>
      </c>
      <c r="J1974" s="498">
        <v>9.9</v>
      </c>
      <c r="K1974" s="499">
        <v>9</v>
      </c>
      <c r="L1974" s="100">
        <f>(I1974*J1974*K1974/1000)</f>
        <v>3.0115799999999999</v>
      </c>
      <c r="M1974" s="20"/>
      <c r="N1974" s="20"/>
      <c r="O1974" s="20"/>
      <c r="P1974" s="20"/>
      <c r="Q1974" s="155"/>
      <c r="R1974" s="155"/>
      <c r="S1974" s="573">
        <f>6+3</f>
        <v>9</v>
      </c>
      <c r="T1974" s="126">
        <f>J1974*S1974*I1974/1000</f>
        <v>3.0115799999999999</v>
      </c>
      <c r="U1974" s="497" t="s">
        <v>370</v>
      </c>
    </row>
    <row r="1975" spans="1:21" s="251" customFormat="1" ht="15.6">
      <c r="A1975" s="20"/>
      <c r="B1975" s="499" t="s">
        <v>334</v>
      </c>
      <c r="C1975" s="20"/>
      <c r="D1975" s="20"/>
      <c r="E1975" s="20"/>
      <c r="F1975" s="20"/>
      <c r="G1975" s="20"/>
      <c r="H1975" s="20"/>
      <c r="I1975" s="115"/>
      <c r="J1975" s="23"/>
      <c r="K1975" s="104">
        <f>SUM(K1974:K1974)</f>
        <v>9</v>
      </c>
      <c r="L1975" s="124">
        <f>SUM(L1974:L1974)</f>
        <v>3.0115799999999999</v>
      </c>
      <c r="M1975" s="20"/>
      <c r="N1975" s="20"/>
      <c r="O1975" s="20"/>
      <c r="P1975" s="20"/>
      <c r="Q1975" s="20"/>
      <c r="R1975" s="20"/>
      <c r="S1975" s="104">
        <f>SUM(S1974:S1974)</f>
        <v>9</v>
      </c>
      <c r="T1975" s="124">
        <f>SUM(T1974:T1974)</f>
        <v>3.0115799999999999</v>
      </c>
    </row>
    <row r="1976" spans="1:21" s="251" customFormat="1" ht="15.6">
      <c r="A1976" s="20"/>
      <c r="B1976" s="20"/>
      <c r="C1976" s="20"/>
      <c r="D1976" s="20"/>
      <c r="E1976" s="20"/>
      <c r="F1976" s="20"/>
      <c r="G1976" s="20"/>
      <c r="H1976" s="20"/>
      <c r="I1976" s="104"/>
      <c r="J1976" s="23"/>
      <c r="K1976" s="154"/>
      <c r="L1976" s="124"/>
      <c r="M1976" s="20"/>
      <c r="N1976" s="20"/>
      <c r="O1976" s="20"/>
      <c r="P1976" s="20"/>
      <c r="Q1976" s="155"/>
      <c r="R1976" s="155"/>
    </row>
    <row r="1977" spans="1:21" s="251" customFormat="1" ht="15.6">
      <c r="A1977" s="20"/>
      <c r="B1977" s="20"/>
      <c r="C1977" s="20"/>
      <c r="D1977" s="20"/>
      <c r="E1977" s="20"/>
      <c r="F1977" s="20"/>
      <c r="G1977" s="20"/>
      <c r="H1977" s="20"/>
      <c r="I1977" s="104"/>
      <c r="J1977" s="23"/>
      <c r="K1977" s="154"/>
      <c r="L1977" s="124"/>
      <c r="M1977" s="20"/>
      <c r="N1977" s="20"/>
      <c r="O1977" s="20"/>
      <c r="P1977" s="20"/>
      <c r="Q1977" s="155"/>
      <c r="R1977" s="155"/>
    </row>
    <row r="1978" spans="1:21" s="251" customFormat="1" ht="15.6">
      <c r="A1978" s="21" t="s">
        <v>174</v>
      </c>
      <c r="B1978" s="21" t="s">
        <v>330</v>
      </c>
      <c r="C1978" s="21" t="s">
        <v>19</v>
      </c>
      <c r="D1978" s="21" t="s">
        <v>20</v>
      </c>
      <c r="E1978" s="21" t="s">
        <v>47</v>
      </c>
      <c r="F1978" s="22">
        <v>16</v>
      </c>
      <c r="G1978" s="20" t="s">
        <v>21</v>
      </c>
      <c r="H1978" s="143" t="s">
        <v>180</v>
      </c>
      <c r="I1978" s="115">
        <v>35.9</v>
      </c>
      <c r="J1978" s="498">
        <v>6.2</v>
      </c>
      <c r="K1978" s="499">
        <v>24</v>
      </c>
      <c r="L1978" s="100">
        <f>(I1978*J1978*K1978/1000)</f>
        <v>5.34192</v>
      </c>
      <c r="M1978" s="20"/>
      <c r="N1978" s="20"/>
      <c r="O1978" s="20"/>
      <c r="P1978" s="20"/>
      <c r="Q1978" s="155"/>
      <c r="R1978" s="155"/>
      <c r="S1978" s="497" t="s">
        <v>374</v>
      </c>
    </row>
    <row r="1979" spans="1:21" s="251" customFormat="1" ht="15.6">
      <c r="A1979" s="20"/>
      <c r="B1979" s="499" t="s">
        <v>334</v>
      </c>
      <c r="C1979" s="20"/>
      <c r="D1979" s="20"/>
      <c r="E1979" s="20"/>
      <c r="F1979" s="20"/>
      <c r="G1979" s="20" t="s">
        <v>21</v>
      </c>
      <c r="H1979" s="20" t="s">
        <v>180</v>
      </c>
      <c r="I1979" s="115">
        <v>35.9</v>
      </c>
      <c r="J1979" s="498">
        <v>6.4</v>
      </c>
      <c r="K1979" s="499">
        <v>12</v>
      </c>
      <c r="L1979" s="100">
        <f>(I1979*J1979*K1979/1000)</f>
        <v>2.75712</v>
      </c>
      <c r="M1979" s="20"/>
      <c r="N1979" s="20"/>
      <c r="O1979" s="20"/>
      <c r="P1979" s="20"/>
      <c r="Q1979" s="155"/>
      <c r="R1979" s="155"/>
    </row>
    <row r="1980" spans="1:21" s="251" customFormat="1" ht="15.6">
      <c r="A1980" s="20"/>
      <c r="B1980" s="20"/>
      <c r="C1980" s="20"/>
      <c r="D1980" s="20"/>
      <c r="E1980" s="20"/>
      <c r="F1980" s="20"/>
      <c r="G1980" s="20" t="s">
        <v>21</v>
      </c>
      <c r="H1980" s="20" t="s">
        <v>180</v>
      </c>
      <c r="I1980" s="115">
        <v>35.9</v>
      </c>
      <c r="J1980" s="498">
        <v>9.5</v>
      </c>
      <c r="K1980" s="499">
        <v>8</v>
      </c>
      <c r="L1980" s="100">
        <f>(I1980*J1980*K1980/1000)</f>
        <v>2.7284000000000002</v>
      </c>
      <c r="M1980" s="20"/>
      <c r="N1980" s="20"/>
      <c r="O1980" s="20"/>
      <c r="P1980" s="20"/>
      <c r="Q1980" s="155"/>
      <c r="R1980" s="155"/>
    </row>
    <row r="1981" spans="1:21" s="251" customFormat="1" ht="15.6">
      <c r="A1981" s="20"/>
      <c r="B1981" s="20"/>
      <c r="C1981" s="20"/>
      <c r="D1981" s="20"/>
      <c r="E1981" s="20"/>
      <c r="F1981" s="20"/>
      <c r="G1981" s="20" t="s">
        <v>21</v>
      </c>
      <c r="H1981" s="20" t="s">
        <v>180</v>
      </c>
      <c r="I1981" s="115">
        <v>35.9</v>
      </c>
      <c r="J1981" s="498">
        <v>9.8000000000000007</v>
      </c>
      <c r="K1981" s="499">
        <v>26</v>
      </c>
      <c r="L1981" s="100">
        <f>(I1981*J1981*K1981/1000)</f>
        <v>9.1473200000000006</v>
      </c>
      <c r="M1981" s="20"/>
      <c r="N1981" s="20"/>
      <c r="O1981" s="20"/>
      <c r="P1981" s="20"/>
      <c r="Q1981" s="155"/>
      <c r="R1981" s="155"/>
    </row>
    <row r="1982" spans="1:21" s="251" customFormat="1" ht="15.6">
      <c r="A1982" s="20"/>
      <c r="B1982" s="20"/>
      <c r="C1982" s="20"/>
      <c r="D1982" s="20"/>
      <c r="E1982" s="20"/>
      <c r="F1982" s="20"/>
      <c r="G1982" s="20"/>
      <c r="H1982" s="20"/>
      <c r="I1982" s="115"/>
      <c r="J1982" s="23"/>
      <c r="K1982" s="104">
        <f>SUM(K1978:K1981)</f>
        <v>70</v>
      </c>
      <c r="L1982" s="124">
        <f>SUM(L1978:L1981)</f>
        <v>19.974760000000003</v>
      </c>
      <c r="M1982" s="20"/>
      <c r="N1982" s="20"/>
      <c r="O1982" s="20"/>
      <c r="P1982" s="20"/>
      <c r="Q1982" s="155"/>
      <c r="R1982" s="155"/>
    </row>
    <row r="1983" spans="1:21" s="251" customFormat="1" ht="15.6">
      <c r="A1983" s="20"/>
      <c r="B1983" s="20"/>
      <c r="C1983" s="20"/>
      <c r="D1983" s="20"/>
      <c r="E1983" s="20"/>
      <c r="F1983" s="20"/>
      <c r="G1983" s="20"/>
      <c r="H1983" s="20"/>
      <c r="I1983" s="104"/>
      <c r="J1983" s="23"/>
      <c r="K1983" s="154"/>
      <c r="L1983" s="124"/>
      <c r="M1983" s="20"/>
      <c r="N1983" s="20"/>
      <c r="O1983" s="20"/>
      <c r="P1983" s="20"/>
      <c r="Q1983" s="155"/>
      <c r="R1983" s="155"/>
    </row>
    <row r="1984" spans="1:21" s="251" customFormat="1" ht="15.6">
      <c r="A1984" s="20"/>
      <c r="B1984" s="20"/>
      <c r="C1984" s="20"/>
      <c r="D1984" s="20"/>
      <c r="E1984" s="20"/>
      <c r="F1984" s="20"/>
      <c r="G1984" s="20"/>
      <c r="H1984" s="20"/>
      <c r="I1984" s="104"/>
      <c r="J1984" s="23"/>
      <c r="K1984" s="154"/>
      <c r="L1984" s="124">
        <f>+L1982+L1975+L1971</f>
        <v>43.096612</v>
      </c>
      <c r="M1984" s="20"/>
      <c r="N1984" s="20"/>
      <c r="O1984" s="20"/>
      <c r="P1984" s="20"/>
      <c r="Q1984" s="155"/>
      <c r="R1984" s="155"/>
    </row>
    <row r="1985" spans="1:21" s="251" customFormat="1" ht="15.6">
      <c r="A1985" s="20"/>
      <c r="B1985" s="20"/>
      <c r="C1985" s="20"/>
      <c r="D1985" s="20"/>
      <c r="E1985" s="20"/>
      <c r="F1985" s="20"/>
      <c r="G1985" s="20"/>
      <c r="H1985" s="20"/>
      <c r="I1985" s="104"/>
      <c r="J1985" s="23"/>
      <c r="K1985" s="154"/>
      <c r="L1985" s="124"/>
      <c r="M1985" s="20"/>
      <c r="N1985" s="20"/>
      <c r="O1985" s="20"/>
      <c r="P1985" s="20"/>
      <c r="Q1985" s="155"/>
      <c r="R1985" s="155"/>
    </row>
    <row r="1986" spans="1:21" s="497" customFormat="1" ht="15.6">
      <c r="A1986" s="20"/>
      <c r="B1986" s="20"/>
      <c r="C1986" s="20"/>
      <c r="D1986" s="20"/>
      <c r="E1986" s="20"/>
      <c r="F1986" s="20"/>
      <c r="G1986" s="20"/>
      <c r="H1986" s="20"/>
      <c r="I1986" s="104"/>
      <c r="J1986" s="23"/>
      <c r="K1986" s="154"/>
      <c r="L1986" s="124"/>
      <c r="M1986" s="20"/>
      <c r="N1986" s="20"/>
      <c r="O1986" s="20"/>
      <c r="P1986" s="20"/>
      <c r="Q1986" s="155"/>
      <c r="R1986" s="155"/>
    </row>
    <row r="1987" spans="1:21" s="497" customFormat="1" ht="15.6">
      <c r="A1987" s="21" t="s">
        <v>332</v>
      </c>
      <c r="B1987" s="21" t="s">
        <v>341</v>
      </c>
      <c r="C1987" s="21" t="s">
        <v>19</v>
      </c>
      <c r="D1987" s="21" t="s">
        <v>20</v>
      </c>
      <c r="E1987" s="21" t="s">
        <v>47</v>
      </c>
      <c r="F1987" s="22">
        <v>16</v>
      </c>
      <c r="G1987" s="20" t="s">
        <v>21</v>
      </c>
      <c r="H1987" s="143" t="s">
        <v>179</v>
      </c>
      <c r="I1987" s="115">
        <v>33.799999999999997</v>
      </c>
      <c r="J1987" s="179">
        <v>6.5</v>
      </c>
      <c r="K1987" s="383">
        <f>30+5</f>
        <v>35</v>
      </c>
      <c r="L1987" s="100">
        <f t="shared" ref="L1987:L1995" si="404">(I1987*J1987*K1987/1000)</f>
        <v>7.6894999999999998</v>
      </c>
      <c r="M1987" s="20"/>
      <c r="N1987" s="20"/>
      <c r="O1987" s="157">
        <v>6</v>
      </c>
      <c r="P1987" s="20">
        <v>5</v>
      </c>
      <c r="Q1987" s="155"/>
      <c r="R1987" s="155"/>
      <c r="S1987" s="497">
        <f>12+2+1</f>
        <v>15</v>
      </c>
      <c r="T1987" s="126">
        <f>J1987*S1987*I1987/1000</f>
        <v>3.2954999999999997</v>
      </c>
      <c r="U1987" s="497" t="s">
        <v>401</v>
      </c>
    </row>
    <row r="1988" spans="1:21" s="497" customFormat="1" ht="15.6">
      <c r="A1988" s="20"/>
      <c r="B1988" s="503" t="s">
        <v>340</v>
      </c>
      <c r="C1988" s="20"/>
      <c r="D1988" s="20"/>
      <c r="E1988" s="20"/>
      <c r="F1988" s="20"/>
      <c r="G1988" s="20" t="s">
        <v>21</v>
      </c>
      <c r="H1988" s="20" t="s">
        <v>179</v>
      </c>
      <c r="I1988" s="115">
        <v>33.799999999999997</v>
      </c>
      <c r="J1988" s="179">
        <v>6.7</v>
      </c>
      <c r="K1988" s="383">
        <v>20</v>
      </c>
      <c r="L1988" s="100">
        <f t="shared" si="404"/>
        <v>4.5291999999999994</v>
      </c>
      <c r="M1988" s="20"/>
      <c r="N1988" s="20"/>
      <c r="O1988" s="157"/>
      <c r="P1988" s="20"/>
      <c r="Q1988" s="155"/>
      <c r="R1988" s="155"/>
      <c r="S1988" s="497">
        <f>3+3</f>
        <v>6</v>
      </c>
      <c r="T1988" s="126">
        <f t="shared" ref="T1988:T1995" si="405">J1988*S1988*I1988/1000</f>
        <v>1.35876</v>
      </c>
    </row>
    <row r="1989" spans="1:21" s="497" customFormat="1" ht="15.6">
      <c r="A1989" s="20"/>
      <c r="B1989" s="20"/>
      <c r="C1989" s="20"/>
      <c r="D1989" s="20"/>
      <c r="E1989" s="20"/>
      <c r="F1989" s="20"/>
      <c r="G1989" s="20" t="s">
        <v>21</v>
      </c>
      <c r="H1989" s="20" t="s">
        <v>179</v>
      </c>
      <c r="I1989" s="115">
        <v>33.799999999999997</v>
      </c>
      <c r="J1989" s="179">
        <v>8.1999999999999993</v>
      </c>
      <c r="K1989" s="383">
        <v>8</v>
      </c>
      <c r="L1989" s="100">
        <f t="shared" si="404"/>
        <v>2.2172799999999997</v>
      </c>
      <c r="M1989" s="20"/>
      <c r="N1989" s="20"/>
      <c r="O1989" s="157"/>
      <c r="P1989" s="20"/>
      <c r="Q1989" s="155"/>
      <c r="R1989" s="155"/>
      <c r="S1989" s="497">
        <f>2+2</f>
        <v>4</v>
      </c>
      <c r="T1989" s="126">
        <f t="shared" si="405"/>
        <v>1.1086399999999998</v>
      </c>
    </row>
    <row r="1990" spans="1:21" s="497" customFormat="1" ht="15.6">
      <c r="A1990" s="20"/>
      <c r="B1990" s="20"/>
      <c r="C1990" s="20"/>
      <c r="D1990" s="20"/>
      <c r="E1990" s="20"/>
      <c r="F1990" s="20"/>
      <c r="G1990" s="20" t="s">
        <v>21</v>
      </c>
      <c r="H1990" s="20" t="s">
        <v>179</v>
      </c>
      <c r="I1990" s="115">
        <v>33.799999999999997</v>
      </c>
      <c r="J1990" s="179">
        <v>8.6</v>
      </c>
      <c r="K1990" s="383">
        <v>17</v>
      </c>
      <c r="L1990" s="100">
        <f t="shared" si="404"/>
        <v>4.9415599999999991</v>
      </c>
      <c r="M1990" s="20"/>
      <c r="N1990" s="20"/>
      <c r="O1990" s="157"/>
      <c r="P1990" s="20"/>
      <c r="Q1990" s="155"/>
      <c r="R1990" s="155"/>
      <c r="S1990" s="497">
        <v>5</v>
      </c>
      <c r="T1990" s="126">
        <f t="shared" si="405"/>
        <v>1.4533999999999998</v>
      </c>
    </row>
    <row r="1991" spans="1:21" s="497" customFormat="1" ht="15.6">
      <c r="A1991" s="20"/>
      <c r="B1991" s="20"/>
      <c r="C1991" s="20"/>
      <c r="D1991" s="20"/>
      <c r="E1991" s="20"/>
      <c r="F1991" s="20"/>
      <c r="G1991" s="20" t="s">
        <v>21</v>
      </c>
      <c r="H1991" s="20" t="s">
        <v>179</v>
      </c>
      <c r="I1991" s="115">
        <v>33.799999999999997</v>
      </c>
      <c r="J1991" s="179">
        <v>9.5</v>
      </c>
      <c r="K1991" s="383">
        <f>28+7</f>
        <v>35</v>
      </c>
      <c r="L1991" s="100">
        <f t="shared" si="404"/>
        <v>11.238499999999998</v>
      </c>
      <c r="M1991" s="20"/>
      <c r="N1991" s="20"/>
      <c r="O1991" s="157">
        <v>9.4</v>
      </c>
      <c r="P1991" s="20">
        <v>7</v>
      </c>
      <c r="Q1991" s="155"/>
      <c r="R1991" s="155"/>
      <c r="S1991" s="497">
        <f>6+4+1</f>
        <v>11</v>
      </c>
      <c r="T1991" s="126">
        <f t="shared" si="405"/>
        <v>3.5320999999999998</v>
      </c>
    </row>
    <row r="1992" spans="1:21" s="497" customFormat="1" ht="15.6">
      <c r="A1992" s="20"/>
      <c r="B1992" s="20"/>
      <c r="C1992" s="20"/>
      <c r="D1992" s="20"/>
      <c r="E1992" s="20"/>
      <c r="F1992" s="20"/>
      <c r="G1992" s="20" t="s">
        <v>21</v>
      </c>
      <c r="H1992" s="20" t="s">
        <v>179</v>
      </c>
      <c r="I1992" s="115">
        <v>33.799999999999997</v>
      </c>
      <c r="J1992" s="179">
        <v>9.6999999999999993</v>
      </c>
      <c r="K1992" s="383">
        <v>8</v>
      </c>
      <c r="L1992" s="100">
        <f t="shared" si="404"/>
        <v>2.6228799999999994</v>
      </c>
      <c r="M1992" s="20"/>
      <c r="N1992" s="20"/>
      <c r="O1992" s="157"/>
      <c r="P1992" s="20"/>
      <c r="Q1992" s="155"/>
      <c r="R1992" s="155"/>
      <c r="S1992" s="497">
        <v>2</v>
      </c>
      <c r="T1992" s="126">
        <f t="shared" si="405"/>
        <v>0.65571999999999986</v>
      </c>
    </row>
    <row r="1993" spans="1:21" s="497" customFormat="1" ht="15.6">
      <c r="A1993" s="20"/>
      <c r="B1993" s="20"/>
      <c r="C1993" s="20"/>
      <c r="D1993" s="20"/>
      <c r="E1993" s="20"/>
      <c r="F1993" s="20"/>
      <c r="G1993" s="20" t="s">
        <v>21</v>
      </c>
      <c r="H1993" s="20" t="s">
        <v>179</v>
      </c>
      <c r="I1993" s="115">
        <v>33.799999999999997</v>
      </c>
      <c r="J1993" s="179">
        <v>10.4</v>
      </c>
      <c r="K1993" s="383">
        <v>32</v>
      </c>
      <c r="L1993" s="100">
        <f t="shared" si="404"/>
        <v>11.24864</v>
      </c>
      <c r="M1993" s="20"/>
      <c r="N1993" s="20"/>
      <c r="O1993" s="157"/>
      <c r="P1993" s="20"/>
      <c r="Q1993" s="155"/>
      <c r="R1993" s="155"/>
      <c r="S1993" s="497">
        <f>6+5+1</f>
        <v>12</v>
      </c>
      <c r="T1993" s="126">
        <f t="shared" si="405"/>
        <v>4.2182399999999998</v>
      </c>
    </row>
    <row r="1994" spans="1:21" s="497" customFormat="1" ht="15.6">
      <c r="A1994" s="20"/>
      <c r="B1994" s="20"/>
      <c r="C1994" s="20"/>
      <c r="D1994" s="20"/>
      <c r="E1994" s="20"/>
      <c r="F1994" s="20"/>
      <c r="G1994" s="20" t="s">
        <v>21</v>
      </c>
      <c r="H1994" s="20" t="s">
        <v>179</v>
      </c>
      <c r="I1994" s="115">
        <v>33.799999999999997</v>
      </c>
      <c r="J1994" s="179">
        <v>11.4</v>
      </c>
      <c r="K1994" s="383">
        <f>8+2</f>
        <v>10</v>
      </c>
      <c r="L1994" s="100">
        <f t="shared" si="404"/>
        <v>3.8531999999999997</v>
      </c>
      <c r="M1994" s="20"/>
      <c r="N1994" s="20"/>
      <c r="O1994" s="157">
        <v>10.7</v>
      </c>
      <c r="P1994" s="20">
        <v>2</v>
      </c>
      <c r="Q1994" s="155"/>
      <c r="R1994" s="155"/>
      <c r="S1994" s="497">
        <f>6+1</f>
        <v>7</v>
      </c>
      <c r="T1994" s="126">
        <f t="shared" si="405"/>
        <v>2.6972399999999999</v>
      </c>
    </row>
    <row r="1995" spans="1:21" s="497" customFormat="1" ht="15.6">
      <c r="A1995" s="20"/>
      <c r="B1995" s="20"/>
      <c r="C1995" s="20"/>
      <c r="D1995" s="20"/>
      <c r="E1995" s="20"/>
      <c r="F1995" s="20"/>
      <c r="G1995" s="20" t="s">
        <v>21</v>
      </c>
      <c r="H1995" s="20" t="s">
        <v>179</v>
      </c>
      <c r="I1995" s="115">
        <v>33.799999999999997</v>
      </c>
      <c r="J1995" s="179">
        <v>11.8</v>
      </c>
      <c r="K1995" s="383">
        <v>27</v>
      </c>
      <c r="L1995" s="100">
        <f t="shared" si="404"/>
        <v>10.768679999999998</v>
      </c>
      <c r="M1995" s="20"/>
      <c r="N1995" s="20"/>
      <c r="O1995" s="20"/>
      <c r="P1995" s="20"/>
      <c r="Q1995" s="155"/>
      <c r="R1995" s="155"/>
      <c r="S1995" s="497">
        <f>6+2+2</f>
        <v>10</v>
      </c>
      <c r="T1995" s="126">
        <f t="shared" si="405"/>
        <v>3.9883999999999995</v>
      </c>
    </row>
    <row r="1996" spans="1:21" s="497" customFormat="1" ht="15.6">
      <c r="A1996" s="20"/>
      <c r="B1996" s="20"/>
      <c r="C1996" s="20"/>
      <c r="D1996" s="20"/>
      <c r="E1996" s="20"/>
      <c r="F1996" s="20"/>
      <c r="G1996" s="20"/>
      <c r="H1996" s="20"/>
      <c r="I1996" s="104"/>
      <c r="J1996" s="23"/>
      <c r="K1996" s="104">
        <f>SUM(K1987:K1995)</f>
        <v>192</v>
      </c>
      <c r="L1996" s="124">
        <f>SUM(L1987:L1995)</f>
        <v>59.109439999999992</v>
      </c>
      <c r="M1996" s="20"/>
      <c r="N1996" s="20"/>
      <c r="O1996" s="20"/>
      <c r="P1996" s="20"/>
      <c r="Q1996" s="20"/>
      <c r="R1996" s="20"/>
      <c r="S1996" s="154">
        <f>SUM(S1987:S1995)</f>
        <v>72</v>
      </c>
      <c r="T1996" s="124">
        <f>SUM(T1987:T1995)</f>
        <v>22.308</v>
      </c>
    </row>
    <row r="1997" spans="1:21" s="497" customFormat="1" ht="15.6">
      <c r="A1997" s="20"/>
      <c r="B1997" s="20"/>
      <c r="C1997" s="20"/>
      <c r="D1997" s="20"/>
      <c r="E1997" s="20"/>
      <c r="F1997" s="20"/>
      <c r="G1997" s="20"/>
      <c r="H1997" s="20"/>
      <c r="I1997" s="104"/>
      <c r="J1997" s="23"/>
      <c r="K1997" s="154"/>
      <c r="L1997" s="124"/>
      <c r="M1997" s="20"/>
      <c r="N1997" s="20"/>
      <c r="O1997" s="20"/>
      <c r="P1997" s="20"/>
      <c r="Q1997" s="155"/>
      <c r="R1997" s="155"/>
    </row>
    <row r="1998" spans="1:21" s="497" customFormat="1" ht="15.6">
      <c r="A1998" s="21" t="s">
        <v>83</v>
      </c>
      <c r="B1998" s="21" t="s">
        <v>341</v>
      </c>
      <c r="C1998" s="21" t="s">
        <v>19</v>
      </c>
      <c r="D1998" s="21" t="s">
        <v>20</v>
      </c>
      <c r="E1998" s="21" t="s">
        <v>47</v>
      </c>
      <c r="F1998" s="22">
        <v>16</v>
      </c>
      <c r="G1998" s="20" t="s">
        <v>21</v>
      </c>
      <c r="H1998" s="143" t="s">
        <v>178</v>
      </c>
      <c r="I1998" s="115">
        <v>31.6</v>
      </c>
      <c r="J1998" s="178">
        <v>9</v>
      </c>
      <c r="K1998" s="194">
        <v>12</v>
      </c>
      <c r="L1998" s="100">
        <f>(I1998*J1998*K1998/1000)</f>
        <v>3.4128000000000003</v>
      </c>
      <c r="M1998" s="20"/>
      <c r="N1998" s="20"/>
      <c r="O1998" s="20"/>
      <c r="P1998" s="20"/>
      <c r="Q1998" s="155"/>
      <c r="R1998" s="155"/>
      <c r="S1998" s="497" t="s">
        <v>374</v>
      </c>
    </row>
    <row r="1999" spans="1:21" s="497" customFormat="1" ht="15.6">
      <c r="A1999" s="20"/>
      <c r="B1999" s="503" t="s">
        <v>340</v>
      </c>
      <c r="C1999" s="20"/>
      <c r="D1999" s="20"/>
      <c r="E1999" s="20"/>
      <c r="F1999" s="20"/>
      <c r="G1999" s="20"/>
      <c r="H1999" s="20"/>
      <c r="I1999" s="115"/>
      <c r="J1999" s="23"/>
      <c r="K1999" s="154">
        <f t="shared" ref="K1999" si="406">SUM(K1998)</f>
        <v>12</v>
      </c>
      <c r="L1999" s="124">
        <f>SUM(L1998)</f>
        <v>3.4128000000000003</v>
      </c>
      <c r="M1999" s="20"/>
      <c r="N1999" s="20"/>
      <c r="O1999" s="20"/>
      <c r="P1999" s="20"/>
      <c r="Q1999" s="155"/>
      <c r="R1999" s="155"/>
    </row>
    <row r="2000" spans="1:21" s="497" customFormat="1" ht="15.6">
      <c r="A2000" s="20"/>
      <c r="B2000" s="20"/>
      <c r="C2000" s="20"/>
      <c r="D2000" s="20"/>
      <c r="E2000" s="20"/>
      <c r="F2000" s="20"/>
      <c r="G2000" s="20"/>
      <c r="H2000" s="20"/>
      <c r="I2000" s="104"/>
      <c r="J2000" s="23"/>
      <c r="K2000" s="154"/>
      <c r="L2000" s="124"/>
      <c r="M2000" s="20"/>
      <c r="N2000" s="20"/>
      <c r="O2000" s="20"/>
      <c r="P2000" s="20"/>
      <c r="Q2000" s="155"/>
      <c r="R2000" s="155"/>
    </row>
    <row r="2001" spans="1:19" s="497" customFormat="1" ht="15.6">
      <c r="A2001" s="21" t="s">
        <v>174</v>
      </c>
      <c r="B2001" s="21" t="s">
        <v>341</v>
      </c>
      <c r="C2001" s="21" t="s">
        <v>19</v>
      </c>
      <c r="D2001" s="21" t="s">
        <v>20</v>
      </c>
      <c r="E2001" s="21" t="s">
        <v>47</v>
      </c>
      <c r="F2001" s="22">
        <v>16</v>
      </c>
      <c r="G2001" s="20" t="s">
        <v>21</v>
      </c>
      <c r="H2001" s="143" t="s">
        <v>178</v>
      </c>
      <c r="I2001" s="115">
        <v>31.6</v>
      </c>
      <c r="J2001" s="179">
        <v>6.8</v>
      </c>
      <c r="K2001" s="194">
        <v>24</v>
      </c>
      <c r="L2001" s="100">
        <f t="shared" ref="L2001:L2003" si="407">(I2001*J2001*K2001/1000)</f>
        <v>5.1571199999999999</v>
      </c>
      <c r="M2001" s="20"/>
      <c r="N2001" s="20"/>
      <c r="O2001" s="20"/>
      <c r="P2001" s="20"/>
      <c r="Q2001" s="155"/>
      <c r="R2001" s="155"/>
      <c r="S2001" s="497" t="s">
        <v>374</v>
      </c>
    </row>
    <row r="2002" spans="1:19" s="497" customFormat="1" ht="15.6">
      <c r="A2002" s="20"/>
      <c r="B2002" s="503" t="s">
        <v>334</v>
      </c>
      <c r="C2002" s="20"/>
      <c r="D2002" s="20"/>
      <c r="E2002" s="20"/>
      <c r="F2002" s="20"/>
      <c r="G2002" s="20" t="s">
        <v>21</v>
      </c>
      <c r="H2002" s="20" t="s">
        <v>178</v>
      </c>
      <c r="I2002" s="115">
        <v>31.6</v>
      </c>
      <c r="J2002" s="179">
        <v>9.9</v>
      </c>
      <c r="K2002" s="194">
        <v>3</v>
      </c>
      <c r="L2002" s="100">
        <f t="shared" si="407"/>
        <v>0.93852000000000013</v>
      </c>
      <c r="M2002" s="20"/>
      <c r="N2002" s="20"/>
      <c r="O2002" s="20"/>
      <c r="P2002" s="20"/>
      <c r="Q2002" s="155"/>
      <c r="R2002" s="155"/>
    </row>
    <row r="2003" spans="1:19" s="497" customFormat="1" ht="15.6">
      <c r="A2003" s="20"/>
      <c r="B2003" s="20"/>
      <c r="C2003" s="20"/>
      <c r="D2003" s="20"/>
      <c r="E2003" s="20"/>
      <c r="F2003" s="20"/>
      <c r="G2003" s="20" t="s">
        <v>21</v>
      </c>
      <c r="H2003" s="20" t="s">
        <v>178</v>
      </c>
      <c r="I2003" s="115">
        <v>31.6</v>
      </c>
      <c r="J2003" s="179">
        <v>10</v>
      </c>
      <c r="K2003" s="194">
        <v>2</v>
      </c>
      <c r="L2003" s="100">
        <f t="shared" si="407"/>
        <v>0.63200000000000001</v>
      </c>
      <c r="M2003" s="20"/>
      <c r="N2003" s="20"/>
      <c r="O2003" s="20"/>
      <c r="P2003" s="20"/>
      <c r="Q2003" s="155"/>
      <c r="R2003" s="155"/>
    </row>
    <row r="2004" spans="1:19" s="497" customFormat="1" ht="15.6">
      <c r="A2004" s="20"/>
      <c r="B2004" s="20"/>
      <c r="C2004" s="20"/>
      <c r="D2004" s="20"/>
      <c r="E2004" s="20"/>
      <c r="F2004" s="20"/>
      <c r="G2004" s="20"/>
      <c r="H2004" s="20"/>
      <c r="I2004" s="104"/>
      <c r="J2004" s="23"/>
      <c r="K2004" s="154">
        <f>SUM(K2001:K2003)</f>
        <v>29</v>
      </c>
      <c r="L2004" s="124">
        <f>SUM(L2001:L2003)</f>
        <v>6.7276400000000001</v>
      </c>
      <c r="M2004" s="20"/>
      <c r="N2004" s="20"/>
      <c r="O2004" s="20"/>
      <c r="P2004" s="20"/>
      <c r="Q2004" s="155"/>
      <c r="R2004" s="155"/>
    </row>
    <row r="2005" spans="1:19" s="497" customFormat="1" ht="15.6">
      <c r="A2005" s="20"/>
      <c r="B2005" s="20"/>
      <c r="C2005" s="20"/>
      <c r="D2005" s="20"/>
      <c r="E2005" s="20"/>
      <c r="F2005" s="20"/>
      <c r="G2005" s="20"/>
      <c r="H2005" s="20"/>
      <c r="I2005" s="104"/>
      <c r="J2005" s="23"/>
      <c r="K2005" s="154"/>
      <c r="L2005" s="124">
        <f>+L2004+L1999</f>
        <v>10.14044</v>
      </c>
      <c r="M2005" s="20"/>
      <c r="N2005" s="20"/>
      <c r="O2005" s="20"/>
      <c r="P2005" s="20"/>
      <c r="Q2005" s="155"/>
      <c r="R2005" s="155"/>
    </row>
    <row r="2006" spans="1:19" s="497" customFormat="1" ht="15.6">
      <c r="A2006" s="20"/>
      <c r="B2006" s="20"/>
      <c r="C2006" s="20"/>
      <c r="D2006" s="20"/>
      <c r="E2006" s="20"/>
      <c r="F2006" s="20"/>
      <c r="G2006" s="20"/>
      <c r="H2006" s="20"/>
      <c r="I2006" s="104"/>
      <c r="J2006" s="23"/>
      <c r="K2006" s="154"/>
      <c r="L2006" s="124"/>
      <c r="M2006" s="20"/>
      <c r="N2006" s="20"/>
      <c r="O2006" s="20"/>
      <c r="P2006" s="20"/>
      <c r="Q2006" s="155"/>
      <c r="R2006" s="155"/>
    </row>
    <row r="2007" spans="1:19" s="497" customFormat="1" ht="15.6">
      <c r="A2007" s="21" t="s">
        <v>332</v>
      </c>
      <c r="B2007" s="21" t="s">
        <v>341</v>
      </c>
      <c r="C2007" s="21" t="s">
        <v>19</v>
      </c>
      <c r="D2007" s="21" t="s">
        <v>20</v>
      </c>
      <c r="E2007" s="21" t="s">
        <v>47</v>
      </c>
      <c r="F2007" s="22">
        <v>16</v>
      </c>
      <c r="G2007" s="20" t="s">
        <v>21</v>
      </c>
      <c r="H2007" s="143" t="s">
        <v>177</v>
      </c>
      <c r="I2007" s="115">
        <v>27.3</v>
      </c>
      <c r="J2007" s="179">
        <v>7</v>
      </c>
      <c r="K2007" s="194">
        <v>128</v>
      </c>
      <c r="L2007" s="100">
        <f t="shared" ref="L2007:L2011" si="408">(I2007*J2007*K2007/1000)</f>
        <v>24.460799999999999</v>
      </c>
      <c r="M2007" s="20"/>
      <c r="N2007" s="20"/>
      <c r="O2007" s="20"/>
      <c r="P2007" s="20"/>
      <c r="Q2007" s="155"/>
      <c r="R2007" s="155"/>
      <c r="S2007" s="497" t="s">
        <v>374</v>
      </c>
    </row>
    <row r="2008" spans="1:19" s="497" customFormat="1" ht="15.6">
      <c r="A2008" s="20"/>
      <c r="B2008" s="503" t="s">
        <v>340</v>
      </c>
      <c r="C2008" s="20"/>
      <c r="D2008" s="20"/>
      <c r="E2008" s="20"/>
      <c r="F2008" s="20"/>
      <c r="G2008" s="20" t="s">
        <v>21</v>
      </c>
      <c r="H2008" s="20" t="s">
        <v>177</v>
      </c>
      <c r="I2008" s="115">
        <v>27.3</v>
      </c>
      <c r="J2008" s="179">
        <v>7.4</v>
      </c>
      <c r="K2008" s="194">
        <v>24</v>
      </c>
      <c r="L2008" s="100">
        <f t="shared" si="408"/>
        <v>4.8484800000000003</v>
      </c>
      <c r="M2008" s="20"/>
      <c r="N2008" s="20"/>
      <c r="O2008" s="20"/>
      <c r="P2008" s="20"/>
      <c r="Q2008" s="155"/>
      <c r="R2008" s="155"/>
    </row>
    <row r="2009" spans="1:19" s="497" customFormat="1" ht="15.6">
      <c r="A2009" s="20"/>
      <c r="B2009" s="20"/>
      <c r="C2009" s="20"/>
      <c r="D2009" s="20"/>
      <c r="E2009" s="20"/>
      <c r="F2009" s="20"/>
      <c r="G2009" s="20" t="s">
        <v>21</v>
      </c>
      <c r="H2009" s="20" t="s">
        <v>177</v>
      </c>
      <c r="I2009" s="115">
        <v>27.3</v>
      </c>
      <c r="J2009" s="179">
        <v>8</v>
      </c>
      <c r="K2009" s="194">
        <v>128</v>
      </c>
      <c r="L2009" s="100">
        <f t="shared" si="408"/>
        <v>27.955200000000001</v>
      </c>
      <c r="M2009" s="20"/>
      <c r="N2009" s="20"/>
      <c r="O2009" s="20"/>
      <c r="P2009" s="20"/>
      <c r="Q2009" s="155"/>
      <c r="R2009" s="155"/>
    </row>
    <row r="2010" spans="1:19" s="497" customFormat="1" ht="15.6">
      <c r="A2010" s="20"/>
      <c r="B2010" s="20"/>
      <c r="C2010" s="20"/>
      <c r="D2010" s="20"/>
      <c r="E2010" s="20"/>
      <c r="F2010" s="20"/>
      <c r="G2010" s="20" t="s">
        <v>21</v>
      </c>
      <c r="H2010" s="20" t="s">
        <v>177</v>
      </c>
      <c r="I2010" s="115">
        <v>27.3</v>
      </c>
      <c r="J2010" s="179">
        <v>8.5</v>
      </c>
      <c r="K2010" s="194">
        <v>12</v>
      </c>
      <c r="L2010" s="100">
        <f t="shared" si="408"/>
        <v>2.7846000000000002</v>
      </c>
      <c r="M2010" s="20"/>
      <c r="N2010" s="20"/>
      <c r="O2010" s="20"/>
      <c r="P2010" s="20"/>
      <c r="Q2010" s="155"/>
      <c r="R2010" s="155"/>
    </row>
    <row r="2011" spans="1:19" s="497" customFormat="1" ht="15.6">
      <c r="A2011" s="20"/>
      <c r="B2011" s="20"/>
      <c r="C2011" s="20"/>
      <c r="D2011" s="20"/>
      <c r="E2011" s="20"/>
      <c r="F2011" s="20"/>
      <c r="G2011" s="20" t="s">
        <v>21</v>
      </c>
      <c r="H2011" s="20" t="s">
        <v>177</v>
      </c>
      <c r="I2011" s="115">
        <v>27.3</v>
      </c>
      <c r="J2011" s="179">
        <v>11.5</v>
      </c>
      <c r="K2011" s="194">
        <v>12</v>
      </c>
      <c r="L2011" s="100">
        <f t="shared" si="408"/>
        <v>3.7673999999999994</v>
      </c>
      <c r="M2011" s="20"/>
      <c r="N2011" s="20"/>
      <c r="O2011" s="20"/>
      <c r="P2011" s="20"/>
      <c r="Q2011" s="155"/>
      <c r="R2011" s="155"/>
    </row>
    <row r="2012" spans="1:19" s="497" customFormat="1" ht="15.6">
      <c r="A2012" s="20"/>
      <c r="B2012" s="20"/>
      <c r="C2012" s="20"/>
      <c r="D2012" s="20"/>
      <c r="E2012" s="20"/>
      <c r="F2012" s="20"/>
      <c r="G2012" s="20"/>
      <c r="H2012" s="20"/>
      <c r="I2012" s="104"/>
      <c r="J2012" s="23"/>
      <c r="K2012" s="154">
        <f>SUM(K2007:K2011)</f>
        <v>304</v>
      </c>
      <c r="L2012" s="124">
        <f>SUM(L2007:L2011)</f>
        <v>63.816480000000006</v>
      </c>
      <c r="M2012" s="20"/>
      <c r="N2012" s="20"/>
      <c r="O2012" s="20"/>
      <c r="P2012" s="20"/>
      <c r="Q2012" s="155"/>
      <c r="R2012" s="155"/>
    </row>
    <row r="2013" spans="1:19" s="497" customFormat="1" ht="15.6">
      <c r="A2013" s="20"/>
      <c r="B2013" s="20"/>
      <c r="C2013" s="20"/>
      <c r="D2013" s="20"/>
      <c r="E2013" s="20"/>
      <c r="F2013" s="20"/>
      <c r="G2013" s="20"/>
      <c r="H2013" s="20"/>
      <c r="I2013" s="104"/>
      <c r="J2013" s="23"/>
      <c r="K2013" s="154"/>
      <c r="L2013" s="124"/>
      <c r="M2013" s="20"/>
      <c r="N2013" s="20"/>
      <c r="O2013" s="20"/>
      <c r="P2013" s="20"/>
      <c r="Q2013" s="155"/>
      <c r="R2013" s="155"/>
    </row>
    <row r="2014" spans="1:19" s="497" customFormat="1" ht="15.6">
      <c r="A2014" s="20"/>
      <c r="B2014" s="20"/>
      <c r="C2014" s="20"/>
      <c r="D2014" s="20"/>
      <c r="E2014" s="20"/>
      <c r="F2014" s="20"/>
      <c r="G2014" s="20"/>
      <c r="H2014" s="20"/>
      <c r="I2014" s="104"/>
      <c r="J2014" s="23"/>
      <c r="K2014" s="154"/>
      <c r="L2014" s="124"/>
      <c r="M2014" s="20"/>
      <c r="N2014" s="20"/>
      <c r="O2014" s="20"/>
      <c r="P2014" s="20"/>
      <c r="Q2014" s="155"/>
      <c r="R2014" s="155"/>
    </row>
    <row r="2015" spans="1:19" s="497" customFormat="1" ht="15.6">
      <c r="A2015" s="20"/>
      <c r="B2015" s="20"/>
      <c r="C2015" s="20"/>
      <c r="D2015" s="20"/>
      <c r="E2015" s="20"/>
      <c r="F2015" s="20"/>
      <c r="G2015" s="20"/>
      <c r="H2015" s="20"/>
      <c r="I2015" s="104"/>
      <c r="J2015" s="23"/>
      <c r="K2015" s="154"/>
      <c r="L2015" s="124">
        <f>+L1996+L2005+L2012</f>
        <v>133.06636</v>
      </c>
      <c r="M2015" s="20"/>
      <c r="N2015" s="20"/>
      <c r="O2015" s="20"/>
      <c r="P2015" s="20"/>
      <c r="Q2015" s="155"/>
      <c r="R2015" s="155"/>
    </row>
    <row r="2016" spans="1:19" s="497" customFormat="1" ht="15.6">
      <c r="A2016" s="20"/>
      <c r="B2016" s="20"/>
      <c r="C2016" s="20"/>
      <c r="D2016" s="20"/>
      <c r="E2016" s="20"/>
      <c r="F2016" s="20"/>
      <c r="G2016" s="20"/>
      <c r="H2016" s="20"/>
      <c r="I2016" s="104"/>
      <c r="J2016" s="23"/>
      <c r="K2016" s="154"/>
      <c r="L2016" s="124"/>
      <c r="M2016" s="20"/>
      <c r="N2016" s="20"/>
      <c r="O2016" s="20"/>
      <c r="P2016" s="20"/>
      <c r="Q2016" s="155"/>
      <c r="R2016" s="155"/>
    </row>
    <row r="2017" spans="1:19" s="497" customFormat="1" ht="15.6">
      <c r="A2017" s="20"/>
      <c r="B2017" s="20"/>
      <c r="C2017" s="20"/>
      <c r="D2017" s="20"/>
      <c r="E2017" s="20"/>
      <c r="F2017" s="20"/>
      <c r="G2017" s="20"/>
      <c r="H2017" s="20"/>
      <c r="I2017" s="104"/>
      <c r="J2017" s="23"/>
      <c r="K2017" s="154"/>
      <c r="L2017" s="124"/>
      <c r="M2017" s="20"/>
      <c r="N2017" s="20"/>
      <c r="O2017" s="20"/>
      <c r="P2017" s="20"/>
      <c r="Q2017" s="155"/>
      <c r="R2017" s="155"/>
    </row>
    <row r="2018" spans="1:19" s="497" customFormat="1" ht="15.6">
      <c r="A2018" s="20"/>
      <c r="B2018" s="20"/>
      <c r="C2018" s="20"/>
      <c r="D2018" s="20"/>
      <c r="E2018" s="20"/>
      <c r="F2018" s="20"/>
      <c r="G2018" s="20"/>
      <c r="H2018" s="20"/>
      <c r="I2018" s="104"/>
      <c r="J2018" s="23"/>
      <c r="K2018" s="154"/>
      <c r="L2018" s="124"/>
      <c r="M2018" s="20"/>
      <c r="N2018" s="20"/>
      <c r="O2018" s="20"/>
      <c r="P2018" s="20"/>
      <c r="Q2018" s="155"/>
      <c r="R2018" s="155"/>
    </row>
    <row r="2019" spans="1:19" s="497" customFormat="1" ht="15.6">
      <c r="A2019" s="21" t="s">
        <v>332</v>
      </c>
      <c r="B2019" s="21" t="s">
        <v>308</v>
      </c>
      <c r="C2019" s="21" t="s">
        <v>19</v>
      </c>
      <c r="D2019" s="21" t="s">
        <v>20</v>
      </c>
      <c r="E2019" s="21" t="s">
        <v>367</v>
      </c>
      <c r="F2019" s="22">
        <v>16</v>
      </c>
      <c r="G2019" s="20" t="s">
        <v>21</v>
      </c>
      <c r="H2019" s="143" t="s">
        <v>368</v>
      </c>
      <c r="I2019" s="115">
        <v>32.6</v>
      </c>
      <c r="J2019" s="179">
        <v>9.6999999999999993</v>
      </c>
      <c r="K2019" s="194">
        <v>2</v>
      </c>
      <c r="L2019" s="100">
        <f t="shared" ref="L2019:L2020" si="409">(I2019*J2019*K2019/1000)</f>
        <v>0.63243999999999989</v>
      </c>
      <c r="M2019" s="20"/>
      <c r="N2019" s="20"/>
      <c r="O2019" s="20"/>
      <c r="P2019" s="20"/>
      <c r="Q2019" s="155"/>
      <c r="R2019" s="155"/>
      <c r="S2019" s="497" t="s">
        <v>370</v>
      </c>
    </row>
    <row r="2020" spans="1:19" s="497" customFormat="1" ht="15.6">
      <c r="A2020" s="20"/>
      <c r="B2020" s="20"/>
      <c r="C2020" s="20"/>
      <c r="D2020" s="20"/>
      <c r="E2020" s="20"/>
      <c r="F2020" s="20"/>
      <c r="G2020" s="20"/>
      <c r="H2020" s="20"/>
      <c r="I2020" s="115">
        <v>32.6</v>
      </c>
      <c r="J2020" s="569">
        <v>9</v>
      </c>
      <c r="K2020" s="154">
        <v>3</v>
      </c>
      <c r="L2020" s="100">
        <f t="shared" si="409"/>
        <v>0.88020000000000009</v>
      </c>
      <c r="M2020" s="20"/>
      <c r="N2020" s="20"/>
      <c r="O2020" s="20"/>
      <c r="P2020" s="20"/>
      <c r="Q2020" s="155"/>
      <c r="R2020" s="155"/>
    </row>
    <row r="2021" spans="1:19" s="497" customFormat="1" ht="15.6">
      <c r="A2021" s="20"/>
      <c r="B2021" s="20"/>
      <c r="C2021" s="20"/>
      <c r="D2021" s="20"/>
      <c r="E2021" s="20"/>
      <c r="F2021" s="20"/>
      <c r="G2021" s="20"/>
      <c r="H2021" s="20"/>
      <c r="I2021" s="104"/>
      <c r="J2021" s="23"/>
      <c r="K2021" s="154">
        <f>SUM(K2019:K2020)</f>
        <v>5</v>
      </c>
      <c r="L2021" s="124">
        <f>SUM(L2019:L2020)</f>
        <v>1.51264</v>
      </c>
      <c r="M2021" s="20"/>
      <c r="N2021" s="20"/>
      <c r="O2021" s="20"/>
      <c r="P2021" s="20"/>
      <c r="Q2021" s="155"/>
      <c r="R2021" s="155"/>
    </row>
    <row r="2022" spans="1:19" s="497" customFormat="1" ht="15.6">
      <c r="A2022" s="20"/>
      <c r="B2022" s="20"/>
      <c r="C2022" s="20"/>
      <c r="D2022" s="20"/>
      <c r="E2022" s="20"/>
      <c r="F2022" s="20"/>
      <c r="G2022" s="20"/>
      <c r="H2022" s="20"/>
      <c r="I2022" s="104"/>
      <c r="J2022" s="23"/>
      <c r="K2022" s="154"/>
      <c r="L2022" s="124"/>
      <c r="M2022" s="20"/>
      <c r="N2022" s="20"/>
      <c r="O2022" s="20"/>
      <c r="P2022" s="20"/>
      <c r="Q2022" s="155"/>
      <c r="R2022" s="155"/>
    </row>
    <row r="2023" spans="1:19" s="497" customFormat="1" ht="15.6">
      <c r="A2023" s="20"/>
      <c r="B2023" s="20"/>
      <c r="C2023" s="20"/>
      <c r="D2023" s="20"/>
      <c r="E2023" s="20"/>
      <c r="F2023" s="20"/>
      <c r="G2023" s="20"/>
      <c r="H2023" s="20"/>
      <c r="I2023" s="104"/>
      <c r="J2023" s="23"/>
      <c r="K2023" s="154"/>
      <c r="L2023" s="124"/>
      <c r="M2023" s="20"/>
      <c r="N2023" s="20"/>
      <c r="O2023" s="20"/>
      <c r="P2023" s="20"/>
      <c r="Q2023" s="155"/>
      <c r="R2023" s="155"/>
    </row>
    <row r="2024" spans="1:19" s="497" customFormat="1" ht="15.6">
      <c r="A2024" s="20"/>
      <c r="B2024" s="20"/>
      <c r="C2024" s="20"/>
      <c r="D2024" s="20"/>
      <c r="E2024" s="20"/>
      <c r="F2024" s="20"/>
      <c r="G2024" s="20"/>
      <c r="H2024" s="20"/>
      <c r="I2024" s="104"/>
      <c r="J2024" s="23"/>
      <c r="K2024" s="154"/>
      <c r="L2024" s="124"/>
      <c r="M2024" s="20"/>
      <c r="N2024" s="20"/>
      <c r="O2024" s="20"/>
      <c r="P2024" s="20"/>
      <c r="Q2024" s="155"/>
      <c r="R2024" s="155"/>
    </row>
    <row r="2025" spans="1:19" s="497" customFormat="1" ht="15.6">
      <c r="A2025" s="20"/>
      <c r="B2025" s="20"/>
      <c r="C2025" s="20"/>
      <c r="D2025" s="20"/>
      <c r="E2025" s="20"/>
      <c r="F2025" s="20"/>
      <c r="G2025" s="20"/>
      <c r="H2025" s="20"/>
      <c r="I2025" s="104"/>
      <c r="J2025" s="23"/>
      <c r="K2025" s="154"/>
      <c r="L2025" s="124"/>
      <c r="M2025" s="20"/>
      <c r="N2025" s="20"/>
      <c r="O2025" s="20"/>
      <c r="P2025" s="20"/>
      <c r="Q2025" s="155"/>
      <c r="R2025" s="155"/>
    </row>
    <row r="2026" spans="1:19" s="497" customFormat="1" ht="15.6">
      <c r="A2026" s="20"/>
      <c r="B2026" s="20"/>
      <c r="C2026" s="20"/>
      <c r="D2026" s="20"/>
      <c r="E2026" s="20"/>
      <c r="F2026" s="20"/>
      <c r="G2026" s="20"/>
      <c r="H2026" s="20"/>
      <c r="I2026" s="104"/>
      <c r="J2026" s="23"/>
      <c r="K2026" s="154"/>
      <c r="L2026" s="124"/>
      <c r="M2026" s="20"/>
      <c r="N2026" s="20"/>
      <c r="O2026" s="20"/>
      <c r="P2026" s="20"/>
      <c r="Q2026" s="155"/>
      <c r="R2026" s="155"/>
    </row>
    <row r="2027" spans="1:19" s="251" customFormat="1" ht="15.6">
      <c r="A2027" s="20"/>
      <c r="B2027" s="21"/>
      <c r="C2027" s="20"/>
      <c r="D2027" s="20"/>
      <c r="E2027" s="20"/>
      <c r="F2027" s="20"/>
      <c r="G2027" s="20"/>
      <c r="H2027" s="20"/>
      <c r="I2027" s="115"/>
      <c r="J2027" s="23"/>
      <c r="K2027" s="25"/>
      <c r="L2027" s="124"/>
      <c r="M2027" s="20"/>
      <c r="N2027" s="20"/>
      <c r="O2027" s="20"/>
      <c r="P2027" s="20"/>
      <c r="Q2027" s="155"/>
      <c r="R2027" s="155"/>
    </row>
    <row r="2028" spans="1:19" ht="15.6">
      <c r="A2028" s="20"/>
      <c r="B2028" s="20"/>
      <c r="C2028" s="20"/>
      <c r="D2028" s="20"/>
      <c r="E2028" s="20"/>
      <c r="F2028" s="20"/>
      <c r="G2028" s="20"/>
      <c r="H2028" s="20"/>
      <c r="I2028" s="131"/>
      <c r="J2028" s="20"/>
      <c r="K2028" s="154">
        <f>+K1891+K1844+K1854+K1877+K1895+K1937+K1920+K1951+K1838</f>
        <v>1901</v>
      </c>
      <c r="L2028" s="124">
        <f>+L1891+L1844+L1854+L1877+L1895+L1937+L1920+L1951+L1838+L1984+L1963</f>
        <v>625.33642399999997</v>
      </c>
      <c r="M2028" s="154">
        <f>+M1891+M1844+M1854+M1877+M1895+M1937+M1920+M1951+M1838</f>
        <v>47</v>
      </c>
      <c r="N2028" s="124">
        <f>+N1891+N1844+N1854+N1877+N1895+N1937+N1920+N1951+N1838</f>
        <v>12.932369999999999</v>
      </c>
      <c r="O2028" s="20"/>
      <c r="P2028" s="20"/>
      <c r="Q2028" s="155"/>
      <c r="R2028" s="155"/>
    </row>
    <row r="2029" spans="1:19">
      <c r="A2029" s="10" t="s">
        <v>48</v>
      </c>
      <c r="B2029" s="10"/>
      <c r="C2029" s="11"/>
      <c r="D2029" s="11"/>
      <c r="E2029" s="11"/>
      <c r="F2029" s="92"/>
      <c r="G2029" s="11"/>
      <c r="H2029" s="92"/>
      <c r="I2029" s="13"/>
      <c r="J2029" s="11"/>
      <c r="K2029" s="202"/>
      <c r="L2029" s="2047" t="s">
        <v>0</v>
      </c>
      <c r="M2029" s="2047"/>
      <c r="N2029" s="2047"/>
      <c r="O2029" s="2048"/>
      <c r="P2029" s="2020"/>
      <c r="Q2029" s="142"/>
      <c r="R2029" s="142"/>
    </row>
    <row r="2030" spans="1:19">
      <c r="A2030" s="14" t="s">
        <v>1</v>
      </c>
      <c r="B2030" s="14"/>
      <c r="C2030" s="14"/>
      <c r="D2030" s="15" t="s">
        <v>2</v>
      </c>
      <c r="E2030" s="15"/>
      <c r="F2030" s="16"/>
      <c r="G2030" s="16"/>
      <c r="H2030" s="16"/>
      <c r="I2030" s="17"/>
      <c r="J2030" s="16"/>
      <c r="K2030" s="203" t="s">
        <v>3</v>
      </c>
      <c r="L2030" s="16"/>
      <c r="M2030" s="14"/>
      <c r="N2030" s="16"/>
      <c r="O2030" s="19"/>
      <c r="P2030" s="2020"/>
      <c r="Q2030" s="142"/>
      <c r="R2030" s="142"/>
    </row>
    <row r="2031" spans="1:19" ht="15.6">
      <c r="A2031" s="285" t="s">
        <v>22</v>
      </c>
      <c r="B2031" s="2021" t="s">
        <v>23</v>
      </c>
      <c r="C2031" s="2022"/>
      <c r="D2031" s="2023"/>
      <c r="E2031" s="285" t="s">
        <v>24</v>
      </c>
      <c r="F2031" s="2021" t="s">
        <v>25</v>
      </c>
      <c r="G2031" s="2023"/>
      <c r="H2031" s="2021" t="s">
        <v>26</v>
      </c>
      <c r="I2031" s="2022"/>
      <c r="J2031" s="2022"/>
      <c r="K2031" s="2023"/>
      <c r="L2031" s="2024" t="s">
        <v>27</v>
      </c>
      <c r="M2031" s="2024"/>
      <c r="N2031" s="2024"/>
      <c r="O2031" s="2021"/>
      <c r="P2031" s="2020"/>
      <c r="Q2031" s="142"/>
      <c r="R2031" s="142"/>
    </row>
    <row r="2032" spans="1:19" ht="15.6">
      <c r="A2032" s="38"/>
      <c r="B2032" s="2025"/>
      <c r="C2032" s="2026"/>
      <c r="D2032" s="2027"/>
      <c r="E2032" s="26"/>
      <c r="F2032" s="2025"/>
      <c r="G2032" s="2027"/>
      <c r="H2032" s="2025"/>
      <c r="I2032" s="2026"/>
      <c r="J2032" s="2026"/>
      <c r="K2032" s="2027"/>
      <c r="L2032" s="2025"/>
      <c r="M2032" s="2026"/>
      <c r="N2032" s="2026"/>
      <c r="O2032" s="2026"/>
      <c r="P2032" s="2020"/>
      <c r="Q2032" s="142"/>
      <c r="R2032" s="142"/>
    </row>
    <row r="2033" spans="1:18" ht="15.6">
      <c r="A2033" s="38"/>
      <c r="B2033" s="279"/>
      <c r="C2033" s="280"/>
      <c r="D2033" s="281"/>
      <c r="E2033" s="26"/>
      <c r="F2033" s="279"/>
      <c r="G2033" s="281"/>
      <c r="H2033" s="279"/>
      <c r="I2033" s="1856"/>
      <c r="J2033" s="280"/>
      <c r="K2033" s="204"/>
      <c r="L2033" s="279"/>
      <c r="M2033" s="280"/>
      <c r="N2033" s="280"/>
      <c r="O2033" s="280"/>
      <c r="P2033" s="2020"/>
      <c r="Q2033" s="142"/>
      <c r="R2033" s="142"/>
    </row>
    <row r="2034" spans="1:18" s="251" customFormat="1" ht="15.6">
      <c r="A2034" s="38" t="s">
        <v>28</v>
      </c>
      <c r="B2034" s="2025" t="s">
        <v>188</v>
      </c>
      <c r="C2034" s="2026"/>
      <c r="D2034" s="2027"/>
      <c r="E2034" s="26">
        <f>+L1951</f>
        <v>23.522100000000002</v>
      </c>
      <c r="F2034" s="2025">
        <v>16</v>
      </c>
      <c r="G2034" s="2027"/>
      <c r="H2034" s="2025" t="s">
        <v>49</v>
      </c>
      <c r="I2034" s="2026"/>
      <c r="J2034" s="2026"/>
      <c r="K2034" s="2027"/>
      <c r="L2034" s="2025" t="s">
        <v>325</v>
      </c>
      <c r="M2034" s="2026"/>
      <c r="N2034" s="2026"/>
      <c r="O2034" s="2026"/>
      <c r="P2034" s="2020"/>
      <c r="Q2034" s="142"/>
      <c r="R2034" s="142"/>
    </row>
    <row r="2035" spans="1:18" s="251" customFormat="1" ht="15.6">
      <c r="A2035" s="38" t="s">
        <v>29</v>
      </c>
      <c r="B2035" s="2025" t="s">
        <v>187</v>
      </c>
      <c r="C2035" s="2026"/>
      <c r="D2035" s="2027"/>
      <c r="E2035" s="26">
        <f>77.977-10+10</f>
        <v>77.977000000000004</v>
      </c>
      <c r="F2035" s="2025">
        <v>16</v>
      </c>
      <c r="G2035" s="2027"/>
      <c r="H2035" s="2025" t="s">
        <v>49</v>
      </c>
      <c r="I2035" s="2026"/>
      <c r="J2035" s="2026"/>
      <c r="K2035" s="2027"/>
      <c r="L2035" s="2025" t="s">
        <v>338</v>
      </c>
      <c r="M2035" s="2026"/>
      <c r="N2035" s="2026"/>
      <c r="O2035" s="2026"/>
      <c r="P2035" s="2020"/>
      <c r="Q2035" s="142"/>
      <c r="R2035" s="142"/>
    </row>
    <row r="2036" spans="1:18" s="251" customFormat="1" ht="15.6">
      <c r="A2036" s="38" t="s">
        <v>30</v>
      </c>
      <c r="B2036" s="2025" t="s">
        <v>185</v>
      </c>
      <c r="C2036" s="2026"/>
      <c r="D2036" s="2027"/>
      <c r="E2036" s="26">
        <f>372.402-2.221-24-10+L1975+58.95</f>
        <v>398.14257999999995</v>
      </c>
      <c r="F2036" s="2025">
        <v>16</v>
      </c>
      <c r="G2036" s="2027"/>
      <c r="H2036" s="2025" t="s">
        <v>49</v>
      </c>
      <c r="I2036" s="2026"/>
      <c r="J2036" s="2026"/>
      <c r="K2036" s="2027"/>
      <c r="L2036" s="2025" t="s">
        <v>339</v>
      </c>
      <c r="M2036" s="2026"/>
      <c r="N2036" s="2026"/>
      <c r="O2036" s="2026"/>
      <c r="P2036" s="2020"/>
      <c r="Q2036" s="142"/>
      <c r="R2036" s="142"/>
    </row>
    <row r="2037" spans="1:18" s="497" customFormat="1" ht="15.6">
      <c r="A2037" s="38" t="s">
        <v>46</v>
      </c>
      <c r="B2037" s="2025" t="s">
        <v>184</v>
      </c>
      <c r="C2037" s="2026"/>
      <c r="D2037" s="2027"/>
      <c r="E2037" s="26">
        <f>+L1982</f>
        <v>19.974760000000003</v>
      </c>
      <c r="F2037" s="2025">
        <v>16</v>
      </c>
      <c r="G2037" s="2027"/>
      <c r="H2037" s="2025" t="s">
        <v>49</v>
      </c>
      <c r="I2037" s="2026"/>
      <c r="J2037" s="2026"/>
      <c r="K2037" s="2027"/>
      <c r="L2037" s="2025" t="s">
        <v>190</v>
      </c>
      <c r="M2037" s="2026"/>
      <c r="N2037" s="2026"/>
      <c r="O2037" s="2026"/>
      <c r="P2037" s="2020"/>
      <c r="Q2037" s="142"/>
      <c r="R2037" s="142"/>
    </row>
    <row r="2038" spans="1:18" s="497" customFormat="1" ht="15.6">
      <c r="A2038" s="38" t="s">
        <v>58</v>
      </c>
      <c r="B2038" s="2025" t="s">
        <v>186</v>
      </c>
      <c r="C2038" s="2026"/>
      <c r="D2038" s="2027"/>
      <c r="E2038" s="26">
        <f>6.73+3.41</f>
        <v>10.14</v>
      </c>
      <c r="F2038" s="2025">
        <v>16</v>
      </c>
      <c r="G2038" s="2027"/>
      <c r="H2038" s="2025" t="s">
        <v>49</v>
      </c>
      <c r="I2038" s="2026"/>
      <c r="J2038" s="2026"/>
      <c r="K2038" s="2027"/>
      <c r="L2038" s="2025" t="s">
        <v>190</v>
      </c>
      <c r="M2038" s="2026"/>
      <c r="N2038" s="2026"/>
      <c r="O2038" s="2026"/>
      <c r="P2038" s="2020"/>
      <c r="Q2038" s="142"/>
      <c r="R2038" s="142"/>
    </row>
    <row r="2039" spans="1:18" s="497" customFormat="1" ht="15.6">
      <c r="A2039" s="38" t="s">
        <v>163</v>
      </c>
      <c r="B2039" s="2025" t="s">
        <v>187</v>
      </c>
      <c r="C2039" s="2026"/>
      <c r="D2039" s="2027"/>
      <c r="E2039" s="26">
        <f>63.82+20.11</f>
        <v>83.93</v>
      </c>
      <c r="F2039" s="2025">
        <v>16</v>
      </c>
      <c r="G2039" s="2027"/>
      <c r="H2039" s="2025" t="s">
        <v>49</v>
      </c>
      <c r="I2039" s="2026"/>
      <c r="J2039" s="2026"/>
      <c r="K2039" s="2027"/>
      <c r="L2039" s="2025" t="s">
        <v>190</v>
      </c>
      <c r="M2039" s="2026"/>
      <c r="N2039" s="2026"/>
      <c r="O2039" s="2026"/>
      <c r="P2039" s="2020"/>
      <c r="Q2039" s="142"/>
      <c r="R2039" s="142"/>
    </row>
    <row r="2040" spans="1:18" s="497" customFormat="1" ht="15.6">
      <c r="A2040" s="38"/>
      <c r="B2040" s="500"/>
      <c r="C2040" s="501"/>
      <c r="D2040" s="502"/>
      <c r="E2040" s="26"/>
      <c r="F2040" s="500"/>
      <c r="G2040" s="502"/>
      <c r="H2040" s="500"/>
      <c r="I2040" s="1856"/>
      <c r="J2040" s="501"/>
      <c r="K2040" s="502"/>
      <c r="L2040" s="500"/>
      <c r="M2040" s="501"/>
      <c r="N2040" s="501"/>
      <c r="O2040" s="501"/>
      <c r="P2040" s="2020"/>
      <c r="Q2040" s="142"/>
      <c r="R2040" s="142"/>
    </row>
    <row r="2041" spans="1:18" s="497" customFormat="1" ht="16.2" thickBot="1">
      <c r="A2041" s="38"/>
      <c r="B2041" s="500"/>
      <c r="C2041" s="501"/>
      <c r="D2041" s="502"/>
      <c r="E2041" s="26"/>
      <c r="F2041" s="500"/>
      <c r="G2041" s="502"/>
      <c r="H2041" s="500"/>
      <c r="I2041" s="1856"/>
      <c r="J2041" s="501"/>
      <c r="K2041" s="502"/>
      <c r="L2041" s="500"/>
      <c r="M2041" s="501"/>
      <c r="N2041" s="501"/>
      <c r="O2041" s="501"/>
      <c r="P2041" s="2020"/>
      <c r="Q2041" s="142"/>
      <c r="R2041" s="142"/>
    </row>
    <row r="2042" spans="1:18" ht="15.6">
      <c r="A2042" s="41"/>
      <c r="B2042" s="42"/>
      <c r="C2042" s="43"/>
      <c r="D2042" s="43"/>
      <c r="E2042" s="2028">
        <f>SUM(E2034:E2040)</f>
        <v>613.68643999999995</v>
      </c>
      <c r="F2042" s="44"/>
      <c r="G2042" s="45"/>
      <c r="H2042" s="46"/>
      <c r="I2042" s="1858"/>
      <c r="J2042" s="43"/>
      <c r="K2042" s="205"/>
      <c r="L2042" s="46"/>
      <c r="M2042" s="43"/>
      <c r="N2042" s="44"/>
      <c r="O2042" s="43"/>
      <c r="P2042" s="2020"/>
      <c r="Q2042" s="142"/>
      <c r="R2042" s="142"/>
    </row>
    <row r="2043" spans="1:18" ht="16.2" thickBot="1">
      <c r="A2043" s="47"/>
      <c r="B2043" s="48"/>
      <c r="C2043" s="49"/>
      <c r="D2043" s="49"/>
      <c r="E2043" s="2029"/>
      <c r="F2043" s="50"/>
      <c r="G2043" s="51"/>
      <c r="H2043" s="52"/>
      <c r="I2043" s="1860"/>
      <c r="J2043" s="49"/>
      <c r="K2043" s="206"/>
      <c r="L2043" s="52"/>
      <c r="M2043" s="49"/>
      <c r="N2043" s="50"/>
      <c r="O2043" s="49"/>
      <c r="P2043" s="2020"/>
      <c r="Q2043" s="142"/>
      <c r="R2043" s="142"/>
    </row>
    <row r="2044" spans="1:18" ht="15.6">
      <c r="A2044" s="53" t="s">
        <v>31</v>
      </c>
      <c r="B2044" s="43"/>
      <c r="C2044" s="43"/>
      <c r="D2044" s="43"/>
      <c r="E2044" s="43"/>
      <c r="F2044" s="44"/>
      <c r="G2044" s="43"/>
      <c r="H2044" s="44"/>
      <c r="I2044" s="1858"/>
      <c r="J2044" s="43"/>
      <c r="K2044" s="207"/>
      <c r="L2044" s="44"/>
      <c r="M2044" s="43"/>
      <c r="N2044" s="44"/>
      <c r="O2044" s="43"/>
      <c r="P2044" s="2020"/>
      <c r="Q2044" s="142"/>
      <c r="R2044" s="142"/>
    </row>
    <row r="2045" spans="1:18" ht="15.6">
      <c r="A2045" s="54"/>
      <c r="B2045" s="55"/>
      <c r="C2045" s="55"/>
      <c r="D2045" s="55"/>
      <c r="E2045" s="55"/>
      <c r="F2045" s="283"/>
      <c r="G2045" s="55"/>
      <c r="H2045" s="283"/>
      <c r="I2045" s="1859"/>
      <c r="J2045" s="55"/>
      <c r="K2045" s="208"/>
      <c r="L2045" s="283"/>
      <c r="M2045" s="55"/>
      <c r="N2045" s="283"/>
      <c r="O2045" s="55"/>
      <c r="P2045" s="2020"/>
      <c r="Q2045" s="142"/>
      <c r="R2045" s="142"/>
    </row>
    <row r="2046" spans="1:18" ht="16.2" thickBot="1">
      <c r="A2046" s="2030" t="s">
        <v>32</v>
      </c>
      <c r="B2046" s="2031"/>
      <c r="C2046" s="2032" t="s">
        <v>33</v>
      </c>
      <c r="D2046" s="2033"/>
      <c r="E2046" s="57" t="s">
        <v>34</v>
      </c>
      <c r="F2046" s="57" t="s">
        <v>35</v>
      </c>
      <c r="G2046" s="2034" t="s">
        <v>36</v>
      </c>
      <c r="H2046" s="2035"/>
      <c r="I2046" s="2035"/>
      <c r="J2046" s="2035"/>
      <c r="K2046" s="2035"/>
      <c r="L2046" s="2035"/>
      <c r="M2046" s="2035"/>
      <c r="N2046" s="2035"/>
      <c r="O2046" s="2035"/>
      <c r="P2046" s="2020"/>
      <c r="Q2046" s="142"/>
      <c r="R2046" s="142"/>
    </row>
    <row r="2047" spans="1:18" ht="15.6">
      <c r="A2047" s="2036"/>
      <c r="B2047" s="2023"/>
      <c r="C2047" s="2021"/>
      <c r="D2047" s="2023"/>
      <c r="E2047" s="285"/>
      <c r="F2047" s="284"/>
      <c r="G2047" s="2037"/>
      <c r="H2047" s="2038"/>
      <c r="I2047" s="2038"/>
      <c r="J2047" s="2038"/>
      <c r="K2047" s="2038"/>
      <c r="L2047" s="2038"/>
      <c r="M2047" s="2038"/>
      <c r="N2047" s="2038"/>
      <c r="O2047" s="2038"/>
      <c r="P2047" s="2020"/>
      <c r="Q2047" s="142"/>
      <c r="R2047" s="142"/>
    </row>
    <row r="2048" spans="1:18" ht="15.6">
      <c r="A2048" s="2043" t="s">
        <v>37</v>
      </c>
      <c r="B2048" s="2044"/>
      <c r="C2048" s="2021"/>
      <c r="D2048" s="2023"/>
      <c r="E2048" s="285"/>
      <c r="F2048" s="284"/>
      <c r="G2048" s="2039"/>
      <c r="H2048" s="2040"/>
      <c r="I2048" s="2040"/>
      <c r="J2048" s="2040"/>
      <c r="K2048" s="2040"/>
      <c r="L2048" s="2040"/>
      <c r="M2048" s="2040"/>
      <c r="N2048" s="2040"/>
      <c r="O2048" s="2040"/>
      <c r="P2048" s="2020"/>
      <c r="Q2048" s="142"/>
      <c r="R2048" s="142"/>
    </row>
    <row r="2049" spans="1:18" ht="15.6">
      <c r="A2049" s="2043" t="s">
        <v>38</v>
      </c>
      <c r="B2049" s="2044"/>
      <c r="C2049" s="2021"/>
      <c r="D2049" s="2023"/>
      <c r="E2049" s="285"/>
      <c r="F2049" s="284"/>
      <c r="G2049" s="2039"/>
      <c r="H2049" s="2040"/>
      <c r="I2049" s="2040"/>
      <c r="J2049" s="2040"/>
      <c r="K2049" s="2040"/>
      <c r="L2049" s="2040"/>
      <c r="M2049" s="2040"/>
      <c r="N2049" s="2040"/>
      <c r="O2049" s="2040"/>
      <c r="P2049" s="2020"/>
      <c r="Q2049" s="142"/>
      <c r="R2049" s="142"/>
    </row>
    <row r="2050" spans="1:18" ht="15.6">
      <c r="A2050" s="2043" t="s">
        <v>39</v>
      </c>
      <c r="B2050" s="2044"/>
      <c r="C2050" s="2021"/>
      <c r="D2050" s="2023"/>
      <c r="E2050" s="285"/>
      <c r="F2050" s="284"/>
      <c r="G2050" s="2039"/>
      <c r="H2050" s="2040"/>
      <c r="I2050" s="2040"/>
      <c r="J2050" s="2040"/>
      <c r="K2050" s="2040"/>
      <c r="L2050" s="2040"/>
      <c r="M2050" s="2040"/>
      <c r="N2050" s="2040"/>
      <c r="O2050" s="2040"/>
      <c r="P2050" s="2020"/>
      <c r="Q2050" s="142"/>
      <c r="R2050" s="142"/>
    </row>
    <row r="2051" spans="1:18" ht="15.6">
      <c r="A2051" s="2043" t="s">
        <v>40</v>
      </c>
      <c r="B2051" s="2044"/>
      <c r="C2051" s="2021"/>
      <c r="D2051" s="2023"/>
      <c r="E2051" s="285"/>
      <c r="F2051" s="284"/>
      <c r="G2051" s="2039"/>
      <c r="H2051" s="2040"/>
      <c r="I2051" s="2040"/>
      <c r="J2051" s="2040"/>
      <c r="K2051" s="2040"/>
      <c r="L2051" s="2040"/>
      <c r="M2051" s="2040"/>
      <c r="N2051" s="2040"/>
      <c r="O2051" s="2040"/>
      <c r="P2051" s="2020"/>
      <c r="Q2051" s="142"/>
      <c r="R2051" s="142"/>
    </row>
    <row r="2052" spans="1:18" ht="16.2" thickBot="1">
      <c r="A2052" s="2049" t="s">
        <v>41</v>
      </c>
      <c r="B2052" s="2050"/>
      <c r="C2052" s="2051"/>
      <c r="D2052" s="2052"/>
      <c r="E2052" s="58"/>
      <c r="F2052" s="286"/>
      <c r="G2052" s="2041"/>
      <c r="H2052" s="2042"/>
      <c r="I2052" s="2042"/>
      <c r="J2052" s="2042"/>
      <c r="K2052" s="2042"/>
      <c r="L2052" s="2042"/>
      <c r="M2052" s="2042"/>
      <c r="N2052" s="2042"/>
      <c r="O2052" s="2042"/>
      <c r="P2052" s="2020"/>
      <c r="Q2052" s="142"/>
      <c r="R2052" s="142"/>
    </row>
    <row r="2053" spans="1:18" ht="15.6">
      <c r="A2053" s="54"/>
      <c r="B2053" s="55"/>
      <c r="C2053" s="55"/>
      <c r="D2053" s="55"/>
      <c r="E2053" s="55"/>
      <c r="F2053" s="283"/>
      <c r="G2053" s="55"/>
      <c r="H2053" s="59"/>
      <c r="I2053" s="60"/>
      <c r="J2053" s="61"/>
      <c r="K2053" s="209"/>
      <c r="L2053" s="301"/>
      <c r="M2053" s="55"/>
      <c r="N2053" s="283"/>
      <c r="O2053" s="55"/>
      <c r="P2053" s="2020"/>
      <c r="Q2053" s="142"/>
      <c r="R2053" s="142"/>
    </row>
    <row r="2054" spans="1:18" ht="15.6">
      <c r="A2054" s="62" t="s">
        <v>42</v>
      </c>
      <c r="B2054" s="56"/>
      <c r="C2054" s="55"/>
      <c r="D2054" s="55"/>
      <c r="E2054" s="55"/>
      <c r="F2054" s="283"/>
      <c r="G2054" s="56"/>
      <c r="H2054" s="59"/>
      <c r="I2054" s="60"/>
      <c r="J2054" s="61"/>
      <c r="K2054" s="208"/>
      <c r="L2054" s="302"/>
      <c r="M2054" s="55"/>
      <c r="N2054" s="2045" t="s">
        <v>43</v>
      </c>
      <c r="O2054" s="2045"/>
      <c r="P2054" s="2020"/>
      <c r="Q2054" s="142"/>
      <c r="R2054" s="142"/>
    </row>
    <row r="2055" spans="1:18" ht="15.6">
      <c r="A2055" s="62"/>
      <c r="B2055" s="56"/>
      <c r="C2055" s="55"/>
      <c r="D2055" s="55"/>
      <c r="E2055" s="55"/>
      <c r="F2055" s="283"/>
      <c r="G2055" s="55"/>
      <c r="H2055" s="283"/>
      <c r="I2055" s="1859"/>
      <c r="J2055" s="55"/>
      <c r="K2055" s="208"/>
      <c r="L2055" s="283"/>
      <c r="M2055" s="55"/>
      <c r="N2055" s="283"/>
      <c r="O2055" s="56"/>
      <c r="P2055" s="2020"/>
      <c r="Q2055" s="142"/>
      <c r="R2055" s="142"/>
    </row>
    <row r="2056" spans="1:18" ht="15.6">
      <c r="A2056" s="62" t="s">
        <v>44</v>
      </c>
      <c r="B2056" s="56"/>
      <c r="C2056" s="55"/>
      <c r="D2056" s="55"/>
      <c r="E2056" s="55"/>
      <c r="F2056" s="283"/>
      <c r="G2056" s="55"/>
      <c r="H2056" s="283"/>
      <c r="I2056" s="1859"/>
      <c r="J2056" s="55"/>
      <c r="K2056" s="208"/>
      <c r="L2056" s="283"/>
      <c r="M2056" s="55"/>
      <c r="N2056" s="2045" t="s">
        <v>45</v>
      </c>
      <c r="O2056" s="2045"/>
      <c r="P2056" s="2020"/>
      <c r="Q2056" s="142"/>
      <c r="R2056" s="142"/>
    </row>
    <row r="2057" spans="1:18" ht="16.2" thickBot="1">
      <c r="A2057" s="48"/>
      <c r="B2057" s="49"/>
      <c r="C2057" s="49"/>
      <c r="D2057" s="49"/>
      <c r="E2057" s="49"/>
      <c r="F2057" s="50"/>
      <c r="G2057" s="49"/>
      <c r="H2057" s="50"/>
      <c r="I2057" s="1860"/>
      <c r="J2057" s="49"/>
      <c r="K2057" s="210"/>
      <c r="L2057" s="50"/>
      <c r="M2057" s="49"/>
      <c r="N2057" s="50"/>
      <c r="O2057" s="49"/>
      <c r="P2057" s="2020"/>
      <c r="Q2057" s="142"/>
      <c r="R2057" s="142"/>
    </row>
    <row r="2059" spans="1:18" s="251" customFormat="1">
      <c r="I2059" s="1864"/>
      <c r="K2059" s="176"/>
      <c r="L2059" s="465"/>
      <c r="Q2059" s="497"/>
      <c r="R2059" s="497"/>
    </row>
    <row r="2060" spans="1:18" s="251" customFormat="1">
      <c r="I2060" s="1864"/>
      <c r="K2060" s="176"/>
      <c r="L2060" s="465"/>
      <c r="Q2060" s="497"/>
      <c r="R2060" s="497"/>
    </row>
    <row r="2061" spans="1:18" s="251" customFormat="1">
      <c r="I2061" s="1864"/>
      <c r="K2061" s="176"/>
      <c r="L2061" s="465"/>
      <c r="Q2061" s="497"/>
      <c r="R2061" s="497"/>
    </row>
    <row r="2062" spans="1:18" s="251" customFormat="1">
      <c r="A2062" s="10" t="s">
        <v>48</v>
      </c>
      <c r="B2062" s="10"/>
      <c r="C2062" s="11"/>
      <c r="D2062" s="11"/>
      <c r="E2062" s="11"/>
      <c r="F2062" s="92"/>
      <c r="G2062" s="11"/>
      <c r="H2062" s="92"/>
      <c r="I2062" s="13"/>
      <c r="J2062" s="11"/>
      <c r="K2062" s="202"/>
      <c r="L2062" s="2047" t="s">
        <v>0</v>
      </c>
      <c r="M2062" s="2047"/>
      <c r="N2062" s="2047"/>
      <c r="O2062" s="2048"/>
      <c r="P2062" s="2020"/>
      <c r="Q2062" s="142"/>
      <c r="R2062" s="142"/>
    </row>
    <row r="2063" spans="1:18" s="251" customFormat="1">
      <c r="A2063" s="14" t="s">
        <v>1</v>
      </c>
      <c r="B2063" s="14"/>
      <c r="C2063" s="14"/>
      <c r="D2063" s="15" t="s">
        <v>2</v>
      </c>
      <c r="E2063" s="15"/>
      <c r="F2063" s="16"/>
      <c r="G2063" s="16"/>
      <c r="H2063" s="16"/>
      <c r="I2063" s="17"/>
      <c r="J2063" s="16"/>
      <c r="K2063" s="203" t="s">
        <v>3</v>
      </c>
      <c r="L2063" s="16"/>
      <c r="M2063" s="14"/>
      <c r="N2063" s="16"/>
      <c r="O2063" s="19"/>
      <c r="P2063" s="2020"/>
      <c r="Q2063" s="142"/>
      <c r="R2063" s="142"/>
    </row>
    <row r="2064" spans="1:18" s="251" customFormat="1" ht="15.6">
      <c r="A2064" s="463" t="s">
        <v>22</v>
      </c>
      <c r="B2064" s="2021" t="s">
        <v>23</v>
      </c>
      <c r="C2064" s="2022"/>
      <c r="D2064" s="2023"/>
      <c r="E2064" s="463" t="s">
        <v>24</v>
      </c>
      <c r="F2064" s="2021" t="s">
        <v>25</v>
      </c>
      <c r="G2064" s="2023"/>
      <c r="H2064" s="2021" t="s">
        <v>26</v>
      </c>
      <c r="I2064" s="2022"/>
      <c r="J2064" s="2022"/>
      <c r="K2064" s="2023"/>
      <c r="L2064" s="2024" t="s">
        <v>27</v>
      </c>
      <c r="M2064" s="2024"/>
      <c r="N2064" s="2024"/>
      <c r="O2064" s="2021"/>
      <c r="P2064" s="2020"/>
      <c r="Q2064" s="142"/>
      <c r="R2064" s="142"/>
    </row>
    <row r="2065" spans="1:18" s="251" customFormat="1" ht="15.6">
      <c r="A2065" s="38"/>
      <c r="B2065" s="2025"/>
      <c r="C2065" s="2026"/>
      <c r="D2065" s="2027"/>
      <c r="E2065" s="26"/>
      <c r="F2065" s="2025"/>
      <c r="G2065" s="2027"/>
      <c r="H2065" s="2025"/>
      <c r="I2065" s="2026"/>
      <c r="J2065" s="2026"/>
      <c r="K2065" s="2027"/>
      <c r="L2065" s="2025"/>
      <c r="M2065" s="2026"/>
      <c r="N2065" s="2026"/>
      <c r="O2065" s="2026"/>
      <c r="P2065" s="2020"/>
      <c r="Q2065" s="142"/>
      <c r="R2065" s="142"/>
    </row>
    <row r="2066" spans="1:18" s="251" customFormat="1" ht="15.6">
      <c r="A2066" s="38"/>
      <c r="B2066" s="458"/>
      <c r="C2066" s="459"/>
      <c r="D2066" s="460"/>
      <c r="E2066" s="26"/>
      <c r="F2066" s="458"/>
      <c r="G2066" s="460"/>
      <c r="H2066" s="458"/>
      <c r="I2066" s="1856"/>
      <c r="J2066" s="459"/>
      <c r="K2066" s="204"/>
      <c r="L2066" s="458"/>
      <c r="M2066" s="459"/>
      <c r="N2066" s="459"/>
      <c r="O2066" s="459"/>
      <c r="P2066" s="2020"/>
      <c r="Q2066" s="142"/>
      <c r="R2066" s="142"/>
    </row>
    <row r="2067" spans="1:18" s="251" customFormat="1" ht="15.6">
      <c r="A2067" s="38" t="s">
        <v>28</v>
      </c>
      <c r="B2067" s="2025" t="s">
        <v>188</v>
      </c>
      <c r="C2067" s="2026"/>
      <c r="D2067" s="2027"/>
      <c r="E2067" s="26">
        <f>23.5221-19.17+10</f>
        <v>14.352099999999997</v>
      </c>
      <c r="F2067" s="2025">
        <v>16</v>
      </c>
      <c r="G2067" s="2027"/>
      <c r="H2067" s="2025" t="s">
        <v>49</v>
      </c>
      <c r="I2067" s="2026"/>
      <c r="J2067" s="2026"/>
      <c r="K2067" s="2027"/>
      <c r="L2067" s="2025" t="s">
        <v>321</v>
      </c>
      <c r="M2067" s="2026"/>
      <c r="N2067" s="2026"/>
      <c r="O2067" s="2026"/>
      <c r="P2067" s="2020"/>
      <c r="Q2067" s="142"/>
      <c r="R2067" s="142"/>
    </row>
    <row r="2068" spans="1:18" s="251" customFormat="1" ht="15.6">
      <c r="A2068" s="38" t="s">
        <v>29</v>
      </c>
      <c r="B2068" s="2025" t="s">
        <v>187</v>
      </c>
      <c r="C2068" s="2026"/>
      <c r="D2068" s="2027"/>
      <c r="E2068" s="26">
        <f>121.81545-77.78+10</f>
        <v>54.035449999999997</v>
      </c>
      <c r="F2068" s="2025">
        <v>16</v>
      </c>
      <c r="G2068" s="2027"/>
      <c r="H2068" s="2025" t="s">
        <v>49</v>
      </c>
      <c r="I2068" s="2026"/>
      <c r="J2068" s="2026"/>
      <c r="K2068" s="2027"/>
      <c r="L2068" s="2025" t="s">
        <v>321</v>
      </c>
      <c r="M2068" s="2026"/>
      <c r="N2068" s="2026"/>
      <c r="O2068" s="2026"/>
      <c r="P2068" s="2020"/>
      <c r="Q2068" s="142"/>
      <c r="R2068" s="142"/>
    </row>
    <row r="2069" spans="1:18" s="251" customFormat="1" ht="15.6">
      <c r="A2069" s="38" t="s">
        <v>30</v>
      </c>
      <c r="B2069" s="2025" t="s">
        <v>186</v>
      </c>
      <c r="C2069" s="2026"/>
      <c r="D2069" s="2027"/>
      <c r="E2069" s="26">
        <v>2.2751999999999999</v>
      </c>
      <c r="F2069" s="2025">
        <v>16</v>
      </c>
      <c r="G2069" s="2027"/>
      <c r="H2069" s="2025" t="s">
        <v>49</v>
      </c>
      <c r="I2069" s="2026"/>
      <c r="J2069" s="2026"/>
      <c r="K2069" s="2027"/>
      <c r="L2069" s="2025" t="s">
        <v>190</v>
      </c>
      <c r="M2069" s="2026"/>
      <c r="N2069" s="2026"/>
      <c r="O2069" s="2026"/>
      <c r="P2069" s="2020"/>
      <c r="Q2069" s="142"/>
      <c r="R2069" s="142"/>
    </row>
    <row r="2070" spans="1:18" s="251" customFormat="1" ht="15.6">
      <c r="A2070" s="38" t="s">
        <v>46</v>
      </c>
      <c r="B2070" s="2025" t="s">
        <v>185</v>
      </c>
      <c r="C2070" s="2026"/>
      <c r="D2070" s="2027"/>
      <c r="E2070" s="26">
        <f>394.95294-372.4</f>
        <v>22.552940000000035</v>
      </c>
      <c r="F2070" s="2025">
        <v>16</v>
      </c>
      <c r="G2070" s="2027"/>
      <c r="H2070" s="2025" t="s">
        <v>49</v>
      </c>
      <c r="I2070" s="2026"/>
      <c r="J2070" s="2026"/>
      <c r="K2070" s="2027"/>
      <c r="L2070" s="2025" t="s">
        <v>190</v>
      </c>
      <c r="M2070" s="2026"/>
      <c r="N2070" s="2026"/>
      <c r="O2070" s="2026"/>
      <c r="P2070" s="2020"/>
      <c r="Q2070" s="142"/>
      <c r="R2070" s="142"/>
    </row>
    <row r="2071" spans="1:18" s="251" customFormat="1" ht="15.6">
      <c r="A2071" s="38" t="s">
        <v>58</v>
      </c>
      <c r="B2071" s="2025" t="s">
        <v>184</v>
      </c>
      <c r="C2071" s="2026"/>
      <c r="D2071" s="2027"/>
      <c r="E2071" s="26">
        <v>8.0804320000000001</v>
      </c>
      <c r="F2071" s="2025">
        <v>16</v>
      </c>
      <c r="G2071" s="2027"/>
      <c r="H2071" s="2025" t="s">
        <v>49</v>
      </c>
      <c r="I2071" s="2026"/>
      <c r="J2071" s="2026"/>
      <c r="K2071" s="2027"/>
      <c r="L2071" s="2025" t="s">
        <v>190</v>
      </c>
      <c r="M2071" s="2026"/>
      <c r="N2071" s="2026"/>
      <c r="O2071" s="2026"/>
      <c r="P2071" s="2020"/>
      <c r="Q2071" s="142"/>
      <c r="R2071" s="142"/>
    </row>
    <row r="2072" spans="1:18" s="251" customFormat="1" ht="15.6">
      <c r="A2072" s="38" t="s">
        <v>163</v>
      </c>
      <c r="B2072" s="2025" t="s">
        <v>183</v>
      </c>
      <c r="C2072" s="2026"/>
      <c r="D2072" s="2027"/>
      <c r="E2072" s="26">
        <v>8.9385999999999992</v>
      </c>
      <c r="F2072" s="2025">
        <v>16</v>
      </c>
      <c r="G2072" s="2027"/>
      <c r="H2072" s="2025" t="s">
        <v>49</v>
      </c>
      <c r="I2072" s="2026"/>
      <c r="J2072" s="2026"/>
      <c r="K2072" s="2027"/>
      <c r="L2072" s="2025" t="s">
        <v>190</v>
      </c>
      <c r="M2072" s="2026"/>
      <c r="N2072" s="2026"/>
      <c r="O2072" s="2026"/>
      <c r="P2072" s="2020"/>
      <c r="Q2072" s="142"/>
      <c r="R2072" s="142"/>
    </row>
    <row r="2073" spans="1:18" s="251" customFormat="1" ht="15.6">
      <c r="A2073" s="38" t="s">
        <v>302</v>
      </c>
      <c r="B2073" s="2025" t="s">
        <v>301</v>
      </c>
      <c r="C2073" s="2026"/>
      <c r="D2073" s="2027"/>
      <c r="E2073" s="26">
        <v>5.1448799999999997</v>
      </c>
      <c r="F2073" s="2025">
        <v>16</v>
      </c>
      <c r="G2073" s="2027"/>
      <c r="H2073" s="2025" t="s">
        <v>49</v>
      </c>
      <c r="I2073" s="2026"/>
      <c r="J2073" s="2026"/>
      <c r="K2073" s="2027"/>
      <c r="L2073" s="2025" t="s">
        <v>190</v>
      </c>
      <c r="M2073" s="2026"/>
      <c r="N2073" s="2026"/>
      <c r="O2073" s="2026"/>
      <c r="P2073" s="2020"/>
      <c r="Q2073" s="142"/>
      <c r="R2073" s="142"/>
    </row>
    <row r="2074" spans="1:18" s="251" customFormat="1" ht="15.6">
      <c r="A2074" s="38"/>
      <c r="B2074" s="2025"/>
      <c r="C2074" s="2026"/>
      <c r="D2074" s="2027"/>
      <c r="E2074" s="26"/>
      <c r="F2074" s="2025"/>
      <c r="G2074" s="2027"/>
      <c r="H2074" s="2025"/>
      <c r="I2074" s="2026"/>
      <c r="J2074" s="2026"/>
      <c r="K2074" s="2027"/>
      <c r="L2074" s="2025"/>
      <c r="M2074" s="2026"/>
      <c r="N2074" s="2026"/>
      <c r="O2074" s="2026"/>
      <c r="P2074" s="2020"/>
      <c r="Q2074" s="142"/>
      <c r="R2074" s="142"/>
    </row>
    <row r="2075" spans="1:18" s="251" customFormat="1" ht="16.2" thickBot="1">
      <c r="A2075" s="38"/>
      <c r="B2075" s="458"/>
      <c r="C2075" s="459"/>
      <c r="D2075" s="459"/>
      <c r="E2075" s="26"/>
      <c r="F2075" s="459"/>
      <c r="G2075" s="460"/>
      <c r="H2075" s="458"/>
      <c r="I2075" s="1856"/>
      <c r="J2075" s="459"/>
      <c r="K2075" s="204"/>
      <c r="L2075" s="39"/>
      <c r="M2075" s="40"/>
      <c r="N2075" s="40"/>
      <c r="O2075" s="40"/>
      <c r="P2075" s="2020"/>
      <c r="Q2075" s="142"/>
      <c r="R2075" s="142"/>
    </row>
    <row r="2076" spans="1:18" s="251" customFormat="1" ht="15.6">
      <c r="A2076" s="41"/>
      <c r="B2076" s="42"/>
      <c r="C2076" s="43"/>
      <c r="D2076" s="43"/>
      <c r="E2076" s="2028">
        <f>SUM(E2065:E2075)</f>
        <v>115.37960200000002</v>
      </c>
      <c r="F2076" s="44"/>
      <c r="G2076" s="45"/>
      <c r="H2076" s="46"/>
      <c r="I2076" s="1858"/>
      <c r="J2076" s="43"/>
      <c r="K2076" s="205"/>
      <c r="L2076" s="46"/>
      <c r="M2076" s="43"/>
      <c r="N2076" s="44"/>
      <c r="O2076" s="43"/>
      <c r="P2076" s="2020"/>
      <c r="Q2076" s="142"/>
      <c r="R2076" s="142"/>
    </row>
    <row r="2077" spans="1:18" s="251" customFormat="1" ht="16.2" thickBot="1">
      <c r="A2077" s="47"/>
      <c r="B2077" s="48"/>
      <c r="C2077" s="49"/>
      <c r="D2077" s="49"/>
      <c r="E2077" s="2029"/>
      <c r="F2077" s="50"/>
      <c r="G2077" s="51"/>
      <c r="H2077" s="52"/>
      <c r="I2077" s="1860"/>
      <c r="J2077" s="49"/>
      <c r="K2077" s="206"/>
      <c r="L2077" s="52"/>
      <c r="M2077" s="49"/>
      <c r="N2077" s="50"/>
      <c r="O2077" s="49"/>
      <c r="P2077" s="2020"/>
      <c r="Q2077" s="142"/>
      <c r="R2077" s="142"/>
    </row>
    <row r="2078" spans="1:18" s="251" customFormat="1" ht="15.6">
      <c r="A2078" s="53" t="s">
        <v>31</v>
      </c>
      <c r="B2078" s="43"/>
      <c r="C2078" s="43"/>
      <c r="D2078" s="43"/>
      <c r="E2078" s="43"/>
      <c r="F2078" s="44"/>
      <c r="G2078" s="43"/>
      <c r="H2078" s="44"/>
      <c r="I2078" s="1858"/>
      <c r="J2078" s="43"/>
      <c r="K2078" s="207"/>
      <c r="L2078" s="44"/>
      <c r="M2078" s="43"/>
      <c r="N2078" s="44"/>
      <c r="O2078" s="43"/>
      <c r="P2078" s="2020"/>
      <c r="Q2078" s="142"/>
      <c r="R2078" s="142"/>
    </row>
    <row r="2079" spans="1:18" s="251" customFormat="1" ht="15.6">
      <c r="A2079" s="54"/>
      <c r="B2079" s="55"/>
      <c r="C2079" s="55"/>
      <c r="D2079" s="55"/>
      <c r="E2079" s="55"/>
      <c r="F2079" s="462"/>
      <c r="G2079" s="55"/>
      <c r="H2079" s="462"/>
      <c r="I2079" s="1859"/>
      <c r="J2079" s="55"/>
      <c r="K2079" s="208"/>
      <c r="L2079" s="462"/>
      <c r="M2079" s="55"/>
      <c r="N2079" s="462"/>
      <c r="O2079" s="55"/>
      <c r="P2079" s="2020"/>
      <c r="Q2079" s="142"/>
      <c r="R2079" s="142"/>
    </row>
    <row r="2080" spans="1:18" s="251" customFormat="1" ht="16.2" thickBot="1">
      <c r="A2080" s="2030" t="s">
        <v>32</v>
      </c>
      <c r="B2080" s="2031"/>
      <c r="C2080" s="2032" t="s">
        <v>33</v>
      </c>
      <c r="D2080" s="2033"/>
      <c r="E2080" s="57" t="s">
        <v>34</v>
      </c>
      <c r="F2080" s="57" t="s">
        <v>35</v>
      </c>
      <c r="G2080" s="2034" t="s">
        <v>36</v>
      </c>
      <c r="H2080" s="2035"/>
      <c r="I2080" s="2035"/>
      <c r="J2080" s="2035"/>
      <c r="K2080" s="2035"/>
      <c r="L2080" s="2035"/>
      <c r="M2080" s="2035"/>
      <c r="N2080" s="2035"/>
      <c r="O2080" s="2035"/>
      <c r="P2080" s="2020"/>
      <c r="Q2080" s="142"/>
      <c r="R2080" s="142"/>
    </row>
    <row r="2081" spans="1:18" s="251" customFormat="1" ht="15.6">
      <c r="A2081" s="2036"/>
      <c r="B2081" s="2023"/>
      <c r="C2081" s="2021"/>
      <c r="D2081" s="2023"/>
      <c r="E2081" s="463"/>
      <c r="F2081" s="461"/>
      <c r="G2081" s="2037"/>
      <c r="H2081" s="2038"/>
      <c r="I2081" s="2038"/>
      <c r="J2081" s="2038"/>
      <c r="K2081" s="2038"/>
      <c r="L2081" s="2038"/>
      <c r="M2081" s="2038"/>
      <c r="N2081" s="2038"/>
      <c r="O2081" s="2038"/>
      <c r="P2081" s="2020"/>
      <c r="Q2081" s="142"/>
      <c r="R2081" s="142"/>
    </row>
    <row r="2082" spans="1:18" s="251" customFormat="1" ht="15.6">
      <c r="A2082" s="2043" t="s">
        <v>37</v>
      </c>
      <c r="B2082" s="2044"/>
      <c r="C2082" s="2021"/>
      <c r="D2082" s="2023"/>
      <c r="E2082" s="463"/>
      <c r="F2082" s="461"/>
      <c r="G2082" s="2039"/>
      <c r="H2082" s="2040"/>
      <c r="I2082" s="2040"/>
      <c r="J2082" s="2040"/>
      <c r="K2082" s="2040"/>
      <c r="L2082" s="2040"/>
      <c r="M2082" s="2040"/>
      <c r="N2082" s="2040"/>
      <c r="O2082" s="2040"/>
      <c r="P2082" s="2020"/>
      <c r="Q2082" s="142"/>
      <c r="R2082" s="142"/>
    </row>
    <row r="2083" spans="1:18" s="251" customFormat="1" ht="15.6">
      <c r="A2083" s="2043" t="s">
        <v>38</v>
      </c>
      <c r="B2083" s="2044"/>
      <c r="C2083" s="2021"/>
      <c r="D2083" s="2023"/>
      <c r="E2083" s="463"/>
      <c r="F2083" s="461"/>
      <c r="G2083" s="2039"/>
      <c r="H2083" s="2040"/>
      <c r="I2083" s="2040"/>
      <c r="J2083" s="2040"/>
      <c r="K2083" s="2040"/>
      <c r="L2083" s="2040"/>
      <c r="M2083" s="2040"/>
      <c r="N2083" s="2040"/>
      <c r="O2083" s="2040"/>
      <c r="P2083" s="2020"/>
      <c r="Q2083" s="142"/>
      <c r="R2083" s="142"/>
    </row>
    <row r="2084" spans="1:18" s="251" customFormat="1" ht="15.6">
      <c r="A2084" s="2043" t="s">
        <v>39</v>
      </c>
      <c r="B2084" s="2044"/>
      <c r="C2084" s="2021"/>
      <c r="D2084" s="2023"/>
      <c r="E2084" s="463"/>
      <c r="F2084" s="461"/>
      <c r="G2084" s="2039"/>
      <c r="H2084" s="2040"/>
      <c r="I2084" s="2040"/>
      <c r="J2084" s="2040"/>
      <c r="K2084" s="2040"/>
      <c r="L2084" s="2040"/>
      <c r="M2084" s="2040"/>
      <c r="N2084" s="2040"/>
      <c r="O2084" s="2040"/>
      <c r="P2084" s="2020"/>
      <c r="Q2084" s="142"/>
      <c r="R2084" s="142"/>
    </row>
    <row r="2085" spans="1:18" s="251" customFormat="1" ht="15.6">
      <c r="A2085" s="2043" t="s">
        <v>40</v>
      </c>
      <c r="B2085" s="2044"/>
      <c r="C2085" s="2021"/>
      <c r="D2085" s="2023"/>
      <c r="E2085" s="463"/>
      <c r="F2085" s="461"/>
      <c r="G2085" s="2039"/>
      <c r="H2085" s="2040"/>
      <c r="I2085" s="2040"/>
      <c r="J2085" s="2040"/>
      <c r="K2085" s="2040"/>
      <c r="L2085" s="2040"/>
      <c r="M2085" s="2040"/>
      <c r="N2085" s="2040"/>
      <c r="O2085" s="2040"/>
      <c r="P2085" s="2020"/>
      <c r="Q2085" s="142"/>
      <c r="R2085" s="142"/>
    </row>
    <row r="2086" spans="1:18" s="251" customFormat="1" ht="16.2" thickBot="1">
      <c r="A2086" s="2049" t="s">
        <v>41</v>
      </c>
      <c r="B2086" s="2050"/>
      <c r="C2086" s="2051"/>
      <c r="D2086" s="2052"/>
      <c r="E2086" s="58"/>
      <c r="F2086" s="464"/>
      <c r="G2086" s="2041"/>
      <c r="H2086" s="2042"/>
      <c r="I2086" s="2042"/>
      <c r="J2086" s="2042"/>
      <c r="K2086" s="2042"/>
      <c r="L2086" s="2042"/>
      <c r="M2086" s="2042"/>
      <c r="N2086" s="2042"/>
      <c r="O2086" s="2042"/>
      <c r="P2086" s="2020"/>
      <c r="Q2086" s="142"/>
      <c r="R2086" s="142"/>
    </row>
    <row r="2087" spans="1:18" s="251" customFormat="1" ht="15.6">
      <c r="A2087" s="54"/>
      <c r="B2087" s="55"/>
      <c r="C2087" s="55"/>
      <c r="D2087" s="55"/>
      <c r="E2087" s="55"/>
      <c r="F2087" s="462"/>
      <c r="G2087" s="55"/>
      <c r="H2087" s="59"/>
      <c r="I2087" s="60"/>
      <c r="J2087" s="61"/>
      <c r="K2087" s="209"/>
      <c r="L2087" s="301"/>
      <c r="M2087" s="55"/>
      <c r="N2087" s="462"/>
      <c r="O2087" s="55"/>
      <c r="P2087" s="2020"/>
      <c r="Q2087" s="142"/>
      <c r="R2087" s="142"/>
    </row>
    <row r="2088" spans="1:18" s="251" customFormat="1" ht="15.6">
      <c r="A2088" s="62" t="s">
        <v>42</v>
      </c>
      <c r="B2088" s="56"/>
      <c r="C2088" s="55"/>
      <c r="D2088" s="55"/>
      <c r="E2088" s="55"/>
      <c r="F2088" s="462"/>
      <c r="G2088" s="56"/>
      <c r="H2088" s="59"/>
      <c r="I2088" s="60"/>
      <c r="J2088" s="61"/>
      <c r="K2088" s="208"/>
      <c r="L2088" s="302"/>
      <c r="M2088" s="55"/>
      <c r="N2088" s="2045" t="s">
        <v>43</v>
      </c>
      <c r="O2088" s="2045"/>
      <c r="P2088" s="2020"/>
      <c r="Q2088" s="142"/>
      <c r="R2088" s="142"/>
    </row>
    <row r="2089" spans="1:18" s="251" customFormat="1" ht="15.6">
      <c r="A2089" s="62"/>
      <c r="B2089" s="56"/>
      <c r="C2089" s="55"/>
      <c r="D2089" s="55"/>
      <c r="E2089" s="55"/>
      <c r="F2089" s="462"/>
      <c r="G2089" s="55"/>
      <c r="H2089" s="462"/>
      <c r="I2089" s="1859"/>
      <c r="J2089" s="55"/>
      <c r="K2089" s="208"/>
      <c r="L2089" s="462"/>
      <c r="M2089" s="55"/>
      <c r="N2089" s="462"/>
      <c r="O2089" s="56"/>
      <c r="P2089" s="2020"/>
      <c r="Q2089" s="142"/>
      <c r="R2089" s="142"/>
    </row>
    <row r="2090" spans="1:18" s="251" customFormat="1" ht="15.6">
      <c r="A2090" s="62" t="s">
        <v>44</v>
      </c>
      <c r="B2090" s="56"/>
      <c r="C2090" s="55"/>
      <c r="D2090" s="55"/>
      <c r="E2090" s="55"/>
      <c r="F2090" s="462"/>
      <c r="G2090" s="55"/>
      <c r="H2090" s="462"/>
      <c r="I2090" s="1859"/>
      <c r="J2090" s="55"/>
      <c r="K2090" s="208"/>
      <c r="L2090" s="462"/>
      <c r="M2090" s="55"/>
      <c r="N2090" s="2045" t="s">
        <v>45</v>
      </c>
      <c r="O2090" s="2045"/>
      <c r="P2090" s="2020"/>
      <c r="Q2090" s="142"/>
      <c r="R2090" s="142"/>
    </row>
    <row r="2091" spans="1:18" s="251" customFormat="1" ht="16.2" thickBot="1">
      <c r="A2091" s="48"/>
      <c r="B2091" s="49"/>
      <c r="C2091" s="49"/>
      <c r="D2091" s="49"/>
      <c r="E2091" s="49"/>
      <c r="F2091" s="50"/>
      <c r="G2091" s="49"/>
      <c r="H2091" s="50"/>
      <c r="I2091" s="1860"/>
      <c r="J2091" s="49"/>
      <c r="K2091" s="210"/>
      <c r="L2091" s="50"/>
      <c r="M2091" s="49"/>
      <c r="N2091" s="50"/>
      <c r="O2091" s="49"/>
      <c r="P2091" s="2020"/>
      <c r="Q2091" s="142"/>
      <c r="R2091" s="142"/>
    </row>
    <row r="2092" spans="1:18" s="251" customFormat="1">
      <c r="I2092" s="1864"/>
      <c r="K2092" s="176"/>
      <c r="L2092" s="465"/>
      <c r="Q2092" s="497"/>
      <c r="R2092" s="497"/>
    </row>
    <row r="2093" spans="1:18" s="251" customFormat="1">
      <c r="I2093" s="1864"/>
      <c r="K2093" s="176"/>
      <c r="L2093" s="465"/>
      <c r="Q2093" s="497"/>
      <c r="R2093" s="497"/>
    </row>
    <row r="2094" spans="1:18" s="251" customFormat="1">
      <c r="A2094" s="10" t="s">
        <v>48</v>
      </c>
      <c r="B2094" s="10"/>
      <c r="C2094" s="11"/>
      <c r="D2094" s="11"/>
      <c r="E2094" s="11"/>
      <c r="F2094" s="92"/>
      <c r="G2094" s="11"/>
      <c r="H2094" s="92"/>
      <c r="I2094" s="13"/>
      <c r="J2094" s="11"/>
      <c r="K2094" s="202"/>
      <c r="L2094" s="2047" t="s">
        <v>0</v>
      </c>
      <c r="M2094" s="2047"/>
      <c r="N2094" s="2047"/>
      <c r="O2094" s="2048"/>
      <c r="P2094" s="2020"/>
      <c r="Q2094" s="142"/>
      <c r="R2094" s="142"/>
    </row>
    <row r="2095" spans="1:18" s="251" customFormat="1">
      <c r="A2095" s="14" t="s">
        <v>1</v>
      </c>
      <c r="B2095" s="14"/>
      <c r="C2095" s="14"/>
      <c r="D2095" s="15" t="s">
        <v>2</v>
      </c>
      <c r="E2095" s="15"/>
      <c r="F2095" s="16"/>
      <c r="G2095" s="16"/>
      <c r="H2095" s="16"/>
      <c r="I2095" s="17"/>
      <c r="J2095" s="16"/>
      <c r="K2095" s="203" t="s">
        <v>3</v>
      </c>
      <c r="L2095" s="16"/>
      <c r="M2095" s="14"/>
      <c r="N2095" s="16"/>
      <c r="O2095" s="19"/>
      <c r="P2095" s="2020"/>
      <c r="Q2095" s="142"/>
      <c r="R2095" s="142"/>
    </row>
    <row r="2096" spans="1:18" s="251" customFormat="1" ht="15.6">
      <c r="A2096" s="463" t="s">
        <v>22</v>
      </c>
      <c r="B2096" s="2021" t="s">
        <v>23</v>
      </c>
      <c r="C2096" s="2022"/>
      <c r="D2096" s="2023"/>
      <c r="E2096" s="463" t="s">
        <v>24</v>
      </c>
      <c r="F2096" s="2021" t="s">
        <v>25</v>
      </c>
      <c r="G2096" s="2023"/>
      <c r="H2096" s="2021" t="s">
        <v>26</v>
      </c>
      <c r="I2096" s="2022"/>
      <c r="J2096" s="2022"/>
      <c r="K2096" s="2023"/>
      <c r="L2096" s="2024" t="s">
        <v>27</v>
      </c>
      <c r="M2096" s="2024"/>
      <c r="N2096" s="2024"/>
      <c r="O2096" s="2021"/>
      <c r="P2096" s="2020"/>
      <c r="Q2096" s="142"/>
      <c r="R2096" s="142"/>
    </row>
    <row r="2097" spans="1:18" s="251" customFormat="1" ht="15.6">
      <c r="A2097" s="38"/>
      <c r="B2097" s="2025"/>
      <c r="C2097" s="2026"/>
      <c r="D2097" s="2027"/>
      <c r="E2097" s="26"/>
      <c r="F2097" s="2025"/>
      <c r="G2097" s="2027"/>
      <c r="H2097" s="2025"/>
      <c r="I2097" s="2026"/>
      <c r="J2097" s="2026"/>
      <c r="K2097" s="2027"/>
      <c r="L2097" s="2025"/>
      <c r="M2097" s="2026"/>
      <c r="N2097" s="2026"/>
      <c r="O2097" s="2026"/>
      <c r="P2097" s="2020"/>
      <c r="Q2097" s="142"/>
      <c r="R2097" s="142"/>
    </row>
    <row r="2098" spans="1:18" s="251" customFormat="1" ht="15.6">
      <c r="A2098" s="38"/>
      <c r="B2098" s="458"/>
      <c r="C2098" s="459"/>
      <c r="D2098" s="460"/>
      <c r="E2098" s="26"/>
      <c r="F2098" s="458"/>
      <c r="G2098" s="460"/>
      <c r="H2098" s="458"/>
      <c r="I2098" s="1856"/>
      <c r="J2098" s="459"/>
      <c r="K2098" s="204"/>
      <c r="L2098" s="458"/>
      <c r="M2098" s="459"/>
      <c r="N2098" s="459"/>
      <c r="O2098" s="459"/>
      <c r="P2098" s="2020"/>
      <c r="Q2098" s="142"/>
      <c r="R2098" s="142"/>
    </row>
    <row r="2099" spans="1:18" s="251" customFormat="1" ht="15.6">
      <c r="A2099" s="38" t="s">
        <v>28</v>
      </c>
      <c r="B2099" s="2025" t="s">
        <v>185</v>
      </c>
      <c r="C2099" s="2026"/>
      <c r="D2099" s="2027"/>
      <c r="E2099" s="26">
        <f>342.47+29.93</f>
        <v>372.40000000000003</v>
      </c>
      <c r="F2099" s="2025">
        <v>16</v>
      </c>
      <c r="G2099" s="2027"/>
      <c r="H2099" s="2025" t="s">
        <v>49</v>
      </c>
      <c r="I2099" s="2026"/>
      <c r="J2099" s="2026"/>
      <c r="K2099" s="2027"/>
      <c r="L2099" s="2025" t="s">
        <v>320</v>
      </c>
      <c r="M2099" s="2026"/>
      <c r="N2099" s="2026"/>
      <c r="O2099" s="2026"/>
      <c r="P2099" s="2020"/>
      <c r="Q2099" s="142"/>
      <c r="R2099" s="142"/>
    </row>
    <row r="2100" spans="1:18" s="251" customFormat="1" ht="15.6">
      <c r="A2100" s="38" t="s">
        <v>29</v>
      </c>
      <c r="B2100" s="2025" t="s">
        <v>187</v>
      </c>
      <c r="C2100" s="2026"/>
      <c r="D2100" s="2027"/>
      <c r="E2100" s="26">
        <f>34.77+43.01-10</f>
        <v>67.78</v>
      </c>
      <c r="F2100" s="2025">
        <v>16</v>
      </c>
      <c r="G2100" s="2027"/>
      <c r="H2100" s="2025" t="s">
        <v>49</v>
      </c>
      <c r="I2100" s="2026"/>
      <c r="J2100" s="2026"/>
      <c r="K2100" s="2027"/>
      <c r="L2100" s="2025" t="s">
        <v>320</v>
      </c>
      <c r="M2100" s="2026"/>
      <c r="N2100" s="2026"/>
      <c r="O2100" s="2026"/>
      <c r="P2100" s="2020"/>
      <c r="Q2100" s="142"/>
      <c r="R2100" s="142"/>
    </row>
    <row r="2101" spans="1:18" s="251" customFormat="1" ht="15.6">
      <c r="A2101" s="38" t="s">
        <v>30</v>
      </c>
      <c r="B2101" s="2025" t="s">
        <v>188</v>
      </c>
      <c r="C2101" s="2026"/>
      <c r="D2101" s="2027"/>
      <c r="E2101" s="26">
        <f>19.17-10</f>
        <v>9.1700000000000017</v>
      </c>
      <c r="F2101" s="2025">
        <v>16</v>
      </c>
      <c r="G2101" s="2027"/>
      <c r="H2101" s="2025" t="s">
        <v>49</v>
      </c>
      <c r="I2101" s="2026"/>
      <c r="J2101" s="2026"/>
      <c r="K2101" s="2027"/>
      <c r="L2101" s="2025" t="s">
        <v>320</v>
      </c>
      <c r="M2101" s="2026"/>
      <c r="N2101" s="2026"/>
      <c r="O2101" s="2026"/>
      <c r="P2101" s="2020"/>
      <c r="Q2101" s="142"/>
      <c r="R2101" s="142"/>
    </row>
    <row r="2102" spans="1:18" s="251" customFormat="1" ht="15.6">
      <c r="A2102" s="38"/>
      <c r="B2102" s="2025"/>
      <c r="C2102" s="2026"/>
      <c r="D2102" s="2027"/>
      <c r="E2102" s="26"/>
      <c r="F2102" s="2025"/>
      <c r="G2102" s="2027"/>
      <c r="H2102" s="2025"/>
      <c r="I2102" s="2026"/>
      <c r="J2102" s="2026"/>
      <c r="K2102" s="2027"/>
      <c r="L2102" s="2025"/>
      <c r="M2102" s="2026"/>
      <c r="N2102" s="2026"/>
      <c r="O2102" s="2026"/>
      <c r="P2102" s="2020"/>
      <c r="Q2102" s="142"/>
      <c r="R2102" s="142"/>
    </row>
    <row r="2103" spans="1:18" s="251" customFormat="1" ht="16.2" thickBot="1">
      <c r="A2103" s="38"/>
      <c r="B2103" s="458"/>
      <c r="C2103" s="459"/>
      <c r="D2103" s="459"/>
      <c r="E2103" s="26"/>
      <c r="F2103" s="459"/>
      <c r="G2103" s="460"/>
      <c r="H2103" s="458"/>
      <c r="I2103" s="1856"/>
      <c r="J2103" s="459"/>
      <c r="K2103" s="204"/>
      <c r="L2103" s="39"/>
      <c r="M2103" s="40"/>
      <c r="N2103" s="40"/>
      <c r="O2103" s="40"/>
      <c r="P2103" s="2020"/>
      <c r="Q2103" s="142"/>
      <c r="R2103" s="142"/>
    </row>
    <row r="2104" spans="1:18" s="251" customFormat="1" ht="15.6">
      <c r="A2104" s="41"/>
      <c r="B2104" s="42"/>
      <c r="C2104" s="43"/>
      <c r="D2104" s="43"/>
      <c r="E2104" s="2028">
        <f>SUM(E2097:E2103)</f>
        <v>449.35000000000008</v>
      </c>
      <c r="F2104" s="44"/>
      <c r="G2104" s="45"/>
      <c r="H2104" s="46"/>
      <c r="I2104" s="1858"/>
      <c r="J2104" s="43"/>
      <c r="K2104" s="205"/>
      <c r="L2104" s="46"/>
      <c r="M2104" s="43"/>
      <c r="N2104" s="44"/>
      <c r="O2104" s="43"/>
      <c r="P2104" s="2020"/>
      <c r="Q2104" s="142"/>
      <c r="R2104" s="142"/>
    </row>
    <row r="2105" spans="1:18" s="251" customFormat="1" ht="16.2" thickBot="1">
      <c r="A2105" s="47"/>
      <c r="B2105" s="48"/>
      <c r="C2105" s="49"/>
      <c r="D2105" s="49"/>
      <c r="E2105" s="2029"/>
      <c r="F2105" s="50"/>
      <c r="G2105" s="51"/>
      <c r="H2105" s="52"/>
      <c r="I2105" s="1860"/>
      <c r="J2105" s="49"/>
      <c r="K2105" s="206"/>
      <c r="L2105" s="52"/>
      <c r="M2105" s="49"/>
      <c r="N2105" s="50"/>
      <c r="O2105" s="49"/>
      <c r="P2105" s="2020"/>
      <c r="Q2105" s="142"/>
      <c r="R2105" s="142"/>
    </row>
    <row r="2106" spans="1:18" s="251" customFormat="1" ht="15.6">
      <c r="A2106" s="53" t="s">
        <v>31</v>
      </c>
      <c r="B2106" s="43"/>
      <c r="C2106" s="43"/>
      <c r="D2106" s="43"/>
      <c r="E2106" s="43"/>
      <c r="F2106" s="44"/>
      <c r="G2106" s="43"/>
      <c r="H2106" s="44"/>
      <c r="I2106" s="1858"/>
      <c r="J2106" s="43"/>
      <c r="K2106" s="207"/>
      <c r="L2106" s="44"/>
      <c r="M2106" s="43"/>
      <c r="N2106" s="44"/>
      <c r="O2106" s="43"/>
      <c r="P2106" s="2020"/>
      <c r="Q2106" s="142"/>
      <c r="R2106" s="142"/>
    </row>
    <row r="2107" spans="1:18" s="251" customFormat="1" ht="15.6">
      <c r="A2107" s="54"/>
      <c r="B2107" s="55"/>
      <c r="C2107" s="55"/>
      <c r="D2107" s="55"/>
      <c r="E2107" s="55"/>
      <c r="F2107" s="462"/>
      <c r="G2107" s="55"/>
      <c r="H2107" s="462"/>
      <c r="I2107" s="1859"/>
      <c r="J2107" s="55"/>
      <c r="K2107" s="208"/>
      <c r="L2107" s="462"/>
      <c r="M2107" s="55"/>
      <c r="N2107" s="462"/>
      <c r="O2107" s="55"/>
      <c r="P2107" s="2020"/>
      <c r="Q2107" s="142"/>
      <c r="R2107" s="142"/>
    </row>
    <row r="2108" spans="1:18" s="251" customFormat="1" ht="16.2" thickBot="1">
      <c r="A2108" s="2030" t="s">
        <v>32</v>
      </c>
      <c r="B2108" s="2031"/>
      <c r="C2108" s="2032" t="s">
        <v>33</v>
      </c>
      <c r="D2108" s="2033"/>
      <c r="E2108" s="57" t="s">
        <v>34</v>
      </c>
      <c r="F2108" s="57" t="s">
        <v>35</v>
      </c>
      <c r="G2108" s="2034" t="s">
        <v>36</v>
      </c>
      <c r="H2108" s="2035"/>
      <c r="I2108" s="2035"/>
      <c r="J2108" s="2035"/>
      <c r="K2108" s="2035"/>
      <c r="L2108" s="2035"/>
      <c r="M2108" s="2035"/>
      <c r="N2108" s="2035"/>
      <c r="O2108" s="2035"/>
      <c r="P2108" s="2020"/>
      <c r="Q2108" s="142"/>
      <c r="R2108" s="142"/>
    </row>
    <row r="2109" spans="1:18" s="251" customFormat="1" ht="15.6">
      <c r="A2109" s="2036"/>
      <c r="B2109" s="2023"/>
      <c r="C2109" s="2021"/>
      <c r="D2109" s="2023"/>
      <c r="E2109" s="463"/>
      <c r="F2109" s="461"/>
      <c r="G2109" s="2037"/>
      <c r="H2109" s="2038"/>
      <c r="I2109" s="2038"/>
      <c r="J2109" s="2038"/>
      <c r="K2109" s="2038"/>
      <c r="L2109" s="2038"/>
      <c r="M2109" s="2038"/>
      <c r="N2109" s="2038"/>
      <c r="O2109" s="2038"/>
      <c r="P2109" s="2020"/>
      <c r="Q2109" s="142"/>
      <c r="R2109" s="142"/>
    </row>
    <row r="2110" spans="1:18" s="251" customFormat="1" ht="15.6">
      <c r="A2110" s="2043" t="s">
        <v>37</v>
      </c>
      <c r="B2110" s="2044"/>
      <c r="C2110" s="2021"/>
      <c r="D2110" s="2023"/>
      <c r="E2110" s="463"/>
      <c r="F2110" s="461"/>
      <c r="G2110" s="2039"/>
      <c r="H2110" s="2040"/>
      <c r="I2110" s="2040"/>
      <c r="J2110" s="2040"/>
      <c r="K2110" s="2040"/>
      <c r="L2110" s="2040"/>
      <c r="M2110" s="2040"/>
      <c r="N2110" s="2040"/>
      <c r="O2110" s="2040"/>
      <c r="P2110" s="2020"/>
      <c r="Q2110" s="142"/>
      <c r="R2110" s="142"/>
    </row>
    <row r="2111" spans="1:18" s="251" customFormat="1" ht="15.6">
      <c r="A2111" s="2043" t="s">
        <v>38</v>
      </c>
      <c r="B2111" s="2044"/>
      <c r="C2111" s="2021"/>
      <c r="D2111" s="2023"/>
      <c r="E2111" s="463"/>
      <c r="F2111" s="461"/>
      <c r="G2111" s="2039"/>
      <c r="H2111" s="2040"/>
      <c r="I2111" s="2040"/>
      <c r="J2111" s="2040"/>
      <c r="K2111" s="2040"/>
      <c r="L2111" s="2040"/>
      <c r="M2111" s="2040"/>
      <c r="N2111" s="2040"/>
      <c r="O2111" s="2040"/>
      <c r="P2111" s="2020"/>
      <c r="Q2111" s="142"/>
      <c r="R2111" s="142"/>
    </row>
    <row r="2112" spans="1:18" s="251" customFormat="1" ht="15.6">
      <c r="A2112" s="2043" t="s">
        <v>39</v>
      </c>
      <c r="B2112" s="2044"/>
      <c r="C2112" s="2021"/>
      <c r="D2112" s="2023"/>
      <c r="E2112" s="463"/>
      <c r="F2112" s="461"/>
      <c r="G2112" s="2039"/>
      <c r="H2112" s="2040"/>
      <c r="I2112" s="2040"/>
      <c r="J2112" s="2040"/>
      <c r="K2112" s="2040"/>
      <c r="L2112" s="2040"/>
      <c r="M2112" s="2040"/>
      <c r="N2112" s="2040"/>
      <c r="O2112" s="2040"/>
      <c r="P2112" s="2020"/>
      <c r="Q2112" s="142"/>
      <c r="R2112" s="142"/>
    </row>
    <row r="2113" spans="1:18" s="251" customFormat="1" ht="15.6">
      <c r="A2113" s="2043" t="s">
        <v>40</v>
      </c>
      <c r="B2113" s="2044"/>
      <c r="C2113" s="2021"/>
      <c r="D2113" s="2023"/>
      <c r="E2113" s="463"/>
      <c r="F2113" s="461"/>
      <c r="G2113" s="2039"/>
      <c r="H2113" s="2040"/>
      <c r="I2113" s="2040"/>
      <c r="J2113" s="2040"/>
      <c r="K2113" s="2040"/>
      <c r="L2113" s="2040"/>
      <c r="M2113" s="2040"/>
      <c r="N2113" s="2040"/>
      <c r="O2113" s="2040"/>
      <c r="P2113" s="2020"/>
      <c r="Q2113" s="142"/>
      <c r="R2113" s="142"/>
    </row>
    <row r="2114" spans="1:18" s="251" customFormat="1" ht="16.2" thickBot="1">
      <c r="A2114" s="2049" t="s">
        <v>41</v>
      </c>
      <c r="B2114" s="2050"/>
      <c r="C2114" s="2051"/>
      <c r="D2114" s="2052"/>
      <c r="E2114" s="58"/>
      <c r="F2114" s="464"/>
      <c r="G2114" s="2041"/>
      <c r="H2114" s="2042"/>
      <c r="I2114" s="2042"/>
      <c r="J2114" s="2042"/>
      <c r="K2114" s="2042"/>
      <c r="L2114" s="2042"/>
      <c r="M2114" s="2042"/>
      <c r="N2114" s="2042"/>
      <c r="O2114" s="2042"/>
      <c r="P2114" s="2020"/>
      <c r="Q2114" s="142"/>
      <c r="R2114" s="142"/>
    </row>
    <row r="2115" spans="1:18" s="251" customFormat="1" ht="15.6">
      <c r="A2115" s="54"/>
      <c r="B2115" s="55"/>
      <c r="C2115" s="55"/>
      <c r="D2115" s="55"/>
      <c r="E2115" s="55"/>
      <c r="F2115" s="462"/>
      <c r="G2115" s="55"/>
      <c r="H2115" s="59"/>
      <c r="I2115" s="60"/>
      <c r="J2115" s="61"/>
      <c r="K2115" s="209"/>
      <c r="L2115" s="301"/>
      <c r="M2115" s="55"/>
      <c r="N2115" s="462"/>
      <c r="O2115" s="55"/>
      <c r="P2115" s="2020"/>
      <c r="Q2115" s="142"/>
      <c r="R2115" s="142"/>
    </row>
    <row r="2116" spans="1:18" s="251" customFormat="1" ht="15.6">
      <c r="A2116" s="62" t="s">
        <v>42</v>
      </c>
      <c r="B2116" s="56"/>
      <c r="C2116" s="55"/>
      <c r="D2116" s="55"/>
      <c r="E2116" s="55"/>
      <c r="F2116" s="462"/>
      <c r="G2116" s="56"/>
      <c r="H2116" s="59"/>
      <c r="I2116" s="60"/>
      <c r="J2116" s="61"/>
      <c r="K2116" s="208"/>
      <c r="L2116" s="302"/>
      <c r="M2116" s="55"/>
      <c r="N2116" s="2045" t="s">
        <v>43</v>
      </c>
      <c r="O2116" s="2045"/>
      <c r="P2116" s="2020"/>
      <c r="Q2116" s="142"/>
      <c r="R2116" s="142"/>
    </row>
    <row r="2117" spans="1:18" s="251" customFormat="1" ht="15.6">
      <c r="A2117" s="62"/>
      <c r="B2117" s="56"/>
      <c r="C2117" s="55"/>
      <c r="D2117" s="55"/>
      <c r="E2117" s="55"/>
      <c r="F2117" s="462"/>
      <c r="G2117" s="55"/>
      <c r="H2117" s="462"/>
      <c r="I2117" s="1859"/>
      <c r="J2117" s="55"/>
      <c r="K2117" s="208"/>
      <c r="L2117" s="462"/>
      <c r="M2117" s="55"/>
      <c r="N2117" s="462"/>
      <c r="O2117" s="56"/>
      <c r="P2117" s="2020"/>
      <c r="Q2117" s="142"/>
      <c r="R2117" s="142"/>
    </row>
    <row r="2118" spans="1:18" s="251" customFormat="1" ht="15.6">
      <c r="A2118" s="62" t="s">
        <v>44</v>
      </c>
      <c r="B2118" s="56"/>
      <c r="C2118" s="55"/>
      <c r="D2118" s="55"/>
      <c r="E2118" s="55"/>
      <c r="F2118" s="462"/>
      <c r="G2118" s="55"/>
      <c r="H2118" s="462"/>
      <c r="I2118" s="1859"/>
      <c r="J2118" s="55"/>
      <c r="K2118" s="208"/>
      <c r="L2118" s="462"/>
      <c r="M2118" s="55"/>
      <c r="N2118" s="2045" t="s">
        <v>45</v>
      </c>
      <c r="O2118" s="2045"/>
      <c r="P2118" s="2020"/>
      <c r="Q2118" s="142"/>
      <c r="R2118" s="142"/>
    </row>
    <row r="2119" spans="1:18" s="251" customFormat="1" ht="16.2" thickBot="1">
      <c r="A2119" s="48"/>
      <c r="B2119" s="49"/>
      <c r="C2119" s="49"/>
      <c r="D2119" s="49"/>
      <c r="E2119" s="49"/>
      <c r="F2119" s="50"/>
      <c r="G2119" s="49"/>
      <c r="H2119" s="50"/>
      <c r="I2119" s="1860"/>
      <c r="J2119" s="49"/>
      <c r="K2119" s="210"/>
      <c r="L2119" s="50"/>
      <c r="M2119" s="49"/>
      <c r="N2119" s="50"/>
      <c r="O2119" s="49"/>
      <c r="P2119" s="2020"/>
      <c r="Q2119" s="142"/>
      <c r="R2119" s="142"/>
    </row>
    <row r="2120" spans="1:18" s="251" customFormat="1">
      <c r="I2120" s="1864"/>
      <c r="K2120" s="176"/>
      <c r="L2120" s="465"/>
      <c r="Q2120" s="497"/>
      <c r="R2120" s="497"/>
    </row>
    <row r="2121" spans="1:18" s="251" customFormat="1">
      <c r="I2121" s="1864"/>
      <c r="K2121" s="176"/>
      <c r="L2121" s="465"/>
      <c r="Q2121" s="497"/>
      <c r="R2121" s="497"/>
    </row>
    <row r="2122" spans="1:18" s="251" customFormat="1">
      <c r="I2122" s="1864"/>
      <c r="K2122" s="176"/>
      <c r="L2122" s="465"/>
      <c r="Q2122" s="497"/>
      <c r="R2122" s="497"/>
    </row>
    <row r="2123" spans="1:18" s="251" customFormat="1">
      <c r="I2123" s="1864"/>
      <c r="K2123" s="176"/>
      <c r="L2123" s="465"/>
      <c r="Q2123" s="497"/>
      <c r="R2123" s="497"/>
    </row>
    <row r="2124" spans="1:18" s="251" customFormat="1">
      <c r="I2124" s="1864"/>
      <c r="K2124" s="176"/>
      <c r="L2124" s="465"/>
      <c r="Q2124" s="497"/>
      <c r="R2124" s="497"/>
    </row>
    <row r="2125" spans="1:18" s="251" customFormat="1">
      <c r="I2125" s="1864"/>
      <c r="K2125" s="176"/>
      <c r="L2125" s="465"/>
      <c r="Q2125" s="497"/>
      <c r="R2125" s="497"/>
    </row>
    <row r="2126" spans="1:18" s="251" customFormat="1">
      <c r="I2126" s="1864"/>
      <c r="K2126" s="176"/>
      <c r="L2126" s="465"/>
      <c r="Q2126" s="497"/>
      <c r="R2126" s="497"/>
    </row>
    <row r="2127" spans="1:18" s="251" customFormat="1">
      <c r="I2127" s="1864"/>
      <c r="K2127" s="176"/>
      <c r="L2127" s="465"/>
      <c r="Q2127" s="497"/>
      <c r="R2127" s="497"/>
    </row>
    <row r="2128" spans="1:18" s="251" customFormat="1">
      <c r="I2128" s="1864"/>
      <c r="K2128" s="176"/>
      <c r="L2128" s="465"/>
      <c r="Q2128" s="497"/>
      <c r="R2128" s="497"/>
    </row>
    <row r="2131" spans="1:18">
      <c r="A2131" s="1" t="s">
        <v>48</v>
      </c>
      <c r="B2131" s="1"/>
      <c r="C2131" s="2"/>
      <c r="D2131" s="2"/>
      <c r="E2131" s="2"/>
      <c r="F2131" s="3"/>
      <c r="G2131" s="2"/>
      <c r="H2131" s="2"/>
      <c r="I2131" s="4"/>
      <c r="J2131" s="5"/>
      <c r="K2131" s="196"/>
      <c r="L2131" s="2056" t="s">
        <v>0</v>
      </c>
      <c r="M2131" s="2056"/>
      <c r="N2131" s="2056"/>
      <c r="O2131" s="2056"/>
      <c r="P2131" s="64"/>
      <c r="Q2131" s="64"/>
      <c r="R2131" s="64"/>
    </row>
    <row r="2132" spans="1:18" ht="15.6">
      <c r="A2132" s="27" t="s">
        <v>1</v>
      </c>
      <c r="B2132" s="27"/>
      <c r="C2132" s="27"/>
      <c r="D2132" s="28" t="s">
        <v>2</v>
      </c>
      <c r="E2132" s="28"/>
      <c r="F2132" s="29"/>
      <c r="G2132" s="29"/>
      <c r="H2132" s="29"/>
      <c r="I2132" s="30"/>
      <c r="J2132" s="31"/>
      <c r="K2132" s="197" t="s">
        <v>3</v>
      </c>
      <c r="L2132" s="31"/>
      <c r="M2132" s="27"/>
      <c r="N2132" s="29"/>
      <c r="O2132" s="27"/>
      <c r="P2132" s="67"/>
      <c r="Q2132" s="1039"/>
      <c r="R2132" s="1039"/>
    </row>
    <row r="2133" spans="1:18" ht="31.2">
      <c r="A2133" s="32" t="s">
        <v>4</v>
      </c>
      <c r="B2133" s="32" t="s">
        <v>5</v>
      </c>
      <c r="C2133" s="32" t="s">
        <v>6</v>
      </c>
      <c r="D2133" s="32" t="s">
        <v>7</v>
      </c>
      <c r="E2133" s="32" t="s">
        <v>8</v>
      </c>
      <c r="F2133" s="33" t="s">
        <v>9</v>
      </c>
      <c r="G2133" s="34" t="s">
        <v>10</v>
      </c>
      <c r="H2133" s="34" t="s">
        <v>11</v>
      </c>
      <c r="I2133" s="35" t="s">
        <v>12</v>
      </c>
      <c r="J2133" s="36" t="s">
        <v>13</v>
      </c>
      <c r="K2133" s="198" t="s">
        <v>14</v>
      </c>
      <c r="L2133" s="297" t="s">
        <v>15</v>
      </c>
      <c r="M2133" s="33" t="s">
        <v>16</v>
      </c>
      <c r="N2133" s="33" t="s">
        <v>17</v>
      </c>
      <c r="O2133" s="34" t="s">
        <v>18</v>
      </c>
      <c r="P2133" s="8" t="s">
        <v>192</v>
      </c>
      <c r="Q2133" s="1040"/>
      <c r="R2133" s="1040"/>
    </row>
    <row r="2134" spans="1:18" ht="15.6">
      <c r="A2134" s="21" t="s">
        <v>174</v>
      </c>
      <c r="B2134" s="21" t="s">
        <v>308</v>
      </c>
      <c r="C2134" s="21" t="s">
        <v>19</v>
      </c>
      <c r="D2134" s="21" t="s">
        <v>20</v>
      </c>
      <c r="E2134" s="63" t="s">
        <v>51</v>
      </c>
      <c r="F2134" s="22">
        <v>16</v>
      </c>
      <c r="G2134" s="438" t="s">
        <v>21</v>
      </c>
      <c r="H2134" s="438" t="s">
        <v>176</v>
      </c>
      <c r="I2134" s="454">
        <v>23</v>
      </c>
      <c r="J2134" s="439">
        <v>6.6</v>
      </c>
      <c r="K2134" s="440">
        <v>24</v>
      </c>
      <c r="L2134" s="441">
        <f t="shared" ref="L2134:L2136" si="410">(I2134*J2134*K2134/1000)</f>
        <v>3.6431999999999998</v>
      </c>
      <c r="M2134" s="112"/>
      <c r="N2134" s="112"/>
      <c r="O2134" s="112"/>
      <c r="P2134" s="112"/>
      <c r="Q2134" s="141"/>
      <c r="R2134" s="141"/>
    </row>
    <row r="2135" spans="1:18" ht="15.6">
      <c r="A2135" s="20"/>
      <c r="B2135" s="20"/>
      <c r="C2135" s="20"/>
      <c r="D2135" s="20"/>
      <c r="E2135" s="20"/>
      <c r="F2135" s="20"/>
      <c r="G2135" s="438" t="s">
        <v>21</v>
      </c>
      <c r="H2135" s="438" t="s">
        <v>176</v>
      </c>
      <c r="I2135" s="454">
        <v>23</v>
      </c>
      <c r="J2135" s="439">
        <v>7.3</v>
      </c>
      <c r="K2135" s="440">
        <v>68</v>
      </c>
      <c r="L2135" s="441">
        <f t="shared" si="410"/>
        <v>11.417200000000001</v>
      </c>
      <c r="M2135" s="112"/>
      <c r="N2135" s="112"/>
      <c r="O2135" s="112"/>
      <c r="P2135" s="112"/>
      <c r="Q2135" s="141"/>
      <c r="R2135" s="141"/>
    </row>
    <row r="2136" spans="1:18" ht="15.6">
      <c r="A2136" s="112"/>
      <c r="B2136" s="112"/>
      <c r="C2136" s="112"/>
      <c r="D2136" s="112"/>
      <c r="E2136" s="112"/>
      <c r="F2136" s="112"/>
      <c r="G2136" s="438" t="s">
        <v>21</v>
      </c>
      <c r="H2136" s="438" t="s">
        <v>176</v>
      </c>
      <c r="I2136" s="454">
        <v>23</v>
      </c>
      <c r="J2136" s="439">
        <v>10.5</v>
      </c>
      <c r="K2136" s="440">
        <v>17</v>
      </c>
      <c r="L2136" s="441">
        <f t="shared" si="410"/>
        <v>4.1055000000000001</v>
      </c>
      <c r="M2136" s="112"/>
      <c r="N2136" s="112"/>
      <c r="O2136" s="112"/>
      <c r="P2136" s="112"/>
      <c r="Q2136" s="141"/>
      <c r="R2136" s="141"/>
    </row>
    <row r="2137" spans="1:18" ht="15.6">
      <c r="A2137" s="112"/>
      <c r="B2137" s="112"/>
      <c r="C2137" s="112"/>
      <c r="D2137" s="112"/>
      <c r="E2137" s="112"/>
      <c r="F2137" s="112"/>
      <c r="G2137" s="438"/>
      <c r="H2137" s="438"/>
      <c r="I2137" s="454"/>
      <c r="J2137" s="439"/>
      <c r="K2137" s="442">
        <f>SUM(K2134:K2136)</f>
        <v>109</v>
      </c>
      <c r="L2137" s="443">
        <f>SUM(L2134:L2136)</f>
        <v>19.165900000000001</v>
      </c>
      <c r="M2137" s="442">
        <f>SUM(M2134:M2136)</f>
        <v>0</v>
      </c>
      <c r="N2137" s="443">
        <f>SUM(N2134:N2136)</f>
        <v>0</v>
      </c>
      <c r="O2137" s="112"/>
      <c r="P2137" s="112"/>
      <c r="Q2137" s="141"/>
      <c r="R2137" s="141"/>
    </row>
    <row r="2138" spans="1:18" s="251" customFormat="1" ht="15.6">
      <c r="A2138" s="112"/>
      <c r="B2138" s="112"/>
      <c r="C2138" s="112"/>
      <c r="D2138" s="112"/>
      <c r="E2138" s="112"/>
      <c r="F2138" s="112"/>
      <c r="G2138" s="438"/>
      <c r="H2138" s="438"/>
      <c r="I2138" s="454"/>
      <c r="J2138" s="439"/>
      <c r="K2138" s="442"/>
      <c r="L2138" s="443"/>
      <c r="M2138" s="112"/>
      <c r="N2138" s="112"/>
      <c r="O2138" s="112"/>
      <c r="P2138" s="112"/>
      <c r="Q2138" s="141"/>
      <c r="R2138" s="141"/>
    </row>
    <row r="2139" spans="1:18" ht="15.6">
      <c r="A2139" s="21" t="s">
        <v>174</v>
      </c>
      <c r="B2139" s="21" t="s">
        <v>308</v>
      </c>
      <c r="C2139" s="21" t="s">
        <v>19</v>
      </c>
      <c r="D2139" s="21" t="s">
        <v>20</v>
      </c>
      <c r="E2139" s="63" t="s">
        <v>51</v>
      </c>
      <c r="F2139" s="22">
        <v>16</v>
      </c>
      <c r="G2139" s="438" t="s">
        <v>21</v>
      </c>
      <c r="H2139" s="438" t="s">
        <v>177</v>
      </c>
      <c r="I2139" s="454">
        <v>27.3</v>
      </c>
      <c r="J2139" s="439">
        <v>6.6</v>
      </c>
      <c r="K2139" s="440">
        <v>68</v>
      </c>
      <c r="L2139" s="441">
        <f t="shared" ref="L2139:L2143" si="411">(I2139*J2139*K2139/1000)</f>
        <v>12.25224</v>
      </c>
      <c r="M2139" s="112"/>
      <c r="N2139" s="112"/>
      <c r="O2139" s="112"/>
      <c r="P2139" s="112"/>
      <c r="Q2139" s="141"/>
      <c r="R2139" s="141"/>
    </row>
    <row r="2140" spans="1:18" ht="15.6">
      <c r="A2140" s="20"/>
      <c r="B2140" s="20"/>
      <c r="C2140" s="20"/>
      <c r="D2140" s="20"/>
      <c r="E2140" s="20"/>
      <c r="F2140" s="20"/>
      <c r="G2140" s="438" t="s">
        <v>21</v>
      </c>
      <c r="H2140" s="438" t="s">
        <v>177</v>
      </c>
      <c r="I2140" s="454">
        <v>27.3</v>
      </c>
      <c r="J2140" s="439">
        <v>6.8</v>
      </c>
      <c r="K2140" s="440">
        <v>92</v>
      </c>
      <c r="L2140" s="441">
        <f t="shared" si="411"/>
        <v>17.078879999999998</v>
      </c>
      <c r="M2140" s="112"/>
      <c r="N2140" s="112"/>
      <c r="O2140" s="112"/>
      <c r="P2140" s="112"/>
      <c r="Q2140" s="141"/>
      <c r="R2140" s="141"/>
    </row>
    <row r="2141" spans="1:18" ht="15.6">
      <c r="A2141" s="112"/>
      <c r="B2141" s="112"/>
      <c r="C2141" s="112"/>
      <c r="D2141" s="112"/>
      <c r="E2141" s="112"/>
      <c r="F2141" s="112"/>
      <c r="G2141" s="438" t="s">
        <v>21</v>
      </c>
      <c r="H2141" s="438" t="s">
        <v>177</v>
      </c>
      <c r="I2141" s="454">
        <v>27.3</v>
      </c>
      <c r="J2141" s="439">
        <v>7.3</v>
      </c>
      <c r="K2141" s="440">
        <v>29</v>
      </c>
      <c r="L2141" s="441">
        <f t="shared" si="411"/>
        <v>5.7794099999999995</v>
      </c>
      <c r="M2141" s="112"/>
      <c r="N2141" s="112"/>
      <c r="O2141" s="112"/>
      <c r="P2141" s="112"/>
      <c r="Q2141" s="141"/>
      <c r="R2141" s="141"/>
    </row>
    <row r="2142" spans="1:18" ht="15.6">
      <c r="A2142" s="112"/>
      <c r="B2142" s="112"/>
      <c r="C2142" s="112"/>
      <c r="D2142" s="112"/>
      <c r="E2142" s="112"/>
      <c r="F2142" s="112"/>
      <c r="G2142" s="438" t="s">
        <v>21</v>
      </c>
      <c r="H2142" s="438" t="s">
        <v>177</v>
      </c>
      <c r="I2142" s="454">
        <v>27.3</v>
      </c>
      <c r="J2142" s="439">
        <v>8.1</v>
      </c>
      <c r="K2142" s="440">
        <v>9</v>
      </c>
      <c r="L2142" s="441">
        <f t="shared" si="411"/>
        <v>1.99017</v>
      </c>
      <c r="M2142" s="112"/>
      <c r="N2142" s="112"/>
      <c r="O2142" s="112"/>
      <c r="P2142" s="112"/>
      <c r="Q2142" s="141"/>
      <c r="R2142" s="141"/>
    </row>
    <row r="2143" spans="1:18" ht="15.6">
      <c r="A2143" s="112"/>
      <c r="B2143" s="112"/>
      <c r="C2143" s="112"/>
      <c r="D2143" s="112"/>
      <c r="E2143" s="112"/>
      <c r="F2143" s="112"/>
      <c r="G2143" s="438" t="s">
        <v>21</v>
      </c>
      <c r="H2143" s="438" t="s">
        <v>177</v>
      </c>
      <c r="I2143" s="454">
        <v>27.3</v>
      </c>
      <c r="J2143" s="439">
        <v>11.4</v>
      </c>
      <c r="K2143" s="440">
        <v>19</v>
      </c>
      <c r="L2143" s="441">
        <f t="shared" si="411"/>
        <v>5.9131800000000005</v>
      </c>
      <c r="M2143" s="112"/>
      <c r="N2143" s="112"/>
      <c r="O2143" s="112"/>
      <c r="P2143" s="112"/>
      <c r="Q2143" s="141"/>
      <c r="R2143" s="141"/>
    </row>
    <row r="2144" spans="1:18" ht="15.6">
      <c r="A2144" s="112"/>
      <c r="B2144" s="112"/>
      <c r="C2144" s="112"/>
      <c r="D2144" s="112"/>
      <c r="E2144" s="112"/>
      <c r="F2144" s="112"/>
      <c r="G2144" s="438"/>
      <c r="H2144" s="438"/>
      <c r="I2144" s="454"/>
      <c r="J2144" s="439"/>
      <c r="K2144" s="442">
        <f t="shared" ref="K2144:N2144" si="412">SUM(K2139:K2143)</f>
        <v>217</v>
      </c>
      <c r="L2144" s="443">
        <f t="shared" si="412"/>
        <v>43.01388</v>
      </c>
      <c r="M2144" s="442">
        <f t="shared" si="412"/>
        <v>0</v>
      </c>
      <c r="N2144" s="443">
        <f t="shared" si="412"/>
        <v>0</v>
      </c>
      <c r="O2144" s="112"/>
      <c r="P2144" s="112"/>
      <c r="Q2144" s="141"/>
      <c r="R2144" s="141"/>
    </row>
    <row r="2145" spans="1:19" s="251" customFormat="1" ht="15.6">
      <c r="A2145" s="112"/>
      <c r="B2145" s="112"/>
      <c r="C2145" s="112"/>
      <c r="D2145" s="112"/>
      <c r="E2145" s="112"/>
      <c r="F2145" s="112"/>
      <c r="G2145" s="438"/>
      <c r="H2145" s="438"/>
      <c r="I2145" s="454"/>
      <c r="J2145" s="439"/>
      <c r="K2145" s="442"/>
      <c r="L2145" s="443"/>
      <c r="M2145" s="112"/>
      <c r="N2145" s="112"/>
      <c r="O2145" s="112"/>
      <c r="P2145" s="112"/>
      <c r="Q2145" s="141"/>
      <c r="R2145" s="141"/>
    </row>
    <row r="2146" spans="1:19" ht="15.6">
      <c r="A2146" s="21" t="s">
        <v>174</v>
      </c>
      <c r="B2146" s="21" t="s">
        <v>308</v>
      </c>
      <c r="C2146" s="21" t="s">
        <v>19</v>
      </c>
      <c r="D2146" s="21" t="s">
        <v>20</v>
      </c>
      <c r="E2146" s="63" t="s">
        <v>51</v>
      </c>
      <c r="F2146" s="22">
        <v>16</v>
      </c>
      <c r="G2146" s="438" t="s">
        <v>21</v>
      </c>
      <c r="H2146" s="438" t="s">
        <v>179</v>
      </c>
      <c r="I2146" s="454">
        <v>33.799999999999997</v>
      </c>
      <c r="J2146" s="439">
        <v>8.1</v>
      </c>
      <c r="K2146" s="440">
        <v>16</v>
      </c>
      <c r="L2146" s="441">
        <f t="shared" ref="L2146:L2147" si="413">(I2146*J2146*K2146/1000)</f>
        <v>4.3804799999999995</v>
      </c>
      <c r="M2146" s="112"/>
      <c r="N2146" s="112"/>
      <c r="O2146" s="112"/>
      <c r="P2146" s="112"/>
      <c r="Q2146" s="141"/>
      <c r="R2146" s="141"/>
    </row>
    <row r="2147" spans="1:19" ht="15.6">
      <c r="A2147" s="20"/>
      <c r="B2147" s="20"/>
      <c r="C2147" s="20"/>
      <c r="D2147" s="20"/>
      <c r="E2147" s="20"/>
      <c r="F2147" s="20"/>
      <c r="G2147" s="438" t="s">
        <v>21</v>
      </c>
      <c r="H2147" s="438" t="s">
        <v>179</v>
      </c>
      <c r="I2147" s="454">
        <v>33.799999999999997</v>
      </c>
      <c r="J2147" s="439">
        <v>9</v>
      </c>
      <c r="K2147" s="440">
        <v>84</v>
      </c>
      <c r="L2147" s="441">
        <f t="shared" si="413"/>
        <v>25.552799999999998</v>
      </c>
      <c r="M2147" s="112"/>
      <c r="N2147" s="112"/>
      <c r="O2147" s="112"/>
      <c r="P2147" s="112"/>
      <c r="Q2147" s="141"/>
      <c r="R2147" s="141"/>
    </row>
    <row r="2148" spans="1:19" ht="15.6">
      <c r="A2148" s="112"/>
      <c r="B2148" s="112"/>
      <c r="C2148" s="112"/>
      <c r="D2148" s="112"/>
      <c r="E2148" s="112"/>
      <c r="F2148" s="112"/>
      <c r="G2148" s="438"/>
      <c r="H2148" s="438"/>
      <c r="I2148" s="454"/>
      <c r="J2148" s="439"/>
      <c r="K2148" s="442">
        <f>SUM(K2146:K2147)</f>
        <v>100</v>
      </c>
      <c r="L2148" s="443">
        <f>SUM(L2146:L2147)</f>
        <v>29.933279999999996</v>
      </c>
      <c r="M2148" s="442">
        <f>SUM(M2146:M2147)</f>
        <v>0</v>
      </c>
      <c r="N2148" s="443">
        <f>SUM(N2146:N2147)</f>
        <v>0</v>
      </c>
      <c r="O2148" s="112"/>
      <c r="P2148" s="112"/>
      <c r="Q2148" s="141"/>
      <c r="R2148" s="141"/>
    </row>
    <row r="2149" spans="1:19">
      <c r="A2149" s="112"/>
      <c r="B2149" s="112"/>
      <c r="C2149" s="112"/>
      <c r="D2149" s="112"/>
      <c r="E2149" s="112"/>
      <c r="F2149" s="112"/>
      <c r="G2149" s="112"/>
      <c r="H2149" s="112"/>
      <c r="I2149" s="1861"/>
      <c r="J2149" s="112"/>
      <c r="K2149" s="429"/>
      <c r="L2149" s="437"/>
      <c r="M2149" s="112"/>
      <c r="N2149" s="112"/>
      <c r="O2149" s="112"/>
      <c r="P2149" s="112"/>
      <c r="Q2149" s="141"/>
      <c r="R2149" s="141"/>
    </row>
    <row r="2150" spans="1:19">
      <c r="A2150" s="112"/>
      <c r="B2150" s="112"/>
      <c r="C2150" s="112"/>
      <c r="D2150" s="112"/>
      <c r="E2150" s="112"/>
      <c r="F2150" s="112"/>
      <c r="G2150" s="112"/>
      <c r="H2150" s="112"/>
      <c r="I2150" s="1861"/>
      <c r="J2150" s="112"/>
      <c r="K2150" s="429"/>
      <c r="L2150" s="267">
        <f>+L2148+L2144+L2137</f>
        <v>92.11305999999999</v>
      </c>
      <c r="M2150" s="112"/>
      <c r="N2150" s="267">
        <f>+N2148+N2144+N2137</f>
        <v>0</v>
      </c>
      <c r="O2150" s="112"/>
      <c r="P2150" s="112"/>
      <c r="Q2150" s="141"/>
      <c r="R2150" s="141"/>
    </row>
    <row r="2153" spans="1:19" ht="15.6">
      <c r="A2153" s="468" t="s">
        <v>48</v>
      </c>
      <c r="B2153" s="468"/>
      <c r="C2153" s="469"/>
      <c r="D2153" s="469"/>
      <c r="E2153" s="469"/>
      <c r="F2153" s="470"/>
      <c r="G2153" s="469"/>
      <c r="H2153" s="469"/>
      <c r="I2153" s="471"/>
      <c r="J2153" s="472"/>
      <c r="K2153" s="473"/>
      <c r="L2153" s="2046" t="s">
        <v>0</v>
      </c>
      <c r="M2153" s="2046"/>
      <c r="N2153" s="2046"/>
      <c r="O2153" s="2046"/>
      <c r="P2153" s="474"/>
      <c r="Q2153" s="474"/>
      <c r="R2153" s="474"/>
    </row>
    <row r="2154" spans="1:19" ht="15.6">
      <c r="A2154" s="27" t="s">
        <v>1</v>
      </c>
      <c r="B2154" s="27"/>
      <c r="C2154" s="27"/>
      <c r="D2154" s="28" t="s">
        <v>2</v>
      </c>
      <c r="E2154" s="28"/>
      <c r="F2154" s="29"/>
      <c r="G2154" s="29"/>
      <c r="H2154" s="29"/>
      <c r="I2154" s="30"/>
      <c r="J2154" s="31"/>
      <c r="K2154" s="197" t="s">
        <v>3</v>
      </c>
      <c r="L2154" s="31"/>
      <c r="M2154" s="27"/>
      <c r="N2154" s="29"/>
      <c r="O2154" s="27"/>
      <c r="P2154" s="475"/>
      <c r="Q2154" s="155"/>
      <c r="R2154" s="155"/>
    </row>
    <row r="2155" spans="1:19" ht="31.2">
      <c r="A2155" s="32" t="s">
        <v>4</v>
      </c>
      <c r="B2155" s="32" t="s">
        <v>5</v>
      </c>
      <c r="C2155" s="32" t="s">
        <v>6</v>
      </c>
      <c r="D2155" s="32" t="s">
        <v>7</v>
      </c>
      <c r="E2155" s="32" t="s">
        <v>8</v>
      </c>
      <c r="F2155" s="33" t="s">
        <v>9</v>
      </c>
      <c r="G2155" s="34" t="s">
        <v>10</v>
      </c>
      <c r="H2155" s="34" t="s">
        <v>11</v>
      </c>
      <c r="I2155" s="35" t="s">
        <v>12</v>
      </c>
      <c r="J2155" s="36" t="s">
        <v>13</v>
      </c>
      <c r="K2155" s="198" t="s">
        <v>14</v>
      </c>
      <c r="L2155" s="297" t="s">
        <v>15</v>
      </c>
      <c r="M2155" s="33" t="s">
        <v>16</v>
      </c>
      <c r="N2155" s="33" t="s">
        <v>17</v>
      </c>
      <c r="O2155" s="34" t="s">
        <v>18</v>
      </c>
      <c r="P2155" s="33" t="s">
        <v>192</v>
      </c>
      <c r="Q2155" s="1057"/>
      <c r="R2155" s="1057"/>
    </row>
    <row r="2156" spans="1:19" ht="15.6">
      <c r="A2156" s="21" t="s">
        <v>174</v>
      </c>
      <c r="B2156" s="21" t="s">
        <v>324</v>
      </c>
      <c r="C2156" s="21" t="s">
        <v>19</v>
      </c>
      <c r="D2156" s="21" t="s">
        <v>155</v>
      </c>
      <c r="E2156" s="21" t="s">
        <v>247</v>
      </c>
      <c r="F2156" s="22">
        <v>13</v>
      </c>
      <c r="G2156" s="296" t="s">
        <v>61</v>
      </c>
      <c r="H2156" s="143" t="s">
        <v>123</v>
      </c>
      <c r="I2156" s="452">
        <v>16.5</v>
      </c>
      <c r="J2156" s="444">
        <v>6.1</v>
      </c>
      <c r="K2156" s="490">
        <v>32</v>
      </c>
      <c r="L2156" s="100">
        <f t="shared" ref="L2156:L2162" si="414">(I2156*J2156*K2156/1000)</f>
        <v>3.2207999999999997</v>
      </c>
      <c r="M2156" s="20"/>
      <c r="N2156" s="20"/>
      <c r="O2156" s="20"/>
      <c r="P2156" s="20"/>
      <c r="Q2156" s="155"/>
      <c r="R2156" s="155"/>
      <c r="S2156" s="251" t="s">
        <v>327</v>
      </c>
    </row>
    <row r="2157" spans="1:19" ht="15.6">
      <c r="A2157" s="20"/>
      <c r="B2157" s="21"/>
      <c r="C2157" s="20"/>
      <c r="D2157" s="20"/>
      <c r="E2157" s="20"/>
      <c r="F2157" s="131"/>
      <c r="G2157" s="296" t="s">
        <v>61</v>
      </c>
      <c r="H2157" s="296" t="s">
        <v>123</v>
      </c>
      <c r="I2157" s="452">
        <v>16.5</v>
      </c>
      <c r="J2157" s="444">
        <v>7.3</v>
      </c>
      <c r="K2157" s="490">
        <v>56</v>
      </c>
      <c r="L2157" s="100">
        <f t="shared" si="414"/>
        <v>6.7451999999999996</v>
      </c>
      <c r="M2157" s="20"/>
      <c r="N2157" s="20"/>
      <c r="O2157" s="20"/>
      <c r="P2157" s="20"/>
      <c r="Q2157" s="155"/>
      <c r="R2157" s="155"/>
    </row>
    <row r="2158" spans="1:19" ht="15.6">
      <c r="A2158" s="20"/>
      <c r="B2158" s="20"/>
      <c r="C2158" s="20"/>
      <c r="D2158" s="20"/>
      <c r="E2158" s="20"/>
      <c r="F2158" s="20"/>
      <c r="G2158" s="296" t="s">
        <v>61</v>
      </c>
      <c r="H2158" s="296" t="s">
        <v>123</v>
      </c>
      <c r="I2158" s="452">
        <v>16.5</v>
      </c>
      <c r="J2158" s="444">
        <v>7.7</v>
      </c>
      <c r="K2158" s="490">
        <v>24</v>
      </c>
      <c r="L2158" s="100">
        <f t="shared" si="414"/>
        <v>3.0491999999999999</v>
      </c>
      <c r="M2158" s="20"/>
      <c r="N2158" s="20"/>
      <c r="O2158" s="20"/>
      <c r="P2158" s="20"/>
      <c r="Q2158" s="155"/>
      <c r="R2158" s="155"/>
    </row>
    <row r="2159" spans="1:19" ht="15.6">
      <c r="A2159" s="20"/>
      <c r="B2159" s="20"/>
      <c r="C2159" s="20"/>
      <c r="D2159" s="20"/>
      <c r="E2159" s="20"/>
      <c r="F2159" s="20"/>
      <c r="G2159" s="296" t="s">
        <v>61</v>
      </c>
      <c r="H2159" s="296" t="s">
        <v>123</v>
      </c>
      <c r="I2159" s="452">
        <v>16.5</v>
      </c>
      <c r="J2159" s="444">
        <v>9.9</v>
      </c>
      <c r="K2159" s="490">
        <v>32</v>
      </c>
      <c r="L2159" s="100">
        <f t="shared" si="414"/>
        <v>5.2271999999999998</v>
      </c>
      <c r="M2159" s="20"/>
      <c r="N2159" s="20"/>
      <c r="O2159" s="20"/>
      <c r="P2159" s="20"/>
      <c r="Q2159" s="155"/>
      <c r="R2159" s="155"/>
    </row>
    <row r="2160" spans="1:19" ht="15.6">
      <c r="A2160" s="20"/>
      <c r="B2160" s="20"/>
      <c r="C2160" s="20"/>
      <c r="D2160" s="20"/>
      <c r="E2160" s="20"/>
      <c r="F2160" s="20"/>
      <c r="G2160" s="296" t="s">
        <v>61</v>
      </c>
      <c r="H2160" s="296" t="s">
        <v>123</v>
      </c>
      <c r="I2160" s="452">
        <v>16.5</v>
      </c>
      <c r="J2160" s="444">
        <v>11.1</v>
      </c>
      <c r="K2160" s="490">
        <v>32</v>
      </c>
      <c r="L2160" s="100">
        <f t="shared" si="414"/>
        <v>5.8608000000000002</v>
      </c>
      <c r="M2160" s="20"/>
      <c r="N2160" s="20"/>
      <c r="O2160" s="20"/>
      <c r="P2160" s="20"/>
      <c r="Q2160" s="155"/>
      <c r="R2160" s="155"/>
    </row>
    <row r="2161" spans="1:19" ht="15.6">
      <c r="A2161" s="20"/>
      <c r="B2161" s="20"/>
      <c r="C2161" s="20"/>
      <c r="D2161" s="20"/>
      <c r="E2161" s="20"/>
      <c r="F2161" s="20"/>
      <c r="G2161" s="296" t="s">
        <v>61</v>
      </c>
      <c r="H2161" s="296" t="s">
        <v>123</v>
      </c>
      <c r="I2161" s="452">
        <v>16.5</v>
      </c>
      <c r="J2161" s="444">
        <v>11.8</v>
      </c>
      <c r="K2161" s="490">
        <v>24</v>
      </c>
      <c r="L2161" s="100">
        <f t="shared" si="414"/>
        <v>4.6728000000000005</v>
      </c>
      <c r="M2161" s="20"/>
      <c r="N2161" s="20"/>
      <c r="O2161" s="20"/>
      <c r="P2161" s="20"/>
      <c r="Q2161" s="155"/>
      <c r="R2161" s="155"/>
    </row>
    <row r="2162" spans="1:19" ht="15.6">
      <c r="A2162" s="20"/>
      <c r="B2162" s="20"/>
      <c r="C2162" s="20"/>
      <c r="D2162" s="20"/>
      <c r="E2162" s="20"/>
      <c r="F2162" s="20"/>
      <c r="G2162" s="296" t="s">
        <v>61</v>
      </c>
      <c r="H2162" s="296" t="s">
        <v>123</v>
      </c>
      <c r="I2162" s="452">
        <v>16.5</v>
      </c>
      <c r="J2162" s="444">
        <v>11.9</v>
      </c>
      <c r="K2162" s="445">
        <v>10</v>
      </c>
      <c r="L2162" s="100">
        <f t="shared" si="414"/>
        <v>1.9635</v>
      </c>
      <c r="M2162" s="20"/>
      <c r="N2162" s="20"/>
      <c r="O2162" s="20"/>
      <c r="P2162" s="20"/>
      <c r="Q2162" s="155"/>
      <c r="R2162" s="155"/>
    </row>
    <row r="2163" spans="1:19" ht="15.6">
      <c r="A2163" s="20"/>
      <c r="B2163" s="20"/>
      <c r="C2163" s="20"/>
      <c r="D2163" s="20"/>
      <c r="E2163" s="20"/>
      <c r="F2163" s="20"/>
      <c r="G2163" s="296"/>
      <c r="H2163" s="296"/>
      <c r="I2163" s="452"/>
      <c r="J2163" s="444"/>
      <c r="K2163" s="445">
        <f>SUM(K2156:K2162)</f>
        <v>210</v>
      </c>
      <c r="L2163" s="444">
        <f>SUM(L2156:L2162)</f>
        <v>30.739500000000003</v>
      </c>
      <c r="M2163" s="20"/>
      <c r="N2163" s="20"/>
      <c r="O2163" s="20"/>
      <c r="P2163" s="20"/>
      <c r="Q2163" s="155"/>
      <c r="R2163" s="155"/>
    </row>
    <row r="2164" spans="1:19" ht="15.6">
      <c r="A2164" s="20"/>
      <c r="B2164" s="20"/>
      <c r="C2164" s="20"/>
      <c r="D2164" s="20"/>
      <c r="E2164" s="20"/>
      <c r="F2164" s="20"/>
      <c r="G2164" s="20"/>
      <c r="H2164" s="20"/>
      <c r="I2164" s="131"/>
      <c r="J2164" s="20"/>
      <c r="K2164" s="211"/>
      <c r="L2164" s="131"/>
      <c r="M2164" s="20"/>
      <c r="N2164" s="20"/>
      <c r="O2164" s="20"/>
      <c r="P2164" s="20"/>
      <c r="Q2164" s="155"/>
      <c r="R2164" s="155"/>
    </row>
    <row r="2165" spans="1:19" ht="15.6">
      <c r="A2165" s="21" t="s">
        <v>174</v>
      </c>
      <c r="B2165" s="21" t="s">
        <v>324</v>
      </c>
      <c r="C2165" s="21" t="s">
        <v>19</v>
      </c>
      <c r="D2165" s="21" t="s">
        <v>155</v>
      </c>
      <c r="E2165" s="21" t="s">
        <v>247</v>
      </c>
      <c r="F2165" s="22">
        <v>13</v>
      </c>
      <c r="G2165" s="296" t="s">
        <v>61</v>
      </c>
      <c r="H2165" s="143" t="s">
        <v>122</v>
      </c>
      <c r="I2165" s="452">
        <v>14.7</v>
      </c>
      <c r="J2165" s="444">
        <v>6.2</v>
      </c>
      <c r="K2165" s="490">
        <v>16</v>
      </c>
      <c r="L2165" s="100">
        <f t="shared" ref="L2165:L2174" si="415">(I2165*J2165*K2165/1000)</f>
        <v>1.45824</v>
      </c>
      <c r="M2165" s="20"/>
      <c r="N2165" s="20"/>
      <c r="O2165" s="444">
        <v>7.2</v>
      </c>
      <c r="P2165" s="20"/>
      <c r="Q2165" s="155"/>
      <c r="R2165" s="155"/>
      <c r="S2165" s="251" t="s">
        <v>327</v>
      </c>
    </row>
    <row r="2166" spans="1:19" ht="15.6">
      <c r="A2166" s="20"/>
      <c r="B2166" s="21"/>
      <c r="C2166" s="20"/>
      <c r="D2166" s="20"/>
      <c r="E2166" s="20"/>
      <c r="F2166" s="131"/>
      <c r="G2166" s="296" t="s">
        <v>61</v>
      </c>
      <c r="H2166" s="296" t="s">
        <v>122</v>
      </c>
      <c r="I2166" s="452">
        <v>14.7</v>
      </c>
      <c r="J2166" s="444">
        <v>7.2</v>
      </c>
      <c r="K2166" s="490">
        <v>28</v>
      </c>
      <c r="L2166" s="100">
        <f t="shared" si="415"/>
        <v>2.9635199999999999</v>
      </c>
      <c r="M2166" s="20"/>
      <c r="N2166" s="20"/>
      <c r="O2166" s="20"/>
      <c r="P2166" s="20"/>
      <c r="Q2166" s="155"/>
      <c r="R2166" s="155"/>
    </row>
    <row r="2167" spans="1:19" ht="15.6">
      <c r="A2167" s="20"/>
      <c r="B2167" s="20"/>
      <c r="C2167" s="20"/>
      <c r="D2167" s="20"/>
      <c r="E2167" s="20"/>
      <c r="F2167" s="20"/>
      <c r="G2167" s="296" t="s">
        <v>61</v>
      </c>
      <c r="H2167" s="296" t="s">
        <v>122</v>
      </c>
      <c r="I2167" s="452">
        <v>14.7</v>
      </c>
      <c r="J2167" s="444">
        <v>7.7</v>
      </c>
      <c r="K2167" s="490">
        <v>30</v>
      </c>
      <c r="L2167" s="100">
        <f t="shared" si="415"/>
        <v>3.3956999999999997</v>
      </c>
      <c r="M2167" s="20"/>
      <c r="N2167" s="20"/>
      <c r="O2167" s="20"/>
      <c r="P2167" s="20"/>
      <c r="Q2167" s="155"/>
      <c r="R2167" s="155"/>
    </row>
    <row r="2168" spans="1:19" ht="15.6">
      <c r="A2168" s="20"/>
      <c r="B2168" s="20"/>
      <c r="C2168" s="20"/>
      <c r="D2168" s="20"/>
      <c r="E2168" s="20"/>
      <c r="F2168" s="20"/>
      <c r="G2168" s="296" t="s">
        <v>61</v>
      </c>
      <c r="H2168" s="296" t="s">
        <v>122</v>
      </c>
      <c r="I2168" s="452">
        <v>14.7</v>
      </c>
      <c r="J2168" s="444">
        <v>9</v>
      </c>
      <c r="K2168" s="490">
        <v>136</v>
      </c>
      <c r="L2168" s="100">
        <f t="shared" si="415"/>
        <v>17.992799999999999</v>
      </c>
      <c r="M2168" s="20"/>
      <c r="N2168" s="20"/>
      <c r="O2168" s="20"/>
      <c r="P2168" s="20"/>
      <c r="Q2168" s="155"/>
      <c r="R2168" s="155"/>
    </row>
    <row r="2169" spans="1:19" ht="15.6">
      <c r="A2169" s="20"/>
      <c r="B2169" s="20"/>
      <c r="C2169" s="20"/>
      <c r="D2169" s="20"/>
      <c r="E2169" s="20"/>
      <c r="F2169" s="20"/>
      <c r="G2169" s="296" t="s">
        <v>61</v>
      </c>
      <c r="H2169" s="296" t="s">
        <v>122</v>
      </c>
      <c r="I2169" s="452">
        <v>14.7</v>
      </c>
      <c r="J2169" s="444">
        <v>9.1</v>
      </c>
      <c r="K2169" s="490">
        <v>31</v>
      </c>
      <c r="L2169" s="100">
        <f t="shared" si="415"/>
        <v>4.1468699999999989</v>
      </c>
      <c r="M2169" s="20"/>
      <c r="N2169" s="20"/>
      <c r="O2169" s="20"/>
      <c r="P2169" s="20"/>
      <c r="Q2169" s="155"/>
      <c r="R2169" s="155"/>
    </row>
    <row r="2170" spans="1:19" ht="15.6">
      <c r="A2170" s="20"/>
      <c r="B2170" s="20"/>
      <c r="C2170" s="20"/>
      <c r="D2170" s="20"/>
      <c r="E2170" s="20"/>
      <c r="F2170" s="20"/>
      <c r="G2170" s="296" t="s">
        <v>61</v>
      </c>
      <c r="H2170" s="296" t="s">
        <v>122</v>
      </c>
      <c r="I2170" s="452">
        <v>14.7</v>
      </c>
      <c r="J2170" s="444">
        <v>9.4</v>
      </c>
      <c r="K2170" s="490">
        <v>116</v>
      </c>
      <c r="L2170" s="100">
        <f t="shared" si="415"/>
        <v>16.028880000000001</v>
      </c>
      <c r="M2170" s="20"/>
      <c r="N2170" s="20"/>
      <c r="O2170" s="20"/>
      <c r="P2170" s="20"/>
      <c r="Q2170" s="155"/>
      <c r="R2170" s="155"/>
    </row>
    <row r="2171" spans="1:19" ht="15.6">
      <c r="A2171" s="20"/>
      <c r="B2171" s="20"/>
      <c r="C2171" s="20"/>
      <c r="D2171" s="20"/>
      <c r="E2171" s="20"/>
      <c r="F2171" s="20"/>
      <c r="G2171" s="296" t="s">
        <v>61</v>
      </c>
      <c r="H2171" s="296" t="s">
        <v>122</v>
      </c>
      <c r="I2171" s="452">
        <v>14.7</v>
      </c>
      <c r="J2171" s="444">
        <v>9.6</v>
      </c>
      <c r="K2171" s="490">
        <v>24</v>
      </c>
      <c r="L2171" s="100">
        <f t="shared" si="415"/>
        <v>3.3868799999999992</v>
      </c>
      <c r="M2171" s="20"/>
      <c r="N2171" s="20"/>
      <c r="O2171" s="20"/>
      <c r="P2171" s="20"/>
      <c r="Q2171" s="155"/>
      <c r="R2171" s="155"/>
    </row>
    <row r="2172" spans="1:19" ht="15.6">
      <c r="A2172" s="20"/>
      <c r="B2172" s="20"/>
      <c r="C2172" s="20"/>
      <c r="D2172" s="20"/>
      <c r="E2172" s="20"/>
      <c r="F2172" s="20"/>
      <c r="G2172" s="296" t="s">
        <v>61</v>
      </c>
      <c r="H2172" s="296" t="s">
        <v>122</v>
      </c>
      <c r="I2172" s="452">
        <v>14.7</v>
      </c>
      <c r="J2172" s="444">
        <v>10.8</v>
      </c>
      <c r="K2172" s="490">
        <v>48</v>
      </c>
      <c r="L2172" s="100">
        <f t="shared" si="415"/>
        <v>7.6204799999999997</v>
      </c>
      <c r="M2172" s="20"/>
      <c r="N2172" s="20"/>
      <c r="O2172" s="20"/>
      <c r="P2172" s="20"/>
      <c r="Q2172" s="155"/>
      <c r="R2172" s="155"/>
    </row>
    <row r="2173" spans="1:19" ht="15.6">
      <c r="A2173" s="20"/>
      <c r="B2173" s="20"/>
      <c r="C2173" s="20"/>
      <c r="D2173" s="20"/>
      <c r="E2173" s="20"/>
      <c r="F2173" s="20"/>
      <c r="G2173" s="296" t="s">
        <v>61</v>
      </c>
      <c r="H2173" s="296" t="s">
        <v>122</v>
      </c>
      <c r="I2173" s="452">
        <v>14.7</v>
      </c>
      <c r="J2173" s="444">
        <v>11.3</v>
      </c>
      <c r="K2173" s="490">
        <v>55</v>
      </c>
      <c r="L2173" s="100">
        <f t="shared" si="415"/>
        <v>9.1360500000000009</v>
      </c>
      <c r="M2173" s="20"/>
      <c r="N2173" s="20"/>
      <c r="O2173" s="20"/>
      <c r="P2173" s="20"/>
      <c r="Q2173" s="155"/>
      <c r="R2173" s="155"/>
    </row>
    <row r="2174" spans="1:19" ht="15.6">
      <c r="A2174" s="20"/>
      <c r="B2174" s="20"/>
      <c r="C2174" s="20"/>
      <c r="D2174" s="20"/>
      <c r="E2174" s="20"/>
      <c r="F2174" s="20"/>
      <c r="G2174" s="296" t="s">
        <v>61</v>
      </c>
      <c r="H2174" s="296" t="s">
        <v>122</v>
      </c>
      <c r="I2174" s="452">
        <v>14.7</v>
      </c>
      <c r="J2174" s="444">
        <v>11.6</v>
      </c>
      <c r="K2174" s="490">
        <v>11</v>
      </c>
      <c r="L2174" s="100">
        <f t="shared" si="415"/>
        <v>1.8757199999999998</v>
      </c>
      <c r="M2174" s="20"/>
      <c r="N2174" s="20"/>
      <c r="O2174" s="20"/>
      <c r="P2174" s="20"/>
      <c r="Q2174" s="155"/>
      <c r="R2174" s="155"/>
    </row>
    <row r="2175" spans="1:19" ht="15.6">
      <c r="A2175" s="20"/>
      <c r="B2175" s="20"/>
      <c r="C2175" s="20"/>
      <c r="D2175" s="20"/>
      <c r="E2175" s="20"/>
      <c r="F2175" s="20"/>
      <c r="G2175" s="296"/>
      <c r="H2175" s="296"/>
      <c r="I2175" s="452"/>
      <c r="J2175" s="444"/>
      <c r="K2175" s="490">
        <f>SUM(K2165:K2174)</f>
        <v>495</v>
      </c>
      <c r="L2175" s="444">
        <f>SUM(L2165:L2174)</f>
        <v>68.005139999999997</v>
      </c>
      <c r="M2175" s="20"/>
      <c r="N2175" s="20"/>
      <c r="O2175" s="20"/>
      <c r="P2175" s="20"/>
      <c r="Q2175" s="155"/>
      <c r="R2175" s="155"/>
    </row>
    <row r="2176" spans="1:19" s="251" customFormat="1" ht="15.6">
      <c r="A2176" s="20"/>
      <c r="B2176" s="20"/>
      <c r="C2176" s="20"/>
      <c r="D2176" s="20"/>
      <c r="E2176" s="20"/>
      <c r="F2176" s="20"/>
      <c r="G2176" s="296"/>
      <c r="H2176" s="296"/>
      <c r="I2176" s="452"/>
      <c r="J2176" s="444"/>
      <c r="K2176" s="490"/>
      <c r="L2176" s="444"/>
      <c r="M2176" s="20"/>
      <c r="N2176" s="20"/>
      <c r="O2176" s="20"/>
      <c r="P2176" s="20"/>
      <c r="Q2176" s="155"/>
      <c r="R2176" s="155"/>
    </row>
    <row r="2177" spans="1:19" ht="15.6">
      <c r="A2177" s="21" t="s">
        <v>174</v>
      </c>
      <c r="B2177" s="21" t="s">
        <v>324</v>
      </c>
      <c r="C2177" s="21" t="s">
        <v>19</v>
      </c>
      <c r="D2177" s="21" t="s">
        <v>20</v>
      </c>
      <c r="E2177" s="63" t="s">
        <v>51</v>
      </c>
      <c r="F2177" s="22">
        <v>13</v>
      </c>
      <c r="G2177" s="296" t="s">
        <v>21</v>
      </c>
      <c r="H2177" s="143" t="s">
        <v>122</v>
      </c>
      <c r="I2177" s="452">
        <v>14.7</v>
      </c>
      <c r="J2177" s="444">
        <v>6.6</v>
      </c>
      <c r="K2177" s="490">
        <v>12</v>
      </c>
      <c r="L2177" s="100">
        <f t="shared" ref="L2177:L2182" si="416">(I2177*J2177*K2177/1000)</f>
        <v>1.1642399999999999</v>
      </c>
      <c r="M2177" s="20"/>
      <c r="N2177" s="20"/>
      <c r="O2177" s="444">
        <v>7.3</v>
      </c>
      <c r="P2177" s="20"/>
      <c r="Q2177" s="155"/>
      <c r="R2177" s="155"/>
      <c r="S2177" s="497" t="s">
        <v>336</v>
      </c>
    </row>
    <row r="2178" spans="1:19" ht="15.6">
      <c r="A2178" s="20"/>
      <c r="B2178" s="20"/>
      <c r="C2178" s="20"/>
      <c r="D2178" s="20"/>
      <c r="E2178" s="20"/>
      <c r="F2178" s="20"/>
      <c r="G2178" s="296" t="s">
        <v>21</v>
      </c>
      <c r="H2178" s="296" t="s">
        <v>122</v>
      </c>
      <c r="I2178" s="452">
        <v>14.7</v>
      </c>
      <c r="J2178" s="444">
        <v>7.3</v>
      </c>
      <c r="K2178" s="490">
        <v>18</v>
      </c>
      <c r="L2178" s="100">
        <f t="shared" si="416"/>
        <v>1.9315799999999996</v>
      </c>
      <c r="M2178" s="20"/>
      <c r="N2178" s="20"/>
      <c r="O2178" s="20"/>
      <c r="P2178" s="20"/>
      <c r="Q2178" s="155"/>
      <c r="R2178" s="155"/>
    </row>
    <row r="2179" spans="1:19" ht="15.6">
      <c r="A2179" s="20"/>
      <c r="B2179" s="20"/>
      <c r="C2179" s="20"/>
      <c r="D2179" s="20"/>
      <c r="E2179" s="20"/>
      <c r="F2179" s="20"/>
      <c r="G2179" s="296" t="s">
        <v>21</v>
      </c>
      <c r="H2179" s="296" t="s">
        <v>122</v>
      </c>
      <c r="I2179" s="452">
        <v>14.7</v>
      </c>
      <c r="J2179" s="444">
        <v>7.8</v>
      </c>
      <c r="K2179" s="490">
        <v>30</v>
      </c>
      <c r="L2179" s="100">
        <f t="shared" si="416"/>
        <v>3.4397999999999995</v>
      </c>
      <c r="M2179" s="20"/>
      <c r="N2179" s="20"/>
      <c r="O2179" s="20"/>
      <c r="P2179" s="20"/>
      <c r="Q2179" s="155"/>
      <c r="R2179" s="155"/>
    </row>
    <row r="2180" spans="1:19" ht="15.6">
      <c r="A2180" s="20"/>
      <c r="B2180" s="20"/>
      <c r="C2180" s="20"/>
      <c r="D2180" s="20"/>
      <c r="E2180" s="20"/>
      <c r="F2180" s="20"/>
      <c r="G2180" s="296" t="s">
        <v>21</v>
      </c>
      <c r="H2180" s="296" t="s">
        <v>122</v>
      </c>
      <c r="I2180" s="452">
        <v>14.7</v>
      </c>
      <c r="J2180" s="444">
        <v>11</v>
      </c>
      <c r="K2180" s="490">
        <v>76</v>
      </c>
      <c r="L2180" s="100">
        <f t="shared" si="416"/>
        <v>12.289199999999999</v>
      </c>
      <c r="M2180" s="20"/>
      <c r="N2180" s="20"/>
      <c r="O2180" s="20"/>
      <c r="P2180" s="20"/>
      <c r="Q2180" s="155"/>
      <c r="R2180" s="155"/>
    </row>
    <row r="2181" spans="1:19" ht="15.6">
      <c r="A2181" s="20"/>
      <c r="B2181" s="20"/>
      <c r="C2181" s="20"/>
      <c r="D2181" s="20"/>
      <c r="E2181" s="20"/>
      <c r="F2181" s="20"/>
      <c r="G2181" s="296" t="s">
        <v>21</v>
      </c>
      <c r="H2181" s="296" t="s">
        <v>122</v>
      </c>
      <c r="I2181" s="452">
        <v>14.7</v>
      </c>
      <c r="J2181" s="444">
        <v>11.1</v>
      </c>
      <c r="K2181" s="490">
        <v>16</v>
      </c>
      <c r="L2181" s="100">
        <f t="shared" si="416"/>
        <v>2.6107199999999997</v>
      </c>
      <c r="M2181" s="20"/>
      <c r="N2181" s="20"/>
      <c r="O2181" s="20"/>
      <c r="P2181" s="20"/>
      <c r="Q2181" s="155"/>
      <c r="R2181" s="155"/>
    </row>
    <row r="2182" spans="1:19" ht="15.6">
      <c r="A2182" s="20"/>
      <c r="B2182" s="20"/>
      <c r="C2182" s="20"/>
      <c r="D2182" s="20"/>
      <c r="E2182" s="20"/>
      <c r="F2182" s="20"/>
      <c r="G2182" s="296" t="s">
        <v>21</v>
      </c>
      <c r="H2182" s="296" t="s">
        <v>122</v>
      </c>
      <c r="I2182" s="452">
        <v>14.7</v>
      </c>
      <c r="J2182" s="444">
        <v>11.3</v>
      </c>
      <c r="K2182" s="490">
        <v>91</v>
      </c>
      <c r="L2182" s="100">
        <f t="shared" si="416"/>
        <v>15.116010000000003</v>
      </c>
      <c r="M2182" s="20"/>
      <c r="N2182" s="20"/>
      <c r="O2182" s="20"/>
      <c r="P2182" s="20"/>
      <c r="Q2182" s="155"/>
      <c r="R2182" s="155"/>
    </row>
    <row r="2183" spans="1:19" ht="15.6">
      <c r="A2183" s="20"/>
      <c r="B2183" s="20"/>
      <c r="C2183" s="20"/>
      <c r="D2183" s="20"/>
      <c r="E2183" s="20"/>
      <c r="F2183" s="20"/>
      <c r="G2183" s="296"/>
      <c r="H2183" s="296"/>
      <c r="I2183" s="452"/>
      <c r="J2183" s="444"/>
      <c r="K2183" s="490">
        <f>SUM(K2177:K2182)</f>
        <v>243</v>
      </c>
      <c r="L2183" s="444">
        <f>SUM(L2177:L2182)</f>
        <v>36.551550000000006</v>
      </c>
      <c r="M2183" s="20"/>
      <c r="N2183" s="20"/>
      <c r="O2183" s="20"/>
      <c r="P2183" s="20"/>
      <c r="Q2183" s="155"/>
      <c r="R2183" s="155"/>
    </row>
    <row r="2184" spans="1:19" s="251" customFormat="1" ht="15.6">
      <c r="A2184" s="20"/>
      <c r="B2184" s="20"/>
      <c r="C2184" s="20"/>
      <c r="D2184" s="20"/>
      <c r="E2184" s="20"/>
      <c r="F2184" s="20"/>
      <c r="G2184" s="296"/>
      <c r="H2184" s="296"/>
      <c r="I2184" s="452"/>
      <c r="J2184" s="444"/>
      <c r="K2184" s="490"/>
      <c r="L2184" s="444"/>
      <c r="M2184" s="20"/>
      <c r="N2184" s="20"/>
      <c r="O2184" s="20"/>
      <c r="P2184" s="20"/>
      <c r="Q2184" s="155"/>
      <c r="R2184" s="155"/>
    </row>
    <row r="2185" spans="1:19" ht="15.6">
      <c r="A2185" s="21" t="s">
        <v>174</v>
      </c>
      <c r="B2185" s="21" t="s">
        <v>324</v>
      </c>
      <c r="C2185" s="21" t="s">
        <v>19</v>
      </c>
      <c r="D2185" s="21" t="s">
        <v>20</v>
      </c>
      <c r="E2185" s="63" t="s">
        <v>51</v>
      </c>
      <c r="F2185" s="22">
        <v>13</v>
      </c>
      <c r="G2185" s="296" t="s">
        <v>21</v>
      </c>
      <c r="H2185" s="143" t="s">
        <v>123</v>
      </c>
      <c r="I2185" s="452">
        <v>16.5</v>
      </c>
      <c r="J2185" s="444">
        <v>7.1</v>
      </c>
      <c r="K2185" s="490">
        <v>40</v>
      </c>
      <c r="L2185" s="100">
        <f>(I2185*J2185*K2185/1000)</f>
        <v>4.6859999999999999</v>
      </c>
      <c r="M2185" s="20">
        <v>31</v>
      </c>
      <c r="N2185" s="23">
        <f>J2185*M2185*I2185/1000</f>
        <v>3.63165</v>
      </c>
      <c r="O2185" s="20"/>
      <c r="P2185" s="20"/>
      <c r="Q2185" s="155"/>
      <c r="R2185" s="155"/>
      <c r="S2185" s="497" t="s">
        <v>336</v>
      </c>
    </row>
    <row r="2186" spans="1:19" ht="15.6">
      <c r="A2186" s="20"/>
      <c r="B2186" s="20"/>
      <c r="C2186" s="20"/>
      <c r="D2186" s="20"/>
      <c r="E2186" s="20"/>
      <c r="F2186" s="20"/>
      <c r="G2186" s="296" t="s">
        <v>21</v>
      </c>
      <c r="H2186" s="296" t="s">
        <v>123</v>
      </c>
      <c r="I2186" s="452">
        <v>16.5</v>
      </c>
      <c r="J2186" s="444">
        <v>8.6999999999999993</v>
      </c>
      <c r="K2186" s="490">
        <v>27</v>
      </c>
      <c r="L2186" s="100">
        <f>(I2186*J2186*K2186/1000)</f>
        <v>3.8758499999999994</v>
      </c>
      <c r="M2186" s="20">
        <v>15</v>
      </c>
      <c r="N2186" s="23">
        <f>J2186*M2186*I2186/1000</f>
        <v>2.1532499999999999</v>
      </c>
      <c r="O2186" s="20"/>
      <c r="P2186" s="20"/>
      <c r="Q2186" s="155"/>
      <c r="R2186" s="155"/>
      <c r="S2186">
        <v>-1</v>
      </c>
    </row>
    <row r="2187" spans="1:19" ht="15.6">
      <c r="A2187" s="20"/>
      <c r="B2187" s="20"/>
      <c r="C2187" s="20"/>
      <c r="D2187" s="20"/>
      <c r="E2187" s="20"/>
      <c r="F2187" s="20"/>
      <c r="G2187" s="296" t="s">
        <v>21</v>
      </c>
      <c r="H2187" s="296" t="s">
        <v>123</v>
      </c>
      <c r="I2187" s="452">
        <v>16.5</v>
      </c>
      <c r="J2187" s="444">
        <v>9.1999999999999993</v>
      </c>
      <c r="K2187" s="490">
        <v>8</v>
      </c>
      <c r="L2187" s="100">
        <f>(I2187*J2187*K2187/1000)</f>
        <v>1.2143999999999999</v>
      </c>
      <c r="M2187" s="20">
        <v>8</v>
      </c>
      <c r="N2187" s="23">
        <f>J2187*M2187*I2187/1000</f>
        <v>1.2143999999999999</v>
      </c>
      <c r="O2187" s="24">
        <v>11.2</v>
      </c>
      <c r="P2187" s="20"/>
      <c r="Q2187" s="155"/>
      <c r="R2187" s="155"/>
    </row>
    <row r="2188" spans="1:19" ht="15.6">
      <c r="A2188" s="20"/>
      <c r="B2188" s="20"/>
      <c r="C2188" s="20"/>
      <c r="D2188" s="20"/>
      <c r="E2188" s="20"/>
      <c r="F2188" s="20"/>
      <c r="G2188" s="296" t="s">
        <v>21</v>
      </c>
      <c r="H2188" s="296" t="s">
        <v>123</v>
      </c>
      <c r="I2188" s="452">
        <v>16.5</v>
      </c>
      <c r="J2188" s="444">
        <v>11.2</v>
      </c>
      <c r="K2188" s="490">
        <v>13</v>
      </c>
      <c r="L2188" s="100">
        <f>(I2188*J2188*K2188/1000)</f>
        <v>2.4023999999999996</v>
      </c>
      <c r="M2188" s="20">
        <v>13</v>
      </c>
      <c r="N2188" s="23">
        <f>J2188*M2188*I2188/1000</f>
        <v>2.4024000000000001</v>
      </c>
      <c r="O2188" s="20"/>
      <c r="P2188" s="20"/>
      <c r="Q2188" s="155"/>
      <c r="R2188" s="155"/>
    </row>
    <row r="2189" spans="1:19" ht="15.6">
      <c r="A2189" s="20"/>
      <c r="B2189" s="20"/>
      <c r="C2189" s="20"/>
      <c r="D2189" s="20"/>
      <c r="E2189" s="20"/>
      <c r="F2189" s="20"/>
      <c r="G2189" s="296"/>
      <c r="H2189" s="296"/>
      <c r="I2189" s="452"/>
      <c r="J2189" s="444"/>
      <c r="K2189" s="490">
        <f>SUM(K2185:K2188)</f>
        <v>88</v>
      </c>
      <c r="L2189" s="444">
        <f>SUM(L2185:L2188)</f>
        <v>12.178649999999999</v>
      </c>
      <c r="M2189" s="445">
        <f>SUM(M2185:M2188)</f>
        <v>67</v>
      </c>
      <c r="N2189" s="444">
        <f>SUM(N2185:N2188)</f>
        <v>9.4016999999999999</v>
      </c>
      <c r="O2189" s="20"/>
      <c r="P2189" s="20"/>
      <c r="Q2189" s="155"/>
      <c r="R2189" s="155"/>
    </row>
    <row r="2190" spans="1:19" ht="15.6">
      <c r="A2190" s="20"/>
      <c r="B2190" s="20"/>
      <c r="C2190" s="20"/>
      <c r="D2190" s="20"/>
      <c r="E2190" s="20"/>
      <c r="F2190" s="20"/>
      <c r="G2190" s="20"/>
      <c r="H2190" s="20"/>
      <c r="I2190" s="131"/>
      <c r="J2190" s="20"/>
      <c r="K2190" s="490"/>
      <c r="L2190" s="131"/>
      <c r="M2190" s="20"/>
      <c r="N2190" s="20"/>
      <c r="O2190" s="20"/>
      <c r="P2190" s="20"/>
      <c r="Q2190" s="155"/>
      <c r="R2190" s="155"/>
    </row>
    <row r="2191" spans="1:19" ht="15.6">
      <c r="A2191" s="21" t="s">
        <v>174</v>
      </c>
      <c r="B2191" s="21" t="s">
        <v>324</v>
      </c>
      <c r="C2191" s="21" t="s">
        <v>19</v>
      </c>
      <c r="D2191" s="21" t="s">
        <v>20</v>
      </c>
      <c r="E2191" s="63" t="s">
        <v>51</v>
      </c>
      <c r="F2191" s="22">
        <v>13</v>
      </c>
      <c r="G2191" s="296" t="s">
        <v>21</v>
      </c>
      <c r="H2191" s="143" t="s">
        <v>120</v>
      </c>
      <c r="I2191" s="452">
        <v>18.2</v>
      </c>
      <c r="J2191" s="444">
        <v>11.8</v>
      </c>
      <c r="K2191" s="490">
        <v>12</v>
      </c>
      <c r="L2191" s="100">
        <f>(I2191*J2191*K2191/1000)</f>
        <v>2.5771199999999999</v>
      </c>
      <c r="M2191" s="20"/>
      <c r="N2191" s="20"/>
      <c r="O2191" s="20"/>
      <c r="P2191" s="20"/>
      <c r="Q2191" s="155"/>
      <c r="R2191" s="155"/>
      <c r="S2191" s="497" t="s">
        <v>336</v>
      </c>
    </row>
    <row r="2192" spans="1:19" ht="15.6">
      <c r="A2192" s="20"/>
      <c r="B2192" s="20"/>
      <c r="C2192" s="20"/>
      <c r="D2192" s="20"/>
      <c r="E2192" s="20"/>
      <c r="F2192" s="20"/>
      <c r="G2192" s="296"/>
      <c r="H2192" s="296"/>
      <c r="I2192" s="452"/>
      <c r="J2192" s="444"/>
      <c r="K2192" s="490">
        <f t="shared" ref="K2192" si="417">SUM(K2191)</f>
        <v>12</v>
      </c>
      <c r="L2192" s="444">
        <f>SUM(L2191)</f>
        <v>2.5771199999999999</v>
      </c>
      <c r="M2192" s="20"/>
      <c r="N2192" s="20"/>
      <c r="O2192" s="20"/>
      <c r="P2192" s="20"/>
      <c r="Q2192" s="155"/>
      <c r="R2192" s="155"/>
    </row>
    <row r="2193" spans="1:19" s="251" customFormat="1" ht="15.6">
      <c r="A2193" s="20"/>
      <c r="B2193" s="20"/>
      <c r="C2193" s="20"/>
      <c r="D2193" s="20"/>
      <c r="E2193" s="20"/>
      <c r="F2193" s="20"/>
      <c r="G2193" s="476"/>
      <c r="H2193" s="476"/>
      <c r="I2193" s="477"/>
      <c r="J2193" s="478"/>
      <c r="K2193" s="490"/>
      <c r="L2193" s="444"/>
      <c r="M2193" s="253"/>
      <c r="N2193" s="253"/>
      <c r="O2193" s="253"/>
      <c r="P2193" s="253"/>
      <c r="Q2193" s="1058"/>
      <c r="R2193" s="1058"/>
    </row>
    <row r="2194" spans="1:19" ht="15.6">
      <c r="A2194" s="253"/>
      <c r="B2194" s="253"/>
      <c r="C2194" s="253"/>
      <c r="D2194" s="253"/>
      <c r="E2194" s="253"/>
      <c r="F2194" s="253"/>
      <c r="G2194" s="253"/>
      <c r="H2194" s="253"/>
      <c r="I2194" s="127"/>
      <c r="J2194" s="253"/>
      <c r="K2194" s="479"/>
      <c r="L2194" s="127"/>
      <c r="M2194" s="253"/>
      <c r="N2194" s="253"/>
      <c r="O2194" s="253"/>
      <c r="P2194" s="253"/>
      <c r="Q2194" s="1058"/>
      <c r="R2194" s="1058"/>
    </row>
    <row r="2195" spans="1:19" s="251" customFormat="1" ht="15.6">
      <c r="A2195" s="253"/>
      <c r="B2195" s="253"/>
      <c r="C2195" s="253"/>
      <c r="D2195" s="253"/>
      <c r="E2195" s="253"/>
      <c r="F2195" s="253"/>
      <c r="G2195" s="476"/>
      <c r="H2195" s="476"/>
      <c r="I2195" s="477"/>
      <c r="J2195" s="478"/>
      <c r="K2195" s="445"/>
      <c r="L2195" s="444"/>
      <c r="M2195" s="253"/>
      <c r="N2195" s="253"/>
      <c r="O2195" s="253"/>
      <c r="P2195" s="253"/>
      <c r="Q2195" s="1058"/>
      <c r="R2195" s="1058"/>
    </row>
    <row r="2196" spans="1:19" ht="15.6">
      <c r="A2196" s="253"/>
      <c r="B2196" s="253"/>
      <c r="C2196" s="253"/>
      <c r="D2196" s="253"/>
      <c r="E2196" s="253"/>
      <c r="F2196" s="253"/>
      <c r="G2196" s="253"/>
      <c r="H2196" s="253"/>
      <c r="I2196" s="127"/>
      <c r="J2196" s="253"/>
      <c r="K2196" s="154">
        <f>+K2163+K2175+K2189+K2183+K2192</f>
        <v>1048</v>
      </c>
      <c r="L2196" s="124">
        <f>+L2163+L2175+L2189+L2183+L2192</f>
        <v>150.05196000000004</v>
      </c>
      <c r="M2196" s="154">
        <f>+M2163+M2175+M2189+M2183+M2192</f>
        <v>67</v>
      </c>
      <c r="N2196" s="181">
        <f>+N2163+N2175+N2189+N2183+N2192</f>
        <v>9.4016999999999999</v>
      </c>
      <c r="O2196" s="253"/>
      <c r="P2196" s="253"/>
      <c r="Q2196" s="1058"/>
      <c r="R2196" s="1058"/>
    </row>
    <row r="2197" spans="1:19" s="251" customFormat="1">
      <c r="A2197" s="141"/>
      <c r="B2197" s="141"/>
      <c r="C2197" s="141"/>
      <c r="D2197" s="141"/>
      <c r="E2197" s="141"/>
      <c r="F2197" s="141"/>
      <c r="G2197" s="141"/>
      <c r="H2197" s="141"/>
      <c r="I2197" s="142"/>
      <c r="J2197" s="141"/>
      <c r="K2197" s="466"/>
      <c r="L2197" s="467"/>
      <c r="M2197" s="141"/>
      <c r="N2197" s="141"/>
      <c r="O2197" s="141"/>
      <c r="P2197" s="141"/>
      <c r="Q2197" s="141"/>
      <c r="R2197" s="141"/>
    </row>
    <row r="2198" spans="1:19" s="251" customFormat="1">
      <c r="A2198" s="141"/>
      <c r="B2198" s="141"/>
      <c r="C2198" s="141"/>
      <c r="D2198" s="141"/>
      <c r="E2198" s="141"/>
      <c r="F2198" s="141"/>
      <c r="G2198" s="141"/>
      <c r="H2198" s="141"/>
      <c r="I2198" s="142"/>
      <c r="J2198" s="141"/>
      <c r="K2198" s="466"/>
      <c r="L2198" s="467"/>
      <c r="M2198" s="141"/>
      <c r="N2198" s="141"/>
      <c r="O2198" s="141"/>
      <c r="P2198" s="141"/>
      <c r="Q2198" s="141"/>
      <c r="R2198" s="141"/>
    </row>
    <row r="2199" spans="1:19" s="251" customFormat="1">
      <c r="A2199" s="141"/>
      <c r="B2199" s="141"/>
      <c r="C2199" s="141"/>
      <c r="D2199" s="141"/>
      <c r="E2199" s="141"/>
      <c r="F2199" s="141"/>
      <c r="G2199" s="141"/>
      <c r="H2199" s="141"/>
      <c r="I2199" s="142"/>
      <c r="J2199" s="141"/>
      <c r="K2199" s="466"/>
      <c r="L2199" s="467"/>
      <c r="M2199" s="141"/>
      <c r="N2199" s="141"/>
      <c r="O2199" s="141"/>
      <c r="P2199" s="141"/>
      <c r="Q2199" s="141"/>
      <c r="R2199" s="141"/>
    </row>
    <row r="2200" spans="1:19" s="251" customFormat="1">
      <c r="A2200" s="141"/>
      <c r="B2200" s="141"/>
      <c r="C2200" s="141"/>
      <c r="D2200" s="141"/>
      <c r="E2200" s="141"/>
      <c r="F2200" s="141"/>
      <c r="G2200" s="141"/>
      <c r="H2200" s="141"/>
      <c r="I2200" s="142"/>
      <c r="J2200" s="141"/>
      <c r="K2200" s="466"/>
      <c r="L2200" s="467"/>
      <c r="M2200" s="141"/>
      <c r="N2200" s="141"/>
      <c r="O2200" s="141"/>
      <c r="P2200" s="141"/>
      <c r="Q2200" s="141"/>
      <c r="R2200" s="141"/>
    </row>
    <row r="2201" spans="1:19" s="251" customFormat="1">
      <c r="A2201" s="141"/>
      <c r="B2201" s="141"/>
      <c r="C2201" s="141"/>
      <c r="D2201" s="141"/>
      <c r="E2201" s="141"/>
      <c r="F2201" s="141"/>
      <c r="G2201" s="141"/>
      <c r="H2201" s="141"/>
      <c r="I2201" s="142"/>
      <c r="J2201" s="141"/>
      <c r="K2201" s="466"/>
      <c r="L2201" s="467"/>
      <c r="M2201" s="141"/>
      <c r="N2201" s="141"/>
      <c r="O2201" s="141"/>
      <c r="P2201" s="141"/>
      <c r="Q2201" s="141"/>
      <c r="R2201" s="141"/>
    </row>
    <row r="2203" spans="1:19" ht="15.6">
      <c r="A2203" s="468" t="s">
        <v>48</v>
      </c>
      <c r="B2203" s="468"/>
      <c r="C2203" s="469"/>
      <c r="D2203" s="469"/>
      <c r="E2203" s="469"/>
      <c r="F2203" s="470"/>
      <c r="G2203" s="469"/>
      <c r="H2203" s="469"/>
      <c r="I2203" s="471"/>
      <c r="J2203" s="472"/>
      <c r="K2203" s="473"/>
      <c r="L2203" s="2046" t="s">
        <v>0</v>
      </c>
      <c r="M2203" s="2046"/>
      <c r="N2203" s="2046"/>
      <c r="O2203" s="2046"/>
      <c r="P2203" s="474"/>
      <c r="Q2203" s="474"/>
      <c r="R2203" s="474"/>
    </row>
    <row r="2204" spans="1:19" ht="15.6">
      <c r="A2204" s="27" t="s">
        <v>1</v>
      </c>
      <c r="B2204" s="27"/>
      <c r="C2204" s="27"/>
      <c r="D2204" s="28" t="s">
        <v>2</v>
      </c>
      <c r="E2204" s="28"/>
      <c r="F2204" s="29"/>
      <c r="G2204" s="29"/>
      <c r="H2204" s="29"/>
      <c r="I2204" s="30"/>
      <c r="J2204" s="481"/>
      <c r="K2204" s="197" t="s">
        <v>3</v>
      </c>
      <c r="L2204" s="481"/>
      <c r="M2204" s="27"/>
      <c r="N2204" s="29"/>
      <c r="O2204" s="27"/>
      <c r="P2204" s="475"/>
      <c r="Q2204" s="155"/>
      <c r="R2204" s="155"/>
    </row>
    <row r="2205" spans="1:19" ht="31.2">
      <c r="A2205" s="32" t="s">
        <v>4</v>
      </c>
      <c r="B2205" s="32" t="s">
        <v>5</v>
      </c>
      <c r="C2205" s="32" t="s">
        <v>6</v>
      </c>
      <c r="D2205" s="32" t="s">
        <v>7</v>
      </c>
      <c r="E2205" s="32" t="s">
        <v>8</v>
      </c>
      <c r="F2205" s="33" t="s">
        <v>9</v>
      </c>
      <c r="G2205" s="34" t="s">
        <v>10</v>
      </c>
      <c r="H2205" s="34" t="s">
        <v>11</v>
      </c>
      <c r="I2205" s="35" t="s">
        <v>12</v>
      </c>
      <c r="J2205" s="36" t="s">
        <v>13</v>
      </c>
      <c r="K2205" s="198" t="s">
        <v>14</v>
      </c>
      <c r="L2205" s="297" t="s">
        <v>15</v>
      </c>
      <c r="M2205" s="33" t="s">
        <v>16</v>
      </c>
      <c r="N2205" s="33" t="s">
        <v>17</v>
      </c>
      <c r="O2205" s="34" t="s">
        <v>18</v>
      </c>
      <c r="P2205" s="33" t="s">
        <v>192</v>
      </c>
      <c r="Q2205" s="1057"/>
      <c r="R2205" s="1057"/>
    </row>
    <row r="2206" spans="1:19" ht="15.6">
      <c r="A2206" s="21" t="s">
        <v>174</v>
      </c>
      <c r="B2206" s="21" t="s">
        <v>324</v>
      </c>
      <c r="C2206" s="21" t="s">
        <v>19</v>
      </c>
      <c r="D2206" s="21" t="s">
        <v>155</v>
      </c>
      <c r="E2206" s="21" t="s">
        <v>247</v>
      </c>
      <c r="F2206" s="22">
        <v>14</v>
      </c>
      <c r="G2206" s="296" t="s">
        <v>61</v>
      </c>
      <c r="H2206" s="143" t="s">
        <v>129</v>
      </c>
      <c r="I2206" s="452">
        <v>17.899999999999999</v>
      </c>
      <c r="J2206" s="444">
        <v>7.2</v>
      </c>
      <c r="K2206" s="489">
        <v>24</v>
      </c>
      <c r="L2206" s="100">
        <f>(I2206*J2206*K2206/1000)</f>
        <v>3.0931199999999999</v>
      </c>
      <c r="M2206" s="20"/>
      <c r="N2206" s="20"/>
      <c r="O2206" s="20"/>
      <c r="P2206" s="20"/>
      <c r="Q2206" s="155"/>
      <c r="R2206" s="155"/>
      <c r="S2206" s="251" t="s">
        <v>327</v>
      </c>
    </row>
    <row r="2207" spans="1:19" ht="15.6">
      <c r="A2207" s="20"/>
      <c r="B2207" s="21"/>
      <c r="C2207" s="20"/>
      <c r="D2207" s="20"/>
      <c r="E2207" s="20"/>
      <c r="F2207" s="131"/>
      <c r="G2207" s="296" t="s">
        <v>61</v>
      </c>
      <c r="H2207" s="296" t="s">
        <v>129</v>
      </c>
      <c r="I2207" s="452">
        <v>17.899999999999999</v>
      </c>
      <c r="J2207" s="444">
        <v>8.1</v>
      </c>
      <c r="K2207" s="489">
        <v>136</v>
      </c>
      <c r="L2207" s="100">
        <f>(I2207*J2207*K2207/1000)</f>
        <v>19.718639999999997</v>
      </c>
      <c r="M2207" s="20"/>
      <c r="N2207" s="20"/>
      <c r="O2207" s="20"/>
      <c r="P2207" s="20"/>
      <c r="Q2207" s="155"/>
      <c r="R2207" s="155"/>
    </row>
    <row r="2208" spans="1:19" ht="15.6">
      <c r="A2208" s="20"/>
      <c r="B2208" s="20"/>
      <c r="C2208" s="20"/>
      <c r="D2208" s="20"/>
      <c r="E2208" s="20"/>
      <c r="F2208" s="20"/>
      <c r="G2208" s="296" t="s">
        <v>61</v>
      </c>
      <c r="H2208" s="296" t="s">
        <v>129</v>
      </c>
      <c r="I2208" s="452">
        <v>17.899999999999999</v>
      </c>
      <c r="J2208" s="444">
        <v>8.6</v>
      </c>
      <c r="K2208" s="489">
        <v>32</v>
      </c>
      <c r="L2208" s="100">
        <f>(I2208*J2208*K2208/1000)</f>
        <v>4.9260799999999989</v>
      </c>
      <c r="M2208" s="20"/>
      <c r="N2208" s="20"/>
      <c r="O2208" s="20"/>
      <c r="P2208" s="20"/>
      <c r="Q2208" s="155"/>
      <c r="R2208" s="155"/>
    </row>
    <row r="2209" spans="1:19" ht="15.6">
      <c r="A2209" s="20"/>
      <c r="B2209" s="20"/>
      <c r="C2209" s="20"/>
      <c r="D2209" s="20"/>
      <c r="E2209" s="20"/>
      <c r="F2209" s="20"/>
      <c r="G2209" s="296" t="s">
        <v>61</v>
      </c>
      <c r="H2209" s="296" t="s">
        <v>129</v>
      </c>
      <c r="I2209" s="452">
        <v>17.899999999999999</v>
      </c>
      <c r="J2209" s="444">
        <v>8.9</v>
      </c>
      <c r="K2209" s="489">
        <v>3</v>
      </c>
      <c r="L2209" s="100">
        <f>(I2209*J2209*K2209/1000)</f>
        <v>0.47793000000000002</v>
      </c>
      <c r="M2209" s="20"/>
      <c r="N2209" s="20"/>
      <c r="O2209" s="444">
        <v>10.9</v>
      </c>
      <c r="P2209" s="20"/>
      <c r="Q2209" s="155"/>
      <c r="R2209" s="155"/>
    </row>
    <row r="2210" spans="1:19" ht="15.6">
      <c r="A2210" s="20"/>
      <c r="B2210" s="20"/>
      <c r="C2210" s="20"/>
      <c r="D2210" s="20"/>
      <c r="E2210" s="20"/>
      <c r="F2210" s="20"/>
      <c r="G2210" s="296" t="s">
        <v>61</v>
      </c>
      <c r="H2210" s="296" t="s">
        <v>129</v>
      </c>
      <c r="I2210" s="452">
        <v>17.899999999999999</v>
      </c>
      <c r="J2210" s="444">
        <v>10.9</v>
      </c>
      <c r="K2210" s="489">
        <v>73</v>
      </c>
      <c r="L2210" s="100">
        <f>(I2210*J2210*K2210/1000)</f>
        <v>14.243029999999999</v>
      </c>
      <c r="M2210" s="20"/>
      <c r="N2210" s="20"/>
      <c r="O2210" s="20"/>
      <c r="P2210" s="20"/>
      <c r="Q2210" s="155"/>
      <c r="R2210" s="155"/>
    </row>
    <row r="2211" spans="1:19" ht="15.6">
      <c r="A2211" s="20"/>
      <c r="B2211" s="20"/>
      <c r="C2211" s="20"/>
      <c r="D2211" s="20"/>
      <c r="E2211" s="20"/>
      <c r="F2211" s="20"/>
      <c r="G2211" s="296"/>
      <c r="H2211" s="296"/>
      <c r="I2211" s="452"/>
      <c r="J2211" s="444"/>
      <c r="K2211" s="445">
        <f>SUM(K2206:K2210)</f>
        <v>268</v>
      </c>
      <c r="L2211" s="444">
        <f>SUM(L2206:L2210)</f>
        <v>42.458799999999997</v>
      </c>
      <c r="M2211" s="20"/>
      <c r="N2211" s="20"/>
      <c r="O2211" s="20"/>
      <c r="P2211" s="20"/>
      <c r="Q2211" s="155"/>
      <c r="R2211" s="155"/>
    </row>
    <row r="2212" spans="1:19" s="251" customFormat="1" ht="15.6">
      <c r="A2212" s="20"/>
      <c r="B2212" s="20"/>
      <c r="C2212" s="20"/>
      <c r="D2212" s="20"/>
      <c r="E2212" s="20"/>
      <c r="F2212" s="20"/>
      <c r="G2212" s="296"/>
      <c r="H2212" s="296"/>
      <c r="I2212" s="452"/>
      <c r="J2212" s="444"/>
      <c r="K2212" s="445"/>
      <c r="L2212" s="444"/>
      <c r="M2212" s="20"/>
      <c r="N2212" s="20"/>
      <c r="O2212" s="20"/>
      <c r="P2212" s="20"/>
      <c r="Q2212" s="155"/>
      <c r="R2212" s="155"/>
    </row>
    <row r="2213" spans="1:19" s="251" customFormat="1" ht="15.6">
      <c r="A2213" s="21" t="s">
        <v>174</v>
      </c>
      <c r="B2213" s="21" t="s">
        <v>245</v>
      </c>
      <c r="C2213" s="21" t="s">
        <v>19</v>
      </c>
      <c r="D2213" s="21" t="s">
        <v>155</v>
      </c>
      <c r="E2213" s="21" t="s">
        <v>247</v>
      </c>
      <c r="F2213" s="22">
        <v>14</v>
      </c>
      <c r="G2213" s="296" t="s">
        <v>61</v>
      </c>
      <c r="H2213" s="296" t="s">
        <v>129</v>
      </c>
      <c r="I2213" s="452">
        <v>17.899999999999999</v>
      </c>
      <c r="J2213" s="444">
        <v>8.1</v>
      </c>
      <c r="K2213" s="445">
        <v>15</v>
      </c>
      <c r="L2213" s="100">
        <f>(I2213*J2213*K2213/1000)</f>
        <v>2.1748499999999997</v>
      </c>
      <c r="M2213" s="20"/>
      <c r="N2213" s="20"/>
      <c r="O2213" s="20"/>
      <c r="P2213" s="20"/>
      <c r="Q2213" s="155"/>
      <c r="R2213" s="155"/>
    </row>
    <row r="2214" spans="1:19" s="251" customFormat="1" ht="15.6">
      <c r="A2214" s="20"/>
      <c r="B2214" s="482" t="s">
        <v>240</v>
      </c>
      <c r="C2214" s="483"/>
      <c r="D2214" s="483"/>
      <c r="E2214" s="20"/>
      <c r="F2214" s="131"/>
      <c r="G2214" s="296" t="s">
        <v>61</v>
      </c>
      <c r="H2214" s="296" t="s">
        <v>129</v>
      </c>
      <c r="I2214" s="452">
        <v>17.899999999999999</v>
      </c>
      <c r="J2214" s="444">
        <v>10.9</v>
      </c>
      <c r="K2214" s="445">
        <v>5</v>
      </c>
      <c r="L2214" s="100">
        <f>(I2214*J2214*K2214/1000)</f>
        <v>0.97554999999999992</v>
      </c>
      <c r="M2214" s="20"/>
      <c r="N2214" s="20"/>
      <c r="O2214" s="20"/>
      <c r="P2214" s="20"/>
      <c r="Q2214" s="155"/>
      <c r="R2214" s="155"/>
    </row>
    <row r="2215" spans="1:19" s="251" customFormat="1" ht="15.6">
      <c r="A2215" s="20"/>
      <c r="B2215" s="20"/>
      <c r="C2215" s="20"/>
      <c r="D2215" s="20"/>
      <c r="E2215" s="20"/>
      <c r="F2215" s="20"/>
      <c r="G2215" s="296"/>
      <c r="H2215" s="296"/>
      <c r="I2215" s="452"/>
      <c r="J2215" s="444"/>
      <c r="K2215" s="445">
        <f>SUM(K2213:K2214)</f>
        <v>20</v>
      </c>
      <c r="L2215" s="444">
        <f>SUM(L2213:L2214)</f>
        <v>3.1503999999999994</v>
      </c>
      <c r="M2215" s="20"/>
      <c r="N2215" s="20"/>
      <c r="O2215" s="20"/>
      <c r="P2215" s="20"/>
      <c r="Q2215" s="155"/>
      <c r="R2215" s="155"/>
    </row>
    <row r="2216" spans="1:19" s="251" customFormat="1" ht="15.6">
      <c r="A2216" s="20"/>
      <c r="B2216" s="20"/>
      <c r="C2216" s="20"/>
      <c r="D2216" s="20"/>
      <c r="E2216" s="20"/>
      <c r="F2216" s="20"/>
      <c r="G2216" s="296"/>
      <c r="H2216" s="296"/>
      <c r="I2216" s="452"/>
      <c r="J2216" s="444"/>
      <c r="K2216" s="484">
        <f>+K2215+K2211</f>
        <v>288</v>
      </c>
      <c r="L2216" s="444">
        <f>+L2215+L2211</f>
        <v>45.609199999999994</v>
      </c>
      <c r="M2216" s="20"/>
      <c r="N2216" s="20"/>
      <c r="O2216" s="20"/>
      <c r="P2216" s="20"/>
      <c r="Q2216" s="155"/>
      <c r="R2216" s="155"/>
    </row>
    <row r="2217" spans="1:19" s="251" customFormat="1" ht="15.6">
      <c r="A2217" s="20"/>
      <c r="B2217" s="20"/>
      <c r="C2217" s="20"/>
      <c r="D2217" s="20"/>
      <c r="E2217" s="20"/>
      <c r="F2217" s="20"/>
      <c r="G2217" s="296"/>
      <c r="H2217" s="296"/>
      <c r="I2217" s="452"/>
      <c r="J2217" s="444"/>
      <c r="K2217" s="445"/>
      <c r="L2217" s="444"/>
      <c r="M2217" s="20"/>
      <c r="N2217" s="20"/>
      <c r="O2217" s="20"/>
      <c r="P2217" s="20"/>
      <c r="Q2217" s="155"/>
      <c r="R2217" s="155"/>
    </row>
    <row r="2218" spans="1:19" ht="15.6">
      <c r="A2218" s="20"/>
      <c r="B2218" s="20"/>
      <c r="C2218" s="20"/>
      <c r="D2218" s="20"/>
      <c r="E2218" s="20"/>
      <c r="F2218" s="20"/>
      <c r="G2218" s="20"/>
      <c r="H2218" s="20"/>
      <c r="I2218" s="131"/>
      <c r="J2218" s="20"/>
      <c r="K2218" s="211"/>
      <c r="L2218" s="131"/>
      <c r="M2218" s="20"/>
      <c r="N2218" s="20"/>
      <c r="O2218" s="20"/>
      <c r="P2218" s="20"/>
      <c r="Q2218" s="155"/>
      <c r="R2218" s="155"/>
    </row>
    <row r="2219" spans="1:19" ht="15.6">
      <c r="A2219" s="21" t="s">
        <v>174</v>
      </c>
      <c r="B2219" s="21" t="s">
        <v>324</v>
      </c>
      <c r="C2219" s="21" t="s">
        <v>19</v>
      </c>
      <c r="D2219" s="21" t="s">
        <v>20</v>
      </c>
      <c r="E2219" s="63" t="s">
        <v>51</v>
      </c>
      <c r="F2219" s="22">
        <v>14</v>
      </c>
      <c r="G2219" s="296" t="s">
        <v>21</v>
      </c>
      <c r="H2219" s="143" t="s">
        <v>129</v>
      </c>
      <c r="I2219" s="452">
        <v>17.899999999999999</v>
      </c>
      <c r="J2219" s="444">
        <v>6.6</v>
      </c>
      <c r="K2219" s="489">
        <v>70</v>
      </c>
      <c r="L2219" s="100">
        <f t="shared" ref="L2219:L2223" si="418">(I2219*J2219*K2219/1000)</f>
        <v>8.2698</v>
      </c>
      <c r="M2219" s="20"/>
      <c r="N2219" s="20"/>
      <c r="O2219" s="20"/>
      <c r="P2219" s="20"/>
      <c r="Q2219" s="155"/>
      <c r="R2219" s="155"/>
      <c r="S2219" s="497" t="s">
        <v>336</v>
      </c>
    </row>
    <row r="2220" spans="1:19" ht="15.6">
      <c r="A2220" s="20"/>
      <c r="B2220" s="20"/>
      <c r="C2220" s="20"/>
      <c r="D2220" s="20"/>
      <c r="E2220" s="20"/>
      <c r="F2220" s="20"/>
      <c r="G2220" s="296" t="s">
        <v>21</v>
      </c>
      <c r="H2220" s="296" t="s">
        <v>129</v>
      </c>
      <c r="I2220" s="452">
        <v>17.899999999999999</v>
      </c>
      <c r="J2220" s="444">
        <v>6.8</v>
      </c>
      <c r="K2220" s="489">
        <v>74</v>
      </c>
      <c r="L2220" s="100">
        <f t="shared" si="418"/>
        <v>9.007279999999998</v>
      </c>
      <c r="M2220" s="20"/>
      <c r="N2220" s="20"/>
      <c r="O2220" s="20"/>
      <c r="P2220" s="20"/>
      <c r="Q2220" s="155"/>
      <c r="R2220" s="155"/>
    </row>
    <row r="2221" spans="1:19" ht="15.6">
      <c r="A2221" s="20"/>
      <c r="B2221" s="20"/>
      <c r="C2221" s="20"/>
      <c r="D2221" s="20"/>
      <c r="E2221" s="20"/>
      <c r="F2221" s="20"/>
      <c r="G2221" s="296" t="s">
        <v>21</v>
      </c>
      <c r="H2221" s="296" t="s">
        <v>129</v>
      </c>
      <c r="I2221" s="452">
        <v>17.899999999999999</v>
      </c>
      <c r="J2221" s="444">
        <v>7</v>
      </c>
      <c r="K2221" s="489">
        <v>36</v>
      </c>
      <c r="L2221" s="100">
        <f t="shared" si="418"/>
        <v>4.5107999999999997</v>
      </c>
      <c r="M2221" s="20"/>
      <c r="N2221" s="20"/>
      <c r="O2221" s="20"/>
      <c r="P2221" s="20"/>
      <c r="Q2221" s="155"/>
      <c r="R2221" s="155"/>
    </row>
    <row r="2222" spans="1:19" ht="15.6">
      <c r="A2222" s="20"/>
      <c r="B2222" s="20"/>
      <c r="C2222" s="20"/>
      <c r="D2222" s="20"/>
      <c r="E2222" s="20"/>
      <c r="F2222" s="20"/>
      <c r="G2222" s="296" t="s">
        <v>21</v>
      </c>
      <c r="H2222" s="296" t="s">
        <v>129</v>
      </c>
      <c r="I2222" s="452">
        <v>17.899999999999999</v>
      </c>
      <c r="J2222" s="444">
        <v>9.8000000000000007</v>
      </c>
      <c r="K2222" s="489">
        <v>68</v>
      </c>
      <c r="L2222" s="100">
        <f t="shared" si="418"/>
        <v>11.928559999999999</v>
      </c>
      <c r="M2222" s="20"/>
      <c r="N2222" s="20"/>
      <c r="O2222" s="444">
        <v>9.9</v>
      </c>
      <c r="P2222" s="20"/>
      <c r="Q2222" s="155"/>
      <c r="R2222" s="155"/>
    </row>
    <row r="2223" spans="1:19" ht="15.6">
      <c r="A2223" s="20"/>
      <c r="B2223" s="20"/>
      <c r="C2223" s="20"/>
      <c r="D2223" s="20"/>
      <c r="E2223" s="20"/>
      <c r="F2223" s="20"/>
      <c r="G2223" s="296" t="s">
        <v>21</v>
      </c>
      <c r="H2223" s="296" t="s">
        <v>129</v>
      </c>
      <c r="I2223" s="452">
        <v>17.899999999999999</v>
      </c>
      <c r="J2223" s="444">
        <v>9.9</v>
      </c>
      <c r="K2223" s="489">
        <v>2</v>
      </c>
      <c r="L2223" s="100">
        <f t="shared" si="418"/>
        <v>0.35441999999999996</v>
      </c>
      <c r="M2223" s="20"/>
      <c r="N2223" s="20"/>
      <c r="O2223" s="20"/>
      <c r="P2223" s="20"/>
      <c r="Q2223" s="155"/>
      <c r="R2223" s="155"/>
    </row>
    <row r="2224" spans="1:19" ht="15.6">
      <c r="A2224" s="20"/>
      <c r="B2224" s="20"/>
      <c r="C2224" s="20"/>
      <c r="D2224" s="20"/>
      <c r="E2224" s="20"/>
      <c r="F2224" s="20"/>
      <c r="G2224" s="296"/>
      <c r="H2224" s="296"/>
      <c r="I2224" s="452"/>
      <c r="J2224" s="444"/>
      <c r="K2224" s="445">
        <f t="shared" ref="K2224:L2224" si="419">SUM(K2219:K2223)</f>
        <v>250</v>
      </c>
      <c r="L2224" s="444">
        <f t="shared" si="419"/>
        <v>34.070859999999996</v>
      </c>
      <c r="M2224" s="20"/>
      <c r="N2224" s="20"/>
      <c r="O2224" s="20"/>
      <c r="P2224" s="20"/>
      <c r="Q2224" s="155"/>
      <c r="R2224" s="155"/>
    </row>
    <row r="2225" spans="1:19" ht="15.6">
      <c r="A2225" s="20"/>
      <c r="B2225" s="20"/>
      <c r="C2225" s="20"/>
      <c r="D2225" s="20"/>
      <c r="E2225" s="20"/>
      <c r="F2225" s="20"/>
      <c r="G2225" s="20"/>
      <c r="H2225" s="20"/>
      <c r="I2225" s="131"/>
      <c r="J2225" s="20"/>
      <c r="K2225" s="211"/>
      <c r="L2225" s="131"/>
      <c r="M2225" s="20"/>
      <c r="N2225" s="20"/>
      <c r="O2225" s="20"/>
      <c r="P2225" s="20"/>
      <c r="Q2225" s="155"/>
      <c r="R2225" s="155"/>
    </row>
    <row r="2226" spans="1:19" ht="15.6">
      <c r="A2226" s="21" t="s">
        <v>174</v>
      </c>
      <c r="B2226" s="21" t="s">
        <v>324</v>
      </c>
      <c r="C2226" s="21" t="s">
        <v>19</v>
      </c>
      <c r="D2226" s="21" t="s">
        <v>20</v>
      </c>
      <c r="E2226" s="63" t="s">
        <v>51</v>
      </c>
      <c r="F2226" s="22">
        <v>14</v>
      </c>
      <c r="G2226" s="296" t="s">
        <v>21</v>
      </c>
      <c r="H2226" s="143" t="s">
        <v>124</v>
      </c>
      <c r="I2226" s="452">
        <v>19.8</v>
      </c>
      <c r="J2226" s="444">
        <v>6.8</v>
      </c>
      <c r="K2226" s="445">
        <v>24</v>
      </c>
      <c r="L2226" s="100">
        <f t="shared" ref="L2226:L2232" si="420">(I2226*J2226*K2226/1000)</f>
        <v>3.2313600000000005</v>
      </c>
      <c r="M2226" s="20"/>
      <c r="N2226" s="20"/>
      <c r="O2226" s="20"/>
      <c r="P2226" s="20"/>
      <c r="Q2226" s="155"/>
      <c r="R2226" s="155"/>
      <c r="S2226" s="497" t="s">
        <v>336</v>
      </c>
    </row>
    <row r="2227" spans="1:19" ht="15.6">
      <c r="A2227" s="20"/>
      <c r="B2227" s="20"/>
      <c r="C2227" s="20"/>
      <c r="D2227" s="20"/>
      <c r="E2227" s="20"/>
      <c r="F2227" s="20"/>
      <c r="G2227" s="296" t="s">
        <v>21</v>
      </c>
      <c r="H2227" s="296" t="s">
        <v>124</v>
      </c>
      <c r="I2227" s="452">
        <v>19.8</v>
      </c>
      <c r="J2227" s="444">
        <v>7.6</v>
      </c>
      <c r="K2227" s="445">
        <v>4</v>
      </c>
      <c r="L2227" s="100">
        <f t="shared" si="420"/>
        <v>0.60192000000000001</v>
      </c>
      <c r="M2227" s="20"/>
      <c r="N2227" s="20"/>
      <c r="O2227" s="444">
        <v>8.1</v>
      </c>
      <c r="P2227" s="20"/>
      <c r="Q2227" s="155"/>
      <c r="R2227" s="155"/>
    </row>
    <row r="2228" spans="1:19" ht="15.6">
      <c r="A2228" s="20"/>
      <c r="B2228" s="20"/>
      <c r="C2228" s="20"/>
      <c r="D2228" s="20"/>
      <c r="E2228" s="20"/>
      <c r="F2228" s="20"/>
      <c r="G2228" s="296" t="s">
        <v>21</v>
      </c>
      <c r="H2228" s="296" t="s">
        <v>124</v>
      </c>
      <c r="I2228" s="452">
        <v>19.8</v>
      </c>
      <c r="J2228" s="444">
        <v>8.1</v>
      </c>
      <c r="K2228" s="445">
        <v>24</v>
      </c>
      <c r="L2228" s="100">
        <f t="shared" si="420"/>
        <v>3.8491200000000001</v>
      </c>
      <c r="M2228" s="20"/>
      <c r="N2228" s="20"/>
      <c r="O2228" s="20"/>
      <c r="P2228" s="20"/>
      <c r="Q2228" s="155"/>
      <c r="R2228" s="155"/>
    </row>
    <row r="2229" spans="1:19" ht="15.6">
      <c r="A2229" s="20"/>
      <c r="B2229" s="20"/>
      <c r="C2229" s="20"/>
      <c r="D2229" s="20"/>
      <c r="E2229" s="20"/>
      <c r="F2229" s="20"/>
      <c r="G2229" s="296" t="s">
        <v>21</v>
      </c>
      <c r="H2229" s="296" t="s">
        <v>124</v>
      </c>
      <c r="I2229" s="452">
        <v>19.8</v>
      </c>
      <c r="J2229" s="444">
        <v>8.4</v>
      </c>
      <c r="K2229" s="445">
        <v>68</v>
      </c>
      <c r="L2229" s="100">
        <f t="shared" si="420"/>
        <v>11.309760000000002</v>
      </c>
      <c r="M2229" s="20"/>
      <c r="N2229" s="20"/>
      <c r="O2229" s="20"/>
      <c r="P2229" s="20"/>
      <c r="Q2229" s="155"/>
      <c r="R2229" s="155"/>
    </row>
    <row r="2230" spans="1:19" ht="15.6">
      <c r="A2230" s="20"/>
      <c r="B2230" s="20"/>
      <c r="C2230" s="20"/>
      <c r="D2230" s="20"/>
      <c r="E2230" s="20"/>
      <c r="F2230" s="20"/>
      <c r="G2230" s="296" t="s">
        <v>21</v>
      </c>
      <c r="H2230" s="296" t="s">
        <v>124</v>
      </c>
      <c r="I2230" s="452">
        <v>19.8</v>
      </c>
      <c r="J2230" s="444">
        <v>8.8000000000000007</v>
      </c>
      <c r="K2230" s="445">
        <v>28</v>
      </c>
      <c r="L2230" s="100">
        <f t="shared" si="420"/>
        <v>4.8787200000000004</v>
      </c>
      <c r="M2230" s="20"/>
      <c r="N2230" s="20"/>
      <c r="O2230" s="20"/>
      <c r="P2230" s="20"/>
      <c r="Q2230" s="155"/>
      <c r="R2230" s="155"/>
    </row>
    <row r="2231" spans="1:19" ht="15.6">
      <c r="A2231" s="20"/>
      <c r="B2231" s="20"/>
      <c r="C2231" s="20"/>
      <c r="D2231" s="20"/>
      <c r="E2231" s="20"/>
      <c r="F2231" s="20"/>
      <c r="G2231" s="296" t="s">
        <v>21</v>
      </c>
      <c r="H2231" s="296" t="s">
        <v>124</v>
      </c>
      <c r="I2231" s="452">
        <v>19.8</v>
      </c>
      <c r="J2231" s="444">
        <v>9.6999999999999993</v>
      </c>
      <c r="K2231" s="445">
        <v>36</v>
      </c>
      <c r="L2231" s="100">
        <f t="shared" si="420"/>
        <v>6.9141599999999999</v>
      </c>
      <c r="M2231" s="20"/>
      <c r="N2231" s="20"/>
      <c r="O2231" s="20"/>
      <c r="P2231" s="20"/>
      <c r="Q2231" s="155"/>
      <c r="R2231" s="155"/>
    </row>
    <row r="2232" spans="1:19" ht="15.6">
      <c r="A2232" s="20"/>
      <c r="B2232" s="20"/>
      <c r="C2232" s="20"/>
      <c r="D2232" s="20"/>
      <c r="E2232" s="20"/>
      <c r="F2232" s="20"/>
      <c r="G2232" s="296" t="s">
        <v>21</v>
      </c>
      <c r="H2232" s="296" t="s">
        <v>124</v>
      </c>
      <c r="I2232" s="452">
        <v>19.8</v>
      </c>
      <c r="J2232" s="444">
        <v>10.5</v>
      </c>
      <c r="K2232" s="445">
        <v>2</v>
      </c>
      <c r="L2232" s="100">
        <f t="shared" si="420"/>
        <v>0.4158</v>
      </c>
      <c r="M2232" s="20"/>
      <c r="N2232" s="20"/>
      <c r="O2232" s="20"/>
      <c r="P2232" s="20"/>
      <c r="Q2232" s="155"/>
      <c r="R2232" s="155"/>
    </row>
    <row r="2233" spans="1:19" ht="15.6">
      <c r="A2233" s="20"/>
      <c r="B2233" s="20"/>
      <c r="C2233" s="20"/>
      <c r="D2233" s="20"/>
      <c r="E2233" s="20"/>
      <c r="F2233" s="20"/>
      <c r="G2233" s="296"/>
      <c r="H2233" s="296"/>
      <c r="I2233" s="452"/>
      <c r="J2233" s="444"/>
      <c r="K2233" s="445">
        <f t="shared" ref="K2233" si="421">SUM(K2226:K2232)</f>
        <v>186</v>
      </c>
      <c r="L2233" s="444">
        <f>SUM(L2226:L2232)</f>
        <v>31.200840000000003</v>
      </c>
      <c r="M2233" s="20"/>
      <c r="N2233" s="20"/>
      <c r="O2233" s="20"/>
      <c r="P2233" s="20"/>
      <c r="Q2233" s="155"/>
      <c r="R2233" s="155"/>
    </row>
    <row r="2234" spans="1:19" s="251" customFormat="1" ht="15.6">
      <c r="A2234" s="20"/>
      <c r="B2234" s="20"/>
      <c r="C2234" s="20"/>
      <c r="D2234" s="20"/>
      <c r="E2234" s="20"/>
      <c r="F2234" s="20"/>
      <c r="G2234" s="296"/>
      <c r="H2234" s="296"/>
      <c r="I2234" s="452"/>
      <c r="J2234" s="444"/>
      <c r="K2234" s="445"/>
      <c r="L2234" s="444"/>
      <c r="M2234" s="20"/>
      <c r="N2234" s="20"/>
      <c r="O2234" s="20"/>
      <c r="P2234" s="20"/>
      <c r="Q2234" s="155"/>
      <c r="R2234" s="155"/>
    </row>
    <row r="2235" spans="1:19" s="251" customFormat="1" ht="15.6">
      <c r="A2235" s="21" t="s">
        <v>174</v>
      </c>
      <c r="B2235" s="493" t="s">
        <v>230</v>
      </c>
      <c r="C2235" s="493" t="s">
        <v>19</v>
      </c>
      <c r="D2235" s="21" t="s">
        <v>20</v>
      </c>
      <c r="E2235" s="21" t="s">
        <v>57</v>
      </c>
      <c r="F2235" s="22">
        <v>14</v>
      </c>
      <c r="G2235" s="20" t="s">
        <v>21</v>
      </c>
      <c r="H2235" s="20" t="s">
        <v>126</v>
      </c>
      <c r="I2235" s="115">
        <v>23.6</v>
      </c>
      <c r="J2235" s="23">
        <v>8.75</v>
      </c>
      <c r="K2235" s="25">
        <v>17</v>
      </c>
      <c r="L2235" s="100">
        <f>(I2235*J2235*K2235/1000)</f>
        <v>3.5105</v>
      </c>
      <c r="M2235" s="20"/>
      <c r="N2235" s="20"/>
      <c r="O2235" s="20"/>
      <c r="P2235" s="20"/>
      <c r="Q2235" s="155"/>
      <c r="R2235" s="155"/>
    </row>
    <row r="2236" spans="1:19" s="251" customFormat="1" ht="15.6">
      <c r="A2236" s="37"/>
      <c r="B2236" s="248" t="s">
        <v>328</v>
      </c>
      <c r="C2236" s="494"/>
      <c r="D2236" s="37"/>
      <c r="E2236" s="37"/>
      <c r="F2236" s="37"/>
      <c r="G2236" s="20"/>
      <c r="H2236" s="20"/>
      <c r="I2236" s="131"/>
      <c r="J2236" s="23"/>
      <c r="K2236" s="25">
        <f t="shared" ref="K2236" si="422">SUM(K2235)</f>
        <v>17</v>
      </c>
      <c r="L2236" s="23">
        <f>SUM(L2235)</f>
        <v>3.5105</v>
      </c>
      <c r="M2236" s="20"/>
      <c r="N2236" s="20"/>
      <c r="O2236" s="20"/>
      <c r="P2236" s="20"/>
      <c r="Q2236" s="155"/>
      <c r="R2236" s="155"/>
    </row>
    <row r="2237" spans="1:19" s="251" customFormat="1" ht="15.6">
      <c r="A2237" s="20"/>
      <c r="B2237" s="20"/>
      <c r="C2237" s="20"/>
      <c r="D2237" s="20"/>
      <c r="E2237" s="20"/>
      <c r="F2237" s="20"/>
      <c r="G2237" s="296"/>
      <c r="H2237" s="296"/>
      <c r="I2237" s="452"/>
      <c r="J2237" s="444"/>
      <c r="K2237" s="445"/>
      <c r="L2237" s="444"/>
      <c r="M2237" s="20"/>
      <c r="N2237" s="20"/>
      <c r="O2237" s="20"/>
      <c r="P2237" s="20"/>
      <c r="Q2237" s="155"/>
      <c r="R2237" s="155"/>
    </row>
    <row r="2238" spans="1:19" s="251" customFormat="1" ht="15.6">
      <c r="A2238" s="20"/>
      <c r="B2238" s="20"/>
      <c r="C2238" s="20"/>
      <c r="D2238" s="20"/>
      <c r="E2238" s="20"/>
      <c r="F2238" s="20"/>
      <c r="G2238" s="296"/>
      <c r="H2238" s="296"/>
      <c r="I2238" s="452"/>
      <c r="J2238" s="444"/>
      <c r="K2238" s="445"/>
      <c r="L2238" s="444"/>
      <c r="M2238" s="20"/>
      <c r="N2238" s="20"/>
      <c r="O2238" s="20"/>
      <c r="P2238" s="20"/>
      <c r="Q2238" s="155"/>
      <c r="R2238" s="155"/>
    </row>
    <row r="2239" spans="1:19" s="251" customFormat="1" ht="15.6">
      <c r="A2239" s="20"/>
      <c r="B2239" s="20"/>
      <c r="C2239" s="20"/>
      <c r="D2239" s="20"/>
      <c r="E2239" s="20"/>
      <c r="F2239" s="20"/>
      <c r="G2239" s="296"/>
      <c r="H2239" s="296"/>
      <c r="I2239" s="452"/>
      <c r="J2239" s="444"/>
      <c r="K2239" s="445"/>
      <c r="L2239" s="444"/>
      <c r="M2239" s="20"/>
      <c r="N2239" s="20"/>
      <c r="O2239" s="20"/>
      <c r="P2239" s="20"/>
      <c r="Q2239" s="155"/>
      <c r="R2239" s="155"/>
    </row>
    <row r="2240" spans="1:19" ht="15.6">
      <c r="A2240" s="20"/>
      <c r="B2240" s="20"/>
      <c r="C2240" s="20"/>
      <c r="D2240" s="20"/>
      <c r="E2240" s="20"/>
      <c r="F2240" s="20"/>
      <c r="G2240" s="20"/>
      <c r="H2240" s="20"/>
      <c r="I2240" s="131"/>
      <c r="J2240" s="20"/>
      <c r="K2240" s="211"/>
      <c r="L2240" s="124">
        <f>+L2224+L2233+L2211+L2236+L2215</f>
        <v>114.39139999999999</v>
      </c>
      <c r="M2240" s="20"/>
      <c r="N2240" s="20"/>
      <c r="O2240" s="20"/>
      <c r="P2240" s="20"/>
      <c r="Q2240" s="155"/>
      <c r="R2240" s="155"/>
    </row>
    <row r="2241" spans="1:18">
      <c r="A2241" s="10" t="s">
        <v>48</v>
      </c>
      <c r="B2241" s="10"/>
      <c r="C2241" s="11"/>
      <c r="D2241" s="11"/>
      <c r="E2241" s="11"/>
      <c r="F2241" s="92"/>
      <c r="G2241" s="11"/>
      <c r="H2241" s="92"/>
      <c r="I2241" s="13"/>
      <c r="J2241" s="11"/>
      <c r="K2241" s="202"/>
      <c r="L2241" s="2047" t="s">
        <v>0</v>
      </c>
      <c r="M2241" s="2047"/>
      <c r="N2241" s="2047"/>
      <c r="O2241" s="2048"/>
      <c r="P2241" s="2020"/>
      <c r="Q2241" s="142"/>
      <c r="R2241" s="142"/>
    </row>
    <row r="2242" spans="1:18">
      <c r="A2242" s="14" t="s">
        <v>1</v>
      </c>
      <c r="B2242" s="14"/>
      <c r="C2242" s="14"/>
      <c r="D2242" s="15" t="s">
        <v>2</v>
      </c>
      <c r="E2242" s="15"/>
      <c r="F2242" s="16"/>
      <c r="G2242" s="16"/>
      <c r="H2242" s="16"/>
      <c r="I2242" s="17"/>
      <c r="J2242" s="16"/>
      <c r="K2242" s="203" t="s">
        <v>3</v>
      </c>
      <c r="L2242" s="16"/>
      <c r="M2242" s="14"/>
      <c r="N2242" s="16"/>
      <c r="O2242" s="19"/>
      <c r="P2242" s="2020"/>
      <c r="Q2242" s="142"/>
      <c r="R2242" s="142"/>
    </row>
    <row r="2243" spans="1:18" ht="15.6">
      <c r="A2243" s="463" t="s">
        <v>22</v>
      </c>
      <c r="B2243" s="2021" t="s">
        <v>23</v>
      </c>
      <c r="C2243" s="2022"/>
      <c r="D2243" s="2023"/>
      <c r="E2243" s="463" t="s">
        <v>24</v>
      </c>
      <c r="F2243" s="2021" t="s">
        <v>25</v>
      </c>
      <c r="G2243" s="2023"/>
      <c r="H2243" s="2021" t="s">
        <v>26</v>
      </c>
      <c r="I2243" s="2022"/>
      <c r="J2243" s="2022"/>
      <c r="K2243" s="2023"/>
      <c r="L2243" s="2024" t="s">
        <v>27</v>
      </c>
      <c r="M2243" s="2024"/>
      <c r="N2243" s="2024"/>
      <c r="O2243" s="2021"/>
      <c r="P2243" s="2020"/>
      <c r="Q2243" s="142"/>
      <c r="R2243" s="142"/>
    </row>
    <row r="2244" spans="1:18" ht="15.6">
      <c r="A2244" s="38"/>
      <c r="B2244" s="2025"/>
      <c r="C2244" s="2026"/>
      <c r="D2244" s="2027"/>
      <c r="E2244" s="26"/>
      <c r="F2244" s="2025"/>
      <c r="G2244" s="2027"/>
      <c r="H2244" s="2025"/>
      <c r="I2244" s="2026"/>
      <c r="J2244" s="2026"/>
      <c r="K2244" s="2027"/>
      <c r="L2244" s="2025"/>
      <c r="M2244" s="2026"/>
      <c r="N2244" s="2026"/>
      <c r="O2244" s="2026"/>
      <c r="P2244" s="2020"/>
      <c r="Q2244" s="142"/>
      <c r="R2244" s="142"/>
    </row>
    <row r="2245" spans="1:18" ht="15.6">
      <c r="A2245" s="38"/>
      <c r="B2245" s="458"/>
      <c r="C2245" s="459"/>
      <c r="D2245" s="460"/>
      <c r="E2245" s="26"/>
      <c r="F2245" s="458"/>
      <c r="G2245" s="460"/>
      <c r="H2245" s="458"/>
      <c r="I2245" s="1856"/>
      <c r="J2245" s="459"/>
      <c r="K2245" s="204"/>
      <c r="L2245" s="458"/>
      <c r="M2245" s="459"/>
      <c r="N2245" s="459"/>
      <c r="O2245" s="459"/>
      <c r="P2245" s="2020"/>
      <c r="Q2245" s="142"/>
      <c r="R2245" s="142"/>
    </row>
    <row r="2246" spans="1:18" s="251" customFormat="1" ht="15.6">
      <c r="A2246" s="38" t="s">
        <v>28</v>
      </c>
      <c r="B2246" s="2025" t="s">
        <v>257</v>
      </c>
      <c r="C2246" s="2026"/>
      <c r="D2246" s="2027"/>
      <c r="E2246" s="26">
        <f>+L2211+L2215</f>
        <v>45.609199999999994</v>
      </c>
      <c r="F2246" s="2025">
        <v>14</v>
      </c>
      <c r="G2246" s="2027"/>
      <c r="H2246" s="2025" t="s">
        <v>60</v>
      </c>
      <c r="I2246" s="2026"/>
      <c r="J2246" s="2026"/>
      <c r="K2246" s="2027"/>
      <c r="L2246" s="2025" t="s">
        <v>253</v>
      </c>
      <c r="M2246" s="2026"/>
      <c r="N2246" s="2026"/>
      <c r="O2246" s="2026"/>
      <c r="P2246" s="2020"/>
      <c r="Q2246" s="142"/>
      <c r="R2246" s="142"/>
    </row>
    <row r="2247" spans="1:18" s="251" customFormat="1" ht="15.6">
      <c r="A2247" s="38"/>
      <c r="B2247" s="458"/>
      <c r="C2247" s="459"/>
      <c r="D2247" s="460"/>
      <c r="E2247" s="26"/>
      <c r="F2247" s="458"/>
      <c r="G2247" s="460"/>
      <c r="H2247" s="458"/>
      <c r="I2247" s="1856"/>
      <c r="J2247" s="459"/>
      <c r="K2247" s="204"/>
      <c r="L2247" s="458"/>
      <c r="M2247" s="459"/>
      <c r="N2247" s="459"/>
      <c r="O2247" s="459"/>
      <c r="P2247" s="2020"/>
      <c r="Q2247" s="142"/>
      <c r="R2247" s="142"/>
    </row>
    <row r="2248" spans="1:18" ht="15.6">
      <c r="A2248" s="38" t="s">
        <v>29</v>
      </c>
      <c r="B2248" s="2025" t="s">
        <v>142</v>
      </c>
      <c r="C2248" s="2026"/>
      <c r="D2248" s="2027"/>
      <c r="E2248" s="26">
        <v>34.08</v>
      </c>
      <c r="F2248" s="2025">
        <v>14</v>
      </c>
      <c r="G2248" s="2027"/>
      <c r="H2248" s="2025" t="s">
        <v>49</v>
      </c>
      <c r="I2248" s="2026"/>
      <c r="J2248" s="2026"/>
      <c r="K2248" s="2027"/>
      <c r="L2248" s="2025" t="s">
        <v>316</v>
      </c>
      <c r="M2248" s="2026"/>
      <c r="N2248" s="2026"/>
      <c r="O2248" s="2026"/>
      <c r="P2248" s="2020"/>
      <c r="Q2248" s="142"/>
      <c r="R2248" s="142"/>
    </row>
    <row r="2249" spans="1:18" ht="15.6">
      <c r="A2249" s="38" t="s">
        <v>30</v>
      </c>
      <c r="B2249" s="2025" t="s">
        <v>141</v>
      </c>
      <c r="C2249" s="2026"/>
      <c r="D2249" s="2027"/>
      <c r="E2249" s="26">
        <v>31.2</v>
      </c>
      <c r="F2249" s="2025">
        <v>14</v>
      </c>
      <c r="G2249" s="2027"/>
      <c r="H2249" s="2025" t="s">
        <v>49</v>
      </c>
      <c r="I2249" s="2026"/>
      <c r="J2249" s="2026"/>
      <c r="K2249" s="2027"/>
      <c r="L2249" s="2025" t="s">
        <v>316</v>
      </c>
      <c r="M2249" s="2026"/>
      <c r="N2249" s="2026"/>
      <c r="O2249" s="2026"/>
      <c r="P2249" s="2020"/>
      <c r="Q2249" s="142"/>
      <c r="R2249" s="142"/>
    </row>
    <row r="2250" spans="1:18" ht="15.6">
      <c r="A2250" s="38" t="s">
        <v>46</v>
      </c>
      <c r="B2250" s="2025" t="s">
        <v>139</v>
      </c>
      <c r="C2250" s="2026"/>
      <c r="D2250" s="2027"/>
      <c r="E2250" s="26">
        <v>4</v>
      </c>
      <c r="F2250" s="2025">
        <v>14</v>
      </c>
      <c r="G2250" s="2027"/>
      <c r="H2250" s="2025" t="s">
        <v>49</v>
      </c>
      <c r="I2250" s="2026"/>
      <c r="J2250" s="2026"/>
      <c r="K2250" s="2027"/>
      <c r="L2250" s="2025" t="s">
        <v>283</v>
      </c>
      <c r="M2250" s="2026"/>
      <c r="N2250" s="2026"/>
      <c r="O2250" s="2026"/>
      <c r="P2250" s="2020"/>
      <c r="Q2250" s="142"/>
      <c r="R2250" s="142"/>
    </row>
    <row r="2251" spans="1:18" ht="15.6">
      <c r="A2251" s="38"/>
      <c r="B2251" s="2025"/>
      <c r="C2251" s="2026"/>
      <c r="D2251" s="2027"/>
      <c r="E2251" s="26"/>
      <c r="F2251" s="2025"/>
      <c r="G2251" s="2027"/>
      <c r="H2251" s="2025"/>
      <c r="I2251" s="2026"/>
      <c r="J2251" s="2026"/>
      <c r="K2251" s="2027"/>
      <c r="L2251" s="2025"/>
      <c r="M2251" s="2026"/>
      <c r="N2251" s="2026"/>
      <c r="O2251" s="2026"/>
      <c r="P2251" s="2020"/>
      <c r="Q2251" s="142"/>
      <c r="R2251" s="142"/>
    </row>
    <row r="2252" spans="1:18" ht="16.2" thickBot="1">
      <c r="A2252" s="38"/>
      <c r="B2252" s="458"/>
      <c r="C2252" s="459"/>
      <c r="D2252" s="459"/>
      <c r="E2252" s="26"/>
      <c r="F2252" s="459"/>
      <c r="G2252" s="460"/>
      <c r="H2252" s="458"/>
      <c r="I2252" s="1856"/>
      <c r="J2252" s="459"/>
      <c r="K2252" s="204"/>
      <c r="L2252" s="39"/>
      <c r="M2252" s="40"/>
      <c r="N2252" s="40"/>
      <c r="O2252" s="40"/>
      <c r="P2252" s="2020"/>
      <c r="Q2252" s="142"/>
      <c r="R2252" s="142"/>
    </row>
    <row r="2253" spans="1:18" ht="15.6">
      <c r="A2253" s="41"/>
      <c r="B2253" s="42"/>
      <c r="C2253" s="43"/>
      <c r="D2253" s="43"/>
      <c r="E2253" s="2028">
        <f>SUM(E2244:E2252)</f>
        <v>114.8892</v>
      </c>
      <c r="F2253" s="44"/>
      <c r="G2253" s="45"/>
      <c r="H2253" s="46"/>
      <c r="I2253" s="1858"/>
      <c r="J2253" s="43"/>
      <c r="K2253" s="205"/>
      <c r="L2253" s="46"/>
      <c r="M2253" s="43"/>
      <c r="N2253" s="44"/>
      <c r="O2253" s="43"/>
      <c r="P2253" s="2020"/>
      <c r="Q2253" s="142"/>
      <c r="R2253" s="142"/>
    </row>
    <row r="2254" spans="1:18" ht="16.2" thickBot="1">
      <c r="A2254" s="47"/>
      <c r="B2254" s="48"/>
      <c r="C2254" s="49"/>
      <c r="D2254" s="49"/>
      <c r="E2254" s="2029"/>
      <c r="F2254" s="50"/>
      <c r="G2254" s="51"/>
      <c r="H2254" s="52"/>
      <c r="I2254" s="1860"/>
      <c r="J2254" s="49"/>
      <c r="K2254" s="206"/>
      <c r="L2254" s="52"/>
      <c r="M2254" s="49"/>
      <c r="N2254" s="50"/>
      <c r="O2254" s="49"/>
      <c r="P2254" s="2020"/>
      <c r="Q2254" s="142"/>
      <c r="R2254" s="142"/>
    </row>
    <row r="2255" spans="1:18" ht="15.6">
      <c r="A2255" s="53" t="s">
        <v>31</v>
      </c>
      <c r="B2255" s="43"/>
      <c r="C2255" s="43"/>
      <c r="D2255" s="43"/>
      <c r="E2255" s="43"/>
      <c r="F2255" s="44"/>
      <c r="G2255" s="43"/>
      <c r="H2255" s="44"/>
      <c r="I2255" s="1858"/>
      <c r="J2255" s="43"/>
      <c r="K2255" s="207"/>
      <c r="L2255" s="44"/>
      <c r="M2255" s="43"/>
      <c r="N2255" s="44"/>
      <c r="O2255" s="43"/>
      <c r="P2255" s="2020"/>
      <c r="Q2255" s="142"/>
      <c r="R2255" s="142"/>
    </row>
    <row r="2256" spans="1:18" ht="15.6">
      <c r="A2256" s="54"/>
      <c r="B2256" s="55"/>
      <c r="C2256" s="55"/>
      <c r="D2256" s="55"/>
      <c r="E2256" s="55"/>
      <c r="F2256" s="462"/>
      <c r="G2256" s="55"/>
      <c r="H2256" s="462"/>
      <c r="I2256" s="1859"/>
      <c r="J2256" s="55"/>
      <c r="K2256" s="208"/>
      <c r="L2256" s="462"/>
      <c r="M2256" s="55"/>
      <c r="N2256" s="462"/>
      <c r="O2256" s="55"/>
      <c r="P2256" s="2020"/>
      <c r="Q2256" s="142"/>
      <c r="R2256" s="142"/>
    </row>
    <row r="2257" spans="1:18" ht="16.2" thickBot="1">
      <c r="A2257" s="2030" t="s">
        <v>32</v>
      </c>
      <c r="B2257" s="2031"/>
      <c r="C2257" s="2032" t="s">
        <v>33</v>
      </c>
      <c r="D2257" s="2033"/>
      <c r="E2257" s="57" t="s">
        <v>34</v>
      </c>
      <c r="F2257" s="57" t="s">
        <v>35</v>
      </c>
      <c r="G2257" s="2034" t="s">
        <v>36</v>
      </c>
      <c r="H2257" s="2035"/>
      <c r="I2257" s="2035"/>
      <c r="J2257" s="2035"/>
      <c r="K2257" s="2035"/>
      <c r="L2257" s="2035"/>
      <c r="M2257" s="2035"/>
      <c r="N2257" s="2035"/>
      <c r="O2257" s="2035"/>
      <c r="P2257" s="2020"/>
      <c r="Q2257" s="142"/>
      <c r="R2257" s="142"/>
    </row>
    <row r="2258" spans="1:18" ht="15.6">
      <c r="A2258" s="2036"/>
      <c r="B2258" s="2023"/>
      <c r="C2258" s="2021"/>
      <c r="D2258" s="2023"/>
      <c r="E2258" s="463"/>
      <c r="F2258" s="461"/>
      <c r="G2258" s="2037"/>
      <c r="H2258" s="2038"/>
      <c r="I2258" s="2038"/>
      <c r="J2258" s="2038"/>
      <c r="K2258" s="2038"/>
      <c r="L2258" s="2038"/>
      <c r="M2258" s="2038"/>
      <c r="N2258" s="2038"/>
      <c r="O2258" s="2038"/>
      <c r="P2258" s="2020"/>
      <c r="Q2258" s="142"/>
      <c r="R2258" s="142"/>
    </row>
    <row r="2259" spans="1:18" ht="15.6">
      <c r="A2259" s="2043" t="s">
        <v>37</v>
      </c>
      <c r="B2259" s="2044"/>
      <c r="C2259" s="2021"/>
      <c r="D2259" s="2023"/>
      <c r="E2259" s="463"/>
      <c r="F2259" s="461"/>
      <c r="G2259" s="2039"/>
      <c r="H2259" s="2040"/>
      <c r="I2259" s="2040"/>
      <c r="J2259" s="2040"/>
      <c r="K2259" s="2040"/>
      <c r="L2259" s="2040"/>
      <c r="M2259" s="2040"/>
      <c r="N2259" s="2040"/>
      <c r="O2259" s="2040"/>
      <c r="P2259" s="2020"/>
      <c r="Q2259" s="142"/>
      <c r="R2259" s="142"/>
    </row>
    <row r="2260" spans="1:18" ht="15.6">
      <c r="A2260" s="2043" t="s">
        <v>38</v>
      </c>
      <c r="B2260" s="2044"/>
      <c r="C2260" s="2021"/>
      <c r="D2260" s="2023"/>
      <c r="E2260" s="463"/>
      <c r="F2260" s="461"/>
      <c r="G2260" s="2039"/>
      <c r="H2260" s="2040"/>
      <c r="I2260" s="2040"/>
      <c r="J2260" s="2040"/>
      <c r="K2260" s="2040"/>
      <c r="L2260" s="2040"/>
      <c r="M2260" s="2040"/>
      <c r="N2260" s="2040"/>
      <c r="O2260" s="2040"/>
      <c r="P2260" s="2020"/>
      <c r="Q2260" s="142"/>
      <c r="R2260" s="142"/>
    </row>
    <row r="2261" spans="1:18" ht="15.6">
      <c r="A2261" s="2043" t="s">
        <v>39</v>
      </c>
      <c r="B2261" s="2044"/>
      <c r="C2261" s="2021"/>
      <c r="D2261" s="2023"/>
      <c r="E2261" s="463"/>
      <c r="F2261" s="461"/>
      <c r="G2261" s="2039"/>
      <c r="H2261" s="2040"/>
      <c r="I2261" s="2040"/>
      <c r="J2261" s="2040"/>
      <c r="K2261" s="2040"/>
      <c r="L2261" s="2040"/>
      <c r="M2261" s="2040"/>
      <c r="N2261" s="2040"/>
      <c r="O2261" s="2040"/>
      <c r="P2261" s="2020"/>
      <c r="Q2261" s="142"/>
      <c r="R2261" s="142"/>
    </row>
    <row r="2262" spans="1:18" ht="15.6">
      <c r="A2262" s="2043" t="s">
        <v>40</v>
      </c>
      <c r="B2262" s="2044"/>
      <c r="C2262" s="2021"/>
      <c r="D2262" s="2023"/>
      <c r="E2262" s="463"/>
      <c r="F2262" s="461"/>
      <c r="G2262" s="2039"/>
      <c r="H2262" s="2040"/>
      <c r="I2262" s="2040"/>
      <c r="J2262" s="2040"/>
      <c r="K2262" s="2040"/>
      <c r="L2262" s="2040"/>
      <c r="M2262" s="2040"/>
      <c r="N2262" s="2040"/>
      <c r="O2262" s="2040"/>
      <c r="P2262" s="2020"/>
      <c r="Q2262" s="142"/>
      <c r="R2262" s="142"/>
    </row>
    <row r="2263" spans="1:18" ht="16.2" thickBot="1">
      <c r="A2263" s="2049" t="s">
        <v>41</v>
      </c>
      <c r="B2263" s="2050"/>
      <c r="C2263" s="2051"/>
      <c r="D2263" s="2052"/>
      <c r="E2263" s="58"/>
      <c r="F2263" s="464"/>
      <c r="G2263" s="2041"/>
      <c r="H2263" s="2042"/>
      <c r="I2263" s="2042"/>
      <c r="J2263" s="2042"/>
      <c r="K2263" s="2042"/>
      <c r="L2263" s="2042"/>
      <c r="M2263" s="2042"/>
      <c r="N2263" s="2042"/>
      <c r="O2263" s="2042"/>
      <c r="P2263" s="2020"/>
      <c r="Q2263" s="142"/>
      <c r="R2263" s="142"/>
    </row>
    <row r="2264" spans="1:18" ht="15.6">
      <c r="A2264" s="54"/>
      <c r="B2264" s="55"/>
      <c r="C2264" s="55"/>
      <c r="D2264" s="55"/>
      <c r="E2264" s="55"/>
      <c r="F2264" s="462"/>
      <c r="G2264" s="55"/>
      <c r="H2264" s="59"/>
      <c r="I2264" s="60"/>
      <c r="J2264" s="61"/>
      <c r="K2264" s="209"/>
      <c r="L2264" s="301"/>
      <c r="M2264" s="55"/>
      <c r="N2264" s="462"/>
      <c r="O2264" s="55"/>
      <c r="P2264" s="2020"/>
      <c r="Q2264" s="142"/>
      <c r="R2264" s="142"/>
    </row>
    <row r="2265" spans="1:18" ht="15.6">
      <c r="A2265" s="62" t="s">
        <v>42</v>
      </c>
      <c r="B2265" s="56"/>
      <c r="C2265" s="55"/>
      <c r="D2265" s="55"/>
      <c r="E2265" s="55"/>
      <c r="F2265" s="462"/>
      <c r="G2265" s="56"/>
      <c r="H2265" s="59"/>
      <c r="I2265" s="60"/>
      <c r="J2265" s="61"/>
      <c r="K2265" s="208"/>
      <c r="L2265" s="302"/>
      <c r="M2265" s="55"/>
      <c r="N2265" s="2045" t="s">
        <v>43</v>
      </c>
      <c r="O2265" s="2045"/>
      <c r="P2265" s="2020"/>
      <c r="Q2265" s="142"/>
      <c r="R2265" s="142"/>
    </row>
    <row r="2266" spans="1:18" ht="15.6">
      <c r="A2266" s="62"/>
      <c r="B2266" s="56"/>
      <c r="C2266" s="55"/>
      <c r="D2266" s="55"/>
      <c r="E2266" s="55"/>
      <c r="F2266" s="462"/>
      <c r="G2266" s="55"/>
      <c r="H2266" s="462"/>
      <c r="I2266" s="1859"/>
      <c r="J2266" s="55"/>
      <c r="K2266" s="208"/>
      <c r="L2266" s="462"/>
      <c r="M2266" s="55"/>
      <c r="N2266" s="462"/>
      <c r="O2266" s="56"/>
      <c r="P2266" s="2020"/>
      <c r="Q2266" s="142"/>
      <c r="R2266" s="142"/>
    </row>
    <row r="2267" spans="1:18" ht="15.6">
      <c r="A2267" s="62" t="s">
        <v>44</v>
      </c>
      <c r="B2267" s="56"/>
      <c r="C2267" s="55"/>
      <c r="D2267" s="55"/>
      <c r="E2267" s="55"/>
      <c r="F2267" s="462"/>
      <c r="G2267" s="55"/>
      <c r="H2267" s="462"/>
      <c r="I2267" s="1859"/>
      <c r="J2267" s="55"/>
      <c r="K2267" s="208"/>
      <c r="L2267" s="462"/>
      <c r="M2267" s="55"/>
      <c r="N2267" s="2045" t="s">
        <v>45</v>
      </c>
      <c r="O2267" s="2045"/>
      <c r="P2267" s="2020"/>
      <c r="Q2267" s="142"/>
      <c r="R2267" s="142"/>
    </row>
    <row r="2268" spans="1:18" ht="16.2" thickBot="1">
      <c r="A2268" s="48"/>
      <c r="B2268" s="49"/>
      <c r="C2268" s="49"/>
      <c r="D2268" s="49"/>
      <c r="E2268" s="49"/>
      <c r="F2268" s="50"/>
      <c r="G2268" s="49"/>
      <c r="H2268" s="50"/>
      <c r="I2268" s="1860"/>
      <c r="J2268" s="49"/>
      <c r="K2268" s="210"/>
      <c r="L2268" s="50"/>
      <c r="M2268" s="49"/>
      <c r="N2268" s="50"/>
      <c r="O2268" s="49"/>
      <c r="P2268" s="2020"/>
      <c r="Q2268" s="142"/>
      <c r="R2268" s="142"/>
    </row>
    <row r="2272" spans="1:18">
      <c r="A2272" s="10" t="s">
        <v>48</v>
      </c>
      <c r="B2272" s="10"/>
      <c r="C2272" s="11"/>
      <c r="D2272" s="11"/>
      <c r="E2272" s="11"/>
      <c r="F2272" s="92"/>
      <c r="G2272" s="11"/>
      <c r="H2272" s="92"/>
      <c r="I2272" s="13"/>
      <c r="J2272" s="11"/>
      <c r="K2272" s="202"/>
      <c r="L2272" s="2047" t="s">
        <v>0</v>
      </c>
      <c r="M2272" s="2047"/>
      <c r="N2272" s="2047"/>
      <c r="O2272" s="2048"/>
      <c r="P2272" s="2020"/>
      <c r="Q2272" s="142"/>
      <c r="R2272" s="142"/>
    </row>
    <row r="2273" spans="1:18">
      <c r="A2273" s="14" t="s">
        <v>1</v>
      </c>
      <c r="B2273" s="14"/>
      <c r="C2273" s="14"/>
      <c r="D2273" s="15" t="s">
        <v>2</v>
      </c>
      <c r="E2273" s="15"/>
      <c r="F2273" s="16"/>
      <c r="G2273" s="16"/>
      <c r="H2273" s="16"/>
      <c r="I2273" s="17"/>
      <c r="J2273" s="16"/>
      <c r="K2273" s="203" t="s">
        <v>3</v>
      </c>
      <c r="L2273" s="16"/>
      <c r="M2273" s="14"/>
      <c r="N2273" s="16"/>
      <c r="O2273" s="19"/>
      <c r="P2273" s="2020"/>
      <c r="Q2273" s="142"/>
      <c r="R2273" s="142"/>
    </row>
    <row r="2274" spans="1:18" ht="15.6">
      <c r="A2274" s="510" t="s">
        <v>22</v>
      </c>
      <c r="B2274" s="2021" t="s">
        <v>23</v>
      </c>
      <c r="C2274" s="2022"/>
      <c r="D2274" s="2023"/>
      <c r="E2274" s="510" t="s">
        <v>24</v>
      </c>
      <c r="F2274" s="2021" t="s">
        <v>25</v>
      </c>
      <c r="G2274" s="2023"/>
      <c r="H2274" s="2021" t="s">
        <v>26</v>
      </c>
      <c r="I2274" s="2022"/>
      <c r="J2274" s="2022"/>
      <c r="K2274" s="2023"/>
      <c r="L2274" s="2024" t="s">
        <v>27</v>
      </c>
      <c r="M2274" s="2024"/>
      <c r="N2274" s="2024"/>
      <c r="O2274" s="2021"/>
      <c r="P2274" s="2020"/>
      <c r="Q2274" s="142"/>
      <c r="R2274" s="142"/>
    </row>
    <row r="2275" spans="1:18" ht="15.6">
      <c r="A2275" s="38"/>
      <c r="B2275" s="2025"/>
      <c r="C2275" s="2026"/>
      <c r="D2275" s="2027"/>
      <c r="E2275" s="26"/>
      <c r="F2275" s="2025"/>
      <c r="G2275" s="2027"/>
      <c r="H2275" s="2025"/>
      <c r="I2275" s="2026"/>
      <c r="J2275" s="2026"/>
      <c r="K2275" s="2027"/>
      <c r="L2275" s="2025"/>
      <c r="M2275" s="2026"/>
      <c r="N2275" s="2026"/>
      <c r="O2275" s="2026"/>
      <c r="P2275" s="2020"/>
      <c r="Q2275" s="142"/>
      <c r="R2275" s="142"/>
    </row>
    <row r="2276" spans="1:18" ht="15.6">
      <c r="A2276" s="38"/>
      <c r="B2276" s="504"/>
      <c r="C2276" s="505"/>
      <c r="D2276" s="506"/>
      <c r="E2276" s="26"/>
      <c r="F2276" s="504"/>
      <c r="G2276" s="506"/>
      <c r="H2276" s="504"/>
      <c r="I2276" s="1856"/>
      <c r="J2276" s="505"/>
      <c r="K2276" s="204"/>
      <c r="L2276" s="504"/>
      <c r="M2276" s="505"/>
      <c r="N2276" s="505"/>
      <c r="O2276" s="505"/>
      <c r="P2276" s="2020"/>
      <c r="Q2276" s="142"/>
      <c r="R2276" s="142"/>
    </row>
    <row r="2277" spans="1:18" s="497" customFormat="1" ht="15.6">
      <c r="A2277" s="514" t="s">
        <v>28</v>
      </c>
      <c r="B2277" s="2026" t="s">
        <v>268</v>
      </c>
      <c r="C2277" s="2026"/>
      <c r="D2277" s="2026"/>
      <c r="E2277" s="369">
        <v>58.823999999999998</v>
      </c>
      <c r="F2277" s="2026">
        <v>7</v>
      </c>
      <c r="G2277" s="2026"/>
      <c r="H2277" s="2054" t="s">
        <v>269</v>
      </c>
      <c r="I2277" s="2054"/>
      <c r="J2277" s="2054"/>
      <c r="K2277" s="2054"/>
      <c r="L2277" s="2026" t="s">
        <v>64</v>
      </c>
      <c r="M2277" s="2026"/>
      <c r="N2277" s="2026"/>
      <c r="O2277" s="2026"/>
      <c r="P2277" s="2020"/>
      <c r="Q2277" s="142"/>
      <c r="R2277" s="142"/>
    </row>
    <row r="2278" spans="1:18" s="497" customFormat="1" ht="15.6">
      <c r="A2278" s="514" t="s">
        <v>29</v>
      </c>
      <c r="B2278" s="2026" t="s">
        <v>72</v>
      </c>
      <c r="C2278" s="2026"/>
      <c r="D2278" s="2026"/>
      <c r="E2278" s="369">
        <v>1</v>
      </c>
      <c r="F2278" s="2026">
        <v>7</v>
      </c>
      <c r="G2278" s="2026"/>
      <c r="H2278" s="2054" t="s">
        <v>269</v>
      </c>
      <c r="I2278" s="2054"/>
      <c r="J2278" s="2054"/>
      <c r="K2278" s="2054"/>
      <c r="L2278" s="2026" t="s">
        <v>64</v>
      </c>
      <c r="M2278" s="2026"/>
      <c r="N2278" s="2026"/>
      <c r="O2278" s="2026"/>
      <c r="P2278" s="2020"/>
      <c r="Q2278" s="142"/>
      <c r="R2278" s="142"/>
    </row>
    <row r="2279" spans="1:18" s="497" customFormat="1" ht="15.6">
      <c r="A2279" s="514"/>
      <c r="B2279" s="513"/>
      <c r="C2279" s="513"/>
      <c r="D2279" s="513"/>
      <c r="E2279" s="369"/>
      <c r="F2279" s="513"/>
      <c r="G2279" s="513"/>
      <c r="H2279" s="513"/>
      <c r="I2279" s="1856"/>
      <c r="J2279" s="513"/>
      <c r="K2279" s="513"/>
      <c r="L2279" s="513"/>
      <c r="M2279" s="513"/>
      <c r="N2279" s="513"/>
      <c r="O2279" s="513"/>
      <c r="P2279" s="2020"/>
      <c r="Q2279" s="142"/>
      <c r="R2279" s="142"/>
    </row>
    <row r="2280" spans="1:18" ht="15.6">
      <c r="A2280" s="38" t="s">
        <v>30</v>
      </c>
      <c r="B2280" s="2025" t="s">
        <v>71</v>
      </c>
      <c r="C2280" s="2026"/>
      <c r="D2280" s="2027"/>
      <c r="E2280" s="26">
        <v>26.51</v>
      </c>
      <c r="F2280" s="2025">
        <v>9</v>
      </c>
      <c r="G2280" s="2027"/>
      <c r="H2280" s="2025" t="s">
        <v>49</v>
      </c>
      <c r="I2280" s="2026"/>
      <c r="J2280" s="2026"/>
      <c r="K2280" s="2027"/>
      <c r="L2280" s="2025" t="s">
        <v>283</v>
      </c>
      <c r="M2280" s="2026"/>
      <c r="N2280" s="2026"/>
      <c r="O2280" s="2026"/>
      <c r="P2280" s="2020"/>
      <c r="Q2280" s="142"/>
      <c r="R2280" s="142"/>
    </row>
    <row r="2281" spans="1:18" s="497" customFormat="1" ht="15.6">
      <c r="A2281" s="38" t="s">
        <v>46</v>
      </c>
      <c r="B2281" s="2025" t="s">
        <v>78</v>
      </c>
      <c r="C2281" s="2026"/>
      <c r="D2281" s="2027"/>
      <c r="E2281" s="26">
        <v>18.478000000000002</v>
      </c>
      <c r="F2281" s="2025">
        <v>9</v>
      </c>
      <c r="G2281" s="2027"/>
      <c r="H2281" s="2025" t="s">
        <v>49</v>
      </c>
      <c r="I2281" s="2026"/>
      <c r="J2281" s="2026"/>
      <c r="K2281" s="2027"/>
      <c r="L2281" s="2025" t="s">
        <v>283</v>
      </c>
      <c r="M2281" s="2026"/>
      <c r="N2281" s="2026"/>
      <c r="O2281" s="2026"/>
      <c r="P2281" s="2020"/>
      <c r="Q2281" s="142"/>
      <c r="R2281" s="142"/>
    </row>
    <row r="2282" spans="1:18" s="497" customFormat="1" ht="15.6">
      <c r="A2282" s="38"/>
      <c r="B2282" s="504"/>
      <c r="C2282" s="505"/>
      <c r="D2282" s="506"/>
      <c r="E2282" s="26"/>
      <c r="F2282" s="504"/>
      <c r="G2282" s="506"/>
      <c r="H2282" s="504"/>
      <c r="I2282" s="1856"/>
      <c r="J2282" s="505"/>
      <c r="K2282" s="506"/>
      <c r="L2282" s="504"/>
      <c r="M2282" s="505"/>
      <c r="N2282" s="505"/>
      <c r="O2282" s="505"/>
      <c r="P2282" s="2020"/>
      <c r="Q2282" s="142"/>
      <c r="R2282" s="142"/>
    </row>
    <row r="2283" spans="1:18" s="497" customFormat="1" ht="15.6">
      <c r="A2283" s="514" t="s">
        <v>58</v>
      </c>
      <c r="B2283" s="2026" t="s">
        <v>342</v>
      </c>
      <c r="C2283" s="2026"/>
      <c r="D2283" s="2026"/>
      <c r="E2283" s="369">
        <v>7.9530000000000003</v>
      </c>
      <c r="F2283" s="2026">
        <v>9</v>
      </c>
      <c r="G2283" s="2026"/>
      <c r="H2283" s="2025" t="s">
        <v>155</v>
      </c>
      <c r="I2283" s="2026"/>
      <c r="J2283" s="2026"/>
      <c r="K2283" s="2027"/>
      <c r="L2283" s="2026" t="s">
        <v>343</v>
      </c>
      <c r="M2283" s="2026"/>
      <c r="N2283" s="2026"/>
      <c r="O2283" s="2026"/>
      <c r="P2283" s="2053"/>
      <c r="Q2283" s="142"/>
      <c r="R2283" s="142"/>
    </row>
    <row r="2284" spans="1:18" s="497" customFormat="1" ht="15.6">
      <c r="A2284" s="514" t="s">
        <v>163</v>
      </c>
      <c r="B2284" s="2026" t="s">
        <v>72</v>
      </c>
      <c r="C2284" s="2026"/>
      <c r="D2284" s="2026"/>
      <c r="E2284" s="369">
        <v>3.5659999999999998</v>
      </c>
      <c r="F2284" s="2026">
        <v>9</v>
      </c>
      <c r="G2284" s="2026"/>
      <c r="H2284" s="2025" t="s">
        <v>155</v>
      </c>
      <c r="I2284" s="2026"/>
      <c r="J2284" s="2026"/>
      <c r="K2284" s="2027"/>
      <c r="L2284" s="2026" t="s">
        <v>343</v>
      </c>
      <c r="M2284" s="2026"/>
      <c r="N2284" s="2026"/>
      <c r="O2284" s="2026"/>
      <c r="P2284" s="2053"/>
      <c r="Q2284" s="142"/>
      <c r="R2284" s="142"/>
    </row>
    <row r="2285" spans="1:18" s="497" customFormat="1" ht="15.6">
      <c r="A2285" s="511"/>
      <c r="B2285" s="505"/>
      <c r="C2285" s="505"/>
      <c r="D2285" s="505"/>
      <c r="E2285" s="369"/>
      <c r="F2285" s="505"/>
      <c r="G2285" s="505"/>
      <c r="H2285" s="505"/>
      <c r="I2285" s="1856"/>
      <c r="J2285" s="505"/>
      <c r="K2285" s="505"/>
      <c r="L2285" s="505"/>
      <c r="M2285" s="505"/>
      <c r="N2285" s="505"/>
      <c r="O2285" s="505"/>
      <c r="P2285" s="2053"/>
      <c r="Q2285" s="142"/>
      <c r="R2285" s="142"/>
    </row>
    <row r="2286" spans="1:18" ht="16.2" thickBot="1">
      <c r="A2286" s="38"/>
      <c r="B2286" s="504"/>
      <c r="C2286" s="505"/>
      <c r="D2286" s="505"/>
      <c r="E2286" s="26"/>
      <c r="F2286" s="505"/>
      <c r="G2286" s="506"/>
      <c r="H2286" s="504"/>
      <c r="I2286" s="1856"/>
      <c r="J2286" s="505"/>
      <c r="K2286" s="204"/>
      <c r="L2286" s="39"/>
      <c r="M2286" s="40"/>
      <c r="N2286" s="40"/>
      <c r="O2286" s="40"/>
      <c r="P2286" s="2020"/>
      <c r="Q2286" s="142"/>
      <c r="R2286" s="142"/>
    </row>
    <row r="2287" spans="1:18" ht="15.6">
      <c r="A2287" s="41"/>
      <c r="B2287" s="42"/>
      <c r="C2287" s="43"/>
      <c r="D2287" s="43"/>
      <c r="E2287" s="2028">
        <f>SUM(E2275:E2286)</f>
        <v>116.33100000000002</v>
      </c>
      <c r="F2287" s="44"/>
      <c r="G2287" s="45"/>
      <c r="H2287" s="46"/>
      <c r="I2287" s="1858"/>
      <c r="J2287" s="43"/>
      <c r="K2287" s="205"/>
      <c r="L2287" s="46"/>
      <c r="M2287" s="43"/>
      <c r="N2287" s="44"/>
      <c r="O2287" s="43"/>
      <c r="P2287" s="2020"/>
      <c r="Q2287" s="142"/>
      <c r="R2287" s="142"/>
    </row>
    <row r="2288" spans="1:18" ht="16.2" thickBot="1">
      <c r="A2288" s="47"/>
      <c r="B2288" s="48"/>
      <c r="C2288" s="49"/>
      <c r="D2288" s="49"/>
      <c r="E2288" s="2029"/>
      <c r="F2288" s="50"/>
      <c r="G2288" s="51"/>
      <c r="H2288" s="52"/>
      <c r="I2288" s="1860"/>
      <c r="J2288" s="49"/>
      <c r="K2288" s="206"/>
      <c r="L2288" s="52"/>
      <c r="M2288" s="49"/>
      <c r="N2288" s="50"/>
      <c r="O2288" s="49"/>
      <c r="P2288" s="2020"/>
      <c r="Q2288" s="142"/>
      <c r="R2288" s="142"/>
    </row>
    <row r="2289" spans="1:18" ht="15.6">
      <c r="A2289" s="53" t="s">
        <v>31</v>
      </c>
      <c r="B2289" s="43"/>
      <c r="C2289" s="43"/>
      <c r="D2289" s="43"/>
      <c r="E2289" s="43"/>
      <c r="F2289" s="44"/>
      <c r="G2289" s="43"/>
      <c r="H2289" s="44"/>
      <c r="I2289" s="1858"/>
      <c r="J2289" s="43"/>
      <c r="K2289" s="207"/>
      <c r="L2289" s="44"/>
      <c r="M2289" s="43"/>
      <c r="N2289" s="44"/>
      <c r="O2289" s="43"/>
      <c r="P2289" s="2020"/>
      <c r="Q2289" s="142"/>
      <c r="R2289" s="142"/>
    </row>
    <row r="2290" spans="1:18" ht="15.6">
      <c r="A2290" s="54"/>
      <c r="B2290" s="55"/>
      <c r="C2290" s="55"/>
      <c r="D2290" s="55"/>
      <c r="E2290" s="55"/>
      <c r="F2290" s="509"/>
      <c r="G2290" s="55"/>
      <c r="H2290" s="509"/>
      <c r="I2290" s="1859"/>
      <c r="J2290" s="55"/>
      <c r="K2290" s="208"/>
      <c r="L2290" s="509"/>
      <c r="M2290" s="55"/>
      <c r="N2290" s="509"/>
      <c r="O2290" s="55"/>
      <c r="P2290" s="2020"/>
      <c r="Q2290" s="142"/>
      <c r="R2290" s="142"/>
    </row>
    <row r="2291" spans="1:18" ht="16.2" thickBot="1">
      <c r="A2291" s="2030" t="s">
        <v>32</v>
      </c>
      <c r="B2291" s="2031"/>
      <c r="C2291" s="2032" t="s">
        <v>33</v>
      </c>
      <c r="D2291" s="2033"/>
      <c r="E2291" s="57" t="s">
        <v>34</v>
      </c>
      <c r="F2291" s="57" t="s">
        <v>35</v>
      </c>
      <c r="G2291" s="2034" t="s">
        <v>36</v>
      </c>
      <c r="H2291" s="2035"/>
      <c r="I2291" s="2035"/>
      <c r="J2291" s="2035"/>
      <c r="K2291" s="2035"/>
      <c r="L2291" s="2035"/>
      <c r="M2291" s="2035"/>
      <c r="N2291" s="2035"/>
      <c r="O2291" s="2035"/>
      <c r="P2291" s="2020"/>
      <c r="Q2291" s="142"/>
      <c r="R2291" s="142"/>
    </row>
    <row r="2292" spans="1:18" ht="15.6">
      <c r="A2292" s="2036"/>
      <c r="B2292" s="2023"/>
      <c r="C2292" s="2021"/>
      <c r="D2292" s="2023"/>
      <c r="E2292" s="510"/>
      <c r="F2292" s="507"/>
      <c r="G2292" s="2037"/>
      <c r="H2292" s="2038"/>
      <c r="I2292" s="2038"/>
      <c r="J2292" s="2038"/>
      <c r="K2292" s="2038"/>
      <c r="L2292" s="2038"/>
      <c r="M2292" s="2038"/>
      <c r="N2292" s="2038"/>
      <c r="O2292" s="2038"/>
      <c r="P2292" s="2020"/>
      <c r="Q2292" s="142"/>
      <c r="R2292" s="142"/>
    </row>
    <row r="2293" spans="1:18" ht="15.6">
      <c r="A2293" s="2043" t="s">
        <v>37</v>
      </c>
      <c r="B2293" s="2044"/>
      <c r="C2293" s="2021"/>
      <c r="D2293" s="2023"/>
      <c r="E2293" s="510"/>
      <c r="F2293" s="507"/>
      <c r="G2293" s="2039"/>
      <c r="H2293" s="2040"/>
      <c r="I2293" s="2040"/>
      <c r="J2293" s="2040"/>
      <c r="K2293" s="2040"/>
      <c r="L2293" s="2040"/>
      <c r="M2293" s="2040"/>
      <c r="N2293" s="2040"/>
      <c r="O2293" s="2040"/>
      <c r="P2293" s="2020"/>
      <c r="Q2293" s="142"/>
      <c r="R2293" s="142"/>
    </row>
    <row r="2294" spans="1:18" ht="15.6">
      <c r="A2294" s="2043" t="s">
        <v>38</v>
      </c>
      <c r="B2294" s="2044"/>
      <c r="C2294" s="2021"/>
      <c r="D2294" s="2023"/>
      <c r="E2294" s="510"/>
      <c r="F2294" s="507"/>
      <c r="G2294" s="2039"/>
      <c r="H2294" s="2040"/>
      <c r="I2294" s="2040"/>
      <c r="J2294" s="2040"/>
      <c r="K2294" s="2040"/>
      <c r="L2294" s="2040"/>
      <c r="M2294" s="2040"/>
      <c r="N2294" s="2040"/>
      <c r="O2294" s="2040"/>
      <c r="P2294" s="2020"/>
      <c r="Q2294" s="142"/>
      <c r="R2294" s="142"/>
    </row>
    <row r="2295" spans="1:18" ht="15.6">
      <c r="A2295" s="2043" t="s">
        <v>39</v>
      </c>
      <c r="B2295" s="2044"/>
      <c r="C2295" s="2021"/>
      <c r="D2295" s="2023"/>
      <c r="E2295" s="510"/>
      <c r="F2295" s="507"/>
      <c r="G2295" s="2039"/>
      <c r="H2295" s="2040"/>
      <c r="I2295" s="2040"/>
      <c r="J2295" s="2040"/>
      <c r="K2295" s="2040"/>
      <c r="L2295" s="2040"/>
      <c r="M2295" s="2040"/>
      <c r="N2295" s="2040"/>
      <c r="O2295" s="2040"/>
      <c r="P2295" s="2020"/>
      <c r="Q2295" s="142"/>
      <c r="R2295" s="142"/>
    </row>
    <row r="2296" spans="1:18" ht="15.6">
      <c r="A2296" s="2043" t="s">
        <v>40</v>
      </c>
      <c r="B2296" s="2044"/>
      <c r="C2296" s="2021"/>
      <c r="D2296" s="2023"/>
      <c r="E2296" s="510"/>
      <c r="F2296" s="507"/>
      <c r="G2296" s="2039"/>
      <c r="H2296" s="2040"/>
      <c r="I2296" s="2040"/>
      <c r="J2296" s="2040"/>
      <c r="K2296" s="2040"/>
      <c r="L2296" s="2040"/>
      <c r="M2296" s="2040"/>
      <c r="N2296" s="2040"/>
      <c r="O2296" s="2040"/>
      <c r="P2296" s="2020"/>
      <c r="Q2296" s="142"/>
      <c r="R2296" s="142"/>
    </row>
    <row r="2297" spans="1:18" ht="16.2" thickBot="1">
      <c r="A2297" s="2049" t="s">
        <v>41</v>
      </c>
      <c r="B2297" s="2050"/>
      <c r="C2297" s="2051"/>
      <c r="D2297" s="2052"/>
      <c r="E2297" s="58"/>
      <c r="F2297" s="508"/>
      <c r="G2297" s="2041"/>
      <c r="H2297" s="2042"/>
      <c r="I2297" s="2042"/>
      <c r="J2297" s="2042"/>
      <c r="K2297" s="2042"/>
      <c r="L2297" s="2042"/>
      <c r="M2297" s="2042"/>
      <c r="N2297" s="2042"/>
      <c r="O2297" s="2042"/>
      <c r="P2297" s="2020"/>
      <c r="Q2297" s="142"/>
      <c r="R2297" s="142"/>
    </row>
    <row r="2298" spans="1:18" ht="15.6">
      <c r="A2298" s="54"/>
      <c r="B2298" s="55"/>
      <c r="C2298" s="55"/>
      <c r="D2298" s="55"/>
      <c r="E2298" s="55"/>
      <c r="F2298" s="509"/>
      <c r="G2298" s="55"/>
      <c r="H2298" s="59"/>
      <c r="I2298" s="60"/>
      <c r="J2298" s="61"/>
      <c r="K2298" s="209"/>
      <c r="L2298" s="301"/>
      <c r="M2298" s="55"/>
      <c r="N2298" s="509"/>
      <c r="O2298" s="55"/>
      <c r="P2298" s="2020"/>
      <c r="Q2298" s="142"/>
      <c r="R2298" s="142"/>
    </row>
    <row r="2299" spans="1:18" ht="15.6">
      <c r="A2299" s="62" t="s">
        <v>42</v>
      </c>
      <c r="B2299" s="56"/>
      <c r="C2299" s="55"/>
      <c r="D2299" s="55"/>
      <c r="E2299" s="55"/>
      <c r="F2299" s="509"/>
      <c r="G2299" s="56"/>
      <c r="H2299" s="59"/>
      <c r="I2299" s="60"/>
      <c r="J2299" s="61"/>
      <c r="K2299" s="208"/>
      <c r="L2299" s="302"/>
      <c r="M2299" s="55"/>
      <c r="N2299" s="2045" t="s">
        <v>43</v>
      </c>
      <c r="O2299" s="2045"/>
      <c r="P2299" s="2020"/>
      <c r="Q2299" s="142"/>
      <c r="R2299" s="142"/>
    </row>
    <row r="2300" spans="1:18" ht="15.6">
      <c r="A2300" s="62"/>
      <c r="B2300" s="56"/>
      <c r="C2300" s="55"/>
      <c r="D2300" s="55"/>
      <c r="E2300" s="55"/>
      <c r="F2300" s="509"/>
      <c r="G2300" s="55"/>
      <c r="H2300" s="509"/>
      <c r="I2300" s="1859"/>
      <c r="J2300" s="55"/>
      <c r="K2300" s="208"/>
      <c r="L2300" s="509"/>
      <c r="M2300" s="55"/>
      <c r="N2300" s="509"/>
      <c r="O2300" s="56"/>
      <c r="P2300" s="2020"/>
      <c r="Q2300" s="142"/>
      <c r="R2300" s="142"/>
    </row>
    <row r="2301" spans="1:18" ht="15.6">
      <c r="A2301" s="62" t="s">
        <v>44</v>
      </c>
      <c r="B2301" s="56"/>
      <c r="C2301" s="55"/>
      <c r="D2301" s="55"/>
      <c r="E2301" s="55"/>
      <c r="F2301" s="509"/>
      <c r="G2301" s="55"/>
      <c r="H2301" s="509"/>
      <c r="I2301" s="1859"/>
      <c r="J2301" s="55"/>
      <c r="K2301" s="208"/>
      <c r="L2301" s="509"/>
      <c r="M2301" s="55"/>
      <c r="N2301" s="2045" t="s">
        <v>45</v>
      </c>
      <c r="O2301" s="2045"/>
      <c r="P2301" s="2020"/>
      <c r="Q2301" s="142"/>
      <c r="R2301" s="142"/>
    </row>
    <row r="2302" spans="1:18" ht="16.2" thickBot="1">
      <c r="A2302" s="48"/>
      <c r="B2302" s="49"/>
      <c r="C2302" s="49"/>
      <c r="D2302" s="49"/>
      <c r="E2302" s="49"/>
      <c r="F2302" s="50"/>
      <c r="G2302" s="49"/>
      <c r="H2302" s="50"/>
      <c r="I2302" s="1860"/>
      <c r="J2302" s="49"/>
      <c r="K2302" s="210"/>
      <c r="L2302" s="50"/>
      <c r="M2302" s="49"/>
      <c r="N2302" s="50"/>
      <c r="O2302" s="49"/>
      <c r="P2302" s="2020"/>
      <c r="Q2302" s="142"/>
      <c r="R2302" s="142"/>
    </row>
    <row r="2305" spans="1:18">
      <c r="A2305" s="10" t="s">
        <v>48</v>
      </c>
      <c r="B2305" s="10"/>
      <c r="C2305" s="11"/>
      <c r="D2305" s="11"/>
      <c r="E2305" s="11"/>
      <c r="F2305" s="92"/>
      <c r="G2305" s="11"/>
      <c r="H2305" s="92"/>
      <c r="I2305" s="13"/>
      <c r="J2305" s="11"/>
      <c r="K2305" s="202"/>
      <c r="L2305" s="2047" t="s">
        <v>0</v>
      </c>
      <c r="M2305" s="2047"/>
      <c r="N2305" s="2047"/>
      <c r="O2305" s="2048"/>
      <c r="P2305" s="2020"/>
      <c r="Q2305" s="142"/>
      <c r="R2305" s="142"/>
    </row>
    <row r="2306" spans="1:18">
      <c r="A2306" s="14" t="s">
        <v>1</v>
      </c>
      <c r="B2306" s="14"/>
      <c r="C2306" s="14"/>
      <c r="D2306" s="15" t="s">
        <v>2</v>
      </c>
      <c r="E2306" s="15"/>
      <c r="F2306" s="16"/>
      <c r="G2306" s="16"/>
      <c r="H2306" s="16"/>
      <c r="I2306" s="17"/>
      <c r="J2306" s="16"/>
      <c r="K2306" s="203" t="s">
        <v>3</v>
      </c>
      <c r="L2306" s="16"/>
      <c r="M2306" s="14"/>
      <c r="N2306" s="16"/>
      <c r="O2306" s="19"/>
      <c r="P2306" s="2020"/>
      <c r="Q2306" s="142"/>
      <c r="R2306" s="142"/>
    </row>
    <row r="2307" spans="1:18" ht="15.6">
      <c r="A2307" s="519" t="s">
        <v>22</v>
      </c>
      <c r="B2307" s="2021" t="s">
        <v>23</v>
      </c>
      <c r="C2307" s="2022"/>
      <c r="D2307" s="2023"/>
      <c r="E2307" s="519" t="s">
        <v>24</v>
      </c>
      <c r="F2307" s="2021" t="s">
        <v>25</v>
      </c>
      <c r="G2307" s="2023"/>
      <c r="H2307" s="2021" t="s">
        <v>26</v>
      </c>
      <c r="I2307" s="2022"/>
      <c r="J2307" s="2022"/>
      <c r="K2307" s="2023"/>
      <c r="L2307" s="2024" t="s">
        <v>27</v>
      </c>
      <c r="M2307" s="2024"/>
      <c r="N2307" s="2024"/>
      <c r="O2307" s="2021"/>
      <c r="P2307" s="2020"/>
      <c r="Q2307" s="142"/>
      <c r="R2307" s="142"/>
    </row>
    <row r="2308" spans="1:18" ht="15.6">
      <c r="A2308" s="38"/>
      <c r="B2308" s="2025"/>
      <c r="C2308" s="2026"/>
      <c r="D2308" s="2027"/>
      <c r="E2308" s="26"/>
      <c r="F2308" s="2025"/>
      <c r="G2308" s="2027"/>
      <c r="H2308" s="2025"/>
      <c r="I2308" s="2026"/>
      <c r="J2308" s="2026"/>
      <c r="K2308" s="2027"/>
      <c r="L2308" s="2025"/>
      <c r="M2308" s="2026"/>
      <c r="N2308" s="2026"/>
      <c r="O2308" s="2026"/>
      <c r="P2308" s="2020"/>
      <c r="Q2308" s="142"/>
      <c r="R2308" s="142"/>
    </row>
    <row r="2309" spans="1:18" ht="15.6">
      <c r="A2309" s="38"/>
      <c r="B2309" s="515"/>
      <c r="C2309" s="517"/>
      <c r="D2309" s="516"/>
      <c r="E2309" s="26"/>
      <c r="F2309" s="515"/>
      <c r="G2309" s="516"/>
      <c r="H2309" s="515"/>
      <c r="I2309" s="1856"/>
      <c r="J2309" s="517"/>
      <c r="K2309" s="204"/>
      <c r="L2309" s="515"/>
      <c r="M2309" s="517"/>
      <c r="N2309" s="517"/>
      <c r="O2309" s="517"/>
      <c r="P2309" s="2020"/>
      <c r="Q2309" s="142"/>
      <c r="R2309" s="142"/>
    </row>
    <row r="2310" spans="1:18" s="497" customFormat="1" ht="15.6">
      <c r="A2310" s="38" t="s">
        <v>28</v>
      </c>
      <c r="B2310" s="2025" t="s">
        <v>55</v>
      </c>
      <c r="C2310" s="2026"/>
      <c r="D2310" s="2027"/>
      <c r="E2310" s="26">
        <f>84.193+2.404</f>
        <v>86.596999999999994</v>
      </c>
      <c r="F2310" s="2025">
        <v>11</v>
      </c>
      <c r="G2310" s="2027"/>
      <c r="H2310" s="2025" t="s">
        <v>49</v>
      </c>
      <c r="I2310" s="2026"/>
      <c r="J2310" s="2026"/>
      <c r="K2310" s="2027"/>
      <c r="L2310" s="2025" t="s">
        <v>346</v>
      </c>
      <c r="M2310" s="2026"/>
      <c r="N2310" s="2026"/>
      <c r="O2310" s="2026"/>
      <c r="P2310" s="2020"/>
      <c r="Q2310" s="142"/>
      <c r="R2310" s="142"/>
    </row>
    <row r="2311" spans="1:18" s="497" customFormat="1" ht="15.6">
      <c r="A2311" s="38" t="s">
        <v>29</v>
      </c>
      <c r="B2311" s="2025" t="s">
        <v>56</v>
      </c>
      <c r="C2311" s="2026"/>
      <c r="D2311" s="2027"/>
      <c r="E2311" s="26">
        <v>8.2889999999999997</v>
      </c>
      <c r="F2311" s="2025">
        <v>11</v>
      </c>
      <c r="G2311" s="2027"/>
      <c r="H2311" s="2025" t="s">
        <v>49</v>
      </c>
      <c r="I2311" s="2026"/>
      <c r="J2311" s="2026"/>
      <c r="K2311" s="2027"/>
      <c r="L2311" s="2025" t="s">
        <v>283</v>
      </c>
      <c r="M2311" s="2026"/>
      <c r="N2311" s="2026"/>
      <c r="O2311" s="2026"/>
      <c r="P2311" s="2020"/>
      <c r="Q2311" s="142"/>
      <c r="R2311" s="142"/>
    </row>
    <row r="2312" spans="1:18" s="497" customFormat="1" ht="15.6">
      <c r="A2312" s="38"/>
      <c r="B2312" s="515"/>
      <c r="C2312" s="517"/>
      <c r="D2312" s="516"/>
      <c r="E2312" s="26"/>
      <c r="F2312" s="515"/>
      <c r="G2312" s="516"/>
      <c r="H2312" s="515"/>
      <c r="I2312" s="1856"/>
      <c r="J2312" s="517"/>
      <c r="K2312" s="516"/>
      <c r="L2312" s="515"/>
      <c r="M2312" s="517"/>
      <c r="N2312" s="517"/>
      <c r="O2312" s="517"/>
      <c r="P2312" s="2020"/>
      <c r="Q2312" s="142"/>
      <c r="R2312" s="142"/>
    </row>
    <row r="2313" spans="1:18" ht="15.6">
      <c r="A2313" s="522" t="s">
        <v>30</v>
      </c>
      <c r="B2313" s="2026" t="s">
        <v>347</v>
      </c>
      <c r="C2313" s="2026"/>
      <c r="D2313" s="2026"/>
      <c r="E2313" s="369">
        <v>8</v>
      </c>
      <c r="F2313" s="2026">
        <v>8.5</v>
      </c>
      <c r="G2313" s="2026"/>
      <c r="H2313" s="2054" t="s">
        <v>281</v>
      </c>
      <c r="I2313" s="2054"/>
      <c r="J2313" s="2054"/>
      <c r="K2313" s="2054"/>
      <c r="L2313" s="2026" t="s">
        <v>349</v>
      </c>
      <c r="M2313" s="2026"/>
      <c r="N2313" s="2026"/>
      <c r="O2313" s="2026"/>
      <c r="P2313" s="2020"/>
      <c r="Q2313" s="142"/>
      <c r="R2313" s="142"/>
    </row>
    <row r="2314" spans="1:18" ht="15.6">
      <c r="A2314" s="522" t="s">
        <v>46</v>
      </c>
      <c r="B2314" s="2026" t="s">
        <v>348</v>
      </c>
      <c r="C2314" s="2026"/>
      <c r="D2314" s="2026"/>
      <c r="E2314" s="369">
        <v>3</v>
      </c>
      <c r="F2314" s="2026">
        <v>8.5</v>
      </c>
      <c r="G2314" s="2026"/>
      <c r="H2314" s="2054" t="s">
        <v>281</v>
      </c>
      <c r="I2314" s="2054"/>
      <c r="J2314" s="2054"/>
      <c r="K2314" s="2054"/>
      <c r="L2314" s="2026" t="s">
        <v>349</v>
      </c>
      <c r="M2314" s="2026"/>
      <c r="N2314" s="2026"/>
      <c r="O2314" s="2026"/>
      <c r="P2314" s="2020"/>
      <c r="Q2314" s="142"/>
      <c r="R2314" s="142"/>
    </row>
    <row r="2315" spans="1:18" ht="15.6">
      <c r="A2315" s="522"/>
      <c r="B2315" s="517"/>
      <c r="C2315" s="517"/>
      <c r="D2315" s="517"/>
      <c r="E2315" s="369"/>
      <c r="F2315" s="517"/>
      <c r="G2315" s="517"/>
      <c r="H2315" s="517"/>
      <c r="I2315" s="1856"/>
      <c r="J2315" s="517"/>
      <c r="K2315" s="517"/>
      <c r="L2315" s="517"/>
      <c r="M2315" s="517"/>
      <c r="N2315" s="517"/>
      <c r="O2315" s="517"/>
      <c r="P2315" s="2020"/>
      <c r="Q2315" s="142"/>
      <c r="R2315" s="142"/>
    </row>
    <row r="2316" spans="1:18" ht="16.2" thickBot="1">
      <c r="A2316" s="38"/>
      <c r="B2316" s="515"/>
      <c r="C2316" s="517"/>
      <c r="D2316" s="517"/>
      <c r="E2316" s="26"/>
      <c r="F2316" s="517"/>
      <c r="G2316" s="516"/>
      <c r="H2316" s="515"/>
      <c r="I2316" s="1856"/>
      <c r="J2316" s="517"/>
      <c r="K2316" s="204"/>
      <c r="L2316" s="39"/>
      <c r="M2316" s="40"/>
      <c r="N2316" s="40"/>
      <c r="O2316" s="40"/>
      <c r="P2316" s="2020"/>
      <c r="Q2316" s="142"/>
      <c r="R2316" s="142"/>
    </row>
    <row r="2317" spans="1:18" ht="15.6">
      <c r="A2317" s="41"/>
      <c r="B2317" s="42"/>
      <c r="C2317" s="43"/>
      <c r="D2317" s="43"/>
      <c r="E2317" s="2028">
        <f>SUM(E2308:E2316)</f>
        <v>105.886</v>
      </c>
      <c r="F2317" s="44"/>
      <c r="G2317" s="45"/>
      <c r="H2317" s="46"/>
      <c r="I2317" s="1858"/>
      <c r="J2317" s="43"/>
      <c r="K2317" s="205"/>
      <c r="L2317" s="46"/>
      <c r="M2317" s="43"/>
      <c r="N2317" s="44"/>
      <c r="O2317" s="43"/>
      <c r="P2317" s="2020"/>
      <c r="Q2317" s="142"/>
      <c r="R2317" s="142"/>
    </row>
    <row r="2318" spans="1:18" ht="16.2" thickBot="1">
      <c r="A2318" s="47"/>
      <c r="B2318" s="48"/>
      <c r="C2318" s="49"/>
      <c r="D2318" s="49"/>
      <c r="E2318" s="2029"/>
      <c r="F2318" s="50"/>
      <c r="G2318" s="51"/>
      <c r="H2318" s="52"/>
      <c r="I2318" s="1860"/>
      <c r="J2318" s="49"/>
      <c r="K2318" s="206"/>
      <c r="L2318" s="52"/>
      <c r="M2318" s="49"/>
      <c r="N2318" s="50"/>
      <c r="O2318" s="49"/>
      <c r="P2318" s="2020"/>
      <c r="Q2318" s="142"/>
      <c r="R2318" s="142"/>
    </row>
    <row r="2319" spans="1:18" ht="15.6">
      <c r="A2319" s="53" t="s">
        <v>31</v>
      </c>
      <c r="B2319" s="43"/>
      <c r="C2319" s="43"/>
      <c r="D2319" s="43"/>
      <c r="E2319" s="43"/>
      <c r="F2319" s="44"/>
      <c r="G2319" s="43"/>
      <c r="H2319" s="44"/>
      <c r="I2319" s="1858"/>
      <c r="J2319" s="43"/>
      <c r="K2319" s="207"/>
      <c r="L2319" s="44"/>
      <c r="M2319" s="43"/>
      <c r="N2319" s="44"/>
      <c r="O2319" s="43"/>
      <c r="P2319" s="2020"/>
      <c r="Q2319" s="142"/>
      <c r="R2319" s="142"/>
    </row>
    <row r="2320" spans="1:18" ht="15.6">
      <c r="A2320" s="54"/>
      <c r="B2320" s="55"/>
      <c r="C2320" s="55"/>
      <c r="D2320" s="55"/>
      <c r="E2320" s="55"/>
      <c r="F2320" s="521"/>
      <c r="G2320" s="55"/>
      <c r="H2320" s="521"/>
      <c r="I2320" s="1859"/>
      <c r="J2320" s="55"/>
      <c r="K2320" s="208"/>
      <c r="L2320" s="521"/>
      <c r="M2320" s="55"/>
      <c r="N2320" s="521"/>
      <c r="O2320" s="55"/>
      <c r="P2320" s="2020"/>
      <c r="Q2320" s="142"/>
      <c r="R2320" s="142"/>
    </row>
    <row r="2321" spans="1:18" ht="16.2" thickBot="1">
      <c r="A2321" s="2030" t="s">
        <v>32</v>
      </c>
      <c r="B2321" s="2031"/>
      <c r="C2321" s="2032" t="s">
        <v>33</v>
      </c>
      <c r="D2321" s="2033"/>
      <c r="E2321" s="57" t="s">
        <v>34</v>
      </c>
      <c r="F2321" s="57" t="s">
        <v>35</v>
      </c>
      <c r="G2321" s="2034" t="s">
        <v>36</v>
      </c>
      <c r="H2321" s="2035"/>
      <c r="I2321" s="2035"/>
      <c r="J2321" s="2035"/>
      <c r="K2321" s="2035"/>
      <c r="L2321" s="2035"/>
      <c r="M2321" s="2035"/>
      <c r="N2321" s="2035"/>
      <c r="O2321" s="2035"/>
      <c r="P2321" s="2020"/>
      <c r="Q2321" s="142"/>
      <c r="R2321" s="142"/>
    </row>
    <row r="2322" spans="1:18" ht="15.6">
      <c r="A2322" s="2036"/>
      <c r="B2322" s="2023"/>
      <c r="C2322" s="2021"/>
      <c r="D2322" s="2023"/>
      <c r="E2322" s="519"/>
      <c r="F2322" s="518"/>
      <c r="G2322" s="2037"/>
      <c r="H2322" s="2038"/>
      <c r="I2322" s="2038"/>
      <c r="J2322" s="2038"/>
      <c r="K2322" s="2038"/>
      <c r="L2322" s="2038"/>
      <c r="M2322" s="2038"/>
      <c r="N2322" s="2038"/>
      <c r="O2322" s="2038"/>
      <c r="P2322" s="2020"/>
      <c r="Q2322" s="142"/>
      <c r="R2322" s="142"/>
    </row>
    <row r="2323" spans="1:18" ht="15.6">
      <c r="A2323" s="2043" t="s">
        <v>37</v>
      </c>
      <c r="B2323" s="2044"/>
      <c r="C2323" s="2021"/>
      <c r="D2323" s="2023"/>
      <c r="E2323" s="519"/>
      <c r="F2323" s="518"/>
      <c r="G2323" s="2039"/>
      <c r="H2323" s="2040"/>
      <c r="I2323" s="2040"/>
      <c r="J2323" s="2040"/>
      <c r="K2323" s="2040"/>
      <c r="L2323" s="2040"/>
      <c r="M2323" s="2040"/>
      <c r="N2323" s="2040"/>
      <c r="O2323" s="2040"/>
      <c r="P2323" s="2020"/>
      <c r="Q2323" s="142"/>
      <c r="R2323" s="142"/>
    </row>
    <row r="2324" spans="1:18" ht="15.6">
      <c r="A2324" s="2043" t="s">
        <v>38</v>
      </c>
      <c r="B2324" s="2044"/>
      <c r="C2324" s="2021"/>
      <c r="D2324" s="2023"/>
      <c r="E2324" s="519"/>
      <c r="F2324" s="518"/>
      <c r="G2324" s="2039"/>
      <c r="H2324" s="2040"/>
      <c r="I2324" s="2040"/>
      <c r="J2324" s="2040"/>
      <c r="K2324" s="2040"/>
      <c r="L2324" s="2040"/>
      <c r="M2324" s="2040"/>
      <c r="N2324" s="2040"/>
      <c r="O2324" s="2040"/>
      <c r="P2324" s="2020"/>
      <c r="Q2324" s="142"/>
      <c r="R2324" s="142"/>
    </row>
    <row r="2325" spans="1:18" ht="15.6">
      <c r="A2325" s="2043" t="s">
        <v>39</v>
      </c>
      <c r="B2325" s="2044"/>
      <c r="C2325" s="2021"/>
      <c r="D2325" s="2023"/>
      <c r="E2325" s="519"/>
      <c r="F2325" s="518"/>
      <c r="G2325" s="2039"/>
      <c r="H2325" s="2040"/>
      <c r="I2325" s="2040"/>
      <c r="J2325" s="2040"/>
      <c r="K2325" s="2040"/>
      <c r="L2325" s="2040"/>
      <c r="M2325" s="2040"/>
      <c r="N2325" s="2040"/>
      <c r="O2325" s="2040"/>
      <c r="P2325" s="2020"/>
      <c r="Q2325" s="142"/>
      <c r="R2325" s="142"/>
    </row>
    <row r="2326" spans="1:18" ht="15.6">
      <c r="A2326" s="2043" t="s">
        <v>40</v>
      </c>
      <c r="B2326" s="2044"/>
      <c r="C2326" s="2021"/>
      <c r="D2326" s="2023"/>
      <c r="E2326" s="519"/>
      <c r="F2326" s="518"/>
      <c r="G2326" s="2039"/>
      <c r="H2326" s="2040"/>
      <c r="I2326" s="2040"/>
      <c r="J2326" s="2040"/>
      <c r="K2326" s="2040"/>
      <c r="L2326" s="2040"/>
      <c r="M2326" s="2040"/>
      <c r="N2326" s="2040"/>
      <c r="O2326" s="2040"/>
      <c r="P2326" s="2020"/>
      <c r="Q2326" s="142"/>
      <c r="R2326" s="142"/>
    </row>
    <row r="2327" spans="1:18" ht="16.2" thickBot="1">
      <c r="A2327" s="2049" t="s">
        <v>41</v>
      </c>
      <c r="B2327" s="2050"/>
      <c r="C2327" s="2051"/>
      <c r="D2327" s="2052"/>
      <c r="E2327" s="58"/>
      <c r="F2327" s="520"/>
      <c r="G2327" s="2041"/>
      <c r="H2327" s="2042"/>
      <c r="I2327" s="2042"/>
      <c r="J2327" s="2042"/>
      <c r="K2327" s="2042"/>
      <c r="L2327" s="2042"/>
      <c r="M2327" s="2042"/>
      <c r="N2327" s="2042"/>
      <c r="O2327" s="2042"/>
      <c r="P2327" s="2020"/>
      <c r="Q2327" s="142"/>
      <c r="R2327" s="142"/>
    </row>
    <row r="2328" spans="1:18" ht="15.6">
      <c r="A2328" s="54"/>
      <c r="B2328" s="55"/>
      <c r="C2328" s="55"/>
      <c r="D2328" s="55"/>
      <c r="E2328" s="55"/>
      <c r="F2328" s="521"/>
      <c r="G2328" s="55"/>
      <c r="H2328" s="59"/>
      <c r="I2328" s="60"/>
      <c r="J2328" s="61"/>
      <c r="K2328" s="209"/>
      <c r="L2328" s="301"/>
      <c r="M2328" s="55"/>
      <c r="N2328" s="521"/>
      <c r="O2328" s="55"/>
      <c r="P2328" s="2020"/>
      <c r="Q2328" s="142"/>
      <c r="R2328" s="142"/>
    </row>
    <row r="2329" spans="1:18" ht="15.6">
      <c r="A2329" s="62" t="s">
        <v>42</v>
      </c>
      <c r="B2329" s="56"/>
      <c r="C2329" s="55"/>
      <c r="D2329" s="55"/>
      <c r="E2329" s="55"/>
      <c r="F2329" s="521"/>
      <c r="G2329" s="56"/>
      <c r="H2329" s="59"/>
      <c r="I2329" s="60"/>
      <c r="J2329" s="61"/>
      <c r="K2329" s="208"/>
      <c r="L2329" s="302"/>
      <c r="M2329" s="55"/>
      <c r="N2329" s="2045" t="s">
        <v>43</v>
      </c>
      <c r="O2329" s="2045"/>
      <c r="P2329" s="2020"/>
      <c r="Q2329" s="142"/>
      <c r="R2329" s="142"/>
    </row>
    <row r="2330" spans="1:18" ht="15.6">
      <c r="A2330" s="62"/>
      <c r="B2330" s="56"/>
      <c r="C2330" s="55"/>
      <c r="D2330" s="55"/>
      <c r="E2330" s="55"/>
      <c r="F2330" s="521"/>
      <c r="G2330" s="55"/>
      <c r="H2330" s="521"/>
      <c r="I2330" s="1859"/>
      <c r="J2330" s="55"/>
      <c r="K2330" s="208"/>
      <c r="L2330" s="521"/>
      <c r="M2330" s="55"/>
      <c r="N2330" s="521"/>
      <c r="O2330" s="56"/>
      <c r="P2330" s="2020"/>
      <c r="Q2330" s="142"/>
      <c r="R2330" s="142"/>
    </row>
    <row r="2331" spans="1:18" ht="15.6">
      <c r="A2331" s="62" t="s">
        <v>44</v>
      </c>
      <c r="B2331" s="56"/>
      <c r="C2331" s="55"/>
      <c r="D2331" s="55"/>
      <c r="E2331" s="55"/>
      <c r="F2331" s="521"/>
      <c r="G2331" s="55"/>
      <c r="H2331" s="521"/>
      <c r="I2331" s="1859"/>
      <c r="J2331" s="55"/>
      <c r="K2331" s="208"/>
      <c r="L2331" s="521"/>
      <c r="M2331" s="55"/>
      <c r="N2331" s="2045" t="s">
        <v>45</v>
      </c>
      <c r="O2331" s="2045"/>
      <c r="P2331" s="2020"/>
      <c r="Q2331" s="142"/>
      <c r="R2331" s="142"/>
    </row>
    <row r="2332" spans="1:18" ht="16.2" thickBot="1">
      <c r="A2332" s="48"/>
      <c r="B2332" s="49"/>
      <c r="C2332" s="49"/>
      <c r="D2332" s="49"/>
      <c r="E2332" s="49"/>
      <c r="F2332" s="50"/>
      <c r="G2332" s="49"/>
      <c r="H2332" s="50"/>
      <c r="I2332" s="1860"/>
      <c r="J2332" s="49"/>
      <c r="K2332" s="210"/>
      <c r="L2332" s="50"/>
      <c r="M2332" s="49"/>
      <c r="N2332" s="50"/>
      <c r="O2332" s="49"/>
      <c r="P2332" s="2020"/>
      <c r="Q2332" s="142"/>
      <c r="R2332" s="142"/>
    </row>
    <row r="2339" spans="1:18">
      <c r="A2339" s="10" t="s">
        <v>48</v>
      </c>
      <c r="B2339" s="10"/>
      <c r="C2339" s="11"/>
      <c r="D2339" s="11"/>
      <c r="E2339" s="11"/>
      <c r="F2339" s="92"/>
      <c r="G2339" s="11"/>
      <c r="H2339" s="92"/>
      <c r="I2339" s="13"/>
      <c r="J2339" s="11"/>
      <c r="K2339" s="202"/>
      <c r="L2339" s="2047" t="s">
        <v>0</v>
      </c>
      <c r="M2339" s="2047"/>
      <c r="N2339" s="2047"/>
      <c r="O2339" s="2048"/>
      <c r="P2339" s="2020"/>
      <c r="Q2339" s="142"/>
      <c r="R2339" s="142"/>
    </row>
    <row r="2340" spans="1:18">
      <c r="A2340" s="14" t="s">
        <v>1</v>
      </c>
      <c r="B2340" s="14"/>
      <c r="C2340" s="14"/>
      <c r="D2340" s="15" t="s">
        <v>2</v>
      </c>
      <c r="E2340" s="15"/>
      <c r="F2340" s="16"/>
      <c r="G2340" s="16"/>
      <c r="H2340" s="16"/>
      <c r="I2340" s="17"/>
      <c r="J2340" s="16"/>
      <c r="K2340" s="203" t="s">
        <v>3</v>
      </c>
      <c r="L2340" s="16"/>
      <c r="M2340" s="14"/>
      <c r="N2340" s="16"/>
      <c r="O2340" s="19"/>
      <c r="P2340" s="2020"/>
      <c r="Q2340" s="142"/>
      <c r="R2340" s="142"/>
    </row>
    <row r="2341" spans="1:18" ht="15.6">
      <c r="A2341" s="530" t="s">
        <v>22</v>
      </c>
      <c r="B2341" s="2021" t="s">
        <v>23</v>
      </c>
      <c r="C2341" s="2022"/>
      <c r="D2341" s="2023"/>
      <c r="E2341" s="530" t="s">
        <v>24</v>
      </c>
      <c r="F2341" s="2021" t="s">
        <v>25</v>
      </c>
      <c r="G2341" s="2023"/>
      <c r="H2341" s="2021" t="s">
        <v>26</v>
      </c>
      <c r="I2341" s="2022"/>
      <c r="J2341" s="2022"/>
      <c r="K2341" s="2023"/>
      <c r="L2341" s="2024" t="s">
        <v>27</v>
      </c>
      <c r="M2341" s="2024"/>
      <c r="N2341" s="2024"/>
      <c r="O2341" s="2021"/>
      <c r="P2341" s="2020"/>
      <c r="Q2341" s="142"/>
      <c r="R2341" s="142"/>
    </row>
    <row r="2342" spans="1:18" ht="15.6">
      <c r="A2342" s="38"/>
      <c r="B2342" s="2025"/>
      <c r="C2342" s="2026"/>
      <c r="D2342" s="2027"/>
      <c r="E2342" s="26"/>
      <c r="F2342" s="2025"/>
      <c r="G2342" s="2027"/>
      <c r="H2342" s="2025"/>
      <c r="I2342" s="2026"/>
      <c r="J2342" s="2026"/>
      <c r="K2342" s="2027"/>
      <c r="L2342" s="2025"/>
      <c r="M2342" s="2026"/>
      <c r="N2342" s="2026"/>
      <c r="O2342" s="2026"/>
      <c r="P2342" s="2020"/>
      <c r="Q2342" s="142"/>
      <c r="R2342" s="142"/>
    </row>
    <row r="2343" spans="1:18" ht="15.6">
      <c r="A2343" s="38"/>
      <c r="B2343" s="525"/>
      <c r="C2343" s="523"/>
      <c r="D2343" s="526"/>
      <c r="E2343" s="26"/>
      <c r="F2343" s="525"/>
      <c r="G2343" s="526"/>
      <c r="H2343" s="525"/>
      <c r="I2343" s="1856"/>
      <c r="J2343" s="523"/>
      <c r="K2343" s="204"/>
      <c r="L2343" s="525"/>
      <c r="M2343" s="523"/>
      <c r="N2343" s="523"/>
      <c r="O2343" s="523"/>
      <c r="P2343" s="2020"/>
      <c r="Q2343" s="142"/>
      <c r="R2343" s="142"/>
    </row>
    <row r="2344" spans="1:18" s="497" customFormat="1" ht="15.6">
      <c r="A2344" s="524" t="s">
        <v>28</v>
      </c>
      <c r="B2344" s="2026" t="s">
        <v>350</v>
      </c>
      <c r="C2344" s="2026"/>
      <c r="D2344" s="2026"/>
      <c r="E2344" s="369">
        <v>12</v>
      </c>
      <c r="F2344" s="2026">
        <v>6.5</v>
      </c>
      <c r="G2344" s="2026"/>
      <c r="H2344" s="2025" t="s">
        <v>155</v>
      </c>
      <c r="I2344" s="2026"/>
      <c r="J2344" s="2026"/>
      <c r="K2344" s="2027"/>
      <c r="L2344" s="2026" t="s">
        <v>64</v>
      </c>
      <c r="M2344" s="2026"/>
      <c r="N2344" s="2026"/>
      <c r="O2344" s="2026"/>
      <c r="P2344" s="2020"/>
      <c r="Q2344" s="142"/>
      <c r="R2344" s="142"/>
    </row>
    <row r="2345" spans="1:18" s="497" customFormat="1" ht="15.6">
      <c r="A2345" s="524"/>
      <c r="B2345" s="523"/>
      <c r="C2345" s="523"/>
      <c r="D2345" s="523"/>
      <c r="E2345" s="369"/>
      <c r="F2345" s="523"/>
      <c r="G2345" s="523"/>
      <c r="H2345" s="525"/>
      <c r="I2345" s="1856"/>
      <c r="J2345" s="523"/>
      <c r="K2345" s="526"/>
      <c r="L2345" s="523"/>
      <c r="M2345" s="523"/>
      <c r="N2345" s="523"/>
      <c r="O2345" s="523"/>
      <c r="P2345" s="2020"/>
      <c r="Q2345" s="142"/>
      <c r="R2345" s="142"/>
    </row>
    <row r="2346" spans="1:18" s="497" customFormat="1" ht="15.6">
      <c r="A2346" s="524"/>
      <c r="B2346" s="523"/>
      <c r="C2346" s="523"/>
      <c r="D2346" s="523"/>
      <c r="E2346" s="369"/>
      <c r="F2346" s="523"/>
      <c r="G2346" s="523"/>
      <c r="H2346" s="525"/>
      <c r="I2346" s="1856"/>
      <c r="J2346" s="523"/>
      <c r="K2346" s="526"/>
      <c r="L2346" s="523"/>
      <c r="M2346" s="523"/>
      <c r="N2346" s="523"/>
      <c r="O2346" s="523"/>
      <c r="P2346" s="2020"/>
      <c r="Q2346" s="142"/>
      <c r="R2346" s="142"/>
    </row>
    <row r="2347" spans="1:18" s="497" customFormat="1" ht="15.6">
      <c r="A2347" s="534" t="s">
        <v>29</v>
      </c>
      <c r="B2347" s="2026" t="s">
        <v>351</v>
      </c>
      <c r="C2347" s="2026"/>
      <c r="D2347" s="2026"/>
      <c r="E2347" s="369">
        <v>13.516</v>
      </c>
      <c r="F2347" s="2026">
        <v>9</v>
      </c>
      <c r="G2347" s="2026"/>
      <c r="H2347" s="2025" t="s">
        <v>155</v>
      </c>
      <c r="I2347" s="2026"/>
      <c r="J2347" s="2026"/>
      <c r="K2347" s="2027"/>
      <c r="L2347" s="2026" t="s">
        <v>64</v>
      </c>
      <c r="M2347" s="2026"/>
      <c r="N2347" s="2026"/>
      <c r="O2347" s="2026"/>
      <c r="P2347" s="2020"/>
      <c r="Q2347" s="142"/>
      <c r="R2347" s="142"/>
    </row>
    <row r="2348" spans="1:18" s="497" customFormat="1" ht="15.6">
      <c r="A2348" s="534"/>
      <c r="B2348" s="532"/>
      <c r="C2348" s="532"/>
      <c r="D2348" s="532"/>
      <c r="E2348" s="369"/>
      <c r="F2348" s="532"/>
      <c r="G2348" s="532"/>
      <c r="H2348" s="531"/>
      <c r="I2348" s="1856"/>
      <c r="J2348" s="532"/>
      <c r="K2348" s="533"/>
      <c r="L2348" s="532"/>
      <c r="M2348" s="532"/>
      <c r="N2348" s="532"/>
      <c r="O2348" s="532"/>
      <c r="P2348" s="2020"/>
      <c r="Q2348" s="142"/>
      <c r="R2348" s="142"/>
    </row>
    <row r="2349" spans="1:18" ht="15.6">
      <c r="A2349" s="38" t="s">
        <v>30</v>
      </c>
      <c r="B2349" s="2025" t="s">
        <v>352</v>
      </c>
      <c r="C2349" s="2026"/>
      <c r="D2349" s="2027"/>
      <c r="E2349" s="26">
        <v>22.87</v>
      </c>
      <c r="F2349" s="2025">
        <v>9</v>
      </c>
      <c r="G2349" s="2027"/>
      <c r="H2349" s="2025" t="s">
        <v>49</v>
      </c>
      <c r="I2349" s="2026"/>
      <c r="J2349" s="2026"/>
      <c r="K2349" s="2027"/>
      <c r="L2349" s="2026" t="s">
        <v>65</v>
      </c>
      <c r="M2349" s="2026"/>
      <c r="N2349" s="2026"/>
      <c r="O2349" s="2026"/>
      <c r="P2349" s="2020"/>
      <c r="Q2349" s="142"/>
      <c r="R2349" s="142"/>
    </row>
    <row r="2350" spans="1:18" ht="15.6">
      <c r="A2350" s="38" t="s">
        <v>46</v>
      </c>
      <c r="B2350" s="2025" t="s">
        <v>353</v>
      </c>
      <c r="C2350" s="2026"/>
      <c r="D2350" s="2027"/>
      <c r="E2350" s="26">
        <v>10.881</v>
      </c>
      <c r="F2350" s="2025">
        <v>9</v>
      </c>
      <c r="G2350" s="2027"/>
      <c r="H2350" s="2025" t="s">
        <v>49</v>
      </c>
      <c r="I2350" s="2026"/>
      <c r="J2350" s="2026"/>
      <c r="K2350" s="2027"/>
      <c r="L2350" s="2025" t="s">
        <v>283</v>
      </c>
      <c r="M2350" s="2026"/>
      <c r="N2350" s="2026"/>
      <c r="O2350" s="2026"/>
      <c r="P2350" s="2020"/>
      <c r="Q2350" s="142"/>
      <c r="R2350" s="142"/>
    </row>
    <row r="2351" spans="1:18" ht="15.6">
      <c r="A2351" s="38"/>
      <c r="B2351" s="525"/>
      <c r="C2351" s="523"/>
      <c r="D2351" s="526"/>
      <c r="E2351" s="26"/>
      <c r="F2351" s="525"/>
      <c r="G2351" s="526"/>
      <c r="H2351" s="525"/>
      <c r="I2351" s="1856"/>
      <c r="J2351" s="523"/>
      <c r="K2351" s="526"/>
      <c r="L2351" s="525"/>
      <c r="M2351" s="523"/>
      <c r="N2351" s="523"/>
      <c r="O2351" s="523"/>
      <c r="P2351" s="2020"/>
      <c r="Q2351" s="142"/>
      <c r="R2351" s="142"/>
    </row>
    <row r="2352" spans="1:18" ht="16.2" thickBot="1">
      <c r="A2352" s="38"/>
      <c r="B2352" s="525"/>
      <c r="C2352" s="523"/>
      <c r="D2352" s="523"/>
      <c r="E2352" s="26"/>
      <c r="F2352" s="523"/>
      <c r="G2352" s="526"/>
      <c r="H2352" s="525"/>
      <c r="I2352" s="1856"/>
      <c r="J2352" s="523"/>
      <c r="K2352" s="204"/>
      <c r="L2352" s="39"/>
      <c r="M2352" s="40"/>
      <c r="N2352" s="40"/>
      <c r="O2352" s="40"/>
      <c r="P2352" s="2020"/>
      <c r="Q2352" s="142"/>
      <c r="R2352" s="142"/>
    </row>
    <row r="2353" spans="1:18" ht="15.6">
      <c r="A2353" s="41"/>
      <c r="B2353" s="42"/>
      <c r="C2353" s="43"/>
      <c r="D2353" s="43"/>
      <c r="E2353" s="2028">
        <f>SUM(E2342:E2352)</f>
        <v>59.266999999999996</v>
      </c>
      <c r="F2353" s="44"/>
      <c r="G2353" s="45"/>
      <c r="H2353" s="46"/>
      <c r="I2353" s="1858"/>
      <c r="J2353" s="43"/>
      <c r="K2353" s="205"/>
      <c r="L2353" s="46"/>
      <c r="M2353" s="43"/>
      <c r="N2353" s="44"/>
      <c r="O2353" s="43"/>
      <c r="P2353" s="2020"/>
      <c r="Q2353" s="142"/>
      <c r="R2353" s="142"/>
    </row>
    <row r="2354" spans="1:18" ht="16.2" thickBot="1">
      <c r="A2354" s="47"/>
      <c r="B2354" s="48"/>
      <c r="C2354" s="49"/>
      <c r="D2354" s="49"/>
      <c r="E2354" s="2029"/>
      <c r="F2354" s="50"/>
      <c r="G2354" s="51"/>
      <c r="H2354" s="52"/>
      <c r="I2354" s="1860"/>
      <c r="J2354" s="49"/>
      <c r="K2354" s="206"/>
      <c r="L2354" s="52"/>
      <c r="M2354" s="49"/>
      <c r="N2354" s="50"/>
      <c r="O2354" s="49"/>
      <c r="P2354" s="2020"/>
      <c r="Q2354" s="142"/>
      <c r="R2354" s="142"/>
    </row>
    <row r="2355" spans="1:18" ht="15.6">
      <c r="A2355" s="53" t="s">
        <v>31</v>
      </c>
      <c r="B2355" s="43"/>
      <c r="C2355" s="43"/>
      <c r="D2355" s="43"/>
      <c r="E2355" s="43"/>
      <c r="F2355" s="44"/>
      <c r="G2355" s="43"/>
      <c r="H2355" s="44"/>
      <c r="I2355" s="1858"/>
      <c r="J2355" s="43"/>
      <c r="K2355" s="207"/>
      <c r="L2355" s="44"/>
      <c r="M2355" s="43"/>
      <c r="N2355" s="44"/>
      <c r="O2355" s="43"/>
      <c r="P2355" s="2020"/>
      <c r="Q2355" s="142"/>
      <c r="R2355" s="142"/>
    </row>
    <row r="2356" spans="1:18" ht="15.6">
      <c r="A2356" s="54"/>
      <c r="B2356" s="55"/>
      <c r="C2356" s="55"/>
      <c r="D2356" s="55"/>
      <c r="E2356" s="55"/>
      <c r="F2356" s="529"/>
      <c r="G2356" s="55"/>
      <c r="H2356" s="529"/>
      <c r="I2356" s="1859"/>
      <c r="J2356" s="55"/>
      <c r="K2356" s="208"/>
      <c r="L2356" s="529"/>
      <c r="M2356" s="55"/>
      <c r="N2356" s="529"/>
      <c r="O2356" s="55"/>
      <c r="P2356" s="2020"/>
      <c r="Q2356" s="142"/>
      <c r="R2356" s="142"/>
    </row>
    <row r="2357" spans="1:18" ht="16.2" thickBot="1">
      <c r="A2357" s="2030" t="s">
        <v>32</v>
      </c>
      <c r="B2357" s="2031"/>
      <c r="C2357" s="2032" t="s">
        <v>33</v>
      </c>
      <c r="D2357" s="2033"/>
      <c r="E2357" s="57" t="s">
        <v>34</v>
      </c>
      <c r="F2357" s="57" t="s">
        <v>35</v>
      </c>
      <c r="G2357" s="2034" t="s">
        <v>36</v>
      </c>
      <c r="H2357" s="2035"/>
      <c r="I2357" s="2035"/>
      <c r="J2357" s="2035"/>
      <c r="K2357" s="2035"/>
      <c r="L2357" s="2035"/>
      <c r="M2357" s="2035"/>
      <c r="N2357" s="2035"/>
      <c r="O2357" s="2035"/>
      <c r="P2357" s="2020"/>
      <c r="Q2357" s="142"/>
      <c r="R2357" s="142"/>
    </row>
    <row r="2358" spans="1:18" ht="15.6">
      <c r="A2358" s="2036"/>
      <c r="B2358" s="2023"/>
      <c r="C2358" s="2021"/>
      <c r="D2358" s="2023"/>
      <c r="E2358" s="530"/>
      <c r="F2358" s="527"/>
      <c r="G2358" s="2037"/>
      <c r="H2358" s="2038"/>
      <c r="I2358" s="2038"/>
      <c r="J2358" s="2038"/>
      <c r="K2358" s="2038"/>
      <c r="L2358" s="2038"/>
      <c r="M2358" s="2038"/>
      <c r="N2358" s="2038"/>
      <c r="O2358" s="2038"/>
      <c r="P2358" s="2020"/>
      <c r="Q2358" s="142"/>
      <c r="R2358" s="142"/>
    </row>
    <row r="2359" spans="1:18" ht="15.6">
      <c r="A2359" s="2043" t="s">
        <v>37</v>
      </c>
      <c r="B2359" s="2044"/>
      <c r="C2359" s="2021"/>
      <c r="D2359" s="2023"/>
      <c r="E2359" s="530"/>
      <c r="F2359" s="527"/>
      <c r="G2359" s="2039"/>
      <c r="H2359" s="2040"/>
      <c r="I2359" s="2040"/>
      <c r="J2359" s="2040"/>
      <c r="K2359" s="2040"/>
      <c r="L2359" s="2040"/>
      <c r="M2359" s="2040"/>
      <c r="N2359" s="2040"/>
      <c r="O2359" s="2040"/>
      <c r="P2359" s="2020"/>
      <c r="Q2359" s="142"/>
      <c r="R2359" s="142"/>
    </row>
    <row r="2360" spans="1:18" ht="15.6">
      <c r="A2360" s="2043" t="s">
        <v>38</v>
      </c>
      <c r="B2360" s="2044"/>
      <c r="C2360" s="2021"/>
      <c r="D2360" s="2023"/>
      <c r="E2360" s="530"/>
      <c r="F2360" s="527"/>
      <c r="G2360" s="2039"/>
      <c r="H2360" s="2040"/>
      <c r="I2360" s="2040"/>
      <c r="J2360" s="2040"/>
      <c r="K2360" s="2040"/>
      <c r="L2360" s="2040"/>
      <c r="M2360" s="2040"/>
      <c r="N2360" s="2040"/>
      <c r="O2360" s="2040"/>
      <c r="P2360" s="2020"/>
      <c r="Q2360" s="142"/>
      <c r="R2360" s="142"/>
    </row>
    <row r="2361" spans="1:18" ht="15.6">
      <c r="A2361" s="2043" t="s">
        <v>39</v>
      </c>
      <c r="B2361" s="2044"/>
      <c r="C2361" s="2021"/>
      <c r="D2361" s="2023"/>
      <c r="E2361" s="530"/>
      <c r="F2361" s="527"/>
      <c r="G2361" s="2039"/>
      <c r="H2361" s="2040"/>
      <c r="I2361" s="2040"/>
      <c r="J2361" s="2040"/>
      <c r="K2361" s="2040"/>
      <c r="L2361" s="2040"/>
      <c r="M2361" s="2040"/>
      <c r="N2361" s="2040"/>
      <c r="O2361" s="2040"/>
      <c r="P2361" s="2020"/>
      <c r="Q2361" s="142"/>
      <c r="R2361" s="142"/>
    </row>
    <row r="2362" spans="1:18" ht="15.6">
      <c r="A2362" s="2043" t="s">
        <v>40</v>
      </c>
      <c r="B2362" s="2044"/>
      <c r="C2362" s="2021"/>
      <c r="D2362" s="2023"/>
      <c r="E2362" s="530"/>
      <c r="F2362" s="527"/>
      <c r="G2362" s="2039"/>
      <c r="H2362" s="2040"/>
      <c r="I2362" s="2040"/>
      <c r="J2362" s="2040"/>
      <c r="K2362" s="2040"/>
      <c r="L2362" s="2040"/>
      <c r="M2362" s="2040"/>
      <c r="N2362" s="2040"/>
      <c r="O2362" s="2040"/>
      <c r="P2362" s="2020"/>
      <c r="Q2362" s="142"/>
      <c r="R2362" s="142"/>
    </row>
    <row r="2363" spans="1:18" ht="16.2" thickBot="1">
      <c r="A2363" s="2049" t="s">
        <v>41</v>
      </c>
      <c r="B2363" s="2050"/>
      <c r="C2363" s="2051"/>
      <c r="D2363" s="2052"/>
      <c r="E2363" s="58"/>
      <c r="F2363" s="528"/>
      <c r="G2363" s="2041"/>
      <c r="H2363" s="2042"/>
      <c r="I2363" s="2042"/>
      <c r="J2363" s="2042"/>
      <c r="K2363" s="2042"/>
      <c r="L2363" s="2042"/>
      <c r="M2363" s="2042"/>
      <c r="N2363" s="2042"/>
      <c r="O2363" s="2042"/>
      <c r="P2363" s="2020"/>
      <c r="Q2363" s="142"/>
      <c r="R2363" s="142"/>
    </row>
    <row r="2364" spans="1:18" ht="15.6">
      <c r="A2364" s="54"/>
      <c r="B2364" s="55"/>
      <c r="C2364" s="55"/>
      <c r="D2364" s="55"/>
      <c r="E2364" s="55"/>
      <c r="F2364" s="529"/>
      <c r="G2364" s="55"/>
      <c r="H2364" s="59"/>
      <c r="I2364" s="60"/>
      <c r="J2364" s="61"/>
      <c r="K2364" s="209"/>
      <c r="L2364" s="301"/>
      <c r="M2364" s="55"/>
      <c r="N2364" s="529"/>
      <c r="O2364" s="55"/>
      <c r="P2364" s="2020"/>
      <c r="Q2364" s="142"/>
      <c r="R2364" s="142"/>
    </row>
    <row r="2365" spans="1:18" ht="15.6">
      <c r="A2365" s="62" t="s">
        <v>42</v>
      </c>
      <c r="B2365" s="56"/>
      <c r="C2365" s="55"/>
      <c r="D2365" s="55"/>
      <c r="E2365" s="55"/>
      <c r="F2365" s="529"/>
      <c r="G2365" s="56"/>
      <c r="H2365" s="59"/>
      <c r="I2365" s="60"/>
      <c r="J2365" s="61"/>
      <c r="K2365" s="208"/>
      <c r="L2365" s="302"/>
      <c r="M2365" s="55"/>
      <c r="N2365" s="2045" t="s">
        <v>43</v>
      </c>
      <c r="O2365" s="2045"/>
      <c r="P2365" s="2020"/>
      <c r="Q2365" s="142"/>
      <c r="R2365" s="142"/>
    </row>
    <row r="2366" spans="1:18" ht="15.6">
      <c r="A2366" s="62"/>
      <c r="B2366" s="56"/>
      <c r="C2366" s="55"/>
      <c r="D2366" s="55"/>
      <c r="E2366" s="55"/>
      <c r="F2366" s="529"/>
      <c r="G2366" s="55"/>
      <c r="H2366" s="529"/>
      <c r="I2366" s="1859"/>
      <c r="J2366" s="55"/>
      <c r="K2366" s="208"/>
      <c r="L2366" s="529"/>
      <c r="M2366" s="55"/>
      <c r="N2366" s="529"/>
      <c r="O2366" s="56"/>
      <c r="P2366" s="2020"/>
      <c r="Q2366" s="142"/>
      <c r="R2366" s="142"/>
    </row>
    <row r="2367" spans="1:18" ht="15.6">
      <c r="A2367" s="62" t="s">
        <v>44</v>
      </c>
      <c r="B2367" s="56"/>
      <c r="C2367" s="55"/>
      <c r="D2367" s="55"/>
      <c r="E2367" s="55"/>
      <c r="F2367" s="529"/>
      <c r="G2367" s="55"/>
      <c r="H2367" s="529"/>
      <c r="I2367" s="1859"/>
      <c r="J2367" s="55"/>
      <c r="K2367" s="208"/>
      <c r="L2367" s="529"/>
      <c r="M2367" s="55"/>
      <c r="N2367" s="2045" t="s">
        <v>45</v>
      </c>
      <c r="O2367" s="2045"/>
      <c r="P2367" s="2020"/>
      <c r="Q2367" s="142"/>
      <c r="R2367" s="142"/>
    </row>
    <row r="2368" spans="1:18" ht="16.2" thickBot="1">
      <c r="A2368" s="48"/>
      <c r="B2368" s="49"/>
      <c r="C2368" s="49"/>
      <c r="D2368" s="49"/>
      <c r="E2368" s="49"/>
      <c r="F2368" s="50"/>
      <c r="G2368" s="49"/>
      <c r="H2368" s="50"/>
      <c r="I2368" s="1860"/>
      <c r="J2368" s="49"/>
      <c r="K2368" s="210"/>
      <c r="L2368" s="50"/>
      <c r="M2368" s="49"/>
      <c r="N2368" s="50"/>
      <c r="O2368" s="49"/>
      <c r="P2368" s="2020"/>
      <c r="Q2368" s="142"/>
      <c r="R2368" s="142"/>
    </row>
    <row r="2372" spans="1:19" ht="15.6">
      <c r="A2372" s="468" t="s">
        <v>48</v>
      </c>
      <c r="B2372" s="468"/>
      <c r="C2372" s="469"/>
      <c r="D2372" s="469"/>
      <c r="E2372" s="469"/>
      <c r="F2372" s="470"/>
      <c r="G2372" s="469"/>
      <c r="H2372" s="469"/>
      <c r="I2372" s="471"/>
      <c r="J2372" s="472"/>
      <c r="K2372" s="473"/>
      <c r="L2372" s="2046" t="s">
        <v>0</v>
      </c>
      <c r="M2372" s="2046"/>
      <c r="N2372" s="2046"/>
      <c r="O2372" s="2046"/>
      <c r="P2372" s="474"/>
      <c r="Q2372" s="474"/>
      <c r="R2372" s="474"/>
    </row>
    <row r="2373" spans="1:19" ht="15.6">
      <c r="A2373" s="27" t="s">
        <v>1</v>
      </c>
      <c r="B2373" s="27"/>
      <c r="C2373" s="27"/>
      <c r="D2373" s="28" t="s">
        <v>2</v>
      </c>
      <c r="E2373" s="28"/>
      <c r="F2373" s="29"/>
      <c r="G2373" s="29"/>
      <c r="H2373" s="29"/>
      <c r="I2373" s="30"/>
      <c r="J2373" s="546"/>
      <c r="K2373" s="197" t="s">
        <v>3</v>
      </c>
      <c r="L2373" s="546"/>
      <c r="M2373" s="27"/>
      <c r="N2373" s="29"/>
      <c r="O2373" s="27"/>
      <c r="P2373" s="475"/>
      <c r="Q2373" s="155"/>
      <c r="R2373" s="155"/>
    </row>
    <row r="2374" spans="1:19" ht="31.2">
      <c r="A2374" s="32" t="s">
        <v>4</v>
      </c>
      <c r="B2374" s="32" t="s">
        <v>5</v>
      </c>
      <c r="C2374" s="32" t="s">
        <v>6</v>
      </c>
      <c r="D2374" s="32" t="s">
        <v>7</v>
      </c>
      <c r="E2374" s="32" t="s">
        <v>8</v>
      </c>
      <c r="F2374" s="33" t="s">
        <v>9</v>
      </c>
      <c r="G2374" s="34" t="s">
        <v>10</v>
      </c>
      <c r="H2374" s="34" t="s">
        <v>11</v>
      </c>
      <c r="I2374" s="35" t="s">
        <v>12</v>
      </c>
      <c r="J2374" s="36" t="s">
        <v>13</v>
      </c>
      <c r="K2374" s="198" t="s">
        <v>14</v>
      </c>
      <c r="L2374" s="297" t="s">
        <v>15</v>
      </c>
      <c r="M2374" s="33" t="s">
        <v>16</v>
      </c>
      <c r="N2374" s="33" t="s">
        <v>17</v>
      </c>
      <c r="O2374" s="34" t="s">
        <v>18</v>
      </c>
      <c r="P2374" s="33" t="s">
        <v>192</v>
      </c>
      <c r="Q2374" s="1057"/>
      <c r="R2374" s="1057"/>
    </row>
    <row r="2375" spans="1:19" ht="17.399999999999999">
      <c r="A2375" s="547" t="s">
        <v>83</v>
      </c>
      <c r="B2375" s="547" t="s">
        <v>308</v>
      </c>
      <c r="C2375" s="547" t="s">
        <v>19</v>
      </c>
      <c r="D2375" s="547" t="s">
        <v>155</v>
      </c>
      <c r="E2375" s="547" t="s">
        <v>270</v>
      </c>
      <c r="F2375" s="548">
        <v>6.5</v>
      </c>
      <c r="G2375" s="549" t="s">
        <v>61</v>
      </c>
      <c r="H2375" s="550" t="s">
        <v>356</v>
      </c>
      <c r="I2375" s="551">
        <v>4.9800000000000004</v>
      </c>
      <c r="J2375" s="2076" t="s">
        <v>357</v>
      </c>
      <c r="K2375" s="2076"/>
      <c r="L2375" s="552">
        <v>12</v>
      </c>
      <c r="M2375" s="549"/>
      <c r="N2375" s="549"/>
      <c r="O2375" s="549"/>
      <c r="P2375" s="549"/>
      <c r="Q2375" s="1059"/>
      <c r="R2375" s="1059"/>
    </row>
    <row r="2376" spans="1:19" ht="17.399999999999999">
      <c r="A2376" s="547"/>
      <c r="B2376" s="547"/>
      <c r="C2376" s="547"/>
      <c r="D2376" s="547"/>
      <c r="E2376" s="547"/>
      <c r="F2376" s="548"/>
      <c r="G2376" s="553"/>
      <c r="H2376" s="553"/>
      <c r="I2376" s="554"/>
      <c r="J2376" s="555"/>
      <c r="K2376" s="556">
        <f>SUM(K2375:K2375)</f>
        <v>0</v>
      </c>
      <c r="L2376" s="557">
        <f>SUM(L2375:L2375)</f>
        <v>12</v>
      </c>
      <c r="M2376" s="549"/>
      <c r="N2376" s="549"/>
      <c r="O2376" s="549"/>
      <c r="P2376" s="549"/>
      <c r="Q2376" s="1059"/>
      <c r="R2376" s="1059"/>
    </row>
    <row r="2377" spans="1:19" ht="17.399999999999999">
      <c r="A2377" s="549"/>
      <c r="B2377" s="549"/>
      <c r="C2377" s="549"/>
      <c r="D2377" s="549"/>
      <c r="E2377" s="549"/>
      <c r="F2377" s="549"/>
      <c r="G2377" s="549"/>
      <c r="H2377" s="549"/>
      <c r="I2377" s="560"/>
      <c r="J2377" s="549"/>
      <c r="K2377" s="561"/>
      <c r="L2377" s="560"/>
      <c r="M2377" s="549"/>
      <c r="N2377" s="549"/>
      <c r="O2377" s="549"/>
      <c r="P2377" s="549"/>
      <c r="Q2377" s="1059"/>
      <c r="R2377" s="1059"/>
    </row>
    <row r="2378" spans="1:19" s="497" customFormat="1" ht="17.399999999999999">
      <c r="A2378" s="549"/>
      <c r="B2378" s="549"/>
      <c r="C2378" s="549"/>
      <c r="D2378" s="549"/>
      <c r="E2378" s="549"/>
      <c r="F2378" s="549"/>
      <c r="G2378" s="549"/>
      <c r="H2378" s="549"/>
      <c r="I2378" s="560"/>
      <c r="J2378" s="549"/>
      <c r="K2378" s="561"/>
      <c r="L2378" s="560"/>
      <c r="M2378" s="549"/>
      <c r="N2378" s="549"/>
      <c r="O2378" s="549"/>
      <c r="P2378" s="549"/>
      <c r="Q2378" s="1059"/>
      <c r="R2378" s="1059"/>
    </row>
    <row r="2379" spans="1:19" s="497" customFormat="1" ht="17.399999999999999">
      <c r="A2379" s="549"/>
      <c r="B2379" s="549"/>
      <c r="C2379" s="549"/>
      <c r="D2379" s="549"/>
      <c r="E2379" s="549"/>
      <c r="F2379" s="549"/>
      <c r="G2379" s="549"/>
      <c r="H2379" s="549"/>
      <c r="I2379" s="560"/>
      <c r="J2379" s="549"/>
      <c r="K2379" s="561"/>
      <c r="L2379" s="560"/>
      <c r="M2379" s="549"/>
      <c r="N2379" s="549"/>
      <c r="O2379" s="549"/>
      <c r="P2379" s="549"/>
      <c r="Q2379" s="1059"/>
      <c r="R2379" s="1059"/>
    </row>
    <row r="2380" spans="1:19" s="497" customFormat="1" ht="17.399999999999999">
      <c r="A2380" s="549"/>
      <c r="B2380" s="549"/>
      <c r="C2380" s="549"/>
      <c r="D2380" s="549"/>
      <c r="E2380" s="549"/>
      <c r="F2380" s="549"/>
      <c r="G2380" s="549"/>
      <c r="H2380" s="549"/>
      <c r="I2380" s="560"/>
      <c r="J2380" s="549"/>
      <c r="K2380" s="561"/>
      <c r="L2380" s="560"/>
      <c r="M2380" s="549"/>
      <c r="N2380" s="549"/>
      <c r="O2380" s="549"/>
      <c r="P2380" s="549"/>
      <c r="Q2380" s="1059"/>
      <c r="R2380" s="1059"/>
    </row>
    <row r="2381" spans="1:19" ht="17.399999999999999">
      <c r="A2381" s="547" t="s">
        <v>272</v>
      </c>
      <c r="B2381" s="547" t="s">
        <v>358</v>
      </c>
      <c r="C2381" s="547" t="s">
        <v>19</v>
      </c>
      <c r="D2381" s="547" t="s">
        <v>155</v>
      </c>
      <c r="E2381" s="547" t="s">
        <v>270</v>
      </c>
      <c r="F2381" s="548">
        <v>7</v>
      </c>
      <c r="G2381" s="549" t="s">
        <v>61</v>
      </c>
      <c r="H2381" s="599" t="s">
        <v>262</v>
      </c>
      <c r="I2381" s="559">
        <v>5.38</v>
      </c>
      <c r="J2381" s="562">
        <v>12</v>
      </c>
      <c r="K2381" s="563">
        <v>36</v>
      </c>
      <c r="L2381" s="552">
        <f t="shared" ref="L2381" si="423">(I2381*J2381*K2381/1000)</f>
        <v>2.32416</v>
      </c>
      <c r="M2381" s="549"/>
      <c r="N2381" s="549"/>
      <c r="O2381" s="549"/>
      <c r="P2381" s="549"/>
      <c r="Q2381" s="1059"/>
      <c r="R2381" s="1059"/>
      <c r="S2381" s="497" t="s">
        <v>393</v>
      </c>
    </row>
    <row r="2382" spans="1:19" ht="17.399999999999999">
      <c r="A2382" s="549"/>
      <c r="B2382" s="559" t="s">
        <v>333</v>
      </c>
      <c r="C2382" s="549"/>
      <c r="D2382" s="549"/>
      <c r="E2382" s="549"/>
      <c r="F2382" s="549"/>
      <c r="G2382" s="549" t="s">
        <v>61</v>
      </c>
      <c r="H2382" s="550" t="s">
        <v>262</v>
      </c>
      <c r="I2382" s="559">
        <v>5.38</v>
      </c>
      <c r="J2382" s="562">
        <v>6</v>
      </c>
      <c r="K2382" s="563">
        <v>1</v>
      </c>
      <c r="L2382" s="552">
        <f>(I2382*J2382*K2382/1000)</f>
        <v>3.2280000000000003E-2</v>
      </c>
      <c r="M2382" s="549"/>
      <c r="N2382" s="549"/>
      <c r="O2382" s="549"/>
      <c r="P2382" s="549"/>
      <c r="Q2382" s="1059"/>
      <c r="R2382" s="1059"/>
    </row>
    <row r="2383" spans="1:19" ht="17.399999999999999">
      <c r="A2383" s="549"/>
      <c r="B2383" s="549"/>
      <c r="C2383" s="549"/>
      <c r="D2383" s="549"/>
      <c r="E2383" s="549"/>
      <c r="F2383" s="549"/>
      <c r="G2383" s="549"/>
      <c r="H2383" s="549"/>
      <c r="I2383" s="560"/>
      <c r="J2383" s="549"/>
      <c r="K2383" s="564">
        <f>SUM(K2381:K2382)</f>
        <v>37</v>
      </c>
      <c r="L2383" s="565">
        <f>SUM(L2381:L2382)</f>
        <v>2.3564400000000001</v>
      </c>
      <c r="M2383" s="549"/>
      <c r="N2383" s="549"/>
      <c r="O2383" s="549"/>
      <c r="P2383" s="549"/>
      <c r="Q2383" s="1059"/>
      <c r="R2383" s="1059"/>
    </row>
    <row r="2384" spans="1:19" s="497" customFormat="1" ht="17.399999999999999">
      <c r="A2384" s="549"/>
      <c r="B2384" s="549"/>
      <c r="C2384" s="549"/>
      <c r="D2384" s="549"/>
      <c r="E2384" s="549"/>
      <c r="F2384" s="549"/>
      <c r="G2384" s="549"/>
      <c r="H2384" s="549"/>
      <c r="I2384" s="560"/>
      <c r="J2384" s="549"/>
      <c r="K2384" s="564"/>
      <c r="L2384" s="565"/>
      <c r="M2384" s="549"/>
      <c r="N2384" s="549"/>
      <c r="O2384" s="549"/>
      <c r="P2384" s="549"/>
      <c r="Q2384" s="1059"/>
      <c r="R2384" s="1059"/>
    </row>
    <row r="2385" spans="1:19" ht="15.75" customHeight="1">
      <c r="A2385" s="547" t="s">
        <v>83</v>
      </c>
      <c r="B2385" s="547" t="s">
        <v>358</v>
      </c>
      <c r="C2385" s="547" t="s">
        <v>19</v>
      </c>
      <c r="D2385" s="547" t="s">
        <v>155</v>
      </c>
      <c r="E2385" s="547" t="s">
        <v>270</v>
      </c>
      <c r="F2385" s="548">
        <v>7</v>
      </c>
      <c r="G2385" s="549" t="s">
        <v>61</v>
      </c>
      <c r="H2385" s="599" t="s">
        <v>262</v>
      </c>
      <c r="I2385" s="559">
        <v>5.38</v>
      </c>
      <c r="J2385" s="562">
        <v>12</v>
      </c>
      <c r="K2385" s="563">
        <v>11</v>
      </c>
      <c r="L2385" s="552">
        <f>(I2385*J2385*K2385/1000)</f>
        <v>0.71016000000000012</v>
      </c>
      <c r="M2385" s="549"/>
      <c r="N2385" s="549"/>
      <c r="O2385" s="549"/>
      <c r="P2385" s="549"/>
      <c r="Q2385" s="1059"/>
      <c r="R2385" s="1059"/>
      <c r="S2385" s="497" t="s">
        <v>393</v>
      </c>
    </row>
    <row r="2386" spans="1:19" ht="17.399999999999999">
      <c r="A2386" s="547"/>
      <c r="B2386" s="547" t="s">
        <v>331</v>
      </c>
      <c r="C2386" s="547"/>
      <c r="D2386" s="547"/>
      <c r="E2386" s="547"/>
      <c r="F2386" s="548"/>
      <c r="G2386" s="549" t="s">
        <v>61</v>
      </c>
      <c r="H2386" s="550" t="s">
        <v>262</v>
      </c>
      <c r="I2386" s="559">
        <v>5.38</v>
      </c>
      <c r="J2386" s="562">
        <v>10</v>
      </c>
      <c r="K2386" s="563">
        <v>10</v>
      </c>
      <c r="L2386" s="552">
        <f>(I2386*J2386*K2386/1000)</f>
        <v>0.53800000000000003</v>
      </c>
      <c r="M2386" s="549"/>
      <c r="N2386" s="549"/>
      <c r="O2386" s="549"/>
      <c r="P2386" s="549"/>
      <c r="Q2386" s="1059"/>
      <c r="R2386" s="1059"/>
    </row>
    <row r="2387" spans="1:19" ht="17.399999999999999">
      <c r="A2387" s="549"/>
      <c r="B2387" s="549"/>
      <c r="C2387" s="549"/>
      <c r="D2387" s="549"/>
      <c r="E2387" s="549"/>
      <c r="F2387" s="549"/>
      <c r="G2387" s="549" t="s">
        <v>61</v>
      </c>
      <c r="H2387" s="550" t="s">
        <v>262</v>
      </c>
      <c r="I2387" s="559">
        <v>5.38</v>
      </c>
      <c r="J2387" s="562">
        <v>10.5</v>
      </c>
      <c r="K2387" s="563">
        <v>9</v>
      </c>
      <c r="L2387" s="552">
        <f>(I2387*J2387*K2387/1000)</f>
        <v>0.50841000000000003</v>
      </c>
      <c r="M2387" s="549"/>
      <c r="N2387" s="549"/>
      <c r="O2387" s="549"/>
      <c r="P2387" s="549"/>
      <c r="Q2387" s="1059"/>
      <c r="R2387" s="1059"/>
    </row>
    <row r="2388" spans="1:19" ht="17.399999999999999">
      <c r="A2388" s="549"/>
      <c r="B2388" s="549"/>
      <c r="C2388" s="549"/>
      <c r="D2388" s="549"/>
      <c r="E2388" s="549"/>
      <c r="F2388" s="549"/>
      <c r="G2388" s="549"/>
      <c r="H2388" s="549"/>
      <c r="I2388" s="560"/>
      <c r="J2388" s="549"/>
      <c r="K2388" s="564">
        <f>SUM(K2385:K2387)</f>
        <v>30</v>
      </c>
      <c r="L2388" s="565">
        <f>SUM(L2385:L2387)</f>
        <v>1.7565700000000002</v>
      </c>
      <c r="M2388" s="549"/>
      <c r="N2388" s="549"/>
      <c r="O2388" s="549"/>
      <c r="P2388" s="549"/>
      <c r="Q2388" s="1059"/>
      <c r="R2388" s="1059"/>
    </row>
    <row r="2389" spans="1:19" ht="17.399999999999999">
      <c r="A2389" s="549"/>
      <c r="B2389" s="549"/>
      <c r="C2389" s="549"/>
      <c r="D2389" s="549"/>
      <c r="E2389" s="549"/>
      <c r="F2389" s="549"/>
      <c r="G2389" s="549"/>
      <c r="H2389" s="549"/>
      <c r="I2389" s="560"/>
      <c r="J2389" s="549"/>
      <c r="K2389" s="561"/>
      <c r="L2389" s="560"/>
      <c r="M2389" s="549"/>
      <c r="N2389" s="549"/>
      <c r="O2389" s="549"/>
      <c r="P2389" s="549"/>
      <c r="Q2389" s="1059"/>
      <c r="R2389" s="1059"/>
    </row>
    <row r="2390" spans="1:19" ht="17.399999999999999">
      <c r="A2390" s="547" t="s">
        <v>332</v>
      </c>
      <c r="B2390" s="547" t="s">
        <v>341</v>
      </c>
      <c r="C2390" s="547" t="s">
        <v>19</v>
      </c>
      <c r="D2390" s="547" t="s">
        <v>155</v>
      </c>
      <c r="E2390" s="547" t="s">
        <v>323</v>
      </c>
      <c r="F2390" s="548">
        <v>9</v>
      </c>
      <c r="G2390" s="549" t="s">
        <v>61</v>
      </c>
      <c r="H2390" s="599" t="s">
        <v>262</v>
      </c>
      <c r="I2390" s="558">
        <v>5.37</v>
      </c>
      <c r="J2390" s="566">
        <v>6.6</v>
      </c>
      <c r="K2390" s="563">
        <v>64</v>
      </c>
      <c r="L2390" s="552">
        <f t="shared" ref="L2390:L2395" si="424">(I2390*J2390*K2390/1000)</f>
        <v>2.2682880000000001</v>
      </c>
      <c r="M2390" s="567"/>
      <c r="N2390" s="549"/>
      <c r="O2390" s="549"/>
      <c r="P2390" s="549"/>
      <c r="Q2390" s="1059"/>
      <c r="R2390" s="1059"/>
      <c r="S2390" s="497" t="s">
        <v>393</v>
      </c>
    </row>
    <row r="2391" spans="1:19" ht="17.399999999999999">
      <c r="A2391" s="549"/>
      <c r="B2391" s="559" t="s">
        <v>340</v>
      </c>
      <c r="C2391" s="549"/>
      <c r="D2391" s="549"/>
      <c r="E2391" s="549"/>
      <c r="F2391" s="549"/>
      <c r="G2391" s="549" t="s">
        <v>61</v>
      </c>
      <c r="H2391" s="550" t="s">
        <v>262</v>
      </c>
      <c r="I2391" s="558">
        <v>5.37</v>
      </c>
      <c r="J2391" s="566">
        <v>8</v>
      </c>
      <c r="K2391" s="563">
        <v>4</v>
      </c>
      <c r="L2391" s="552">
        <f t="shared" si="424"/>
        <v>0.17183999999999999</v>
      </c>
      <c r="M2391" s="567"/>
      <c r="N2391" s="549"/>
      <c r="O2391" s="549"/>
      <c r="P2391" s="549"/>
      <c r="Q2391" s="1059"/>
      <c r="R2391" s="1059"/>
    </row>
    <row r="2392" spans="1:19" ht="17.399999999999999">
      <c r="A2392" s="549"/>
      <c r="B2392" s="549"/>
      <c r="C2392" s="549"/>
      <c r="D2392" s="549"/>
      <c r="E2392" s="549"/>
      <c r="F2392" s="549"/>
      <c r="G2392" s="549" t="s">
        <v>61</v>
      </c>
      <c r="H2392" s="550" t="s">
        <v>262</v>
      </c>
      <c r="I2392" s="558">
        <v>5.37</v>
      </c>
      <c r="J2392" s="566">
        <v>10</v>
      </c>
      <c r="K2392" s="563">
        <v>11</v>
      </c>
      <c r="L2392" s="552">
        <f t="shared" si="424"/>
        <v>0.5907</v>
      </c>
      <c r="M2392" s="567"/>
      <c r="N2392" s="549"/>
      <c r="O2392" s="549"/>
      <c r="P2392" s="549"/>
      <c r="Q2392" s="1059"/>
      <c r="R2392" s="1059"/>
    </row>
    <row r="2393" spans="1:19" ht="17.399999999999999">
      <c r="A2393" s="549"/>
      <c r="B2393" s="549"/>
      <c r="C2393" s="549"/>
      <c r="D2393" s="549"/>
      <c r="E2393" s="549"/>
      <c r="F2393" s="549"/>
      <c r="G2393" s="549" t="s">
        <v>61</v>
      </c>
      <c r="H2393" s="550" t="s">
        <v>262</v>
      </c>
      <c r="I2393" s="558">
        <v>5.37</v>
      </c>
      <c r="J2393" s="566">
        <v>10.5</v>
      </c>
      <c r="K2393" s="563">
        <v>10</v>
      </c>
      <c r="L2393" s="552">
        <f t="shared" si="424"/>
        <v>0.56385000000000007</v>
      </c>
      <c r="M2393" s="567"/>
      <c r="N2393" s="549"/>
      <c r="O2393" s="549"/>
      <c r="P2393" s="549"/>
      <c r="Q2393" s="1059"/>
      <c r="R2393" s="1059"/>
    </row>
    <row r="2394" spans="1:19" ht="17.399999999999999">
      <c r="A2394" s="549"/>
      <c r="B2394" s="549"/>
      <c r="C2394" s="549"/>
      <c r="D2394" s="549"/>
      <c r="E2394" s="549"/>
      <c r="F2394" s="549"/>
      <c r="G2394" s="549" t="s">
        <v>61</v>
      </c>
      <c r="H2394" s="550" t="s">
        <v>262</v>
      </c>
      <c r="I2394" s="558">
        <v>5.37</v>
      </c>
      <c r="J2394" s="566">
        <v>11.35</v>
      </c>
      <c r="K2394" s="563">
        <v>72</v>
      </c>
      <c r="L2394" s="552">
        <f t="shared" si="424"/>
        <v>4.3883639999999993</v>
      </c>
      <c r="M2394" s="567"/>
      <c r="N2394" s="549"/>
      <c r="O2394" s="549"/>
      <c r="P2394" s="549"/>
      <c r="Q2394" s="1059"/>
      <c r="R2394" s="1059"/>
    </row>
    <row r="2395" spans="1:19" ht="17.399999999999999">
      <c r="A2395" s="549"/>
      <c r="B2395" s="549"/>
      <c r="C2395" s="549"/>
      <c r="D2395" s="549"/>
      <c r="E2395" s="549"/>
      <c r="F2395" s="549"/>
      <c r="G2395" s="549" t="s">
        <v>61</v>
      </c>
      <c r="H2395" s="550" t="s">
        <v>262</v>
      </c>
      <c r="I2395" s="558">
        <v>5.37</v>
      </c>
      <c r="J2395" s="566">
        <v>11.5</v>
      </c>
      <c r="K2395" s="563">
        <v>23</v>
      </c>
      <c r="L2395" s="552">
        <f t="shared" si="424"/>
        <v>1.4203650000000001</v>
      </c>
      <c r="M2395" s="567"/>
      <c r="N2395" s="549"/>
      <c r="O2395" s="549"/>
      <c r="P2395" s="549"/>
      <c r="Q2395" s="1059"/>
      <c r="R2395" s="1059"/>
    </row>
    <row r="2396" spans="1:19" ht="17.399999999999999">
      <c r="A2396" s="549"/>
      <c r="B2396" s="549"/>
      <c r="C2396" s="549"/>
      <c r="D2396" s="549"/>
      <c r="E2396" s="549"/>
      <c r="F2396" s="549"/>
      <c r="G2396" s="549"/>
      <c r="H2396" s="549"/>
      <c r="I2396" s="560"/>
      <c r="J2396" s="549"/>
      <c r="K2396" s="564">
        <f t="shared" ref="K2396" si="425">SUM(K2390:K2395)</f>
        <v>184</v>
      </c>
      <c r="L2396" s="565">
        <f>SUM(L2390:L2395)</f>
        <v>9.4034069999999996</v>
      </c>
      <c r="M2396" s="549"/>
      <c r="N2396" s="549"/>
      <c r="O2396" s="549"/>
      <c r="P2396" s="549"/>
      <c r="Q2396" s="1059"/>
      <c r="R2396" s="1059"/>
    </row>
    <row r="2397" spans="1:19" s="497" customFormat="1" ht="17.399999999999999">
      <c r="A2397" s="549"/>
      <c r="B2397" s="549"/>
      <c r="C2397" s="549"/>
      <c r="D2397" s="549"/>
      <c r="E2397" s="549"/>
      <c r="F2397" s="549"/>
      <c r="G2397" s="549"/>
      <c r="H2397" s="549"/>
      <c r="I2397" s="560"/>
      <c r="J2397" s="549"/>
      <c r="K2397" s="564"/>
      <c r="L2397" s="565">
        <f>+L2396+L2388+L2383</f>
        <v>13.516417000000001</v>
      </c>
      <c r="M2397" s="549"/>
      <c r="N2397" s="549"/>
      <c r="O2397" s="549"/>
      <c r="P2397" s="549"/>
      <c r="Q2397" s="1059"/>
      <c r="R2397" s="1059"/>
    </row>
    <row r="2398" spans="1:19" s="497" customFormat="1" ht="17.399999999999999">
      <c r="A2398" s="549"/>
      <c r="B2398" s="549"/>
      <c r="C2398" s="549"/>
      <c r="D2398" s="549"/>
      <c r="E2398" s="549"/>
      <c r="F2398" s="549"/>
      <c r="G2398" s="549"/>
      <c r="H2398" s="549"/>
      <c r="I2398" s="560"/>
      <c r="J2398" s="549"/>
      <c r="K2398" s="564"/>
      <c r="L2398" s="565"/>
      <c r="M2398" s="549"/>
      <c r="N2398" s="549"/>
      <c r="O2398" s="549"/>
      <c r="P2398" s="549"/>
      <c r="Q2398" s="1059"/>
      <c r="R2398" s="1059"/>
    </row>
    <row r="2399" spans="1:19" ht="17.399999999999999">
      <c r="A2399" s="549"/>
      <c r="B2399" s="549"/>
      <c r="C2399" s="549"/>
      <c r="D2399" s="549"/>
      <c r="E2399" s="549"/>
      <c r="F2399" s="549"/>
      <c r="G2399" s="549"/>
      <c r="H2399" s="549"/>
      <c r="I2399" s="560"/>
      <c r="J2399" s="549"/>
      <c r="K2399" s="561"/>
      <c r="L2399" s="560"/>
      <c r="M2399" s="549"/>
      <c r="N2399" s="549"/>
      <c r="O2399" s="549"/>
      <c r="P2399" s="549"/>
      <c r="Q2399" s="1059"/>
      <c r="R2399" s="1059"/>
    </row>
    <row r="2400" spans="1:19" ht="17.399999999999999">
      <c r="A2400" s="547" t="s">
        <v>83</v>
      </c>
      <c r="B2400" s="547" t="s">
        <v>358</v>
      </c>
      <c r="C2400" s="547" t="s">
        <v>19</v>
      </c>
      <c r="D2400" s="547" t="s">
        <v>49</v>
      </c>
      <c r="E2400" s="547" t="s">
        <v>359</v>
      </c>
      <c r="F2400" s="548">
        <v>9</v>
      </c>
      <c r="G2400" s="549" t="s">
        <v>21</v>
      </c>
      <c r="H2400" s="599" t="s">
        <v>262</v>
      </c>
      <c r="I2400" s="559">
        <v>5.38</v>
      </c>
      <c r="J2400" s="562">
        <v>10</v>
      </c>
      <c r="K2400" s="563">
        <v>9</v>
      </c>
      <c r="L2400" s="552">
        <f>(I2400*J2400*K2400/1000)</f>
        <v>0.48419999999999996</v>
      </c>
      <c r="M2400" s="549"/>
      <c r="N2400" s="549"/>
      <c r="O2400" s="549"/>
      <c r="P2400" s="549"/>
      <c r="Q2400" s="1059"/>
      <c r="R2400" s="1059"/>
      <c r="S2400" s="497" t="s">
        <v>393</v>
      </c>
    </row>
    <row r="2401" spans="1:19" ht="17.399999999999999">
      <c r="A2401" s="547"/>
      <c r="B2401" s="547" t="s">
        <v>331</v>
      </c>
      <c r="C2401" s="547"/>
      <c r="D2401" s="547"/>
      <c r="E2401" s="547"/>
      <c r="F2401" s="548"/>
      <c r="G2401" s="549" t="s">
        <v>21</v>
      </c>
      <c r="H2401" s="550" t="s">
        <v>262</v>
      </c>
      <c r="I2401" s="559">
        <v>5.38</v>
      </c>
      <c r="J2401" s="562">
        <v>11</v>
      </c>
      <c r="K2401" s="563">
        <v>8</v>
      </c>
      <c r="L2401" s="552">
        <f>(I2401*J2401*K2401/1000)</f>
        <v>0.47343999999999997</v>
      </c>
      <c r="M2401" s="549"/>
      <c r="N2401" s="549"/>
      <c r="O2401" s="549"/>
      <c r="P2401" s="549"/>
      <c r="Q2401" s="1059"/>
      <c r="R2401" s="1059"/>
    </row>
    <row r="2402" spans="1:19" ht="17.399999999999999">
      <c r="A2402" s="549"/>
      <c r="B2402" s="549"/>
      <c r="C2402" s="549"/>
      <c r="D2402" s="549"/>
      <c r="E2402" s="549"/>
      <c r="F2402" s="549"/>
      <c r="G2402" s="549"/>
      <c r="H2402" s="549"/>
      <c r="I2402" s="560"/>
      <c r="J2402" s="549"/>
      <c r="K2402" s="564">
        <f>SUM(K2400:K2401)</f>
        <v>17</v>
      </c>
      <c r="L2402" s="565">
        <f>SUM(L2400:L2401)</f>
        <v>0.95763999999999994</v>
      </c>
      <c r="M2402" s="549"/>
      <c r="N2402" s="549"/>
      <c r="O2402" s="549"/>
      <c r="P2402" s="549"/>
      <c r="Q2402" s="1059"/>
      <c r="R2402" s="1059"/>
    </row>
    <row r="2403" spans="1:19" ht="17.399999999999999">
      <c r="A2403" s="549"/>
      <c r="B2403" s="549"/>
      <c r="C2403" s="549"/>
      <c r="D2403" s="549"/>
      <c r="E2403" s="549"/>
      <c r="F2403" s="549"/>
      <c r="G2403" s="549"/>
      <c r="H2403" s="549"/>
      <c r="I2403" s="560"/>
      <c r="J2403" s="549"/>
      <c r="K2403" s="561"/>
      <c r="L2403" s="560"/>
      <c r="M2403" s="549"/>
      <c r="N2403" s="549"/>
      <c r="O2403" s="549"/>
      <c r="P2403" s="549"/>
      <c r="Q2403" s="1059"/>
      <c r="R2403" s="1059"/>
    </row>
    <row r="2404" spans="1:19" ht="17.399999999999999">
      <c r="A2404" s="547" t="s">
        <v>272</v>
      </c>
      <c r="B2404" s="547" t="s">
        <v>358</v>
      </c>
      <c r="C2404" s="547" t="s">
        <v>19</v>
      </c>
      <c r="D2404" s="547" t="s">
        <v>49</v>
      </c>
      <c r="E2404" s="547" t="s">
        <v>359</v>
      </c>
      <c r="F2404" s="548">
        <v>9</v>
      </c>
      <c r="G2404" s="549" t="s">
        <v>21</v>
      </c>
      <c r="H2404" s="599" t="s">
        <v>262</v>
      </c>
      <c r="I2404" s="559">
        <v>5.38</v>
      </c>
      <c r="J2404" s="566">
        <v>10.5</v>
      </c>
      <c r="K2404" s="563">
        <v>8</v>
      </c>
      <c r="L2404" s="552">
        <f>(I2404*J2404*K2404/1000)</f>
        <v>0.45191999999999999</v>
      </c>
      <c r="M2404" s="549"/>
      <c r="N2404" s="549"/>
      <c r="O2404" s="549"/>
      <c r="P2404" s="549"/>
      <c r="Q2404" s="1059"/>
      <c r="R2404" s="1059"/>
      <c r="S2404" s="497" t="s">
        <v>393</v>
      </c>
    </row>
    <row r="2405" spans="1:19" ht="17.399999999999999">
      <c r="A2405" s="549"/>
      <c r="B2405" s="559" t="s">
        <v>333</v>
      </c>
      <c r="C2405" s="549"/>
      <c r="D2405" s="549"/>
      <c r="E2405" s="549"/>
      <c r="F2405" s="549"/>
      <c r="G2405" s="549"/>
      <c r="H2405" s="549"/>
      <c r="I2405" s="560"/>
      <c r="J2405" s="549"/>
      <c r="K2405" s="564">
        <f>SUM(K2404:K2404)</f>
        <v>8</v>
      </c>
      <c r="L2405" s="565">
        <f>SUM(L2404:L2404)</f>
        <v>0.45191999999999999</v>
      </c>
      <c r="M2405" s="549"/>
      <c r="N2405" s="549"/>
      <c r="O2405" s="549"/>
      <c r="P2405" s="549"/>
      <c r="Q2405" s="1059"/>
      <c r="R2405" s="1059"/>
    </row>
    <row r="2406" spans="1:19" ht="17.399999999999999">
      <c r="A2406" s="549"/>
      <c r="B2406" s="549"/>
      <c r="C2406" s="549"/>
      <c r="D2406" s="549"/>
      <c r="E2406" s="549"/>
      <c r="F2406" s="549"/>
      <c r="G2406" s="549"/>
      <c r="H2406" s="549"/>
      <c r="I2406" s="560"/>
      <c r="J2406" s="549"/>
      <c r="K2406" s="561"/>
      <c r="L2406" s="560"/>
      <c r="M2406" s="549"/>
      <c r="N2406" s="549"/>
      <c r="O2406" s="549"/>
      <c r="P2406" s="549"/>
      <c r="Q2406" s="1059"/>
      <c r="R2406" s="1059"/>
    </row>
    <row r="2407" spans="1:19" ht="17.399999999999999">
      <c r="A2407" s="547" t="s">
        <v>332</v>
      </c>
      <c r="B2407" s="547" t="s">
        <v>341</v>
      </c>
      <c r="C2407" s="547" t="s">
        <v>19</v>
      </c>
      <c r="D2407" s="547" t="s">
        <v>20</v>
      </c>
      <c r="E2407" s="547" t="s">
        <v>47</v>
      </c>
      <c r="F2407" s="548">
        <v>9</v>
      </c>
      <c r="G2407" s="549" t="s">
        <v>21</v>
      </c>
      <c r="H2407" s="599" t="s">
        <v>262</v>
      </c>
      <c r="I2407" s="558">
        <v>5.37</v>
      </c>
      <c r="J2407" s="566">
        <v>8.35</v>
      </c>
      <c r="K2407" s="563">
        <v>64</v>
      </c>
      <c r="L2407" s="552">
        <f t="shared" ref="L2407:L2412" si="426">(I2407*J2407*K2407/1000)</f>
        <v>2.8697280000000003</v>
      </c>
      <c r="M2407" s="567"/>
      <c r="N2407" s="549"/>
      <c r="O2407" s="549"/>
      <c r="P2407" s="549"/>
      <c r="Q2407" s="1059"/>
      <c r="R2407" s="1059"/>
      <c r="S2407" s="497" t="s">
        <v>393</v>
      </c>
    </row>
    <row r="2408" spans="1:19" ht="17.399999999999999">
      <c r="A2408" s="549"/>
      <c r="B2408" s="559" t="s">
        <v>340</v>
      </c>
      <c r="C2408" s="549"/>
      <c r="D2408" s="549"/>
      <c r="E2408" s="549"/>
      <c r="F2408" s="549"/>
      <c r="G2408" s="549" t="s">
        <v>21</v>
      </c>
      <c r="H2408" s="550" t="s">
        <v>262</v>
      </c>
      <c r="I2408" s="558">
        <v>5.37</v>
      </c>
      <c r="J2408" s="566">
        <v>9.5</v>
      </c>
      <c r="K2408" s="563">
        <v>12</v>
      </c>
      <c r="L2408" s="552">
        <f t="shared" si="426"/>
        <v>0.61218000000000006</v>
      </c>
      <c r="M2408" s="567"/>
      <c r="N2408" s="549"/>
      <c r="O2408" s="549"/>
      <c r="P2408" s="549"/>
      <c r="Q2408" s="1059"/>
      <c r="R2408" s="1059"/>
    </row>
    <row r="2409" spans="1:19" ht="17.399999999999999">
      <c r="A2409" s="549"/>
      <c r="B2409" s="549"/>
      <c r="C2409" s="549"/>
      <c r="D2409" s="549"/>
      <c r="E2409" s="549"/>
      <c r="F2409" s="549"/>
      <c r="G2409" s="549" t="s">
        <v>21</v>
      </c>
      <c r="H2409" s="550" t="s">
        <v>262</v>
      </c>
      <c r="I2409" s="558">
        <v>5.37</v>
      </c>
      <c r="J2409" s="566">
        <v>10</v>
      </c>
      <c r="K2409" s="563">
        <v>195</v>
      </c>
      <c r="L2409" s="552">
        <f t="shared" si="426"/>
        <v>10.471500000000001</v>
      </c>
      <c r="M2409" s="567"/>
      <c r="N2409" s="549"/>
      <c r="O2409" s="549"/>
      <c r="P2409" s="549"/>
      <c r="Q2409" s="1059"/>
      <c r="R2409" s="1059"/>
    </row>
    <row r="2410" spans="1:19" ht="17.399999999999999">
      <c r="A2410" s="549"/>
      <c r="B2410" s="549"/>
      <c r="C2410" s="549"/>
      <c r="D2410" s="549"/>
      <c r="E2410" s="549"/>
      <c r="F2410" s="549"/>
      <c r="G2410" s="549" t="s">
        <v>21</v>
      </c>
      <c r="H2410" s="550" t="s">
        <v>262</v>
      </c>
      <c r="I2410" s="558">
        <v>5.37</v>
      </c>
      <c r="J2410" s="566">
        <v>10.4</v>
      </c>
      <c r="K2410" s="563">
        <v>40</v>
      </c>
      <c r="L2410" s="552">
        <f t="shared" si="426"/>
        <v>2.2339199999999999</v>
      </c>
      <c r="M2410" s="567"/>
      <c r="N2410" s="549"/>
      <c r="O2410" s="549"/>
      <c r="P2410" s="549"/>
      <c r="Q2410" s="1059"/>
      <c r="R2410" s="1059"/>
    </row>
    <row r="2411" spans="1:19" ht="17.399999999999999">
      <c r="A2411" s="549"/>
      <c r="B2411" s="549"/>
      <c r="C2411" s="549"/>
      <c r="D2411" s="549"/>
      <c r="E2411" s="549"/>
      <c r="F2411" s="549"/>
      <c r="G2411" s="549" t="s">
        <v>21</v>
      </c>
      <c r="H2411" s="550" t="s">
        <v>262</v>
      </c>
      <c r="I2411" s="558">
        <v>5.37</v>
      </c>
      <c r="J2411" s="566">
        <v>10.5</v>
      </c>
      <c r="K2411" s="563">
        <v>1</v>
      </c>
      <c r="L2411" s="552">
        <f t="shared" si="426"/>
        <v>5.6384999999999998E-2</v>
      </c>
      <c r="M2411" s="567"/>
      <c r="N2411" s="549"/>
      <c r="O2411" s="549"/>
      <c r="P2411" s="549"/>
      <c r="Q2411" s="1059"/>
      <c r="R2411" s="1059"/>
    </row>
    <row r="2412" spans="1:19" ht="17.399999999999999">
      <c r="A2412" s="549"/>
      <c r="B2412" s="549"/>
      <c r="C2412" s="549"/>
      <c r="D2412" s="549"/>
      <c r="E2412" s="549"/>
      <c r="F2412" s="549"/>
      <c r="G2412" s="549" t="s">
        <v>21</v>
      </c>
      <c r="H2412" s="550" t="s">
        <v>262</v>
      </c>
      <c r="I2412" s="558">
        <v>5.37</v>
      </c>
      <c r="J2412" s="566">
        <v>11.3</v>
      </c>
      <c r="K2412" s="563">
        <v>86</v>
      </c>
      <c r="L2412" s="552">
        <f t="shared" si="426"/>
        <v>5.2185660000000009</v>
      </c>
      <c r="M2412" s="567"/>
      <c r="N2412" s="549"/>
      <c r="O2412" s="549"/>
      <c r="P2412" s="549"/>
      <c r="Q2412" s="1059"/>
      <c r="R2412" s="1059"/>
    </row>
    <row r="2413" spans="1:19" ht="17.399999999999999">
      <c r="A2413" s="549"/>
      <c r="B2413" s="549"/>
      <c r="C2413" s="549"/>
      <c r="D2413" s="549"/>
      <c r="E2413" s="549"/>
      <c r="F2413" s="549"/>
      <c r="G2413" s="549"/>
      <c r="H2413" s="549"/>
      <c r="I2413" s="560"/>
      <c r="J2413" s="549"/>
      <c r="K2413" s="564">
        <f>SUM(K2407:K2412)</f>
        <v>398</v>
      </c>
      <c r="L2413" s="565">
        <f>SUM(L2407:L2412)</f>
        <v>21.462279000000002</v>
      </c>
      <c r="M2413" s="549"/>
      <c r="N2413" s="549"/>
      <c r="O2413" s="549"/>
      <c r="P2413" s="549"/>
      <c r="Q2413" s="1059"/>
      <c r="R2413" s="1059"/>
    </row>
    <row r="2414" spans="1:19" s="497" customFormat="1" ht="17.399999999999999">
      <c r="A2414" s="549"/>
      <c r="B2414" s="549"/>
      <c r="C2414" s="549"/>
      <c r="D2414" s="549"/>
      <c r="E2414" s="549"/>
      <c r="F2414" s="549"/>
      <c r="G2414" s="549"/>
      <c r="H2414" s="549"/>
      <c r="I2414" s="560"/>
      <c r="J2414" s="549"/>
      <c r="K2414" s="564"/>
      <c r="L2414" s="565">
        <f>+L2413+L2405+L2402</f>
        <v>22.871839000000005</v>
      </c>
      <c r="M2414" s="549"/>
      <c r="N2414" s="549"/>
      <c r="O2414" s="549"/>
      <c r="P2414" s="549"/>
      <c r="Q2414" s="1059"/>
      <c r="R2414" s="1059"/>
    </row>
    <row r="2415" spans="1:19" s="497" customFormat="1" ht="17.399999999999999">
      <c r="A2415" s="549"/>
      <c r="B2415" s="549"/>
      <c r="C2415" s="549"/>
      <c r="D2415" s="549"/>
      <c r="E2415" s="549"/>
      <c r="F2415" s="549"/>
      <c r="G2415" s="549"/>
      <c r="H2415" s="549"/>
      <c r="I2415" s="560"/>
      <c r="J2415" s="549"/>
      <c r="K2415" s="564"/>
      <c r="L2415" s="565"/>
      <c r="M2415" s="549"/>
      <c r="N2415" s="549"/>
      <c r="O2415" s="549"/>
      <c r="P2415" s="549"/>
      <c r="Q2415" s="1059"/>
      <c r="R2415" s="1059"/>
    </row>
    <row r="2416" spans="1:19" ht="17.399999999999999">
      <c r="A2416" s="549"/>
      <c r="B2416" s="549"/>
      <c r="C2416" s="549"/>
      <c r="D2416" s="549"/>
      <c r="E2416" s="549"/>
      <c r="F2416" s="549"/>
      <c r="G2416" s="549"/>
      <c r="H2416" s="549"/>
      <c r="I2416" s="560"/>
      <c r="J2416" s="549"/>
      <c r="K2416" s="561"/>
      <c r="L2416" s="560"/>
      <c r="M2416" s="549"/>
      <c r="N2416" s="549"/>
      <c r="O2416" s="549"/>
      <c r="P2416" s="549"/>
      <c r="Q2416" s="1059"/>
      <c r="R2416" s="1059"/>
    </row>
    <row r="2417" spans="1:19" ht="17.399999999999999">
      <c r="A2417" s="547" t="s">
        <v>332</v>
      </c>
      <c r="B2417" s="547" t="s">
        <v>341</v>
      </c>
      <c r="C2417" s="547" t="s">
        <v>19</v>
      </c>
      <c r="D2417" s="547" t="s">
        <v>20</v>
      </c>
      <c r="E2417" s="547" t="s">
        <v>47</v>
      </c>
      <c r="F2417" s="548">
        <v>9</v>
      </c>
      <c r="G2417" s="549" t="s">
        <v>21</v>
      </c>
      <c r="H2417" s="599" t="s">
        <v>263</v>
      </c>
      <c r="I2417" s="559">
        <v>6.38</v>
      </c>
      <c r="J2417" s="566">
        <v>10.6</v>
      </c>
      <c r="K2417" s="563">
        <v>58</v>
      </c>
      <c r="L2417" s="552">
        <f t="shared" ref="L2417:L2419" si="427">(I2417*J2417*K2417/1000)</f>
        <v>3.9224239999999999</v>
      </c>
      <c r="M2417" s="549"/>
      <c r="N2417" s="549"/>
      <c r="O2417" s="549"/>
      <c r="P2417" s="549"/>
      <c r="Q2417" s="1059"/>
      <c r="R2417" s="1059"/>
      <c r="S2417" s="497" t="s">
        <v>393</v>
      </c>
    </row>
    <row r="2418" spans="1:19" ht="17.399999999999999">
      <c r="A2418" s="549"/>
      <c r="B2418" s="559" t="s">
        <v>340</v>
      </c>
      <c r="C2418" s="549"/>
      <c r="D2418" s="549"/>
      <c r="E2418" s="549"/>
      <c r="F2418" s="549"/>
      <c r="G2418" s="549" t="s">
        <v>21</v>
      </c>
      <c r="H2418" s="550" t="s">
        <v>263</v>
      </c>
      <c r="I2418" s="559">
        <v>6.38</v>
      </c>
      <c r="J2418" s="566">
        <v>10.25</v>
      </c>
      <c r="K2418" s="563">
        <v>96</v>
      </c>
      <c r="L2418" s="552">
        <f t="shared" si="427"/>
        <v>6.2779199999999999</v>
      </c>
      <c r="M2418" s="549"/>
      <c r="N2418" s="549"/>
      <c r="O2418" s="549"/>
      <c r="P2418" s="549"/>
      <c r="Q2418" s="1059"/>
      <c r="R2418" s="1059"/>
    </row>
    <row r="2419" spans="1:19" ht="17.399999999999999">
      <c r="A2419" s="549"/>
      <c r="B2419" s="549"/>
      <c r="C2419" s="549"/>
      <c r="D2419" s="549"/>
      <c r="E2419" s="549"/>
      <c r="F2419" s="549"/>
      <c r="G2419" s="549" t="s">
        <v>21</v>
      </c>
      <c r="H2419" s="550" t="s">
        <v>263</v>
      </c>
      <c r="I2419" s="559">
        <v>6.38</v>
      </c>
      <c r="J2419" s="566">
        <v>6.8</v>
      </c>
      <c r="K2419" s="563">
        <v>12</v>
      </c>
      <c r="L2419" s="552">
        <f t="shared" si="427"/>
        <v>0.52060799999999996</v>
      </c>
      <c r="M2419" s="549"/>
      <c r="N2419" s="549"/>
      <c r="O2419" s="549"/>
      <c r="P2419" s="549"/>
      <c r="Q2419" s="1059"/>
      <c r="R2419" s="1059"/>
    </row>
    <row r="2420" spans="1:19" ht="17.399999999999999">
      <c r="A2420" s="549"/>
      <c r="B2420" s="549"/>
      <c r="C2420" s="549"/>
      <c r="D2420" s="549"/>
      <c r="E2420" s="549"/>
      <c r="F2420" s="549"/>
      <c r="G2420" s="549"/>
      <c r="H2420" s="549"/>
      <c r="I2420" s="560"/>
      <c r="J2420" s="549"/>
      <c r="K2420" s="564">
        <f>SUM(K2417:K2419)</f>
        <v>166</v>
      </c>
      <c r="L2420" s="565">
        <f>SUM(L2417:L2419)</f>
        <v>10.720951999999999</v>
      </c>
      <c r="M2420" s="549"/>
      <c r="N2420" s="549"/>
      <c r="O2420" s="549"/>
      <c r="P2420" s="549"/>
      <c r="Q2420" s="1059"/>
      <c r="R2420" s="1059"/>
    </row>
    <row r="2421" spans="1:19" ht="17.399999999999999">
      <c r="A2421" s="549"/>
      <c r="B2421" s="549"/>
      <c r="C2421" s="549"/>
      <c r="D2421" s="549"/>
      <c r="E2421" s="549"/>
      <c r="F2421" s="549"/>
      <c r="G2421" s="549"/>
      <c r="H2421" s="549"/>
      <c r="I2421" s="560"/>
      <c r="J2421" s="549"/>
      <c r="K2421" s="561"/>
      <c r="L2421" s="560"/>
      <c r="M2421" s="549"/>
      <c r="N2421" s="549"/>
      <c r="O2421" s="549"/>
      <c r="P2421" s="549"/>
      <c r="Q2421" s="1059"/>
      <c r="R2421" s="1059"/>
    </row>
    <row r="2422" spans="1:19" ht="17.399999999999999">
      <c r="A2422" s="547" t="s">
        <v>272</v>
      </c>
      <c r="B2422" s="547" t="s">
        <v>358</v>
      </c>
      <c r="C2422" s="547" t="s">
        <v>19</v>
      </c>
      <c r="D2422" s="547" t="s">
        <v>49</v>
      </c>
      <c r="E2422" s="547" t="s">
        <v>359</v>
      </c>
      <c r="F2422" s="548">
        <v>9</v>
      </c>
      <c r="G2422" s="549" t="s">
        <v>21</v>
      </c>
      <c r="H2422" s="599" t="s">
        <v>263</v>
      </c>
      <c r="I2422" s="559">
        <v>6.39</v>
      </c>
      <c r="J2422" s="566">
        <v>6.25</v>
      </c>
      <c r="K2422" s="563">
        <v>4</v>
      </c>
      <c r="L2422" s="552">
        <f>(I2422*J2422*K2422/1000)</f>
        <v>0.15975</v>
      </c>
      <c r="M2422" s="549"/>
      <c r="N2422" s="549"/>
      <c r="O2422" s="549"/>
      <c r="P2422" s="549"/>
      <c r="Q2422" s="1059"/>
      <c r="R2422" s="1059"/>
      <c r="S2422" s="497" t="s">
        <v>393</v>
      </c>
    </row>
    <row r="2423" spans="1:19" ht="17.399999999999999">
      <c r="A2423" s="549"/>
      <c r="B2423" s="559" t="s">
        <v>333</v>
      </c>
      <c r="C2423" s="549"/>
      <c r="D2423" s="549"/>
      <c r="E2423" s="549"/>
      <c r="F2423" s="549"/>
      <c r="G2423" s="549"/>
      <c r="H2423" s="549"/>
      <c r="I2423" s="560"/>
      <c r="J2423" s="549"/>
      <c r="K2423" s="564">
        <f>SUM(K2422:K2422)</f>
        <v>4</v>
      </c>
      <c r="L2423" s="565">
        <f>SUM(L2422:L2422)</f>
        <v>0.15975</v>
      </c>
      <c r="M2423" s="549"/>
      <c r="N2423" s="549"/>
      <c r="O2423" s="549"/>
      <c r="P2423" s="549"/>
      <c r="Q2423" s="1059"/>
      <c r="R2423" s="1059"/>
    </row>
    <row r="2424" spans="1:19" ht="17.399999999999999">
      <c r="A2424" s="549"/>
      <c r="B2424" s="549"/>
      <c r="C2424" s="549"/>
      <c r="D2424" s="549"/>
      <c r="E2424" s="549"/>
      <c r="F2424" s="549"/>
      <c r="G2424" s="549"/>
      <c r="H2424" s="549"/>
      <c r="I2424" s="560"/>
      <c r="J2424" s="549"/>
      <c r="K2424" s="561"/>
      <c r="L2424" s="565">
        <f>+L2423+L2420</f>
        <v>10.880701999999999</v>
      </c>
      <c r="M2424" s="549"/>
      <c r="N2424" s="549"/>
      <c r="O2424" s="549"/>
      <c r="P2424" s="549"/>
      <c r="Q2424" s="1059"/>
      <c r="R2424" s="1059"/>
    </row>
    <row r="2425" spans="1:19" ht="17.399999999999999">
      <c r="A2425" s="549"/>
      <c r="B2425" s="549"/>
      <c r="C2425" s="549"/>
      <c r="D2425" s="549"/>
      <c r="E2425" s="549"/>
      <c r="F2425" s="549"/>
      <c r="G2425" s="549"/>
      <c r="H2425" s="549"/>
      <c r="I2425" s="560"/>
      <c r="J2425" s="549"/>
      <c r="K2425" s="561"/>
      <c r="L2425" s="560"/>
      <c r="M2425" s="549"/>
      <c r="N2425" s="549"/>
      <c r="O2425" s="549"/>
      <c r="P2425" s="549"/>
      <c r="Q2425" s="1059"/>
      <c r="R2425" s="1059"/>
    </row>
    <row r="2426" spans="1:19" ht="17.399999999999999">
      <c r="A2426" s="549"/>
      <c r="B2426" s="549"/>
      <c r="C2426" s="549"/>
      <c r="D2426" s="549"/>
      <c r="E2426" s="549"/>
      <c r="F2426" s="549"/>
      <c r="G2426" s="549"/>
      <c r="H2426" s="549"/>
      <c r="I2426" s="560"/>
      <c r="J2426" s="549"/>
      <c r="K2426" s="561"/>
      <c r="L2426" s="568">
        <f>+L2424+L2414+L2397</f>
        <v>47.268958000000012</v>
      </c>
      <c r="M2426" s="549"/>
      <c r="N2426" s="549"/>
      <c r="O2426" s="549"/>
      <c r="P2426" s="549"/>
      <c r="Q2426" s="1059"/>
      <c r="R2426" s="1059"/>
    </row>
    <row r="2427" spans="1:19">
      <c r="A2427" s="10" t="s">
        <v>48</v>
      </c>
      <c r="B2427" s="10"/>
      <c r="C2427" s="11"/>
      <c r="D2427" s="11"/>
      <c r="E2427" s="11"/>
      <c r="F2427" s="92"/>
      <c r="G2427" s="11"/>
      <c r="H2427" s="92"/>
      <c r="I2427" s="13"/>
      <c r="J2427" s="11"/>
      <c r="K2427" s="202"/>
      <c r="L2427" s="2047" t="s">
        <v>0</v>
      </c>
      <c r="M2427" s="2047"/>
      <c r="N2427" s="2047"/>
      <c r="O2427" s="2048"/>
      <c r="P2427" s="2020"/>
      <c r="Q2427" s="142"/>
      <c r="R2427" s="142"/>
    </row>
    <row r="2428" spans="1:19">
      <c r="A2428" s="14" t="s">
        <v>1</v>
      </c>
      <c r="B2428" s="14"/>
      <c r="C2428" s="14"/>
      <c r="D2428" s="15" t="s">
        <v>2</v>
      </c>
      <c r="E2428" s="15"/>
      <c r="F2428" s="16"/>
      <c r="G2428" s="16"/>
      <c r="H2428" s="16"/>
      <c r="I2428" s="17"/>
      <c r="J2428" s="16"/>
      <c r="K2428" s="203" t="s">
        <v>3</v>
      </c>
      <c r="L2428" s="16"/>
      <c r="M2428" s="14"/>
      <c r="N2428" s="16"/>
      <c r="O2428" s="19"/>
      <c r="P2428" s="2020"/>
      <c r="Q2428" s="142"/>
      <c r="R2428" s="142"/>
    </row>
    <row r="2429" spans="1:19" ht="15.6">
      <c r="A2429" s="543" t="s">
        <v>22</v>
      </c>
      <c r="B2429" s="2021" t="s">
        <v>23</v>
      </c>
      <c r="C2429" s="2022"/>
      <c r="D2429" s="2023"/>
      <c r="E2429" s="543" t="s">
        <v>24</v>
      </c>
      <c r="F2429" s="2021" t="s">
        <v>25</v>
      </c>
      <c r="G2429" s="2023"/>
      <c r="H2429" s="2021" t="s">
        <v>26</v>
      </c>
      <c r="I2429" s="2022"/>
      <c r="J2429" s="2022"/>
      <c r="K2429" s="2023"/>
      <c r="L2429" s="2024" t="s">
        <v>27</v>
      </c>
      <c r="M2429" s="2024"/>
      <c r="N2429" s="2024"/>
      <c r="O2429" s="2021"/>
      <c r="P2429" s="2020"/>
      <c r="Q2429" s="142"/>
      <c r="R2429" s="142"/>
    </row>
    <row r="2430" spans="1:19" ht="15.6">
      <c r="A2430" s="38"/>
      <c r="B2430" s="2025"/>
      <c r="C2430" s="2026"/>
      <c r="D2430" s="2027"/>
      <c r="E2430" s="26"/>
      <c r="F2430" s="2025"/>
      <c r="G2430" s="2027"/>
      <c r="H2430" s="2025"/>
      <c r="I2430" s="2026"/>
      <c r="J2430" s="2026"/>
      <c r="K2430" s="2027"/>
      <c r="L2430" s="2025"/>
      <c r="M2430" s="2026"/>
      <c r="N2430" s="2026"/>
      <c r="O2430" s="2026"/>
      <c r="P2430" s="2020"/>
      <c r="Q2430" s="142"/>
      <c r="R2430" s="142"/>
    </row>
    <row r="2431" spans="1:19" ht="15.6">
      <c r="A2431" s="38"/>
      <c r="B2431" s="541"/>
      <c r="C2431" s="540"/>
      <c r="D2431" s="542"/>
      <c r="E2431" s="26"/>
      <c r="F2431" s="541"/>
      <c r="G2431" s="542"/>
      <c r="H2431" s="541"/>
      <c r="I2431" s="1856"/>
      <c r="J2431" s="540"/>
      <c r="K2431" s="204"/>
      <c r="L2431" s="541"/>
      <c r="M2431" s="540"/>
      <c r="N2431" s="540"/>
      <c r="O2431" s="540"/>
      <c r="P2431" s="2020"/>
      <c r="Q2431" s="142"/>
      <c r="R2431" s="142"/>
    </row>
    <row r="2432" spans="1:19" ht="15.6">
      <c r="A2432" s="544" t="s">
        <v>28</v>
      </c>
      <c r="B2432" s="2026" t="s">
        <v>350</v>
      </c>
      <c r="C2432" s="2026"/>
      <c r="D2432" s="2026"/>
      <c r="E2432" s="369">
        <v>12</v>
      </c>
      <c r="F2432" s="2026">
        <v>6.5</v>
      </c>
      <c r="G2432" s="2026"/>
      <c r="H2432" s="2025" t="s">
        <v>155</v>
      </c>
      <c r="I2432" s="2026"/>
      <c r="J2432" s="2026"/>
      <c r="K2432" s="2027"/>
      <c r="L2432" s="2026" t="s">
        <v>64</v>
      </c>
      <c r="M2432" s="2026"/>
      <c r="N2432" s="2026"/>
      <c r="O2432" s="2026"/>
      <c r="P2432" s="2020"/>
      <c r="Q2432" s="142"/>
      <c r="R2432" s="142"/>
    </row>
    <row r="2433" spans="1:18" ht="15.6">
      <c r="A2433" s="544"/>
      <c r="B2433" s="540"/>
      <c r="C2433" s="540"/>
      <c r="D2433" s="540"/>
      <c r="E2433" s="369"/>
      <c r="F2433" s="540"/>
      <c r="G2433" s="540"/>
      <c r="H2433" s="541"/>
      <c r="I2433" s="1856"/>
      <c r="J2433" s="540"/>
      <c r="K2433" s="542"/>
      <c r="L2433" s="540"/>
      <c r="M2433" s="540"/>
      <c r="N2433" s="540"/>
      <c r="O2433" s="540"/>
      <c r="P2433" s="2020"/>
      <c r="Q2433" s="142"/>
      <c r="R2433" s="142"/>
    </row>
    <row r="2434" spans="1:18" ht="15.6">
      <c r="A2434" s="544"/>
      <c r="B2434" s="540"/>
      <c r="C2434" s="540"/>
      <c r="D2434" s="540"/>
      <c r="E2434" s="369"/>
      <c r="F2434" s="540"/>
      <c r="G2434" s="540"/>
      <c r="H2434" s="541"/>
      <c r="I2434" s="1856"/>
      <c r="J2434" s="540"/>
      <c r="K2434" s="542"/>
      <c r="L2434" s="540"/>
      <c r="M2434" s="540"/>
      <c r="N2434" s="540"/>
      <c r="O2434" s="540"/>
      <c r="P2434" s="2020"/>
      <c r="Q2434" s="142"/>
      <c r="R2434" s="142"/>
    </row>
    <row r="2435" spans="1:18" ht="15.6">
      <c r="A2435" s="544" t="s">
        <v>29</v>
      </c>
      <c r="B2435" s="2026" t="s">
        <v>351</v>
      </c>
      <c r="C2435" s="2026"/>
      <c r="D2435" s="2026"/>
      <c r="E2435" s="369">
        <v>13.516</v>
      </c>
      <c r="F2435" s="2026">
        <v>9</v>
      </c>
      <c r="G2435" s="2026"/>
      <c r="H2435" s="2025" t="s">
        <v>155</v>
      </c>
      <c r="I2435" s="2026"/>
      <c r="J2435" s="2026"/>
      <c r="K2435" s="2027"/>
      <c r="L2435" s="2026" t="s">
        <v>64</v>
      </c>
      <c r="M2435" s="2026"/>
      <c r="N2435" s="2026"/>
      <c r="O2435" s="2026"/>
      <c r="P2435" s="2020"/>
      <c r="Q2435" s="142"/>
      <c r="R2435" s="142"/>
    </row>
    <row r="2436" spans="1:18" ht="15.6">
      <c r="A2436" s="544"/>
      <c r="B2436" s="540"/>
      <c r="C2436" s="540"/>
      <c r="D2436" s="540"/>
      <c r="E2436" s="369"/>
      <c r="F2436" s="540"/>
      <c r="G2436" s="540"/>
      <c r="H2436" s="541"/>
      <c r="I2436" s="1856"/>
      <c r="J2436" s="540"/>
      <c r="K2436" s="542"/>
      <c r="L2436" s="540"/>
      <c r="M2436" s="540"/>
      <c r="N2436" s="540"/>
      <c r="O2436" s="540"/>
      <c r="P2436" s="2020"/>
      <c r="Q2436" s="142"/>
      <c r="R2436" s="142"/>
    </row>
    <row r="2437" spans="1:18" ht="15.6">
      <c r="A2437" s="38" t="s">
        <v>30</v>
      </c>
      <c r="B2437" s="2025" t="s">
        <v>352</v>
      </c>
      <c r="C2437" s="2026"/>
      <c r="D2437" s="2027"/>
      <c r="E2437" s="26">
        <v>22.87</v>
      </c>
      <c r="F2437" s="2025">
        <v>9</v>
      </c>
      <c r="G2437" s="2027"/>
      <c r="H2437" s="2025" t="s">
        <v>49</v>
      </c>
      <c r="I2437" s="2026"/>
      <c r="J2437" s="2026"/>
      <c r="K2437" s="2027"/>
      <c r="L2437" s="2026" t="s">
        <v>65</v>
      </c>
      <c r="M2437" s="2026"/>
      <c r="N2437" s="2026"/>
      <c r="O2437" s="2026"/>
      <c r="P2437" s="2020"/>
      <c r="Q2437" s="142"/>
      <c r="R2437" s="142"/>
    </row>
    <row r="2438" spans="1:18" ht="15.6">
      <c r="A2438" s="38" t="s">
        <v>46</v>
      </c>
      <c r="B2438" s="2025" t="s">
        <v>353</v>
      </c>
      <c r="C2438" s="2026"/>
      <c r="D2438" s="2027"/>
      <c r="E2438" s="26">
        <v>10.881</v>
      </c>
      <c r="F2438" s="2025">
        <v>9</v>
      </c>
      <c r="G2438" s="2027"/>
      <c r="H2438" s="2025" t="s">
        <v>49</v>
      </c>
      <c r="I2438" s="2026"/>
      <c r="J2438" s="2026"/>
      <c r="K2438" s="2027"/>
      <c r="L2438" s="2025" t="s">
        <v>283</v>
      </c>
      <c r="M2438" s="2026"/>
      <c r="N2438" s="2026"/>
      <c r="O2438" s="2026"/>
      <c r="P2438" s="2020"/>
      <c r="Q2438" s="142"/>
      <c r="R2438" s="142"/>
    </row>
    <row r="2439" spans="1:18" ht="15.6">
      <c r="A2439" s="38"/>
      <c r="B2439" s="541"/>
      <c r="C2439" s="540"/>
      <c r="D2439" s="542"/>
      <c r="E2439" s="26"/>
      <c r="F2439" s="541"/>
      <c r="G2439" s="542"/>
      <c r="H2439" s="541"/>
      <c r="I2439" s="1856"/>
      <c r="J2439" s="540"/>
      <c r="K2439" s="542"/>
      <c r="L2439" s="541"/>
      <c r="M2439" s="540"/>
      <c r="N2439" s="540"/>
      <c r="O2439" s="540"/>
      <c r="P2439" s="2020"/>
      <c r="Q2439" s="142"/>
      <c r="R2439" s="142"/>
    </row>
    <row r="2440" spans="1:18" ht="16.2" thickBot="1">
      <c r="A2440" s="38"/>
      <c r="B2440" s="541"/>
      <c r="C2440" s="540"/>
      <c r="D2440" s="540"/>
      <c r="E2440" s="26"/>
      <c r="F2440" s="540"/>
      <c r="G2440" s="542"/>
      <c r="H2440" s="541"/>
      <c r="I2440" s="1856"/>
      <c r="J2440" s="540"/>
      <c r="K2440" s="204"/>
      <c r="L2440" s="39"/>
      <c r="M2440" s="40"/>
      <c r="N2440" s="40"/>
      <c r="O2440" s="40"/>
      <c r="P2440" s="2020"/>
      <c r="Q2440" s="142"/>
      <c r="R2440" s="142"/>
    </row>
    <row r="2441" spans="1:18" ht="15.6">
      <c r="A2441" s="41"/>
      <c r="B2441" s="42"/>
      <c r="C2441" s="43"/>
      <c r="D2441" s="43"/>
      <c r="E2441" s="2028">
        <f>SUM(E2430:E2440)</f>
        <v>59.266999999999996</v>
      </c>
      <c r="F2441" s="44"/>
      <c r="G2441" s="45"/>
      <c r="H2441" s="46"/>
      <c r="I2441" s="1858"/>
      <c r="J2441" s="43"/>
      <c r="K2441" s="205"/>
      <c r="L2441" s="46"/>
      <c r="M2441" s="43"/>
      <c r="N2441" s="44"/>
      <c r="O2441" s="43"/>
      <c r="P2441" s="2020"/>
      <c r="Q2441" s="142"/>
      <c r="R2441" s="142"/>
    </row>
    <row r="2442" spans="1:18" ht="16.2" thickBot="1">
      <c r="A2442" s="47"/>
      <c r="B2442" s="48"/>
      <c r="C2442" s="49"/>
      <c r="D2442" s="49"/>
      <c r="E2442" s="2029"/>
      <c r="F2442" s="50"/>
      <c r="G2442" s="51"/>
      <c r="H2442" s="52"/>
      <c r="I2442" s="1860"/>
      <c r="J2442" s="49"/>
      <c r="K2442" s="206"/>
      <c r="L2442" s="52"/>
      <c r="M2442" s="49"/>
      <c r="N2442" s="50"/>
      <c r="O2442" s="49"/>
      <c r="P2442" s="2020"/>
      <c r="Q2442" s="142"/>
      <c r="R2442" s="142"/>
    </row>
    <row r="2443" spans="1:18" ht="15.6">
      <c r="A2443" s="53" t="s">
        <v>31</v>
      </c>
      <c r="B2443" s="43"/>
      <c r="C2443" s="43"/>
      <c r="D2443" s="43"/>
      <c r="E2443" s="43"/>
      <c r="F2443" s="44"/>
      <c r="G2443" s="43"/>
      <c r="H2443" s="44"/>
      <c r="I2443" s="1858"/>
      <c r="J2443" s="43"/>
      <c r="K2443" s="207"/>
      <c r="L2443" s="44"/>
      <c r="M2443" s="43"/>
      <c r="N2443" s="44"/>
      <c r="O2443" s="43"/>
      <c r="P2443" s="2020"/>
      <c r="Q2443" s="142"/>
      <c r="R2443" s="142"/>
    </row>
    <row r="2444" spans="1:18" ht="15.6">
      <c r="A2444" s="54"/>
      <c r="B2444" s="55"/>
      <c r="C2444" s="55"/>
      <c r="D2444" s="55"/>
      <c r="E2444" s="55"/>
      <c r="F2444" s="545"/>
      <c r="G2444" s="55"/>
      <c r="H2444" s="545"/>
      <c r="I2444" s="1859"/>
      <c r="J2444" s="55"/>
      <c r="K2444" s="208"/>
      <c r="L2444" s="545"/>
      <c r="M2444" s="55"/>
      <c r="N2444" s="545"/>
      <c r="O2444" s="55"/>
      <c r="P2444" s="2020"/>
      <c r="Q2444" s="142"/>
      <c r="R2444" s="142"/>
    </row>
    <row r="2445" spans="1:18" ht="16.2" thickBot="1">
      <c r="A2445" s="2030" t="s">
        <v>32</v>
      </c>
      <c r="B2445" s="2031"/>
      <c r="C2445" s="2032" t="s">
        <v>33</v>
      </c>
      <c r="D2445" s="2033"/>
      <c r="E2445" s="57" t="s">
        <v>34</v>
      </c>
      <c r="F2445" s="57" t="s">
        <v>35</v>
      </c>
      <c r="G2445" s="2034" t="s">
        <v>36</v>
      </c>
      <c r="H2445" s="2035"/>
      <c r="I2445" s="2035"/>
      <c r="J2445" s="2035"/>
      <c r="K2445" s="2035"/>
      <c r="L2445" s="2035"/>
      <c r="M2445" s="2035"/>
      <c r="N2445" s="2035"/>
      <c r="O2445" s="2035"/>
      <c r="P2445" s="2020"/>
      <c r="Q2445" s="142"/>
      <c r="R2445" s="142"/>
    </row>
    <row r="2446" spans="1:18" ht="15.6">
      <c r="A2446" s="2036"/>
      <c r="B2446" s="2023"/>
      <c r="C2446" s="2021"/>
      <c r="D2446" s="2023"/>
      <c r="E2446" s="543"/>
      <c r="F2446" s="538"/>
      <c r="G2446" s="2037"/>
      <c r="H2446" s="2038"/>
      <c r="I2446" s="2038"/>
      <c r="J2446" s="2038"/>
      <c r="K2446" s="2038"/>
      <c r="L2446" s="2038"/>
      <c r="M2446" s="2038"/>
      <c r="N2446" s="2038"/>
      <c r="O2446" s="2038"/>
      <c r="P2446" s="2020"/>
      <c r="Q2446" s="142"/>
      <c r="R2446" s="142"/>
    </row>
    <row r="2447" spans="1:18" ht="15.6">
      <c r="A2447" s="2043" t="s">
        <v>37</v>
      </c>
      <c r="B2447" s="2044"/>
      <c r="C2447" s="2021"/>
      <c r="D2447" s="2023"/>
      <c r="E2447" s="543"/>
      <c r="F2447" s="538"/>
      <c r="G2447" s="2039"/>
      <c r="H2447" s="2040"/>
      <c r="I2447" s="2040"/>
      <c r="J2447" s="2040"/>
      <c r="K2447" s="2040"/>
      <c r="L2447" s="2040"/>
      <c r="M2447" s="2040"/>
      <c r="N2447" s="2040"/>
      <c r="O2447" s="2040"/>
      <c r="P2447" s="2020"/>
      <c r="Q2447" s="142"/>
      <c r="R2447" s="142"/>
    </row>
    <row r="2448" spans="1:18" ht="15.6">
      <c r="A2448" s="2043" t="s">
        <v>38</v>
      </c>
      <c r="B2448" s="2044"/>
      <c r="C2448" s="2021"/>
      <c r="D2448" s="2023"/>
      <c r="E2448" s="543"/>
      <c r="F2448" s="538"/>
      <c r="G2448" s="2039"/>
      <c r="H2448" s="2040"/>
      <c r="I2448" s="2040"/>
      <c r="J2448" s="2040"/>
      <c r="K2448" s="2040"/>
      <c r="L2448" s="2040"/>
      <c r="M2448" s="2040"/>
      <c r="N2448" s="2040"/>
      <c r="O2448" s="2040"/>
      <c r="P2448" s="2020"/>
      <c r="Q2448" s="142"/>
      <c r="R2448" s="142"/>
    </row>
    <row r="2449" spans="1:19" ht="15.6">
      <c r="A2449" s="2043" t="s">
        <v>39</v>
      </c>
      <c r="B2449" s="2044"/>
      <c r="C2449" s="2021"/>
      <c r="D2449" s="2023"/>
      <c r="E2449" s="543"/>
      <c r="F2449" s="538"/>
      <c r="G2449" s="2039"/>
      <c r="H2449" s="2040"/>
      <c r="I2449" s="2040"/>
      <c r="J2449" s="2040"/>
      <c r="K2449" s="2040"/>
      <c r="L2449" s="2040"/>
      <c r="M2449" s="2040"/>
      <c r="N2449" s="2040"/>
      <c r="O2449" s="2040"/>
      <c r="P2449" s="2020"/>
      <c r="Q2449" s="142"/>
      <c r="R2449" s="142"/>
    </row>
    <row r="2450" spans="1:19" ht="15.6">
      <c r="A2450" s="2043" t="s">
        <v>40</v>
      </c>
      <c r="B2450" s="2044"/>
      <c r="C2450" s="2021"/>
      <c r="D2450" s="2023"/>
      <c r="E2450" s="543"/>
      <c r="F2450" s="538"/>
      <c r="G2450" s="2039"/>
      <c r="H2450" s="2040"/>
      <c r="I2450" s="2040"/>
      <c r="J2450" s="2040"/>
      <c r="K2450" s="2040"/>
      <c r="L2450" s="2040"/>
      <c r="M2450" s="2040"/>
      <c r="N2450" s="2040"/>
      <c r="O2450" s="2040"/>
      <c r="P2450" s="2020"/>
      <c r="Q2450" s="142"/>
      <c r="R2450" s="142"/>
    </row>
    <row r="2451" spans="1:19" ht="16.2" thickBot="1">
      <c r="A2451" s="2049" t="s">
        <v>41</v>
      </c>
      <c r="B2451" s="2050"/>
      <c r="C2451" s="2051"/>
      <c r="D2451" s="2052"/>
      <c r="E2451" s="58"/>
      <c r="F2451" s="539"/>
      <c r="G2451" s="2041"/>
      <c r="H2451" s="2042"/>
      <c r="I2451" s="2042"/>
      <c r="J2451" s="2042"/>
      <c r="K2451" s="2042"/>
      <c r="L2451" s="2042"/>
      <c r="M2451" s="2042"/>
      <c r="N2451" s="2042"/>
      <c r="O2451" s="2042"/>
      <c r="P2451" s="2020"/>
      <c r="Q2451" s="142"/>
      <c r="R2451" s="142"/>
    </row>
    <row r="2452" spans="1:19" ht="15.6">
      <c r="A2452" s="54"/>
      <c r="B2452" s="55"/>
      <c r="C2452" s="55"/>
      <c r="D2452" s="55"/>
      <c r="E2452" s="55"/>
      <c r="F2452" s="545"/>
      <c r="G2452" s="55"/>
      <c r="H2452" s="59"/>
      <c r="I2452" s="60"/>
      <c r="J2452" s="61"/>
      <c r="K2452" s="209"/>
      <c r="L2452" s="301"/>
      <c r="M2452" s="55"/>
      <c r="N2452" s="545"/>
      <c r="O2452" s="55"/>
      <c r="P2452" s="2020"/>
      <c r="Q2452" s="142"/>
      <c r="R2452" s="142"/>
    </row>
    <row r="2453" spans="1:19" ht="15.6">
      <c r="A2453" s="62" t="s">
        <v>42</v>
      </c>
      <c r="B2453" s="56"/>
      <c r="C2453" s="55"/>
      <c r="D2453" s="55"/>
      <c r="E2453" s="55"/>
      <c r="F2453" s="545"/>
      <c r="G2453" s="56"/>
      <c r="H2453" s="59"/>
      <c r="I2453" s="60"/>
      <c r="J2453" s="61"/>
      <c r="K2453" s="208"/>
      <c r="L2453" s="302"/>
      <c r="M2453" s="55"/>
      <c r="N2453" s="2045" t="s">
        <v>43</v>
      </c>
      <c r="O2453" s="2045"/>
      <c r="P2453" s="2020"/>
      <c r="Q2453" s="142"/>
      <c r="R2453" s="142"/>
    </row>
    <row r="2454" spans="1:19" ht="15.6">
      <c r="A2454" s="62"/>
      <c r="B2454" s="56"/>
      <c r="C2454" s="55"/>
      <c r="D2454" s="55"/>
      <c r="E2454" s="55"/>
      <c r="F2454" s="545"/>
      <c r="G2454" s="55"/>
      <c r="H2454" s="545"/>
      <c r="I2454" s="1859"/>
      <c r="J2454" s="55"/>
      <c r="K2454" s="208"/>
      <c r="L2454" s="545"/>
      <c r="M2454" s="55"/>
      <c r="N2454" s="545"/>
      <c r="O2454" s="56"/>
      <c r="P2454" s="2020"/>
      <c r="Q2454" s="142"/>
      <c r="R2454" s="142"/>
    </row>
    <row r="2455" spans="1:19" ht="15.6">
      <c r="A2455" s="62" t="s">
        <v>44</v>
      </c>
      <c r="B2455" s="56"/>
      <c r="C2455" s="55"/>
      <c r="D2455" s="55"/>
      <c r="E2455" s="55"/>
      <c r="F2455" s="545"/>
      <c r="G2455" s="55"/>
      <c r="H2455" s="545"/>
      <c r="I2455" s="1859"/>
      <c r="J2455" s="55"/>
      <c r="K2455" s="208"/>
      <c r="L2455" s="545"/>
      <c r="M2455" s="55"/>
      <c r="N2455" s="2045" t="s">
        <v>45</v>
      </c>
      <c r="O2455" s="2045"/>
      <c r="P2455" s="2020"/>
      <c r="Q2455" s="142"/>
      <c r="R2455" s="142"/>
    </row>
    <row r="2456" spans="1:19" ht="16.2" thickBot="1">
      <c r="A2456" s="48"/>
      <c r="B2456" s="49"/>
      <c r="C2456" s="49"/>
      <c r="D2456" s="49"/>
      <c r="E2456" s="49"/>
      <c r="F2456" s="50"/>
      <c r="G2456" s="49"/>
      <c r="H2456" s="50"/>
      <c r="I2456" s="1860"/>
      <c r="J2456" s="49"/>
      <c r="K2456" s="210"/>
      <c r="L2456" s="50"/>
      <c r="M2456" s="49"/>
      <c r="N2456" s="50"/>
      <c r="O2456" s="49"/>
      <c r="P2456" s="2020"/>
      <c r="Q2456" s="142"/>
      <c r="R2456" s="142"/>
    </row>
    <row r="2459" spans="1:19" ht="15.6">
      <c r="A2459" s="468" t="s">
        <v>48</v>
      </c>
      <c r="B2459" s="468"/>
      <c r="C2459" s="469"/>
      <c r="D2459" s="469"/>
      <c r="E2459" s="469"/>
      <c r="F2459" s="470"/>
      <c r="G2459" s="469"/>
      <c r="H2459" s="469"/>
      <c r="I2459" s="471"/>
      <c r="J2459" s="472"/>
      <c r="K2459" s="473"/>
      <c r="L2459" s="2046" t="s">
        <v>0</v>
      </c>
      <c r="M2459" s="2046"/>
      <c r="N2459" s="2046"/>
      <c r="O2459" s="2046"/>
      <c r="P2459" s="474"/>
      <c r="Q2459" s="474"/>
      <c r="R2459" s="474"/>
    </row>
    <row r="2460" spans="1:19" ht="15.6">
      <c r="A2460" s="27" t="s">
        <v>1</v>
      </c>
      <c r="B2460" s="27"/>
      <c r="C2460" s="27"/>
      <c r="D2460" s="28" t="s">
        <v>2</v>
      </c>
      <c r="E2460" s="28"/>
      <c r="F2460" s="29"/>
      <c r="G2460" s="29"/>
      <c r="H2460" s="29"/>
      <c r="I2460" s="30"/>
      <c r="J2460" s="546"/>
      <c r="K2460" s="197" t="s">
        <v>3</v>
      </c>
      <c r="L2460" s="546"/>
      <c r="M2460" s="27"/>
      <c r="N2460" s="29"/>
      <c r="O2460" s="27"/>
      <c r="P2460" s="475"/>
      <c r="Q2460" s="155"/>
      <c r="R2460" s="155"/>
    </row>
    <row r="2461" spans="1:19" ht="31.2">
      <c r="A2461" s="32" t="s">
        <v>4</v>
      </c>
      <c r="B2461" s="32" t="s">
        <v>5</v>
      </c>
      <c r="C2461" s="32" t="s">
        <v>6</v>
      </c>
      <c r="D2461" s="32" t="s">
        <v>7</v>
      </c>
      <c r="E2461" s="32" t="s">
        <v>8</v>
      </c>
      <c r="F2461" s="33" t="s">
        <v>9</v>
      </c>
      <c r="G2461" s="34" t="s">
        <v>10</v>
      </c>
      <c r="H2461" s="34" t="s">
        <v>11</v>
      </c>
      <c r="I2461" s="35" t="s">
        <v>12</v>
      </c>
      <c r="J2461" s="36" t="s">
        <v>13</v>
      </c>
      <c r="K2461" s="198" t="s">
        <v>14</v>
      </c>
      <c r="L2461" s="297" t="s">
        <v>15</v>
      </c>
      <c r="M2461" s="33" t="s">
        <v>16</v>
      </c>
      <c r="N2461" s="33" t="s">
        <v>17</v>
      </c>
      <c r="O2461" s="34" t="s">
        <v>18</v>
      </c>
      <c r="P2461" s="33" t="s">
        <v>192</v>
      </c>
      <c r="Q2461" s="1057"/>
      <c r="R2461" s="1057"/>
    </row>
    <row r="2462" spans="1:19" ht="15.6">
      <c r="A2462" s="20"/>
      <c r="B2462" s="20"/>
      <c r="C2462" s="20"/>
      <c r="D2462" s="20"/>
      <c r="E2462" s="20"/>
      <c r="F2462" s="20"/>
      <c r="G2462" s="20"/>
      <c r="H2462" s="20"/>
      <c r="I2462" s="131"/>
      <c r="J2462" s="20"/>
      <c r="K2462" s="211"/>
      <c r="L2462" s="131"/>
      <c r="M2462" s="20"/>
      <c r="N2462" s="20"/>
      <c r="O2462" s="20"/>
      <c r="P2462" s="20"/>
      <c r="Q2462" s="155"/>
      <c r="R2462" s="155"/>
    </row>
    <row r="2463" spans="1:19" ht="15.6">
      <c r="A2463" s="21" t="s">
        <v>272</v>
      </c>
      <c r="B2463" s="21" t="s">
        <v>360</v>
      </c>
      <c r="C2463" s="21" t="s">
        <v>19</v>
      </c>
      <c r="D2463" s="21" t="s">
        <v>155</v>
      </c>
      <c r="E2463" s="21" t="s">
        <v>270</v>
      </c>
      <c r="F2463" s="22">
        <v>7</v>
      </c>
      <c r="G2463" s="20" t="s">
        <v>61</v>
      </c>
      <c r="H2463" s="143" t="s">
        <v>274</v>
      </c>
      <c r="I2463" s="178">
        <v>9</v>
      </c>
      <c r="J2463" s="178">
        <v>10.5</v>
      </c>
      <c r="K2463" s="383">
        <v>8</v>
      </c>
      <c r="L2463" s="100">
        <f>(I2463*J2463*K2463/1000)</f>
        <v>0.75600000000000001</v>
      </c>
      <c r="M2463" s="20"/>
      <c r="N2463" s="20"/>
      <c r="O2463" s="20"/>
      <c r="P2463" s="20"/>
      <c r="Q2463" s="155"/>
      <c r="R2463" s="155"/>
      <c r="S2463" s="497" t="s">
        <v>390</v>
      </c>
    </row>
    <row r="2464" spans="1:19" ht="15.6">
      <c r="A2464" s="20"/>
      <c r="B2464" s="503" t="s">
        <v>271</v>
      </c>
      <c r="C2464" s="20"/>
      <c r="D2464" s="20"/>
      <c r="E2464" s="20"/>
      <c r="F2464" s="20"/>
      <c r="G2464" s="20"/>
      <c r="H2464" s="20"/>
      <c r="I2464" s="131"/>
      <c r="J2464" s="20"/>
      <c r="K2464" s="104">
        <f>SUM(K2463:K2463)</f>
        <v>8</v>
      </c>
      <c r="L2464" s="124">
        <f>SUM(L2463:L2463)</f>
        <v>0.75600000000000001</v>
      </c>
      <c r="M2464" s="20"/>
      <c r="N2464" s="20"/>
      <c r="O2464" s="20"/>
      <c r="P2464" s="20"/>
      <c r="Q2464" s="155"/>
      <c r="R2464" s="155"/>
    </row>
    <row r="2465" spans="1:19" ht="15.6">
      <c r="A2465" s="20"/>
      <c r="B2465" s="20"/>
      <c r="C2465" s="20"/>
      <c r="D2465" s="20"/>
      <c r="E2465" s="20"/>
      <c r="F2465" s="20"/>
      <c r="G2465" s="20"/>
      <c r="H2465" s="20"/>
      <c r="I2465" s="131"/>
      <c r="J2465" s="20"/>
      <c r="K2465" s="211"/>
      <c r="L2465" s="131"/>
      <c r="M2465" s="20"/>
      <c r="N2465" s="20"/>
      <c r="O2465" s="20"/>
      <c r="P2465" s="20"/>
      <c r="Q2465" s="155"/>
      <c r="R2465" s="155"/>
    </row>
    <row r="2466" spans="1:19" ht="15.6">
      <c r="A2466" s="21" t="s">
        <v>272</v>
      </c>
      <c r="B2466" s="21" t="s">
        <v>363</v>
      </c>
      <c r="C2466" s="21" t="s">
        <v>19</v>
      </c>
      <c r="D2466" s="21" t="s">
        <v>155</v>
      </c>
      <c r="E2466" s="21" t="s">
        <v>270</v>
      </c>
      <c r="F2466" s="22">
        <v>7</v>
      </c>
      <c r="G2466" s="20" t="s">
        <v>61</v>
      </c>
      <c r="H2466" s="143" t="s">
        <v>274</v>
      </c>
      <c r="I2466" s="178">
        <v>9</v>
      </c>
      <c r="J2466" s="179">
        <v>12</v>
      </c>
      <c r="K2466" s="383">
        <v>456</v>
      </c>
      <c r="L2466" s="100">
        <f t="shared" ref="L2466" si="428">(I2466*J2466*K2466/1000)</f>
        <v>49.247999999999998</v>
      </c>
      <c r="M2466" s="20"/>
      <c r="N2466" s="20"/>
      <c r="O2466" s="20"/>
      <c r="P2466" s="20"/>
      <c r="Q2466" s="155"/>
      <c r="R2466" s="155"/>
      <c r="S2466" s="497" t="s">
        <v>390</v>
      </c>
    </row>
    <row r="2467" spans="1:19" ht="15.6">
      <c r="A2467" s="20"/>
      <c r="B2467" s="503" t="s">
        <v>271</v>
      </c>
      <c r="C2467" s="20"/>
      <c r="D2467" s="20"/>
      <c r="E2467" s="20"/>
      <c r="F2467" s="20"/>
      <c r="G2467" s="20" t="s">
        <v>61</v>
      </c>
      <c r="H2467" s="37" t="s">
        <v>274</v>
      </c>
      <c r="I2467" s="178">
        <v>9</v>
      </c>
      <c r="J2467" s="179">
        <v>10</v>
      </c>
      <c r="K2467" s="383">
        <v>65</v>
      </c>
      <c r="L2467" s="100">
        <f>(I2467*J2467*K2467/1000)</f>
        <v>5.85</v>
      </c>
      <c r="M2467" s="20"/>
      <c r="N2467" s="20"/>
      <c r="O2467" s="20"/>
      <c r="P2467" s="20"/>
      <c r="Q2467" s="155"/>
      <c r="R2467" s="155"/>
    </row>
    <row r="2468" spans="1:19" ht="15.6">
      <c r="A2468" s="20"/>
      <c r="B2468" s="20"/>
      <c r="C2468" s="20"/>
      <c r="D2468" s="20"/>
      <c r="E2468" s="20"/>
      <c r="F2468" s="20"/>
      <c r="G2468" s="20"/>
      <c r="H2468" s="20"/>
      <c r="I2468" s="131"/>
      <c r="J2468" s="20"/>
      <c r="K2468" s="104">
        <f>SUM(K2466:K2467)</f>
        <v>521</v>
      </c>
      <c r="L2468" s="124">
        <f>SUM(L2466:L2467)</f>
        <v>55.097999999999999</v>
      </c>
      <c r="M2468" s="20"/>
      <c r="N2468" s="20"/>
      <c r="O2468" s="20"/>
      <c r="P2468" s="20"/>
      <c r="Q2468" s="155"/>
      <c r="R2468" s="155"/>
    </row>
    <row r="2469" spans="1:19" s="497" customFormat="1" ht="15.6">
      <c r="A2469" s="20"/>
      <c r="B2469" s="20"/>
      <c r="C2469" s="20"/>
      <c r="D2469" s="20"/>
      <c r="E2469" s="20"/>
      <c r="F2469" s="20"/>
      <c r="G2469" s="20"/>
      <c r="H2469" s="20"/>
      <c r="I2469" s="131"/>
      <c r="J2469" s="20"/>
      <c r="K2469" s="104"/>
      <c r="L2469" s="124"/>
      <c r="M2469" s="20"/>
      <c r="N2469" s="20"/>
      <c r="O2469" s="20"/>
      <c r="P2469" s="20"/>
      <c r="Q2469" s="155"/>
      <c r="R2469" s="155"/>
    </row>
    <row r="2470" spans="1:19" s="497" customFormat="1" ht="15.6">
      <c r="A2470" s="21" t="s">
        <v>272</v>
      </c>
      <c r="B2470" s="21" t="s">
        <v>273</v>
      </c>
      <c r="C2470" s="21" t="s">
        <v>19</v>
      </c>
      <c r="D2470" s="21" t="s">
        <v>155</v>
      </c>
      <c r="E2470" s="21" t="s">
        <v>270</v>
      </c>
      <c r="F2470" s="22">
        <v>7</v>
      </c>
      <c r="G2470" s="20" t="s">
        <v>61</v>
      </c>
      <c r="H2470" s="143" t="s">
        <v>274</v>
      </c>
      <c r="I2470" s="178">
        <v>9</v>
      </c>
      <c r="J2470" s="178">
        <v>11</v>
      </c>
      <c r="K2470" s="383">
        <f>30+62</f>
        <v>92</v>
      </c>
      <c r="L2470" s="100">
        <f>(I2470*J2470*K2470/1000)</f>
        <v>9.1080000000000005</v>
      </c>
      <c r="M2470" s="20"/>
      <c r="N2470" s="20"/>
      <c r="O2470" s="20"/>
      <c r="P2470" s="20"/>
      <c r="Q2470" s="155"/>
      <c r="R2470" s="155"/>
      <c r="S2470" s="497" t="s">
        <v>391</v>
      </c>
    </row>
    <row r="2471" spans="1:19" s="497" customFormat="1" ht="15.6">
      <c r="A2471" s="20"/>
      <c r="B2471" s="570" t="s">
        <v>364</v>
      </c>
      <c r="C2471" s="20"/>
      <c r="D2471" s="20"/>
      <c r="E2471" s="20"/>
      <c r="F2471" s="20"/>
      <c r="G2471" s="20"/>
      <c r="H2471" s="20"/>
      <c r="I2471" s="131"/>
      <c r="J2471" s="20"/>
      <c r="K2471" s="104">
        <f>SUM(K2470:K2470)</f>
        <v>92</v>
      </c>
      <c r="L2471" s="124">
        <f>SUM(L2470:L2470)</f>
        <v>9.1080000000000005</v>
      </c>
      <c r="M2471" s="20"/>
      <c r="N2471" s="20"/>
      <c r="O2471" s="20"/>
      <c r="P2471" s="20"/>
      <c r="Q2471" s="155"/>
      <c r="R2471" s="155"/>
    </row>
    <row r="2472" spans="1:19" ht="15.6">
      <c r="A2472" s="20"/>
      <c r="B2472" s="20"/>
      <c r="C2472" s="20"/>
      <c r="D2472" s="20"/>
      <c r="E2472" s="20"/>
      <c r="F2472" s="20"/>
      <c r="G2472" s="20"/>
      <c r="H2472" s="20"/>
      <c r="I2472" s="131"/>
      <c r="J2472" s="20"/>
      <c r="K2472" s="104">
        <f>SUM(K2463:K2471)/2</f>
        <v>621</v>
      </c>
      <c r="L2472" s="124">
        <f>SUM(L2463:L2471)/2</f>
        <v>64.962000000000003</v>
      </c>
      <c r="M2472" s="20"/>
      <c r="N2472" s="20"/>
      <c r="O2472" s="20"/>
      <c r="P2472" s="20"/>
      <c r="Q2472" s="155"/>
      <c r="R2472" s="155"/>
    </row>
    <row r="2473" spans="1:19" ht="15.6">
      <c r="A2473" s="20"/>
      <c r="B2473" s="20"/>
      <c r="C2473" s="20"/>
      <c r="D2473" s="20"/>
      <c r="E2473" s="20"/>
      <c r="F2473" s="20"/>
      <c r="G2473" s="20"/>
      <c r="H2473" s="20"/>
      <c r="I2473" s="131"/>
      <c r="J2473" s="20"/>
      <c r="K2473" s="211"/>
      <c r="L2473" s="131"/>
      <c r="M2473" s="20"/>
      <c r="N2473" s="20"/>
      <c r="O2473" s="20"/>
      <c r="P2473" s="20"/>
      <c r="Q2473" s="155"/>
      <c r="R2473" s="155"/>
    </row>
    <row r="2474" spans="1:19" ht="15.6">
      <c r="A2474" s="20"/>
      <c r="B2474" s="20"/>
      <c r="C2474" s="20"/>
      <c r="D2474" s="20"/>
      <c r="E2474" s="20"/>
      <c r="F2474" s="20"/>
      <c r="G2474" s="20"/>
      <c r="H2474" s="20"/>
      <c r="I2474" s="131"/>
      <c r="J2474" s="20"/>
      <c r="K2474" s="211"/>
      <c r="L2474" s="131"/>
      <c r="M2474" s="20"/>
      <c r="N2474" s="20"/>
      <c r="O2474" s="20"/>
      <c r="P2474" s="20"/>
      <c r="Q2474" s="155"/>
      <c r="R2474" s="155"/>
    </row>
    <row r="2475" spans="1:19" ht="15.6">
      <c r="A2475" s="21" t="s">
        <v>272</v>
      </c>
      <c r="B2475" s="21" t="s">
        <v>360</v>
      </c>
      <c r="C2475" s="21" t="s">
        <v>19</v>
      </c>
      <c r="D2475" s="21" t="s">
        <v>155</v>
      </c>
      <c r="E2475" s="21" t="s">
        <v>270</v>
      </c>
      <c r="F2475" s="22">
        <v>7</v>
      </c>
      <c r="G2475" s="20" t="s">
        <v>61</v>
      </c>
      <c r="H2475" s="143" t="s">
        <v>69</v>
      </c>
      <c r="I2475" s="503">
        <v>6.86</v>
      </c>
      <c r="J2475" s="574">
        <v>11.5</v>
      </c>
      <c r="K2475" s="383">
        <v>1</v>
      </c>
      <c r="L2475" s="100">
        <f t="shared" ref="L2475:L2476" si="429">(I2475*J2475*K2475/1000)</f>
        <v>7.8890000000000002E-2</v>
      </c>
      <c r="M2475" s="20"/>
      <c r="N2475" s="20"/>
      <c r="O2475" s="20"/>
      <c r="P2475" s="20"/>
      <c r="Q2475" s="155"/>
      <c r="R2475" s="155"/>
      <c r="S2475" s="497" t="s">
        <v>391</v>
      </c>
    </row>
    <row r="2476" spans="1:19" ht="15.6">
      <c r="A2476" s="20"/>
      <c r="B2476" s="503" t="s">
        <v>271</v>
      </c>
      <c r="C2476" s="20"/>
      <c r="D2476" s="20"/>
      <c r="E2476" s="20"/>
      <c r="F2476" s="20"/>
      <c r="G2476" s="20" t="s">
        <v>61</v>
      </c>
      <c r="H2476" s="37" t="s">
        <v>69</v>
      </c>
      <c r="I2476" s="503">
        <v>6.86</v>
      </c>
      <c r="J2476" s="179">
        <v>11.5</v>
      </c>
      <c r="K2476" s="383">
        <v>5</v>
      </c>
      <c r="L2476" s="100">
        <f t="shared" si="429"/>
        <v>0.39444999999999997</v>
      </c>
      <c r="M2476" s="20"/>
      <c r="N2476" s="20"/>
      <c r="O2476" s="20"/>
      <c r="P2476" s="20"/>
      <c r="Q2476" s="155"/>
      <c r="R2476" s="155"/>
    </row>
    <row r="2477" spans="1:19" ht="15.6">
      <c r="A2477" s="20"/>
      <c r="B2477" s="20"/>
      <c r="C2477" s="20"/>
      <c r="D2477" s="20"/>
      <c r="E2477" s="20"/>
      <c r="F2477" s="20"/>
      <c r="G2477" s="20"/>
      <c r="H2477" s="20"/>
      <c r="I2477" s="131"/>
      <c r="J2477" s="20"/>
      <c r="K2477" s="104">
        <f>SUM(K2475:K2476)</f>
        <v>6</v>
      </c>
      <c r="L2477" s="124">
        <f>SUM(L2475:L2476)</f>
        <v>0.47333999999999998</v>
      </c>
      <c r="M2477" s="20"/>
      <c r="N2477" s="20"/>
      <c r="O2477" s="20"/>
      <c r="P2477" s="20"/>
      <c r="Q2477" s="155"/>
      <c r="R2477" s="155"/>
    </row>
    <row r="2478" spans="1:19" s="497" customFormat="1" ht="15.6">
      <c r="A2478" s="20"/>
      <c r="B2478" s="20"/>
      <c r="C2478" s="20"/>
      <c r="D2478" s="20"/>
      <c r="E2478" s="20"/>
      <c r="F2478" s="20"/>
      <c r="G2478" s="20"/>
      <c r="H2478" s="20"/>
      <c r="I2478" s="131"/>
      <c r="J2478" s="20"/>
      <c r="K2478" s="104"/>
      <c r="L2478" s="124"/>
      <c r="M2478" s="20"/>
      <c r="N2478" s="20"/>
      <c r="O2478" s="20"/>
      <c r="P2478" s="20"/>
      <c r="Q2478" s="155"/>
      <c r="R2478" s="155"/>
    </row>
    <row r="2479" spans="1:19" s="497" customFormat="1" ht="15.6">
      <c r="A2479" s="21" t="s">
        <v>272</v>
      </c>
      <c r="B2479" s="21" t="s">
        <v>372</v>
      </c>
      <c r="C2479" s="21" t="s">
        <v>19</v>
      </c>
      <c r="D2479" s="21" t="s">
        <v>155</v>
      </c>
      <c r="E2479" s="21" t="s">
        <v>270</v>
      </c>
      <c r="F2479" s="22">
        <v>7</v>
      </c>
      <c r="G2479" s="20" t="s">
        <v>61</v>
      </c>
      <c r="H2479" s="143" t="s">
        <v>69</v>
      </c>
      <c r="I2479" s="503">
        <v>6.86</v>
      </c>
      <c r="J2479" s="574">
        <v>11.5</v>
      </c>
      <c r="K2479" s="383">
        <v>1</v>
      </c>
      <c r="L2479" s="100">
        <f t="shared" ref="L2479" si="430">(I2479*J2479*K2479/1000)</f>
        <v>7.8890000000000002E-2</v>
      </c>
      <c r="M2479" s="20"/>
      <c r="N2479" s="20"/>
      <c r="O2479" s="20"/>
      <c r="P2479" s="20"/>
      <c r="Q2479" s="155"/>
      <c r="R2479" s="155"/>
      <c r="S2479" s="497" t="s">
        <v>391</v>
      </c>
    </row>
    <row r="2480" spans="1:19" s="497" customFormat="1" ht="15.6">
      <c r="A2480" s="20"/>
      <c r="B2480" s="503" t="s">
        <v>271</v>
      </c>
      <c r="C2480" s="20"/>
      <c r="D2480" s="20"/>
      <c r="E2480" s="20"/>
      <c r="F2480" s="20"/>
      <c r="G2480" s="20"/>
      <c r="H2480" s="37"/>
      <c r="I2480" s="503"/>
      <c r="J2480" s="574"/>
      <c r="K2480" s="383">
        <f>SUM(K2479)</f>
        <v>1</v>
      </c>
      <c r="L2480" s="100">
        <f>SUM(L2479)</f>
        <v>7.8890000000000002E-2</v>
      </c>
      <c r="M2480" s="20"/>
      <c r="N2480" s="20"/>
      <c r="O2480" s="20"/>
      <c r="P2480" s="20"/>
      <c r="Q2480" s="155"/>
      <c r="R2480" s="155"/>
    </row>
    <row r="2481" spans="1:19" s="497" customFormat="1" ht="15.6">
      <c r="A2481" s="20"/>
      <c r="B2481" s="20"/>
      <c r="C2481" s="20"/>
      <c r="D2481" s="20"/>
      <c r="E2481" s="20"/>
      <c r="F2481" s="20"/>
      <c r="G2481" s="20"/>
      <c r="H2481" s="20"/>
      <c r="I2481" s="131"/>
      <c r="J2481" s="20"/>
      <c r="K2481" s="104"/>
      <c r="L2481" s="124"/>
      <c r="M2481" s="20"/>
      <c r="N2481" s="20"/>
      <c r="O2481" s="20"/>
      <c r="P2481" s="20"/>
      <c r="Q2481" s="155"/>
      <c r="R2481" s="155"/>
    </row>
    <row r="2482" spans="1:19" ht="15.6">
      <c r="A2482" s="20"/>
      <c r="B2482" s="20"/>
      <c r="C2482" s="20"/>
      <c r="D2482" s="20"/>
      <c r="E2482" s="20"/>
      <c r="F2482" s="20"/>
      <c r="G2482" s="20"/>
      <c r="H2482" s="20"/>
      <c r="I2482" s="131"/>
      <c r="J2482" s="20"/>
      <c r="K2482" s="211"/>
      <c r="L2482" s="131"/>
      <c r="M2482" s="20"/>
      <c r="N2482" s="20"/>
      <c r="O2482" s="20"/>
      <c r="P2482" s="20"/>
      <c r="Q2482" s="155"/>
      <c r="R2482" s="155"/>
    </row>
    <row r="2483" spans="1:19" ht="15.6">
      <c r="A2483" s="21" t="s">
        <v>361</v>
      </c>
      <c r="B2483" s="21" t="s">
        <v>360</v>
      </c>
      <c r="C2483" s="21" t="s">
        <v>19</v>
      </c>
      <c r="D2483" s="21" t="s">
        <v>155</v>
      </c>
      <c r="E2483" s="21" t="s">
        <v>270</v>
      </c>
      <c r="F2483" s="22">
        <v>7</v>
      </c>
      <c r="G2483" s="20" t="s">
        <v>61</v>
      </c>
      <c r="H2483" s="37" t="s">
        <v>69</v>
      </c>
      <c r="I2483" s="503">
        <v>6.86</v>
      </c>
      <c r="J2483" s="2077" t="s">
        <v>362</v>
      </c>
      <c r="K2483" s="2078"/>
      <c r="L2483" s="100">
        <v>1.2</v>
      </c>
      <c r="M2483" s="20"/>
      <c r="N2483" s="20"/>
      <c r="O2483" s="20"/>
      <c r="P2483" s="20"/>
      <c r="Q2483" s="155"/>
      <c r="R2483" s="155"/>
      <c r="S2483" s="497"/>
    </row>
    <row r="2484" spans="1:19" ht="15.6">
      <c r="A2484" s="20"/>
      <c r="B2484" s="570" t="s">
        <v>365</v>
      </c>
      <c r="C2484" s="20"/>
      <c r="D2484" s="20"/>
      <c r="E2484" s="20"/>
      <c r="F2484" s="20"/>
      <c r="G2484" s="20"/>
      <c r="H2484" s="37"/>
      <c r="I2484" s="503"/>
      <c r="J2484" s="179"/>
      <c r="K2484" s="383"/>
      <c r="L2484" s="100">
        <f>SUM(L2483)</f>
        <v>1.2</v>
      </c>
      <c r="M2484" s="20"/>
      <c r="N2484" s="20"/>
      <c r="O2484" s="20"/>
      <c r="P2484" s="20"/>
      <c r="Q2484" s="155"/>
      <c r="R2484" s="155"/>
    </row>
    <row r="2485" spans="1:19" s="497" customFormat="1" ht="15.6">
      <c r="A2485" s="20"/>
      <c r="B2485" s="503"/>
      <c r="C2485" s="20"/>
      <c r="D2485" s="20"/>
      <c r="E2485" s="20"/>
      <c r="F2485" s="20"/>
      <c r="G2485" s="20"/>
      <c r="H2485" s="37"/>
      <c r="I2485" s="503"/>
      <c r="J2485" s="179"/>
      <c r="K2485" s="383"/>
      <c r="L2485" s="100">
        <f>+L2484+L2477+L2480</f>
        <v>1.75223</v>
      </c>
      <c r="M2485" s="20"/>
      <c r="N2485" s="20"/>
      <c r="O2485" s="20"/>
      <c r="P2485" s="20"/>
      <c r="Q2485" s="155"/>
      <c r="R2485" s="155"/>
    </row>
    <row r="2486" spans="1:19" ht="15.6">
      <c r="A2486" s="20"/>
      <c r="B2486" s="20"/>
      <c r="C2486" s="20"/>
      <c r="D2486" s="20"/>
      <c r="E2486" s="20"/>
      <c r="F2486" s="20"/>
      <c r="G2486" s="20"/>
      <c r="H2486" s="20"/>
      <c r="I2486" s="131"/>
      <c r="J2486" s="20"/>
      <c r="K2486" s="211"/>
      <c r="L2486" s="131"/>
      <c r="M2486" s="20"/>
      <c r="N2486" s="20"/>
      <c r="O2486" s="20"/>
      <c r="P2486" s="20"/>
      <c r="Q2486" s="155"/>
      <c r="R2486" s="155"/>
    </row>
    <row r="2487" spans="1:19" ht="15.6">
      <c r="A2487" s="20"/>
      <c r="B2487" s="20"/>
      <c r="C2487" s="20"/>
      <c r="D2487" s="20"/>
      <c r="E2487" s="20"/>
      <c r="F2487" s="20"/>
      <c r="G2487" s="20"/>
      <c r="H2487" s="20"/>
      <c r="I2487" s="131"/>
      <c r="J2487" s="20"/>
      <c r="K2487" s="211"/>
      <c r="L2487" s="131"/>
      <c r="M2487" s="20"/>
      <c r="N2487" s="20"/>
      <c r="O2487" s="20"/>
      <c r="P2487" s="20"/>
      <c r="Q2487" s="155"/>
      <c r="R2487" s="155"/>
    </row>
    <row r="2488" spans="1:19" ht="15.6">
      <c r="A2488" s="21" t="s">
        <v>83</v>
      </c>
      <c r="B2488" s="21" t="s">
        <v>358</v>
      </c>
      <c r="C2488" s="21" t="s">
        <v>19</v>
      </c>
      <c r="D2488" s="21" t="s">
        <v>49</v>
      </c>
      <c r="E2488" s="21" t="s">
        <v>359</v>
      </c>
      <c r="F2488" s="22">
        <v>9</v>
      </c>
      <c r="G2488" s="20" t="s">
        <v>21</v>
      </c>
      <c r="H2488" s="143" t="s">
        <v>69</v>
      </c>
      <c r="I2488" s="503">
        <v>6.86</v>
      </c>
      <c r="J2488" s="178">
        <v>11</v>
      </c>
      <c r="K2488" s="383">
        <v>6</v>
      </c>
      <c r="L2488" s="100">
        <f>(I2488*J2488*K2488/1000)</f>
        <v>0.45276000000000005</v>
      </c>
      <c r="M2488" s="20"/>
      <c r="N2488" s="20"/>
      <c r="O2488" s="20"/>
      <c r="P2488" s="20"/>
      <c r="Q2488" s="155"/>
      <c r="R2488" s="155"/>
      <c r="S2488" s="497" t="s">
        <v>391</v>
      </c>
    </row>
    <row r="2489" spans="1:19" ht="15.6">
      <c r="A2489" s="20"/>
      <c r="B2489" s="21" t="s">
        <v>331</v>
      </c>
      <c r="C2489" s="20"/>
      <c r="D2489" s="20"/>
      <c r="E2489" s="20"/>
      <c r="F2489" s="20"/>
      <c r="G2489" s="20"/>
      <c r="H2489" s="20"/>
      <c r="I2489" s="131"/>
      <c r="J2489" s="20"/>
      <c r="K2489" s="104">
        <f>SUM(K2488:K2488)</f>
        <v>6</v>
      </c>
      <c r="L2489" s="124">
        <f>SUM(L2488:L2488)</f>
        <v>0.45276000000000005</v>
      </c>
      <c r="M2489" s="20"/>
      <c r="N2489" s="20"/>
      <c r="O2489" s="20"/>
      <c r="P2489" s="20"/>
      <c r="Q2489" s="155"/>
      <c r="R2489" s="155"/>
    </row>
    <row r="2490" spans="1:19" ht="15.6">
      <c r="A2490" s="20"/>
      <c r="B2490" s="20"/>
      <c r="C2490" s="20"/>
      <c r="D2490" s="20"/>
      <c r="E2490" s="20"/>
      <c r="F2490" s="20"/>
      <c r="G2490" s="20"/>
      <c r="H2490" s="20"/>
      <c r="I2490" s="131"/>
      <c r="J2490" s="20"/>
      <c r="K2490" s="211"/>
      <c r="L2490" s="131"/>
      <c r="M2490" s="20"/>
      <c r="N2490" s="20"/>
      <c r="O2490" s="20"/>
      <c r="P2490" s="20"/>
      <c r="Q2490" s="155"/>
      <c r="R2490" s="155"/>
    </row>
    <row r="2491" spans="1:19" ht="15.6">
      <c r="A2491" s="21" t="s">
        <v>272</v>
      </c>
      <c r="B2491" s="21" t="s">
        <v>358</v>
      </c>
      <c r="C2491" s="21" t="s">
        <v>19</v>
      </c>
      <c r="D2491" s="21" t="s">
        <v>49</v>
      </c>
      <c r="E2491" s="21" t="s">
        <v>359</v>
      </c>
      <c r="F2491" s="22">
        <v>9</v>
      </c>
      <c r="G2491" s="20" t="s">
        <v>21</v>
      </c>
      <c r="H2491" s="143" t="s">
        <v>69</v>
      </c>
      <c r="I2491" s="503">
        <v>6.86</v>
      </c>
      <c r="J2491" s="178">
        <v>10</v>
      </c>
      <c r="K2491" s="383">
        <v>10</v>
      </c>
      <c r="L2491" s="100">
        <f>(I2491*J2491*K2491/1000)</f>
        <v>0.68600000000000017</v>
      </c>
      <c r="M2491" s="20"/>
      <c r="N2491" s="20"/>
      <c r="O2491" s="20"/>
      <c r="P2491" s="20"/>
      <c r="Q2491" s="155"/>
      <c r="R2491" s="155"/>
      <c r="S2491" s="497" t="s">
        <v>391</v>
      </c>
    </row>
    <row r="2492" spans="1:19" ht="15.6">
      <c r="A2492" s="20"/>
      <c r="B2492" s="503" t="s">
        <v>333</v>
      </c>
      <c r="C2492" s="20"/>
      <c r="D2492" s="20"/>
      <c r="E2492" s="20"/>
      <c r="F2492" s="20"/>
      <c r="G2492" s="20" t="s">
        <v>21</v>
      </c>
      <c r="H2492" s="37" t="s">
        <v>69</v>
      </c>
      <c r="I2492" s="503">
        <v>6.86</v>
      </c>
      <c r="J2492" s="178">
        <v>12</v>
      </c>
      <c r="K2492" s="383">
        <v>12</v>
      </c>
      <c r="L2492" s="100">
        <f>(I2492*J2492*K2492/1000)</f>
        <v>0.98784000000000016</v>
      </c>
      <c r="M2492" s="20"/>
      <c r="N2492" s="20"/>
      <c r="O2492" s="20"/>
      <c r="P2492" s="20"/>
      <c r="Q2492" s="155"/>
      <c r="R2492" s="155"/>
    </row>
    <row r="2493" spans="1:19" ht="15.6">
      <c r="A2493" s="20"/>
      <c r="B2493" s="20"/>
      <c r="C2493" s="20"/>
      <c r="D2493" s="20"/>
      <c r="E2493" s="20"/>
      <c r="F2493" s="20"/>
      <c r="G2493" s="20"/>
      <c r="H2493" s="20"/>
      <c r="I2493" s="131"/>
      <c r="J2493" s="20"/>
      <c r="K2493" s="104">
        <f t="shared" ref="K2493" si="431">SUM(K2491:K2492)</f>
        <v>22</v>
      </c>
      <c r="L2493" s="124">
        <f>SUM(L2491:L2492)</f>
        <v>1.6738400000000002</v>
      </c>
      <c r="M2493" s="20"/>
      <c r="N2493" s="20"/>
      <c r="O2493" s="20"/>
      <c r="P2493" s="20"/>
      <c r="Q2493" s="155"/>
      <c r="R2493" s="155"/>
    </row>
    <row r="2494" spans="1:19" ht="15.6">
      <c r="A2494" s="20"/>
      <c r="B2494" s="20"/>
      <c r="C2494" s="20"/>
      <c r="D2494" s="20"/>
      <c r="E2494" s="20"/>
      <c r="F2494" s="20"/>
      <c r="G2494" s="20"/>
      <c r="H2494" s="20"/>
      <c r="I2494" s="131"/>
      <c r="J2494" s="20"/>
      <c r="K2494" s="211"/>
      <c r="L2494" s="131"/>
      <c r="M2494" s="20"/>
      <c r="N2494" s="20"/>
      <c r="O2494" s="20"/>
      <c r="P2494" s="20"/>
      <c r="Q2494" s="155"/>
      <c r="R2494" s="155"/>
    </row>
    <row r="2495" spans="1:19" ht="15.6">
      <c r="A2495" s="21" t="s">
        <v>332</v>
      </c>
      <c r="B2495" s="21" t="s">
        <v>341</v>
      </c>
      <c r="C2495" s="21" t="s">
        <v>19</v>
      </c>
      <c r="D2495" s="21" t="s">
        <v>20</v>
      </c>
      <c r="E2495" s="21" t="s">
        <v>47</v>
      </c>
      <c r="F2495" s="22">
        <v>9</v>
      </c>
      <c r="G2495" s="20" t="s">
        <v>21</v>
      </c>
      <c r="H2495" s="143" t="s">
        <v>69</v>
      </c>
      <c r="I2495" s="503">
        <v>6.85</v>
      </c>
      <c r="J2495" s="179">
        <v>8</v>
      </c>
      <c r="K2495" s="383">
        <v>9</v>
      </c>
      <c r="L2495" s="100">
        <f t="shared" ref="L2495:L2500" si="432">(I2495*J2495*K2495/1000)</f>
        <v>0.49319999999999997</v>
      </c>
      <c r="M2495" s="23"/>
      <c r="N2495" s="20"/>
      <c r="O2495" s="20"/>
      <c r="P2495" s="20"/>
      <c r="Q2495" s="155"/>
      <c r="R2495" s="155"/>
      <c r="S2495" s="497" t="s">
        <v>391</v>
      </c>
    </row>
    <row r="2496" spans="1:19" ht="15.6">
      <c r="A2496" s="20"/>
      <c r="B2496" s="503" t="s">
        <v>340</v>
      </c>
      <c r="C2496" s="20"/>
      <c r="D2496" s="20"/>
      <c r="E2496" s="20"/>
      <c r="F2496" s="20"/>
      <c r="G2496" s="20" t="s">
        <v>21</v>
      </c>
      <c r="H2496" s="37" t="s">
        <v>69</v>
      </c>
      <c r="I2496" s="503">
        <v>6.85</v>
      </c>
      <c r="J2496" s="179">
        <v>9.6</v>
      </c>
      <c r="K2496" s="383">
        <v>25</v>
      </c>
      <c r="L2496" s="100">
        <f t="shared" si="432"/>
        <v>1.6439999999999997</v>
      </c>
      <c r="M2496" s="23"/>
      <c r="N2496" s="20"/>
      <c r="O2496" s="20"/>
      <c r="P2496" s="20"/>
      <c r="Q2496" s="155"/>
      <c r="R2496" s="155"/>
    </row>
    <row r="2497" spans="1:19" ht="15.6">
      <c r="A2497" s="20"/>
      <c r="B2497" s="20"/>
      <c r="C2497" s="20"/>
      <c r="D2497" s="20"/>
      <c r="E2497" s="20"/>
      <c r="F2497" s="20"/>
      <c r="G2497" s="20" t="s">
        <v>21</v>
      </c>
      <c r="H2497" s="37" t="s">
        <v>69</v>
      </c>
      <c r="I2497" s="503">
        <v>6.85</v>
      </c>
      <c r="J2497" s="179">
        <v>10</v>
      </c>
      <c r="K2497" s="383">
        <v>23</v>
      </c>
      <c r="L2497" s="100">
        <f t="shared" si="432"/>
        <v>1.5754999999999999</v>
      </c>
      <c r="M2497" s="23"/>
      <c r="N2497" s="20"/>
      <c r="O2497" s="20"/>
      <c r="P2497" s="20"/>
      <c r="Q2497" s="155"/>
      <c r="R2497" s="155"/>
    </row>
    <row r="2498" spans="1:19" ht="15.6">
      <c r="A2498" s="20"/>
      <c r="B2498" s="20"/>
      <c r="C2498" s="20"/>
      <c r="D2498" s="20"/>
      <c r="E2498" s="20"/>
      <c r="F2498" s="20"/>
      <c r="G2498" s="20" t="s">
        <v>21</v>
      </c>
      <c r="H2498" s="37" t="s">
        <v>69</v>
      </c>
      <c r="I2498" s="503">
        <v>6.85</v>
      </c>
      <c r="J2498" s="179">
        <v>10.3</v>
      </c>
      <c r="K2498" s="383">
        <v>128</v>
      </c>
      <c r="L2498" s="100">
        <f t="shared" si="432"/>
        <v>9.0310400000000008</v>
      </c>
      <c r="M2498" s="20"/>
      <c r="N2498" s="20"/>
      <c r="O2498" s="20"/>
      <c r="P2498" s="20"/>
      <c r="Q2498" s="155"/>
      <c r="R2498" s="155"/>
    </row>
    <row r="2499" spans="1:19" ht="15.6">
      <c r="A2499" s="20"/>
      <c r="B2499" s="20"/>
      <c r="C2499" s="20"/>
      <c r="D2499" s="20"/>
      <c r="E2499" s="20"/>
      <c r="F2499" s="20"/>
      <c r="G2499" s="20" t="s">
        <v>21</v>
      </c>
      <c r="H2499" s="37" t="s">
        <v>69</v>
      </c>
      <c r="I2499" s="503">
        <v>6.85</v>
      </c>
      <c r="J2499" s="179">
        <v>10.8</v>
      </c>
      <c r="K2499" s="383">
        <v>64</v>
      </c>
      <c r="L2499" s="100">
        <f t="shared" si="432"/>
        <v>4.7347200000000003</v>
      </c>
      <c r="M2499" s="20"/>
      <c r="N2499" s="20"/>
      <c r="O2499" s="20"/>
      <c r="P2499" s="20"/>
      <c r="Q2499" s="155"/>
      <c r="R2499" s="155"/>
    </row>
    <row r="2500" spans="1:19" ht="15.6">
      <c r="A2500" s="20"/>
      <c r="B2500" s="20"/>
      <c r="C2500" s="20"/>
      <c r="D2500" s="20"/>
      <c r="E2500" s="20"/>
      <c r="F2500" s="20"/>
      <c r="G2500" s="20" t="s">
        <v>21</v>
      </c>
      <c r="H2500" s="37" t="s">
        <v>69</v>
      </c>
      <c r="I2500" s="503">
        <v>6.85</v>
      </c>
      <c r="J2500" s="179">
        <v>12</v>
      </c>
      <c r="K2500" s="383">
        <v>84</v>
      </c>
      <c r="L2500" s="100">
        <f t="shared" si="432"/>
        <v>6.9047999999999989</v>
      </c>
      <c r="M2500" s="20"/>
      <c r="N2500" s="20"/>
      <c r="O2500" s="20"/>
      <c r="P2500" s="20"/>
      <c r="Q2500" s="155"/>
      <c r="R2500" s="155"/>
    </row>
    <row r="2501" spans="1:19" ht="15.6">
      <c r="A2501" s="20"/>
      <c r="B2501" s="20"/>
      <c r="C2501" s="20"/>
      <c r="D2501" s="20"/>
      <c r="E2501" s="20"/>
      <c r="F2501" s="20"/>
      <c r="G2501" s="20"/>
      <c r="H2501" s="20"/>
      <c r="I2501" s="131"/>
      <c r="J2501" s="20"/>
      <c r="K2501" s="104">
        <f t="shared" ref="K2501" si="433">SUM(K2495:K2500)</f>
        <v>333</v>
      </c>
      <c r="L2501" s="124">
        <f>SUM(L2495:L2500)</f>
        <v>24.38326</v>
      </c>
      <c r="M2501" s="20"/>
      <c r="N2501" s="20"/>
      <c r="O2501" s="20"/>
      <c r="P2501" s="20"/>
      <c r="Q2501" s="155"/>
      <c r="R2501" s="155"/>
    </row>
    <row r="2502" spans="1:19" ht="15.6">
      <c r="A2502" s="20"/>
      <c r="B2502" s="20"/>
      <c r="C2502" s="20"/>
      <c r="D2502" s="20"/>
      <c r="E2502" s="20"/>
      <c r="F2502" s="20"/>
      <c r="G2502" s="20"/>
      <c r="H2502" s="20"/>
      <c r="I2502" s="131"/>
      <c r="J2502" s="20"/>
      <c r="K2502" s="104">
        <f>SUM(K2488:K2501)/2</f>
        <v>361</v>
      </c>
      <c r="L2502" s="124">
        <f>SUM(L2488:L2501)/2</f>
        <v>26.50986</v>
      </c>
      <c r="M2502" s="20"/>
      <c r="N2502" s="20"/>
      <c r="O2502" s="20"/>
      <c r="P2502" s="20"/>
      <c r="Q2502" s="155"/>
      <c r="R2502" s="155"/>
    </row>
    <row r="2503" spans="1:19" s="497" customFormat="1" ht="15.6">
      <c r="A2503" s="20"/>
      <c r="B2503" s="20"/>
      <c r="C2503" s="20"/>
      <c r="D2503" s="20"/>
      <c r="E2503" s="20"/>
      <c r="F2503" s="20"/>
      <c r="G2503" s="20"/>
      <c r="H2503" s="20"/>
      <c r="I2503" s="131"/>
      <c r="J2503" s="20"/>
      <c r="K2503" s="104"/>
      <c r="L2503" s="124"/>
      <c r="M2503" s="20"/>
      <c r="N2503" s="20"/>
      <c r="O2503" s="20"/>
      <c r="P2503" s="20"/>
      <c r="Q2503" s="155"/>
      <c r="R2503" s="155"/>
    </row>
    <row r="2504" spans="1:19" ht="15.6">
      <c r="A2504" s="20"/>
      <c r="B2504" s="20"/>
      <c r="C2504" s="20"/>
      <c r="D2504" s="20"/>
      <c r="E2504" s="20"/>
      <c r="F2504" s="20"/>
      <c r="G2504" s="20"/>
      <c r="H2504" s="20"/>
      <c r="I2504" s="131"/>
      <c r="J2504" s="20"/>
      <c r="K2504" s="211"/>
      <c r="L2504" s="131"/>
      <c r="M2504" s="20"/>
      <c r="N2504" s="20"/>
      <c r="O2504" s="20"/>
      <c r="P2504" s="20"/>
      <c r="Q2504" s="155"/>
      <c r="R2504" s="155"/>
    </row>
    <row r="2505" spans="1:19" ht="15.6">
      <c r="A2505" s="21" t="s">
        <v>83</v>
      </c>
      <c r="B2505" s="21" t="s">
        <v>358</v>
      </c>
      <c r="C2505" s="21" t="s">
        <v>19</v>
      </c>
      <c r="D2505" s="21" t="s">
        <v>49</v>
      </c>
      <c r="E2505" s="21" t="s">
        <v>359</v>
      </c>
      <c r="F2505" s="22">
        <v>9</v>
      </c>
      <c r="G2505" s="20" t="s">
        <v>21</v>
      </c>
      <c r="H2505" s="143" t="s">
        <v>70</v>
      </c>
      <c r="I2505" s="503">
        <v>5.77</v>
      </c>
      <c r="J2505" s="178">
        <v>10</v>
      </c>
      <c r="K2505" s="383">
        <v>14</v>
      </c>
      <c r="L2505" s="100">
        <f>(I2505*J2505*K2505/1000)</f>
        <v>0.80779999999999996</v>
      </c>
      <c r="M2505" s="20"/>
      <c r="N2505" s="20"/>
      <c r="O2505" s="20"/>
      <c r="P2505" s="20"/>
      <c r="Q2505" s="155"/>
      <c r="R2505" s="155"/>
      <c r="S2505" s="497" t="s">
        <v>391</v>
      </c>
    </row>
    <row r="2506" spans="1:19" ht="15.6">
      <c r="A2506" s="21"/>
      <c r="B2506" s="21" t="s">
        <v>331</v>
      </c>
      <c r="C2506" s="21"/>
      <c r="D2506" s="21"/>
      <c r="E2506" s="21"/>
      <c r="F2506" s="22"/>
      <c r="G2506" s="20" t="s">
        <v>21</v>
      </c>
      <c r="H2506" s="37" t="s">
        <v>70</v>
      </c>
      <c r="I2506" s="503">
        <v>5.77</v>
      </c>
      <c r="J2506" s="178">
        <v>2</v>
      </c>
      <c r="K2506" s="383">
        <v>5</v>
      </c>
      <c r="L2506" s="100">
        <f>(I2506*J2506*K2506/1000)</f>
        <v>5.7699999999999994E-2</v>
      </c>
      <c r="M2506" s="20"/>
      <c r="N2506" s="20"/>
      <c r="O2506" s="20"/>
      <c r="P2506" s="20"/>
      <c r="Q2506" s="155"/>
      <c r="R2506" s="155"/>
    </row>
    <row r="2507" spans="1:19" ht="15.6">
      <c r="A2507" s="20"/>
      <c r="B2507" s="20"/>
      <c r="C2507" s="20"/>
      <c r="D2507" s="20"/>
      <c r="E2507" s="20"/>
      <c r="F2507" s="20"/>
      <c r="G2507" s="20" t="s">
        <v>21</v>
      </c>
      <c r="H2507" s="37" t="s">
        <v>70</v>
      </c>
      <c r="I2507" s="503">
        <v>5.77</v>
      </c>
      <c r="J2507" s="178">
        <v>10</v>
      </c>
      <c r="K2507" s="383">
        <v>5</v>
      </c>
      <c r="L2507" s="100">
        <f>(I2507*J2507*K2507/1000)</f>
        <v>0.28849999999999998</v>
      </c>
      <c r="M2507" s="20"/>
      <c r="N2507" s="20"/>
      <c r="O2507" s="20"/>
      <c r="P2507" s="20"/>
      <c r="Q2507" s="155"/>
      <c r="R2507" s="155"/>
    </row>
    <row r="2508" spans="1:19" ht="15.6">
      <c r="A2508" s="20"/>
      <c r="B2508" s="20"/>
      <c r="C2508" s="20"/>
      <c r="D2508" s="20"/>
      <c r="E2508" s="20"/>
      <c r="F2508" s="20"/>
      <c r="G2508" s="20" t="s">
        <v>21</v>
      </c>
      <c r="H2508" s="37" t="s">
        <v>70</v>
      </c>
      <c r="I2508" s="503">
        <v>5.77</v>
      </c>
      <c r="J2508" s="178">
        <v>3</v>
      </c>
      <c r="K2508" s="383">
        <v>12</v>
      </c>
      <c r="L2508" s="100">
        <f>(I2508*J2508*K2508/1000)</f>
        <v>0.20771999999999996</v>
      </c>
      <c r="M2508" s="20"/>
      <c r="N2508" s="20"/>
      <c r="O2508" s="20"/>
      <c r="P2508" s="20"/>
      <c r="Q2508" s="155"/>
      <c r="R2508" s="155"/>
    </row>
    <row r="2509" spans="1:19" ht="15.6">
      <c r="A2509" s="20"/>
      <c r="B2509" s="20"/>
      <c r="C2509" s="20"/>
      <c r="D2509" s="20"/>
      <c r="E2509" s="20"/>
      <c r="F2509" s="20"/>
      <c r="G2509" s="20"/>
      <c r="H2509" s="20"/>
      <c r="I2509" s="131"/>
      <c r="J2509" s="20"/>
      <c r="K2509" s="104">
        <f>SUM(K2505:K2508)</f>
        <v>36</v>
      </c>
      <c r="L2509" s="124">
        <f>SUM(L2505:L2508)</f>
        <v>1.3617199999999998</v>
      </c>
      <c r="M2509" s="20"/>
      <c r="N2509" s="20"/>
      <c r="O2509" s="20"/>
      <c r="P2509" s="20"/>
      <c r="Q2509" s="155"/>
      <c r="R2509" s="155"/>
    </row>
    <row r="2510" spans="1:19" ht="15.6">
      <c r="A2510" s="20"/>
      <c r="B2510" s="20"/>
      <c r="C2510" s="20"/>
      <c r="D2510" s="20"/>
      <c r="E2510" s="20"/>
      <c r="F2510" s="20"/>
      <c r="G2510" s="20"/>
      <c r="H2510" s="20"/>
      <c r="I2510" s="131"/>
      <c r="J2510" s="20"/>
      <c r="K2510" s="211"/>
      <c r="L2510" s="131"/>
      <c r="M2510" s="20"/>
      <c r="N2510" s="20"/>
      <c r="O2510" s="20"/>
      <c r="P2510" s="20"/>
      <c r="Q2510" s="155"/>
      <c r="R2510" s="155"/>
    </row>
    <row r="2511" spans="1:19" ht="15.6">
      <c r="A2511" s="21" t="s">
        <v>272</v>
      </c>
      <c r="B2511" s="21" t="s">
        <v>358</v>
      </c>
      <c r="C2511" s="21" t="s">
        <v>19</v>
      </c>
      <c r="D2511" s="21" t="s">
        <v>49</v>
      </c>
      <c r="E2511" s="21" t="s">
        <v>359</v>
      </c>
      <c r="F2511" s="22">
        <v>9</v>
      </c>
      <c r="G2511" s="20" t="s">
        <v>21</v>
      </c>
      <c r="H2511" s="143" t="s">
        <v>70</v>
      </c>
      <c r="I2511" s="503">
        <v>5.77</v>
      </c>
      <c r="J2511" s="178">
        <v>6</v>
      </c>
      <c r="K2511" s="383">
        <v>1</v>
      </c>
      <c r="L2511" s="100">
        <f>(I2511*J2511*K2511/1000)</f>
        <v>3.4619999999999998E-2</v>
      </c>
      <c r="M2511" s="20"/>
      <c r="N2511" s="20"/>
      <c r="O2511" s="20"/>
      <c r="P2511" s="20"/>
      <c r="Q2511" s="155"/>
      <c r="R2511" s="155"/>
      <c r="S2511" s="497" t="s">
        <v>391</v>
      </c>
    </row>
    <row r="2512" spans="1:19" ht="15.6">
      <c r="A2512" s="20"/>
      <c r="B2512" s="503" t="s">
        <v>333</v>
      </c>
      <c r="C2512" s="20"/>
      <c r="D2512" s="20"/>
      <c r="E2512" s="20"/>
      <c r="F2512" s="20"/>
      <c r="G2512" s="20"/>
      <c r="H2512" s="20"/>
      <c r="I2512" s="131"/>
      <c r="J2512" s="20"/>
      <c r="K2512" s="104">
        <f>SUM(K2511:K2511)</f>
        <v>1</v>
      </c>
      <c r="L2512" s="124">
        <f>SUM(L2511:L2511)</f>
        <v>3.4619999999999998E-2</v>
      </c>
      <c r="M2512" s="20"/>
      <c r="N2512" s="20"/>
      <c r="O2512" s="20"/>
      <c r="P2512" s="20"/>
      <c r="Q2512" s="155"/>
      <c r="R2512" s="155"/>
    </row>
    <row r="2513" spans="1:19" ht="15.6">
      <c r="A2513" s="20"/>
      <c r="B2513" s="20"/>
      <c r="C2513" s="20"/>
      <c r="D2513" s="20"/>
      <c r="E2513" s="20"/>
      <c r="F2513" s="20"/>
      <c r="G2513" s="20"/>
      <c r="H2513" s="20"/>
      <c r="I2513" s="131"/>
      <c r="J2513" s="20"/>
      <c r="K2513" s="211"/>
      <c r="L2513" s="131"/>
      <c r="M2513" s="20"/>
      <c r="N2513" s="20"/>
      <c r="O2513" s="20"/>
      <c r="P2513" s="20"/>
      <c r="Q2513" s="155"/>
      <c r="R2513" s="155"/>
    </row>
    <row r="2514" spans="1:19" ht="15.6">
      <c r="A2514" s="21" t="s">
        <v>332</v>
      </c>
      <c r="B2514" s="21" t="s">
        <v>341</v>
      </c>
      <c r="C2514" s="21" t="s">
        <v>19</v>
      </c>
      <c r="D2514" s="21" t="s">
        <v>20</v>
      </c>
      <c r="E2514" s="21" t="s">
        <v>47</v>
      </c>
      <c r="F2514" s="22">
        <v>9</v>
      </c>
      <c r="G2514" s="20" t="s">
        <v>21</v>
      </c>
      <c r="H2514" s="143" t="s">
        <v>70</v>
      </c>
      <c r="I2514" s="503">
        <v>5.76</v>
      </c>
      <c r="J2514" s="179">
        <v>8.8000000000000007</v>
      </c>
      <c r="K2514" s="383">
        <v>14</v>
      </c>
      <c r="L2514" s="100">
        <f t="shared" ref="L2514:L2518" si="434">(I2514*J2514*K2514/1000)</f>
        <v>0.70963200000000004</v>
      </c>
      <c r="M2514" s="23"/>
      <c r="N2514" s="20"/>
      <c r="O2514" s="20"/>
      <c r="P2514" s="20"/>
      <c r="Q2514" s="155"/>
      <c r="R2514" s="155"/>
      <c r="S2514" s="497" t="s">
        <v>391</v>
      </c>
    </row>
    <row r="2515" spans="1:19" ht="15.6">
      <c r="A2515" s="20"/>
      <c r="B2515" s="503" t="s">
        <v>340</v>
      </c>
      <c r="C2515" s="20"/>
      <c r="D2515" s="20"/>
      <c r="E2515" s="20"/>
      <c r="F2515" s="20"/>
      <c r="G2515" s="20" t="s">
        <v>21</v>
      </c>
      <c r="H2515" s="37" t="s">
        <v>70</v>
      </c>
      <c r="I2515" s="503">
        <v>5.76</v>
      </c>
      <c r="J2515" s="179">
        <v>9.5</v>
      </c>
      <c r="K2515" s="383">
        <v>21</v>
      </c>
      <c r="L2515" s="100">
        <f t="shared" si="434"/>
        <v>1.1491199999999999</v>
      </c>
      <c r="M2515" s="23"/>
      <c r="N2515" s="20"/>
      <c r="O2515" s="20"/>
      <c r="P2515" s="20"/>
      <c r="Q2515" s="155"/>
      <c r="R2515" s="155"/>
    </row>
    <row r="2516" spans="1:19" ht="15.6">
      <c r="A2516" s="20"/>
      <c r="B2516" s="20"/>
      <c r="C2516" s="20"/>
      <c r="D2516" s="20"/>
      <c r="E2516" s="20"/>
      <c r="F2516" s="20"/>
      <c r="G2516" s="20" t="s">
        <v>21</v>
      </c>
      <c r="H2516" s="37" t="s">
        <v>70</v>
      </c>
      <c r="I2516" s="503">
        <v>5.76</v>
      </c>
      <c r="J2516" s="179">
        <v>10</v>
      </c>
      <c r="K2516" s="383">
        <v>27</v>
      </c>
      <c r="L2516" s="100">
        <f t="shared" si="434"/>
        <v>1.5551999999999999</v>
      </c>
      <c r="M2516" s="23"/>
      <c r="N2516" s="20"/>
      <c r="O2516" s="20"/>
      <c r="P2516" s="20"/>
      <c r="Q2516" s="155"/>
      <c r="R2516" s="155"/>
    </row>
    <row r="2517" spans="1:19" ht="15.6">
      <c r="A2517" s="20"/>
      <c r="B2517" s="20"/>
      <c r="C2517" s="20"/>
      <c r="D2517" s="20"/>
      <c r="E2517" s="20"/>
      <c r="F2517" s="20"/>
      <c r="G2517" s="20" t="s">
        <v>21</v>
      </c>
      <c r="H2517" s="37" t="s">
        <v>70</v>
      </c>
      <c r="I2517" s="503">
        <v>5.76</v>
      </c>
      <c r="J2517" s="179">
        <v>11</v>
      </c>
      <c r="K2517" s="383">
        <v>89</v>
      </c>
      <c r="L2517" s="100">
        <f t="shared" si="434"/>
        <v>5.6390399999999996</v>
      </c>
      <c r="M2517" s="23"/>
      <c r="N2517" s="20"/>
      <c r="O2517" s="20"/>
      <c r="P2517" s="20"/>
      <c r="Q2517" s="155"/>
      <c r="R2517" s="155"/>
    </row>
    <row r="2518" spans="1:19" ht="15.6">
      <c r="A2518" s="20"/>
      <c r="B2518" s="20"/>
      <c r="C2518" s="20"/>
      <c r="D2518" s="20"/>
      <c r="E2518" s="20"/>
      <c r="F2518" s="20"/>
      <c r="G2518" s="20" t="s">
        <v>21</v>
      </c>
      <c r="H2518" s="37" t="s">
        <v>70</v>
      </c>
      <c r="I2518" s="503">
        <v>5.76</v>
      </c>
      <c r="J2518" s="179">
        <v>11.5</v>
      </c>
      <c r="K2518" s="383">
        <v>19</v>
      </c>
      <c r="L2518" s="100">
        <f t="shared" si="434"/>
        <v>1.2585599999999999</v>
      </c>
      <c r="M2518" s="20"/>
      <c r="N2518" s="20"/>
      <c r="O2518" s="20"/>
      <c r="P2518" s="20"/>
      <c r="Q2518" s="155"/>
      <c r="R2518" s="155"/>
    </row>
    <row r="2519" spans="1:19" ht="15.6">
      <c r="A2519" s="20"/>
      <c r="B2519" s="20"/>
      <c r="C2519" s="20"/>
      <c r="D2519" s="20"/>
      <c r="E2519" s="20"/>
      <c r="F2519" s="20"/>
      <c r="G2519" s="20" t="s">
        <v>21</v>
      </c>
      <c r="H2519" s="37" t="s">
        <v>70</v>
      </c>
      <c r="I2519" s="503">
        <v>5.76</v>
      </c>
      <c r="J2519" s="179">
        <v>11.507999999999999</v>
      </c>
      <c r="K2519" s="383">
        <v>50</v>
      </c>
      <c r="L2519" s="100">
        <f>(I2519*J2519*K2519/1000)</f>
        <v>3.3143039999999999</v>
      </c>
      <c r="M2519" s="20"/>
      <c r="N2519" s="20"/>
      <c r="O2519" s="20"/>
      <c r="P2519" s="20"/>
      <c r="Q2519" s="155"/>
      <c r="R2519" s="155"/>
    </row>
    <row r="2520" spans="1:19" ht="15.6">
      <c r="A2520" s="20"/>
      <c r="B2520" s="20"/>
      <c r="C2520" s="20"/>
      <c r="D2520" s="20"/>
      <c r="E2520" s="20"/>
      <c r="F2520" s="20"/>
      <c r="G2520" s="20" t="s">
        <v>21</v>
      </c>
      <c r="H2520" s="37" t="s">
        <v>70</v>
      </c>
      <c r="I2520" s="503">
        <v>5.76</v>
      </c>
      <c r="J2520" s="179">
        <v>12</v>
      </c>
      <c r="K2520" s="383">
        <v>50</v>
      </c>
      <c r="L2520" s="100">
        <f>(I2520*J2520*K2520/1000)</f>
        <v>3.456</v>
      </c>
      <c r="M2520" s="20"/>
      <c r="N2520" s="20"/>
      <c r="O2520" s="20"/>
      <c r="P2520" s="20"/>
      <c r="Q2520" s="155"/>
      <c r="R2520" s="155"/>
    </row>
    <row r="2521" spans="1:19" ht="15.6">
      <c r="A2521" s="20"/>
      <c r="B2521" s="20"/>
      <c r="C2521" s="20"/>
      <c r="D2521" s="20"/>
      <c r="E2521" s="20"/>
      <c r="F2521" s="20"/>
      <c r="G2521" s="20"/>
      <c r="H2521" s="20"/>
      <c r="I2521" s="131"/>
      <c r="J2521" s="20"/>
      <c r="K2521" s="104">
        <f>SUM(K2514:K2520)</f>
        <v>270</v>
      </c>
      <c r="L2521" s="181">
        <f>SUM(L2514:L2520)</f>
        <v>17.081855999999998</v>
      </c>
      <c r="M2521" s="20"/>
      <c r="N2521" s="20"/>
      <c r="O2521" s="20"/>
      <c r="P2521" s="20"/>
      <c r="Q2521" s="155"/>
      <c r="R2521" s="155"/>
    </row>
    <row r="2522" spans="1:19" ht="15.6">
      <c r="A2522" s="20"/>
      <c r="B2522" s="20"/>
      <c r="C2522" s="20"/>
      <c r="D2522" s="20"/>
      <c r="E2522" s="20"/>
      <c r="F2522" s="20"/>
      <c r="G2522" s="20"/>
      <c r="H2522" s="20"/>
      <c r="I2522" s="131"/>
      <c r="J2522" s="20"/>
      <c r="K2522" s="104">
        <f>SUM(K2505:K2521)/2</f>
        <v>307</v>
      </c>
      <c r="L2522" s="181">
        <f>SUM(L2505:L2521)/2</f>
        <v>18.478195999999997</v>
      </c>
      <c r="M2522" s="20"/>
      <c r="N2522" s="20"/>
      <c r="O2522" s="20"/>
      <c r="P2522" s="20"/>
      <c r="Q2522" s="155"/>
      <c r="R2522" s="155"/>
    </row>
    <row r="2523" spans="1:19" s="497" customFormat="1" ht="15.6">
      <c r="A2523" s="20"/>
      <c r="B2523" s="20"/>
      <c r="C2523" s="20"/>
      <c r="D2523" s="20"/>
      <c r="E2523" s="20"/>
      <c r="F2523" s="20"/>
      <c r="G2523" s="20"/>
      <c r="H2523" s="20"/>
      <c r="I2523" s="131"/>
      <c r="J2523" s="20"/>
      <c r="K2523" s="104"/>
      <c r="L2523" s="181"/>
      <c r="M2523" s="20"/>
      <c r="N2523" s="20"/>
      <c r="O2523" s="20"/>
      <c r="P2523" s="20"/>
      <c r="Q2523" s="155"/>
      <c r="R2523" s="155"/>
    </row>
    <row r="2524" spans="1:19" ht="15.6">
      <c r="A2524" s="20"/>
      <c r="B2524" s="20"/>
      <c r="C2524" s="20"/>
      <c r="D2524" s="20"/>
      <c r="E2524" s="20"/>
      <c r="F2524" s="20"/>
      <c r="G2524" s="20"/>
      <c r="H2524" s="20"/>
      <c r="I2524" s="131"/>
      <c r="J2524" s="20"/>
      <c r="K2524" s="211"/>
      <c r="L2524" s="131"/>
      <c r="M2524" s="20"/>
      <c r="N2524" s="20"/>
      <c r="O2524" s="20"/>
      <c r="P2524" s="20"/>
      <c r="Q2524" s="155"/>
      <c r="R2524" s="155"/>
    </row>
    <row r="2525" spans="1:19" ht="15.6">
      <c r="A2525" s="21" t="s">
        <v>272</v>
      </c>
      <c r="B2525" s="21" t="s">
        <v>358</v>
      </c>
      <c r="C2525" s="21" t="s">
        <v>19</v>
      </c>
      <c r="D2525" s="21" t="s">
        <v>155</v>
      </c>
      <c r="E2525" s="21" t="s">
        <v>270</v>
      </c>
      <c r="F2525" s="22">
        <v>7</v>
      </c>
      <c r="G2525" s="20" t="s">
        <v>61</v>
      </c>
      <c r="H2525" s="143" t="s">
        <v>70</v>
      </c>
      <c r="I2525" s="503">
        <v>5.77</v>
      </c>
      <c r="J2525" s="179">
        <v>9.25</v>
      </c>
      <c r="K2525" s="383">
        <v>2</v>
      </c>
      <c r="L2525" s="100">
        <f>(I2525*J2525*K2525/1000)</f>
        <v>0.10674499999999999</v>
      </c>
      <c r="M2525" s="20"/>
      <c r="N2525" s="20"/>
      <c r="O2525" s="20"/>
      <c r="P2525" s="20"/>
      <c r="Q2525" s="155"/>
      <c r="R2525" s="155"/>
      <c r="S2525" s="497" t="s">
        <v>391</v>
      </c>
    </row>
    <row r="2526" spans="1:19" ht="15.6">
      <c r="A2526" s="20"/>
      <c r="B2526" s="503" t="s">
        <v>333</v>
      </c>
      <c r="C2526" s="20"/>
      <c r="D2526" s="20"/>
      <c r="E2526" s="20"/>
      <c r="F2526" s="20"/>
      <c r="G2526" s="20" t="s">
        <v>61</v>
      </c>
      <c r="H2526" s="37" t="s">
        <v>70</v>
      </c>
      <c r="I2526" s="503">
        <v>5.77</v>
      </c>
      <c r="J2526" s="179">
        <v>10</v>
      </c>
      <c r="K2526" s="383">
        <v>17</v>
      </c>
      <c r="L2526" s="100">
        <f>(I2526*J2526*K2526/1000)</f>
        <v>0.98089999999999999</v>
      </c>
      <c r="M2526" s="20"/>
      <c r="N2526" s="20"/>
      <c r="O2526" s="20"/>
      <c r="P2526" s="20"/>
      <c r="Q2526" s="155"/>
      <c r="R2526" s="155"/>
    </row>
    <row r="2527" spans="1:19" ht="15.6">
      <c r="A2527" s="20"/>
      <c r="B2527" s="20"/>
      <c r="C2527" s="20"/>
      <c r="D2527" s="20"/>
      <c r="E2527" s="20"/>
      <c r="F2527" s="20"/>
      <c r="G2527" s="20" t="s">
        <v>61</v>
      </c>
      <c r="H2527" s="37" t="s">
        <v>70</v>
      </c>
      <c r="I2527" s="503">
        <v>5.77</v>
      </c>
      <c r="J2527" s="179">
        <v>12</v>
      </c>
      <c r="K2527" s="383">
        <v>26</v>
      </c>
      <c r="L2527" s="100">
        <f>(I2527*J2527*K2527/1000)</f>
        <v>1.8002399999999998</v>
      </c>
      <c r="M2527" s="20"/>
      <c r="N2527" s="20"/>
      <c r="O2527" s="20"/>
      <c r="P2527" s="20"/>
      <c r="Q2527" s="155"/>
      <c r="R2527" s="155"/>
    </row>
    <row r="2528" spans="1:19" ht="15.6">
      <c r="A2528" s="20"/>
      <c r="B2528" s="20"/>
      <c r="C2528" s="20"/>
      <c r="D2528" s="20"/>
      <c r="E2528" s="20"/>
      <c r="F2528" s="20"/>
      <c r="G2528" s="20"/>
      <c r="H2528" s="20"/>
      <c r="I2528" s="131"/>
      <c r="J2528" s="20"/>
      <c r="K2528" s="104">
        <f t="shared" ref="K2528" si="435">SUM(K2525:K2527)</f>
        <v>45</v>
      </c>
      <c r="L2528" s="124">
        <f>SUM(L2525:L2527)</f>
        <v>2.8878849999999998</v>
      </c>
      <c r="M2528" s="20"/>
      <c r="N2528" s="20"/>
      <c r="O2528" s="20"/>
      <c r="P2528" s="20"/>
      <c r="Q2528" s="155"/>
      <c r="R2528" s="155"/>
    </row>
    <row r="2529" spans="1:19" ht="15.6">
      <c r="A2529" s="20"/>
      <c r="B2529" s="20"/>
      <c r="C2529" s="20"/>
      <c r="D2529" s="20"/>
      <c r="E2529" s="20"/>
      <c r="F2529" s="20"/>
      <c r="G2529" s="20"/>
      <c r="H2529" s="20"/>
      <c r="I2529" s="131"/>
      <c r="J2529" s="20"/>
      <c r="K2529" s="211"/>
      <c r="L2529" s="131"/>
      <c r="M2529" s="20"/>
      <c r="N2529" s="20"/>
      <c r="O2529" s="20"/>
      <c r="P2529" s="20"/>
      <c r="Q2529" s="155"/>
      <c r="R2529" s="155"/>
    </row>
    <row r="2530" spans="1:19" ht="15.6">
      <c r="A2530" s="21" t="s">
        <v>332</v>
      </c>
      <c r="B2530" s="21" t="s">
        <v>341</v>
      </c>
      <c r="C2530" s="21" t="s">
        <v>19</v>
      </c>
      <c r="D2530" s="21" t="s">
        <v>155</v>
      </c>
      <c r="E2530" s="21" t="s">
        <v>323</v>
      </c>
      <c r="F2530" s="22">
        <v>9</v>
      </c>
      <c r="G2530" s="37" t="s">
        <v>61</v>
      </c>
      <c r="H2530" s="143" t="s">
        <v>70</v>
      </c>
      <c r="I2530" s="119">
        <v>5.76</v>
      </c>
      <c r="J2530" s="122">
        <v>8.1</v>
      </c>
      <c r="K2530" s="571">
        <v>64</v>
      </c>
      <c r="L2530" s="100">
        <f t="shared" ref="L2530:L2534" si="436">(I2530*J2530*K2530/1000)</f>
        <v>2.9859839999999997</v>
      </c>
      <c r="M2530" s="20"/>
      <c r="N2530" s="20"/>
      <c r="O2530" s="20"/>
      <c r="P2530" s="20"/>
      <c r="Q2530" s="155"/>
      <c r="R2530" s="155"/>
      <c r="S2530" s="497" t="s">
        <v>391</v>
      </c>
    </row>
    <row r="2531" spans="1:19" ht="15.6">
      <c r="A2531" s="20"/>
      <c r="B2531" s="503" t="s">
        <v>340</v>
      </c>
      <c r="C2531" s="20"/>
      <c r="D2531" s="20"/>
      <c r="E2531" s="20"/>
      <c r="F2531" s="20"/>
      <c r="G2531" s="20" t="s">
        <v>61</v>
      </c>
      <c r="H2531" s="37" t="s">
        <v>70</v>
      </c>
      <c r="I2531" s="503">
        <v>5.76</v>
      </c>
      <c r="J2531" s="179">
        <v>8.5</v>
      </c>
      <c r="K2531" s="383">
        <v>20</v>
      </c>
      <c r="L2531" s="100">
        <f t="shared" si="436"/>
        <v>0.97920000000000007</v>
      </c>
      <c r="M2531" s="20"/>
      <c r="N2531" s="20"/>
      <c r="O2531" s="20"/>
      <c r="P2531" s="20"/>
      <c r="Q2531" s="155"/>
      <c r="R2531" s="155"/>
    </row>
    <row r="2532" spans="1:19" ht="15.6">
      <c r="A2532" s="20"/>
      <c r="B2532" s="20"/>
      <c r="C2532" s="20"/>
      <c r="D2532" s="20"/>
      <c r="E2532" s="20"/>
      <c r="F2532" s="20"/>
      <c r="G2532" s="20" t="s">
        <v>61</v>
      </c>
      <c r="H2532" s="37" t="s">
        <v>70</v>
      </c>
      <c r="I2532" s="503">
        <v>5.76</v>
      </c>
      <c r="J2532" s="179">
        <v>10</v>
      </c>
      <c r="K2532" s="383">
        <v>8</v>
      </c>
      <c r="L2532" s="100">
        <f t="shared" si="436"/>
        <v>0.46079999999999993</v>
      </c>
      <c r="M2532" s="20"/>
      <c r="N2532" s="20"/>
      <c r="O2532" s="20"/>
      <c r="P2532" s="20"/>
      <c r="Q2532" s="155"/>
      <c r="R2532" s="155"/>
    </row>
    <row r="2533" spans="1:19" ht="15.6">
      <c r="A2533" s="20"/>
      <c r="B2533" s="20"/>
      <c r="C2533" s="20"/>
      <c r="D2533" s="20"/>
      <c r="E2533" s="20"/>
      <c r="F2533" s="20"/>
      <c r="G2533" s="20" t="s">
        <v>61</v>
      </c>
      <c r="H2533" s="37" t="s">
        <v>70</v>
      </c>
      <c r="I2533" s="503">
        <v>5.76</v>
      </c>
      <c r="J2533" s="179">
        <v>10.5</v>
      </c>
      <c r="K2533" s="383">
        <v>6</v>
      </c>
      <c r="L2533" s="100">
        <f t="shared" si="436"/>
        <v>0.36287999999999998</v>
      </c>
      <c r="M2533" s="20"/>
      <c r="N2533" s="20"/>
      <c r="O2533" s="20"/>
      <c r="P2533" s="20"/>
      <c r="Q2533" s="155"/>
      <c r="R2533" s="155"/>
    </row>
    <row r="2534" spans="1:19" ht="15.6">
      <c r="A2534" s="20"/>
      <c r="B2534" s="20"/>
      <c r="C2534" s="20"/>
      <c r="D2534" s="20"/>
      <c r="E2534" s="20"/>
      <c r="F2534" s="20"/>
      <c r="G2534" s="20" t="s">
        <v>61</v>
      </c>
      <c r="H2534" s="37" t="s">
        <v>70</v>
      </c>
      <c r="I2534" s="503">
        <v>5.76</v>
      </c>
      <c r="J2534" s="179">
        <v>12</v>
      </c>
      <c r="K2534" s="383">
        <v>4</v>
      </c>
      <c r="L2534" s="100">
        <f t="shared" si="436"/>
        <v>0.27648</v>
      </c>
      <c r="M2534" s="20"/>
      <c r="N2534" s="20"/>
      <c r="O2534" s="20"/>
      <c r="P2534" s="20"/>
      <c r="Q2534" s="155"/>
      <c r="R2534" s="155"/>
    </row>
    <row r="2535" spans="1:19" ht="15.6">
      <c r="A2535" s="20"/>
      <c r="B2535" s="20"/>
      <c r="C2535" s="20"/>
      <c r="D2535" s="20"/>
      <c r="E2535" s="20"/>
      <c r="F2535" s="20"/>
      <c r="G2535" s="20"/>
      <c r="H2535" s="20"/>
      <c r="I2535" s="131"/>
      <c r="J2535" s="20"/>
      <c r="K2535" s="104">
        <f t="shared" ref="K2535" si="437">SUM(K2530:K2534)</f>
        <v>102</v>
      </c>
      <c r="L2535" s="124">
        <f>SUM(L2530:L2534)</f>
        <v>5.0653439999999996</v>
      </c>
      <c r="M2535" s="20"/>
      <c r="N2535" s="20"/>
      <c r="O2535" s="20"/>
      <c r="P2535" s="20"/>
      <c r="Q2535" s="155"/>
      <c r="R2535" s="155"/>
    </row>
    <row r="2536" spans="1:19" s="497" customFormat="1" ht="15.6">
      <c r="A2536" s="20"/>
      <c r="B2536" s="20"/>
      <c r="C2536" s="20"/>
      <c r="D2536" s="20"/>
      <c r="E2536" s="20"/>
      <c r="F2536" s="20"/>
      <c r="G2536" s="20"/>
      <c r="H2536" s="20"/>
      <c r="I2536" s="131"/>
      <c r="J2536" s="20"/>
      <c r="K2536" s="154">
        <f>+K2535+K2528</f>
        <v>147</v>
      </c>
      <c r="L2536" s="124">
        <f>+L2535+L2528</f>
        <v>7.9532289999999994</v>
      </c>
      <c r="M2536" s="20"/>
      <c r="N2536" s="20"/>
      <c r="O2536" s="20"/>
      <c r="P2536" s="20"/>
      <c r="Q2536" s="155"/>
      <c r="R2536" s="155"/>
    </row>
    <row r="2537" spans="1:19" s="497" customFormat="1" ht="15.6">
      <c r="A2537" s="20"/>
      <c r="B2537" s="20"/>
      <c r="C2537" s="20"/>
      <c r="D2537" s="20"/>
      <c r="E2537" s="20"/>
      <c r="F2537" s="20"/>
      <c r="G2537" s="20"/>
      <c r="H2537" s="20"/>
      <c r="I2537" s="131"/>
      <c r="J2537" s="20"/>
      <c r="K2537" s="104"/>
      <c r="L2537" s="124"/>
      <c r="M2537" s="20"/>
      <c r="N2537" s="20"/>
      <c r="O2537" s="20"/>
      <c r="P2537" s="20"/>
      <c r="Q2537" s="155"/>
      <c r="R2537" s="155"/>
    </row>
    <row r="2538" spans="1:19" ht="15.6">
      <c r="A2538" s="20"/>
      <c r="B2538" s="20"/>
      <c r="C2538" s="20"/>
      <c r="D2538" s="20"/>
      <c r="E2538" s="20"/>
      <c r="F2538" s="20"/>
      <c r="G2538" s="20"/>
      <c r="H2538" s="20"/>
      <c r="I2538" s="131"/>
      <c r="J2538" s="20"/>
      <c r="K2538" s="211"/>
      <c r="L2538" s="131"/>
      <c r="M2538" s="20"/>
      <c r="N2538" s="20"/>
      <c r="O2538" s="20"/>
      <c r="P2538" s="20"/>
      <c r="Q2538" s="155"/>
      <c r="R2538" s="155"/>
    </row>
    <row r="2539" spans="1:19" ht="15.6">
      <c r="A2539" s="21" t="s">
        <v>272</v>
      </c>
      <c r="B2539" s="21" t="s">
        <v>358</v>
      </c>
      <c r="C2539" s="21" t="s">
        <v>19</v>
      </c>
      <c r="D2539" s="21" t="s">
        <v>155</v>
      </c>
      <c r="E2539" s="21" t="s">
        <v>270</v>
      </c>
      <c r="F2539" s="22">
        <v>7</v>
      </c>
      <c r="G2539" s="20" t="s">
        <v>61</v>
      </c>
      <c r="H2539" s="143" t="s">
        <v>69</v>
      </c>
      <c r="I2539" s="503">
        <v>6.86</v>
      </c>
      <c r="J2539" s="179">
        <v>7.5</v>
      </c>
      <c r="K2539" s="383">
        <v>1</v>
      </c>
      <c r="L2539" s="100">
        <f t="shared" ref="L2539:L2543" si="438">(I2539*J2539*K2539/1000)</f>
        <v>5.1450000000000003E-2</v>
      </c>
      <c r="M2539" s="20"/>
      <c r="N2539" s="20"/>
      <c r="O2539" s="20"/>
      <c r="P2539" s="20"/>
      <c r="Q2539" s="155"/>
      <c r="R2539" s="155"/>
      <c r="S2539" s="497" t="s">
        <v>391</v>
      </c>
    </row>
    <row r="2540" spans="1:19" ht="15.6">
      <c r="A2540" s="20"/>
      <c r="B2540" s="503" t="s">
        <v>333</v>
      </c>
      <c r="C2540" s="20"/>
      <c r="D2540" s="20"/>
      <c r="E2540" s="20"/>
      <c r="F2540" s="20"/>
      <c r="G2540" s="20" t="s">
        <v>61</v>
      </c>
      <c r="H2540" s="37" t="s">
        <v>69</v>
      </c>
      <c r="I2540" s="503">
        <v>6.86</v>
      </c>
      <c r="J2540" s="179">
        <v>8.75</v>
      </c>
      <c r="K2540" s="383">
        <v>8</v>
      </c>
      <c r="L2540" s="100">
        <f t="shared" si="438"/>
        <v>0.48020000000000007</v>
      </c>
      <c r="M2540" s="20"/>
      <c r="N2540" s="20"/>
      <c r="O2540" s="20"/>
      <c r="P2540" s="20"/>
      <c r="Q2540" s="155"/>
      <c r="R2540" s="155"/>
    </row>
    <row r="2541" spans="1:19" ht="15.6">
      <c r="A2541" s="20"/>
      <c r="B2541" s="20"/>
      <c r="C2541" s="20"/>
      <c r="D2541" s="20"/>
      <c r="E2541" s="20"/>
      <c r="F2541" s="20"/>
      <c r="G2541" s="20" t="s">
        <v>61</v>
      </c>
      <c r="H2541" s="37" t="s">
        <v>69</v>
      </c>
      <c r="I2541" s="503">
        <v>6.86</v>
      </c>
      <c r="J2541" s="179">
        <v>10.75</v>
      </c>
      <c r="K2541" s="383">
        <v>4</v>
      </c>
      <c r="L2541" s="100">
        <f t="shared" si="438"/>
        <v>0.29498000000000002</v>
      </c>
      <c r="M2541" s="20"/>
      <c r="N2541" s="20"/>
      <c r="O2541" s="20"/>
      <c r="P2541" s="20"/>
      <c r="Q2541" s="155"/>
      <c r="R2541" s="155"/>
    </row>
    <row r="2542" spans="1:19" ht="15.6">
      <c r="A2542" s="20"/>
      <c r="B2542" s="20"/>
      <c r="C2542" s="20"/>
      <c r="D2542" s="20"/>
      <c r="E2542" s="20"/>
      <c r="F2542" s="20"/>
      <c r="G2542" s="20" t="s">
        <v>61</v>
      </c>
      <c r="H2542" s="37" t="s">
        <v>69</v>
      </c>
      <c r="I2542" s="503">
        <v>6.86</v>
      </c>
      <c r="J2542" s="179">
        <v>11</v>
      </c>
      <c r="K2542" s="383">
        <v>16</v>
      </c>
      <c r="L2542" s="100">
        <f t="shared" si="438"/>
        <v>1.2073600000000002</v>
      </c>
      <c r="M2542" s="20"/>
      <c r="N2542" s="20"/>
      <c r="O2542" s="20"/>
      <c r="P2542" s="20"/>
      <c r="Q2542" s="155"/>
      <c r="R2542" s="155"/>
    </row>
    <row r="2543" spans="1:19" ht="15.6">
      <c r="A2543" s="20"/>
      <c r="B2543" s="20"/>
      <c r="C2543" s="20"/>
      <c r="D2543" s="20"/>
      <c r="E2543" s="20"/>
      <c r="F2543" s="20"/>
      <c r="G2543" s="20" t="s">
        <v>61</v>
      </c>
      <c r="H2543" s="37" t="s">
        <v>69</v>
      </c>
      <c r="I2543" s="503">
        <v>6.86</v>
      </c>
      <c r="J2543" s="179">
        <v>12</v>
      </c>
      <c r="K2543" s="383">
        <v>9</v>
      </c>
      <c r="L2543" s="100">
        <f t="shared" si="438"/>
        <v>0.74088000000000009</v>
      </c>
      <c r="M2543" s="20"/>
      <c r="N2543" s="20"/>
      <c r="O2543" s="20"/>
      <c r="P2543" s="20"/>
      <c r="Q2543" s="155"/>
      <c r="R2543" s="155"/>
    </row>
    <row r="2544" spans="1:19" ht="15.6">
      <c r="A2544" s="20"/>
      <c r="B2544" s="20"/>
      <c r="C2544" s="20"/>
      <c r="D2544" s="20"/>
      <c r="E2544" s="20"/>
      <c r="F2544" s="20"/>
      <c r="G2544" s="20"/>
      <c r="H2544" s="20"/>
      <c r="I2544" s="131"/>
      <c r="J2544" s="20"/>
      <c r="K2544" s="104">
        <f t="shared" ref="K2544" si="439">SUM(K2539:K2543)</f>
        <v>38</v>
      </c>
      <c r="L2544" s="181">
        <f>SUM(L2539:L2543)</f>
        <v>2.7748700000000004</v>
      </c>
      <c r="M2544" s="20"/>
      <c r="N2544" s="20"/>
      <c r="O2544" s="20"/>
      <c r="P2544" s="20"/>
      <c r="Q2544" s="155"/>
      <c r="R2544" s="155"/>
    </row>
    <row r="2545" spans="1:19" ht="15.6">
      <c r="A2545" s="20"/>
      <c r="B2545" s="20"/>
      <c r="C2545" s="20"/>
      <c r="D2545" s="20"/>
      <c r="E2545" s="20"/>
      <c r="F2545" s="20"/>
      <c r="G2545" s="20"/>
      <c r="H2545" s="20"/>
      <c r="I2545" s="131"/>
      <c r="J2545" s="20"/>
      <c r="K2545" s="211"/>
      <c r="L2545" s="131"/>
      <c r="M2545" s="20"/>
      <c r="N2545" s="20"/>
      <c r="O2545" s="20"/>
      <c r="P2545" s="20"/>
      <c r="Q2545" s="155"/>
      <c r="R2545" s="155"/>
    </row>
    <row r="2546" spans="1:19" ht="15.6">
      <c r="A2546" s="21" t="s">
        <v>332</v>
      </c>
      <c r="B2546" s="21" t="s">
        <v>341</v>
      </c>
      <c r="C2546" s="21" t="s">
        <v>19</v>
      </c>
      <c r="D2546" s="21" t="s">
        <v>155</v>
      </c>
      <c r="E2546" s="21" t="s">
        <v>323</v>
      </c>
      <c r="F2546" s="22">
        <v>9</v>
      </c>
      <c r="G2546" s="20" t="s">
        <v>61</v>
      </c>
      <c r="H2546" s="143" t="s">
        <v>69</v>
      </c>
      <c r="I2546" s="503">
        <v>6.85</v>
      </c>
      <c r="J2546" s="179">
        <v>10.5</v>
      </c>
      <c r="K2546" s="383">
        <v>3</v>
      </c>
      <c r="L2546" s="100">
        <f t="shared" ref="L2546:L2547" si="440">(I2546*J2546*K2546/1000)</f>
        <v>0.21577499999999997</v>
      </c>
      <c r="M2546" s="20"/>
      <c r="N2546" s="20"/>
      <c r="O2546" s="20"/>
      <c r="P2546" s="20"/>
      <c r="Q2546" s="155"/>
      <c r="R2546" s="155"/>
      <c r="S2546" s="497" t="s">
        <v>391</v>
      </c>
    </row>
    <row r="2547" spans="1:19" ht="15.6">
      <c r="A2547" s="20"/>
      <c r="B2547" s="503" t="s">
        <v>340</v>
      </c>
      <c r="C2547" s="20"/>
      <c r="D2547" s="20"/>
      <c r="E2547" s="20"/>
      <c r="F2547" s="20"/>
      <c r="G2547" s="20" t="s">
        <v>61</v>
      </c>
      <c r="H2547" s="37" t="s">
        <v>69</v>
      </c>
      <c r="I2547" s="503">
        <v>6.85</v>
      </c>
      <c r="J2547" s="179">
        <v>12</v>
      </c>
      <c r="K2547" s="383">
        <v>7</v>
      </c>
      <c r="L2547" s="100">
        <f t="shared" si="440"/>
        <v>0.57539999999999991</v>
      </c>
      <c r="M2547" s="20"/>
      <c r="N2547" s="20"/>
      <c r="O2547" s="20"/>
      <c r="P2547" s="20"/>
      <c r="Q2547" s="155"/>
      <c r="R2547" s="155"/>
    </row>
    <row r="2548" spans="1:19" ht="15.6">
      <c r="A2548" s="20"/>
      <c r="B2548" s="20"/>
      <c r="C2548" s="20"/>
      <c r="D2548" s="20"/>
      <c r="E2548" s="20"/>
      <c r="F2548" s="20"/>
      <c r="G2548" s="20"/>
      <c r="H2548" s="20"/>
      <c r="I2548" s="131"/>
      <c r="J2548" s="20"/>
      <c r="K2548" s="104">
        <f>SUM(K2546:K2547)</f>
        <v>10</v>
      </c>
      <c r="L2548" s="124">
        <f>SUM(L2546:L2547)</f>
        <v>0.79117499999999985</v>
      </c>
      <c r="M2548" s="20"/>
      <c r="N2548" s="20"/>
      <c r="O2548" s="20"/>
      <c r="P2548" s="20"/>
      <c r="Q2548" s="155"/>
      <c r="R2548" s="155"/>
    </row>
    <row r="2549" spans="1:19" s="497" customFormat="1" ht="15.6">
      <c r="A2549" s="20"/>
      <c r="B2549" s="20"/>
      <c r="C2549" s="20"/>
      <c r="D2549" s="20"/>
      <c r="E2549" s="20"/>
      <c r="F2549" s="20"/>
      <c r="G2549" s="20"/>
      <c r="H2549" s="20"/>
      <c r="I2549" s="131"/>
      <c r="J2549" s="20"/>
      <c r="K2549" s="104">
        <f>+K2548+K2544</f>
        <v>48</v>
      </c>
      <c r="L2549" s="124">
        <f>+L2548+L2544</f>
        <v>3.5660450000000004</v>
      </c>
      <c r="M2549" s="20"/>
      <c r="N2549" s="20"/>
      <c r="O2549" s="20"/>
      <c r="P2549" s="20"/>
      <c r="Q2549" s="155"/>
      <c r="R2549" s="155"/>
    </row>
    <row r="2550" spans="1:19" s="497" customFormat="1" ht="15.6">
      <c r="A2550" s="20"/>
      <c r="B2550" s="20"/>
      <c r="C2550" s="20"/>
      <c r="D2550" s="20"/>
      <c r="E2550" s="20"/>
      <c r="F2550" s="20"/>
      <c r="G2550" s="20"/>
      <c r="H2550" s="20"/>
      <c r="I2550" s="131"/>
      <c r="J2550" s="20"/>
      <c r="K2550" s="104"/>
      <c r="L2550" s="124"/>
      <c r="M2550" s="20"/>
      <c r="N2550" s="20"/>
      <c r="O2550" s="20"/>
      <c r="P2550" s="20"/>
      <c r="Q2550" s="155"/>
      <c r="R2550" s="155"/>
    </row>
    <row r="2551" spans="1:19" s="497" customFormat="1" ht="15.6">
      <c r="A2551" s="20"/>
      <c r="B2551" s="20"/>
      <c r="C2551" s="20"/>
      <c r="D2551" s="20"/>
      <c r="E2551" s="20"/>
      <c r="F2551" s="20"/>
      <c r="G2551" s="20"/>
      <c r="H2551" s="20"/>
      <c r="I2551" s="131"/>
      <c r="J2551" s="20"/>
      <c r="K2551" s="104"/>
      <c r="L2551" s="124"/>
      <c r="M2551" s="20"/>
      <c r="N2551" s="20"/>
      <c r="O2551" s="20"/>
      <c r="P2551" s="20"/>
      <c r="Q2551" s="155"/>
      <c r="R2551" s="155"/>
    </row>
    <row r="2552" spans="1:19" s="497" customFormat="1" ht="15.6">
      <c r="A2552" s="20"/>
      <c r="B2552" s="20"/>
      <c r="C2552" s="20"/>
      <c r="D2552" s="20"/>
      <c r="E2552" s="20"/>
      <c r="F2552" s="20"/>
      <c r="G2552" s="20"/>
      <c r="H2552" s="20"/>
      <c r="I2552" s="131"/>
      <c r="J2552" s="20"/>
      <c r="K2552" s="104"/>
      <c r="L2552" s="124"/>
      <c r="M2552" s="20"/>
      <c r="N2552" s="20"/>
      <c r="O2552" s="20"/>
      <c r="P2552" s="20"/>
      <c r="Q2552" s="155"/>
      <c r="R2552" s="155"/>
    </row>
    <row r="2553" spans="1:19" s="497" customFormat="1" ht="15.6">
      <c r="A2553" s="20"/>
      <c r="B2553" s="20"/>
      <c r="C2553" s="20"/>
      <c r="D2553" s="20"/>
      <c r="E2553" s="20"/>
      <c r="F2553" s="20"/>
      <c r="G2553" s="20"/>
      <c r="H2553" s="20"/>
      <c r="I2553" s="131"/>
      <c r="J2553" s="20"/>
      <c r="K2553" s="104"/>
      <c r="L2553" s="124"/>
      <c r="M2553" s="20"/>
      <c r="N2553" s="20"/>
      <c r="O2553" s="20"/>
      <c r="P2553" s="20"/>
      <c r="Q2553" s="155"/>
      <c r="R2553" s="155"/>
    </row>
    <row r="2554" spans="1:19" s="497" customFormat="1" ht="15.6">
      <c r="A2554" s="20"/>
      <c r="B2554" s="20"/>
      <c r="C2554" s="20"/>
      <c r="D2554" s="20"/>
      <c r="E2554" s="20"/>
      <c r="F2554" s="20"/>
      <c r="G2554" s="20"/>
      <c r="H2554" s="20"/>
      <c r="I2554" s="131"/>
      <c r="J2554" s="20"/>
      <c r="K2554" s="104"/>
      <c r="L2554" s="124"/>
      <c r="M2554" s="20"/>
      <c r="N2554" s="20"/>
      <c r="O2554" s="20"/>
      <c r="P2554" s="20"/>
      <c r="Q2554" s="155"/>
      <c r="R2554" s="155"/>
    </row>
    <row r="2555" spans="1:19" s="497" customFormat="1" ht="15.6">
      <c r="A2555" s="20"/>
      <c r="B2555" s="20"/>
      <c r="C2555" s="20"/>
      <c r="D2555" s="20"/>
      <c r="E2555" s="20"/>
      <c r="F2555" s="20"/>
      <c r="G2555" s="20"/>
      <c r="H2555" s="20"/>
      <c r="I2555" s="131"/>
      <c r="J2555" s="20"/>
      <c r="K2555" s="104"/>
      <c r="L2555" s="124"/>
      <c r="M2555" s="20"/>
      <c r="N2555" s="20"/>
      <c r="O2555" s="20"/>
      <c r="P2555" s="20"/>
      <c r="Q2555" s="155"/>
      <c r="R2555" s="155"/>
    </row>
    <row r="2556" spans="1:19" s="497" customFormat="1" ht="15.6">
      <c r="A2556" s="21" t="s">
        <v>332</v>
      </c>
      <c r="B2556" s="21" t="s">
        <v>371</v>
      </c>
      <c r="C2556" s="21" t="s">
        <v>19</v>
      </c>
      <c r="D2556" s="21" t="s">
        <v>20</v>
      </c>
      <c r="E2556" s="21" t="s">
        <v>47</v>
      </c>
      <c r="F2556" s="22">
        <v>9</v>
      </c>
      <c r="G2556" s="20" t="s">
        <v>21</v>
      </c>
      <c r="H2556" s="143" t="s">
        <v>70</v>
      </c>
      <c r="I2556" s="178">
        <v>5.76</v>
      </c>
      <c r="J2556" s="572">
        <v>12</v>
      </c>
      <c r="K2556" s="435">
        <v>29</v>
      </c>
      <c r="L2556" s="100">
        <f>(I2556*J2556*K2556/1000)</f>
        <v>2.00448</v>
      </c>
      <c r="M2556" s="20"/>
      <c r="N2556" s="20"/>
      <c r="O2556" s="20"/>
      <c r="P2556" s="20"/>
      <c r="Q2556" s="155"/>
      <c r="R2556" s="155"/>
      <c r="S2556" s="497" t="s">
        <v>391</v>
      </c>
    </row>
    <row r="2557" spans="1:19" s="497" customFormat="1" ht="15.6">
      <c r="A2557" s="20"/>
      <c r="B2557" s="503" t="s">
        <v>340</v>
      </c>
      <c r="C2557" s="20"/>
      <c r="D2557" s="20"/>
      <c r="E2557" s="20"/>
      <c r="F2557" s="20"/>
      <c r="G2557" s="20" t="s">
        <v>21</v>
      </c>
      <c r="H2557" s="37" t="s">
        <v>70</v>
      </c>
      <c r="I2557" s="178">
        <v>5.76</v>
      </c>
      <c r="J2557" s="572">
        <v>11</v>
      </c>
      <c r="K2557" s="435">
        <v>18</v>
      </c>
      <c r="L2557" s="100">
        <f>(I2557*J2557*K2557/1000)</f>
        <v>1.1404799999999999</v>
      </c>
      <c r="M2557" s="20"/>
      <c r="N2557" s="20"/>
      <c r="O2557" s="20"/>
      <c r="P2557" s="20"/>
      <c r="Q2557" s="155"/>
      <c r="R2557" s="155"/>
    </row>
    <row r="2558" spans="1:19" s="497" customFormat="1" ht="15.6">
      <c r="A2558" s="20"/>
      <c r="B2558" s="20"/>
      <c r="C2558" s="20"/>
      <c r="D2558" s="20"/>
      <c r="E2558" s="20"/>
      <c r="F2558" s="20"/>
      <c r="G2558" s="20"/>
      <c r="H2558" s="37"/>
      <c r="I2558" s="503"/>
      <c r="J2558" s="574"/>
      <c r="K2558" s="194">
        <f>SUM(K2556:K2557)</f>
        <v>47</v>
      </c>
      <c r="L2558" s="195">
        <f>SUM(L2556:L2557)</f>
        <v>3.1449600000000002</v>
      </c>
      <c r="M2558" s="20"/>
      <c r="N2558" s="20"/>
      <c r="O2558" s="20"/>
      <c r="P2558" s="20"/>
      <c r="Q2558" s="155"/>
      <c r="R2558" s="155"/>
    </row>
    <row r="2559" spans="1:19" s="497" customFormat="1" ht="15.6">
      <c r="A2559" s="20"/>
      <c r="B2559" s="20"/>
      <c r="C2559" s="20"/>
      <c r="D2559" s="20"/>
      <c r="E2559" s="20"/>
      <c r="F2559" s="20"/>
      <c r="G2559" s="20"/>
      <c r="H2559" s="20"/>
      <c r="I2559" s="131"/>
      <c r="J2559" s="20"/>
      <c r="K2559" s="104"/>
      <c r="L2559" s="124"/>
      <c r="M2559" s="20"/>
      <c r="N2559" s="20"/>
      <c r="O2559" s="20"/>
      <c r="P2559" s="20"/>
      <c r="Q2559" s="155"/>
      <c r="R2559" s="155"/>
    </row>
    <row r="2560" spans="1:19" s="497" customFormat="1" ht="15.6">
      <c r="A2560" s="20"/>
      <c r="B2560" s="20"/>
      <c r="C2560" s="20"/>
      <c r="D2560" s="20"/>
      <c r="E2560" s="20"/>
      <c r="F2560" s="20"/>
      <c r="G2560" s="20"/>
      <c r="H2560" s="20"/>
      <c r="I2560" s="131"/>
      <c r="J2560" s="20"/>
      <c r="K2560" s="104"/>
      <c r="L2560" s="124"/>
      <c r="M2560" s="20"/>
      <c r="N2560" s="20"/>
      <c r="O2560" s="20"/>
      <c r="P2560" s="20"/>
      <c r="Q2560" s="155"/>
      <c r="R2560" s="155"/>
    </row>
    <row r="2561" spans="1:19" s="497" customFormat="1" ht="15.6">
      <c r="A2561" s="21" t="s">
        <v>332</v>
      </c>
      <c r="B2561" s="21" t="s">
        <v>371</v>
      </c>
      <c r="C2561" s="21" t="s">
        <v>19</v>
      </c>
      <c r="D2561" s="21" t="s">
        <v>20</v>
      </c>
      <c r="E2561" s="21" t="s">
        <v>47</v>
      </c>
      <c r="F2561" s="22">
        <v>9</v>
      </c>
      <c r="G2561" s="20" t="s">
        <v>21</v>
      </c>
      <c r="H2561" s="143" t="s">
        <v>69</v>
      </c>
      <c r="I2561" s="503">
        <v>6.85</v>
      </c>
      <c r="J2561" s="434">
        <v>11.7</v>
      </c>
      <c r="K2561" s="435">
        <v>24</v>
      </c>
      <c r="L2561" s="100">
        <f>(I2561*J2561*K2561/1000)</f>
        <v>1.9234800000000001</v>
      </c>
      <c r="M2561" s="20"/>
      <c r="N2561" s="20"/>
      <c r="O2561" s="20"/>
      <c r="P2561" s="20"/>
      <c r="Q2561" s="155"/>
      <c r="R2561" s="155"/>
      <c r="S2561" s="497" t="s">
        <v>391</v>
      </c>
    </row>
    <row r="2562" spans="1:19" s="497" customFormat="1" ht="15.6">
      <c r="A2562" s="20"/>
      <c r="B2562" s="503" t="s">
        <v>340</v>
      </c>
      <c r="C2562" s="20"/>
      <c r="D2562" s="20"/>
      <c r="E2562" s="20"/>
      <c r="F2562" s="20"/>
      <c r="G2562" s="20" t="s">
        <v>21</v>
      </c>
      <c r="H2562" s="37" t="s">
        <v>69</v>
      </c>
      <c r="I2562" s="503">
        <v>6.85</v>
      </c>
      <c r="J2562" s="434">
        <v>10.199999999999999</v>
      </c>
      <c r="K2562" s="435">
        <v>29</v>
      </c>
      <c r="L2562" s="100">
        <f>(I2562*J2562*K2562/1000)</f>
        <v>2.02623</v>
      </c>
      <c r="M2562" s="20"/>
      <c r="N2562" s="20"/>
      <c r="O2562" s="20"/>
      <c r="P2562" s="20"/>
      <c r="Q2562" s="155"/>
      <c r="R2562" s="155"/>
    </row>
    <row r="2563" spans="1:19" s="497" customFormat="1" ht="15.6">
      <c r="A2563" s="20"/>
      <c r="B2563" s="20"/>
      <c r="C2563" s="20"/>
      <c r="D2563" s="20"/>
      <c r="E2563" s="20"/>
      <c r="F2563" s="20"/>
      <c r="G2563" s="20"/>
      <c r="H2563" s="20"/>
      <c r="I2563" s="131"/>
      <c r="J2563" s="20"/>
      <c r="K2563" s="154">
        <f>SUM(K2561:K2562)</f>
        <v>53</v>
      </c>
      <c r="L2563" s="124">
        <f>SUM(L2561:L2562)</f>
        <v>3.9497100000000001</v>
      </c>
      <c r="M2563" s="20"/>
      <c r="N2563" s="20"/>
      <c r="O2563" s="20"/>
      <c r="P2563" s="20"/>
      <c r="Q2563" s="155"/>
      <c r="R2563" s="155"/>
    </row>
    <row r="2564" spans="1:19" s="497" customFormat="1" ht="15.6">
      <c r="A2564" s="20"/>
      <c r="B2564" s="20"/>
      <c r="C2564" s="20"/>
      <c r="D2564" s="20"/>
      <c r="E2564" s="20"/>
      <c r="F2564" s="20"/>
      <c r="G2564" s="20"/>
      <c r="H2564" s="20"/>
      <c r="I2564" s="131"/>
      <c r="J2564" s="20"/>
      <c r="K2564" s="154"/>
      <c r="L2564" s="124"/>
      <c r="M2564" s="20"/>
      <c r="N2564" s="20"/>
      <c r="O2564" s="20"/>
      <c r="P2564" s="20"/>
      <c r="Q2564" s="155"/>
      <c r="R2564" s="155"/>
    </row>
    <row r="2565" spans="1:19" s="497" customFormat="1" ht="15.6">
      <c r="A2565" s="20"/>
      <c r="B2565" s="20"/>
      <c r="C2565" s="20"/>
      <c r="D2565" s="20"/>
      <c r="E2565" s="20"/>
      <c r="F2565" s="20"/>
      <c r="G2565" s="20"/>
      <c r="H2565" s="20"/>
      <c r="I2565" s="131"/>
      <c r="J2565" s="20"/>
      <c r="K2565" s="154"/>
      <c r="L2565" s="124"/>
      <c r="M2565" s="20"/>
      <c r="N2565" s="20"/>
      <c r="O2565" s="20"/>
      <c r="P2565" s="20"/>
      <c r="Q2565" s="155"/>
      <c r="R2565" s="155"/>
    </row>
    <row r="2566" spans="1:19" s="497" customFormat="1" ht="15.6">
      <c r="A2566" s="21" t="s">
        <v>332</v>
      </c>
      <c r="B2566" s="21" t="s">
        <v>371</v>
      </c>
      <c r="C2566" s="21" t="s">
        <v>19</v>
      </c>
      <c r="D2566" s="21" t="s">
        <v>155</v>
      </c>
      <c r="E2566" s="21" t="s">
        <v>323</v>
      </c>
      <c r="F2566" s="22">
        <v>9</v>
      </c>
      <c r="G2566" s="37" t="s">
        <v>61</v>
      </c>
      <c r="H2566" s="143" t="s">
        <v>70</v>
      </c>
      <c r="I2566" s="119">
        <v>5.76</v>
      </c>
      <c r="J2566" s="122">
        <v>10</v>
      </c>
      <c r="K2566" s="571">
        <v>24</v>
      </c>
      <c r="L2566" s="100">
        <f>(I2566*J2566*K2566/1000)</f>
        <v>1.3823999999999999</v>
      </c>
      <c r="M2566" s="20"/>
      <c r="N2566" s="20"/>
      <c r="O2566" s="20"/>
      <c r="P2566" s="20"/>
      <c r="Q2566" s="155"/>
      <c r="R2566" s="155"/>
      <c r="S2566" s="497" t="s">
        <v>391</v>
      </c>
    </row>
    <row r="2567" spans="1:19" s="497" customFormat="1" ht="15.6">
      <c r="A2567" s="20"/>
      <c r="B2567" s="503" t="s">
        <v>340</v>
      </c>
      <c r="C2567" s="20"/>
      <c r="D2567" s="20"/>
      <c r="E2567" s="20"/>
      <c r="F2567" s="20"/>
      <c r="G2567" s="20"/>
      <c r="H2567" s="37"/>
      <c r="I2567" s="503"/>
      <c r="J2567" s="574"/>
      <c r="K2567" s="383">
        <f>SUM(K2566)</f>
        <v>24</v>
      </c>
      <c r="L2567" s="100">
        <f>SUM(L2566)</f>
        <v>1.3823999999999999</v>
      </c>
      <c r="M2567" s="20"/>
      <c r="N2567" s="20"/>
      <c r="O2567" s="20"/>
      <c r="P2567" s="20"/>
      <c r="Q2567" s="155"/>
      <c r="R2567" s="155"/>
    </row>
    <row r="2568" spans="1:19" s="497" customFormat="1" ht="15.6">
      <c r="A2568" s="20"/>
      <c r="B2568" s="20"/>
      <c r="C2568" s="20"/>
      <c r="D2568" s="20"/>
      <c r="E2568" s="20"/>
      <c r="F2568" s="20"/>
      <c r="G2568" s="20"/>
      <c r="H2568" s="37"/>
      <c r="I2568" s="503"/>
      <c r="J2568" s="574"/>
      <c r="K2568" s="383"/>
      <c r="L2568" s="100"/>
      <c r="M2568" s="20"/>
      <c r="N2568" s="20"/>
      <c r="O2568" s="20"/>
      <c r="P2568" s="20"/>
      <c r="Q2568" s="155"/>
      <c r="R2568" s="155"/>
    </row>
    <row r="2569" spans="1:19" s="497" customFormat="1" ht="15.6">
      <c r="A2569" s="20"/>
      <c r="B2569" s="20"/>
      <c r="C2569" s="20"/>
      <c r="D2569" s="20"/>
      <c r="E2569" s="20"/>
      <c r="F2569" s="20"/>
      <c r="G2569" s="20"/>
      <c r="H2569" s="20"/>
      <c r="I2569" s="131"/>
      <c r="J2569" s="20"/>
      <c r="K2569" s="104"/>
      <c r="L2569" s="124">
        <f>+L2567+L2563+L2558</f>
        <v>8.4770700000000012</v>
      </c>
      <c r="M2569" s="20"/>
      <c r="N2569" s="20"/>
      <c r="O2569" s="20"/>
      <c r="P2569" s="20"/>
      <c r="Q2569" s="155"/>
      <c r="R2569" s="155"/>
    </row>
    <row r="2570" spans="1:19" s="497" customFormat="1" ht="15.6">
      <c r="A2570" s="20"/>
      <c r="B2570" s="20"/>
      <c r="C2570" s="20"/>
      <c r="D2570" s="20"/>
      <c r="E2570" s="20"/>
      <c r="F2570" s="20"/>
      <c r="G2570" s="20"/>
      <c r="H2570" s="20"/>
      <c r="I2570" s="131"/>
      <c r="J2570" s="20"/>
      <c r="K2570" s="104"/>
      <c r="L2570" s="124"/>
      <c r="M2570" s="20"/>
      <c r="N2570" s="20"/>
      <c r="O2570" s="20"/>
      <c r="P2570" s="20"/>
      <c r="Q2570" s="155"/>
      <c r="R2570" s="155"/>
    </row>
    <row r="2571" spans="1:19" s="497" customFormat="1" ht="15.6">
      <c r="A2571" s="20"/>
      <c r="B2571" s="20"/>
      <c r="C2571" s="20"/>
      <c r="D2571" s="20"/>
      <c r="E2571" s="20"/>
      <c r="F2571" s="20"/>
      <c r="G2571" s="20"/>
      <c r="H2571" s="20"/>
      <c r="I2571" s="131"/>
      <c r="J2571" s="20"/>
      <c r="K2571" s="104"/>
      <c r="L2571" s="124"/>
      <c r="M2571" s="20"/>
      <c r="N2571" s="20"/>
      <c r="O2571" s="20"/>
      <c r="P2571" s="20"/>
      <c r="Q2571" s="155"/>
      <c r="R2571" s="155"/>
    </row>
    <row r="2572" spans="1:19" s="497" customFormat="1" ht="15.6">
      <c r="A2572" s="20"/>
      <c r="B2572" s="20"/>
      <c r="C2572" s="20"/>
      <c r="D2572" s="20"/>
      <c r="E2572" s="20"/>
      <c r="F2572" s="20"/>
      <c r="G2572" s="20"/>
      <c r="H2572" s="20"/>
      <c r="I2572" s="131"/>
      <c r="J2572" s="20"/>
      <c r="K2572" s="104"/>
      <c r="L2572" s="124"/>
      <c r="M2572" s="20"/>
      <c r="N2572" s="20"/>
      <c r="O2572" s="20"/>
      <c r="P2572" s="20"/>
      <c r="Q2572" s="155"/>
      <c r="R2572" s="155"/>
    </row>
    <row r="2573" spans="1:19" s="497" customFormat="1" ht="15.6">
      <c r="A2573" s="20"/>
      <c r="B2573" s="20"/>
      <c r="C2573" s="20"/>
      <c r="D2573" s="20"/>
      <c r="E2573" s="20"/>
      <c r="F2573" s="20"/>
      <c r="G2573" s="20"/>
      <c r="H2573" s="20"/>
      <c r="I2573" s="131"/>
      <c r="J2573" s="20"/>
      <c r="K2573" s="104"/>
      <c r="L2573" s="124"/>
      <c r="M2573" s="20"/>
      <c r="N2573" s="20"/>
      <c r="O2573" s="20"/>
      <c r="P2573" s="20"/>
      <c r="Q2573" s="155"/>
      <c r="R2573" s="155"/>
    </row>
    <row r="2574" spans="1:19" ht="15.6">
      <c r="A2574" s="20"/>
      <c r="B2574" s="20"/>
      <c r="C2574" s="20"/>
      <c r="D2574" s="20"/>
      <c r="E2574" s="20"/>
      <c r="F2574" s="20"/>
      <c r="G2574" s="20"/>
      <c r="H2574" s="20"/>
      <c r="I2574" s="131"/>
      <c r="J2574" s="20"/>
      <c r="K2574" s="211"/>
      <c r="L2574" s="131"/>
      <c r="M2574" s="20"/>
      <c r="N2574" s="20"/>
      <c r="O2574" s="20"/>
      <c r="P2574" s="20"/>
      <c r="Q2574" s="155"/>
      <c r="R2574" s="155"/>
    </row>
    <row r="2575" spans="1:19" ht="15.6">
      <c r="A2575" s="20"/>
      <c r="B2575" s="20"/>
      <c r="C2575" s="20"/>
      <c r="D2575" s="20"/>
      <c r="E2575" s="20"/>
      <c r="F2575" s="20"/>
      <c r="G2575" s="20"/>
      <c r="H2575" s="20"/>
      <c r="I2575" s="131"/>
      <c r="J2575" s="20"/>
      <c r="K2575" s="211"/>
      <c r="L2575" s="128">
        <f>+L2549+L2536+L2522+L2502+L2485+L2472</f>
        <v>123.22156</v>
      </c>
      <c r="M2575" s="20"/>
      <c r="N2575" s="20"/>
      <c r="O2575" s="20"/>
      <c r="P2575" s="20"/>
      <c r="Q2575" s="155"/>
      <c r="R2575" s="155"/>
    </row>
    <row r="2576" spans="1:19">
      <c r="A2576" s="10" t="s">
        <v>48</v>
      </c>
      <c r="B2576" s="10"/>
      <c r="C2576" s="11"/>
      <c r="D2576" s="11"/>
      <c r="E2576" s="11"/>
      <c r="F2576" s="92"/>
      <c r="G2576" s="11"/>
      <c r="H2576" s="92"/>
      <c r="I2576" s="13"/>
      <c r="J2576" s="11"/>
      <c r="K2576" s="202"/>
      <c r="L2576" s="2047" t="s">
        <v>0</v>
      </c>
      <c r="M2576" s="2047"/>
      <c r="N2576" s="2047"/>
      <c r="O2576" s="2048"/>
      <c r="P2576" s="2020"/>
      <c r="Q2576" s="142"/>
      <c r="R2576" s="142"/>
    </row>
    <row r="2577" spans="1:18">
      <c r="A2577" s="14" t="s">
        <v>1</v>
      </c>
      <c r="B2577" s="14"/>
      <c r="C2577" s="14"/>
      <c r="D2577" s="15" t="s">
        <v>2</v>
      </c>
      <c r="E2577" s="15"/>
      <c r="F2577" s="16"/>
      <c r="G2577" s="16"/>
      <c r="H2577" s="16"/>
      <c r="I2577" s="17"/>
      <c r="J2577" s="16"/>
      <c r="K2577" s="203" t="s">
        <v>3</v>
      </c>
      <c r="L2577" s="16"/>
      <c r="M2577" s="14"/>
      <c r="N2577" s="16"/>
      <c r="O2577" s="19"/>
      <c r="P2577" s="2020"/>
      <c r="Q2577" s="142"/>
      <c r="R2577" s="142"/>
    </row>
    <row r="2578" spans="1:18" ht="15.6">
      <c r="A2578" s="543" t="s">
        <v>22</v>
      </c>
      <c r="B2578" s="2021" t="s">
        <v>23</v>
      </c>
      <c r="C2578" s="2022"/>
      <c r="D2578" s="2023"/>
      <c r="E2578" s="543" t="s">
        <v>24</v>
      </c>
      <c r="F2578" s="2021" t="s">
        <v>25</v>
      </c>
      <c r="G2578" s="2023"/>
      <c r="H2578" s="2021" t="s">
        <v>26</v>
      </c>
      <c r="I2578" s="2022"/>
      <c r="J2578" s="2022"/>
      <c r="K2578" s="2023"/>
      <c r="L2578" s="2024" t="s">
        <v>27</v>
      </c>
      <c r="M2578" s="2024"/>
      <c r="N2578" s="2024"/>
      <c r="O2578" s="2021"/>
      <c r="P2578" s="2020"/>
      <c r="Q2578" s="142"/>
      <c r="R2578" s="142"/>
    </row>
    <row r="2579" spans="1:18" ht="15.6">
      <c r="A2579" s="38"/>
      <c r="B2579" s="2025"/>
      <c r="C2579" s="2026"/>
      <c r="D2579" s="2027"/>
      <c r="E2579" s="26"/>
      <c r="F2579" s="2025"/>
      <c r="G2579" s="2027"/>
      <c r="H2579" s="2025"/>
      <c r="I2579" s="2026"/>
      <c r="J2579" s="2026"/>
      <c r="K2579" s="2027"/>
      <c r="L2579" s="2025"/>
      <c r="M2579" s="2026"/>
      <c r="N2579" s="2026"/>
      <c r="O2579" s="2026"/>
      <c r="P2579" s="2020"/>
      <c r="Q2579" s="142"/>
      <c r="R2579" s="142"/>
    </row>
    <row r="2580" spans="1:18" ht="15.6">
      <c r="A2580" s="38"/>
      <c r="B2580" s="541"/>
      <c r="C2580" s="540"/>
      <c r="D2580" s="542"/>
      <c r="E2580" s="26"/>
      <c r="F2580" s="541"/>
      <c r="G2580" s="542"/>
      <c r="H2580" s="541"/>
      <c r="I2580" s="1856"/>
      <c r="J2580" s="540"/>
      <c r="K2580" s="204"/>
      <c r="L2580" s="541"/>
      <c r="M2580" s="540"/>
      <c r="N2580" s="540"/>
      <c r="O2580" s="540"/>
      <c r="P2580" s="2020"/>
      <c r="Q2580" s="142"/>
      <c r="R2580" s="142"/>
    </row>
    <row r="2581" spans="1:18" ht="15.6">
      <c r="A2581" s="544" t="s">
        <v>28</v>
      </c>
      <c r="B2581" s="2026" t="s">
        <v>268</v>
      </c>
      <c r="C2581" s="2026"/>
      <c r="D2581" s="2026"/>
      <c r="E2581" s="369">
        <f>58.824+6.14</f>
        <v>64.963999999999999</v>
      </c>
      <c r="F2581" s="2026">
        <v>7</v>
      </c>
      <c r="G2581" s="2026"/>
      <c r="H2581" s="2054" t="s">
        <v>269</v>
      </c>
      <c r="I2581" s="2054"/>
      <c r="J2581" s="2054"/>
      <c r="K2581" s="2054"/>
      <c r="L2581" s="2026" t="s">
        <v>64</v>
      </c>
      <c r="M2581" s="2026"/>
      <c r="N2581" s="2026"/>
      <c r="O2581" s="2026"/>
      <c r="P2581" s="2020"/>
      <c r="Q2581" s="142"/>
      <c r="R2581" s="142"/>
    </row>
    <row r="2582" spans="1:18" ht="15.6">
      <c r="A2582" s="544" t="s">
        <v>29</v>
      </c>
      <c r="B2582" s="2026" t="s">
        <v>72</v>
      </c>
      <c r="C2582" s="2026"/>
      <c r="D2582" s="2026"/>
      <c r="E2582" s="369">
        <v>2</v>
      </c>
      <c r="F2582" s="2026">
        <v>7</v>
      </c>
      <c r="G2582" s="2026"/>
      <c r="H2582" s="2054" t="s">
        <v>269</v>
      </c>
      <c r="I2582" s="2054"/>
      <c r="J2582" s="2054"/>
      <c r="K2582" s="2054"/>
      <c r="L2582" s="2026" t="s">
        <v>64</v>
      </c>
      <c r="M2582" s="2026"/>
      <c r="N2582" s="2026"/>
      <c r="O2582" s="2026"/>
      <c r="P2582" s="2020"/>
      <c r="Q2582" s="142"/>
      <c r="R2582" s="142"/>
    </row>
    <row r="2583" spans="1:18" ht="15.6">
      <c r="A2583" s="544"/>
      <c r="B2583" s="540"/>
      <c r="C2583" s="540"/>
      <c r="D2583" s="540"/>
      <c r="E2583" s="369"/>
      <c r="F2583" s="540"/>
      <c r="G2583" s="540"/>
      <c r="H2583" s="540"/>
      <c r="I2583" s="1856"/>
      <c r="J2583" s="540"/>
      <c r="K2583" s="540"/>
      <c r="L2583" s="540"/>
      <c r="M2583" s="540"/>
      <c r="N2583" s="540"/>
      <c r="O2583" s="540"/>
      <c r="P2583" s="2020"/>
      <c r="Q2583" s="142"/>
      <c r="R2583" s="142"/>
    </row>
    <row r="2584" spans="1:18" ht="15.6">
      <c r="A2584" s="38" t="s">
        <v>30</v>
      </c>
      <c r="B2584" s="2025" t="s">
        <v>71</v>
      </c>
      <c r="C2584" s="2026"/>
      <c r="D2584" s="2027"/>
      <c r="E2584" s="26">
        <f>26.51+3.95</f>
        <v>30.46</v>
      </c>
      <c r="F2584" s="2025">
        <v>9</v>
      </c>
      <c r="G2584" s="2027"/>
      <c r="H2584" s="2025" t="s">
        <v>49</v>
      </c>
      <c r="I2584" s="2026"/>
      <c r="J2584" s="2026"/>
      <c r="K2584" s="2027"/>
      <c r="L2584" s="2025" t="s">
        <v>283</v>
      </c>
      <c r="M2584" s="2026"/>
      <c r="N2584" s="2026"/>
      <c r="O2584" s="2026"/>
      <c r="P2584" s="2020"/>
      <c r="Q2584" s="142"/>
      <c r="R2584" s="142"/>
    </row>
    <row r="2585" spans="1:18" ht="15.6">
      <c r="A2585" s="38" t="s">
        <v>46</v>
      </c>
      <c r="B2585" s="2025" t="s">
        <v>78</v>
      </c>
      <c r="C2585" s="2026"/>
      <c r="D2585" s="2027"/>
      <c r="E2585" s="26">
        <f>18.478+3.145</f>
        <v>21.623000000000001</v>
      </c>
      <c r="F2585" s="2025">
        <v>9</v>
      </c>
      <c r="G2585" s="2027"/>
      <c r="H2585" s="2025" t="s">
        <v>49</v>
      </c>
      <c r="I2585" s="2026"/>
      <c r="J2585" s="2026"/>
      <c r="K2585" s="2027"/>
      <c r="L2585" s="2025" t="s">
        <v>283</v>
      </c>
      <c r="M2585" s="2026"/>
      <c r="N2585" s="2026"/>
      <c r="O2585" s="2026"/>
      <c r="P2585" s="2020"/>
      <c r="Q2585" s="142"/>
      <c r="R2585" s="142"/>
    </row>
    <row r="2586" spans="1:18" ht="15.6">
      <c r="A2586" s="38"/>
      <c r="B2586" s="541"/>
      <c r="C2586" s="540"/>
      <c r="D2586" s="542"/>
      <c r="E2586" s="26"/>
      <c r="F2586" s="541"/>
      <c r="G2586" s="542"/>
      <c r="H2586" s="541"/>
      <c r="I2586" s="1856"/>
      <c r="J2586" s="540"/>
      <c r="K2586" s="542"/>
      <c r="L2586" s="541"/>
      <c r="M2586" s="540"/>
      <c r="N2586" s="540"/>
      <c r="O2586" s="540"/>
      <c r="P2586" s="2020"/>
      <c r="Q2586" s="142"/>
      <c r="R2586" s="142"/>
    </row>
    <row r="2587" spans="1:18" ht="15.6">
      <c r="A2587" s="544" t="s">
        <v>58</v>
      </c>
      <c r="B2587" s="2026" t="s">
        <v>342</v>
      </c>
      <c r="C2587" s="2026"/>
      <c r="D2587" s="2026"/>
      <c r="E2587" s="369">
        <f>7.953+1.382</f>
        <v>9.3350000000000009</v>
      </c>
      <c r="F2587" s="2026">
        <v>9</v>
      </c>
      <c r="G2587" s="2026"/>
      <c r="H2587" s="2025" t="s">
        <v>155</v>
      </c>
      <c r="I2587" s="2026"/>
      <c r="J2587" s="2026"/>
      <c r="K2587" s="2027"/>
      <c r="L2587" s="2026" t="s">
        <v>343</v>
      </c>
      <c r="M2587" s="2026"/>
      <c r="N2587" s="2026"/>
      <c r="O2587" s="2026"/>
      <c r="P2587" s="2053"/>
      <c r="Q2587" s="142"/>
      <c r="R2587" s="142"/>
    </row>
    <row r="2588" spans="1:18" ht="15.6">
      <c r="A2588" s="544" t="s">
        <v>163</v>
      </c>
      <c r="B2588" s="2026" t="s">
        <v>72</v>
      </c>
      <c r="C2588" s="2026"/>
      <c r="D2588" s="2026"/>
      <c r="E2588" s="369">
        <v>3.5659999999999998</v>
      </c>
      <c r="F2588" s="2026">
        <v>9</v>
      </c>
      <c r="G2588" s="2026"/>
      <c r="H2588" s="2025" t="s">
        <v>155</v>
      </c>
      <c r="I2588" s="2026"/>
      <c r="J2588" s="2026"/>
      <c r="K2588" s="2027"/>
      <c r="L2588" s="2026" t="s">
        <v>343</v>
      </c>
      <c r="M2588" s="2026"/>
      <c r="N2588" s="2026"/>
      <c r="O2588" s="2026"/>
      <c r="P2588" s="2053"/>
      <c r="Q2588" s="142"/>
      <c r="R2588" s="142"/>
    </row>
    <row r="2589" spans="1:18" ht="15.6">
      <c r="A2589" s="544"/>
      <c r="B2589" s="540"/>
      <c r="C2589" s="540"/>
      <c r="D2589" s="540"/>
      <c r="E2589" s="369"/>
      <c r="F2589" s="540"/>
      <c r="G2589" s="540"/>
      <c r="H2589" s="540"/>
      <c r="I2589" s="1856"/>
      <c r="J2589" s="540"/>
      <c r="K2589" s="540"/>
      <c r="L2589" s="540"/>
      <c r="M2589" s="540"/>
      <c r="N2589" s="540"/>
      <c r="O2589" s="540"/>
      <c r="P2589" s="2053"/>
      <c r="Q2589" s="142"/>
      <c r="R2589" s="142"/>
    </row>
    <row r="2590" spans="1:18" ht="16.2" thickBot="1">
      <c r="A2590" s="38"/>
      <c r="B2590" s="541"/>
      <c r="C2590" s="540"/>
      <c r="D2590" s="540"/>
      <c r="E2590" s="26"/>
      <c r="F2590" s="540"/>
      <c r="G2590" s="542"/>
      <c r="H2590" s="541"/>
      <c r="I2590" s="1856"/>
      <c r="J2590" s="540"/>
      <c r="K2590" s="204"/>
      <c r="L2590" s="39"/>
      <c r="M2590" s="40"/>
      <c r="N2590" s="40"/>
      <c r="O2590" s="40"/>
      <c r="P2590" s="2020"/>
      <c r="Q2590" s="142"/>
      <c r="R2590" s="142"/>
    </row>
    <row r="2591" spans="1:18" ht="15.6">
      <c r="A2591" s="41"/>
      <c r="B2591" s="42"/>
      <c r="C2591" s="43"/>
      <c r="D2591" s="43"/>
      <c r="E2591" s="2028">
        <f>SUM(E2579:E2590)</f>
        <v>131.94800000000001</v>
      </c>
      <c r="F2591" s="44"/>
      <c r="G2591" s="45"/>
      <c r="H2591" s="46"/>
      <c r="I2591" s="1858"/>
      <c r="J2591" s="43"/>
      <c r="K2591" s="205"/>
      <c r="L2591" s="46"/>
      <c r="M2591" s="43"/>
      <c r="N2591" s="44"/>
      <c r="O2591" s="43"/>
      <c r="P2591" s="2020"/>
      <c r="Q2591" s="142"/>
      <c r="R2591" s="142"/>
    </row>
    <row r="2592" spans="1:18" ht="16.2" thickBot="1">
      <c r="A2592" s="47"/>
      <c r="B2592" s="48"/>
      <c r="C2592" s="49"/>
      <c r="D2592" s="49"/>
      <c r="E2592" s="2029"/>
      <c r="F2592" s="50"/>
      <c r="G2592" s="51"/>
      <c r="H2592" s="52"/>
      <c r="I2592" s="1860"/>
      <c r="J2592" s="49"/>
      <c r="K2592" s="206"/>
      <c r="L2592" s="52"/>
      <c r="M2592" s="49"/>
      <c r="N2592" s="50"/>
      <c r="O2592" s="49"/>
      <c r="P2592" s="2020"/>
      <c r="Q2592" s="142"/>
      <c r="R2592" s="142"/>
    </row>
    <row r="2593" spans="1:18" ht="15.6">
      <c r="A2593" s="53" t="s">
        <v>31</v>
      </c>
      <c r="B2593" s="43"/>
      <c r="C2593" s="43"/>
      <c r="D2593" s="43"/>
      <c r="E2593" s="43"/>
      <c r="F2593" s="44"/>
      <c r="G2593" s="43"/>
      <c r="H2593" s="44"/>
      <c r="I2593" s="1858"/>
      <c r="J2593" s="43"/>
      <c r="K2593" s="207"/>
      <c r="L2593" s="44"/>
      <c r="M2593" s="43"/>
      <c r="N2593" s="44"/>
      <c r="O2593" s="43"/>
      <c r="P2593" s="2020"/>
      <c r="Q2593" s="142"/>
      <c r="R2593" s="142"/>
    </row>
    <row r="2594" spans="1:18" ht="15.6">
      <c r="A2594" s="54"/>
      <c r="B2594" s="55"/>
      <c r="C2594" s="55"/>
      <c r="D2594" s="55"/>
      <c r="E2594" s="55"/>
      <c r="F2594" s="545"/>
      <c r="G2594" s="55"/>
      <c r="H2594" s="545"/>
      <c r="I2594" s="1859"/>
      <c r="J2594" s="55"/>
      <c r="K2594" s="208"/>
      <c r="L2594" s="545"/>
      <c r="M2594" s="55"/>
      <c r="N2594" s="545"/>
      <c r="O2594" s="55"/>
      <c r="P2594" s="2020"/>
      <c r="Q2594" s="142"/>
      <c r="R2594" s="142"/>
    </row>
    <row r="2595" spans="1:18" ht="16.2" thickBot="1">
      <c r="A2595" s="2030" t="s">
        <v>32</v>
      </c>
      <c r="B2595" s="2031"/>
      <c r="C2595" s="2032" t="s">
        <v>33</v>
      </c>
      <c r="D2595" s="2033"/>
      <c r="E2595" s="57" t="s">
        <v>34</v>
      </c>
      <c r="F2595" s="57" t="s">
        <v>35</v>
      </c>
      <c r="G2595" s="2034" t="s">
        <v>36</v>
      </c>
      <c r="H2595" s="2035"/>
      <c r="I2595" s="2035"/>
      <c r="J2595" s="2035"/>
      <c r="K2595" s="2035"/>
      <c r="L2595" s="2035"/>
      <c r="M2595" s="2035"/>
      <c r="N2595" s="2035"/>
      <c r="O2595" s="2035"/>
      <c r="P2595" s="2020"/>
      <c r="Q2595" s="142"/>
      <c r="R2595" s="142"/>
    </row>
    <row r="2596" spans="1:18" ht="15.6">
      <c r="A2596" s="2036"/>
      <c r="B2596" s="2023"/>
      <c r="C2596" s="2021"/>
      <c r="D2596" s="2023"/>
      <c r="E2596" s="543"/>
      <c r="F2596" s="538"/>
      <c r="G2596" s="2037"/>
      <c r="H2596" s="2038"/>
      <c r="I2596" s="2038"/>
      <c r="J2596" s="2038"/>
      <c r="K2596" s="2038"/>
      <c r="L2596" s="2038"/>
      <c r="M2596" s="2038"/>
      <c r="N2596" s="2038"/>
      <c r="O2596" s="2038"/>
      <c r="P2596" s="2020"/>
      <c r="Q2596" s="142"/>
      <c r="R2596" s="142"/>
    </row>
    <row r="2597" spans="1:18" ht="15.6">
      <c r="A2597" s="2043" t="s">
        <v>37</v>
      </c>
      <c r="B2597" s="2044"/>
      <c r="C2597" s="2021"/>
      <c r="D2597" s="2023"/>
      <c r="E2597" s="543"/>
      <c r="F2597" s="538"/>
      <c r="G2597" s="2039"/>
      <c r="H2597" s="2040"/>
      <c r="I2597" s="2040"/>
      <c r="J2597" s="2040"/>
      <c r="K2597" s="2040"/>
      <c r="L2597" s="2040"/>
      <c r="M2597" s="2040"/>
      <c r="N2597" s="2040"/>
      <c r="O2597" s="2040"/>
      <c r="P2597" s="2020"/>
      <c r="Q2597" s="142"/>
      <c r="R2597" s="142"/>
    </row>
    <row r="2598" spans="1:18" ht="15.6">
      <c r="A2598" s="2043" t="s">
        <v>38</v>
      </c>
      <c r="B2598" s="2044"/>
      <c r="C2598" s="2021"/>
      <c r="D2598" s="2023"/>
      <c r="E2598" s="543"/>
      <c r="F2598" s="538"/>
      <c r="G2598" s="2039"/>
      <c r="H2598" s="2040"/>
      <c r="I2598" s="2040"/>
      <c r="J2598" s="2040"/>
      <c r="K2598" s="2040"/>
      <c r="L2598" s="2040"/>
      <c r="M2598" s="2040"/>
      <c r="N2598" s="2040"/>
      <c r="O2598" s="2040"/>
      <c r="P2598" s="2020"/>
      <c r="Q2598" s="142"/>
      <c r="R2598" s="142"/>
    </row>
    <row r="2599" spans="1:18" ht="15.6">
      <c r="A2599" s="2043" t="s">
        <v>39</v>
      </c>
      <c r="B2599" s="2044"/>
      <c r="C2599" s="2021"/>
      <c r="D2599" s="2023"/>
      <c r="E2599" s="543"/>
      <c r="F2599" s="538"/>
      <c r="G2599" s="2039"/>
      <c r="H2599" s="2040"/>
      <c r="I2599" s="2040"/>
      <c r="J2599" s="2040"/>
      <c r="K2599" s="2040"/>
      <c r="L2599" s="2040"/>
      <c r="M2599" s="2040"/>
      <c r="N2599" s="2040"/>
      <c r="O2599" s="2040"/>
      <c r="P2599" s="2020"/>
      <c r="Q2599" s="142"/>
      <c r="R2599" s="142"/>
    </row>
    <row r="2600" spans="1:18" ht="15.6">
      <c r="A2600" s="2043" t="s">
        <v>40</v>
      </c>
      <c r="B2600" s="2044"/>
      <c r="C2600" s="2021"/>
      <c r="D2600" s="2023"/>
      <c r="E2600" s="543"/>
      <c r="F2600" s="538"/>
      <c r="G2600" s="2039"/>
      <c r="H2600" s="2040"/>
      <c r="I2600" s="2040"/>
      <c r="J2600" s="2040"/>
      <c r="K2600" s="2040"/>
      <c r="L2600" s="2040"/>
      <c r="M2600" s="2040"/>
      <c r="N2600" s="2040"/>
      <c r="O2600" s="2040"/>
      <c r="P2600" s="2020"/>
      <c r="Q2600" s="142"/>
      <c r="R2600" s="142"/>
    </row>
    <row r="2601" spans="1:18" ht="16.2" thickBot="1">
      <c r="A2601" s="2049" t="s">
        <v>41</v>
      </c>
      <c r="B2601" s="2050"/>
      <c r="C2601" s="2051"/>
      <c r="D2601" s="2052"/>
      <c r="E2601" s="58"/>
      <c r="F2601" s="539"/>
      <c r="G2601" s="2041"/>
      <c r="H2601" s="2042"/>
      <c r="I2601" s="2042"/>
      <c r="J2601" s="2042"/>
      <c r="K2601" s="2042"/>
      <c r="L2601" s="2042"/>
      <c r="M2601" s="2042"/>
      <c r="N2601" s="2042"/>
      <c r="O2601" s="2042"/>
      <c r="P2601" s="2020"/>
      <c r="Q2601" s="142"/>
      <c r="R2601" s="142"/>
    </row>
    <row r="2602" spans="1:18" ht="15.6">
      <c r="A2602" s="54"/>
      <c r="B2602" s="55"/>
      <c r="C2602" s="55"/>
      <c r="D2602" s="55"/>
      <c r="E2602" s="55"/>
      <c r="F2602" s="545"/>
      <c r="G2602" s="55"/>
      <c r="H2602" s="59"/>
      <c r="I2602" s="60"/>
      <c r="J2602" s="61"/>
      <c r="K2602" s="209"/>
      <c r="L2602" s="301"/>
      <c r="M2602" s="55"/>
      <c r="N2602" s="545"/>
      <c r="O2602" s="55"/>
      <c r="P2602" s="2020"/>
      <c r="Q2602" s="142"/>
      <c r="R2602" s="142"/>
    </row>
    <row r="2603" spans="1:18" ht="15.6">
      <c r="A2603" s="62" t="s">
        <v>42</v>
      </c>
      <c r="B2603" s="56"/>
      <c r="C2603" s="55"/>
      <c r="D2603" s="55"/>
      <c r="E2603" s="55"/>
      <c r="F2603" s="545"/>
      <c r="G2603" s="56"/>
      <c r="H2603" s="59"/>
      <c r="I2603" s="60"/>
      <c r="J2603" s="61"/>
      <c r="K2603" s="208"/>
      <c r="L2603" s="302"/>
      <c r="M2603" s="55"/>
      <c r="N2603" s="2045" t="s">
        <v>43</v>
      </c>
      <c r="O2603" s="2045"/>
      <c r="P2603" s="2020"/>
      <c r="Q2603" s="142"/>
      <c r="R2603" s="142"/>
    </row>
    <row r="2604" spans="1:18" ht="15.6">
      <c r="A2604" s="62"/>
      <c r="B2604" s="56"/>
      <c r="C2604" s="55"/>
      <c r="D2604" s="55"/>
      <c r="E2604" s="55"/>
      <c r="F2604" s="545"/>
      <c r="G2604" s="55"/>
      <c r="H2604" s="545"/>
      <c r="I2604" s="1859"/>
      <c r="J2604" s="55"/>
      <c r="K2604" s="208"/>
      <c r="L2604" s="545"/>
      <c r="M2604" s="55"/>
      <c r="N2604" s="545"/>
      <c r="O2604" s="56"/>
      <c r="P2604" s="2020"/>
      <c r="Q2604" s="142"/>
      <c r="R2604" s="142"/>
    </row>
    <row r="2605" spans="1:18" ht="15.6">
      <c r="A2605" s="62" t="s">
        <v>44</v>
      </c>
      <c r="B2605" s="56"/>
      <c r="C2605" s="55"/>
      <c r="D2605" s="55"/>
      <c r="E2605" s="55"/>
      <c r="F2605" s="545"/>
      <c r="G2605" s="55"/>
      <c r="H2605" s="545"/>
      <c r="I2605" s="1859"/>
      <c r="J2605" s="55"/>
      <c r="K2605" s="208"/>
      <c r="L2605" s="545"/>
      <c r="M2605" s="55"/>
      <c r="N2605" s="2045" t="s">
        <v>45</v>
      </c>
      <c r="O2605" s="2045"/>
      <c r="P2605" s="2020"/>
      <c r="Q2605" s="142"/>
      <c r="R2605" s="142"/>
    </row>
    <row r="2606" spans="1:18" ht="16.2" thickBot="1">
      <c r="A2606" s="48"/>
      <c r="B2606" s="49"/>
      <c r="C2606" s="49"/>
      <c r="D2606" s="49"/>
      <c r="E2606" s="49"/>
      <c r="F2606" s="50"/>
      <c r="G2606" s="49"/>
      <c r="H2606" s="50"/>
      <c r="I2606" s="1860"/>
      <c r="J2606" s="49"/>
      <c r="K2606" s="210"/>
      <c r="L2606" s="50"/>
      <c r="M2606" s="49"/>
      <c r="N2606" s="50"/>
      <c r="O2606" s="49"/>
      <c r="P2606" s="2020"/>
      <c r="Q2606" s="142"/>
      <c r="R2606" s="142"/>
    </row>
    <row r="2609" spans="1:19" ht="15.6">
      <c r="A2609" s="468" t="s">
        <v>48</v>
      </c>
      <c r="B2609" s="468"/>
      <c r="C2609" s="469"/>
      <c r="D2609" s="469"/>
      <c r="E2609" s="469"/>
      <c r="F2609" s="470"/>
      <c r="G2609" s="469"/>
      <c r="H2609" s="469"/>
      <c r="I2609" s="471"/>
      <c r="J2609" s="472"/>
      <c r="K2609" s="473"/>
      <c r="L2609" s="2046" t="s">
        <v>0</v>
      </c>
      <c r="M2609" s="2046"/>
      <c r="N2609" s="2046"/>
      <c r="O2609" s="2046"/>
      <c r="P2609" s="474"/>
      <c r="Q2609" s="474"/>
      <c r="R2609" s="474"/>
    </row>
    <row r="2610" spans="1:19" ht="15.6">
      <c r="A2610" s="27" t="s">
        <v>1</v>
      </c>
      <c r="B2610" s="27"/>
      <c r="C2610" s="27"/>
      <c r="D2610" s="28" t="s">
        <v>2</v>
      </c>
      <c r="E2610" s="28"/>
      <c r="F2610" s="29"/>
      <c r="G2610" s="29"/>
      <c r="H2610" s="29"/>
      <c r="I2610" s="30"/>
      <c r="J2610" s="578"/>
      <c r="K2610" s="197" t="s">
        <v>3</v>
      </c>
      <c r="L2610" s="578"/>
      <c r="M2610" s="27"/>
      <c r="N2610" s="29"/>
      <c r="O2610" s="27"/>
      <c r="P2610" s="475"/>
      <c r="Q2610" s="155"/>
      <c r="R2610" s="155"/>
    </row>
    <row r="2611" spans="1:19" ht="31.2">
      <c r="A2611" s="32" t="s">
        <v>4</v>
      </c>
      <c r="B2611" s="32" t="s">
        <v>5</v>
      </c>
      <c r="C2611" s="32" t="s">
        <v>6</v>
      </c>
      <c r="D2611" s="32" t="s">
        <v>7</v>
      </c>
      <c r="E2611" s="32" t="s">
        <v>8</v>
      </c>
      <c r="F2611" s="33" t="s">
        <v>9</v>
      </c>
      <c r="G2611" s="34" t="s">
        <v>10</v>
      </c>
      <c r="H2611" s="34" t="s">
        <v>11</v>
      </c>
      <c r="I2611" s="35" t="s">
        <v>12</v>
      </c>
      <c r="J2611" s="36" t="s">
        <v>13</v>
      </c>
      <c r="K2611" s="198" t="s">
        <v>14</v>
      </c>
      <c r="L2611" s="297" t="s">
        <v>15</v>
      </c>
      <c r="M2611" s="33" t="s">
        <v>16</v>
      </c>
      <c r="N2611" s="33" t="s">
        <v>17</v>
      </c>
      <c r="O2611" s="34" t="s">
        <v>18</v>
      </c>
      <c r="P2611" s="33" t="s">
        <v>192</v>
      </c>
      <c r="Q2611" s="1057"/>
      <c r="R2611" s="1057"/>
    </row>
    <row r="2612" spans="1:19" ht="15.6">
      <c r="A2612" s="20"/>
      <c r="B2612" s="20"/>
      <c r="C2612" s="20"/>
      <c r="D2612" s="20"/>
      <c r="E2612" s="20"/>
      <c r="F2612" s="20"/>
      <c r="G2612" s="20"/>
      <c r="H2612" s="20"/>
      <c r="I2612" s="131"/>
      <c r="J2612" s="20"/>
      <c r="K2612" s="211"/>
      <c r="L2612" s="131"/>
      <c r="M2612" s="20"/>
      <c r="N2612" s="20"/>
      <c r="O2612" s="20"/>
      <c r="P2612" s="20"/>
      <c r="Q2612" s="155"/>
      <c r="R2612" s="155"/>
    </row>
    <row r="2613" spans="1:19" ht="15.6">
      <c r="A2613" s="21" t="s">
        <v>83</v>
      </c>
      <c r="B2613" s="21" t="s">
        <v>358</v>
      </c>
      <c r="C2613" s="21" t="s">
        <v>19</v>
      </c>
      <c r="D2613" s="21" t="s">
        <v>49</v>
      </c>
      <c r="E2613" s="21" t="s">
        <v>359</v>
      </c>
      <c r="F2613" s="22">
        <v>11</v>
      </c>
      <c r="G2613" s="20" t="s">
        <v>21</v>
      </c>
      <c r="H2613" s="143" t="s">
        <v>53</v>
      </c>
      <c r="I2613" s="503">
        <v>8.32</v>
      </c>
      <c r="J2613" s="579">
        <v>8.8000000000000007</v>
      </c>
      <c r="K2613" s="383">
        <v>8</v>
      </c>
      <c r="L2613" s="100">
        <f t="shared" ref="L2613:L2614" si="441">(I2613*J2613*K2613/1000)</f>
        <v>0.58572800000000003</v>
      </c>
      <c r="M2613" s="20"/>
      <c r="N2613" s="20"/>
      <c r="O2613" s="20"/>
      <c r="P2613" s="20"/>
      <c r="Q2613" s="155"/>
      <c r="R2613" s="155"/>
      <c r="S2613" s="497" t="s">
        <v>403</v>
      </c>
    </row>
    <row r="2614" spans="1:19" ht="15.6">
      <c r="A2614" s="21"/>
      <c r="B2614" s="21" t="s">
        <v>331</v>
      </c>
      <c r="C2614" s="21"/>
      <c r="D2614" s="21"/>
      <c r="E2614" s="21"/>
      <c r="F2614" s="22"/>
      <c r="G2614" s="20" t="s">
        <v>21</v>
      </c>
      <c r="H2614" s="37" t="s">
        <v>53</v>
      </c>
      <c r="I2614" s="503">
        <v>8.32</v>
      </c>
      <c r="J2614" s="579">
        <v>11.5</v>
      </c>
      <c r="K2614" s="383">
        <v>11</v>
      </c>
      <c r="L2614" s="100">
        <f t="shared" si="441"/>
        <v>1.0524800000000001</v>
      </c>
      <c r="M2614" s="20"/>
      <c r="N2614" s="20"/>
      <c r="O2614" s="20"/>
      <c r="P2614" s="20"/>
      <c r="Q2614" s="155"/>
      <c r="R2614" s="155"/>
    </row>
    <row r="2615" spans="1:19" ht="15.6">
      <c r="A2615" s="20"/>
      <c r="B2615" s="20"/>
      <c r="C2615" s="20"/>
      <c r="D2615" s="20"/>
      <c r="E2615" s="20"/>
      <c r="F2615" s="20"/>
      <c r="G2615" s="20"/>
      <c r="H2615" s="20"/>
      <c r="I2615" s="131"/>
      <c r="J2615" s="20"/>
      <c r="K2615" s="104">
        <f>SUM(K2613:K2614)</f>
        <v>19</v>
      </c>
      <c r="L2615" s="124">
        <f>SUM(L2613:L2614)</f>
        <v>1.6382080000000001</v>
      </c>
      <c r="M2615" s="20"/>
      <c r="N2615" s="20"/>
      <c r="O2615" s="20"/>
      <c r="P2615" s="20"/>
      <c r="Q2615" s="155"/>
      <c r="R2615" s="155"/>
    </row>
    <row r="2616" spans="1:19" ht="15.6">
      <c r="A2616" s="20"/>
      <c r="B2616" s="20"/>
      <c r="C2616" s="20"/>
      <c r="D2616" s="20"/>
      <c r="E2616" s="20"/>
      <c r="F2616" s="20"/>
      <c r="G2616" s="20"/>
      <c r="H2616" s="20"/>
      <c r="I2616" s="131"/>
      <c r="J2616" s="20"/>
      <c r="K2616" s="211"/>
      <c r="L2616" s="131"/>
      <c r="M2616" s="20"/>
      <c r="N2616" s="20"/>
      <c r="O2616" s="20"/>
      <c r="P2616" s="20"/>
      <c r="Q2616" s="155"/>
      <c r="R2616" s="155"/>
    </row>
    <row r="2617" spans="1:19" ht="15.6">
      <c r="A2617" s="21" t="s">
        <v>272</v>
      </c>
      <c r="B2617" s="21" t="s">
        <v>358</v>
      </c>
      <c r="C2617" s="21" t="s">
        <v>19</v>
      </c>
      <c r="D2617" s="21" t="s">
        <v>49</v>
      </c>
      <c r="E2617" s="21" t="s">
        <v>359</v>
      </c>
      <c r="F2617" s="22">
        <v>11</v>
      </c>
      <c r="G2617" s="20" t="s">
        <v>21</v>
      </c>
      <c r="H2617" s="143" t="s">
        <v>53</v>
      </c>
      <c r="I2617" s="503">
        <v>8.32</v>
      </c>
      <c r="J2617" s="579">
        <v>11.5</v>
      </c>
      <c r="K2617" s="383">
        <v>8</v>
      </c>
      <c r="L2617" s="100">
        <f t="shared" ref="L2617" si="442">(I2617*J2617*K2617/1000)</f>
        <v>0.76544000000000001</v>
      </c>
      <c r="M2617" s="20"/>
      <c r="N2617" s="20"/>
      <c r="O2617" s="20"/>
      <c r="P2617" s="20"/>
      <c r="Q2617" s="155"/>
      <c r="R2617" s="155"/>
      <c r="S2617" s="497" t="s">
        <v>403</v>
      </c>
    </row>
    <row r="2618" spans="1:19" ht="15.6">
      <c r="A2618" s="20"/>
      <c r="B2618" s="503" t="s">
        <v>333</v>
      </c>
      <c r="C2618" s="20"/>
      <c r="D2618" s="20"/>
      <c r="E2618" s="20"/>
      <c r="F2618" s="20"/>
      <c r="G2618" s="20"/>
      <c r="H2618" s="20"/>
      <c r="I2618" s="131"/>
      <c r="J2618" s="20"/>
      <c r="K2618" s="104">
        <f>SUM(K2617:K2617)</f>
        <v>8</v>
      </c>
      <c r="L2618" s="124">
        <f>SUM(L2617:L2617)</f>
        <v>0.76544000000000001</v>
      </c>
      <c r="M2618" s="20"/>
      <c r="N2618" s="20"/>
      <c r="O2618" s="20"/>
      <c r="P2618" s="20"/>
      <c r="Q2618" s="155"/>
      <c r="R2618" s="155"/>
    </row>
    <row r="2619" spans="1:19" ht="15.6">
      <c r="A2619" s="20"/>
      <c r="B2619" s="20"/>
      <c r="C2619" s="20"/>
      <c r="D2619" s="20"/>
      <c r="E2619" s="20"/>
      <c r="F2619" s="20"/>
      <c r="G2619" s="20"/>
      <c r="H2619" s="20"/>
      <c r="I2619" s="131"/>
      <c r="J2619" s="20"/>
      <c r="K2619" s="211"/>
      <c r="L2619" s="131"/>
      <c r="M2619" s="20"/>
      <c r="N2619" s="20"/>
      <c r="O2619" s="20"/>
      <c r="P2619" s="20"/>
      <c r="Q2619" s="155"/>
      <c r="R2619" s="155"/>
    </row>
    <row r="2620" spans="1:19" ht="15.6">
      <c r="A2620" s="21" t="s">
        <v>272</v>
      </c>
      <c r="B2620" s="21" t="s">
        <v>358</v>
      </c>
      <c r="C2620" s="21" t="s">
        <v>19</v>
      </c>
      <c r="D2620" s="21" t="s">
        <v>49</v>
      </c>
      <c r="E2620" s="21" t="s">
        <v>359</v>
      </c>
      <c r="F2620" s="22">
        <v>11</v>
      </c>
      <c r="G2620" s="37" t="s">
        <v>21</v>
      </c>
      <c r="H2620" s="143" t="s">
        <v>53</v>
      </c>
      <c r="I2620" s="503">
        <v>8.32</v>
      </c>
      <c r="J2620" s="122">
        <v>12</v>
      </c>
      <c r="K2620" s="571">
        <v>58</v>
      </c>
      <c r="L2620" s="100">
        <f>(I2620*J2620*K2620/1000)</f>
        <v>5.7907200000000003</v>
      </c>
      <c r="M2620" s="20"/>
      <c r="N2620" s="20"/>
      <c r="O2620" s="20"/>
      <c r="P2620" s="20"/>
      <c r="Q2620" s="155"/>
      <c r="R2620" s="155"/>
      <c r="S2620" s="497" t="s">
        <v>403</v>
      </c>
    </row>
    <row r="2621" spans="1:19" ht="15.6">
      <c r="A2621" s="37"/>
      <c r="B2621" s="119" t="s">
        <v>277</v>
      </c>
      <c r="C2621" s="37"/>
      <c r="D2621" s="37"/>
      <c r="E2621" s="37"/>
      <c r="F2621" s="37"/>
      <c r="G2621" s="37"/>
      <c r="H2621" s="37"/>
      <c r="I2621" s="22"/>
      <c r="J2621" s="37"/>
      <c r="K2621" s="378">
        <f>SUM(K2620:K2620)</f>
        <v>58</v>
      </c>
      <c r="L2621" s="430">
        <f>SUM(L2620:L2620)</f>
        <v>5.7907200000000003</v>
      </c>
      <c r="M2621" s="20"/>
      <c r="N2621" s="20"/>
      <c r="O2621" s="20"/>
      <c r="P2621" s="20"/>
      <c r="Q2621" s="155"/>
      <c r="R2621" s="155"/>
    </row>
    <row r="2622" spans="1:19" ht="15.6">
      <c r="A2622" s="37"/>
      <c r="B2622" s="119"/>
      <c r="C2622" s="37"/>
      <c r="D2622" s="37"/>
      <c r="E2622" s="37"/>
      <c r="F2622" s="37"/>
      <c r="G2622" s="37"/>
      <c r="H2622" s="37"/>
      <c r="I2622" s="22"/>
      <c r="J2622" s="37"/>
      <c r="K2622" s="378"/>
      <c r="L2622" s="430"/>
      <c r="M2622" s="20"/>
      <c r="N2622" s="20"/>
      <c r="O2622" s="20"/>
      <c r="P2622" s="20"/>
      <c r="Q2622" s="155"/>
      <c r="R2622" s="155"/>
    </row>
    <row r="2623" spans="1:19" ht="15.6">
      <c r="A2623" s="21" t="s">
        <v>332</v>
      </c>
      <c r="B2623" s="21" t="s">
        <v>341</v>
      </c>
      <c r="C2623" s="21" t="s">
        <v>19</v>
      </c>
      <c r="D2623" s="21" t="s">
        <v>20</v>
      </c>
      <c r="E2623" s="21" t="s">
        <v>47</v>
      </c>
      <c r="F2623" s="22">
        <v>11</v>
      </c>
      <c r="G2623" s="20" t="s">
        <v>21</v>
      </c>
      <c r="H2623" s="143" t="s">
        <v>53</v>
      </c>
      <c r="I2623" s="178">
        <v>8.3000000000000007</v>
      </c>
      <c r="J2623" s="579">
        <v>8.15</v>
      </c>
      <c r="K2623" s="383">
        <v>192</v>
      </c>
      <c r="L2623" s="100">
        <f t="shared" ref="L2623:L2633" si="443">(I2623*J2623*K2623/1000)</f>
        <v>12.987840000000002</v>
      </c>
      <c r="M2623" s="23"/>
      <c r="N2623" s="20"/>
      <c r="O2623" s="20"/>
      <c r="P2623" s="20"/>
      <c r="Q2623" s="155"/>
      <c r="R2623" s="155"/>
      <c r="S2623" s="497" t="s">
        <v>403</v>
      </c>
    </row>
    <row r="2624" spans="1:19" ht="15.6">
      <c r="A2624" s="20"/>
      <c r="B2624" s="503" t="s">
        <v>340</v>
      </c>
      <c r="C2624" s="20"/>
      <c r="D2624" s="20"/>
      <c r="E2624" s="20"/>
      <c r="F2624" s="20"/>
      <c r="G2624" s="20" t="s">
        <v>21</v>
      </c>
      <c r="H2624" s="37" t="s">
        <v>53</v>
      </c>
      <c r="I2624" s="178">
        <v>8.3000000000000007</v>
      </c>
      <c r="J2624" s="579">
        <v>8.8000000000000007</v>
      </c>
      <c r="K2624" s="383">
        <v>22</v>
      </c>
      <c r="L2624" s="100">
        <f t="shared" si="443"/>
        <v>1.6068800000000001</v>
      </c>
      <c r="M2624" s="23"/>
      <c r="N2624" s="20"/>
      <c r="O2624" s="20"/>
      <c r="P2624" s="20"/>
      <c r="Q2624" s="155"/>
      <c r="R2624" s="155"/>
    </row>
    <row r="2625" spans="1:19" ht="15.6">
      <c r="A2625" s="20"/>
      <c r="B2625" s="20"/>
      <c r="C2625" s="20"/>
      <c r="D2625" s="20"/>
      <c r="E2625" s="20"/>
      <c r="F2625" s="20"/>
      <c r="G2625" s="20" t="s">
        <v>21</v>
      </c>
      <c r="H2625" s="37" t="s">
        <v>53</v>
      </c>
      <c r="I2625" s="178">
        <v>8.3000000000000007</v>
      </c>
      <c r="J2625" s="579">
        <v>10</v>
      </c>
      <c r="K2625" s="383">
        <v>64</v>
      </c>
      <c r="L2625" s="100">
        <f t="shared" si="443"/>
        <v>5.3120000000000003</v>
      </c>
      <c r="M2625" s="23"/>
      <c r="N2625" s="20"/>
      <c r="O2625" s="20"/>
      <c r="P2625" s="20"/>
      <c r="Q2625" s="155"/>
      <c r="R2625" s="155"/>
    </row>
    <row r="2626" spans="1:19" ht="15.6">
      <c r="A2626" s="20"/>
      <c r="B2626" s="20"/>
      <c r="C2626" s="20"/>
      <c r="D2626" s="20"/>
      <c r="E2626" s="20"/>
      <c r="F2626" s="20"/>
      <c r="G2626" s="20" t="s">
        <v>21</v>
      </c>
      <c r="H2626" s="37" t="s">
        <v>53</v>
      </c>
      <c r="I2626" s="178">
        <v>8.3000000000000007</v>
      </c>
      <c r="J2626" s="579">
        <v>10.35</v>
      </c>
      <c r="K2626" s="383">
        <v>54</v>
      </c>
      <c r="L2626" s="100">
        <f t="shared" si="443"/>
        <v>4.6388699999999998</v>
      </c>
      <c r="M2626" s="23"/>
      <c r="N2626" s="20"/>
      <c r="O2626" s="20"/>
      <c r="P2626" s="20"/>
      <c r="Q2626" s="155"/>
      <c r="R2626" s="155"/>
    </row>
    <row r="2627" spans="1:19" s="497" customFormat="1" ht="15.6">
      <c r="A2627" s="20"/>
      <c r="B2627" s="20"/>
      <c r="C2627" s="20"/>
      <c r="D2627" s="20"/>
      <c r="E2627" s="20"/>
      <c r="F2627" s="20"/>
      <c r="G2627" s="20" t="s">
        <v>21</v>
      </c>
      <c r="H2627" s="37" t="s">
        <v>53</v>
      </c>
      <c r="I2627" s="178">
        <v>8.3000000000000007</v>
      </c>
      <c r="J2627" s="579">
        <v>10.4</v>
      </c>
      <c r="K2627" s="383">
        <v>36</v>
      </c>
      <c r="L2627" s="100">
        <f t="shared" si="443"/>
        <v>3.1075200000000005</v>
      </c>
      <c r="M2627" s="23"/>
      <c r="N2627" s="20"/>
      <c r="O2627" s="20"/>
      <c r="P2627" s="20"/>
      <c r="Q2627" s="155"/>
      <c r="R2627" s="155"/>
    </row>
    <row r="2628" spans="1:19" s="497" customFormat="1" ht="15.6">
      <c r="A2628" s="20"/>
      <c r="B2628" s="20"/>
      <c r="C2628" s="20"/>
      <c r="D2628" s="20"/>
      <c r="E2628" s="20"/>
      <c r="F2628" s="20"/>
      <c r="G2628" s="20" t="s">
        <v>21</v>
      </c>
      <c r="H2628" s="37" t="s">
        <v>53</v>
      </c>
      <c r="I2628" s="178">
        <v>8.3000000000000007</v>
      </c>
      <c r="J2628" s="579">
        <v>10.6</v>
      </c>
      <c r="K2628" s="383">
        <f>12+9</f>
        <v>21</v>
      </c>
      <c r="L2628" s="100">
        <f t="shared" si="443"/>
        <v>1.8475800000000002</v>
      </c>
      <c r="M2628" s="23"/>
      <c r="N2628" s="20"/>
      <c r="O2628" s="20"/>
      <c r="P2628" s="20"/>
      <c r="Q2628" s="155"/>
      <c r="R2628" s="155"/>
    </row>
    <row r="2629" spans="1:19" s="497" customFormat="1" ht="15.6">
      <c r="A2629" s="20"/>
      <c r="B2629" s="20"/>
      <c r="C2629" s="20"/>
      <c r="D2629" s="20"/>
      <c r="E2629" s="20"/>
      <c r="F2629" s="20"/>
      <c r="G2629" s="20" t="s">
        <v>21</v>
      </c>
      <c r="H2629" s="37" t="s">
        <v>53</v>
      </c>
      <c r="I2629" s="178">
        <v>8.3000000000000007</v>
      </c>
      <c r="J2629" s="579">
        <v>11</v>
      </c>
      <c r="K2629" s="383">
        <v>258</v>
      </c>
      <c r="L2629" s="100">
        <f t="shared" si="443"/>
        <v>23.555400000000002</v>
      </c>
      <c r="M2629" s="23"/>
      <c r="N2629" s="20"/>
      <c r="O2629" s="20"/>
      <c r="P2629" s="20"/>
      <c r="Q2629" s="155"/>
      <c r="R2629" s="155"/>
    </row>
    <row r="2630" spans="1:19" s="497" customFormat="1" ht="15.6">
      <c r="A2630" s="20"/>
      <c r="B2630" s="20"/>
      <c r="C2630" s="20"/>
      <c r="D2630" s="20"/>
      <c r="E2630" s="20"/>
      <c r="F2630" s="20"/>
      <c r="G2630" s="20" t="s">
        <v>21</v>
      </c>
      <c r="H2630" s="37" t="s">
        <v>53</v>
      </c>
      <c r="I2630" s="178">
        <v>8.3000000000000007</v>
      </c>
      <c r="J2630" s="579">
        <v>11.1</v>
      </c>
      <c r="K2630" s="383">
        <v>128</v>
      </c>
      <c r="L2630" s="100">
        <f t="shared" si="443"/>
        <v>11.79264</v>
      </c>
      <c r="M2630" s="23"/>
      <c r="N2630" s="20"/>
      <c r="O2630" s="20"/>
      <c r="P2630" s="20"/>
      <c r="Q2630" s="155"/>
      <c r="R2630" s="155"/>
    </row>
    <row r="2631" spans="1:19" s="497" customFormat="1" ht="15.6">
      <c r="A2631" s="20"/>
      <c r="B2631" s="20"/>
      <c r="C2631" s="20"/>
      <c r="D2631" s="20"/>
      <c r="E2631" s="20"/>
      <c r="F2631" s="20"/>
      <c r="G2631" s="20" t="s">
        <v>21</v>
      </c>
      <c r="H2631" s="37" t="s">
        <v>53</v>
      </c>
      <c r="I2631" s="178">
        <v>8.3000000000000007</v>
      </c>
      <c r="J2631" s="579">
        <v>11.3</v>
      </c>
      <c r="K2631" s="383">
        <v>22</v>
      </c>
      <c r="L2631" s="100">
        <f t="shared" si="443"/>
        <v>2.0633800000000004</v>
      </c>
      <c r="M2631" s="23"/>
      <c r="N2631" s="20"/>
      <c r="O2631" s="20"/>
      <c r="P2631" s="20"/>
      <c r="Q2631" s="155"/>
      <c r="R2631" s="155"/>
    </row>
    <row r="2632" spans="1:19" ht="15.6">
      <c r="A2632" s="20"/>
      <c r="B2632" s="20"/>
      <c r="C2632" s="20"/>
      <c r="D2632" s="20"/>
      <c r="E2632" s="20"/>
      <c r="F2632" s="20"/>
      <c r="G2632" s="20" t="s">
        <v>21</v>
      </c>
      <c r="H2632" s="37" t="s">
        <v>53</v>
      </c>
      <c r="I2632" s="178">
        <v>8.3000000000000007</v>
      </c>
      <c r="J2632" s="579">
        <v>11.5</v>
      </c>
      <c r="K2632" s="383">
        <v>36</v>
      </c>
      <c r="L2632" s="100">
        <f t="shared" si="443"/>
        <v>3.4362000000000004</v>
      </c>
      <c r="M2632" s="23"/>
      <c r="N2632" s="20"/>
      <c r="O2632" s="20"/>
      <c r="P2632" s="20"/>
      <c r="Q2632" s="155"/>
      <c r="R2632" s="155"/>
    </row>
    <row r="2633" spans="1:19" ht="15.6">
      <c r="A2633" s="20"/>
      <c r="B2633" s="20"/>
      <c r="C2633" s="20"/>
      <c r="D2633" s="20"/>
      <c r="E2633" s="20"/>
      <c r="F2633" s="20"/>
      <c r="G2633" s="20" t="s">
        <v>21</v>
      </c>
      <c r="H2633" s="37" t="s">
        <v>53</v>
      </c>
      <c r="I2633" s="178">
        <v>8.3000000000000007</v>
      </c>
      <c r="J2633" s="579">
        <v>12</v>
      </c>
      <c r="K2633" s="383">
        <v>139</v>
      </c>
      <c r="L2633" s="100">
        <f t="shared" si="443"/>
        <v>13.844400000000002</v>
      </c>
      <c r="M2633" s="23"/>
      <c r="N2633" s="20"/>
      <c r="O2633" s="20"/>
      <c r="P2633" s="20"/>
      <c r="Q2633" s="155"/>
      <c r="R2633" s="155"/>
    </row>
    <row r="2634" spans="1:19" ht="15.6">
      <c r="A2634" s="20"/>
      <c r="B2634" s="20"/>
      <c r="C2634" s="20"/>
      <c r="D2634" s="20"/>
      <c r="E2634" s="20"/>
      <c r="F2634" s="20"/>
      <c r="G2634" s="20"/>
      <c r="H2634" s="20"/>
      <c r="I2634" s="131"/>
      <c r="J2634" s="20"/>
      <c r="K2634" s="104">
        <f>SUM(K2623:K2633)</f>
        <v>972</v>
      </c>
      <c r="L2634" s="124">
        <f>SUM(L2623:L2633)</f>
        <v>84.192710000000019</v>
      </c>
      <c r="M2634" s="20"/>
      <c r="N2634" s="20"/>
      <c r="O2634" s="20"/>
      <c r="P2634" s="20"/>
      <c r="Q2634" s="155"/>
      <c r="R2634" s="155"/>
    </row>
    <row r="2635" spans="1:19" s="497" customFormat="1" ht="15.6">
      <c r="A2635" s="20"/>
      <c r="B2635" s="20"/>
      <c r="C2635" s="20"/>
      <c r="D2635" s="20"/>
      <c r="E2635" s="20"/>
      <c r="F2635" s="20"/>
      <c r="G2635" s="20"/>
      <c r="H2635" s="20"/>
      <c r="I2635" s="131"/>
      <c r="J2635" s="20"/>
      <c r="K2635" s="104"/>
      <c r="L2635" s="124"/>
      <c r="M2635" s="20"/>
      <c r="N2635" s="20"/>
      <c r="O2635" s="20"/>
      <c r="P2635" s="20"/>
      <c r="Q2635" s="155"/>
      <c r="R2635" s="155"/>
    </row>
    <row r="2636" spans="1:19" s="497" customFormat="1" ht="15.6">
      <c r="A2636" s="21" t="s">
        <v>332</v>
      </c>
      <c r="B2636" s="21" t="s">
        <v>373</v>
      </c>
      <c r="C2636" s="21" t="s">
        <v>19</v>
      </c>
      <c r="D2636" s="21" t="s">
        <v>20</v>
      </c>
      <c r="E2636" s="21" t="s">
        <v>47</v>
      </c>
      <c r="F2636" s="22">
        <v>11</v>
      </c>
      <c r="G2636" s="20" t="s">
        <v>21</v>
      </c>
      <c r="H2636" s="143" t="s">
        <v>53</v>
      </c>
      <c r="I2636" s="115">
        <v>8.3000000000000007</v>
      </c>
      <c r="J2636" s="23">
        <v>9</v>
      </c>
      <c r="K2636" s="25">
        <v>69</v>
      </c>
      <c r="L2636" s="100">
        <f>(I2636*J2636*K2636/1000)</f>
        <v>5.1543000000000001</v>
      </c>
      <c r="M2636" s="20"/>
      <c r="N2636" s="20"/>
      <c r="O2636" s="20"/>
      <c r="P2636" s="20"/>
      <c r="Q2636" s="155"/>
      <c r="R2636" s="155"/>
      <c r="S2636" s="497" t="s">
        <v>403</v>
      </c>
    </row>
    <row r="2637" spans="1:19" ht="15.6">
      <c r="A2637" s="20"/>
      <c r="B2637" s="503" t="s">
        <v>340</v>
      </c>
      <c r="C2637" s="20"/>
      <c r="D2637" s="20"/>
      <c r="E2637" s="20"/>
      <c r="F2637" s="20"/>
      <c r="G2637" s="20" t="s">
        <v>21</v>
      </c>
      <c r="H2637" s="20" t="s">
        <v>53</v>
      </c>
      <c r="I2637" s="115">
        <v>8.3000000000000007</v>
      </c>
      <c r="J2637" s="23">
        <v>10.5</v>
      </c>
      <c r="K2637" s="25">
        <v>36</v>
      </c>
      <c r="L2637" s="100">
        <f>(I2637*J2637*K2637/1000)</f>
        <v>3.1374</v>
      </c>
      <c r="M2637" s="20"/>
      <c r="N2637" s="20"/>
      <c r="O2637" s="20"/>
      <c r="P2637" s="20"/>
      <c r="Q2637" s="155"/>
      <c r="R2637" s="155"/>
    </row>
    <row r="2638" spans="1:19" ht="15.6">
      <c r="A2638" s="20"/>
      <c r="B2638" s="20"/>
      <c r="C2638" s="20"/>
      <c r="D2638" s="20"/>
      <c r="E2638" s="20"/>
      <c r="F2638" s="20"/>
      <c r="G2638" s="20" t="s">
        <v>21</v>
      </c>
      <c r="H2638" s="20" t="s">
        <v>53</v>
      </c>
      <c r="I2638" s="115">
        <v>8.3000000000000007</v>
      </c>
      <c r="J2638" s="23">
        <v>11.5</v>
      </c>
      <c r="K2638" s="25">
        <v>18</v>
      </c>
      <c r="L2638" s="100">
        <f>(I2638*J2638*K2638/1000)</f>
        <v>1.7181000000000002</v>
      </c>
      <c r="M2638" s="20"/>
      <c r="N2638" s="20"/>
      <c r="O2638" s="20"/>
      <c r="P2638" s="20"/>
      <c r="Q2638" s="155"/>
      <c r="R2638" s="155"/>
    </row>
    <row r="2639" spans="1:19" ht="15.6">
      <c r="A2639" s="20"/>
      <c r="B2639" s="20"/>
      <c r="C2639" s="20"/>
      <c r="D2639" s="20"/>
      <c r="E2639" s="20"/>
      <c r="F2639" s="20"/>
      <c r="G2639" s="20"/>
      <c r="H2639" s="20"/>
      <c r="I2639" s="131"/>
      <c r="J2639" s="23"/>
      <c r="K2639" s="25">
        <f>SUM(K2636:K2638)</f>
        <v>123</v>
      </c>
      <c r="L2639" s="23">
        <f>SUM(L2636:L2638)</f>
        <v>10.0098</v>
      </c>
      <c r="M2639" s="20"/>
      <c r="N2639" s="20"/>
      <c r="O2639" s="20"/>
      <c r="P2639" s="20"/>
      <c r="Q2639" s="155"/>
      <c r="R2639" s="155"/>
    </row>
    <row r="2640" spans="1:19" ht="15.6">
      <c r="A2640" s="20"/>
      <c r="B2640" s="20"/>
      <c r="C2640" s="20"/>
      <c r="D2640" s="20"/>
      <c r="E2640" s="20"/>
      <c r="F2640" s="20"/>
      <c r="G2640" s="20"/>
      <c r="H2640" s="20"/>
      <c r="I2640" s="131"/>
      <c r="J2640" s="20"/>
      <c r="K2640" s="104"/>
      <c r="L2640" s="124">
        <f>+L2634+L2618+L2615+L2639+L2621</f>
        <v>102.39687800000002</v>
      </c>
      <c r="M2640" s="20"/>
      <c r="N2640" s="20"/>
      <c r="O2640" s="20"/>
      <c r="P2640" s="20"/>
      <c r="Q2640" s="155"/>
      <c r="R2640" s="155"/>
    </row>
    <row r="2641" spans="1:21" ht="15.6">
      <c r="A2641" s="20"/>
      <c r="B2641" s="20"/>
      <c r="C2641" s="20"/>
      <c r="D2641" s="20"/>
      <c r="E2641" s="20"/>
      <c r="F2641" s="20"/>
      <c r="G2641" s="20"/>
      <c r="H2641" s="20"/>
      <c r="I2641" s="131"/>
      <c r="J2641" s="20"/>
      <c r="K2641" s="104"/>
      <c r="L2641" s="124"/>
      <c r="M2641" s="20"/>
      <c r="N2641" s="20"/>
      <c r="O2641" s="20"/>
      <c r="P2641" s="20"/>
      <c r="Q2641" s="155"/>
      <c r="R2641" s="155"/>
    </row>
    <row r="2642" spans="1:21" ht="15.6">
      <c r="A2642" s="20"/>
      <c r="B2642" s="20"/>
      <c r="C2642" s="20"/>
      <c r="D2642" s="20"/>
      <c r="E2642" s="20"/>
      <c r="F2642" s="20"/>
      <c r="G2642" s="20"/>
      <c r="H2642" s="20"/>
      <c r="I2642" s="131"/>
      <c r="J2642" s="20"/>
      <c r="K2642" s="211"/>
      <c r="L2642" s="131"/>
      <c r="M2642" s="20"/>
      <c r="N2642" s="20"/>
      <c r="O2642" s="20"/>
      <c r="P2642" s="20"/>
      <c r="Q2642" s="155"/>
      <c r="R2642" s="155"/>
    </row>
    <row r="2643" spans="1:21" ht="15.6">
      <c r="A2643" s="21" t="s">
        <v>272</v>
      </c>
      <c r="B2643" s="21" t="s">
        <v>358</v>
      </c>
      <c r="C2643" s="21" t="s">
        <v>19</v>
      </c>
      <c r="D2643" s="21" t="s">
        <v>49</v>
      </c>
      <c r="E2643" s="21" t="s">
        <v>359</v>
      </c>
      <c r="F2643" s="22">
        <v>11</v>
      </c>
      <c r="G2643" s="37" t="s">
        <v>21</v>
      </c>
      <c r="H2643" s="143" t="s">
        <v>54</v>
      </c>
      <c r="I2643" s="119">
        <v>9.61</v>
      </c>
      <c r="J2643" s="122">
        <v>11.5</v>
      </c>
      <c r="K2643" s="571">
        <v>4</v>
      </c>
      <c r="L2643" s="100">
        <f t="shared" ref="L2643:L2644" si="444">(I2643*J2643*K2643/1000)</f>
        <v>0.44205999999999995</v>
      </c>
      <c r="M2643" s="571">
        <v>4</v>
      </c>
      <c r="N2643" s="23">
        <f t="shared" ref="N2643:N2644" si="445">J2643*M2643*I2643/1000</f>
        <v>0.44205999999999995</v>
      </c>
      <c r="O2643" s="37"/>
      <c r="P2643" s="37"/>
      <c r="Q2643" s="1060"/>
      <c r="R2643" s="1060"/>
      <c r="T2643" s="497"/>
      <c r="U2643" s="497" t="s">
        <v>406</v>
      </c>
    </row>
    <row r="2644" spans="1:21" ht="15.6">
      <c r="A2644" s="37"/>
      <c r="B2644" s="119" t="s">
        <v>333</v>
      </c>
      <c r="C2644" s="37"/>
      <c r="D2644" s="37"/>
      <c r="E2644" s="37"/>
      <c r="F2644" s="37"/>
      <c r="G2644" s="37" t="s">
        <v>21</v>
      </c>
      <c r="H2644" s="37" t="s">
        <v>54</v>
      </c>
      <c r="I2644" s="119">
        <v>9.61</v>
      </c>
      <c r="J2644" s="122">
        <v>6</v>
      </c>
      <c r="K2644" s="571">
        <v>2</v>
      </c>
      <c r="L2644" s="100">
        <f t="shared" si="444"/>
        <v>0.11531999999999999</v>
      </c>
      <c r="M2644" s="571">
        <v>2</v>
      </c>
      <c r="N2644" s="23">
        <f t="shared" si="445"/>
        <v>0.11531999999999999</v>
      </c>
      <c r="O2644" s="37"/>
      <c r="P2644" s="37"/>
      <c r="Q2644" s="1060"/>
      <c r="R2644" s="1060"/>
    </row>
    <row r="2645" spans="1:21" ht="15.6">
      <c r="A2645" s="37"/>
      <c r="B2645" s="37"/>
      <c r="C2645" s="37"/>
      <c r="D2645" s="37"/>
      <c r="E2645" s="37"/>
      <c r="F2645" s="37"/>
      <c r="G2645" s="37"/>
      <c r="H2645" s="37"/>
      <c r="I2645" s="22"/>
      <c r="J2645" s="37"/>
      <c r="K2645" s="378">
        <f>SUM(K2643:K2644)</f>
        <v>6</v>
      </c>
      <c r="L2645" s="430">
        <f>SUM(L2643:L2644)</f>
        <v>0.55737999999999999</v>
      </c>
      <c r="M2645" s="378">
        <f>SUM(M2643:M2644)</f>
        <v>6</v>
      </c>
      <c r="N2645" s="430">
        <f>SUM(N2643:N2644)</f>
        <v>0.55737999999999999</v>
      </c>
      <c r="O2645" s="37"/>
      <c r="P2645" s="37"/>
      <c r="Q2645" s="1060"/>
      <c r="R2645" s="1060"/>
    </row>
    <row r="2646" spans="1:21" ht="15.6">
      <c r="A2646" s="20"/>
      <c r="B2646" s="20"/>
      <c r="C2646" s="20"/>
      <c r="D2646" s="20"/>
      <c r="E2646" s="20"/>
      <c r="F2646" s="20"/>
      <c r="G2646" s="20"/>
      <c r="H2646" s="20"/>
      <c r="I2646" s="131"/>
      <c r="J2646" s="20"/>
      <c r="K2646" s="211"/>
      <c r="L2646" s="131"/>
      <c r="M2646" s="20"/>
      <c r="N2646" s="20"/>
      <c r="O2646" s="20"/>
      <c r="P2646" s="20"/>
      <c r="Q2646" s="155"/>
      <c r="R2646" s="155"/>
    </row>
    <row r="2647" spans="1:21" ht="15.6">
      <c r="A2647" s="21" t="s">
        <v>272</v>
      </c>
      <c r="B2647" s="21" t="s">
        <v>358</v>
      </c>
      <c r="C2647" s="21" t="s">
        <v>19</v>
      </c>
      <c r="D2647" s="21" t="s">
        <v>49</v>
      </c>
      <c r="E2647" s="21" t="s">
        <v>359</v>
      </c>
      <c r="F2647" s="22">
        <v>11</v>
      </c>
      <c r="G2647" s="37" t="s">
        <v>21</v>
      </c>
      <c r="H2647" s="143" t="s">
        <v>54</v>
      </c>
      <c r="I2647" s="503">
        <v>9.61</v>
      </c>
      <c r="J2647" s="122">
        <v>12</v>
      </c>
      <c r="K2647" s="571">
        <v>58</v>
      </c>
      <c r="L2647" s="100">
        <f>(I2647*J2647*K2647/1000)</f>
        <v>6.6885599999999998</v>
      </c>
      <c r="M2647" s="20"/>
      <c r="N2647" s="20"/>
      <c r="O2647" s="20"/>
      <c r="P2647" s="20"/>
      <c r="Q2647" s="155"/>
      <c r="R2647" s="155"/>
      <c r="S2647">
        <f>27+8+2</f>
        <v>37</v>
      </c>
      <c r="T2647" s="126">
        <f>J2647*S2647*I2647/1000</f>
        <v>4.2668400000000002</v>
      </c>
      <c r="U2647" s="497" t="s">
        <v>406</v>
      </c>
    </row>
    <row r="2648" spans="1:21" ht="15.6">
      <c r="A2648" s="37"/>
      <c r="B2648" s="119" t="s">
        <v>277</v>
      </c>
      <c r="C2648" s="37"/>
      <c r="D2648" s="37"/>
      <c r="E2648" s="37"/>
      <c r="F2648" s="37"/>
      <c r="G2648" s="37"/>
      <c r="H2648" s="37"/>
      <c r="I2648" s="22"/>
      <c r="J2648" s="37"/>
      <c r="K2648" s="378">
        <f>SUM(K2647:K2647)</f>
        <v>58</v>
      </c>
      <c r="L2648" s="430">
        <f>SUM(L2647:L2647)</f>
        <v>6.6885599999999998</v>
      </c>
      <c r="M2648" s="20"/>
      <c r="N2648" s="20"/>
      <c r="O2648" s="20"/>
      <c r="P2648" s="20"/>
      <c r="Q2648" s="20"/>
      <c r="R2648" s="20"/>
      <c r="S2648" s="265">
        <f>SUM(S2647:S2647)</f>
        <v>37</v>
      </c>
      <c r="T2648" s="430">
        <f>SUM(T2647:T2647)</f>
        <v>4.2668400000000002</v>
      </c>
    </row>
    <row r="2649" spans="1:21" ht="15.6">
      <c r="A2649" s="37"/>
      <c r="B2649" s="119"/>
      <c r="C2649" s="37"/>
      <c r="D2649" s="37"/>
      <c r="E2649" s="37"/>
      <c r="F2649" s="37"/>
      <c r="G2649" s="37"/>
      <c r="H2649" s="37"/>
      <c r="I2649" s="22"/>
      <c r="J2649" s="37"/>
      <c r="K2649" s="378"/>
      <c r="L2649" s="430"/>
      <c r="M2649" s="20"/>
      <c r="N2649" s="20"/>
      <c r="O2649" s="20"/>
      <c r="P2649" s="20"/>
      <c r="Q2649" s="155"/>
      <c r="R2649" s="155"/>
    </row>
    <row r="2650" spans="1:21" ht="15.6">
      <c r="A2650" s="21" t="s">
        <v>332</v>
      </c>
      <c r="B2650" s="21" t="s">
        <v>341</v>
      </c>
      <c r="C2650" s="21" t="s">
        <v>19</v>
      </c>
      <c r="D2650" s="21" t="s">
        <v>20</v>
      </c>
      <c r="E2650" s="21" t="s">
        <v>47</v>
      </c>
      <c r="F2650" s="22">
        <v>11</v>
      </c>
      <c r="G2650" s="20" t="s">
        <v>21</v>
      </c>
      <c r="H2650" s="143" t="s">
        <v>54</v>
      </c>
      <c r="I2650" s="178">
        <v>9.61</v>
      </c>
      <c r="J2650" s="579">
        <v>10.5</v>
      </c>
      <c r="K2650" s="383">
        <v>7</v>
      </c>
      <c r="L2650" s="100">
        <f>(I2650*J2650*K2650/1000)</f>
        <v>0.70633500000000005</v>
      </c>
      <c r="M2650" s="23"/>
      <c r="N2650" s="20"/>
      <c r="O2650" s="20"/>
      <c r="P2650" s="20"/>
      <c r="Q2650" s="155"/>
      <c r="R2650" s="155"/>
      <c r="T2650" s="126">
        <f t="shared" ref="T2650:T2653" si="446">J2650*S2650*I2650/1000</f>
        <v>0</v>
      </c>
      <c r="U2650" s="497" t="s">
        <v>406</v>
      </c>
    </row>
    <row r="2651" spans="1:21" ht="15.6">
      <c r="A2651" s="20"/>
      <c r="B2651" s="503" t="s">
        <v>340</v>
      </c>
      <c r="C2651" s="20"/>
      <c r="D2651" s="20"/>
      <c r="E2651" s="20"/>
      <c r="F2651" s="20"/>
      <c r="G2651" s="20" t="s">
        <v>21</v>
      </c>
      <c r="H2651" s="37" t="s">
        <v>54</v>
      </c>
      <c r="I2651" s="178">
        <v>9.61</v>
      </c>
      <c r="J2651" s="579">
        <v>11</v>
      </c>
      <c r="K2651" s="383">
        <v>43</v>
      </c>
      <c r="L2651" s="100">
        <f>(I2651*J2651*K2651/1000)</f>
        <v>4.5455299999999994</v>
      </c>
      <c r="M2651" s="23"/>
      <c r="N2651" s="20"/>
      <c r="O2651" s="20"/>
      <c r="P2651" s="20"/>
      <c r="Q2651" s="155"/>
      <c r="R2651" s="155"/>
      <c r="S2651">
        <v>30</v>
      </c>
      <c r="T2651" s="126">
        <f t="shared" si="446"/>
        <v>3.1712999999999996</v>
      </c>
    </row>
    <row r="2652" spans="1:21" ht="15.6">
      <c r="A2652" s="20"/>
      <c r="B2652" s="20"/>
      <c r="C2652" s="20"/>
      <c r="D2652" s="20"/>
      <c r="E2652" s="20"/>
      <c r="F2652" s="20"/>
      <c r="G2652" s="20" t="s">
        <v>21</v>
      </c>
      <c r="H2652" s="37" t="s">
        <v>54</v>
      </c>
      <c r="I2652" s="178">
        <v>9.61</v>
      </c>
      <c r="J2652" s="579">
        <v>11.2</v>
      </c>
      <c r="K2652" s="383">
        <v>20</v>
      </c>
      <c r="L2652" s="100">
        <f>(I2652*J2652*K2652/1000)</f>
        <v>2.1526399999999999</v>
      </c>
      <c r="M2652" s="23"/>
      <c r="N2652" s="20"/>
      <c r="O2652" s="20"/>
      <c r="P2652" s="20"/>
      <c r="Q2652" s="155"/>
      <c r="R2652" s="155"/>
      <c r="S2652">
        <v>12</v>
      </c>
      <c r="T2652" s="126">
        <f t="shared" si="446"/>
        <v>1.2915839999999996</v>
      </c>
    </row>
    <row r="2653" spans="1:21" ht="15.6">
      <c r="A2653" s="20"/>
      <c r="B2653" s="20"/>
      <c r="C2653" s="20"/>
      <c r="D2653" s="20"/>
      <c r="E2653" s="20"/>
      <c r="F2653" s="20"/>
      <c r="G2653" s="20" t="s">
        <v>21</v>
      </c>
      <c r="H2653" s="37" t="s">
        <v>54</v>
      </c>
      <c r="I2653" s="178">
        <v>9.61</v>
      </c>
      <c r="J2653" s="579">
        <v>11.5</v>
      </c>
      <c r="K2653" s="383">
        <v>8</v>
      </c>
      <c r="L2653" s="100">
        <f>(I2653*J2653*K2653/1000)</f>
        <v>0.88411999999999991</v>
      </c>
      <c r="M2653" s="23"/>
      <c r="N2653" s="20"/>
      <c r="O2653" s="20"/>
      <c r="P2653" s="20"/>
      <c r="Q2653" s="155"/>
      <c r="R2653" s="155"/>
      <c r="S2653">
        <v>5</v>
      </c>
      <c r="T2653" s="126">
        <f t="shared" si="446"/>
        <v>0.55257499999999993</v>
      </c>
    </row>
    <row r="2654" spans="1:21" ht="15.6">
      <c r="A2654" s="20"/>
      <c r="B2654" s="20"/>
      <c r="C2654" s="20"/>
      <c r="D2654" s="20"/>
      <c r="E2654" s="20"/>
      <c r="F2654" s="20"/>
      <c r="G2654" s="20"/>
      <c r="H2654" s="20"/>
      <c r="I2654" s="131"/>
      <c r="J2654" s="20"/>
      <c r="K2654" s="104">
        <f>SUM(K2650:K2653)</f>
        <v>78</v>
      </c>
      <c r="L2654" s="124">
        <f>SUM(L2650:L2653)</f>
        <v>8.2886249999999997</v>
      </c>
      <c r="M2654" s="104">
        <f>SUM(M2650:M2653)</f>
        <v>0</v>
      </c>
      <c r="N2654" s="124">
        <f>SUM(N2650:N2653)</f>
        <v>0</v>
      </c>
      <c r="O2654" s="20"/>
      <c r="P2654" s="20"/>
      <c r="Q2654" s="20"/>
      <c r="R2654" s="20"/>
      <c r="S2654" s="104">
        <f>SUM(S2650:S2653)</f>
        <v>47</v>
      </c>
      <c r="T2654" s="124">
        <f>SUM(T2650:T2653)</f>
        <v>5.015458999999999</v>
      </c>
    </row>
    <row r="2655" spans="1:21" ht="15.6">
      <c r="A2655" s="20"/>
      <c r="B2655" s="20"/>
      <c r="C2655" s="20"/>
      <c r="D2655" s="20"/>
      <c r="E2655" s="20"/>
      <c r="F2655" s="20"/>
      <c r="G2655" s="20"/>
      <c r="H2655" s="20"/>
      <c r="I2655" s="131"/>
      <c r="J2655" s="20"/>
      <c r="K2655" s="104">
        <f>+K2654+K2645</f>
        <v>84</v>
      </c>
      <c r="L2655" s="124">
        <f>+L2654+L2645+L2648</f>
        <v>15.534565000000001</v>
      </c>
      <c r="M2655" s="104">
        <f>+M2654+M2645</f>
        <v>6</v>
      </c>
      <c r="N2655" s="124">
        <f>+N2654+N2645+N2648</f>
        <v>0.55737999999999999</v>
      </c>
      <c r="O2655" s="20"/>
      <c r="P2655" s="20"/>
      <c r="Q2655" s="155"/>
      <c r="R2655" s="155"/>
    </row>
    <row r="2656" spans="1:21" ht="15.6">
      <c r="A2656" s="20"/>
      <c r="B2656" s="20"/>
      <c r="C2656" s="20"/>
      <c r="D2656" s="20"/>
      <c r="E2656" s="20"/>
      <c r="F2656" s="20"/>
      <c r="G2656" s="20"/>
      <c r="H2656" s="20"/>
      <c r="I2656" s="131"/>
      <c r="J2656" s="20"/>
      <c r="K2656" s="104"/>
      <c r="L2656" s="124"/>
      <c r="M2656" s="20"/>
      <c r="N2656" s="20"/>
      <c r="O2656" s="20"/>
      <c r="P2656" s="20"/>
      <c r="Q2656" s="155"/>
      <c r="R2656" s="155"/>
    </row>
    <row r="2657" spans="1:21" s="497" customFormat="1" ht="15.6">
      <c r="A2657" s="20"/>
      <c r="B2657" s="20"/>
      <c r="C2657" s="20"/>
      <c r="D2657" s="20"/>
      <c r="E2657" s="20"/>
      <c r="F2657" s="20"/>
      <c r="G2657" s="20"/>
      <c r="H2657" s="20"/>
      <c r="I2657" s="131"/>
      <c r="J2657" s="20"/>
      <c r="K2657" s="104"/>
      <c r="L2657" s="124"/>
      <c r="M2657" s="20"/>
      <c r="N2657" s="20"/>
      <c r="O2657" s="20"/>
      <c r="P2657" s="20"/>
      <c r="Q2657" s="155"/>
      <c r="R2657" s="155"/>
    </row>
    <row r="2658" spans="1:21" s="497" customFormat="1" ht="15.6">
      <c r="A2658" s="21" t="s">
        <v>272</v>
      </c>
      <c r="B2658" s="21" t="s">
        <v>358</v>
      </c>
      <c r="C2658" s="21" t="s">
        <v>19</v>
      </c>
      <c r="D2658" s="21" t="s">
        <v>49</v>
      </c>
      <c r="E2658" s="21" t="s">
        <v>359</v>
      </c>
      <c r="F2658" s="22">
        <v>11</v>
      </c>
      <c r="G2658" s="37" t="s">
        <v>21</v>
      </c>
      <c r="H2658" s="143" t="s">
        <v>91</v>
      </c>
      <c r="I2658" s="119">
        <v>6.97</v>
      </c>
      <c r="J2658" s="122">
        <v>12</v>
      </c>
      <c r="K2658" s="571">
        <v>38</v>
      </c>
      <c r="L2658" s="100">
        <f>(I2658*J2658*K2658/1000)</f>
        <v>3.1783200000000003</v>
      </c>
      <c r="M2658" s="20"/>
      <c r="N2658" s="20"/>
      <c r="O2658" s="20"/>
      <c r="P2658" s="20"/>
      <c r="Q2658" s="155"/>
      <c r="R2658" s="155"/>
      <c r="S2658" s="625">
        <v>35</v>
      </c>
      <c r="T2658" s="126">
        <f>J2658*S2658*I2658/1000</f>
        <v>2.9274</v>
      </c>
      <c r="U2658" s="497" t="s">
        <v>406</v>
      </c>
    </row>
    <row r="2659" spans="1:21" s="497" customFormat="1" ht="15.6">
      <c r="A2659" s="37"/>
      <c r="B2659" s="119" t="s">
        <v>277</v>
      </c>
      <c r="C2659" s="37"/>
      <c r="D2659" s="37"/>
      <c r="E2659" s="37"/>
      <c r="F2659" s="37"/>
      <c r="G2659" s="37"/>
      <c r="H2659" s="37"/>
      <c r="I2659" s="22"/>
      <c r="J2659" s="37"/>
      <c r="K2659" s="378">
        <f>SUM(K2658:K2658)</f>
        <v>38</v>
      </c>
      <c r="L2659" s="430">
        <f>SUM(L2658:L2658)</f>
        <v>3.1783200000000003</v>
      </c>
      <c r="M2659" s="20"/>
      <c r="N2659" s="20"/>
      <c r="O2659" s="20"/>
      <c r="P2659" s="20"/>
      <c r="Q2659" s="20"/>
      <c r="R2659" s="20"/>
      <c r="S2659" s="378">
        <f>SUM(S2658:S2658)</f>
        <v>35</v>
      </c>
      <c r="T2659" s="430">
        <f>SUM(T2658:T2658)</f>
        <v>2.9274</v>
      </c>
    </row>
    <row r="2660" spans="1:21" s="497" customFormat="1" ht="15.6">
      <c r="A2660" s="37"/>
      <c r="B2660" s="119"/>
      <c r="C2660" s="37"/>
      <c r="D2660" s="37"/>
      <c r="E2660" s="37"/>
      <c r="F2660" s="37"/>
      <c r="G2660" s="37"/>
      <c r="H2660" s="37"/>
      <c r="I2660" s="22"/>
      <c r="J2660" s="37"/>
      <c r="K2660" s="378"/>
      <c r="L2660" s="430"/>
      <c r="M2660" s="20"/>
      <c r="N2660" s="20"/>
      <c r="O2660" s="20"/>
      <c r="P2660" s="20"/>
      <c r="Q2660" s="155"/>
      <c r="R2660" s="155"/>
    </row>
    <row r="2661" spans="1:21" s="497" customFormat="1" ht="15.6">
      <c r="A2661" s="37"/>
      <c r="B2661" s="119"/>
      <c r="C2661" s="37"/>
      <c r="D2661" s="37"/>
      <c r="E2661" s="37"/>
      <c r="F2661" s="37"/>
      <c r="G2661" s="37"/>
      <c r="H2661" s="37"/>
      <c r="I2661" s="22"/>
      <c r="J2661" s="37"/>
      <c r="K2661" s="378"/>
      <c r="L2661" s="430"/>
      <c r="M2661" s="20"/>
      <c r="N2661" s="20"/>
      <c r="O2661" s="20"/>
      <c r="P2661" s="20"/>
      <c r="Q2661" s="155"/>
      <c r="R2661" s="155"/>
    </row>
    <row r="2662" spans="1:21" s="497" customFormat="1" ht="15.6">
      <c r="A2662" s="21" t="s">
        <v>361</v>
      </c>
      <c r="B2662" s="21" t="s">
        <v>358</v>
      </c>
      <c r="C2662" s="21" t="s">
        <v>19</v>
      </c>
      <c r="D2662" s="21" t="s">
        <v>155</v>
      </c>
      <c r="E2662" s="21" t="s">
        <v>270</v>
      </c>
      <c r="F2662" s="22">
        <v>8.5</v>
      </c>
      <c r="G2662" s="20" t="s">
        <v>61</v>
      </c>
      <c r="H2662" s="143" t="s">
        <v>91</v>
      </c>
      <c r="I2662" s="119">
        <v>6.97</v>
      </c>
      <c r="J2662" s="122">
        <v>12</v>
      </c>
      <c r="K2662" s="104">
        <v>20</v>
      </c>
      <c r="L2662" s="100">
        <f>(I2662*J2662*K2662/1000)</f>
        <v>1.6728000000000001</v>
      </c>
      <c r="M2662" s="20"/>
      <c r="N2662" s="20"/>
      <c r="O2662" s="20"/>
      <c r="P2662" s="20"/>
      <c r="Q2662" s="155"/>
      <c r="R2662" s="155"/>
      <c r="S2662" s="497" t="s">
        <v>406</v>
      </c>
    </row>
    <row r="2663" spans="1:21" s="497" customFormat="1" ht="15.6">
      <c r="A2663" s="20"/>
      <c r="B2663" s="119" t="s">
        <v>277</v>
      </c>
      <c r="C2663" s="20"/>
      <c r="D2663" s="20"/>
      <c r="E2663" s="20"/>
      <c r="F2663" s="20"/>
      <c r="G2663" s="20"/>
      <c r="H2663" s="20"/>
      <c r="I2663" s="131"/>
      <c r="J2663" s="23"/>
      <c r="K2663" s="104">
        <f>SUM(K2662:K2662)</f>
        <v>20</v>
      </c>
      <c r="L2663" s="23">
        <f>SUM(L2662:L2662)</f>
        <v>1.6728000000000001</v>
      </c>
      <c r="M2663" s="20"/>
      <c r="N2663" s="20"/>
      <c r="O2663" s="20"/>
      <c r="P2663" s="20"/>
      <c r="Q2663" s="155"/>
      <c r="R2663" s="155"/>
    </row>
    <row r="2664" spans="1:21" ht="15.6">
      <c r="A2664" s="20"/>
      <c r="B2664" s="119"/>
      <c r="C2664" s="20"/>
      <c r="D2664" s="20"/>
      <c r="E2664" s="20"/>
      <c r="F2664" s="20"/>
      <c r="G2664" s="20"/>
      <c r="H2664" s="20"/>
      <c r="I2664" s="131"/>
      <c r="J2664" s="23"/>
      <c r="K2664" s="25"/>
      <c r="L2664" s="23"/>
      <c r="M2664" s="20"/>
      <c r="N2664" s="20"/>
      <c r="O2664" s="20"/>
      <c r="P2664" s="20"/>
      <c r="Q2664" s="155"/>
      <c r="R2664" s="155"/>
    </row>
    <row r="2665" spans="1:21" ht="15.6">
      <c r="A2665" s="37"/>
      <c r="B2665" s="119"/>
      <c r="C2665" s="37"/>
      <c r="D2665" s="37"/>
      <c r="E2665" s="37"/>
      <c r="F2665" s="37"/>
      <c r="G2665" s="37"/>
      <c r="H2665" s="37"/>
      <c r="I2665" s="22"/>
      <c r="J2665" s="37"/>
      <c r="K2665" s="378"/>
      <c r="L2665" s="430"/>
      <c r="M2665" s="20"/>
      <c r="N2665" s="20"/>
      <c r="O2665" s="20"/>
      <c r="P2665" s="20"/>
      <c r="Q2665" s="155"/>
      <c r="R2665" s="155"/>
    </row>
    <row r="2666" spans="1:21" ht="15.6">
      <c r="A2666" s="20"/>
      <c r="B2666" s="20"/>
      <c r="C2666" s="20"/>
      <c r="D2666" s="20"/>
      <c r="E2666" s="20"/>
      <c r="F2666" s="20"/>
      <c r="G2666" s="20"/>
      <c r="H2666" s="20"/>
      <c r="I2666" s="131"/>
      <c r="J2666" s="20"/>
      <c r="K2666" s="211"/>
      <c r="L2666" s="131"/>
      <c r="M2666" s="20"/>
      <c r="N2666" s="20"/>
      <c r="O2666" s="20"/>
      <c r="P2666" s="20"/>
      <c r="Q2666" s="155"/>
      <c r="R2666" s="155"/>
    </row>
    <row r="2667" spans="1:21" ht="15.6">
      <c r="A2667" s="21" t="s">
        <v>272</v>
      </c>
      <c r="B2667" s="21" t="s">
        <v>358</v>
      </c>
      <c r="C2667" s="21" t="s">
        <v>19</v>
      </c>
      <c r="D2667" s="21" t="s">
        <v>155</v>
      </c>
      <c r="E2667" s="21" t="s">
        <v>62</v>
      </c>
      <c r="F2667" s="22">
        <v>11</v>
      </c>
      <c r="G2667" s="20" t="s">
        <v>61</v>
      </c>
      <c r="H2667" s="143" t="s">
        <v>53</v>
      </c>
      <c r="I2667" s="115">
        <v>8.3000000000000007</v>
      </c>
      <c r="J2667" s="122">
        <v>12</v>
      </c>
      <c r="K2667" s="104">
        <v>55</v>
      </c>
      <c r="L2667" s="100">
        <f>(I2667*J2667*K2667/1000)</f>
        <v>5.4780000000000006</v>
      </c>
      <c r="M2667" s="20"/>
      <c r="N2667" s="20"/>
      <c r="O2667" s="20"/>
      <c r="P2667" s="20"/>
      <c r="Q2667" s="155"/>
      <c r="R2667" s="155"/>
      <c r="S2667" s="497" t="s">
        <v>418</v>
      </c>
    </row>
    <row r="2668" spans="1:21" ht="15.6">
      <c r="A2668" s="20"/>
      <c r="B2668" s="594" t="s">
        <v>88</v>
      </c>
      <c r="C2668" s="20"/>
      <c r="D2668" s="20"/>
      <c r="E2668" s="20"/>
      <c r="F2668" s="20"/>
      <c r="G2668" s="20"/>
      <c r="H2668" s="20"/>
      <c r="I2668" s="131"/>
      <c r="J2668" s="23"/>
      <c r="K2668" s="104">
        <f>SUM(K2667:K2667)</f>
        <v>55</v>
      </c>
      <c r="L2668" s="23">
        <f>SUM(L2667:L2667)</f>
        <v>5.4780000000000006</v>
      </c>
      <c r="M2668" s="20"/>
      <c r="N2668" s="20"/>
      <c r="O2668" s="20"/>
      <c r="P2668" s="20"/>
      <c r="Q2668" s="155"/>
      <c r="R2668" s="155"/>
    </row>
    <row r="2669" spans="1:21" ht="15.6">
      <c r="A2669" s="20"/>
      <c r="B2669" s="595"/>
      <c r="C2669" s="20"/>
      <c r="D2669" s="20"/>
      <c r="E2669" s="20"/>
      <c r="F2669" s="20"/>
      <c r="G2669" s="20"/>
      <c r="H2669" s="20"/>
      <c r="I2669" s="131"/>
      <c r="J2669" s="23"/>
      <c r="K2669" s="104"/>
      <c r="L2669" s="23"/>
      <c r="M2669" s="20"/>
      <c r="N2669" s="20"/>
      <c r="O2669" s="20"/>
      <c r="P2669" s="20"/>
      <c r="Q2669" s="155"/>
      <c r="R2669" s="155"/>
    </row>
    <row r="2670" spans="1:21" ht="15.6">
      <c r="A2670" s="21" t="s">
        <v>83</v>
      </c>
      <c r="B2670" s="21" t="s">
        <v>358</v>
      </c>
      <c r="C2670" s="21" t="s">
        <v>19</v>
      </c>
      <c r="D2670" s="21" t="s">
        <v>155</v>
      </c>
      <c r="E2670" s="21" t="s">
        <v>270</v>
      </c>
      <c r="F2670" s="22">
        <v>8.5</v>
      </c>
      <c r="G2670" s="37" t="s">
        <v>61</v>
      </c>
      <c r="H2670" s="143" t="s">
        <v>53</v>
      </c>
      <c r="I2670" s="119">
        <v>8.32</v>
      </c>
      <c r="J2670" s="120">
        <v>10</v>
      </c>
      <c r="K2670" s="571">
        <v>11</v>
      </c>
      <c r="L2670" s="100">
        <f>(I2670*J2670*K2670/1000)</f>
        <v>0.91520000000000001</v>
      </c>
      <c r="M2670" s="571">
        <v>11</v>
      </c>
      <c r="N2670" s="23">
        <f t="shared" ref="N2670:N2672" si="447">J2670*M2670*I2670/1000</f>
        <v>0.91520000000000001</v>
      </c>
      <c r="O2670" s="37"/>
      <c r="P2670" s="37"/>
      <c r="Q2670" s="1060"/>
      <c r="R2670" s="1060"/>
      <c r="S2670" s="497" t="s">
        <v>406</v>
      </c>
    </row>
    <row r="2671" spans="1:21" ht="15.6">
      <c r="A2671" s="21"/>
      <c r="B2671" s="21" t="s">
        <v>331</v>
      </c>
      <c r="C2671" s="21"/>
      <c r="D2671" s="21"/>
      <c r="E2671" s="21"/>
      <c r="F2671" s="22"/>
      <c r="G2671" s="37" t="s">
        <v>61</v>
      </c>
      <c r="H2671" s="37" t="s">
        <v>53</v>
      </c>
      <c r="I2671" s="119">
        <v>8.32</v>
      </c>
      <c r="J2671" s="120">
        <v>12</v>
      </c>
      <c r="K2671" s="571">
        <v>11</v>
      </c>
      <c r="L2671" s="100">
        <f>(I2671*J2671*K2671/1000)</f>
        <v>1.0982400000000001</v>
      </c>
      <c r="M2671" s="571">
        <v>11</v>
      </c>
      <c r="N2671" s="23">
        <f t="shared" si="447"/>
        <v>1.0982400000000001</v>
      </c>
      <c r="O2671" s="37"/>
      <c r="P2671" s="37"/>
      <c r="Q2671" s="1060"/>
      <c r="R2671" s="1060"/>
    </row>
    <row r="2672" spans="1:21" ht="15.6">
      <c r="A2672" s="37"/>
      <c r="B2672" s="37"/>
      <c r="C2672" s="37"/>
      <c r="D2672" s="37"/>
      <c r="E2672" s="37"/>
      <c r="F2672" s="37"/>
      <c r="G2672" s="37" t="s">
        <v>61</v>
      </c>
      <c r="H2672" s="37" t="s">
        <v>53</v>
      </c>
      <c r="I2672" s="119">
        <v>8.32</v>
      </c>
      <c r="J2672" s="120">
        <v>10</v>
      </c>
      <c r="K2672" s="571">
        <v>21</v>
      </c>
      <c r="L2672" s="100">
        <f>(I2672*J2672*K2672/1000)</f>
        <v>1.7472000000000001</v>
      </c>
      <c r="M2672" s="571">
        <v>21</v>
      </c>
      <c r="N2672" s="23">
        <f t="shared" si="447"/>
        <v>1.7472000000000001</v>
      </c>
      <c r="O2672" s="37"/>
      <c r="P2672" s="37"/>
      <c r="Q2672" s="1060"/>
      <c r="R2672" s="1060"/>
    </row>
    <row r="2673" spans="1:19" ht="15.6">
      <c r="A2673" s="37"/>
      <c r="B2673" s="37"/>
      <c r="C2673" s="37"/>
      <c r="D2673" s="37"/>
      <c r="E2673" s="37"/>
      <c r="F2673" s="37"/>
      <c r="G2673" s="37"/>
      <c r="H2673" s="37"/>
      <c r="I2673" s="22"/>
      <c r="J2673" s="37"/>
      <c r="K2673" s="378">
        <f>SUM(K2670:K2672)</f>
        <v>43</v>
      </c>
      <c r="L2673" s="430">
        <f>SUM(L2670:L2672)</f>
        <v>3.7606400000000004</v>
      </c>
      <c r="M2673" s="378">
        <f>SUM(M2670:M2672)</f>
        <v>43</v>
      </c>
      <c r="N2673" s="430">
        <f>SUM(N2670:N2672)</f>
        <v>3.7606400000000004</v>
      </c>
      <c r="O2673" s="37"/>
      <c r="P2673" s="37"/>
      <c r="Q2673" s="1060"/>
      <c r="R2673" s="1060"/>
    </row>
    <row r="2674" spans="1:19" s="497" customFormat="1" ht="15.6">
      <c r="A2674" s="37"/>
      <c r="B2674" s="37"/>
      <c r="C2674" s="37"/>
      <c r="D2674" s="37"/>
      <c r="E2674" s="37"/>
      <c r="F2674" s="37"/>
      <c r="G2674" s="37"/>
      <c r="H2674" s="37"/>
      <c r="I2674" s="22"/>
      <c r="J2674" s="37"/>
      <c r="K2674" s="490"/>
      <c r="L2674" s="22"/>
      <c r="M2674" s="490"/>
      <c r="N2674" s="37"/>
      <c r="O2674" s="37"/>
      <c r="P2674" s="37"/>
      <c r="Q2674" s="1060"/>
      <c r="R2674" s="1060"/>
    </row>
    <row r="2675" spans="1:19" s="497" customFormat="1" ht="15.6">
      <c r="A2675" s="21" t="s">
        <v>272</v>
      </c>
      <c r="B2675" s="21" t="s">
        <v>358</v>
      </c>
      <c r="C2675" s="21" t="s">
        <v>19</v>
      </c>
      <c r="D2675" s="21" t="s">
        <v>155</v>
      </c>
      <c r="E2675" s="21" t="s">
        <v>270</v>
      </c>
      <c r="F2675" s="22">
        <v>8.5</v>
      </c>
      <c r="G2675" s="37" t="s">
        <v>61</v>
      </c>
      <c r="H2675" s="143" t="s">
        <v>53</v>
      </c>
      <c r="I2675" s="119">
        <v>8.32</v>
      </c>
      <c r="J2675" s="120">
        <v>12</v>
      </c>
      <c r="K2675" s="571">
        <v>19</v>
      </c>
      <c r="L2675" s="100">
        <f t="shared" ref="L2675:L2676" si="448">(I2675*J2675*K2675/1000)</f>
        <v>1.89696</v>
      </c>
      <c r="M2675" s="571">
        <v>19</v>
      </c>
      <c r="N2675" s="23">
        <f t="shared" ref="N2675:N2682" si="449">J2675*M2675*I2675/1000</f>
        <v>1.89696</v>
      </c>
      <c r="O2675" s="37"/>
      <c r="P2675" s="37"/>
      <c r="Q2675" s="1060"/>
      <c r="R2675" s="1060"/>
      <c r="S2675" s="497" t="s">
        <v>406</v>
      </c>
    </row>
    <row r="2676" spans="1:19" s="497" customFormat="1" ht="15.6">
      <c r="A2676" s="21"/>
      <c r="B2676" s="119" t="s">
        <v>333</v>
      </c>
      <c r="C2676" s="21"/>
      <c r="D2676" s="21"/>
      <c r="E2676" s="21"/>
      <c r="F2676" s="22"/>
      <c r="G2676" s="37" t="s">
        <v>61</v>
      </c>
      <c r="H2676" s="37" t="s">
        <v>53</v>
      </c>
      <c r="I2676" s="119">
        <v>8.32</v>
      </c>
      <c r="J2676" s="120">
        <v>11.5</v>
      </c>
      <c r="K2676" s="571">
        <v>8</v>
      </c>
      <c r="L2676" s="100">
        <f t="shared" si="448"/>
        <v>0.76544000000000001</v>
      </c>
      <c r="M2676" s="571">
        <v>8</v>
      </c>
      <c r="N2676" s="23">
        <f t="shared" si="449"/>
        <v>0.76544000000000001</v>
      </c>
      <c r="O2676" s="37"/>
      <c r="P2676" s="37"/>
      <c r="Q2676" s="1060"/>
      <c r="R2676" s="1060"/>
    </row>
    <row r="2677" spans="1:19" ht="15.6">
      <c r="A2677" s="37"/>
      <c r="B2677" s="37"/>
      <c r="C2677" s="37"/>
      <c r="D2677" s="37"/>
      <c r="E2677" s="37"/>
      <c r="F2677" s="37"/>
      <c r="G2677" s="37"/>
      <c r="H2677" s="37"/>
      <c r="I2677" s="22"/>
      <c r="J2677" s="37"/>
      <c r="K2677" s="378">
        <f>SUM(K2675:K2676)</f>
        <v>27</v>
      </c>
      <c r="L2677" s="430">
        <f>SUM(L2675:L2676)</f>
        <v>2.6623999999999999</v>
      </c>
      <c r="M2677" s="378">
        <f>SUM(M2675:M2676)</f>
        <v>27</v>
      </c>
      <c r="N2677" s="430">
        <f>SUM(N2675:N2676)</f>
        <v>2.6623999999999999</v>
      </c>
      <c r="O2677" s="37"/>
      <c r="P2677" s="37"/>
      <c r="Q2677" s="1060"/>
      <c r="R2677" s="1060"/>
    </row>
    <row r="2678" spans="1:19" ht="15.6">
      <c r="A2678" s="37"/>
      <c r="B2678" s="37"/>
      <c r="C2678" s="37"/>
      <c r="D2678" s="37"/>
      <c r="E2678" s="37"/>
      <c r="F2678" s="37"/>
      <c r="G2678" s="37"/>
      <c r="H2678" s="37"/>
      <c r="I2678" s="22"/>
      <c r="J2678" s="37"/>
      <c r="K2678" s="490"/>
      <c r="L2678" s="22"/>
      <c r="M2678" s="37"/>
      <c r="N2678" s="37"/>
      <c r="O2678" s="37"/>
      <c r="P2678" s="37"/>
      <c r="Q2678" s="1060"/>
      <c r="R2678" s="1060"/>
    </row>
    <row r="2679" spans="1:19" ht="15.6">
      <c r="A2679" s="21" t="s">
        <v>332</v>
      </c>
      <c r="B2679" s="21" t="s">
        <v>341</v>
      </c>
      <c r="C2679" s="21" t="s">
        <v>19</v>
      </c>
      <c r="D2679" s="21" t="s">
        <v>155</v>
      </c>
      <c r="E2679" s="21" t="s">
        <v>323</v>
      </c>
      <c r="F2679" s="22">
        <v>11</v>
      </c>
      <c r="G2679" s="37" t="s">
        <v>61</v>
      </c>
      <c r="H2679" s="143" t="s">
        <v>53</v>
      </c>
      <c r="I2679" s="120">
        <v>8.3000000000000007</v>
      </c>
      <c r="J2679" s="122">
        <v>6.85</v>
      </c>
      <c r="K2679" s="571">
        <v>26</v>
      </c>
      <c r="L2679" s="100">
        <f>(I2679*J2679*K2679/1000)</f>
        <v>1.4782299999999999</v>
      </c>
      <c r="M2679" s="571">
        <f>26-15</f>
        <v>11</v>
      </c>
      <c r="N2679" s="23">
        <f t="shared" si="449"/>
        <v>0.62540499999999999</v>
      </c>
      <c r="O2679" s="37"/>
      <c r="P2679" s="37"/>
      <c r="Q2679" s="1060"/>
      <c r="R2679" s="1060"/>
      <c r="S2679" s="497" t="s">
        <v>406</v>
      </c>
    </row>
    <row r="2680" spans="1:19" ht="15.6">
      <c r="A2680" s="37"/>
      <c r="B2680" s="119" t="s">
        <v>340</v>
      </c>
      <c r="C2680" s="37"/>
      <c r="D2680" s="37"/>
      <c r="E2680" s="37"/>
      <c r="F2680" s="37"/>
      <c r="G2680" s="37" t="s">
        <v>61</v>
      </c>
      <c r="H2680" s="37" t="s">
        <v>53</v>
      </c>
      <c r="I2680" s="120">
        <v>8.3000000000000007</v>
      </c>
      <c r="J2680" s="122">
        <v>8.1999999999999993</v>
      </c>
      <c r="K2680" s="571">
        <v>8</v>
      </c>
      <c r="L2680" s="100">
        <f>(I2680*J2680*K2680/1000)</f>
        <v>0.54447999999999996</v>
      </c>
      <c r="M2680" s="571">
        <v>8</v>
      </c>
      <c r="N2680" s="23">
        <f t="shared" si="449"/>
        <v>0.54447999999999996</v>
      </c>
      <c r="O2680" s="37"/>
      <c r="P2680" s="37"/>
      <c r="Q2680" s="1060"/>
      <c r="R2680" s="1060"/>
    </row>
    <row r="2681" spans="1:19" ht="15.6">
      <c r="A2681" s="37"/>
      <c r="B2681" s="37"/>
      <c r="C2681" s="37"/>
      <c r="D2681" s="37"/>
      <c r="E2681" s="37"/>
      <c r="F2681" s="37"/>
      <c r="G2681" s="37" t="s">
        <v>61</v>
      </c>
      <c r="H2681" s="37" t="s">
        <v>53</v>
      </c>
      <c r="I2681" s="120">
        <v>8.3000000000000007</v>
      </c>
      <c r="J2681" s="122">
        <v>10.5</v>
      </c>
      <c r="K2681" s="571">
        <v>4</v>
      </c>
      <c r="L2681" s="100">
        <f>(I2681*J2681*K2681/1000)</f>
        <v>0.34860000000000002</v>
      </c>
      <c r="M2681" s="571">
        <v>4</v>
      </c>
      <c r="N2681" s="23">
        <f t="shared" si="449"/>
        <v>0.34860000000000002</v>
      </c>
      <c r="O2681" s="37"/>
      <c r="P2681" s="37"/>
      <c r="Q2681" s="1060"/>
      <c r="R2681" s="1060"/>
    </row>
    <row r="2682" spans="1:19" ht="15.6">
      <c r="A2682" s="37"/>
      <c r="B2682" s="37"/>
      <c r="C2682" s="37"/>
      <c r="D2682" s="37"/>
      <c r="E2682" s="37"/>
      <c r="F2682" s="37"/>
      <c r="G2682" s="37" t="s">
        <v>61</v>
      </c>
      <c r="H2682" s="37" t="s">
        <v>53</v>
      </c>
      <c r="I2682" s="120">
        <v>8.3000000000000007</v>
      </c>
      <c r="J2682" s="122">
        <v>11.8</v>
      </c>
      <c r="K2682" s="571">
        <v>5</v>
      </c>
      <c r="L2682" s="100">
        <f>(I2682*J2682*K2682/1000)</f>
        <v>0.48970000000000002</v>
      </c>
      <c r="M2682" s="571">
        <v>5</v>
      </c>
      <c r="N2682" s="23">
        <f t="shared" si="449"/>
        <v>0.48970000000000002</v>
      </c>
      <c r="O2682" s="37"/>
      <c r="P2682" s="37"/>
      <c r="Q2682" s="1060"/>
      <c r="R2682" s="1060"/>
    </row>
    <row r="2683" spans="1:19" ht="15.6">
      <c r="A2683" s="37"/>
      <c r="B2683" s="37"/>
      <c r="C2683" s="37"/>
      <c r="D2683" s="37"/>
      <c r="E2683" s="37"/>
      <c r="F2683" s="37"/>
      <c r="G2683" s="37"/>
      <c r="H2683" s="37"/>
      <c r="I2683" s="22"/>
      <c r="J2683" s="37"/>
      <c r="K2683" s="378">
        <f>SUM(K2679:K2682)</f>
        <v>43</v>
      </c>
      <c r="L2683" s="430">
        <f>SUM(L2679:L2682)</f>
        <v>2.8610100000000003</v>
      </c>
      <c r="M2683" s="378">
        <f>SUM(M2679:M2682)</f>
        <v>28</v>
      </c>
      <c r="N2683" s="430">
        <f>SUM(N2679:N2682)</f>
        <v>2.0081850000000001</v>
      </c>
      <c r="O2683" s="37"/>
      <c r="P2683" s="37"/>
      <c r="Q2683" s="1060"/>
      <c r="R2683" s="1060"/>
    </row>
    <row r="2684" spans="1:19" ht="15.6">
      <c r="A2684" s="37"/>
      <c r="B2684" s="37"/>
      <c r="C2684" s="37"/>
      <c r="D2684" s="37"/>
      <c r="E2684" s="37"/>
      <c r="F2684" s="37"/>
      <c r="G2684" s="37"/>
      <c r="H2684" s="37"/>
      <c r="I2684" s="22"/>
      <c r="J2684" s="37"/>
      <c r="K2684" s="378"/>
      <c r="L2684" s="430"/>
      <c r="M2684" s="37"/>
      <c r="N2684" s="37"/>
      <c r="O2684" s="37"/>
      <c r="P2684" s="37"/>
      <c r="Q2684" s="1060"/>
      <c r="R2684" s="1060"/>
    </row>
    <row r="2685" spans="1:19" ht="15.6">
      <c r="A2685" s="21" t="s">
        <v>332</v>
      </c>
      <c r="B2685" s="21" t="s">
        <v>373</v>
      </c>
      <c r="C2685" s="21" t="s">
        <v>19</v>
      </c>
      <c r="D2685" s="21" t="s">
        <v>155</v>
      </c>
      <c r="E2685" s="21" t="s">
        <v>323</v>
      </c>
      <c r="F2685" s="22">
        <v>11</v>
      </c>
      <c r="G2685" s="37" t="s">
        <v>61</v>
      </c>
      <c r="H2685" s="143" t="s">
        <v>53</v>
      </c>
      <c r="I2685" s="22">
        <v>8.3000000000000007</v>
      </c>
      <c r="J2685" s="254">
        <v>8.1999999999999993</v>
      </c>
      <c r="K2685" s="378">
        <v>16</v>
      </c>
      <c r="L2685" s="100">
        <f t="shared" ref="L2685" si="450">(I2685*J2685*K2685/1000)</f>
        <v>1.0889599999999999</v>
      </c>
      <c r="M2685" s="378">
        <v>16</v>
      </c>
      <c r="N2685" s="23">
        <f>J2685*M2685*I2685/1000</f>
        <v>1.0889599999999999</v>
      </c>
      <c r="O2685" s="37"/>
      <c r="P2685" s="37"/>
      <c r="Q2685" s="1060"/>
      <c r="R2685" s="1060"/>
      <c r="S2685" s="497" t="s">
        <v>406</v>
      </c>
    </row>
    <row r="2686" spans="1:19" ht="15.6">
      <c r="A2686" s="37"/>
      <c r="B2686" s="119" t="s">
        <v>340</v>
      </c>
      <c r="C2686" s="37"/>
      <c r="D2686" s="37"/>
      <c r="E2686" s="37"/>
      <c r="F2686" s="37"/>
      <c r="G2686" s="37"/>
      <c r="H2686" s="37"/>
      <c r="I2686" s="22"/>
      <c r="J2686" s="254"/>
      <c r="K2686" s="378">
        <f>SUM(K2685:K2685)</f>
        <v>16</v>
      </c>
      <c r="L2686" s="254">
        <f>SUM(L2685:L2685)</f>
        <v>1.0889599999999999</v>
      </c>
      <c r="M2686" s="378">
        <f>SUM(M2685:M2685)</f>
        <v>16</v>
      </c>
      <c r="N2686" s="254">
        <f>SUM(N2685:N2685)</f>
        <v>1.0889599999999999</v>
      </c>
      <c r="O2686" s="37"/>
      <c r="P2686" s="37"/>
      <c r="Q2686" s="1060"/>
      <c r="R2686" s="1060"/>
    </row>
    <row r="2687" spans="1:19" ht="15.6">
      <c r="A2687" s="37"/>
      <c r="B2687" s="37"/>
      <c r="C2687" s="37"/>
      <c r="D2687" s="37"/>
      <c r="E2687" s="37"/>
      <c r="F2687" s="37"/>
      <c r="G2687" s="37"/>
      <c r="H2687" s="37"/>
      <c r="I2687" s="22"/>
      <c r="J2687" s="37"/>
      <c r="K2687" s="378">
        <f>SUM(K2670:K2686)/2</f>
        <v>129</v>
      </c>
      <c r="L2687" s="430">
        <f>SUM(L2667:L2686)/2</f>
        <v>15.851010000000002</v>
      </c>
      <c r="M2687" s="378">
        <f>SUM(M2670:M2686)/2</f>
        <v>114</v>
      </c>
      <c r="N2687" s="430">
        <f>SUM(N2667:N2686)/2</f>
        <v>9.5201850000000015</v>
      </c>
      <c r="O2687" s="37"/>
      <c r="P2687" s="37"/>
      <c r="Q2687" s="1060"/>
      <c r="R2687" s="1060"/>
    </row>
    <row r="2688" spans="1:19" ht="15.6">
      <c r="A2688" s="37"/>
      <c r="B2688" s="37"/>
      <c r="C2688" s="37"/>
      <c r="D2688" s="37"/>
      <c r="E2688" s="37"/>
      <c r="F2688" s="37"/>
      <c r="G2688" s="37"/>
      <c r="H2688" s="37"/>
      <c r="I2688" s="22"/>
      <c r="J2688" s="37"/>
      <c r="K2688" s="378"/>
      <c r="L2688" s="430"/>
      <c r="M2688" s="378"/>
      <c r="N2688" s="430"/>
      <c r="O2688" s="37"/>
      <c r="P2688" s="37"/>
      <c r="Q2688" s="1060"/>
      <c r="R2688" s="1060"/>
    </row>
    <row r="2689" spans="1:19" s="497" customFormat="1" ht="15.6">
      <c r="A2689" s="37"/>
      <c r="B2689" s="37"/>
      <c r="C2689" s="37"/>
      <c r="D2689" s="37"/>
      <c r="E2689" s="37"/>
      <c r="F2689" s="37"/>
      <c r="G2689" s="37"/>
      <c r="H2689" s="37"/>
      <c r="I2689" s="22"/>
      <c r="J2689" s="37"/>
      <c r="K2689" s="378"/>
      <c r="L2689" s="430"/>
      <c r="M2689" s="378"/>
      <c r="N2689" s="430"/>
      <c r="O2689" s="37"/>
      <c r="P2689" s="37"/>
      <c r="Q2689" s="1060"/>
      <c r="R2689" s="1060"/>
    </row>
    <row r="2690" spans="1:19" ht="15.6">
      <c r="A2690" s="37"/>
      <c r="B2690" s="37"/>
      <c r="C2690" s="37"/>
      <c r="D2690" s="37"/>
      <c r="E2690" s="37"/>
      <c r="F2690" s="37"/>
      <c r="G2690" s="37"/>
      <c r="H2690" s="37"/>
      <c r="I2690" s="22"/>
      <c r="J2690" s="37"/>
      <c r="K2690" s="378"/>
      <c r="L2690" s="430"/>
      <c r="M2690" s="378"/>
      <c r="N2690" s="430"/>
      <c r="O2690" s="37"/>
      <c r="P2690" s="37"/>
      <c r="Q2690" s="1060"/>
      <c r="R2690" s="1060"/>
    </row>
    <row r="2691" spans="1:19" ht="15.6">
      <c r="A2691" s="21" t="s">
        <v>332</v>
      </c>
      <c r="B2691" s="21" t="s">
        <v>341</v>
      </c>
      <c r="C2691" s="21" t="s">
        <v>19</v>
      </c>
      <c r="D2691" s="21" t="s">
        <v>155</v>
      </c>
      <c r="E2691" s="21" t="s">
        <v>323</v>
      </c>
      <c r="F2691" s="22">
        <v>11</v>
      </c>
      <c r="G2691" s="37" t="s">
        <v>61</v>
      </c>
      <c r="H2691" s="143" t="s">
        <v>54</v>
      </c>
      <c r="I2691" s="120">
        <v>9.61</v>
      </c>
      <c r="J2691" s="122">
        <v>8.3000000000000007</v>
      </c>
      <c r="K2691" s="571">
        <v>8</v>
      </c>
      <c r="L2691" s="100">
        <f>(I2691*J2691*K2691/1000)</f>
        <v>0.638104</v>
      </c>
      <c r="M2691" s="37"/>
      <c r="N2691" s="37"/>
      <c r="O2691" s="37"/>
      <c r="P2691" s="37"/>
      <c r="Q2691" s="1060"/>
      <c r="R2691" s="1060"/>
      <c r="S2691" s="497" t="s">
        <v>418</v>
      </c>
    </row>
    <row r="2692" spans="1:19" ht="15.6">
      <c r="A2692" s="37"/>
      <c r="B2692" s="119" t="s">
        <v>340</v>
      </c>
      <c r="C2692" s="37"/>
      <c r="D2692" s="37"/>
      <c r="E2692" s="37"/>
      <c r="F2692" s="37"/>
      <c r="G2692" s="37"/>
      <c r="H2692" s="37"/>
      <c r="I2692" s="22"/>
      <c r="J2692" s="37"/>
      <c r="K2692" s="378">
        <f>SUM(K2691:K2691)</f>
        <v>8</v>
      </c>
      <c r="L2692" s="430">
        <f>SUM(L2691:L2691)</f>
        <v>0.638104</v>
      </c>
      <c r="M2692" s="37"/>
      <c r="N2692" s="37"/>
      <c r="O2692" s="37"/>
      <c r="P2692" s="37"/>
      <c r="Q2692" s="1060"/>
      <c r="R2692" s="1060"/>
    </row>
    <row r="2693" spans="1:19" ht="15.6">
      <c r="A2693" s="37"/>
      <c r="B2693" s="119"/>
      <c r="C2693" s="37"/>
      <c r="D2693" s="37"/>
      <c r="E2693" s="37"/>
      <c r="F2693" s="37"/>
      <c r="G2693" s="37"/>
      <c r="H2693" s="37"/>
      <c r="I2693" s="22"/>
      <c r="J2693" s="37"/>
      <c r="K2693" s="378"/>
      <c r="L2693" s="430"/>
      <c r="M2693" s="37"/>
      <c r="N2693" s="37"/>
      <c r="O2693" s="37"/>
      <c r="P2693" s="37"/>
      <c r="Q2693" s="1060"/>
      <c r="R2693" s="1060"/>
    </row>
    <row r="2694" spans="1:19" s="497" customFormat="1" ht="15.6">
      <c r="A2694" s="20"/>
      <c r="B2694" s="20"/>
      <c r="C2694" s="20"/>
      <c r="D2694" s="20"/>
      <c r="E2694" s="20"/>
      <c r="F2694" s="20"/>
      <c r="G2694" s="20"/>
      <c r="H2694" s="20"/>
      <c r="I2694" s="131"/>
      <c r="J2694" s="20"/>
      <c r="K2694" s="211"/>
      <c r="L2694" s="131"/>
      <c r="M2694" s="20"/>
      <c r="N2694" s="20"/>
      <c r="O2694" s="20"/>
      <c r="P2694" s="20"/>
      <c r="Q2694" s="155"/>
      <c r="R2694" s="155"/>
    </row>
    <row r="2695" spans="1:19" ht="15.6">
      <c r="A2695" s="21" t="s">
        <v>272</v>
      </c>
      <c r="B2695" s="21" t="s">
        <v>358</v>
      </c>
      <c r="C2695" s="21" t="s">
        <v>19</v>
      </c>
      <c r="D2695" s="21" t="s">
        <v>155</v>
      </c>
      <c r="E2695" s="21" t="s">
        <v>270</v>
      </c>
      <c r="F2695" s="22">
        <v>8.5</v>
      </c>
      <c r="G2695" s="20" t="s">
        <v>61</v>
      </c>
      <c r="H2695" s="143" t="s">
        <v>366</v>
      </c>
      <c r="I2695" s="503">
        <v>10.92</v>
      </c>
      <c r="J2695" s="579">
        <v>10</v>
      </c>
      <c r="K2695" s="383">
        <v>1</v>
      </c>
      <c r="L2695" s="100">
        <f>(I2695*J2695*K2695/1000)</f>
        <v>0.10920000000000001</v>
      </c>
      <c r="M2695" s="20"/>
      <c r="N2695" s="20"/>
      <c r="O2695" s="20"/>
      <c r="P2695" s="20"/>
      <c r="Q2695" s="155"/>
      <c r="R2695" s="155"/>
      <c r="S2695" s="497" t="s">
        <v>406</v>
      </c>
    </row>
    <row r="2696" spans="1:19" ht="15.6">
      <c r="A2696" s="20"/>
      <c r="B2696" s="503" t="s">
        <v>271</v>
      </c>
      <c r="C2696" s="20"/>
      <c r="D2696" s="20"/>
      <c r="E2696" s="20"/>
      <c r="F2696" s="20"/>
      <c r="G2696" s="20" t="s">
        <v>61</v>
      </c>
      <c r="H2696" s="37" t="s">
        <v>366</v>
      </c>
      <c r="I2696" s="503">
        <v>10.92</v>
      </c>
      <c r="J2696" s="579">
        <v>10.5</v>
      </c>
      <c r="K2696" s="383">
        <v>20</v>
      </c>
      <c r="L2696" s="100">
        <f>(I2696*J2696*K2696/1000)</f>
        <v>2.2931999999999997</v>
      </c>
      <c r="M2696" s="20"/>
      <c r="N2696" s="20"/>
      <c r="O2696" s="20"/>
      <c r="P2696" s="20"/>
      <c r="Q2696" s="155"/>
      <c r="R2696" s="155"/>
    </row>
    <row r="2697" spans="1:19" ht="15.6">
      <c r="A2697" s="20"/>
      <c r="B2697" s="20"/>
      <c r="C2697" s="20"/>
      <c r="D2697" s="20"/>
      <c r="E2697" s="20"/>
      <c r="F2697" s="20"/>
      <c r="G2697" s="20"/>
      <c r="H2697" s="20"/>
      <c r="I2697" s="131"/>
      <c r="J2697" s="20"/>
      <c r="K2697" s="104">
        <f>SUM(K2695:K2696)</f>
        <v>21</v>
      </c>
      <c r="L2697" s="124">
        <f>SUM(L2695:L2696)</f>
        <v>2.4023999999999996</v>
      </c>
      <c r="M2697" s="20"/>
      <c r="N2697" s="20"/>
      <c r="O2697" s="20"/>
      <c r="P2697" s="20"/>
      <c r="Q2697" s="155"/>
      <c r="R2697" s="155"/>
    </row>
    <row r="2698" spans="1:19" ht="15.6">
      <c r="A2698" s="20"/>
      <c r="B2698" s="20"/>
      <c r="C2698" s="20"/>
      <c r="D2698" s="20"/>
      <c r="E2698" s="20"/>
      <c r="F2698" s="20"/>
      <c r="G2698" s="20"/>
      <c r="H2698" s="20"/>
      <c r="I2698" s="131"/>
      <c r="J2698" s="20"/>
      <c r="K2698" s="211"/>
      <c r="L2698" s="131"/>
      <c r="M2698" s="20"/>
      <c r="N2698" s="20"/>
      <c r="O2698" s="20"/>
      <c r="P2698" s="20"/>
      <c r="Q2698" s="155"/>
      <c r="R2698" s="155"/>
    </row>
    <row r="2699" spans="1:19" ht="15.6">
      <c r="A2699" s="21" t="s">
        <v>361</v>
      </c>
      <c r="B2699" s="21" t="s">
        <v>358</v>
      </c>
      <c r="C2699" s="21" t="s">
        <v>19</v>
      </c>
      <c r="D2699" s="21" t="s">
        <v>155</v>
      </c>
      <c r="E2699" s="21" t="s">
        <v>270</v>
      </c>
      <c r="F2699" s="22">
        <v>8.5</v>
      </c>
      <c r="G2699" s="20" t="s">
        <v>61</v>
      </c>
      <c r="H2699" s="37" t="s">
        <v>366</v>
      </c>
      <c r="I2699" s="503">
        <v>10.92</v>
      </c>
      <c r="J2699" s="2079" t="s">
        <v>362</v>
      </c>
      <c r="K2699" s="2079"/>
      <c r="L2699" s="100">
        <v>5</v>
      </c>
      <c r="M2699" s="20"/>
      <c r="N2699" s="20"/>
      <c r="O2699" s="20"/>
      <c r="P2699" s="20"/>
      <c r="Q2699" s="155"/>
      <c r="R2699" s="155"/>
    </row>
    <row r="2700" spans="1:19" ht="15.6">
      <c r="A2700" s="20"/>
      <c r="B2700" s="503" t="s">
        <v>271</v>
      </c>
      <c r="C2700" s="20"/>
      <c r="D2700" s="20"/>
      <c r="E2700" s="20"/>
      <c r="F2700" s="20"/>
      <c r="G2700" s="20"/>
      <c r="H2700" s="37"/>
      <c r="I2700" s="503"/>
      <c r="J2700" s="579"/>
      <c r="K2700" s="383"/>
      <c r="L2700" s="100">
        <f>SUM(L2699)</f>
        <v>5</v>
      </c>
      <c r="M2700" s="20"/>
      <c r="N2700" s="20"/>
      <c r="O2700" s="20"/>
      <c r="P2700" s="20"/>
      <c r="Q2700" s="155"/>
      <c r="R2700" s="155"/>
    </row>
    <row r="2701" spans="1:19" ht="15.6">
      <c r="A2701" s="20"/>
      <c r="B2701" s="20"/>
      <c r="C2701" s="20"/>
      <c r="D2701" s="20"/>
      <c r="E2701" s="20"/>
      <c r="F2701" s="20"/>
      <c r="G2701" s="20"/>
      <c r="H2701" s="20"/>
      <c r="I2701" s="131"/>
      <c r="J2701" s="20"/>
      <c r="K2701" s="211"/>
      <c r="L2701" s="124">
        <f>+L2700+L2697</f>
        <v>7.4024000000000001</v>
      </c>
      <c r="M2701" s="20"/>
      <c r="N2701" s="20"/>
      <c r="O2701" s="20"/>
      <c r="P2701" s="20"/>
      <c r="Q2701" s="155"/>
      <c r="R2701" s="155"/>
    </row>
    <row r="2702" spans="1:19" ht="15.6">
      <c r="A2702" s="20"/>
      <c r="B2702" s="20"/>
      <c r="C2702" s="20"/>
      <c r="D2702" s="20"/>
      <c r="E2702" s="20"/>
      <c r="F2702" s="20"/>
      <c r="G2702" s="20"/>
      <c r="H2702" s="20"/>
      <c r="I2702" s="131"/>
      <c r="J2702" s="20"/>
      <c r="K2702" s="211"/>
      <c r="L2702" s="124"/>
      <c r="M2702" s="20"/>
      <c r="N2702" s="20"/>
      <c r="O2702" s="20"/>
      <c r="P2702" s="20"/>
      <c r="Q2702" s="155"/>
      <c r="R2702" s="155"/>
    </row>
    <row r="2703" spans="1:19" ht="15.6">
      <c r="A2703" s="20"/>
      <c r="B2703" s="20"/>
      <c r="C2703" s="20"/>
      <c r="D2703" s="20"/>
      <c r="E2703" s="20"/>
      <c r="F2703" s="20"/>
      <c r="G2703" s="20"/>
      <c r="H2703" s="20"/>
      <c r="I2703" s="131"/>
      <c r="J2703" s="20"/>
      <c r="K2703" s="211"/>
      <c r="L2703" s="131"/>
      <c r="M2703" s="20"/>
      <c r="N2703" s="20"/>
      <c r="O2703" s="20"/>
      <c r="P2703" s="20"/>
      <c r="Q2703" s="155"/>
      <c r="R2703" s="155"/>
    </row>
    <row r="2704" spans="1:19" ht="15.6">
      <c r="A2704" s="21" t="s">
        <v>361</v>
      </c>
      <c r="B2704" s="21" t="s">
        <v>358</v>
      </c>
      <c r="C2704" s="21" t="s">
        <v>19</v>
      </c>
      <c r="D2704" s="21" t="s">
        <v>155</v>
      </c>
      <c r="E2704" s="21" t="s">
        <v>270</v>
      </c>
      <c r="F2704" s="22">
        <v>8.5</v>
      </c>
      <c r="G2704" s="20" t="s">
        <v>61</v>
      </c>
      <c r="H2704" s="37" t="s">
        <v>53</v>
      </c>
      <c r="I2704" s="503">
        <v>8.32</v>
      </c>
      <c r="J2704" s="2079" t="s">
        <v>362</v>
      </c>
      <c r="K2704" s="2079"/>
      <c r="L2704" s="100">
        <v>2.5</v>
      </c>
      <c r="M2704" s="20"/>
      <c r="N2704" s="20"/>
      <c r="O2704" s="20"/>
      <c r="P2704" s="20"/>
      <c r="Q2704" s="155"/>
      <c r="R2704" s="155"/>
    </row>
    <row r="2705" spans="1:19" ht="15.6">
      <c r="A2705" s="20"/>
      <c r="B2705" s="503" t="s">
        <v>271</v>
      </c>
      <c r="C2705" s="20"/>
      <c r="D2705" s="20"/>
      <c r="E2705" s="20"/>
      <c r="F2705" s="20"/>
      <c r="G2705" s="20"/>
      <c r="H2705" s="37"/>
      <c r="I2705" s="503"/>
      <c r="J2705" s="579"/>
      <c r="K2705" s="383"/>
      <c r="L2705" s="100">
        <f>SUM(L2704)</f>
        <v>2.5</v>
      </c>
      <c r="M2705" s="20"/>
      <c r="N2705" s="20"/>
      <c r="O2705" s="20"/>
      <c r="P2705" s="20"/>
      <c r="Q2705" s="155"/>
      <c r="R2705" s="155"/>
    </row>
    <row r="2706" spans="1:19" ht="15.6">
      <c r="A2706" s="20"/>
      <c r="B2706" s="503"/>
      <c r="C2706" s="20"/>
      <c r="D2706" s="20"/>
      <c r="E2706" s="20"/>
      <c r="F2706" s="20"/>
      <c r="G2706" s="20"/>
      <c r="H2706" s="37"/>
      <c r="I2706" s="503"/>
      <c r="J2706" s="579"/>
      <c r="K2706" s="383"/>
      <c r="L2706" s="100"/>
      <c r="M2706" s="20"/>
      <c r="N2706" s="20"/>
      <c r="O2706" s="20"/>
      <c r="P2706" s="20"/>
      <c r="Q2706" s="155"/>
      <c r="R2706" s="155"/>
    </row>
    <row r="2707" spans="1:19" ht="15.6">
      <c r="A2707" s="21" t="s">
        <v>272</v>
      </c>
      <c r="B2707" s="21" t="s">
        <v>358</v>
      </c>
      <c r="C2707" s="21" t="s">
        <v>19</v>
      </c>
      <c r="D2707" s="21" t="s">
        <v>49</v>
      </c>
      <c r="E2707" s="21" t="s">
        <v>359</v>
      </c>
      <c r="F2707" s="22">
        <v>11</v>
      </c>
      <c r="G2707" s="37" t="s">
        <v>21</v>
      </c>
      <c r="H2707" s="143" t="s">
        <v>366</v>
      </c>
      <c r="I2707" s="119">
        <v>10.92</v>
      </c>
      <c r="J2707" s="122">
        <v>10</v>
      </c>
      <c r="K2707" s="571">
        <v>3</v>
      </c>
      <c r="L2707" s="100">
        <f>(I2707*J2707*K2707/1000)</f>
        <v>0.3276</v>
      </c>
      <c r="M2707" s="571">
        <v>3</v>
      </c>
      <c r="N2707" s="23">
        <f t="shared" ref="N2707:N2708" si="451">J2707*M2707*I2707/1000</f>
        <v>0.3276</v>
      </c>
      <c r="O2707" s="37"/>
      <c r="P2707" s="37"/>
      <c r="Q2707" s="1060"/>
      <c r="R2707" s="1060"/>
      <c r="S2707" s="497" t="s">
        <v>406</v>
      </c>
    </row>
    <row r="2708" spans="1:19" ht="15.6">
      <c r="A2708" s="37"/>
      <c r="B2708" s="119" t="s">
        <v>333</v>
      </c>
      <c r="C2708" s="37"/>
      <c r="D2708" s="37"/>
      <c r="E2708" s="37"/>
      <c r="F2708" s="37"/>
      <c r="G2708" s="37" t="s">
        <v>21</v>
      </c>
      <c r="H2708" s="37" t="s">
        <v>366</v>
      </c>
      <c r="I2708" s="119">
        <v>10.92</v>
      </c>
      <c r="J2708" s="122">
        <v>12</v>
      </c>
      <c r="K2708" s="571">
        <v>4</v>
      </c>
      <c r="L2708" s="100">
        <f>(I2708*J2708*K2708/1000)</f>
        <v>0.52415999999999996</v>
      </c>
      <c r="M2708" s="571">
        <v>4</v>
      </c>
      <c r="N2708" s="23">
        <f t="shared" si="451"/>
        <v>0.52415999999999996</v>
      </c>
      <c r="O2708" s="37"/>
      <c r="P2708" s="37"/>
      <c r="Q2708" s="1060"/>
      <c r="R2708" s="1060"/>
    </row>
    <row r="2709" spans="1:19" ht="15.6">
      <c r="A2709" s="37"/>
      <c r="B2709" s="37"/>
      <c r="C2709" s="37"/>
      <c r="D2709" s="37"/>
      <c r="E2709" s="37"/>
      <c r="F2709" s="37"/>
      <c r="G2709" s="37"/>
      <c r="H2709" s="37"/>
      <c r="I2709" s="22"/>
      <c r="J2709" s="37"/>
      <c r="K2709" s="378">
        <f>SUM(K2707:K2708)</f>
        <v>7</v>
      </c>
      <c r="L2709" s="430">
        <f>SUM(L2707:L2708)</f>
        <v>0.85175999999999996</v>
      </c>
      <c r="M2709" s="378">
        <f>SUM(M2707:M2708)</f>
        <v>7</v>
      </c>
      <c r="N2709" s="430">
        <f>SUM(N2707:N2708)</f>
        <v>0.85175999999999996</v>
      </c>
      <c r="O2709" s="37"/>
      <c r="P2709" s="37"/>
      <c r="Q2709" s="1060"/>
      <c r="R2709" s="1060"/>
    </row>
    <row r="2710" spans="1:19" ht="15.6">
      <c r="A2710" s="20"/>
      <c r="B2710" s="20"/>
      <c r="C2710" s="20"/>
      <c r="D2710" s="20"/>
      <c r="E2710" s="20"/>
      <c r="F2710" s="20"/>
      <c r="G2710" s="20"/>
      <c r="H2710" s="20"/>
      <c r="I2710" s="131"/>
      <c r="J2710" s="20"/>
      <c r="K2710" s="211"/>
      <c r="L2710" s="131"/>
      <c r="M2710" s="20"/>
      <c r="N2710" s="20"/>
      <c r="O2710" s="20"/>
      <c r="P2710" s="20"/>
      <c r="Q2710" s="155"/>
      <c r="R2710" s="155"/>
    </row>
    <row r="2711" spans="1:19" ht="15.6">
      <c r="A2711" s="20"/>
      <c r="B2711" s="20"/>
      <c r="C2711" s="20"/>
      <c r="D2711" s="20"/>
      <c r="E2711" s="20"/>
      <c r="F2711" s="20"/>
      <c r="G2711" s="20"/>
      <c r="H2711" s="20"/>
      <c r="I2711" s="131"/>
      <c r="J2711" s="20"/>
      <c r="K2711" s="211"/>
      <c r="L2711" s="131"/>
      <c r="M2711" s="20"/>
      <c r="N2711" s="20"/>
      <c r="O2711" s="20"/>
      <c r="P2711" s="20"/>
      <c r="Q2711" s="155"/>
      <c r="R2711" s="155"/>
    </row>
    <row r="2712" spans="1:19" ht="15.6">
      <c r="A2712" s="20"/>
      <c r="B2712" s="20"/>
      <c r="C2712" s="20"/>
      <c r="D2712" s="20"/>
      <c r="E2712" s="20"/>
      <c r="F2712" s="20"/>
      <c r="G2712" s="20"/>
      <c r="H2712" s="20"/>
      <c r="I2712" s="131"/>
      <c r="J2712" s="20"/>
      <c r="K2712" s="211"/>
      <c r="L2712" s="128">
        <f>+L2709+L2705+L2701+L2692+L2687+L2663+L2659+L2655+L2640</f>
        <v>150.02583700000002</v>
      </c>
      <c r="M2712" s="20"/>
      <c r="N2712" s="124">
        <f>+N2709+N2705+N2701+N2692+N2687+N2663+N2659+N2655+N2640</f>
        <v>10.929325000000002</v>
      </c>
      <c r="O2712" s="20"/>
      <c r="P2712" s="20"/>
      <c r="Q2712" s="155"/>
      <c r="R2712" s="155"/>
    </row>
    <row r="2713" spans="1:19">
      <c r="A2713" s="10" t="s">
        <v>48</v>
      </c>
      <c r="B2713" s="10"/>
      <c r="C2713" s="11"/>
      <c r="D2713" s="11"/>
      <c r="E2713" s="11"/>
      <c r="F2713" s="92"/>
      <c r="G2713" s="11"/>
      <c r="H2713" s="92"/>
      <c r="I2713" s="13"/>
      <c r="J2713" s="11"/>
      <c r="K2713" s="202"/>
      <c r="L2713" s="2047" t="s">
        <v>0</v>
      </c>
      <c r="M2713" s="2047"/>
      <c r="N2713" s="2047"/>
      <c r="O2713" s="2048"/>
      <c r="P2713" s="2020"/>
      <c r="Q2713" s="142"/>
      <c r="R2713" s="142"/>
    </row>
    <row r="2714" spans="1:19">
      <c r="A2714" s="14" t="s">
        <v>1</v>
      </c>
      <c r="B2714" s="14"/>
      <c r="C2714" s="14"/>
      <c r="D2714" s="15" t="s">
        <v>2</v>
      </c>
      <c r="E2714" s="15"/>
      <c r="F2714" s="16"/>
      <c r="G2714" s="16"/>
      <c r="H2714" s="16"/>
      <c r="I2714" s="17"/>
      <c r="J2714" s="16"/>
      <c r="K2714" s="203" t="s">
        <v>3</v>
      </c>
      <c r="L2714" s="16"/>
      <c r="M2714" s="14"/>
      <c r="N2714" s="16"/>
      <c r="O2714" s="19"/>
      <c r="P2714" s="2020"/>
      <c r="Q2714" s="142"/>
      <c r="R2714" s="142"/>
    </row>
    <row r="2715" spans="1:19" ht="15.6">
      <c r="A2715" s="580" t="s">
        <v>22</v>
      </c>
      <c r="B2715" s="2021" t="s">
        <v>23</v>
      </c>
      <c r="C2715" s="2022"/>
      <c r="D2715" s="2023"/>
      <c r="E2715" s="580" t="s">
        <v>24</v>
      </c>
      <c r="F2715" s="2021" t="s">
        <v>25</v>
      </c>
      <c r="G2715" s="2023"/>
      <c r="H2715" s="2021" t="s">
        <v>26</v>
      </c>
      <c r="I2715" s="2022"/>
      <c r="J2715" s="2022"/>
      <c r="K2715" s="2023"/>
      <c r="L2715" s="2024" t="s">
        <v>27</v>
      </c>
      <c r="M2715" s="2024"/>
      <c r="N2715" s="2024"/>
      <c r="O2715" s="2021"/>
      <c r="P2715" s="2020"/>
      <c r="Q2715" s="142"/>
      <c r="R2715" s="142"/>
    </row>
    <row r="2716" spans="1:19" ht="15.6">
      <c r="A2716" s="38"/>
      <c r="B2716" s="2025"/>
      <c r="C2716" s="2026"/>
      <c r="D2716" s="2027"/>
      <c r="E2716" s="26"/>
      <c r="F2716" s="2025"/>
      <c r="G2716" s="2027"/>
      <c r="H2716" s="2025"/>
      <c r="I2716" s="2026"/>
      <c r="J2716" s="2026"/>
      <c r="K2716" s="2027"/>
      <c r="L2716" s="2025"/>
      <c r="M2716" s="2026"/>
      <c r="N2716" s="2026"/>
      <c r="O2716" s="2026"/>
      <c r="P2716" s="2020"/>
      <c r="Q2716" s="142"/>
      <c r="R2716" s="142"/>
    </row>
    <row r="2717" spans="1:19" ht="15.6">
      <c r="A2717" s="38"/>
      <c r="B2717" s="581"/>
      <c r="C2717" s="582"/>
      <c r="D2717" s="583"/>
      <c r="E2717" s="26"/>
      <c r="F2717" s="581"/>
      <c r="G2717" s="583"/>
      <c r="H2717" s="581"/>
      <c r="I2717" s="1856"/>
      <c r="J2717" s="582"/>
      <c r="K2717" s="204"/>
      <c r="L2717" s="581"/>
      <c r="M2717" s="582"/>
      <c r="N2717" s="582"/>
      <c r="O2717" s="582"/>
      <c r="P2717" s="2020"/>
      <c r="Q2717" s="142"/>
      <c r="R2717" s="142"/>
    </row>
    <row r="2718" spans="1:19" ht="15.6">
      <c r="A2718" s="38" t="s">
        <v>28</v>
      </c>
      <c r="B2718" s="2025" t="s">
        <v>55</v>
      </c>
      <c r="C2718" s="2026"/>
      <c r="D2718" s="2027"/>
      <c r="E2718" s="26">
        <f>+L2640</f>
        <v>102.39687800000002</v>
      </c>
      <c r="F2718" s="2025">
        <v>11</v>
      </c>
      <c r="G2718" s="2027"/>
      <c r="H2718" s="2025" t="s">
        <v>49</v>
      </c>
      <c r="I2718" s="2026"/>
      <c r="J2718" s="2026"/>
      <c r="K2718" s="2027"/>
      <c r="L2718" s="2025" t="s">
        <v>375</v>
      </c>
      <c r="M2718" s="2026"/>
      <c r="N2718" s="2026"/>
      <c r="O2718" s="2026"/>
      <c r="P2718" s="2020"/>
      <c r="Q2718" s="142"/>
      <c r="R2718" s="142"/>
    </row>
    <row r="2719" spans="1:19" ht="15.6">
      <c r="A2719" s="38" t="s">
        <v>29</v>
      </c>
      <c r="B2719" s="2025" t="s">
        <v>56</v>
      </c>
      <c r="C2719" s="2026"/>
      <c r="D2719" s="2027"/>
      <c r="E2719" s="26">
        <f>+L2655-0.557</f>
        <v>14.977565</v>
      </c>
      <c r="F2719" s="2025">
        <v>11</v>
      </c>
      <c r="G2719" s="2027"/>
      <c r="H2719" s="2025" t="s">
        <v>49</v>
      </c>
      <c r="I2719" s="2026"/>
      <c r="J2719" s="2026"/>
      <c r="K2719" s="2027"/>
      <c r="L2719" s="2025" t="s">
        <v>346</v>
      </c>
      <c r="M2719" s="2026"/>
      <c r="N2719" s="2026"/>
      <c r="O2719" s="2026"/>
      <c r="P2719" s="2020"/>
      <c r="Q2719" s="142"/>
      <c r="R2719" s="142"/>
    </row>
    <row r="2720" spans="1:19" ht="15.6">
      <c r="A2720" s="38" t="s">
        <v>30</v>
      </c>
      <c r="B2720" s="2025" t="s">
        <v>79</v>
      </c>
      <c r="C2720" s="2026"/>
      <c r="D2720" s="2027"/>
      <c r="E2720" s="26">
        <f>+L2659</f>
        <v>3.1783200000000003</v>
      </c>
      <c r="F2720" s="2025">
        <v>11</v>
      </c>
      <c r="G2720" s="2027"/>
      <c r="H2720" s="2025" t="s">
        <v>49</v>
      </c>
      <c r="I2720" s="2026"/>
      <c r="J2720" s="2026"/>
      <c r="K2720" s="2027"/>
      <c r="L2720" s="2025" t="s">
        <v>375</v>
      </c>
      <c r="M2720" s="2026"/>
      <c r="N2720" s="2026"/>
      <c r="O2720" s="2026"/>
      <c r="P2720" s="2020"/>
      <c r="Q2720" s="142"/>
      <c r="R2720" s="142"/>
    </row>
    <row r="2721" spans="1:18" ht="15.6">
      <c r="A2721" s="38"/>
      <c r="B2721" s="581"/>
      <c r="C2721" s="582"/>
      <c r="D2721" s="583"/>
      <c r="E2721" s="26"/>
      <c r="F2721" s="581"/>
      <c r="G2721" s="583"/>
      <c r="H2721" s="581"/>
      <c r="I2721" s="1856"/>
      <c r="J2721" s="582"/>
      <c r="K2721" s="583"/>
      <c r="L2721" s="581"/>
      <c r="M2721" s="582"/>
      <c r="N2721" s="582"/>
      <c r="O2721" s="582"/>
      <c r="P2721" s="2020"/>
      <c r="Q2721" s="142"/>
      <c r="R2721" s="142"/>
    </row>
    <row r="2722" spans="1:18" ht="15.6">
      <c r="A2722" s="38" t="s">
        <v>46</v>
      </c>
      <c r="B2722" s="2026" t="s">
        <v>376</v>
      </c>
      <c r="C2722" s="2026"/>
      <c r="D2722" s="2026"/>
      <c r="E2722" s="26">
        <v>2</v>
      </c>
      <c r="F2722" s="2025">
        <v>11</v>
      </c>
      <c r="G2722" s="2027"/>
      <c r="H2722" s="2025" t="s">
        <v>155</v>
      </c>
      <c r="I2722" s="2026"/>
      <c r="J2722" s="2026"/>
      <c r="K2722" s="2027"/>
      <c r="L2722" s="2025" t="s">
        <v>349</v>
      </c>
      <c r="M2722" s="2026"/>
      <c r="N2722" s="2026"/>
      <c r="O2722" s="2026"/>
      <c r="P2722" s="2020"/>
      <c r="Q2722" s="142"/>
      <c r="R2722" s="142"/>
    </row>
    <row r="2723" spans="1:18" ht="15.6">
      <c r="A2723" s="38" t="s">
        <v>58</v>
      </c>
      <c r="B2723" s="2026" t="s">
        <v>348</v>
      </c>
      <c r="C2723" s="2026"/>
      <c r="D2723" s="2026"/>
      <c r="E2723" s="26">
        <f>+L2687-9.52</f>
        <v>6.3310100000000027</v>
      </c>
      <c r="F2723" s="2025">
        <v>11</v>
      </c>
      <c r="G2723" s="2027"/>
      <c r="H2723" s="2025" t="s">
        <v>155</v>
      </c>
      <c r="I2723" s="2026"/>
      <c r="J2723" s="2026"/>
      <c r="K2723" s="2027"/>
      <c r="L2723" s="2025" t="s">
        <v>377</v>
      </c>
      <c r="M2723" s="2026"/>
      <c r="N2723" s="2026"/>
      <c r="O2723" s="2026"/>
      <c r="P2723" s="2020"/>
      <c r="Q2723" s="142"/>
      <c r="R2723" s="142"/>
    </row>
    <row r="2724" spans="1:18" ht="15.6">
      <c r="A2724" s="584" t="s">
        <v>163</v>
      </c>
      <c r="B2724" s="2026" t="s">
        <v>378</v>
      </c>
      <c r="C2724" s="2026"/>
      <c r="D2724" s="2026"/>
      <c r="E2724" s="369">
        <v>1</v>
      </c>
      <c r="F2724" s="2025">
        <v>11</v>
      </c>
      <c r="G2724" s="2027"/>
      <c r="H2724" s="2025" t="s">
        <v>155</v>
      </c>
      <c r="I2724" s="2026"/>
      <c r="J2724" s="2026"/>
      <c r="K2724" s="2027"/>
      <c r="L2724" s="2026" t="s">
        <v>379</v>
      </c>
      <c r="M2724" s="2026"/>
      <c r="N2724" s="2026"/>
      <c r="O2724" s="2026"/>
      <c r="P2724" s="2020"/>
      <c r="Q2724" s="142"/>
      <c r="R2724" s="142"/>
    </row>
    <row r="2725" spans="1:18" ht="15.6">
      <c r="A2725" s="38"/>
      <c r="B2725" s="581"/>
      <c r="C2725" s="582"/>
      <c r="D2725" s="583"/>
      <c r="E2725" s="26"/>
      <c r="F2725" s="581"/>
      <c r="G2725" s="583"/>
      <c r="H2725" s="581"/>
      <c r="I2725" s="1856"/>
      <c r="J2725" s="582"/>
      <c r="K2725" s="583"/>
      <c r="L2725" s="581"/>
      <c r="M2725" s="582"/>
      <c r="N2725" s="582"/>
      <c r="O2725" s="582"/>
      <c r="P2725" s="2020"/>
      <c r="Q2725" s="142"/>
      <c r="R2725" s="142"/>
    </row>
    <row r="2726" spans="1:18" ht="15.6">
      <c r="A2726" s="584"/>
      <c r="B2726" s="582"/>
      <c r="C2726" s="582"/>
      <c r="D2726" s="582"/>
      <c r="E2726" s="369"/>
      <c r="F2726" s="582"/>
      <c r="G2726" s="582"/>
      <c r="H2726" s="582"/>
      <c r="I2726" s="1856"/>
      <c r="J2726" s="582"/>
      <c r="K2726" s="582"/>
      <c r="L2726" s="582"/>
      <c r="M2726" s="582"/>
      <c r="N2726" s="582"/>
      <c r="O2726" s="582"/>
      <c r="P2726" s="2020"/>
      <c r="Q2726" s="142"/>
      <c r="R2726" s="142"/>
    </row>
    <row r="2727" spans="1:18" ht="15.6">
      <c r="A2727" s="584" t="s">
        <v>302</v>
      </c>
      <c r="B2727" s="2026" t="s">
        <v>347</v>
      </c>
      <c r="C2727" s="2026"/>
      <c r="D2727" s="2026"/>
      <c r="E2727" s="369">
        <v>8</v>
      </c>
      <c r="F2727" s="2026">
        <v>8.5</v>
      </c>
      <c r="G2727" s="2026"/>
      <c r="H2727" s="2054" t="s">
        <v>281</v>
      </c>
      <c r="I2727" s="2054"/>
      <c r="J2727" s="2054"/>
      <c r="K2727" s="2054"/>
      <c r="L2727" s="2026" t="s">
        <v>349</v>
      </c>
      <c r="M2727" s="2026"/>
      <c r="N2727" s="2026"/>
      <c r="O2727" s="2026"/>
      <c r="P2727" s="2020"/>
      <c r="Q2727" s="142"/>
      <c r="R2727" s="142"/>
    </row>
    <row r="2728" spans="1:18" ht="15.6">
      <c r="A2728" s="584" t="s">
        <v>380</v>
      </c>
      <c r="B2728" s="2026" t="s">
        <v>348</v>
      </c>
      <c r="C2728" s="2026"/>
      <c r="D2728" s="2026"/>
      <c r="E2728" s="369">
        <f>3.353-0.853</f>
        <v>2.5</v>
      </c>
      <c r="F2728" s="2026">
        <v>8.5</v>
      </c>
      <c r="G2728" s="2026"/>
      <c r="H2728" s="2054" t="s">
        <v>281</v>
      </c>
      <c r="I2728" s="2054"/>
      <c r="J2728" s="2054"/>
      <c r="K2728" s="2054"/>
      <c r="L2728" s="2026" t="s">
        <v>349</v>
      </c>
      <c r="M2728" s="2026"/>
      <c r="N2728" s="2026"/>
      <c r="O2728" s="2026"/>
      <c r="P2728" s="2020"/>
      <c r="Q2728" s="142"/>
      <c r="R2728" s="142"/>
    </row>
    <row r="2729" spans="1:18" ht="15.6">
      <c r="A2729" s="584"/>
      <c r="B2729" s="582"/>
      <c r="C2729" s="582"/>
      <c r="D2729" s="582"/>
      <c r="E2729" s="369"/>
      <c r="F2729" s="582"/>
      <c r="G2729" s="582"/>
      <c r="H2729" s="582"/>
      <c r="I2729" s="1856"/>
      <c r="J2729" s="582"/>
      <c r="K2729" s="582"/>
      <c r="L2729" s="582"/>
      <c r="M2729" s="582"/>
      <c r="N2729" s="582"/>
      <c r="O2729" s="582"/>
      <c r="P2729" s="2020"/>
      <c r="Q2729" s="142"/>
      <c r="R2729" s="142"/>
    </row>
    <row r="2730" spans="1:18" ht="16.2" thickBot="1">
      <c r="A2730" s="38"/>
      <c r="B2730" s="581"/>
      <c r="C2730" s="582"/>
      <c r="D2730" s="582"/>
      <c r="E2730" s="26"/>
      <c r="F2730" s="582"/>
      <c r="G2730" s="583"/>
      <c r="H2730" s="581"/>
      <c r="I2730" s="1856"/>
      <c r="J2730" s="582"/>
      <c r="K2730" s="204"/>
      <c r="L2730" s="39"/>
      <c r="M2730" s="40"/>
      <c r="N2730" s="40"/>
      <c r="O2730" s="40"/>
      <c r="P2730" s="2020"/>
      <c r="Q2730" s="142"/>
      <c r="R2730" s="142"/>
    </row>
    <row r="2731" spans="1:18" ht="15.6">
      <c r="A2731" s="41"/>
      <c r="B2731" s="42"/>
      <c r="C2731" s="43"/>
      <c r="D2731" s="43"/>
      <c r="E2731" s="2028">
        <f>SUM(E2716:E2730)</f>
        <v>140.38377300000002</v>
      </c>
      <c r="F2731" s="44"/>
      <c r="G2731" s="45"/>
      <c r="H2731" s="46"/>
      <c r="I2731" s="1858"/>
      <c r="J2731" s="43"/>
      <c r="K2731" s="205"/>
      <c r="L2731" s="46"/>
      <c r="M2731" s="43"/>
      <c r="N2731" s="44"/>
      <c r="O2731" s="43"/>
      <c r="P2731" s="2020"/>
      <c r="Q2731" s="142"/>
      <c r="R2731" s="142"/>
    </row>
    <row r="2732" spans="1:18" ht="16.2" thickBot="1">
      <c r="A2732" s="47"/>
      <c r="B2732" s="48"/>
      <c r="C2732" s="49"/>
      <c r="D2732" s="49"/>
      <c r="E2732" s="2029"/>
      <c r="F2732" s="50"/>
      <c r="G2732" s="51"/>
      <c r="H2732" s="52"/>
      <c r="I2732" s="1860"/>
      <c r="J2732" s="49"/>
      <c r="K2732" s="206"/>
      <c r="L2732" s="52"/>
      <c r="M2732" s="49"/>
      <c r="N2732" s="50"/>
      <c r="O2732" s="49"/>
      <c r="P2732" s="2020"/>
      <c r="Q2732" s="142"/>
      <c r="R2732" s="142"/>
    </row>
    <row r="2733" spans="1:18" ht="15.6">
      <c r="A2733" s="53" t="s">
        <v>31</v>
      </c>
      <c r="B2733" s="43"/>
      <c r="C2733" s="43"/>
      <c r="D2733" s="43"/>
      <c r="E2733" s="43"/>
      <c r="F2733" s="44"/>
      <c r="G2733" s="43"/>
      <c r="H2733" s="44"/>
      <c r="I2733" s="1858"/>
      <c r="J2733" s="43"/>
      <c r="K2733" s="207"/>
      <c r="L2733" s="44"/>
      <c r="M2733" s="43"/>
      <c r="N2733" s="44"/>
      <c r="O2733" s="43"/>
      <c r="P2733" s="2020"/>
      <c r="Q2733" s="142"/>
      <c r="R2733" s="142"/>
    </row>
    <row r="2734" spans="1:18" ht="15.6">
      <c r="A2734" s="54"/>
      <c r="B2734" s="55"/>
      <c r="C2734" s="55"/>
      <c r="D2734" s="55"/>
      <c r="E2734" s="55"/>
      <c r="F2734" s="575"/>
      <c r="G2734" s="55"/>
      <c r="H2734" s="575"/>
      <c r="I2734" s="1859"/>
      <c r="J2734" s="55"/>
      <c r="K2734" s="208"/>
      <c r="L2734" s="575"/>
      <c r="M2734" s="55"/>
      <c r="N2734" s="575"/>
      <c r="O2734" s="55"/>
      <c r="P2734" s="2020"/>
      <c r="Q2734" s="142"/>
      <c r="R2734" s="142"/>
    </row>
    <row r="2735" spans="1:18" ht="16.2" thickBot="1">
      <c r="A2735" s="2030" t="s">
        <v>32</v>
      </c>
      <c r="B2735" s="2031"/>
      <c r="C2735" s="2032" t="s">
        <v>33</v>
      </c>
      <c r="D2735" s="2033"/>
      <c r="E2735" s="57" t="s">
        <v>34</v>
      </c>
      <c r="F2735" s="57" t="s">
        <v>35</v>
      </c>
      <c r="G2735" s="2034" t="s">
        <v>36</v>
      </c>
      <c r="H2735" s="2035"/>
      <c r="I2735" s="2035"/>
      <c r="J2735" s="2035"/>
      <c r="K2735" s="2035"/>
      <c r="L2735" s="2035"/>
      <c r="M2735" s="2035"/>
      <c r="N2735" s="2035"/>
      <c r="O2735" s="2035"/>
      <c r="P2735" s="2020"/>
      <c r="Q2735" s="142"/>
      <c r="R2735" s="142"/>
    </row>
    <row r="2736" spans="1:18" ht="15.6">
      <c r="A2736" s="2036"/>
      <c r="B2736" s="2023"/>
      <c r="C2736" s="2021"/>
      <c r="D2736" s="2023"/>
      <c r="E2736" s="580"/>
      <c r="F2736" s="576"/>
      <c r="G2736" s="2037"/>
      <c r="H2736" s="2038"/>
      <c r="I2736" s="2038"/>
      <c r="J2736" s="2038"/>
      <c r="K2736" s="2038"/>
      <c r="L2736" s="2038"/>
      <c r="M2736" s="2038"/>
      <c r="N2736" s="2038"/>
      <c r="O2736" s="2038"/>
      <c r="P2736" s="2020"/>
      <c r="Q2736" s="142"/>
      <c r="R2736" s="142"/>
    </row>
    <row r="2737" spans="1:18" ht="15.6">
      <c r="A2737" s="2043" t="s">
        <v>37</v>
      </c>
      <c r="B2737" s="2044"/>
      <c r="C2737" s="2021"/>
      <c r="D2737" s="2023"/>
      <c r="E2737" s="580"/>
      <c r="F2737" s="576"/>
      <c r="G2737" s="2039"/>
      <c r="H2737" s="2040"/>
      <c r="I2737" s="2040"/>
      <c r="J2737" s="2040"/>
      <c r="K2737" s="2040"/>
      <c r="L2737" s="2040"/>
      <c r="M2737" s="2040"/>
      <c r="N2737" s="2040"/>
      <c r="O2737" s="2040"/>
      <c r="P2737" s="2020"/>
      <c r="Q2737" s="142"/>
      <c r="R2737" s="142"/>
    </row>
    <row r="2738" spans="1:18" ht="15.6">
      <c r="A2738" s="2043" t="s">
        <v>38</v>
      </c>
      <c r="B2738" s="2044"/>
      <c r="C2738" s="2021"/>
      <c r="D2738" s="2023"/>
      <c r="E2738" s="580"/>
      <c r="F2738" s="576"/>
      <c r="G2738" s="2039"/>
      <c r="H2738" s="2040"/>
      <c r="I2738" s="2040"/>
      <c r="J2738" s="2040"/>
      <c r="K2738" s="2040"/>
      <c r="L2738" s="2040"/>
      <c r="M2738" s="2040"/>
      <c r="N2738" s="2040"/>
      <c r="O2738" s="2040"/>
      <c r="P2738" s="2020"/>
      <c r="Q2738" s="142"/>
      <c r="R2738" s="142"/>
    </row>
    <row r="2739" spans="1:18" ht="15.6">
      <c r="A2739" s="2043" t="s">
        <v>39</v>
      </c>
      <c r="B2739" s="2044"/>
      <c r="C2739" s="2021"/>
      <c r="D2739" s="2023"/>
      <c r="E2739" s="580"/>
      <c r="F2739" s="576"/>
      <c r="G2739" s="2039"/>
      <c r="H2739" s="2040"/>
      <c r="I2739" s="2040"/>
      <c r="J2739" s="2040"/>
      <c r="K2739" s="2040"/>
      <c r="L2739" s="2040"/>
      <c r="M2739" s="2040"/>
      <c r="N2739" s="2040"/>
      <c r="O2739" s="2040"/>
      <c r="P2739" s="2020"/>
      <c r="Q2739" s="142"/>
      <c r="R2739" s="142"/>
    </row>
    <row r="2740" spans="1:18" ht="15.6">
      <c r="A2740" s="2043" t="s">
        <v>40</v>
      </c>
      <c r="B2740" s="2044"/>
      <c r="C2740" s="2021"/>
      <c r="D2740" s="2023"/>
      <c r="E2740" s="580"/>
      <c r="F2740" s="576"/>
      <c r="G2740" s="2039"/>
      <c r="H2740" s="2040"/>
      <c r="I2740" s="2040"/>
      <c r="J2740" s="2040"/>
      <c r="K2740" s="2040"/>
      <c r="L2740" s="2040"/>
      <c r="M2740" s="2040"/>
      <c r="N2740" s="2040"/>
      <c r="O2740" s="2040"/>
      <c r="P2740" s="2020"/>
      <c r="Q2740" s="142"/>
      <c r="R2740" s="142"/>
    </row>
    <row r="2741" spans="1:18" ht="16.2" thickBot="1">
      <c r="A2741" s="2049" t="s">
        <v>41</v>
      </c>
      <c r="B2741" s="2050"/>
      <c r="C2741" s="2051"/>
      <c r="D2741" s="2052"/>
      <c r="E2741" s="58"/>
      <c r="F2741" s="577"/>
      <c r="G2741" s="2041"/>
      <c r="H2741" s="2042"/>
      <c r="I2741" s="2042"/>
      <c r="J2741" s="2042"/>
      <c r="K2741" s="2042"/>
      <c r="L2741" s="2042"/>
      <c r="M2741" s="2042"/>
      <c r="N2741" s="2042"/>
      <c r="O2741" s="2042"/>
      <c r="P2741" s="2020"/>
      <c r="Q2741" s="142"/>
      <c r="R2741" s="142"/>
    </row>
    <row r="2742" spans="1:18" ht="15.6">
      <c r="A2742" s="54"/>
      <c r="B2742" s="55"/>
      <c r="C2742" s="55"/>
      <c r="D2742" s="55"/>
      <c r="E2742" s="55"/>
      <c r="F2742" s="575"/>
      <c r="G2742" s="55"/>
      <c r="H2742" s="59"/>
      <c r="I2742" s="60"/>
      <c r="J2742" s="61"/>
      <c r="K2742" s="209"/>
      <c r="L2742" s="301"/>
      <c r="M2742" s="55"/>
      <c r="N2742" s="575"/>
      <c r="O2742" s="55"/>
      <c r="P2742" s="2020"/>
      <c r="Q2742" s="142"/>
      <c r="R2742" s="142"/>
    </row>
    <row r="2743" spans="1:18" ht="15.6">
      <c r="A2743" s="62" t="s">
        <v>42</v>
      </c>
      <c r="B2743" s="56"/>
      <c r="C2743" s="55"/>
      <c r="D2743" s="55"/>
      <c r="E2743" s="55"/>
      <c r="F2743" s="575"/>
      <c r="G2743" s="56"/>
      <c r="H2743" s="59"/>
      <c r="I2743" s="60"/>
      <c r="J2743" s="61"/>
      <c r="K2743" s="208"/>
      <c r="L2743" s="302"/>
      <c r="M2743" s="55"/>
      <c r="N2743" s="2045" t="s">
        <v>43</v>
      </c>
      <c r="O2743" s="2045"/>
      <c r="P2743" s="2020"/>
      <c r="Q2743" s="142"/>
      <c r="R2743" s="142"/>
    </row>
    <row r="2744" spans="1:18" ht="15.6">
      <c r="A2744" s="62"/>
      <c r="B2744" s="56"/>
      <c r="C2744" s="55"/>
      <c r="D2744" s="55"/>
      <c r="E2744" s="55"/>
      <c r="F2744" s="575"/>
      <c r="G2744" s="55"/>
      <c r="H2744" s="575"/>
      <c r="I2744" s="1859"/>
      <c r="J2744" s="55"/>
      <c r="K2744" s="208"/>
      <c r="L2744" s="575"/>
      <c r="M2744" s="55"/>
      <c r="N2744" s="575"/>
      <c r="O2744" s="56"/>
      <c r="P2744" s="2020"/>
      <c r="Q2744" s="142"/>
      <c r="R2744" s="142"/>
    </row>
    <row r="2745" spans="1:18" ht="15.6">
      <c r="A2745" s="62" t="s">
        <v>44</v>
      </c>
      <c r="B2745" s="56"/>
      <c r="C2745" s="55"/>
      <c r="D2745" s="55"/>
      <c r="E2745" s="55"/>
      <c r="F2745" s="575"/>
      <c r="G2745" s="55"/>
      <c r="H2745" s="575"/>
      <c r="I2745" s="1859"/>
      <c r="J2745" s="55"/>
      <c r="K2745" s="208"/>
      <c r="L2745" s="575"/>
      <c r="M2745" s="55"/>
      <c r="N2745" s="2045" t="s">
        <v>45</v>
      </c>
      <c r="O2745" s="2045"/>
      <c r="P2745" s="2020"/>
      <c r="Q2745" s="142"/>
      <c r="R2745" s="142"/>
    </row>
    <row r="2746" spans="1:18" ht="16.2" thickBot="1">
      <c r="A2746" s="48"/>
      <c r="B2746" s="49"/>
      <c r="C2746" s="49"/>
      <c r="D2746" s="49"/>
      <c r="E2746" s="49"/>
      <c r="F2746" s="50"/>
      <c r="G2746" s="49"/>
      <c r="H2746" s="50"/>
      <c r="I2746" s="1860"/>
      <c r="J2746" s="49"/>
      <c r="K2746" s="210"/>
      <c r="L2746" s="50"/>
      <c r="M2746" s="49"/>
      <c r="N2746" s="50"/>
      <c r="O2746" s="49"/>
      <c r="P2746" s="2020"/>
      <c r="Q2746" s="142"/>
      <c r="R2746" s="142"/>
    </row>
    <row r="2750" spans="1:18" ht="15.6">
      <c r="A2750" s="468" t="s">
        <v>48</v>
      </c>
      <c r="B2750" s="468"/>
      <c r="C2750" s="469"/>
      <c r="D2750" s="469"/>
      <c r="E2750" s="469"/>
      <c r="F2750" s="470"/>
      <c r="G2750" s="469"/>
      <c r="H2750" s="469"/>
      <c r="I2750" s="471"/>
      <c r="J2750" s="472"/>
      <c r="K2750" s="473"/>
      <c r="L2750" s="2046" t="s">
        <v>0</v>
      </c>
      <c r="M2750" s="2046"/>
      <c r="N2750" s="2046"/>
      <c r="O2750" s="2046"/>
      <c r="P2750" s="474"/>
      <c r="Q2750" s="474"/>
      <c r="R2750" s="474"/>
    </row>
    <row r="2751" spans="1:18" ht="15.6">
      <c r="A2751" s="27" t="s">
        <v>1</v>
      </c>
      <c r="B2751" s="27"/>
      <c r="C2751" s="27"/>
      <c r="D2751" s="28" t="s">
        <v>2</v>
      </c>
      <c r="E2751" s="28"/>
      <c r="F2751" s="29"/>
      <c r="G2751" s="29"/>
      <c r="H2751" s="29"/>
      <c r="I2751" s="30"/>
      <c r="J2751" s="593"/>
      <c r="K2751" s="197" t="s">
        <v>3</v>
      </c>
      <c r="L2751" s="593"/>
      <c r="M2751" s="27"/>
      <c r="N2751" s="29"/>
      <c r="O2751" s="27"/>
      <c r="P2751" s="475"/>
      <c r="Q2751" s="155"/>
      <c r="R2751" s="155"/>
    </row>
    <row r="2752" spans="1:18" ht="31.2">
      <c r="A2752" s="32" t="s">
        <v>4</v>
      </c>
      <c r="B2752" s="32" t="s">
        <v>5</v>
      </c>
      <c r="C2752" s="32" t="s">
        <v>6</v>
      </c>
      <c r="D2752" s="32" t="s">
        <v>7</v>
      </c>
      <c r="E2752" s="32" t="s">
        <v>8</v>
      </c>
      <c r="F2752" s="33" t="s">
        <v>9</v>
      </c>
      <c r="G2752" s="34" t="s">
        <v>10</v>
      </c>
      <c r="H2752" s="34" t="s">
        <v>11</v>
      </c>
      <c r="I2752" s="35" t="s">
        <v>12</v>
      </c>
      <c r="J2752" s="36" t="s">
        <v>13</v>
      </c>
      <c r="K2752" s="198" t="s">
        <v>14</v>
      </c>
      <c r="L2752" s="297" t="s">
        <v>15</v>
      </c>
      <c r="M2752" s="33" t="s">
        <v>16</v>
      </c>
      <c r="N2752" s="33" t="s">
        <v>17</v>
      </c>
      <c r="O2752" s="34" t="s">
        <v>18</v>
      </c>
      <c r="P2752" s="33" t="s">
        <v>192</v>
      </c>
      <c r="Q2752" s="1057"/>
      <c r="R2752" s="1057"/>
    </row>
    <row r="2753" spans="1:24" ht="15.6">
      <c r="A2753" s="20"/>
      <c r="B2753" s="20"/>
      <c r="C2753" s="20"/>
      <c r="D2753" s="20"/>
      <c r="E2753" s="20"/>
      <c r="F2753" s="20"/>
      <c r="G2753" s="20"/>
      <c r="H2753" s="20"/>
      <c r="I2753" s="131"/>
      <c r="J2753" s="20"/>
      <c r="K2753" s="211"/>
      <c r="L2753" s="131"/>
      <c r="M2753" s="20"/>
      <c r="N2753" s="20"/>
      <c r="O2753" s="20"/>
      <c r="P2753" s="20"/>
      <c r="Q2753" s="155"/>
      <c r="R2753" s="155"/>
    </row>
    <row r="2754" spans="1:24" ht="15.6">
      <c r="A2754" s="21" t="s">
        <v>272</v>
      </c>
      <c r="B2754" s="21" t="s">
        <v>358</v>
      </c>
      <c r="C2754" s="21" t="s">
        <v>19</v>
      </c>
      <c r="D2754" s="21" t="s">
        <v>49</v>
      </c>
      <c r="E2754" s="21" t="s">
        <v>359</v>
      </c>
      <c r="F2754" s="22">
        <v>12</v>
      </c>
      <c r="G2754" s="20" t="s">
        <v>21</v>
      </c>
      <c r="H2754" s="143" t="s">
        <v>97</v>
      </c>
      <c r="I2754" s="178">
        <v>10.199999999999999</v>
      </c>
      <c r="J2754" s="182">
        <v>12</v>
      </c>
      <c r="K2754" s="194">
        <v>10</v>
      </c>
      <c r="L2754" s="100">
        <f>(I2754*J2754*K2754/1000)</f>
        <v>1.224</v>
      </c>
      <c r="M2754" s="383">
        <v>10</v>
      </c>
      <c r="N2754" s="124">
        <f>J2754*M2754*I2754/1000</f>
        <v>1.224</v>
      </c>
      <c r="O2754" s="20"/>
      <c r="P2754" s="20"/>
      <c r="Q2754" s="155"/>
      <c r="R2754" s="155"/>
      <c r="U2754" s="497" t="s">
        <v>407</v>
      </c>
    </row>
    <row r="2755" spans="1:24" ht="15.6">
      <c r="A2755" s="20"/>
      <c r="B2755" s="21" t="s">
        <v>277</v>
      </c>
      <c r="C2755" s="20"/>
      <c r="D2755" s="20"/>
      <c r="E2755" s="20"/>
      <c r="F2755" s="20"/>
      <c r="G2755" s="20"/>
      <c r="H2755" s="20"/>
      <c r="I2755" s="115"/>
      <c r="J2755" s="597"/>
      <c r="K2755" s="154">
        <f>SUM(K2754:K2754)</f>
        <v>10</v>
      </c>
      <c r="L2755" s="124">
        <f>SUM(L2754:L2754)</f>
        <v>1.224</v>
      </c>
      <c r="M2755" s="104">
        <f>SUM(M2754:M2754)</f>
        <v>10</v>
      </c>
      <c r="N2755" s="124">
        <f>SUM(N2754:N2754)</f>
        <v>1.224</v>
      </c>
      <c r="O2755" s="20"/>
      <c r="P2755" s="20"/>
      <c r="Q2755" s="155"/>
      <c r="R2755" s="155"/>
    </row>
    <row r="2756" spans="1:24" s="497" customFormat="1" ht="15.6">
      <c r="A2756" s="20"/>
      <c r="B2756" s="21"/>
      <c r="C2756" s="20"/>
      <c r="D2756" s="20"/>
      <c r="E2756" s="20"/>
      <c r="F2756" s="20"/>
      <c r="G2756" s="20"/>
      <c r="H2756" s="20"/>
      <c r="I2756" s="115"/>
      <c r="J2756" s="597"/>
      <c r="K2756" s="154"/>
      <c r="L2756" s="124"/>
      <c r="M2756" s="104"/>
      <c r="N2756" s="20"/>
      <c r="O2756" s="20"/>
      <c r="P2756" s="20"/>
      <c r="Q2756" s="155"/>
      <c r="R2756" s="155"/>
    </row>
    <row r="2757" spans="1:24" ht="15.6">
      <c r="A2757" s="20"/>
      <c r="B2757" s="20"/>
      <c r="C2757" s="20"/>
      <c r="D2757" s="20"/>
      <c r="E2757" s="20"/>
      <c r="F2757" s="20"/>
      <c r="G2757" s="20"/>
      <c r="H2757" s="20"/>
      <c r="I2757" s="115"/>
      <c r="J2757" s="597"/>
      <c r="K2757" s="211"/>
      <c r="L2757" s="131"/>
      <c r="M2757" s="20"/>
      <c r="N2757" s="20"/>
      <c r="O2757" s="20"/>
      <c r="P2757" s="20"/>
      <c r="Q2757" s="155"/>
      <c r="R2757" s="155"/>
    </row>
    <row r="2758" spans="1:24" ht="15.6">
      <c r="A2758" s="21" t="s">
        <v>272</v>
      </c>
      <c r="B2758" s="21" t="s">
        <v>358</v>
      </c>
      <c r="C2758" s="21" t="s">
        <v>19</v>
      </c>
      <c r="D2758" s="21" t="s">
        <v>49</v>
      </c>
      <c r="E2758" s="21" t="s">
        <v>359</v>
      </c>
      <c r="F2758" s="22">
        <v>12</v>
      </c>
      <c r="G2758" s="20" t="s">
        <v>21</v>
      </c>
      <c r="H2758" s="143" t="s">
        <v>98</v>
      </c>
      <c r="I2758" s="178">
        <v>11.8</v>
      </c>
      <c r="J2758" s="182">
        <v>12</v>
      </c>
      <c r="K2758" s="194">
        <v>30</v>
      </c>
      <c r="L2758" s="100">
        <f>(I2758*J2758*K2758/1000)</f>
        <v>4.2480000000000011</v>
      </c>
      <c r="M2758" s="20"/>
      <c r="N2758" s="20"/>
      <c r="O2758" s="20">
        <v>17</v>
      </c>
      <c r="P2758" s="20">
        <f>J2758*O2758*I2758/1000</f>
        <v>2.4072000000000005</v>
      </c>
      <c r="Q2758" s="155"/>
      <c r="R2758" s="155"/>
      <c r="S2758">
        <v>6</v>
      </c>
      <c r="T2758" s="126">
        <f>J2758*S2758*I2758/1000</f>
        <v>0.84960000000000002</v>
      </c>
      <c r="U2758" s="497" t="s">
        <v>406</v>
      </c>
    </row>
    <row r="2759" spans="1:24" ht="15.6">
      <c r="A2759" s="20"/>
      <c r="B2759" s="21" t="s">
        <v>277</v>
      </c>
      <c r="C2759" s="20"/>
      <c r="D2759" s="20"/>
      <c r="E2759" s="20"/>
      <c r="F2759" s="20"/>
      <c r="G2759" s="20"/>
      <c r="H2759" s="20"/>
      <c r="I2759" s="115"/>
      <c r="J2759" s="597"/>
      <c r="K2759" s="154">
        <f>SUM(K2758:K2758)</f>
        <v>30</v>
      </c>
      <c r="L2759" s="124">
        <f>SUM(L2758:L2758)</f>
        <v>4.2480000000000011</v>
      </c>
      <c r="M2759" s="20"/>
      <c r="N2759" s="20"/>
      <c r="O2759" s="154">
        <f>SUM(O2758:O2758)</f>
        <v>17</v>
      </c>
      <c r="P2759" s="124">
        <f>SUM(P2758:P2758)</f>
        <v>2.4072000000000005</v>
      </c>
      <c r="Q2759" s="124"/>
      <c r="R2759" s="124"/>
      <c r="S2759" s="154">
        <f>SUM(S2758:S2758)</f>
        <v>6</v>
      </c>
      <c r="T2759" s="124">
        <f>SUM(T2758:T2758)</f>
        <v>0.84960000000000002</v>
      </c>
    </row>
    <row r="2760" spans="1:24" ht="15.6">
      <c r="A2760" s="20"/>
      <c r="B2760" s="20"/>
      <c r="C2760" s="20"/>
      <c r="D2760" s="20"/>
      <c r="E2760" s="20"/>
      <c r="F2760" s="20"/>
      <c r="G2760" s="20"/>
      <c r="H2760" s="20"/>
      <c r="I2760" s="115"/>
      <c r="J2760" s="597"/>
      <c r="K2760" s="211"/>
      <c r="L2760" s="131"/>
      <c r="M2760" s="20"/>
      <c r="N2760" s="20"/>
      <c r="O2760" s="20"/>
      <c r="P2760" s="20"/>
      <c r="Q2760" s="155"/>
      <c r="R2760" s="155"/>
    </row>
    <row r="2761" spans="1:24" ht="15.6">
      <c r="A2761" s="21" t="s">
        <v>332</v>
      </c>
      <c r="B2761" s="21" t="s">
        <v>381</v>
      </c>
      <c r="C2761" s="21" t="s">
        <v>19</v>
      </c>
      <c r="D2761" s="21" t="s">
        <v>20</v>
      </c>
      <c r="E2761" s="21" t="s">
        <v>47</v>
      </c>
      <c r="F2761" s="22">
        <v>12</v>
      </c>
      <c r="G2761" s="20" t="s">
        <v>21</v>
      </c>
      <c r="H2761" s="143" t="s">
        <v>98</v>
      </c>
      <c r="I2761" s="115">
        <v>11.8</v>
      </c>
      <c r="J2761" s="181">
        <v>10.1</v>
      </c>
      <c r="K2761" s="154">
        <v>172</v>
      </c>
      <c r="L2761" s="100">
        <f>(I2761*J2761*K2761/1000)</f>
        <v>20.498960000000004</v>
      </c>
      <c r="M2761" s="20"/>
      <c r="N2761" s="20"/>
      <c r="O2761" s="20">
        <f>10+1+1</f>
        <v>12</v>
      </c>
      <c r="P2761" s="20">
        <f t="shared" ref="P2761:P2762" si="452">J2761*O2761*I2761/1000</f>
        <v>1.4301599999999999</v>
      </c>
      <c r="Q2761" s="155"/>
      <c r="R2761" s="155"/>
      <c r="S2761">
        <f>20+20+20+18+25+28+23</f>
        <v>154</v>
      </c>
      <c r="T2761" s="126">
        <f>J2761*S2761*I2761/1000</f>
        <v>18.353720000000003</v>
      </c>
      <c r="U2761" s="497" t="s">
        <v>406</v>
      </c>
    </row>
    <row r="2762" spans="1:24" ht="15.6">
      <c r="A2762" s="20"/>
      <c r="B2762" s="503" t="s">
        <v>340</v>
      </c>
      <c r="C2762" s="20"/>
      <c r="D2762" s="20"/>
      <c r="E2762" s="20"/>
      <c r="F2762" s="20"/>
      <c r="G2762" s="20" t="s">
        <v>21</v>
      </c>
      <c r="H2762" s="20" t="s">
        <v>98</v>
      </c>
      <c r="I2762" s="115">
        <v>11.8</v>
      </c>
      <c r="J2762" s="181">
        <v>11.2</v>
      </c>
      <c r="K2762" s="154">
        <v>26</v>
      </c>
      <c r="L2762" s="100">
        <f>(I2762*J2762*K2762/1000)</f>
        <v>3.4361599999999997</v>
      </c>
      <c r="M2762" s="20"/>
      <c r="N2762" s="20"/>
      <c r="O2762" s="20">
        <f>16+4</f>
        <v>20</v>
      </c>
      <c r="P2762" s="20">
        <f t="shared" si="452"/>
        <v>2.6432000000000002</v>
      </c>
      <c r="Q2762" s="155"/>
      <c r="R2762" s="155"/>
      <c r="S2762">
        <v>3</v>
      </c>
      <c r="T2762" s="126">
        <f>J2762*S2762*I2762/1000</f>
        <v>0.39647999999999994</v>
      </c>
    </row>
    <row r="2763" spans="1:24" ht="15.6">
      <c r="A2763" s="20"/>
      <c r="B2763" s="20"/>
      <c r="C2763" s="20"/>
      <c r="D2763" s="20"/>
      <c r="E2763" s="20"/>
      <c r="F2763" s="20"/>
      <c r="G2763" s="20"/>
      <c r="H2763" s="20"/>
      <c r="I2763" s="115"/>
      <c r="J2763" s="181"/>
      <c r="K2763" s="154">
        <f>SUM(K2761:K2762)</f>
        <v>198</v>
      </c>
      <c r="L2763" s="23">
        <f>SUM(L2761:L2762)</f>
        <v>23.935120000000005</v>
      </c>
      <c r="M2763" s="20"/>
      <c r="N2763" s="20"/>
      <c r="O2763" s="154">
        <f>SUM(O2761:O2762)</f>
        <v>32</v>
      </c>
      <c r="P2763" s="23">
        <f>SUM(P2761:P2762)</f>
        <v>4.0733600000000001</v>
      </c>
      <c r="Q2763" s="23"/>
      <c r="R2763" s="23"/>
      <c r="S2763" s="154">
        <f>SUM(S2761:S2762)</f>
        <v>157</v>
      </c>
      <c r="T2763" s="23">
        <f>SUM(T2761:T2762)</f>
        <v>18.750200000000003</v>
      </c>
    </row>
    <row r="2764" spans="1:24" s="497" customFormat="1" ht="15.6">
      <c r="A2764" s="20"/>
      <c r="B2764" s="20"/>
      <c r="C2764" s="20"/>
      <c r="D2764" s="20"/>
      <c r="E2764" s="20"/>
      <c r="F2764" s="20"/>
      <c r="G2764" s="20"/>
      <c r="H2764" s="20"/>
      <c r="I2764" s="115"/>
      <c r="J2764" s="181"/>
      <c r="K2764" s="25">
        <f>+K2763+K2759</f>
        <v>228</v>
      </c>
      <c r="L2764" s="23">
        <f>+L2763+L2759</f>
        <v>28.183120000000006</v>
      </c>
      <c r="M2764" s="20"/>
      <c r="N2764" s="20"/>
      <c r="O2764" s="25">
        <f>+O2763+O2759</f>
        <v>49</v>
      </c>
      <c r="P2764" s="23">
        <f>+P2763+P2759</f>
        <v>6.4805600000000005</v>
      </c>
      <c r="Q2764" s="23"/>
      <c r="R2764" s="23"/>
      <c r="S2764" s="25">
        <f>+S2763+S2759</f>
        <v>163</v>
      </c>
      <c r="T2764" s="23">
        <f>+T2763+T2759</f>
        <v>19.599800000000002</v>
      </c>
    </row>
    <row r="2765" spans="1:24" s="497" customFormat="1" ht="15.6">
      <c r="A2765" s="20"/>
      <c r="B2765" s="20"/>
      <c r="C2765" s="20"/>
      <c r="D2765" s="20"/>
      <c r="E2765" s="20"/>
      <c r="F2765" s="20"/>
      <c r="G2765" s="20"/>
      <c r="H2765" s="20"/>
      <c r="I2765" s="115"/>
      <c r="J2765" s="181"/>
      <c r="K2765" s="154"/>
      <c r="L2765" s="23"/>
      <c r="M2765" s="20"/>
      <c r="N2765" s="20"/>
      <c r="O2765" s="20"/>
      <c r="P2765" s="20"/>
      <c r="Q2765" s="155"/>
      <c r="R2765" s="155"/>
    </row>
    <row r="2766" spans="1:24" s="497" customFormat="1" ht="15.6">
      <c r="A2766" s="20"/>
      <c r="B2766" s="20"/>
      <c r="C2766" s="20"/>
      <c r="D2766" s="20"/>
      <c r="E2766" s="20"/>
      <c r="F2766" s="20"/>
      <c r="G2766" s="20"/>
      <c r="H2766" s="20"/>
      <c r="I2766" s="115"/>
      <c r="J2766" s="181"/>
      <c r="K2766" s="154"/>
      <c r="L2766" s="23"/>
      <c r="M2766" s="20"/>
      <c r="N2766" s="20"/>
      <c r="O2766" s="20"/>
      <c r="P2766" s="20"/>
      <c r="Q2766" s="155"/>
      <c r="R2766" s="155"/>
    </row>
    <row r="2767" spans="1:24" ht="15.6">
      <c r="A2767" s="21" t="s">
        <v>332</v>
      </c>
      <c r="B2767" s="21" t="s">
        <v>381</v>
      </c>
      <c r="C2767" s="21" t="s">
        <v>19</v>
      </c>
      <c r="D2767" s="21" t="s">
        <v>20</v>
      </c>
      <c r="E2767" s="21" t="s">
        <v>47</v>
      </c>
      <c r="F2767" s="22">
        <v>12</v>
      </c>
      <c r="G2767" s="20" t="s">
        <v>21</v>
      </c>
      <c r="H2767" s="143" t="s">
        <v>95</v>
      </c>
      <c r="I2767" s="115">
        <v>13.4</v>
      </c>
      <c r="J2767" s="181">
        <v>8</v>
      </c>
      <c r="K2767" s="154">
        <v>16</v>
      </c>
      <c r="L2767" s="100">
        <f t="shared" ref="L2767:L2771" si="453">(I2767*J2767*K2767/1000)</f>
        <v>1.7152000000000001</v>
      </c>
      <c r="M2767" s="20"/>
      <c r="N2767" s="20"/>
      <c r="O2767" s="20">
        <f>1+9+3+3</f>
        <v>16</v>
      </c>
      <c r="P2767" s="20">
        <f>J2767*O2767*I2767/1000</f>
        <v>1.7152000000000001</v>
      </c>
      <c r="Q2767" s="155"/>
      <c r="R2767" s="155"/>
      <c r="U2767" s="497"/>
      <c r="W2767" s="497" t="s">
        <v>407</v>
      </c>
      <c r="X2767" s="497"/>
    </row>
    <row r="2768" spans="1:24" ht="15.6">
      <c r="A2768" s="20"/>
      <c r="B2768" s="503" t="s">
        <v>340</v>
      </c>
      <c r="C2768" s="20"/>
      <c r="D2768" s="20"/>
      <c r="E2768" s="20"/>
      <c r="F2768" s="20"/>
      <c r="G2768" s="20" t="s">
        <v>21</v>
      </c>
      <c r="H2768" s="20" t="s">
        <v>95</v>
      </c>
      <c r="I2768" s="115">
        <v>13.4</v>
      </c>
      <c r="J2768" s="181">
        <v>10.199999999999999</v>
      </c>
      <c r="K2768" s="154">
        <v>172</v>
      </c>
      <c r="L2768" s="100">
        <f t="shared" si="453"/>
        <v>23.508960000000002</v>
      </c>
      <c r="M2768" s="20"/>
      <c r="N2768" s="20"/>
      <c r="O2768" s="20">
        <f>10+3+4+3+18+12+1+6+1+2+1+4+3</f>
        <v>68</v>
      </c>
      <c r="P2768" s="20">
        <f t="shared" ref="P2768:P2771" si="454">J2768*O2768*I2768/1000</f>
        <v>9.2942400000000003</v>
      </c>
      <c r="Q2768" s="155"/>
      <c r="R2768" s="155"/>
      <c r="S2768">
        <f>18+18+18+13+18</f>
        <v>85</v>
      </c>
      <c r="T2768" s="126">
        <f t="shared" ref="T2768" si="455">J2768*S2768*I2768/1000</f>
        <v>11.617799999999999</v>
      </c>
      <c r="U2768">
        <f>7+16+6+6</f>
        <v>35</v>
      </c>
      <c r="V2768" s="126">
        <f>J2768*U2768*I2768/1000</f>
        <v>4.7838000000000003</v>
      </c>
      <c r="W2768" s="497"/>
      <c r="X2768" s="497"/>
    </row>
    <row r="2769" spans="1:24" ht="15.6">
      <c r="A2769" s="20"/>
      <c r="B2769" s="20"/>
      <c r="C2769" s="20"/>
      <c r="D2769" s="20"/>
      <c r="E2769" s="20"/>
      <c r="F2769" s="20"/>
      <c r="G2769" s="20" t="s">
        <v>21</v>
      </c>
      <c r="H2769" s="20" t="s">
        <v>95</v>
      </c>
      <c r="I2769" s="115">
        <v>13.4</v>
      </c>
      <c r="J2769" s="181">
        <v>10.5</v>
      </c>
      <c r="K2769" s="154">
        <v>36</v>
      </c>
      <c r="L2769" s="100">
        <f t="shared" si="453"/>
        <v>5.0652000000000008</v>
      </c>
      <c r="M2769" s="20"/>
      <c r="N2769" s="20"/>
      <c r="O2769" s="20">
        <v>23</v>
      </c>
      <c r="P2769" s="20">
        <f t="shared" si="454"/>
        <v>3.2361</v>
      </c>
      <c r="Q2769" s="155"/>
      <c r="R2769" s="155"/>
      <c r="U2769">
        <v>13</v>
      </c>
      <c r="V2769" s="126">
        <f t="shared" ref="V2769:V2771" si="456">J2769*U2769*I2769/1000</f>
        <v>1.8291000000000002</v>
      </c>
      <c r="W2769" s="497"/>
      <c r="X2769" s="497"/>
    </row>
    <row r="2770" spans="1:24" ht="15.6">
      <c r="A2770" s="20"/>
      <c r="B2770" s="20"/>
      <c r="C2770" s="20"/>
      <c r="D2770" s="20"/>
      <c r="E2770" s="20"/>
      <c r="F2770" s="20"/>
      <c r="G2770" s="20" t="s">
        <v>21</v>
      </c>
      <c r="H2770" s="20" t="s">
        <v>95</v>
      </c>
      <c r="I2770" s="115">
        <v>13.4</v>
      </c>
      <c r="J2770" s="181">
        <v>11.8</v>
      </c>
      <c r="K2770" s="154">
        <v>17</v>
      </c>
      <c r="L2770" s="100">
        <f t="shared" si="453"/>
        <v>2.68804</v>
      </c>
      <c r="M2770" s="20"/>
      <c r="N2770" s="20"/>
      <c r="O2770" s="20">
        <f>5+9</f>
        <v>14</v>
      </c>
      <c r="P2770" s="20">
        <f t="shared" si="454"/>
        <v>2.2136800000000001</v>
      </c>
      <c r="Q2770" s="155"/>
      <c r="R2770" s="155"/>
      <c r="U2770">
        <v>2</v>
      </c>
      <c r="V2770" s="126">
        <f t="shared" si="456"/>
        <v>0.31624000000000002</v>
      </c>
      <c r="W2770" s="497"/>
      <c r="X2770" s="497"/>
    </row>
    <row r="2771" spans="1:24" ht="15.6">
      <c r="A2771" s="20"/>
      <c r="B2771" s="20"/>
      <c r="C2771" s="20"/>
      <c r="D2771" s="20"/>
      <c r="E2771" s="20"/>
      <c r="F2771" s="20"/>
      <c r="G2771" s="20" t="s">
        <v>21</v>
      </c>
      <c r="H2771" s="20" t="s">
        <v>95</v>
      </c>
      <c r="I2771" s="115">
        <v>13.4</v>
      </c>
      <c r="J2771" s="181">
        <v>11.9</v>
      </c>
      <c r="K2771" s="154">
        <v>172</v>
      </c>
      <c r="L2771" s="100">
        <f t="shared" si="453"/>
        <v>27.427120000000002</v>
      </c>
      <c r="M2771" s="20"/>
      <c r="N2771" s="20"/>
      <c r="O2771" s="20">
        <f>18+18+12+10+20+18</f>
        <v>96</v>
      </c>
      <c r="P2771" s="20">
        <f t="shared" si="454"/>
        <v>15.308160000000001</v>
      </c>
      <c r="Q2771" s="155"/>
      <c r="R2771" s="155"/>
      <c r="S2771">
        <f>11+18</f>
        <v>29</v>
      </c>
      <c r="T2771" s="126">
        <f>J2771*S2771*I2771/1000</f>
        <v>4.6243400000000001</v>
      </c>
      <c r="U2771">
        <v>12</v>
      </c>
      <c r="V2771" s="126">
        <f t="shared" si="456"/>
        <v>1.9135200000000001</v>
      </c>
      <c r="W2771" s="497"/>
      <c r="X2771" s="497"/>
    </row>
    <row r="2772" spans="1:24" ht="15.6">
      <c r="A2772" s="20"/>
      <c r="B2772" s="20"/>
      <c r="C2772" s="20"/>
      <c r="D2772" s="20"/>
      <c r="E2772" s="20"/>
      <c r="F2772" s="20"/>
      <c r="G2772" s="20"/>
      <c r="H2772" s="20"/>
      <c r="I2772" s="115"/>
      <c r="J2772" s="181"/>
      <c r="K2772" s="154">
        <f>SUM(K2767:K2771)</f>
        <v>413</v>
      </c>
      <c r="L2772" s="23">
        <f>SUM(L2767:L2771)</f>
        <v>60.404520000000005</v>
      </c>
      <c r="M2772" s="20"/>
      <c r="N2772" s="20"/>
      <c r="O2772" s="154">
        <f t="shared" ref="O2772:V2772" si="457">SUM(O2767:O2771)</f>
        <v>217</v>
      </c>
      <c r="P2772" s="23">
        <f t="shared" si="457"/>
        <v>31.767380000000003</v>
      </c>
      <c r="Q2772" s="23"/>
      <c r="R2772" s="23"/>
      <c r="S2772" s="154">
        <f t="shared" si="457"/>
        <v>114</v>
      </c>
      <c r="T2772" s="23">
        <f t="shared" si="457"/>
        <v>16.242139999999999</v>
      </c>
      <c r="U2772" s="154">
        <f t="shared" si="457"/>
        <v>62</v>
      </c>
      <c r="V2772" s="23">
        <f t="shared" si="457"/>
        <v>8.8426600000000004</v>
      </c>
      <c r="W2772" s="497"/>
      <c r="X2772" s="497"/>
    </row>
    <row r="2773" spans="1:24" s="497" customFormat="1" ht="15.6">
      <c r="A2773" s="20"/>
      <c r="B2773" s="20"/>
      <c r="C2773" s="20"/>
      <c r="D2773" s="20"/>
      <c r="E2773" s="20"/>
      <c r="F2773" s="20"/>
      <c r="G2773" s="20"/>
      <c r="H2773" s="20"/>
      <c r="I2773" s="115"/>
      <c r="J2773" s="181"/>
      <c r="K2773" s="154"/>
      <c r="L2773" s="23"/>
      <c r="M2773" s="20"/>
      <c r="N2773" s="20"/>
      <c r="O2773" s="20"/>
      <c r="P2773" s="20"/>
      <c r="Q2773" s="155"/>
      <c r="R2773" s="155"/>
    </row>
    <row r="2774" spans="1:24" ht="15.6">
      <c r="A2774" s="21" t="s">
        <v>383</v>
      </c>
      <c r="B2774" s="21" t="s">
        <v>384</v>
      </c>
      <c r="C2774" s="21" t="s">
        <v>19</v>
      </c>
      <c r="D2774" s="21" t="s">
        <v>20</v>
      </c>
      <c r="E2774" s="21" t="s">
        <v>47</v>
      </c>
      <c r="F2774" s="22">
        <v>12</v>
      </c>
      <c r="G2774" s="185" t="s">
        <v>21</v>
      </c>
      <c r="H2774" s="629" t="s">
        <v>95</v>
      </c>
      <c r="I2774" s="186">
        <v>13.4</v>
      </c>
      <c r="J2774" s="181">
        <v>7</v>
      </c>
      <c r="K2774" s="154">
        <v>72</v>
      </c>
      <c r="L2774" s="100">
        <f t="shared" ref="L2774:L2777" si="458">(I2774*J2774*K2774/1000)</f>
        <v>6.7535999999999996</v>
      </c>
      <c r="M2774" s="20"/>
      <c r="N2774" s="20"/>
      <c r="O2774" s="20">
        <f>11+25+5+3</f>
        <v>44</v>
      </c>
      <c r="P2774" s="20">
        <f t="shared" ref="P2774:P2775" si="459">J2774*O2774*I2774/1000</f>
        <v>4.1272000000000002</v>
      </c>
      <c r="Q2774" s="155"/>
      <c r="R2774" s="155"/>
      <c r="S2774">
        <v>20</v>
      </c>
      <c r="T2774" s="126">
        <f t="shared" ref="T2774:T2776" si="460">J2774*S2774*I2774/1000</f>
        <v>1.8759999999999999</v>
      </c>
      <c r="U2774" s="512">
        <v>8</v>
      </c>
      <c r="V2774" s="126">
        <f>J2774*U2774*I2774/1000</f>
        <v>0.75039999999999996</v>
      </c>
      <c r="W2774" s="497" t="s">
        <v>406</v>
      </c>
      <c r="X2774" s="497"/>
    </row>
    <row r="2775" spans="1:24" ht="15.6">
      <c r="A2775" s="20"/>
      <c r="B2775" s="503" t="s">
        <v>334</v>
      </c>
      <c r="C2775" s="20"/>
      <c r="D2775" s="20"/>
      <c r="E2775" s="20"/>
      <c r="F2775" s="20"/>
      <c r="G2775" s="185" t="s">
        <v>21</v>
      </c>
      <c r="H2775" s="185" t="s">
        <v>95</v>
      </c>
      <c r="I2775" s="186">
        <v>13.4</v>
      </c>
      <c r="J2775" s="181">
        <v>7.2</v>
      </c>
      <c r="K2775" s="154">
        <v>10</v>
      </c>
      <c r="L2775" s="100">
        <f t="shared" si="458"/>
        <v>0.9648000000000001</v>
      </c>
      <c r="M2775" s="20"/>
      <c r="N2775" s="20"/>
      <c r="O2775" s="20">
        <f>3+10-3</f>
        <v>10</v>
      </c>
      <c r="P2775" s="20">
        <f t="shared" si="459"/>
        <v>0.9648000000000001</v>
      </c>
      <c r="Q2775" s="155"/>
      <c r="R2775" s="155"/>
      <c r="T2775" s="126">
        <f t="shared" si="460"/>
        <v>0</v>
      </c>
      <c r="W2775" s="497"/>
      <c r="X2775" s="497"/>
    </row>
    <row r="2776" spans="1:24" ht="15.6">
      <c r="A2776" s="20"/>
      <c r="B2776" s="20"/>
      <c r="C2776" s="20"/>
      <c r="D2776" s="20"/>
      <c r="E2776" s="20"/>
      <c r="F2776" s="20"/>
      <c r="G2776" s="185" t="s">
        <v>21</v>
      </c>
      <c r="H2776" s="185" t="s">
        <v>95</v>
      </c>
      <c r="I2776" s="186">
        <v>13.4</v>
      </c>
      <c r="J2776" s="181">
        <v>10.5</v>
      </c>
      <c r="K2776" s="154">
        <v>102</v>
      </c>
      <c r="L2776" s="100">
        <f t="shared" si="458"/>
        <v>14.351400000000002</v>
      </c>
      <c r="M2776" s="20"/>
      <c r="N2776" s="20"/>
      <c r="O2776" s="20"/>
      <c r="P2776" s="20"/>
      <c r="Q2776" s="155"/>
      <c r="R2776" s="155"/>
      <c r="S2776">
        <f>20+20+20+19+17</f>
        <v>96</v>
      </c>
      <c r="T2776" s="126">
        <f t="shared" si="460"/>
        <v>13.507200000000001</v>
      </c>
      <c r="U2776">
        <v>6</v>
      </c>
      <c r="V2776" s="126">
        <f>J2776*U2776*I2776/1000</f>
        <v>0.84420000000000006</v>
      </c>
      <c r="W2776" s="497"/>
      <c r="X2776" s="497"/>
    </row>
    <row r="2777" spans="1:24" ht="15.6">
      <c r="A2777" s="20"/>
      <c r="B2777" s="20"/>
      <c r="C2777" s="20"/>
      <c r="D2777" s="20"/>
      <c r="E2777" s="20"/>
      <c r="F2777" s="20"/>
      <c r="G2777" s="185" t="s">
        <v>21</v>
      </c>
      <c r="H2777" s="185" t="s">
        <v>95</v>
      </c>
      <c r="I2777" s="186">
        <v>13.4</v>
      </c>
      <c r="J2777" s="181">
        <v>11.9</v>
      </c>
      <c r="K2777" s="154">
        <v>54</v>
      </c>
      <c r="L2777" s="100">
        <f t="shared" si="458"/>
        <v>8.6108399999999996</v>
      </c>
      <c r="M2777" s="20"/>
      <c r="N2777" s="20"/>
      <c r="O2777" s="20"/>
      <c r="P2777" s="20"/>
      <c r="Q2777" s="155"/>
      <c r="R2777" s="155"/>
      <c r="S2777">
        <f>18+18+11+18-11</f>
        <v>54</v>
      </c>
      <c r="T2777" s="126">
        <f t="shared" ref="T2777" si="461">J2777*S2777*I2777/1000</f>
        <v>8.6108399999999996</v>
      </c>
      <c r="W2777" s="497"/>
      <c r="X2777" s="497"/>
    </row>
    <row r="2778" spans="1:24" ht="15.6">
      <c r="A2778" s="20"/>
      <c r="B2778" s="20"/>
      <c r="C2778" s="20"/>
      <c r="D2778" s="20"/>
      <c r="E2778" s="20"/>
      <c r="F2778" s="20"/>
      <c r="G2778" s="185"/>
      <c r="H2778" s="185"/>
      <c r="I2778" s="186"/>
      <c r="J2778" s="183"/>
      <c r="K2778" s="221">
        <f>SUM(K2774:K2777)</f>
        <v>238</v>
      </c>
      <c r="L2778" s="183">
        <f>SUM(L2774:L2777)</f>
        <v>30.68064</v>
      </c>
      <c r="M2778" s="20"/>
      <c r="N2778" s="20"/>
      <c r="O2778" s="221">
        <f t="shared" ref="O2778:V2778" si="462">SUM(O2774:O2777)</f>
        <v>54</v>
      </c>
      <c r="P2778" s="183">
        <f t="shared" si="462"/>
        <v>5.0920000000000005</v>
      </c>
      <c r="Q2778" s="183"/>
      <c r="R2778" s="183"/>
      <c r="S2778" s="221">
        <f t="shared" si="462"/>
        <v>170</v>
      </c>
      <c r="T2778" s="183">
        <f t="shared" si="462"/>
        <v>23.994039999999998</v>
      </c>
      <c r="U2778" s="221">
        <f t="shared" si="462"/>
        <v>14</v>
      </c>
      <c r="V2778" s="183">
        <f t="shared" si="462"/>
        <v>1.5946</v>
      </c>
      <c r="W2778" s="497"/>
      <c r="X2778" s="497"/>
    </row>
    <row r="2779" spans="1:24" s="497" customFormat="1" ht="15.6">
      <c r="A2779" s="20"/>
      <c r="B2779" s="20"/>
      <c r="C2779" s="20"/>
      <c r="D2779" s="20"/>
      <c r="E2779" s="20"/>
      <c r="F2779" s="20"/>
      <c r="G2779" s="185"/>
      <c r="H2779" s="185"/>
      <c r="I2779" s="186"/>
      <c r="J2779" s="183"/>
      <c r="K2779" s="221"/>
      <c r="L2779" s="183"/>
      <c r="M2779" s="20"/>
      <c r="N2779" s="20"/>
      <c r="O2779" s="20"/>
      <c r="P2779" s="20"/>
      <c r="Q2779" s="155"/>
      <c r="R2779" s="155"/>
    </row>
    <row r="2780" spans="1:24" ht="15.6">
      <c r="A2780" s="21" t="s">
        <v>272</v>
      </c>
      <c r="B2780" s="21" t="s">
        <v>358</v>
      </c>
      <c r="C2780" s="21" t="s">
        <v>19</v>
      </c>
      <c r="D2780" s="21" t="s">
        <v>49</v>
      </c>
      <c r="E2780" s="21" t="s">
        <v>359</v>
      </c>
      <c r="F2780" s="22">
        <v>12</v>
      </c>
      <c r="G2780" s="20" t="s">
        <v>21</v>
      </c>
      <c r="H2780" s="143" t="s">
        <v>95</v>
      </c>
      <c r="I2780" s="178">
        <v>13.4</v>
      </c>
      <c r="J2780" s="182">
        <v>12</v>
      </c>
      <c r="K2780" s="194">
        <v>20</v>
      </c>
      <c r="L2780" s="100">
        <f>(I2780*J2780*K2780/1000)</f>
        <v>3.2160000000000002</v>
      </c>
      <c r="M2780" s="20"/>
      <c r="N2780" s="20"/>
      <c r="O2780" s="20">
        <v>15</v>
      </c>
      <c r="P2780" s="20">
        <f>J2780*O2780*I2780/1000</f>
        <v>2.4119999999999999</v>
      </c>
      <c r="Q2780" s="155"/>
      <c r="R2780" s="155"/>
      <c r="U2780" s="497"/>
      <c r="W2780" s="497" t="s">
        <v>407</v>
      </c>
      <c r="X2780" s="497"/>
    </row>
    <row r="2781" spans="1:24" ht="15.6">
      <c r="A2781" s="20"/>
      <c r="B2781" s="21" t="s">
        <v>277</v>
      </c>
      <c r="C2781" s="20"/>
      <c r="D2781" s="20"/>
      <c r="E2781" s="20"/>
      <c r="F2781" s="20"/>
      <c r="G2781" s="20"/>
      <c r="H2781" s="20"/>
      <c r="I2781" s="115"/>
      <c r="J2781" s="597"/>
      <c r="K2781" s="154">
        <f>SUM(K2780:K2780)</f>
        <v>20</v>
      </c>
      <c r="L2781" s="124">
        <f>SUM(L2780:L2780)</f>
        <v>3.2160000000000002</v>
      </c>
      <c r="M2781" s="20"/>
      <c r="N2781" s="20"/>
      <c r="O2781" s="154">
        <f>SUM(O2780:O2780)</f>
        <v>15</v>
      </c>
      <c r="P2781" s="124">
        <f>SUM(P2780:P2780)</f>
        <v>2.4119999999999999</v>
      </c>
      <c r="Q2781" s="1061"/>
      <c r="R2781" s="1061"/>
      <c r="W2781" s="497"/>
      <c r="X2781" s="497"/>
    </row>
    <row r="2782" spans="1:24" ht="15.6">
      <c r="A2782" s="20"/>
      <c r="B2782" s="20"/>
      <c r="C2782" s="20"/>
      <c r="D2782" s="20"/>
      <c r="E2782" s="20"/>
      <c r="F2782" s="20"/>
      <c r="G2782" s="20"/>
      <c r="H2782" s="20"/>
      <c r="I2782" s="115"/>
      <c r="J2782" s="597"/>
      <c r="K2782" s="211"/>
      <c r="L2782" s="131"/>
      <c r="M2782" s="20"/>
      <c r="N2782" s="20"/>
      <c r="O2782" s="20"/>
      <c r="P2782" s="20"/>
      <c r="Q2782" s="155"/>
      <c r="R2782" s="155"/>
      <c r="W2782" s="497"/>
      <c r="X2782" s="497"/>
    </row>
    <row r="2783" spans="1:24" ht="15.6">
      <c r="A2783" s="21" t="s">
        <v>332</v>
      </c>
      <c r="B2783" s="21" t="s">
        <v>382</v>
      </c>
      <c r="C2783" s="21" t="s">
        <v>19</v>
      </c>
      <c r="D2783" s="21" t="s">
        <v>49</v>
      </c>
      <c r="E2783" s="21" t="s">
        <v>359</v>
      </c>
      <c r="F2783" s="22">
        <v>12</v>
      </c>
      <c r="G2783" s="20" t="s">
        <v>21</v>
      </c>
      <c r="H2783" s="143" t="s">
        <v>95</v>
      </c>
      <c r="I2783" s="115">
        <v>13.4</v>
      </c>
      <c r="J2783" s="181">
        <v>8.4</v>
      </c>
      <c r="K2783" s="154">
        <v>13</v>
      </c>
      <c r="L2783" s="100">
        <f t="shared" ref="L2783:L2786" si="463">(I2783*J2783*K2783/1000)</f>
        <v>1.4632799999999999</v>
      </c>
      <c r="M2783" s="20"/>
      <c r="N2783" s="20"/>
      <c r="O2783" s="20">
        <f>9+4</f>
        <v>13</v>
      </c>
      <c r="P2783" s="20">
        <f t="shared" ref="P2783:P2786" si="464">J2783*O2783*I2783/1000</f>
        <v>1.4632799999999999</v>
      </c>
      <c r="Q2783" s="155"/>
      <c r="R2783" s="155"/>
      <c r="U2783" s="497"/>
      <c r="W2783" s="497" t="s">
        <v>407</v>
      </c>
      <c r="X2783" s="497"/>
    </row>
    <row r="2784" spans="1:24" ht="15.6">
      <c r="A2784" s="20"/>
      <c r="B2784" s="21" t="s">
        <v>331</v>
      </c>
      <c r="C2784" s="20"/>
      <c r="D2784" s="20"/>
      <c r="E2784" s="20"/>
      <c r="F2784" s="20"/>
      <c r="G2784" s="20" t="s">
        <v>21</v>
      </c>
      <c r="H2784" s="20" t="s">
        <v>95</v>
      </c>
      <c r="I2784" s="115">
        <v>13.4</v>
      </c>
      <c r="J2784" s="181">
        <v>10.5</v>
      </c>
      <c r="K2784" s="154">
        <v>26</v>
      </c>
      <c r="L2784" s="100">
        <f t="shared" si="463"/>
        <v>3.6582000000000003</v>
      </c>
      <c r="M2784" s="20"/>
      <c r="N2784" s="20"/>
      <c r="O2784" s="20">
        <f>4+10</f>
        <v>14</v>
      </c>
      <c r="P2784" s="20">
        <f t="shared" si="464"/>
        <v>1.9698</v>
      </c>
      <c r="Q2784" s="155"/>
      <c r="R2784" s="155"/>
      <c r="U2784">
        <f>5+7</f>
        <v>12</v>
      </c>
      <c r="V2784" s="126">
        <f>J2784*U2784*I2784/1000</f>
        <v>1.6884000000000001</v>
      </c>
      <c r="W2784" s="497"/>
      <c r="X2784" s="497"/>
    </row>
    <row r="2785" spans="1:24" ht="15.6">
      <c r="A2785" s="20"/>
      <c r="B2785" s="20"/>
      <c r="C2785" s="20"/>
      <c r="D2785" s="20"/>
      <c r="E2785" s="20"/>
      <c r="F2785" s="20"/>
      <c r="G2785" s="20" t="s">
        <v>21</v>
      </c>
      <c r="H2785" s="20" t="s">
        <v>95</v>
      </c>
      <c r="I2785" s="115">
        <v>13.4</v>
      </c>
      <c r="J2785" s="181">
        <v>11.7</v>
      </c>
      <c r="K2785" s="154">
        <v>13</v>
      </c>
      <c r="L2785" s="100">
        <f t="shared" si="463"/>
        <v>2.0381400000000003</v>
      </c>
      <c r="M2785" s="20"/>
      <c r="N2785" s="20"/>
      <c r="O2785" s="20">
        <f>7+6</f>
        <v>13</v>
      </c>
      <c r="P2785" s="20">
        <f t="shared" si="464"/>
        <v>2.0381399999999998</v>
      </c>
      <c r="Q2785" s="155"/>
      <c r="R2785" s="155"/>
      <c r="W2785" s="497"/>
      <c r="X2785" s="497"/>
    </row>
    <row r="2786" spans="1:24" ht="15.6">
      <c r="A2786" s="20"/>
      <c r="B2786" s="20"/>
      <c r="C2786" s="20"/>
      <c r="D2786" s="20"/>
      <c r="E2786" s="20"/>
      <c r="F2786" s="20"/>
      <c r="G2786" s="20" t="s">
        <v>21</v>
      </c>
      <c r="H2786" s="20" t="s">
        <v>95</v>
      </c>
      <c r="I2786" s="115">
        <v>13.4</v>
      </c>
      <c r="J2786" s="181">
        <v>12</v>
      </c>
      <c r="K2786" s="154">
        <v>21</v>
      </c>
      <c r="L2786" s="100">
        <f t="shared" si="463"/>
        <v>3.3768000000000002</v>
      </c>
      <c r="M2786" s="20"/>
      <c r="N2786" s="20"/>
      <c r="O2786" s="20">
        <v>21</v>
      </c>
      <c r="P2786" s="20">
        <f t="shared" si="464"/>
        <v>3.3768000000000002</v>
      </c>
      <c r="Q2786" s="155"/>
      <c r="R2786" s="155"/>
    </row>
    <row r="2787" spans="1:24" ht="15.6">
      <c r="A2787" s="20"/>
      <c r="B2787" s="20"/>
      <c r="C2787" s="20"/>
      <c r="D2787" s="20"/>
      <c r="E2787" s="20"/>
      <c r="F2787" s="20"/>
      <c r="G2787" s="20"/>
      <c r="H2787" s="20"/>
      <c r="I2787" s="115"/>
      <c r="J2787" s="181"/>
      <c r="K2787" s="154">
        <f t="shared" ref="K2787:L2787" si="465">SUM(K2783:K2786)</f>
        <v>73</v>
      </c>
      <c r="L2787" s="23">
        <f t="shared" si="465"/>
        <v>10.53642</v>
      </c>
      <c r="M2787" s="20"/>
      <c r="N2787" s="20"/>
      <c r="O2787" s="154">
        <f t="shared" ref="O2787:P2787" si="466">SUM(O2783:O2786)</f>
        <v>61</v>
      </c>
      <c r="P2787" s="23">
        <f t="shared" si="466"/>
        <v>8.84802</v>
      </c>
      <c r="Q2787" s="134"/>
      <c r="R2787" s="134"/>
      <c r="U2787" s="154">
        <f t="shared" ref="U2787:V2787" si="467">SUM(U2783:U2786)</f>
        <v>12</v>
      </c>
      <c r="V2787" s="23">
        <f t="shared" si="467"/>
        <v>1.6884000000000001</v>
      </c>
    </row>
    <row r="2788" spans="1:24" ht="15.6">
      <c r="A2788" s="20"/>
      <c r="B2788" s="20"/>
      <c r="C2788" s="20"/>
      <c r="D2788" s="20"/>
      <c r="E2788" s="20"/>
      <c r="F2788" s="20"/>
      <c r="G2788" s="20"/>
      <c r="H2788" s="20"/>
      <c r="I2788" s="115"/>
      <c r="J2788" s="597"/>
      <c r="K2788" s="211"/>
      <c r="L2788" s="131"/>
      <c r="M2788" s="20"/>
      <c r="N2788" s="20"/>
      <c r="O2788" s="20"/>
      <c r="P2788" s="20"/>
      <c r="Q2788" s="155"/>
      <c r="R2788" s="155"/>
    </row>
    <row r="2789" spans="1:24" ht="15.6">
      <c r="A2789" s="21" t="s">
        <v>83</v>
      </c>
      <c r="B2789" s="63" t="s">
        <v>386</v>
      </c>
      <c r="C2789" s="21" t="s">
        <v>19</v>
      </c>
      <c r="D2789" s="21" t="s">
        <v>49</v>
      </c>
      <c r="E2789" s="21" t="s">
        <v>359</v>
      </c>
      <c r="F2789" s="22">
        <v>12</v>
      </c>
      <c r="G2789" s="20" t="s">
        <v>21</v>
      </c>
      <c r="H2789" s="20" t="s">
        <v>95</v>
      </c>
      <c r="I2789" s="115">
        <v>13.4</v>
      </c>
      <c r="J2789" s="23">
        <v>7.6</v>
      </c>
      <c r="K2789" s="25">
        <v>9</v>
      </c>
      <c r="L2789" s="100">
        <f t="shared" ref="L2789:L2790" si="468">(I2789*J2789*K2789/1000)</f>
        <v>0.91656000000000004</v>
      </c>
      <c r="M2789" s="20"/>
      <c r="N2789" s="20"/>
      <c r="O2789" s="20">
        <f>1+5+3</f>
        <v>9</v>
      </c>
      <c r="P2789" s="20">
        <f t="shared" ref="P2789:P2790" si="469">J2789*O2789*I2789/1000</f>
        <v>0.91655999999999993</v>
      </c>
      <c r="Q2789" s="155"/>
      <c r="R2789" s="155"/>
    </row>
    <row r="2790" spans="1:24" ht="15.6">
      <c r="A2790" s="20"/>
      <c r="B2790" s="630" t="s">
        <v>387</v>
      </c>
      <c r="C2790" s="20"/>
      <c r="D2790" s="20"/>
      <c r="E2790" s="20"/>
      <c r="F2790" s="20"/>
      <c r="G2790" s="20" t="s">
        <v>21</v>
      </c>
      <c r="H2790" s="20" t="s">
        <v>95</v>
      </c>
      <c r="I2790" s="115">
        <v>13.4</v>
      </c>
      <c r="J2790" s="23">
        <v>12</v>
      </c>
      <c r="K2790" s="25">
        <v>2</v>
      </c>
      <c r="L2790" s="100">
        <f t="shared" si="468"/>
        <v>0.3216</v>
      </c>
      <c r="M2790" s="20"/>
      <c r="N2790" s="20"/>
      <c r="O2790" s="20">
        <v>1</v>
      </c>
      <c r="P2790" s="20">
        <f t="shared" si="469"/>
        <v>0.1608</v>
      </c>
      <c r="Q2790" s="155"/>
      <c r="R2790" s="155"/>
    </row>
    <row r="2791" spans="1:24" ht="15.6">
      <c r="A2791" s="20"/>
      <c r="B2791" s="20"/>
      <c r="C2791" s="20"/>
      <c r="D2791" s="20"/>
      <c r="E2791" s="20"/>
      <c r="F2791" s="20"/>
      <c r="G2791" s="20"/>
      <c r="H2791" s="20"/>
      <c r="I2791" s="115"/>
      <c r="J2791" s="23"/>
      <c r="K2791" s="25">
        <f t="shared" ref="K2791" si="470">SUM(K2789:K2790)</f>
        <v>11</v>
      </c>
      <c r="L2791" s="23">
        <f>SUM(L2789:L2790)</f>
        <v>1.2381600000000001</v>
      </c>
      <c r="M2791" s="20"/>
      <c r="N2791" s="20"/>
      <c r="O2791" s="25">
        <f t="shared" ref="O2791" si="471">SUM(O2789:O2790)</f>
        <v>10</v>
      </c>
      <c r="P2791" s="23">
        <f>SUM(P2789:P2790)</f>
        <v>1.0773599999999999</v>
      </c>
      <c r="Q2791" s="134"/>
      <c r="R2791" s="134"/>
    </row>
    <row r="2792" spans="1:24" s="497" customFormat="1" ht="15.6">
      <c r="A2792" s="20"/>
      <c r="B2792" s="20"/>
      <c r="C2792" s="20"/>
      <c r="D2792" s="20"/>
      <c r="E2792" s="20"/>
      <c r="F2792" s="20"/>
      <c r="G2792" s="185"/>
      <c r="H2792" s="185"/>
      <c r="I2792" s="186"/>
      <c r="J2792" s="183"/>
      <c r="K2792" s="250">
        <f>+K2778+K2787+K2781+K2772</f>
        <v>744</v>
      </c>
      <c r="L2792" s="183">
        <f>+L2778+L2787+L2781+L2772+L2791</f>
        <v>106.07574</v>
      </c>
      <c r="M2792" s="20"/>
      <c r="N2792" s="20"/>
      <c r="O2792" s="250">
        <f>+O2778+O2787+O2781+O2772</f>
        <v>347</v>
      </c>
      <c r="P2792" s="183">
        <f>+P2778+P2787+P2781+P2772+P2791</f>
        <v>49.196759999999998</v>
      </c>
      <c r="Q2792" s="183"/>
      <c r="R2792" s="183"/>
      <c r="S2792" s="250">
        <f>+S2778+S2787+S2781+S2772</f>
        <v>284</v>
      </c>
      <c r="T2792" s="183">
        <f>+T2778+T2787+T2781+T2772+T2791</f>
        <v>40.236179999999997</v>
      </c>
      <c r="U2792" s="250">
        <f>+U2778+U2787+U2781+U2772</f>
        <v>88</v>
      </c>
      <c r="V2792" s="183">
        <f>+V2778+V2787+V2781+V2772+V2791</f>
        <v>12.12566</v>
      </c>
    </row>
    <row r="2793" spans="1:24" ht="15.6">
      <c r="A2793" s="20"/>
      <c r="B2793" s="20"/>
      <c r="C2793" s="20"/>
      <c r="D2793" s="20"/>
      <c r="E2793" s="20"/>
      <c r="F2793" s="20"/>
      <c r="G2793" s="20"/>
      <c r="H2793" s="20"/>
      <c r="I2793" s="115"/>
      <c r="J2793" s="597"/>
      <c r="K2793" s="211"/>
      <c r="L2793" s="131"/>
      <c r="M2793" s="20"/>
      <c r="N2793" s="20"/>
      <c r="O2793" s="20"/>
      <c r="P2793" s="20"/>
      <c r="Q2793" s="155"/>
      <c r="R2793" s="155"/>
    </row>
    <row r="2794" spans="1:24" ht="15.6">
      <c r="A2794" s="20"/>
      <c r="B2794" s="20"/>
      <c r="C2794" s="20"/>
      <c r="D2794" s="20"/>
      <c r="E2794" s="20"/>
      <c r="F2794" s="20"/>
      <c r="G2794" s="20"/>
      <c r="H2794" s="20"/>
      <c r="I2794" s="115"/>
      <c r="J2794" s="597"/>
      <c r="K2794" s="211"/>
      <c r="L2794" s="131"/>
      <c r="M2794" s="20"/>
      <c r="N2794" s="20"/>
      <c r="O2794" s="20"/>
      <c r="P2794" s="20"/>
      <c r="Q2794" s="155"/>
      <c r="R2794" s="155"/>
    </row>
    <row r="2795" spans="1:24" ht="15.6">
      <c r="A2795" s="21" t="s">
        <v>332</v>
      </c>
      <c r="B2795" s="21" t="s">
        <v>381</v>
      </c>
      <c r="C2795" s="21" t="s">
        <v>19</v>
      </c>
      <c r="D2795" s="21" t="s">
        <v>20</v>
      </c>
      <c r="E2795" s="21" t="s">
        <v>47</v>
      </c>
      <c r="F2795" s="22">
        <v>12</v>
      </c>
      <c r="G2795" s="20" t="s">
        <v>21</v>
      </c>
      <c r="H2795" s="143" t="s">
        <v>99</v>
      </c>
      <c r="I2795" s="115">
        <v>15</v>
      </c>
      <c r="J2795" s="181">
        <v>7</v>
      </c>
      <c r="K2795" s="154">
        <v>64</v>
      </c>
      <c r="L2795" s="100">
        <f t="shared" ref="L2795:L2798" si="472">(I2795*J2795*K2795/1000)</f>
        <v>6.72</v>
      </c>
      <c r="M2795" s="20"/>
      <c r="N2795" s="20"/>
      <c r="O2795" s="20">
        <f>21+24+13</f>
        <v>58</v>
      </c>
      <c r="P2795" s="24">
        <f t="shared" ref="P2795:P2798" si="473">J2795*O2795*I2795/1000</f>
        <v>6.09</v>
      </c>
      <c r="Q2795" s="1062"/>
      <c r="R2795" s="1062"/>
      <c r="U2795" s="497" t="s">
        <v>407</v>
      </c>
    </row>
    <row r="2796" spans="1:24" ht="15.6">
      <c r="A2796" s="20"/>
      <c r="B2796" s="503" t="s">
        <v>340</v>
      </c>
      <c r="C2796" s="20"/>
      <c r="D2796" s="20"/>
      <c r="E2796" s="20"/>
      <c r="F2796" s="20"/>
      <c r="G2796" s="20" t="s">
        <v>21</v>
      </c>
      <c r="H2796" s="20" t="s">
        <v>99</v>
      </c>
      <c r="I2796" s="115">
        <v>15</v>
      </c>
      <c r="J2796" s="181">
        <v>8.6999999999999993</v>
      </c>
      <c r="K2796" s="154">
        <v>32</v>
      </c>
      <c r="L2796" s="100">
        <f t="shared" si="472"/>
        <v>4.1760000000000002</v>
      </c>
      <c r="M2796" s="20"/>
      <c r="N2796" s="20"/>
      <c r="O2796" s="20">
        <f>20+3+9</f>
        <v>32</v>
      </c>
      <c r="P2796" s="24">
        <f t="shared" si="473"/>
        <v>4.1760000000000002</v>
      </c>
      <c r="Q2796" s="1062"/>
      <c r="R2796" s="1062"/>
      <c r="S2796" s="126">
        <v>6.65</v>
      </c>
      <c r="T2796">
        <f>15+19</f>
        <v>34</v>
      </c>
      <c r="U2796" s="497">
        <f>S2796*T2796*I2796/1000</f>
        <v>3.3915000000000006</v>
      </c>
    </row>
    <row r="2797" spans="1:24" ht="15.6">
      <c r="A2797" s="20"/>
      <c r="B2797" s="20"/>
      <c r="C2797" s="20"/>
      <c r="D2797" s="20"/>
      <c r="E2797" s="20"/>
      <c r="F2797" s="20"/>
      <c r="G2797" s="20" t="s">
        <v>21</v>
      </c>
      <c r="H2797" s="20" t="s">
        <v>99</v>
      </c>
      <c r="I2797" s="115">
        <v>15</v>
      </c>
      <c r="J2797" s="181">
        <v>10.199999999999999</v>
      </c>
      <c r="K2797" s="154">
        <v>344</v>
      </c>
      <c r="L2797" s="100">
        <f t="shared" si="472"/>
        <v>52.631999999999998</v>
      </c>
      <c r="M2797" s="20"/>
      <c r="N2797" s="20"/>
      <c r="O2797" s="20">
        <f>20+20+20+20+20+20+20+20+20+20+17</f>
        <v>217</v>
      </c>
      <c r="P2797" s="24">
        <f t="shared" si="473"/>
        <v>33.200999999999993</v>
      </c>
      <c r="Q2797" s="1062"/>
      <c r="R2797" s="1062"/>
      <c r="S2797" s="126">
        <v>6.91</v>
      </c>
      <c r="T2797">
        <f>22+20+20+18+2</f>
        <v>82</v>
      </c>
      <c r="U2797">
        <f>S2797*T2797*I2797/1000</f>
        <v>8.4992999999999999</v>
      </c>
    </row>
    <row r="2798" spans="1:24" ht="15.6">
      <c r="A2798" s="20"/>
      <c r="B2798" s="20"/>
      <c r="C2798" s="20"/>
      <c r="D2798" s="20"/>
      <c r="E2798" s="20"/>
      <c r="F2798" s="20"/>
      <c r="G2798" s="20" t="s">
        <v>21</v>
      </c>
      <c r="H2798" s="20" t="s">
        <v>99</v>
      </c>
      <c r="I2798" s="115">
        <v>15</v>
      </c>
      <c r="J2798" s="181">
        <v>11.4</v>
      </c>
      <c r="K2798" s="154">
        <v>12</v>
      </c>
      <c r="L2798" s="100">
        <f t="shared" si="472"/>
        <v>2.052</v>
      </c>
      <c r="M2798" s="20"/>
      <c r="N2798" s="20"/>
      <c r="O2798" s="20">
        <v>8</v>
      </c>
      <c r="P2798" s="24">
        <f t="shared" si="473"/>
        <v>1.3680000000000001</v>
      </c>
      <c r="Q2798" s="1062"/>
      <c r="R2798" s="1062"/>
    </row>
    <row r="2799" spans="1:24" ht="15.6">
      <c r="A2799" s="20"/>
      <c r="B2799" s="20"/>
      <c r="C2799" s="20"/>
      <c r="D2799" s="20"/>
      <c r="E2799" s="20"/>
      <c r="F2799" s="20"/>
      <c r="G2799" s="20"/>
      <c r="H2799" s="20"/>
      <c r="I2799" s="115"/>
      <c r="J2799" s="181"/>
      <c r="K2799" s="154">
        <f>SUM(K2795:K2798)</f>
        <v>452</v>
      </c>
      <c r="L2799" s="23">
        <f>SUM(L2795:L2798)</f>
        <v>65.58</v>
      </c>
      <c r="M2799" s="20"/>
      <c r="N2799" s="20"/>
      <c r="O2799" s="154">
        <f>SUM(O2795:O2798)</f>
        <v>315</v>
      </c>
      <c r="P2799" s="24">
        <f>SUM(P2795:P2798)</f>
        <v>44.834999999999994</v>
      </c>
      <c r="Q2799" s="1062"/>
      <c r="R2799" s="1062"/>
      <c r="T2799" s="154">
        <f>SUM(T2795:T2798)</f>
        <v>116</v>
      </c>
      <c r="U2799" s="23">
        <f>SUM(U2795:U2798)</f>
        <v>11.8908</v>
      </c>
    </row>
    <row r="2800" spans="1:24" ht="15.6">
      <c r="A2800" s="20"/>
      <c r="B2800" s="20"/>
      <c r="C2800" s="20"/>
      <c r="D2800" s="20"/>
      <c r="E2800" s="20"/>
      <c r="F2800" s="20"/>
      <c r="G2800" s="20"/>
      <c r="H2800" s="20"/>
      <c r="I2800" s="115"/>
      <c r="J2800" s="597"/>
      <c r="K2800" s="211"/>
      <c r="L2800" s="131"/>
      <c r="M2800" s="20"/>
      <c r="N2800" s="20"/>
      <c r="O2800" s="20"/>
      <c r="P2800" s="24"/>
      <c r="Q2800" s="1062"/>
      <c r="R2800" s="1062"/>
    </row>
    <row r="2801" spans="1:21" ht="15.6">
      <c r="A2801" s="20"/>
      <c r="B2801" s="20"/>
      <c r="C2801" s="20"/>
      <c r="D2801" s="20"/>
      <c r="E2801" s="20"/>
      <c r="F2801" s="20"/>
      <c r="G2801" s="20"/>
      <c r="H2801" s="20"/>
      <c r="I2801" s="115"/>
      <c r="J2801" s="597"/>
      <c r="K2801" s="211"/>
      <c r="L2801" s="131"/>
      <c r="M2801" s="20"/>
      <c r="N2801" s="20"/>
      <c r="O2801" s="20"/>
      <c r="P2801" s="24"/>
      <c r="Q2801" s="1062"/>
      <c r="R2801" s="1062"/>
    </row>
    <row r="2802" spans="1:21" ht="15.6">
      <c r="A2802" s="21" t="s">
        <v>332</v>
      </c>
      <c r="B2802" s="21" t="s">
        <v>382</v>
      </c>
      <c r="C2802" s="21" t="s">
        <v>19</v>
      </c>
      <c r="D2802" s="21" t="s">
        <v>49</v>
      </c>
      <c r="E2802" s="21" t="s">
        <v>359</v>
      </c>
      <c r="F2802" s="22">
        <v>13</v>
      </c>
      <c r="G2802" s="20" t="s">
        <v>21</v>
      </c>
      <c r="H2802" s="143" t="s">
        <v>92</v>
      </c>
      <c r="I2802" s="115">
        <v>16.579999999999998</v>
      </c>
      <c r="J2802" s="181">
        <v>11.2</v>
      </c>
      <c r="K2802" s="154">
        <v>6</v>
      </c>
      <c r="L2802" s="100">
        <f t="shared" ref="L2802:L2803" si="474">(I2802*J2802*K2802/1000)</f>
        <v>1.1141759999999998</v>
      </c>
      <c r="M2802" s="20"/>
      <c r="N2802" s="20"/>
      <c r="O2802" s="20">
        <v>5</v>
      </c>
      <c r="P2802" s="23">
        <f>J2802*O2802*I2802/1000</f>
        <v>0.92847999999999986</v>
      </c>
      <c r="Q2802" s="134"/>
      <c r="R2802" s="134"/>
      <c r="U2802" s="497" t="s">
        <v>407</v>
      </c>
    </row>
    <row r="2803" spans="1:21" ht="15.6">
      <c r="A2803" s="20"/>
      <c r="B2803" s="21" t="s">
        <v>331</v>
      </c>
      <c r="C2803" s="20"/>
      <c r="D2803" s="20"/>
      <c r="E2803" s="20"/>
      <c r="F2803" s="20"/>
      <c r="G2803" s="20" t="s">
        <v>21</v>
      </c>
      <c r="H2803" s="20" t="s">
        <v>92</v>
      </c>
      <c r="I2803" s="115">
        <v>16.579999999999998</v>
      </c>
      <c r="J2803" s="181">
        <v>12</v>
      </c>
      <c r="K2803" s="154">
        <v>9</v>
      </c>
      <c r="L2803" s="100">
        <f t="shared" si="474"/>
        <v>1.7906399999999998</v>
      </c>
      <c r="M2803" s="20"/>
      <c r="N2803" s="20"/>
      <c r="O2803" s="20">
        <v>3</v>
      </c>
      <c r="P2803" s="23">
        <f>J2803*O2803*I2803/1000</f>
        <v>0.59687999999999986</v>
      </c>
      <c r="Q2803" s="134"/>
      <c r="R2803" s="134"/>
    </row>
    <row r="2804" spans="1:21" ht="15.6">
      <c r="A2804" s="20"/>
      <c r="B2804" s="20"/>
      <c r="C2804" s="20"/>
      <c r="D2804" s="20"/>
      <c r="E2804" s="20"/>
      <c r="F2804" s="20"/>
      <c r="G2804" s="20"/>
      <c r="H2804" s="20"/>
      <c r="I2804" s="115"/>
      <c r="J2804" s="181"/>
      <c r="K2804" s="154">
        <f t="shared" ref="K2804:L2804" si="475">SUM(K2802:K2803)</f>
        <v>15</v>
      </c>
      <c r="L2804" s="23">
        <f t="shared" si="475"/>
        <v>2.9048159999999994</v>
      </c>
      <c r="M2804" s="20"/>
      <c r="N2804" s="20"/>
      <c r="O2804" s="154">
        <f t="shared" ref="O2804" si="476">SUM(O2802:O2803)</f>
        <v>8</v>
      </c>
      <c r="P2804" s="23">
        <f>SUM(P2802:P2803)</f>
        <v>1.5253599999999996</v>
      </c>
      <c r="Q2804" s="134"/>
      <c r="R2804" s="134"/>
    </row>
    <row r="2805" spans="1:21" s="497" customFormat="1" ht="15.6">
      <c r="A2805" s="20"/>
      <c r="B2805" s="20"/>
      <c r="C2805" s="20"/>
      <c r="D2805" s="20"/>
      <c r="E2805" s="20"/>
      <c r="F2805" s="20"/>
      <c r="G2805" s="20"/>
      <c r="H2805" s="20"/>
      <c r="I2805" s="115"/>
      <c r="J2805" s="181"/>
      <c r="K2805" s="154"/>
      <c r="L2805" s="23"/>
      <c r="M2805" s="20"/>
      <c r="N2805" s="20"/>
      <c r="O2805" s="20"/>
      <c r="P2805" s="23"/>
      <c r="Q2805" s="134"/>
      <c r="R2805" s="134"/>
    </row>
    <row r="2806" spans="1:21" ht="15.6">
      <c r="A2806" s="21" t="s">
        <v>272</v>
      </c>
      <c r="B2806" s="21" t="s">
        <v>385</v>
      </c>
      <c r="C2806" s="21" t="s">
        <v>19</v>
      </c>
      <c r="D2806" s="21" t="s">
        <v>49</v>
      </c>
      <c r="E2806" s="21" t="s">
        <v>359</v>
      </c>
      <c r="F2806" s="22">
        <v>13</v>
      </c>
      <c r="G2806" s="20" t="s">
        <v>21</v>
      </c>
      <c r="H2806" s="143" t="s">
        <v>92</v>
      </c>
      <c r="I2806" s="115">
        <v>16.579999999999998</v>
      </c>
      <c r="J2806" s="181">
        <v>12</v>
      </c>
      <c r="K2806" s="154">
        <v>12</v>
      </c>
      <c r="L2806" s="100">
        <f>(I2806*J2806*K2806/1000)</f>
        <v>2.3875199999999994</v>
      </c>
      <c r="M2806" s="20"/>
      <c r="N2806" s="20"/>
      <c r="O2806" s="20">
        <v>12</v>
      </c>
      <c r="P2806" s="23">
        <f t="shared" ref="P2806" si="477">J2806*O2806*I2806/1000</f>
        <v>2.3875199999999994</v>
      </c>
      <c r="Q2806" s="134"/>
      <c r="R2806" s="134"/>
      <c r="U2806" s="497" t="s">
        <v>407</v>
      </c>
    </row>
    <row r="2807" spans="1:21" ht="15.6">
      <c r="A2807" s="20"/>
      <c r="B2807" s="184" t="s">
        <v>333</v>
      </c>
      <c r="C2807" s="20"/>
      <c r="D2807" s="20"/>
      <c r="E2807" s="20"/>
      <c r="F2807" s="20"/>
      <c r="G2807" s="20"/>
      <c r="H2807" s="20"/>
      <c r="I2807" s="115"/>
      <c r="J2807" s="181"/>
      <c r="K2807" s="154">
        <f t="shared" ref="K2807:L2807" si="478">SUM(K2806)</f>
        <v>12</v>
      </c>
      <c r="L2807" s="23">
        <f t="shared" si="478"/>
        <v>2.3875199999999994</v>
      </c>
      <c r="M2807" s="20"/>
      <c r="N2807" s="20"/>
      <c r="O2807" s="154">
        <f t="shared" ref="O2807:P2807" si="479">SUM(O2806)</f>
        <v>12</v>
      </c>
      <c r="P2807" s="23">
        <f t="shared" si="479"/>
        <v>2.3875199999999994</v>
      </c>
      <c r="Q2807" s="134"/>
      <c r="R2807" s="134"/>
    </row>
    <row r="2808" spans="1:21" ht="15.6">
      <c r="A2808" s="20"/>
      <c r="B2808" s="20"/>
      <c r="C2808" s="20"/>
      <c r="D2808" s="20"/>
      <c r="E2808" s="20"/>
      <c r="F2808" s="20"/>
      <c r="G2808" s="20"/>
      <c r="H2808" s="20"/>
      <c r="I2808" s="115"/>
      <c r="J2808" s="597"/>
      <c r="K2808" s="211"/>
      <c r="L2808" s="131"/>
      <c r="M2808" s="20"/>
      <c r="N2808" s="20"/>
      <c r="O2808" s="20"/>
      <c r="P2808" s="23"/>
      <c r="Q2808" s="134"/>
      <c r="R2808" s="134"/>
    </row>
    <row r="2809" spans="1:21" ht="15.6">
      <c r="A2809" s="21" t="s">
        <v>332</v>
      </c>
      <c r="B2809" s="21" t="s">
        <v>381</v>
      </c>
      <c r="C2809" s="21" t="s">
        <v>19</v>
      </c>
      <c r="D2809" s="21" t="s">
        <v>20</v>
      </c>
      <c r="E2809" s="21" t="s">
        <v>47</v>
      </c>
      <c r="F2809" s="22">
        <v>13</v>
      </c>
      <c r="G2809" s="20" t="s">
        <v>21</v>
      </c>
      <c r="H2809" s="143" t="s">
        <v>92</v>
      </c>
      <c r="I2809" s="115">
        <v>16.600000000000001</v>
      </c>
      <c r="J2809" s="181">
        <v>6.8</v>
      </c>
      <c r="K2809" s="154">
        <v>9</v>
      </c>
      <c r="L2809" s="100">
        <f t="shared" ref="L2809:L2810" si="480">(I2809*J2809*K2809/1000)</f>
        <v>1.0159200000000002</v>
      </c>
      <c r="M2809" s="20"/>
      <c r="N2809" s="20"/>
      <c r="O2809" s="20">
        <v>9</v>
      </c>
      <c r="P2809" s="23">
        <f>J2809*O2809*I2809/1000</f>
        <v>1.0159200000000002</v>
      </c>
      <c r="Q2809" s="134"/>
      <c r="R2809" s="134"/>
      <c r="U2809" s="497" t="s">
        <v>407</v>
      </c>
    </row>
    <row r="2810" spans="1:21" ht="15.6">
      <c r="A2810" s="20"/>
      <c r="B2810" s="503" t="s">
        <v>340</v>
      </c>
      <c r="C2810" s="20"/>
      <c r="D2810" s="20"/>
      <c r="E2810" s="20"/>
      <c r="F2810" s="20"/>
      <c r="G2810" s="20" t="s">
        <v>21</v>
      </c>
      <c r="H2810" s="20" t="s">
        <v>92</v>
      </c>
      <c r="I2810" s="115">
        <v>16.600000000000001</v>
      </c>
      <c r="J2810" s="181">
        <v>11.9</v>
      </c>
      <c r="K2810" s="154">
        <v>26</v>
      </c>
      <c r="L2810" s="100">
        <f t="shared" si="480"/>
        <v>5.1360400000000013</v>
      </c>
      <c r="M2810" s="20"/>
      <c r="N2810" s="20"/>
      <c r="O2810" s="20">
        <v>7</v>
      </c>
      <c r="P2810" s="23">
        <f>J2810*O2810*I2810/1000</f>
        <v>1.3827799999999999</v>
      </c>
      <c r="Q2810" s="134"/>
      <c r="R2810" s="134"/>
    </row>
    <row r="2811" spans="1:21" ht="15.6">
      <c r="A2811" s="20"/>
      <c r="B2811" s="20"/>
      <c r="C2811" s="20"/>
      <c r="D2811" s="20"/>
      <c r="E2811" s="20"/>
      <c r="F2811" s="20"/>
      <c r="G2811" s="20"/>
      <c r="H2811" s="20"/>
      <c r="I2811" s="131"/>
      <c r="J2811" s="181"/>
      <c r="K2811" s="154">
        <f>SUM(K2809:K2810)</f>
        <v>35</v>
      </c>
      <c r="L2811" s="23">
        <f>SUM(L2809:L2810)</f>
        <v>6.1519600000000016</v>
      </c>
      <c r="M2811" s="20"/>
      <c r="N2811" s="20"/>
      <c r="O2811" s="154">
        <f>SUM(O2809:O2810)</f>
        <v>16</v>
      </c>
      <c r="P2811" s="23">
        <f>SUM(P2809:P2810)</f>
        <v>2.3986999999999998</v>
      </c>
      <c r="Q2811" s="134"/>
      <c r="R2811" s="134"/>
    </row>
    <row r="2812" spans="1:21" s="497" customFormat="1" ht="15.6">
      <c r="A2812" s="20"/>
      <c r="B2812" s="20"/>
      <c r="C2812" s="20"/>
      <c r="D2812" s="20"/>
      <c r="E2812" s="20"/>
      <c r="F2812" s="20"/>
      <c r="G2812" s="20"/>
      <c r="H2812" s="20"/>
      <c r="I2812" s="131"/>
      <c r="J2812" s="181"/>
      <c r="K2812" s="154"/>
      <c r="L2812" s="23"/>
      <c r="M2812" s="20"/>
      <c r="N2812" s="20"/>
      <c r="O2812" s="20"/>
      <c r="P2812" s="23"/>
      <c r="Q2812" s="134"/>
      <c r="R2812" s="134"/>
    </row>
    <row r="2813" spans="1:21" ht="15.6">
      <c r="A2813" s="21" t="s">
        <v>383</v>
      </c>
      <c r="B2813" s="21" t="s">
        <v>388</v>
      </c>
      <c r="C2813" s="21" t="s">
        <v>19</v>
      </c>
      <c r="D2813" s="21" t="s">
        <v>20</v>
      </c>
      <c r="E2813" s="21" t="s">
        <v>57</v>
      </c>
      <c r="F2813" s="22">
        <v>13</v>
      </c>
      <c r="G2813" s="20" t="s">
        <v>21</v>
      </c>
      <c r="H2813" s="20" t="s">
        <v>92</v>
      </c>
      <c r="I2813" s="131">
        <v>16.600000000000001</v>
      </c>
      <c r="J2813" s="23">
        <v>11.4</v>
      </c>
      <c r="K2813" s="25">
        <v>7</v>
      </c>
      <c r="L2813" s="100">
        <f>(I2813*J2813*K2813/1000)</f>
        <v>1.3246800000000001</v>
      </c>
      <c r="M2813" s="20"/>
      <c r="N2813" s="20"/>
      <c r="O2813" s="20">
        <f>5+2</f>
        <v>7</v>
      </c>
      <c r="P2813" s="23">
        <f>J2813*O2813*I2813/1000</f>
        <v>1.3246800000000001</v>
      </c>
      <c r="Q2813" s="134"/>
      <c r="R2813" s="134"/>
    </row>
    <row r="2814" spans="1:21" ht="15.6">
      <c r="A2814" s="20"/>
      <c r="B2814" s="631" t="s">
        <v>389</v>
      </c>
      <c r="C2814" s="20"/>
      <c r="D2814" s="20"/>
      <c r="E2814" s="20"/>
      <c r="F2814" s="20"/>
      <c r="G2814" s="20"/>
      <c r="H2814" s="20"/>
      <c r="I2814" s="131"/>
      <c r="J2814" s="20"/>
      <c r="K2814" s="154">
        <f t="shared" ref="K2814" si="481">SUM(K2813)</f>
        <v>7</v>
      </c>
      <c r="L2814" s="124">
        <f>SUM(L2813)</f>
        <v>1.3246800000000001</v>
      </c>
      <c r="M2814" s="20"/>
      <c r="N2814" s="20"/>
      <c r="O2814" s="154">
        <f t="shared" ref="O2814" si="482">SUM(O2813)</f>
        <v>7</v>
      </c>
      <c r="P2814" s="124">
        <f>SUM(P2813)</f>
        <v>1.3246800000000001</v>
      </c>
      <c r="Q2814" s="1061"/>
      <c r="R2814" s="1061"/>
    </row>
    <row r="2815" spans="1:21" ht="15.6">
      <c r="A2815" s="20"/>
      <c r="B2815" s="20"/>
      <c r="C2815" s="20"/>
      <c r="D2815" s="20"/>
      <c r="E2815" s="20"/>
      <c r="F2815" s="20"/>
      <c r="G2815" s="20"/>
      <c r="H2815" s="20"/>
      <c r="I2815" s="131"/>
      <c r="J2815" s="20"/>
      <c r="K2815" s="211"/>
      <c r="L2815" s="124">
        <f>+L2811+L2807+L2804+L2814</f>
        <v>12.768976000000002</v>
      </c>
      <c r="M2815" s="20"/>
      <c r="N2815" s="20"/>
      <c r="O2815" s="20"/>
      <c r="P2815" s="124">
        <f>+P2811+P2807+P2804+P2814</f>
        <v>7.6362599999999992</v>
      </c>
      <c r="Q2815" s="1061"/>
      <c r="R2815" s="1061"/>
    </row>
    <row r="2816" spans="1:21" s="497" customFormat="1" ht="15.6">
      <c r="A2816" s="20"/>
      <c r="B2816" s="20"/>
      <c r="C2816" s="20"/>
      <c r="D2816" s="20"/>
      <c r="E2816" s="20"/>
      <c r="F2816" s="20"/>
      <c r="G2816" s="20"/>
      <c r="H2816" s="20"/>
      <c r="I2816" s="131"/>
      <c r="J2816" s="20"/>
      <c r="K2816" s="211"/>
      <c r="L2816" s="131"/>
      <c r="M2816" s="20"/>
      <c r="N2816" s="20"/>
      <c r="O2816" s="20"/>
      <c r="P2816" s="20"/>
      <c r="Q2816" s="155"/>
      <c r="R2816" s="155"/>
    </row>
    <row r="2817" spans="1:18" s="497" customFormat="1" ht="15.6">
      <c r="A2817" s="20"/>
      <c r="B2817" s="20"/>
      <c r="C2817" s="20"/>
      <c r="D2817" s="20"/>
      <c r="E2817" s="20"/>
      <c r="F2817" s="20"/>
      <c r="G2817" s="20"/>
      <c r="H2817" s="20"/>
      <c r="I2817" s="131"/>
      <c r="J2817" s="20"/>
      <c r="K2817" s="211"/>
      <c r="L2817" s="131"/>
      <c r="M2817" s="20"/>
      <c r="N2817" s="20"/>
      <c r="O2817" s="20"/>
      <c r="P2817" s="20"/>
      <c r="Q2817" s="155"/>
      <c r="R2817" s="155"/>
    </row>
    <row r="2818" spans="1:18" ht="15.6">
      <c r="A2818" s="20"/>
      <c r="B2818" s="20"/>
      <c r="C2818" s="20"/>
      <c r="D2818" s="20"/>
      <c r="E2818" s="20"/>
      <c r="F2818" s="20"/>
      <c r="G2818" s="20"/>
      <c r="H2818" s="20"/>
      <c r="I2818" s="131"/>
      <c r="J2818" s="20"/>
      <c r="K2818" s="211"/>
      <c r="L2818" s="128">
        <f>+L2815+L2799+L2792+L2764+L2755</f>
        <v>213.83183599999998</v>
      </c>
      <c r="M2818" s="20"/>
      <c r="N2818" s="128">
        <f>+N2815+N2799+N2792+N2764+N2755</f>
        <v>1.224</v>
      </c>
      <c r="O2818" s="20"/>
      <c r="P2818" s="20"/>
      <c r="Q2818" s="155"/>
      <c r="R2818" s="155"/>
    </row>
    <row r="2819" spans="1:18" ht="15.6">
      <c r="A2819" s="20"/>
      <c r="B2819" s="20"/>
      <c r="C2819" s="20"/>
      <c r="D2819" s="20"/>
      <c r="E2819" s="20"/>
      <c r="F2819" s="20"/>
      <c r="G2819" s="20"/>
      <c r="H2819" s="20"/>
      <c r="I2819" s="131"/>
      <c r="J2819" s="20"/>
      <c r="K2819" s="211"/>
      <c r="L2819" s="128"/>
      <c r="M2819" s="20"/>
      <c r="N2819" s="124">
        <f>+N2816+N2812+N2808+N2799+N2794+N2770+N2766+N2762+N2747</f>
        <v>0</v>
      </c>
      <c r="O2819" s="20"/>
      <c r="P2819" s="20"/>
      <c r="Q2819" s="155"/>
      <c r="R2819" s="155"/>
    </row>
    <row r="2820" spans="1:18">
      <c r="A2820" s="10" t="s">
        <v>48</v>
      </c>
      <c r="B2820" s="10"/>
      <c r="C2820" s="11"/>
      <c r="D2820" s="11"/>
      <c r="E2820" s="11"/>
      <c r="F2820" s="92"/>
      <c r="G2820" s="11"/>
      <c r="H2820" s="92"/>
      <c r="I2820" s="13"/>
      <c r="J2820" s="11"/>
      <c r="K2820" s="202"/>
      <c r="L2820" s="2047" t="s">
        <v>0</v>
      </c>
      <c r="M2820" s="2047"/>
      <c r="N2820" s="2047"/>
      <c r="O2820" s="2048"/>
      <c r="P2820" s="2020"/>
      <c r="Q2820" s="142"/>
      <c r="R2820" s="142"/>
    </row>
    <row r="2821" spans="1:18">
      <c r="A2821" s="14" t="s">
        <v>1</v>
      </c>
      <c r="B2821" s="14"/>
      <c r="C2821" s="14"/>
      <c r="D2821" s="15" t="s">
        <v>2</v>
      </c>
      <c r="E2821" s="15"/>
      <c r="F2821" s="16"/>
      <c r="G2821" s="16"/>
      <c r="H2821" s="16"/>
      <c r="I2821" s="17"/>
      <c r="J2821" s="16"/>
      <c r="K2821" s="203" t="s">
        <v>3</v>
      </c>
      <c r="L2821" s="16"/>
      <c r="M2821" s="14"/>
      <c r="N2821" s="16"/>
      <c r="O2821" s="19"/>
      <c r="P2821" s="2020"/>
      <c r="Q2821" s="142"/>
      <c r="R2821" s="142"/>
    </row>
    <row r="2822" spans="1:18" ht="15.6">
      <c r="A2822" s="591" t="s">
        <v>22</v>
      </c>
      <c r="B2822" s="2021" t="s">
        <v>23</v>
      </c>
      <c r="C2822" s="2022"/>
      <c r="D2822" s="2023"/>
      <c r="E2822" s="591" t="s">
        <v>24</v>
      </c>
      <c r="F2822" s="2021" t="s">
        <v>25</v>
      </c>
      <c r="G2822" s="2023"/>
      <c r="H2822" s="2021" t="s">
        <v>26</v>
      </c>
      <c r="I2822" s="2022"/>
      <c r="J2822" s="2022"/>
      <c r="K2822" s="2023"/>
      <c r="L2822" s="2024" t="s">
        <v>27</v>
      </c>
      <c r="M2822" s="2024"/>
      <c r="N2822" s="2024"/>
      <c r="O2822" s="2021"/>
      <c r="P2822" s="2020"/>
      <c r="Q2822" s="142"/>
      <c r="R2822" s="142"/>
    </row>
    <row r="2823" spans="1:18" ht="15.6">
      <c r="A2823" s="38"/>
      <c r="B2823" s="2025"/>
      <c r="C2823" s="2026"/>
      <c r="D2823" s="2027"/>
      <c r="E2823" s="26"/>
      <c r="F2823" s="2025"/>
      <c r="G2823" s="2027"/>
      <c r="H2823" s="2025"/>
      <c r="I2823" s="2026"/>
      <c r="J2823" s="2026"/>
      <c r="K2823" s="2027"/>
      <c r="L2823" s="2025"/>
      <c r="M2823" s="2026"/>
      <c r="N2823" s="2026"/>
      <c r="O2823" s="2026"/>
      <c r="P2823" s="2020"/>
      <c r="Q2823" s="142"/>
      <c r="R2823" s="142"/>
    </row>
    <row r="2824" spans="1:18" ht="15.6">
      <c r="A2824" s="38"/>
      <c r="B2824" s="588"/>
      <c r="C2824" s="587"/>
      <c r="D2824" s="589"/>
      <c r="E2824" s="26"/>
      <c r="F2824" s="588"/>
      <c r="G2824" s="589"/>
      <c r="H2824" s="588"/>
      <c r="I2824" s="1856"/>
      <c r="J2824" s="587"/>
      <c r="K2824" s="204"/>
      <c r="L2824" s="588"/>
      <c r="M2824" s="587"/>
      <c r="N2824" s="587"/>
      <c r="O2824" s="587"/>
      <c r="P2824" s="2020"/>
      <c r="Q2824" s="142"/>
      <c r="R2824" s="142"/>
    </row>
    <row r="2825" spans="1:18" ht="15.6">
      <c r="A2825" s="38" t="s">
        <v>28</v>
      </c>
      <c r="B2825" s="2025" t="s">
        <v>101</v>
      </c>
      <c r="C2825" s="2026"/>
      <c r="D2825" s="2027"/>
      <c r="E2825" s="26">
        <f>+L2764</f>
        <v>28.183120000000006</v>
      </c>
      <c r="F2825" s="2025">
        <v>12</v>
      </c>
      <c r="G2825" s="2027"/>
      <c r="H2825" s="2025" t="s">
        <v>49</v>
      </c>
      <c r="I2825" s="2026"/>
      <c r="J2825" s="2026"/>
      <c r="K2825" s="2027"/>
      <c r="L2825" s="2025" t="s">
        <v>283</v>
      </c>
      <c r="M2825" s="2026"/>
      <c r="N2825" s="2026"/>
      <c r="O2825" s="2026"/>
      <c r="P2825" s="2020"/>
      <c r="Q2825" s="142"/>
      <c r="R2825" s="142"/>
    </row>
    <row r="2826" spans="1:18" ht="15.6">
      <c r="A2826" s="38" t="s">
        <v>29</v>
      </c>
      <c r="B2826" s="2025" t="s">
        <v>102</v>
      </c>
      <c r="C2826" s="2026"/>
      <c r="D2826" s="2027"/>
      <c r="E2826" s="26">
        <f>+L2792</f>
        <v>106.07574</v>
      </c>
      <c r="F2826" s="2025">
        <v>12</v>
      </c>
      <c r="G2826" s="2027"/>
      <c r="H2826" s="2025" t="s">
        <v>49</v>
      </c>
      <c r="I2826" s="2026"/>
      <c r="J2826" s="2026"/>
      <c r="K2826" s="2027"/>
      <c r="L2826" s="2025" t="s">
        <v>283</v>
      </c>
      <c r="M2826" s="2026"/>
      <c r="N2826" s="2026"/>
      <c r="O2826" s="2026"/>
      <c r="P2826" s="2020"/>
      <c r="Q2826" s="142"/>
      <c r="R2826" s="142"/>
    </row>
    <row r="2827" spans="1:18" ht="15.6">
      <c r="A2827" s="38" t="s">
        <v>30</v>
      </c>
      <c r="B2827" s="2025" t="s">
        <v>103</v>
      </c>
      <c r="C2827" s="2026"/>
      <c r="D2827" s="2027"/>
      <c r="E2827" s="26">
        <f>+L2799</f>
        <v>65.58</v>
      </c>
      <c r="F2827" s="2025">
        <v>12</v>
      </c>
      <c r="G2827" s="2027"/>
      <c r="H2827" s="2025" t="s">
        <v>49</v>
      </c>
      <c r="I2827" s="2026"/>
      <c r="J2827" s="2026"/>
      <c r="K2827" s="2027"/>
      <c r="L2827" s="2025" t="s">
        <v>283</v>
      </c>
      <c r="M2827" s="2026"/>
      <c r="N2827" s="2026"/>
      <c r="O2827" s="2026"/>
      <c r="P2827" s="2020"/>
      <c r="Q2827" s="142"/>
      <c r="R2827" s="142"/>
    </row>
    <row r="2828" spans="1:18" ht="15.6">
      <c r="A2828" s="38" t="s">
        <v>46</v>
      </c>
      <c r="B2828" s="2025" t="s">
        <v>104</v>
      </c>
      <c r="C2828" s="2026"/>
      <c r="D2828" s="2027"/>
      <c r="E2828" s="26">
        <f>+L2815</f>
        <v>12.768976000000002</v>
      </c>
      <c r="F2828" s="2025">
        <v>13</v>
      </c>
      <c r="G2828" s="2027"/>
      <c r="H2828" s="2025" t="s">
        <v>49</v>
      </c>
      <c r="I2828" s="2026"/>
      <c r="J2828" s="2026"/>
      <c r="K2828" s="2027"/>
      <c r="L2828" s="2025" t="s">
        <v>283</v>
      </c>
      <c r="M2828" s="2026"/>
      <c r="N2828" s="2026"/>
      <c r="O2828" s="2026"/>
      <c r="P2828" s="2020"/>
      <c r="Q2828" s="142"/>
      <c r="R2828" s="142"/>
    </row>
    <row r="2829" spans="1:18" ht="15.6">
      <c r="A2829" s="38"/>
      <c r="B2829" s="2025"/>
      <c r="C2829" s="2026"/>
      <c r="D2829" s="2027"/>
      <c r="E2829" s="26"/>
      <c r="F2829" s="2025"/>
      <c r="G2829" s="2027"/>
      <c r="H2829" s="2025"/>
      <c r="I2829" s="2026"/>
      <c r="J2829" s="2026"/>
      <c r="K2829" s="2027"/>
      <c r="L2829" s="2025"/>
      <c r="M2829" s="2026"/>
      <c r="N2829" s="2026"/>
      <c r="O2829" s="2026"/>
      <c r="P2829" s="2020"/>
      <c r="Q2829" s="142"/>
      <c r="R2829" s="142"/>
    </row>
    <row r="2830" spans="1:18" ht="15.6">
      <c r="A2830" s="592"/>
      <c r="B2830" s="587"/>
      <c r="C2830" s="587"/>
      <c r="D2830" s="587"/>
      <c r="E2830" s="369"/>
      <c r="F2830" s="587"/>
      <c r="G2830" s="587"/>
      <c r="H2830" s="587"/>
      <c r="I2830" s="1856"/>
      <c r="J2830" s="587"/>
      <c r="K2830" s="587"/>
      <c r="L2830" s="587"/>
      <c r="M2830" s="587"/>
      <c r="N2830" s="587"/>
      <c r="O2830" s="587"/>
      <c r="P2830" s="2020"/>
      <c r="Q2830" s="142"/>
      <c r="R2830" s="142"/>
    </row>
    <row r="2831" spans="1:18" ht="16.2" thickBot="1">
      <c r="A2831" s="38"/>
      <c r="B2831" s="588"/>
      <c r="C2831" s="587"/>
      <c r="D2831" s="587"/>
      <c r="E2831" s="26"/>
      <c r="F2831" s="587"/>
      <c r="G2831" s="589"/>
      <c r="H2831" s="588"/>
      <c r="I2831" s="1856"/>
      <c r="J2831" s="587"/>
      <c r="K2831" s="204"/>
      <c r="L2831" s="39"/>
      <c r="M2831" s="40"/>
      <c r="N2831" s="40"/>
      <c r="O2831" s="40"/>
      <c r="P2831" s="2020"/>
      <c r="Q2831" s="142"/>
      <c r="R2831" s="142"/>
    </row>
    <row r="2832" spans="1:18" ht="15.6">
      <c r="A2832" s="41"/>
      <c r="B2832" s="42"/>
      <c r="C2832" s="43"/>
      <c r="D2832" s="43"/>
      <c r="E2832" s="2028">
        <f>SUM(E2823:E2831)</f>
        <v>212.60783600000002</v>
      </c>
      <c r="F2832" s="44"/>
      <c r="G2832" s="45"/>
      <c r="H2832" s="46"/>
      <c r="I2832" s="1858"/>
      <c r="J2832" s="43"/>
      <c r="K2832" s="205"/>
      <c r="L2832" s="46"/>
      <c r="M2832" s="43"/>
      <c r="N2832" s="44"/>
      <c r="O2832" s="43"/>
      <c r="P2832" s="2020"/>
      <c r="Q2832" s="142"/>
      <c r="R2832" s="142"/>
    </row>
    <row r="2833" spans="1:18" ht="16.2" thickBot="1">
      <c r="A2833" s="47"/>
      <c r="B2833" s="48"/>
      <c r="C2833" s="49"/>
      <c r="D2833" s="49"/>
      <c r="E2833" s="2029"/>
      <c r="F2833" s="50"/>
      <c r="G2833" s="51"/>
      <c r="H2833" s="52"/>
      <c r="I2833" s="1860"/>
      <c r="J2833" s="49"/>
      <c r="K2833" s="206"/>
      <c r="L2833" s="52"/>
      <c r="M2833" s="49"/>
      <c r="N2833" s="50"/>
      <c r="O2833" s="49"/>
      <c r="P2833" s="2020"/>
      <c r="Q2833" s="142"/>
      <c r="R2833" s="142"/>
    </row>
    <row r="2834" spans="1:18" ht="15.6">
      <c r="A2834" s="53" t="s">
        <v>31</v>
      </c>
      <c r="B2834" s="43"/>
      <c r="C2834" s="43"/>
      <c r="D2834" s="43"/>
      <c r="E2834" s="43"/>
      <c r="F2834" s="44"/>
      <c r="G2834" s="43"/>
      <c r="H2834" s="44"/>
      <c r="I2834" s="1858"/>
      <c r="J2834" s="43"/>
      <c r="K2834" s="207"/>
      <c r="L2834" s="44"/>
      <c r="M2834" s="43"/>
      <c r="N2834" s="44"/>
      <c r="O2834" s="43"/>
      <c r="P2834" s="2020"/>
      <c r="Q2834" s="142"/>
      <c r="R2834" s="142"/>
    </row>
    <row r="2835" spans="1:18" ht="15.6">
      <c r="A2835" s="54"/>
      <c r="B2835" s="55"/>
      <c r="C2835" s="55"/>
      <c r="D2835" s="55"/>
      <c r="E2835" s="55"/>
      <c r="F2835" s="586"/>
      <c r="G2835" s="55"/>
      <c r="H2835" s="586"/>
      <c r="I2835" s="1859"/>
      <c r="J2835" s="55"/>
      <c r="K2835" s="208"/>
      <c r="L2835" s="586"/>
      <c r="M2835" s="55"/>
      <c r="N2835" s="586"/>
      <c r="O2835" s="55"/>
      <c r="P2835" s="2020"/>
      <c r="Q2835" s="142"/>
      <c r="R2835" s="142"/>
    </row>
    <row r="2836" spans="1:18" ht="16.2" thickBot="1">
      <c r="A2836" s="2030" t="s">
        <v>32</v>
      </c>
      <c r="B2836" s="2031"/>
      <c r="C2836" s="2032" t="s">
        <v>33</v>
      </c>
      <c r="D2836" s="2033"/>
      <c r="E2836" s="57" t="s">
        <v>34</v>
      </c>
      <c r="F2836" s="57" t="s">
        <v>35</v>
      </c>
      <c r="G2836" s="2034" t="s">
        <v>36</v>
      </c>
      <c r="H2836" s="2035"/>
      <c r="I2836" s="2035"/>
      <c r="J2836" s="2035"/>
      <c r="K2836" s="2035"/>
      <c r="L2836" s="2035"/>
      <c r="M2836" s="2035"/>
      <c r="N2836" s="2035"/>
      <c r="O2836" s="2035"/>
      <c r="P2836" s="2020"/>
      <c r="Q2836" s="142"/>
      <c r="R2836" s="142"/>
    </row>
    <row r="2837" spans="1:18" ht="15.6">
      <c r="A2837" s="2036"/>
      <c r="B2837" s="2023"/>
      <c r="C2837" s="2021"/>
      <c r="D2837" s="2023"/>
      <c r="E2837" s="591"/>
      <c r="F2837" s="590"/>
      <c r="G2837" s="2037"/>
      <c r="H2837" s="2038"/>
      <c r="I2837" s="2038"/>
      <c r="J2837" s="2038"/>
      <c r="K2837" s="2038"/>
      <c r="L2837" s="2038"/>
      <c r="M2837" s="2038"/>
      <c r="N2837" s="2038"/>
      <c r="O2837" s="2038"/>
      <c r="P2837" s="2020"/>
      <c r="Q2837" s="142"/>
      <c r="R2837" s="142"/>
    </row>
    <row r="2838" spans="1:18" ht="15.6">
      <c r="A2838" s="2043" t="s">
        <v>37</v>
      </c>
      <c r="B2838" s="2044"/>
      <c r="C2838" s="2021"/>
      <c r="D2838" s="2023"/>
      <c r="E2838" s="591"/>
      <c r="F2838" s="590"/>
      <c r="G2838" s="2039"/>
      <c r="H2838" s="2040"/>
      <c r="I2838" s="2040"/>
      <c r="J2838" s="2040"/>
      <c r="K2838" s="2040"/>
      <c r="L2838" s="2040"/>
      <c r="M2838" s="2040"/>
      <c r="N2838" s="2040"/>
      <c r="O2838" s="2040"/>
      <c r="P2838" s="2020"/>
      <c r="Q2838" s="142"/>
      <c r="R2838" s="142"/>
    </row>
    <row r="2839" spans="1:18" ht="15.6">
      <c r="A2839" s="2043" t="s">
        <v>38</v>
      </c>
      <c r="B2839" s="2044"/>
      <c r="C2839" s="2021"/>
      <c r="D2839" s="2023"/>
      <c r="E2839" s="591"/>
      <c r="F2839" s="590"/>
      <c r="G2839" s="2039"/>
      <c r="H2839" s="2040"/>
      <c r="I2839" s="2040"/>
      <c r="J2839" s="2040"/>
      <c r="K2839" s="2040"/>
      <c r="L2839" s="2040"/>
      <c r="M2839" s="2040"/>
      <c r="N2839" s="2040"/>
      <c r="O2839" s="2040"/>
      <c r="P2839" s="2020"/>
      <c r="Q2839" s="142"/>
      <c r="R2839" s="142"/>
    </row>
    <row r="2840" spans="1:18" ht="15.6">
      <c r="A2840" s="2043" t="s">
        <v>39</v>
      </c>
      <c r="B2840" s="2044"/>
      <c r="C2840" s="2021"/>
      <c r="D2840" s="2023"/>
      <c r="E2840" s="591"/>
      <c r="F2840" s="590"/>
      <c r="G2840" s="2039"/>
      <c r="H2840" s="2040"/>
      <c r="I2840" s="2040"/>
      <c r="J2840" s="2040"/>
      <c r="K2840" s="2040"/>
      <c r="L2840" s="2040"/>
      <c r="M2840" s="2040"/>
      <c r="N2840" s="2040"/>
      <c r="O2840" s="2040"/>
      <c r="P2840" s="2020"/>
      <c r="Q2840" s="142"/>
      <c r="R2840" s="142"/>
    </row>
    <row r="2841" spans="1:18" ht="15.6">
      <c r="A2841" s="2043" t="s">
        <v>40</v>
      </c>
      <c r="B2841" s="2044"/>
      <c r="C2841" s="2021"/>
      <c r="D2841" s="2023"/>
      <c r="E2841" s="591"/>
      <c r="F2841" s="590"/>
      <c r="G2841" s="2039"/>
      <c r="H2841" s="2040"/>
      <c r="I2841" s="2040"/>
      <c r="J2841" s="2040"/>
      <c r="K2841" s="2040"/>
      <c r="L2841" s="2040"/>
      <c r="M2841" s="2040"/>
      <c r="N2841" s="2040"/>
      <c r="O2841" s="2040"/>
      <c r="P2841" s="2020"/>
      <c r="Q2841" s="142"/>
      <c r="R2841" s="142"/>
    </row>
    <row r="2842" spans="1:18" ht="16.2" thickBot="1">
      <c r="A2842" s="2049" t="s">
        <v>41</v>
      </c>
      <c r="B2842" s="2050"/>
      <c r="C2842" s="2051"/>
      <c r="D2842" s="2052"/>
      <c r="E2842" s="58"/>
      <c r="F2842" s="585"/>
      <c r="G2842" s="2041"/>
      <c r="H2842" s="2042"/>
      <c r="I2842" s="2042"/>
      <c r="J2842" s="2042"/>
      <c r="K2842" s="2042"/>
      <c r="L2842" s="2042"/>
      <c r="M2842" s="2042"/>
      <c r="N2842" s="2042"/>
      <c r="O2842" s="2042"/>
      <c r="P2842" s="2020"/>
      <c r="Q2842" s="142"/>
      <c r="R2842" s="142"/>
    </row>
    <row r="2843" spans="1:18" ht="15.6">
      <c r="A2843" s="54"/>
      <c r="B2843" s="55"/>
      <c r="C2843" s="55"/>
      <c r="D2843" s="55"/>
      <c r="E2843" s="55"/>
      <c r="F2843" s="586"/>
      <c r="G2843" s="55"/>
      <c r="H2843" s="59"/>
      <c r="I2843" s="60"/>
      <c r="J2843" s="61"/>
      <c r="K2843" s="209"/>
      <c r="L2843" s="301"/>
      <c r="M2843" s="55"/>
      <c r="N2843" s="586"/>
      <c r="O2843" s="55"/>
      <c r="P2843" s="2020"/>
      <c r="Q2843" s="142"/>
      <c r="R2843" s="142"/>
    </row>
    <row r="2844" spans="1:18" ht="15.6">
      <c r="A2844" s="62" t="s">
        <v>42</v>
      </c>
      <c r="B2844" s="56"/>
      <c r="C2844" s="55"/>
      <c r="D2844" s="55"/>
      <c r="E2844" s="55"/>
      <c r="F2844" s="586"/>
      <c r="G2844" s="56"/>
      <c r="H2844" s="59"/>
      <c r="I2844" s="60"/>
      <c r="J2844" s="61"/>
      <c r="K2844" s="208"/>
      <c r="L2844" s="302"/>
      <c r="M2844" s="55"/>
      <c r="N2844" s="2045" t="s">
        <v>43</v>
      </c>
      <c r="O2844" s="2045"/>
      <c r="P2844" s="2020"/>
      <c r="Q2844" s="142"/>
      <c r="R2844" s="142"/>
    </row>
    <row r="2845" spans="1:18" ht="15.6">
      <c r="A2845" s="62"/>
      <c r="B2845" s="56"/>
      <c r="C2845" s="55"/>
      <c r="D2845" s="55"/>
      <c r="E2845" s="55"/>
      <c r="F2845" s="586"/>
      <c r="G2845" s="55"/>
      <c r="H2845" s="586"/>
      <c r="I2845" s="1859"/>
      <c r="J2845" s="55"/>
      <c r="K2845" s="208"/>
      <c r="L2845" s="586"/>
      <c r="M2845" s="55"/>
      <c r="N2845" s="586"/>
      <c r="O2845" s="56"/>
      <c r="P2845" s="2020"/>
      <c r="Q2845" s="142"/>
      <c r="R2845" s="142"/>
    </row>
    <row r="2846" spans="1:18" ht="15.6">
      <c r="A2846" s="62" t="s">
        <v>44</v>
      </c>
      <c r="B2846" s="56"/>
      <c r="C2846" s="55"/>
      <c r="D2846" s="55"/>
      <c r="E2846" s="55"/>
      <c r="F2846" s="586"/>
      <c r="G2846" s="55"/>
      <c r="H2846" s="586"/>
      <c r="I2846" s="1859"/>
      <c r="J2846" s="55"/>
      <c r="K2846" s="208"/>
      <c r="L2846" s="586"/>
      <c r="M2846" s="55"/>
      <c r="N2846" s="2045" t="s">
        <v>45</v>
      </c>
      <c r="O2846" s="2045"/>
      <c r="P2846" s="2020"/>
      <c r="Q2846" s="142"/>
      <c r="R2846" s="142"/>
    </row>
    <row r="2847" spans="1:18" ht="16.2" thickBot="1">
      <c r="A2847" s="48"/>
      <c r="B2847" s="49"/>
      <c r="C2847" s="49"/>
      <c r="D2847" s="49"/>
      <c r="E2847" s="49"/>
      <c r="F2847" s="50"/>
      <c r="G2847" s="49"/>
      <c r="H2847" s="50"/>
      <c r="I2847" s="1860"/>
      <c r="J2847" s="49"/>
      <c r="K2847" s="210"/>
      <c r="L2847" s="50"/>
      <c r="M2847" s="49"/>
      <c r="N2847" s="50"/>
      <c r="O2847" s="49"/>
      <c r="P2847" s="2020"/>
      <c r="Q2847" s="142"/>
      <c r="R2847" s="142"/>
    </row>
    <row r="2851" spans="1:21" ht="15.6">
      <c r="A2851" s="468" t="s">
        <v>48</v>
      </c>
      <c r="B2851" s="468"/>
      <c r="C2851" s="469"/>
      <c r="D2851" s="469"/>
      <c r="E2851" s="469"/>
      <c r="F2851" s="470"/>
      <c r="G2851" s="469"/>
      <c r="H2851" s="469"/>
      <c r="I2851" s="471"/>
      <c r="J2851" s="472"/>
      <c r="K2851" s="473"/>
      <c r="L2851" s="2046" t="s">
        <v>0</v>
      </c>
      <c r="M2851" s="2046"/>
      <c r="N2851" s="2046"/>
      <c r="O2851" s="2046"/>
      <c r="P2851" s="474"/>
      <c r="Q2851" s="474"/>
      <c r="R2851" s="474"/>
    </row>
    <row r="2852" spans="1:21" ht="15.6">
      <c r="A2852" s="27" t="s">
        <v>1</v>
      </c>
      <c r="B2852" s="27"/>
      <c r="C2852" s="27"/>
      <c r="D2852" s="28" t="s">
        <v>2</v>
      </c>
      <c r="E2852" s="28"/>
      <c r="F2852" s="29"/>
      <c r="G2852" s="29"/>
      <c r="H2852" s="29"/>
      <c r="I2852" s="30"/>
      <c r="J2852" s="608"/>
      <c r="K2852" s="197" t="s">
        <v>3</v>
      </c>
      <c r="L2852" s="608"/>
      <c r="M2852" s="27"/>
      <c r="N2852" s="29"/>
      <c r="O2852" s="27"/>
      <c r="P2852" s="475"/>
      <c r="Q2852" s="155"/>
      <c r="R2852" s="155"/>
    </row>
    <row r="2853" spans="1:21" ht="31.2">
      <c r="A2853" s="32" t="s">
        <v>4</v>
      </c>
      <c r="B2853" s="32" t="s">
        <v>5</v>
      </c>
      <c r="C2853" s="32" t="s">
        <v>6</v>
      </c>
      <c r="D2853" s="32" t="s">
        <v>7</v>
      </c>
      <c r="E2853" s="32" t="s">
        <v>8</v>
      </c>
      <c r="F2853" s="33" t="s">
        <v>9</v>
      </c>
      <c r="G2853" s="34" t="s">
        <v>10</v>
      </c>
      <c r="H2853" s="34" t="s">
        <v>11</v>
      </c>
      <c r="I2853" s="35" t="s">
        <v>12</v>
      </c>
      <c r="J2853" s="36" t="s">
        <v>13</v>
      </c>
      <c r="K2853" s="198" t="s">
        <v>14</v>
      </c>
      <c r="L2853" s="297" t="s">
        <v>15</v>
      </c>
      <c r="M2853" s="33" t="s">
        <v>16</v>
      </c>
      <c r="N2853" s="33" t="s">
        <v>17</v>
      </c>
      <c r="O2853" s="34" t="s">
        <v>18</v>
      </c>
      <c r="P2853" s="33" t="s">
        <v>192</v>
      </c>
      <c r="Q2853" s="1057"/>
      <c r="R2853" s="1057"/>
    </row>
    <row r="2854" spans="1:21" s="497" customFormat="1" ht="15.6">
      <c r="A2854" s="20"/>
      <c r="B2854" s="20"/>
      <c r="C2854" s="20"/>
      <c r="D2854" s="20"/>
      <c r="E2854" s="20"/>
      <c r="F2854" s="20"/>
      <c r="G2854" s="20"/>
      <c r="H2854" s="20"/>
      <c r="I2854" s="115"/>
      <c r="J2854" s="23"/>
      <c r="K2854" s="25"/>
      <c r="L2854" s="23"/>
      <c r="M2854" s="20"/>
      <c r="N2854" s="20"/>
      <c r="O2854" s="20"/>
      <c r="P2854" s="20"/>
      <c r="Q2854" s="155"/>
      <c r="R2854" s="155"/>
    </row>
    <row r="2855" spans="1:21" ht="15.6">
      <c r="A2855" s="21" t="s">
        <v>174</v>
      </c>
      <c r="B2855" s="21" t="s">
        <v>394</v>
      </c>
      <c r="C2855" s="21" t="s">
        <v>19</v>
      </c>
      <c r="D2855" s="21" t="s">
        <v>20</v>
      </c>
      <c r="E2855" s="21" t="s">
        <v>47</v>
      </c>
      <c r="F2855" s="22">
        <v>12</v>
      </c>
      <c r="G2855" s="296" t="s">
        <v>21</v>
      </c>
      <c r="H2855" s="143" t="s">
        <v>134</v>
      </c>
      <c r="I2855" s="452">
        <v>12.2</v>
      </c>
      <c r="J2855" s="444">
        <v>6.7</v>
      </c>
      <c r="K2855" s="445">
        <v>18</v>
      </c>
      <c r="L2855" s="100">
        <f t="shared" ref="L2855:L2859" si="483">(I2855*J2855*K2855/1000)</f>
        <v>1.47132</v>
      </c>
      <c r="M2855" s="20"/>
      <c r="N2855" s="23">
        <f t="shared" ref="N2855:N2859" si="484">J2855*M2855*I2855/1000</f>
        <v>0</v>
      </c>
      <c r="O2855" s="20"/>
      <c r="P2855" s="20"/>
      <c r="Q2855" s="155"/>
      <c r="R2855" s="155"/>
      <c r="S2855">
        <v>17</v>
      </c>
      <c r="T2855" s="126">
        <f>J2855*S2855*I2855/1000</f>
        <v>1.38958</v>
      </c>
      <c r="U2855" s="497" t="s">
        <v>414</v>
      </c>
    </row>
    <row r="2856" spans="1:21" ht="15.6">
      <c r="A2856" s="20"/>
      <c r="B2856" s="503"/>
      <c r="C2856" s="20"/>
      <c r="D2856" s="20"/>
      <c r="E2856" s="20"/>
      <c r="F2856" s="20"/>
      <c r="G2856" s="296" t="s">
        <v>21</v>
      </c>
      <c r="H2856" s="296" t="s">
        <v>134</v>
      </c>
      <c r="I2856" s="452">
        <v>12.2</v>
      </c>
      <c r="J2856" s="23">
        <v>7.5</v>
      </c>
      <c r="K2856" s="445">
        <v>20</v>
      </c>
      <c r="L2856" s="100">
        <f t="shared" si="483"/>
        <v>1.83</v>
      </c>
      <c r="M2856" s="20"/>
      <c r="N2856" s="23">
        <f t="shared" si="484"/>
        <v>0</v>
      </c>
      <c r="O2856" s="444">
        <v>7.3170000000000002</v>
      </c>
      <c r="P2856" s="20">
        <v>13</v>
      </c>
      <c r="Q2856" s="20"/>
      <c r="R2856" s="20"/>
      <c r="S2856" s="20">
        <v>1</v>
      </c>
      <c r="T2856" s="126">
        <f t="shared" ref="T2856:T2859" si="485">J2856*S2856*I2856/1000</f>
        <v>9.1499999999999998E-2</v>
      </c>
    </row>
    <row r="2857" spans="1:21" ht="15.6">
      <c r="A2857" s="20"/>
      <c r="B2857" s="20"/>
      <c r="C2857" s="20"/>
      <c r="D2857" s="20"/>
      <c r="E2857" s="20"/>
      <c r="F2857" s="20"/>
      <c r="G2857" s="296" t="s">
        <v>21</v>
      </c>
      <c r="H2857" s="296" t="s">
        <v>134</v>
      </c>
      <c r="I2857" s="452">
        <v>12.2</v>
      </c>
      <c r="J2857" s="444">
        <v>8.1</v>
      </c>
      <c r="K2857" s="445">
        <v>36</v>
      </c>
      <c r="L2857" s="100">
        <f t="shared" si="483"/>
        <v>3.5575199999999993</v>
      </c>
      <c r="M2857" s="20"/>
      <c r="N2857" s="23">
        <f t="shared" si="484"/>
        <v>0</v>
      </c>
      <c r="O2857" s="20"/>
      <c r="P2857" s="20"/>
      <c r="Q2857" s="20"/>
      <c r="R2857" s="20"/>
      <c r="S2857" s="20">
        <f>2+1</f>
        <v>3</v>
      </c>
      <c r="T2857" s="126">
        <f t="shared" si="485"/>
        <v>0.29645999999999995</v>
      </c>
    </row>
    <row r="2858" spans="1:21" ht="15.6">
      <c r="A2858" s="20"/>
      <c r="B2858" s="20"/>
      <c r="C2858" s="20"/>
      <c r="D2858" s="20"/>
      <c r="E2858" s="20"/>
      <c r="F2858" s="20"/>
      <c r="G2858" s="296" t="s">
        <v>21</v>
      </c>
      <c r="H2858" s="296" t="s">
        <v>134</v>
      </c>
      <c r="I2858" s="452">
        <v>12.2</v>
      </c>
      <c r="J2858" s="444">
        <v>10</v>
      </c>
      <c r="K2858" s="445">
        <v>27</v>
      </c>
      <c r="L2858" s="100">
        <f t="shared" si="483"/>
        <v>3.294</v>
      </c>
      <c r="M2858" s="20"/>
      <c r="N2858" s="23">
        <f t="shared" si="484"/>
        <v>0</v>
      </c>
      <c r="O2858" s="20"/>
      <c r="P2858" s="20"/>
      <c r="Q2858" s="20"/>
      <c r="R2858" s="20"/>
      <c r="S2858" s="20">
        <f>4+1</f>
        <v>5</v>
      </c>
      <c r="T2858" s="126">
        <f t="shared" si="485"/>
        <v>0.61</v>
      </c>
    </row>
    <row r="2859" spans="1:21" ht="15.6">
      <c r="A2859" s="20"/>
      <c r="B2859" s="20"/>
      <c r="C2859" s="20"/>
      <c r="D2859" s="20"/>
      <c r="E2859" s="20"/>
      <c r="F2859" s="20"/>
      <c r="G2859" s="296" t="s">
        <v>21</v>
      </c>
      <c r="H2859" s="296" t="s">
        <v>134</v>
      </c>
      <c r="I2859" s="452">
        <v>12.2</v>
      </c>
      <c r="J2859" s="444">
        <v>11.9</v>
      </c>
      <c r="K2859" s="445">
        <v>54</v>
      </c>
      <c r="L2859" s="100">
        <f t="shared" si="483"/>
        <v>7.8397200000000007</v>
      </c>
      <c r="M2859" s="20"/>
      <c r="N2859" s="23">
        <f t="shared" si="484"/>
        <v>0</v>
      </c>
      <c r="O2859" s="20"/>
      <c r="P2859" s="20"/>
      <c r="Q2859" s="20"/>
      <c r="R2859" s="20"/>
      <c r="S2859" s="20">
        <f>20+20+13</f>
        <v>53</v>
      </c>
      <c r="T2859" s="126">
        <f t="shared" si="485"/>
        <v>7.6945399999999999</v>
      </c>
    </row>
    <row r="2860" spans="1:21" ht="15.6">
      <c r="A2860" s="20"/>
      <c r="B2860" s="20"/>
      <c r="C2860" s="20"/>
      <c r="D2860" s="20"/>
      <c r="E2860" s="20"/>
      <c r="F2860" s="20"/>
      <c r="G2860" s="296"/>
      <c r="H2860" s="296"/>
      <c r="I2860" s="452"/>
      <c r="J2860" s="611"/>
      <c r="K2860" s="445">
        <f t="shared" ref="K2860:N2860" si="486">SUM(K2855:K2859)</f>
        <v>155</v>
      </c>
      <c r="L2860" s="444">
        <f t="shared" si="486"/>
        <v>17.992560000000001</v>
      </c>
      <c r="M2860" s="445">
        <f t="shared" si="486"/>
        <v>0</v>
      </c>
      <c r="N2860" s="444">
        <f t="shared" si="486"/>
        <v>0</v>
      </c>
      <c r="O2860" s="20"/>
      <c r="P2860" s="445">
        <f t="shared" ref="P2860:T2860" si="487">SUM(P2855:P2859)</f>
        <v>13</v>
      </c>
      <c r="Q2860" s="445"/>
      <c r="R2860" s="445"/>
      <c r="S2860" s="445">
        <f t="shared" si="487"/>
        <v>79</v>
      </c>
      <c r="T2860" s="444">
        <f t="shared" si="487"/>
        <v>10.082079999999999</v>
      </c>
    </row>
    <row r="2861" spans="1:21" ht="15.6">
      <c r="A2861" s="20"/>
      <c r="B2861" s="20"/>
      <c r="C2861" s="20"/>
      <c r="D2861" s="20"/>
      <c r="E2861" s="20"/>
      <c r="F2861" s="20"/>
      <c r="G2861" s="20"/>
      <c r="H2861" s="20"/>
      <c r="I2861" s="115"/>
      <c r="J2861" s="23"/>
      <c r="K2861" s="211"/>
      <c r="L2861" s="131"/>
      <c r="M2861" s="20"/>
      <c r="N2861" s="20"/>
      <c r="O2861" s="20"/>
      <c r="P2861" s="20"/>
      <c r="Q2861" s="20"/>
      <c r="R2861" s="20"/>
      <c r="S2861" s="20"/>
    </row>
    <row r="2862" spans="1:21" ht="15.6">
      <c r="A2862" s="21" t="s">
        <v>332</v>
      </c>
      <c r="B2862" s="21" t="s">
        <v>381</v>
      </c>
      <c r="C2862" s="21" t="s">
        <v>19</v>
      </c>
      <c r="D2862" s="21" t="s">
        <v>20</v>
      </c>
      <c r="E2862" s="21" t="s">
        <v>47</v>
      </c>
      <c r="F2862" s="22">
        <v>12</v>
      </c>
      <c r="G2862" s="20" t="s">
        <v>21</v>
      </c>
      <c r="H2862" s="143" t="s">
        <v>134</v>
      </c>
      <c r="I2862" s="115">
        <v>12.2</v>
      </c>
      <c r="J2862" s="23">
        <v>6.5</v>
      </c>
      <c r="K2862" s="25">
        <v>22</v>
      </c>
      <c r="L2862" s="100">
        <f t="shared" ref="L2862:L2869" si="488">(I2862*J2862*K2862/1000)</f>
        <v>1.7445999999999999</v>
      </c>
      <c r="M2862" s="20">
        <v>1</v>
      </c>
      <c r="N2862" s="23">
        <f t="shared" ref="N2862:N2869" si="489">J2862*M2862*I2862/1000</f>
        <v>7.9299999999999995E-2</v>
      </c>
      <c r="O2862" s="20"/>
      <c r="P2862" s="20">
        <f>1+2+1-1</f>
        <v>3</v>
      </c>
      <c r="Q2862" s="20"/>
      <c r="R2862" s="20"/>
      <c r="S2862" s="20">
        <v>1</v>
      </c>
      <c r="T2862" s="126">
        <f t="shared" ref="T2862:T2869" si="490">J2862*S2862*I2862/1000</f>
        <v>7.9299999999999995E-2</v>
      </c>
      <c r="U2862" s="497" t="s">
        <v>415</v>
      </c>
    </row>
    <row r="2863" spans="1:21" ht="15.6">
      <c r="A2863" s="20"/>
      <c r="B2863" s="503" t="s">
        <v>340</v>
      </c>
      <c r="C2863" s="20"/>
      <c r="D2863" s="20"/>
      <c r="E2863" s="20"/>
      <c r="F2863" s="20"/>
      <c r="G2863" s="20" t="s">
        <v>21</v>
      </c>
      <c r="H2863" s="20" t="s">
        <v>134</v>
      </c>
      <c r="I2863" s="115">
        <v>12.2</v>
      </c>
      <c r="J2863" s="23">
        <v>7.5</v>
      </c>
      <c r="K2863" s="25">
        <v>128</v>
      </c>
      <c r="L2863" s="100">
        <f t="shared" si="488"/>
        <v>11.712</v>
      </c>
      <c r="M2863" s="20">
        <v>2</v>
      </c>
      <c r="N2863" s="23">
        <f t="shared" si="489"/>
        <v>0.183</v>
      </c>
      <c r="O2863" s="20"/>
      <c r="P2863" s="20">
        <f>3+1+7-2-3</f>
        <v>6</v>
      </c>
      <c r="Q2863" s="20"/>
      <c r="R2863" s="20"/>
      <c r="S2863" s="20">
        <f>4+25+20</f>
        <v>49</v>
      </c>
      <c r="T2863" s="126">
        <f t="shared" si="490"/>
        <v>4.4835000000000003</v>
      </c>
    </row>
    <row r="2864" spans="1:21" ht="15.6">
      <c r="A2864" s="20"/>
      <c r="B2864" s="20"/>
      <c r="C2864" s="20"/>
      <c r="D2864" s="20"/>
      <c r="E2864" s="20"/>
      <c r="F2864" s="20"/>
      <c r="G2864" s="20" t="s">
        <v>21</v>
      </c>
      <c r="H2864" s="20" t="s">
        <v>134</v>
      </c>
      <c r="I2864" s="115">
        <v>12.2</v>
      </c>
      <c r="J2864" s="23">
        <v>8.8000000000000007</v>
      </c>
      <c r="K2864" s="25">
        <v>64</v>
      </c>
      <c r="L2864" s="100">
        <f t="shared" si="488"/>
        <v>6.8710399999999998</v>
      </c>
      <c r="M2864" s="20">
        <v>2</v>
      </c>
      <c r="N2864" s="23">
        <f t="shared" si="489"/>
        <v>0.21471999999999999</v>
      </c>
      <c r="O2864" s="20"/>
      <c r="P2864" s="20"/>
      <c r="Q2864" s="20"/>
      <c r="R2864" s="20"/>
      <c r="S2864" s="20"/>
      <c r="T2864" s="126">
        <f t="shared" si="490"/>
        <v>0</v>
      </c>
    </row>
    <row r="2865" spans="1:21" ht="15.6">
      <c r="A2865" s="20"/>
      <c r="B2865" s="20"/>
      <c r="C2865" s="20"/>
      <c r="D2865" s="20"/>
      <c r="E2865" s="20"/>
      <c r="F2865" s="20"/>
      <c r="G2865" s="20" t="s">
        <v>21</v>
      </c>
      <c r="H2865" s="20" t="s">
        <v>134</v>
      </c>
      <c r="I2865" s="115">
        <v>12.2</v>
      </c>
      <c r="J2865" s="23">
        <v>9.1</v>
      </c>
      <c r="K2865" s="25">
        <v>12</v>
      </c>
      <c r="L2865" s="100">
        <f t="shared" si="488"/>
        <v>1.3322400000000001</v>
      </c>
      <c r="M2865" s="20">
        <v>5</v>
      </c>
      <c r="N2865" s="23">
        <f t="shared" si="489"/>
        <v>0.55510000000000004</v>
      </c>
      <c r="O2865" s="20"/>
      <c r="P2865" s="20"/>
      <c r="Q2865" s="20"/>
      <c r="R2865" s="20"/>
      <c r="S2865" s="20"/>
      <c r="T2865" s="126">
        <f t="shared" si="490"/>
        <v>0</v>
      </c>
    </row>
    <row r="2866" spans="1:21" ht="15.6">
      <c r="A2866" s="20"/>
      <c r="B2866" s="20"/>
      <c r="C2866" s="20"/>
      <c r="D2866" s="20"/>
      <c r="E2866" s="20"/>
      <c r="F2866" s="20"/>
      <c r="G2866" s="20" t="s">
        <v>21</v>
      </c>
      <c r="H2866" s="20" t="s">
        <v>134</v>
      </c>
      <c r="I2866" s="115">
        <v>12.2</v>
      </c>
      <c r="J2866" s="23">
        <v>10.1</v>
      </c>
      <c r="K2866" s="25">
        <v>89</v>
      </c>
      <c r="L2866" s="100">
        <f t="shared" si="488"/>
        <v>10.966579999999999</v>
      </c>
      <c r="M2866" s="20">
        <f>4+1</f>
        <v>5</v>
      </c>
      <c r="N2866" s="23">
        <f t="shared" si="489"/>
        <v>0.61609999999999987</v>
      </c>
      <c r="O2866" s="20"/>
      <c r="P2866" s="20">
        <f>2+1+3-5</f>
        <v>1</v>
      </c>
      <c r="Q2866" s="20"/>
      <c r="R2866" s="20"/>
      <c r="S2866" s="20">
        <f>9+16+6+1+19</f>
        <v>51</v>
      </c>
      <c r="T2866" s="126">
        <f t="shared" si="490"/>
        <v>6.2842200000000004</v>
      </c>
    </row>
    <row r="2867" spans="1:21" ht="15.6">
      <c r="A2867" s="20"/>
      <c r="B2867" s="20"/>
      <c r="C2867" s="20"/>
      <c r="D2867" s="20"/>
      <c r="E2867" s="20"/>
      <c r="F2867" s="20"/>
      <c r="G2867" s="20" t="s">
        <v>21</v>
      </c>
      <c r="H2867" s="20" t="s">
        <v>134</v>
      </c>
      <c r="I2867" s="115">
        <v>12.2</v>
      </c>
      <c r="J2867" s="23">
        <v>11</v>
      </c>
      <c r="K2867" s="25">
        <v>351</v>
      </c>
      <c r="L2867" s="100">
        <f t="shared" si="488"/>
        <v>47.104199999999999</v>
      </c>
      <c r="M2867" s="20"/>
      <c r="N2867" s="23">
        <f t="shared" si="489"/>
        <v>0</v>
      </c>
      <c r="O2867" s="20"/>
      <c r="P2867" s="20">
        <v>2</v>
      </c>
      <c r="Q2867" s="20"/>
      <c r="R2867" s="20"/>
      <c r="S2867" s="20">
        <f>21+15+18+20+10+8+20+20+9+20+10+2+23+20+12+8+20+20+1+20</f>
        <v>297</v>
      </c>
      <c r="T2867" s="126">
        <f t="shared" si="490"/>
        <v>39.857399999999991</v>
      </c>
      <c r="U2867">
        <f>21+15+18+20+10+8</f>
        <v>92</v>
      </c>
    </row>
    <row r="2868" spans="1:21" ht="15.6">
      <c r="A2868" s="20"/>
      <c r="B2868" s="20"/>
      <c r="C2868" s="20"/>
      <c r="D2868" s="20"/>
      <c r="E2868" s="20"/>
      <c r="F2868" s="20"/>
      <c r="G2868" s="20" t="s">
        <v>21</v>
      </c>
      <c r="H2868" s="20" t="s">
        <v>134</v>
      </c>
      <c r="I2868" s="115">
        <v>12.2</v>
      </c>
      <c r="J2868" s="23">
        <v>11.2</v>
      </c>
      <c r="K2868" s="25">
        <v>20</v>
      </c>
      <c r="L2868" s="100">
        <f t="shared" si="488"/>
        <v>2.7327999999999997</v>
      </c>
      <c r="M2868" s="20"/>
      <c r="N2868" s="23">
        <f t="shared" si="489"/>
        <v>0</v>
      </c>
      <c r="O2868" s="20"/>
      <c r="P2868" s="20">
        <v>1</v>
      </c>
      <c r="Q2868" s="20"/>
      <c r="R2868" s="20"/>
      <c r="S2868" s="20">
        <f>2+2+16</f>
        <v>20</v>
      </c>
      <c r="T2868" s="126">
        <f t="shared" si="490"/>
        <v>2.7327999999999997</v>
      </c>
      <c r="U2868">
        <v>2</v>
      </c>
    </row>
    <row r="2869" spans="1:21" ht="15.6">
      <c r="A2869" s="20"/>
      <c r="B2869" s="20"/>
      <c r="C2869" s="20"/>
      <c r="D2869" s="20"/>
      <c r="E2869" s="20"/>
      <c r="F2869" s="20"/>
      <c r="G2869" s="20" t="s">
        <v>21</v>
      </c>
      <c r="H2869" s="20" t="s">
        <v>134</v>
      </c>
      <c r="I2869" s="115">
        <v>12.2</v>
      </c>
      <c r="J2869" s="23">
        <v>11.8</v>
      </c>
      <c r="K2869" s="25">
        <v>44</v>
      </c>
      <c r="L2869" s="100">
        <f t="shared" si="488"/>
        <v>6.3342400000000003</v>
      </c>
      <c r="M2869" s="20">
        <v>1</v>
      </c>
      <c r="N2869" s="23">
        <f t="shared" si="489"/>
        <v>0.14396</v>
      </c>
      <c r="O2869" s="20"/>
      <c r="P2869" s="20"/>
      <c r="Q2869" s="20"/>
      <c r="R2869" s="20"/>
      <c r="S2869" s="20">
        <f>1+20</f>
        <v>21</v>
      </c>
      <c r="T2869" s="126">
        <f t="shared" si="490"/>
        <v>3.0231599999999998</v>
      </c>
    </row>
    <row r="2870" spans="1:21" ht="15.6">
      <c r="A2870" s="20"/>
      <c r="B2870" s="20"/>
      <c r="C2870" s="20"/>
      <c r="D2870" s="20"/>
      <c r="E2870" s="20"/>
      <c r="F2870" s="20"/>
      <c r="G2870" s="20"/>
      <c r="H2870" s="20"/>
      <c r="I2870" s="115"/>
      <c r="J2870" s="23"/>
      <c r="K2870" s="25">
        <f>SUM(K2862:K2869)</f>
        <v>730</v>
      </c>
      <c r="L2870" s="23">
        <f>SUM(L2862:L2869)</f>
        <v>88.797699999999992</v>
      </c>
      <c r="M2870" s="25">
        <f>SUM(M2862:M2869)</f>
        <v>16</v>
      </c>
      <c r="N2870" s="23">
        <f>SUM(N2862:N2869)</f>
        <v>1.7921799999999999</v>
      </c>
      <c r="O2870" s="20"/>
      <c r="P2870" s="25">
        <f>SUM(P2862:P2869)</f>
        <v>13</v>
      </c>
      <c r="Q2870" s="25"/>
      <c r="R2870" s="25"/>
      <c r="S2870" s="25">
        <f>SUM(S2862:S2869)</f>
        <v>439</v>
      </c>
      <c r="T2870" s="23">
        <f>SUM(T2862:T2869)</f>
        <v>56.460379999999986</v>
      </c>
    </row>
    <row r="2871" spans="1:21" s="497" customFormat="1" ht="15.6">
      <c r="A2871" s="20"/>
      <c r="B2871" s="20"/>
      <c r="C2871" s="20"/>
      <c r="D2871" s="20"/>
      <c r="E2871" s="20"/>
      <c r="F2871" s="20"/>
      <c r="G2871" s="20"/>
      <c r="H2871" s="20"/>
      <c r="I2871" s="115"/>
      <c r="J2871" s="23"/>
      <c r="K2871" s="25"/>
      <c r="L2871" s="23"/>
      <c r="M2871" s="20"/>
      <c r="N2871" s="20"/>
      <c r="O2871" s="20"/>
    </row>
    <row r="2872" spans="1:21" ht="15.6">
      <c r="A2872" s="21" t="s">
        <v>395</v>
      </c>
      <c r="B2872" s="21" t="s">
        <v>385</v>
      </c>
      <c r="C2872" s="21" t="s">
        <v>19</v>
      </c>
      <c r="D2872" s="21" t="s">
        <v>49</v>
      </c>
      <c r="E2872" s="21" t="s">
        <v>359</v>
      </c>
      <c r="F2872" s="22">
        <v>12</v>
      </c>
      <c r="G2872" s="20" t="s">
        <v>21</v>
      </c>
      <c r="H2872" s="143" t="s">
        <v>134</v>
      </c>
      <c r="I2872" s="115">
        <v>12.18</v>
      </c>
      <c r="J2872" s="23">
        <v>9.5</v>
      </c>
      <c r="K2872" s="25">
        <v>9</v>
      </c>
      <c r="L2872" s="100">
        <f>(I2872*J2872*K2872/1000)</f>
        <v>1.0413899999999998</v>
      </c>
      <c r="M2872" s="20"/>
      <c r="N2872" s="20"/>
      <c r="O2872" s="20"/>
      <c r="P2872" s="20"/>
      <c r="Q2872" s="155"/>
      <c r="R2872" s="155"/>
      <c r="S2872" s="497" t="s">
        <v>426</v>
      </c>
    </row>
    <row r="2873" spans="1:21" ht="15.6">
      <c r="A2873" s="20"/>
      <c r="B2873" s="184" t="s">
        <v>333</v>
      </c>
      <c r="C2873" s="20"/>
      <c r="D2873" s="20"/>
      <c r="E2873" s="20"/>
      <c r="F2873" s="20"/>
      <c r="G2873" s="20"/>
      <c r="H2873" s="20"/>
      <c r="I2873" s="115"/>
      <c r="J2873" s="23"/>
      <c r="K2873" s="25">
        <f>SUM(K2872:K2872)</f>
        <v>9</v>
      </c>
      <c r="L2873" s="23">
        <f>SUM(L2872:L2872)</f>
        <v>1.0413899999999998</v>
      </c>
      <c r="M2873" s="20"/>
      <c r="N2873" s="20"/>
      <c r="O2873" s="20"/>
      <c r="P2873" s="20"/>
      <c r="Q2873" s="155"/>
      <c r="R2873" s="155"/>
    </row>
    <row r="2874" spans="1:21" s="497" customFormat="1" ht="15.6">
      <c r="A2874" s="20"/>
      <c r="B2874" s="184"/>
      <c r="C2874" s="20"/>
      <c r="D2874" s="20"/>
      <c r="E2874" s="20"/>
      <c r="F2874" s="20"/>
      <c r="G2874" s="20"/>
      <c r="H2874" s="20"/>
      <c r="I2874" s="115"/>
      <c r="J2874" s="23"/>
      <c r="K2874" s="25"/>
      <c r="L2874" s="23"/>
      <c r="M2874" s="20"/>
      <c r="N2874" s="20"/>
      <c r="O2874" s="20"/>
      <c r="P2874" s="20"/>
      <c r="Q2874" s="155"/>
      <c r="R2874" s="155"/>
    </row>
    <row r="2875" spans="1:21" ht="15.6">
      <c r="A2875" s="21" t="s">
        <v>332</v>
      </c>
      <c r="B2875" s="21" t="s">
        <v>382</v>
      </c>
      <c r="C2875" s="21" t="s">
        <v>19</v>
      </c>
      <c r="D2875" s="21" t="s">
        <v>49</v>
      </c>
      <c r="E2875" s="21" t="s">
        <v>359</v>
      </c>
      <c r="F2875" s="22">
        <v>12</v>
      </c>
      <c r="G2875" s="20" t="s">
        <v>21</v>
      </c>
      <c r="H2875" s="143" t="s">
        <v>134</v>
      </c>
      <c r="I2875" s="115">
        <v>12.18</v>
      </c>
      <c r="J2875" s="23">
        <v>7.9</v>
      </c>
      <c r="K2875" s="25">
        <v>1</v>
      </c>
      <c r="L2875" s="100">
        <f t="shared" ref="L2875:L2878" si="491">(I2875*J2875*K2875/1000)</f>
        <v>9.6222000000000002E-2</v>
      </c>
      <c r="M2875" s="20"/>
      <c r="N2875" s="20"/>
      <c r="O2875" s="20"/>
      <c r="P2875" s="20"/>
      <c r="Q2875" s="155"/>
      <c r="R2875" s="155"/>
      <c r="S2875">
        <v>1</v>
      </c>
      <c r="T2875" s="126">
        <f t="shared" ref="T2875:T2878" si="492">J2875*S2875*I2875/1000</f>
        <v>9.6222000000000002E-2</v>
      </c>
      <c r="U2875" s="497" t="s">
        <v>416</v>
      </c>
    </row>
    <row r="2876" spans="1:21" ht="15.6">
      <c r="A2876" s="20"/>
      <c r="B2876" s="21" t="s">
        <v>331</v>
      </c>
      <c r="C2876" s="20"/>
      <c r="D2876" s="20"/>
      <c r="E2876" s="20"/>
      <c r="F2876" s="20"/>
      <c r="G2876" s="20" t="s">
        <v>21</v>
      </c>
      <c r="H2876" s="20" t="s">
        <v>134</v>
      </c>
      <c r="I2876" s="115">
        <v>12.18</v>
      </c>
      <c r="J2876" s="23">
        <v>9</v>
      </c>
      <c r="K2876" s="25">
        <v>19</v>
      </c>
      <c r="L2876" s="100">
        <f t="shared" si="491"/>
        <v>2.0827800000000001</v>
      </c>
      <c r="M2876" s="20"/>
      <c r="N2876" s="20"/>
      <c r="O2876" s="20"/>
      <c r="P2876" s="20"/>
      <c r="Q2876" s="155"/>
      <c r="R2876" s="155"/>
      <c r="S2876">
        <v>14</v>
      </c>
      <c r="T2876" s="126">
        <f t="shared" si="492"/>
        <v>1.53468</v>
      </c>
    </row>
    <row r="2877" spans="1:21" ht="15.6">
      <c r="A2877" s="20"/>
      <c r="B2877" s="20"/>
      <c r="C2877" s="20"/>
      <c r="D2877" s="20"/>
      <c r="E2877" s="20"/>
      <c r="F2877" s="20"/>
      <c r="G2877" s="20" t="s">
        <v>21</v>
      </c>
      <c r="H2877" s="20" t="s">
        <v>134</v>
      </c>
      <c r="I2877" s="115">
        <v>12.18</v>
      </c>
      <c r="J2877" s="23">
        <v>10</v>
      </c>
      <c r="K2877" s="25">
        <v>23</v>
      </c>
      <c r="L2877" s="100">
        <f t="shared" si="491"/>
        <v>2.8014000000000001</v>
      </c>
      <c r="M2877" s="20"/>
      <c r="N2877" s="20"/>
      <c r="O2877" s="20"/>
      <c r="P2877" s="20"/>
      <c r="Q2877" s="155"/>
      <c r="R2877" s="155"/>
      <c r="T2877" s="126">
        <f t="shared" si="492"/>
        <v>0</v>
      </c>
    </row>
    <row r="2878" spans="1:21" ht="15.6">
      <c r="A2878" s="20"/>
      <c r="B2878" s="20"/>
      <c r="C2878" s="20"/>
      <c r="D2878" s="20"/>
      <c r="E2878" s="20"/>
      <c r="F2878" s="20"/>
      <c r="G2878" s="20" t="s">
        <v>21</v>
      </c>
      <c r="H2878" s="20" t="s">
        <v>134</v>
      </c>
      <c r="I2878" s="115">
        <v>12.18</v>
      </c>
      <c r="J2878" s="23">
        <v>12</v>
      </c>
      <c r="K2878" s="25">
        <v>20</v>
      </c>
      <c r="L2878" s="100">
        <f t="shared" si="491"/>
        <v>2.9232</v>
      </c>
      <c r="M2878" s="20"/>
      <c r="N2878" s="20"/>
      <c r="O2878" s="20"/>
      <c r="P2878" s="20"/>
      <c r="Q2878" s="155"/>
      <c r="R2878" s="155"/>
      <c r="S2878">
        <v>20</v>
      </c>
      <c r="T2878" s="126">
        <f t="shared" si="492"/>
        <v>2.9232</v>
      </c>
    </row>
    <row r="2879" spans="1:21" ht="15.6">
      <c r="A2879" s="20"/>
      <c r="B2879" s="20"/>
      <c r="C2879" s="20"/>
      <c r="D2879" s="20"/>
      <c r="E2879" s="20"/>
      <c r="F2879" s="20"/>
      <c r="G2879" s="20"/>
      <c r="H2879" s="20"/>
      <c r="I2879" s="115"/>
      <c r="J2879" s="23"/>
      <c r="K2879" s="25">
        <f t="shared" ref="K2879:L2879" si="493">SUM(K2875:K2878)</f>
        <v>63</v>
      </c>
      <c r="L2879" s="23">
        <f t="shared" si="493"/>
        <v>7.9036019999999994</v>
      </c>
      <c r="M2879" s="20"/>
      <c r="N2879" s="20"/>
      <c r="O2879" s="20"/>
      <c r="P2879" s="20"/>
      <c r="Q2879" s="20"/>
      <c r="R2879" s="20"/>
      <c r="S2879" s="25">
        <f t="shared" ref="S2879:T2879" si="494">SUM(S2875:S2878)</f>
        <v>35</v>
      </c>
      <c r="T2879" s="23">
        <f t="shared" si="494"/>
        <v>4.5541020000000003</v>
      </c>
    </row>
    <row r="2880" spans="1:21" s="497" customFormat="1" ht="15.6">
      <c r="A2880" s="20"/>
      <c r="B2880" s="20"/>
      <c r="C2880" s="20"/>
      <c r="D2880" s="20"/>
      <c r="E2880" s="20"/>
      <c r="F2880" s="20"/>
      <c r="G2880" s="20"/>
      <c r="H2880" s="20"/>
      <c r="I2880" s="115"/>
      <c r="J2880" s="23"/>
      <c r="K2880" s="25"/>
      <c r="L2880" s="23"/>
      <c r="M2880" s="20"/>
      <c r="N2880" s="20"/>
      <c r="O2880" s="20"/>
      <c r="P2880" s="20"/>
      <c r="Q2880" s="155"/>
      <c r="R2880" s="155"/>
    </row>
    <row r="2881" spans="1:21" ht="15.6">
      <c r="A2881" s="21" t="s">
        <v>395</v>
      </c>
      <c r="B2881" s="21" t="s">
        <v>396</v>
      </c>
      <c r="C2881" s="21" t="s">
        <v>19</v>
      </c>
      <c r="D2881" s="21" t="s">
        <v>49</v>
      </c>
      <c r="E2881" s="21" t="s">
        <v>359</v>
      </c>
      <c r="F2881" s="22">
        <v>12</v>
      </c>
      <c r="G2881" s="612" t="s">
        <v>21</v>
      </c>
      <c r="H2881" s="735" t="s">
        <v>134</v>
      </c>
      <c r="I2881" s="613">
        <v>12.18</v>
      </c>
      <c r="J2881" s="610">
        <v>12</v>
      </c>
      <c r="K2881" s="609">
        <v>10</v>
      </c>
      <c r="L2881" s="100">
        <f>(I2881*J2881*K2881/1000)</f>
        <v>1.4616</v>
      </c>
      <c r="M2881" s="20"/>
      <c r="N2881" s="20"/>
      <c r="O2881" s="20"/>
      <c r="P2881" s="20"/>
      <c r="Q2881" s="155"/>
      <c r="R2881" s="155"/>
      <c r="S2881">
        <v>10</v>
      </c>
      <c r="T2881" s="126">
        <f>J2881*S2881*I2881/1000</f>
        <v>1.4616</v>
      </c>
      <c r="U2881" s="497" t="s">
        <v>417</v>
      </c>
    </row>
    <row r="2882" spans="1:21" ht="15.6">
      <c r="A2882" s="20"/>
      <c r="B2882" s="184" t="s">
        <v>277</v>
      </c>
      <c r="C2882" s="20"/>
      <c r="D2882" s="20"/>
      <c r="E2882" s="20"/>
      <c r="F2882" s="20"/>
      <c r="G2882" s="612"/>
      <c r="H2882" s="612"/>
      <c r="I2882" s="613"/>
      <c r="J2882" s="610"/>
      <c r="K2882" s="609">
        <f t="shared" ref="K2882:L2882" si="495">SUM(K2881)</f>
        <v>10</v>
      </c>
      <c r="L2882" s="610">
        <f t="shared" si="495"/>
        <v>1.4616</v>
      </c>
      <c r="M2882" s="20"/>
      <c r="N2882" s="20"/>
      <c r="O2882" s="20"/>
      <c r="P2882" s="20"/>
      <c r="Q2882" s="20"/>
      <c r="R2882" s="20"/>
      <c r="S2882" s="609">
        <f t="shared" ref="S2882:T2882" si="496">SUM(S2881)</f>
        <v>10</v>
      </c>
      <c r="T2882" s="610">
        <f t="shared" si="496"/>
        <v>1.4616</v>
      </c>
    </row>
    <row r="2883" spans="1:21" s="497" customFormat="1" ht="15.6">
      <c r="A2883" s="20"/>
      <c r="B2883" s="184"/>
      <c r="C2883" s="20"/>
      <c r="D2883" s="20"/>
      <c r="E2883" s="20"/>
      <c r="F2883" s="20"/>
      <c r="G2883" s="612"/>
      <c r="H2883" s="612"/>
      <c r="I2883" s="613"/>
      <c r="J2883" s="610"/>
      <c r="K2883" s="614">
        <f>SUM(K2855:K2882)/2</f>
        <v>967</v>
      </c>
      <c r="L2883" s="610">
        <f>SUM(L2855:L2882)/2</f>
        <v>117.19685200000002</v>
      </c>
      <c r="M2883" s="614">
        <f>SUM(M2855:M2882)/2</f>
        <v>16</v>
      </c>
      <c r="N2883" s="610">
        <f>SUM(N2855:N2882)/2</f>
        <v>1.7921799999999999</v>
      </c>
      <c r="O2883" s="20"/>
      <c r="P2883" s="20"/>
      <c r="Q2883" s="155"/>
      <c r="R2883" s="155"/>
      <c r="T2883" s="610">
        <f>SUM(T2855:T2882)/2</f>
        <v>72.55816200000001</v>
      </c>
    </row>
    <row r="2884" spans="1:21" ht="15.6">
      <c r="A2884" s="20"/>
      <c r="B2884" s="20"/>
      <c r="C2884" s="20"/>
      <c r="D2884" s="20"/>
      <c r="E2884" s="20"/>
      <c r="F2884" s="20"/>
      <c r="G2884" s="20"/>
      <c r="H2884" s="20"/>
      <c r="I2884" s="131"/>
      <c r="J2884" s="20"/>
      <c r="K2884" s="211"/>
      <c r="L2884" s="131"/>
      <c r="M2884" s="20"/>
      <c r="N2884" s="20"/>
      <c r="O2884" s="20"/>
      <c r="P2884" s="20"/>
      <c r="Q2884" s="155"/>
      <c r="R2884" s="155"/>
    </row>
    <row r="2885" spans="1:21" s="497" customFormat="1" ht="15.6">
      <c r="A2885" s="20"/>
      <c r="B2885" s="184"/>
      <c r="C2885" s="20"/>
      <c r="D2885" s="20"/>
      <c r="E2885" s="20"/>
      <c r="F2885" s="20"/>
      <c r="G2885" s="612"/>
      <c r="H2885" s="612"/>
      <c r="I2885" s="613"/>
      <c r="J2885" s="610"/>
      <c r="K2885" s="609"/>
      <c r="L2885" s="610"/>
      <c r="M2885" s="20"/>
      <c r="N2885" s="20"/>
      <c r="O2885" s="20"/>
      <c r="P2885" s="20"/>
      <c r="Q2885" s="155"/>
      <c r="R2885" s="155"/>
    </row>
    <row r="2886" spans="1:21" ht="15.6">
      <c r="A2886" s="21" t="s">
        <v>174</v>
      </c>
      <c r="B2886" s="21" t="s">
        <v>394</v>
      </c>
      <c r="C2886" s="21" t="s">
        <v>19</v>
      </c>
      <c r="D2886" s="21" t="s">
        <v>20</v>
      </c>
      <c r="E2886" s="21" t="s">
        <v>47</v>
      </c>
      <c r="F2886" s="22">
        <v>12</v>
      </c>
      <c r="G2886" s="296" t="s">
        <v>21</v>
      </c>
      <c r="H2886" s="143" t="s">
        <v>119</v>
      </c>
      <c r="I2886" s="452">
        <v>10.7</v>
      </c>
      <c r="J2886" s="444">
        <v>8.4</v>
      </c>
      <c r="K2886" s="445">
        <v>35</v>
      </c>
      <c r="L2886" s="100">
        <f t="shared" ref="L2886:L2889" si="497">(I2886*J2886*K2886/1000)</f>
        <v>3.1457999999999999</v>
      </c>
      <c r="M2886" s="20"/>
      <c r="N2886" s="20"/>
      <c r="O2886" s="20"/>
      <c r="P2886" s="20"/>
      <c r="Q2886" s="155"/>
      <c r="R2886" s="155"/>
      <c r="S2886" s="497" t="s">
        <v>426</v>
      </c>
    </row>
    <row r="2887" spans="1:21" ht="15.6">
      <c r="A2887" s="20"/>
      <c r="B2887" s="503"/>
      <c r="C2887" s="20"/>
      <c r="D2887" s="20"/>
      <c r="E2887" s="20"/>
      <c r="F2887" s="20"/>
      <c r="G2887" s="296" t="s">
        <v>21</v>
      </c>
      <c r="H2887" s="296" t="s">
        <v>119</v>
      </c>
      <c r="I2887" s="452">
        <v>10.7</v>
      </c>
      <c r="J2887" s="444">
        <v>8.9</v>
      </c>
      <c r="K2887" s="445">
        <v>40</v>
      </c>
      <c r="L2887" s="100">
        <f t="shared" si="497"/>
        <v>3.8092000000000001</v>
      </c>
      <c r="M2887" s="20"/>
      <c r="N2887" s="20"/>
      <c r="O2887" s="20"/>
      <c r="P2887" s="20"/>
      <c r="Q2887" s="155"/>
      <c r="R2887" s="155"/>
    </row>
    <row r="2888" spans="1:21" ht="15.6">
      <c r="A2888" s="20"/>
      <c r="B2888" s="20"/>
      <c r="C2888" s="20"/>
      <c r="D2888" s="20"/>
      <c r="E2888" s="20"/>
      <c r="F2888" s="20"/>
      <c r="G2888" s="296" t="s">
        <v>21</v>
      </c>
      <c r="H2888" s="296" t="s">
        <v>119</v>
      </c>
      <c r="I2888" s="452">
        <v>10.7</v>
      </c>
      <c r="J2888" s="444">
        <v>11.1</v>
      </c>
      <c r="K2888" s="445">
        <v>23</v>
      </c>
      <c r="L2888" s="100">
        <f t="shared" si="497"/>
        <v>2.7317099999999996</v>
      </c>
      <c r="M2888" s="20"/>
      <c r="N2888" s="20"/>
      <c r="O2888" s="20"/>
      <c r="P2888" s="20"/>
      <c r="Q2888" s="155"/>
      <c r="R2888" s="155"/>
    </row>
    <row r="2889" spans="1:21" ht="15.6">
      <c r="A2889" s="20"/>
      <c r="B2889" s="20"/>
      <c r="C2889" s="20"/>
      <c r="D2889" s="20"/>
      <c r="E2889" s="20"/>
      <c r="F2889" s="20"/>
      <c r="G2889" s="296" t="s">
        <v>21</v>
      </c>
      <c r="H2889" s="296" t="s">
        <v>119</v>
      </c>
      <c r="I2889" s="452">
        <v>10.7</v>
      </c>
      <c r="J2889" s="444">
        <v>11.9</v>
      </c>
      <c r="K2889" s="445">
        <v>60</v>
      </c>
      <c r="L2889" s="100">
        <f t="shared" si="497"/>
        <v>7.6398000000000001</v>
      </c>
      <c r="M2889" s="20"/>
      <c r="N2889" s="20"/>
      <c r="O2889" s="20"/>
      <c r="P2889" s="20"/>
      <c r="Q2889" s="155"/>
      <c r="R2889" s="155"/>
    </row>
    <row r="2890" spans="1:21" ht="15.6">
      <c r="A2890" s="20"/>
      <c r="B2890" s="20"/>
      <c r="C2890" s="20"/>
      <c r="D2890" s="20"/>
      <c r="E2890" s="20"/>
      <c r="F2890" s="20"/>
      <c r="G2890" s="296"/>
      <c r="H2890" s="296"/>
      <c r="I2890" s="452"/>
      <c r="J2890" s="611"/>
      <c r="K2890" s="445">
        <f t="shared" ref="K2890:L2890" si="498">SUM(K2886:K2889)</f>
        <v>158</v>
      </c>
      <c r="L2890" s="444">
        <f t="shared" si="498"/>
        <v>17.326509999999999</v>
      </c>
      <c r="M2890" s="20"/>
      <c r="N2890" s="20"/>
      <c r="O2890" s="20"/>
      <c r="P2890" s="20"/>
      <c r="Q2890" s="155"/>
      <c r="R2890" s="155"/>
    </row>
    <row r="2891" spans="1:21" s="497" customFormat="1" ht="15.6">
      <c r="A2891" s="20"/>
      <c r="B2891" s="20"/>
      <c r="C2891" s="20"/>
      <c r="D2891" s="20"/>
      <c r="E2891" s="20"/>
      <c r="F2891" s="20"/>
      <c r="G2891" s="296"/>
      <c r="H2891" s="296"/>
      <c r="I2891" s="452"/>
      <c r="J2891" s="611"/>
      <c r="K2891" s="445"/>
      <c r="L2891" s="444"/>
      <c r="M2891" s="20"/>
      <c r="N2891" s="20"/>
      <c r="O2891" s="20"/>
      <c r="P2891" s="20"/>
      <c r="Q2891" s="155"/>
      <c r="R2891" s="155"/>
    </row>
    <row r="2892" spans="1:21" ht="15.6">
      <c r="A2892" s="21" t="s">
        <v>332</v>
      </c>
      <c r="B2892" s="21" t="s">
        <v>381</v>
      </c>
      <c r="C2892" s="21" t="s">
        <v>19</v>
      </c>
      <c r="D2892" s="21" t="s">
        <v>20</v>
      </c>
      <c r="E2892" s="21" t="s">
        <v>47</v>
      </c>
      <c r="F2892" s="22">
        <v>12</v>
      </c>
      <c r="G2892" s="20" t="s">
        <v>21</v>
      </c>
      <c r="H2892" s="143" t="s">
        <v>119</v>
      </c>
      <c r="I2892" s="115">
        <v>10.7</v>
      </c>
      <c r="J2892" s="23">
        <v>7.1</v>
      </c>
      <c r="K2892" s="25">
        <v>81</v>
      </c>
      <c r="L2892" s="100">
        <f t="shared" ref="L2892:L2898" si="499">(I2892*J2892*K2892/1000)</f>
        <v>6.1535699999999984</v>
      </c>
      <c r="M2892" s="20"/>
      <c r="N2892" s="20"/>
      <c r="O2892" s="20"/>
      <c r="P2892" s="20"/>
      <c r="Q2892" s="155"/>
      <c r="R2892" s="155"/>
      <c r="S2892" s="497" t="s">
        <v>426</v>
      </c>
    </row>
    <row r="2893" spans="1:21" ht="15.6">
      <c r="A2893" s="20"/>
      <c r="B2893" s="503" t="s">
        <v>340</v>
      </c>
      <c r="C2893" s="20"/>
      <c r="D2893" s="20"/>
      <c r="E2893" s="20"/>
      <c r="F2893" s="20"/>
      <c r="G2893" s="20" t="s">
        <v>21</v>
      </c>
      <c r="H2893" s="20" t="s">
        <v>119</v>
      </c>
      <c r="I2893" s="115">
        <v>10.7</v>
      </c>
      <c r="J2893" s="23">
        <v>7.8</v>
      </c>
      <c r="K2893" s="25">
        <v>38</v>
      </c>
      <c r="L2893" s="100">
        <f t="shared" si="499"/>
        <v>3.1714799999999994</v>
      </c>
      <c r="M2893" s="20"/>
      <c r="N2893" s="20"/>
      <c r="O2893" s="20"/>
      <c r="P2893" s="20"/>
      <c r="Q2893" s="155"/>
      <c r="R2893" s="155"/>
    </row>
    <row r="2894" spans="1:21" ht="15.6">
      <c r="A2894" s="20"/>
      <c r="B2894" s="20"/>
      <c r="C2894" s="20"/>
      <c r="D2894" s="20"/>
      <c r="E2894" s="20"/>
      <c r="F2894" s="20"/>
      <c r="G2894" s="20" t="s">
        <v>21</v>
      </c>
      <c r="H2894" s="20" t="s">
        <v>119</v>
      </c>
      <c r="I2894" s="115">
        <v>10.7</v>
      </c>
      <c r="J2894" s="23">
        <v>9.6999999999999993</v>
      </c>
      <c r="K2894" s="25">
        <v>104</v>
      </c>
      <c r="L2894" s="100">
        <f t="shared" si="499"/>
        <v>10.79416</v>
      </c>
      <c r="M2894" s="20"/>
      <c r="N2894" s="20"/>
      <c r="O2894" s="20"/>
      <c r="P2894" s="20"/>
      <c r="Q2894" s="155"/>
      <c r="R2894" s="155"/>
    </row>
    <row r="2895" spans="1:21" ht="15.6">
      <c r="A2895" s="20"/>
      <c r="B2895" s="20"/>
      <c r="C2895" s="20"/>
      <c r="D2895" s="20"/>
      <c r="E2895" s="20"/>
      <c r="F2895" s="20"/>
      <c r="G2895" s="20" t="s">
        <v>21</v>
      </c>
      <c r="H2895" s="20" t="s">
        <v>119</v>
      </c>
      <c r="I2895" s="115">
        <v>10.7</v>
      </c>
      <c r="J2895" s="23">
        <v>9.9</v>
      </c>
      <c r="K2895" s="25">
        <v>64</v>
      </c>
      <c r="L2895" s="100">
        <f t="shared" si="499"/>
        <v>6.7795199999999998</v>
      </c>
      <c r="M2895" s="20"/>
      <c r="N2895" s="20"/>
      <c r="O2895" s="20"/>
      <c r="P2895" s="20"/>
      <c r="Q2895" s="155"/>
      <c r="R2895" s="155"/>
    </row>
    <row r="2896" spans="1:21" ht="15.6">
      <c r="A2896" s="20"/>
      <c r="B2896" s="20"/>
      <c r="C2896" s="20"/>
      <c r="D2896" s="20"/>
      <c r="E2896" s="20"/>
      <c r="F2896" s="20"/>
      <c r="G2896" s="20" t="s">
        <v>21</v>
      </c>
      <c r="H2896" s="20" t="s">
        <v>119</v>
      </c>
      <c r="I2896" s="115">
        <v>10.7</v>
      </c>
      <c r="J2896" s="23">
        <v>11.2</v>
      </c>
      <c r="K2896" s="25">
        <v>21</v>
      </c>
      <c r="L2896" s="100">
        <f t="shared" si="499"/>
        <v>2.5166399999999998</v>
      </c>
      <c r="M2896" s="20"/>
      <c r="N2896" s="20"/>
      <c r="O2896" s="20"/>
      <c r="P2896" s="20"/>
      <c r="Q2896" s="155"/>
      <c r="R2896" s="155"/>
    </row>
    <row r="2897" spans="1:19" ht="15.6">
      <c r="A2897" s="20"/>
      <c r="B2897" s="20"/>
      <c r="C2897" s="20"/>
      <c r="D2897" s="20"/>
      <c r="E2897" s="20"/>
      <c r="F2897" s="20"/>
      <c r="G2897" s="20" t="s">
        <v>21</v>
      </c>
      <c r="H2897" s="20" t="s">
        <v>119</v>
      </c>
      <c r="I2897" s="115">
        <v>10.7</v>
      </c>
      <c r="J2897" s="23">
        <v>11.7</v>
      </c>
      <c r="K2897" s="25">
        <v>64</v>
      </c>
      <c r="L2897" s="100">
        <f t="shared" si="499"/>
        <v>8.0121599999999997</v>
      </c>
      <c r="M2897" s="20"/>
      <c r="N2897" s="20"/>
      <c r="O2897" s="20"/>
      <c r="P2897" s="20"/>
      <c r="Q2897" s="155"/>
      <c r="R2897" s="155"/>
    </row>
    <row r="2898" spans="1:19" ht="15.6">
      <c r="A2898" s="20"/>
      <c r="B2898" s="20"/>
      <c r="C2898" s="20"/>
      <c r="D2898" s="20"/>
      <c r="E2898" s="20"/>
      <c r="F2898" s="20"/>
      <c r="G2898" s="20" t="s">
        <v>21</v>
      </c>
      <c r="H2898" s="20" t="s">
        <v>119</v>
      </c>
      <c r="I2898" s="115">
        <v>10.7</v>
      </c>
      <c r="J2898" s="23">
        <v>12</v>
      </c>
      <c r="K2898" s="25">
        <v>7</v>
      </c>
      <c r="L2898" s="100">
        <f t="shared" si="499"/>
        <v>0.89879999999999982</v>
      </c>
      <c r="M2898" s="20"/>
      <c r="N2898" s="20"/>
      <c r="O2898" s="20"/>
      <c r="P2898" s="20"/>
      <c r="Q2898" s="155"/>
      <c r="R2898" s="155"/>
    </row>
    <row r="2899" spans="1:19" ht="15.6">
      <c r="A2899" s="20"/>
      <c r="B2899" s="20"/>
      <c r="C2899" s="20"/>
      <c r="D2899" s="20"/>
      <c r="E2899" s="20"/>
      <c r="F2899" s="20"/>
      <c r="G2899" s="20"/>
      <c r="H2899" s="20"/>
      <c r="I2899" s="115"/>
      <c r="J2899" s="23"/>
      <c r="K2899" s="25">
        <f>SUM(K2892:K2898)</f>
        <v>379</v>
      </c>
      <c r="L2899" s="23">
        <f>SUM(L2892:L2898)</f>
        <v>38.326329999999992</v>
      </c>
      <c r="M2899" s="20"/>
      <c r="N2899" s="20"/>
      <c r="O2899" s="20"/>
      <c r="P2899" s="20"/>
      <c r="Q2899" s="155"/>
      <c r="R2899" s="155"/>
    </row>
    <row r="2900" spans="1:19" s="497" customFormat="1" ht="15.6">
      <c r="A2900" s="20"/>
      <c r="B2900" s="20"/>
      <c r="C2900" s="20"/>
      <c r="D2900" s="20"/>
      <c r="E2900" s="20"/>
      <c r="F2900" s="20"/>
      <c r="G2900" s="20"/>
      <c r="H2900" s="20"/>
      <c r="I2900" s="115"/>
      <c r="J2900" s="23"/>
      <c r="K2900" s="25"/>
      <c r="L2900" s="23"/>
      <c r="M2900" s="20"/>
      <c r="N2900" s="20"/>
      <c r="O2900" s="20"/>
      <c r="P2900" s="20"/>
      <c r="Q2900" s="155"/>
      <c r="R2900" s="155"/>
    </row>
    <row r="2901" spans="1:19" ht="15.6">
      <c r="A2901" s="21" t="s">
        <v>332</v>
      </c>
      <c r="B2901" s="21" t="s">
        <v>382</v>
      </c>
      <c r="C2901" s="21" t="s">
        <v>19</v>
      </c>
      <c r="D2901" s="21" t="s">
        <v>49</v>
      </c>
      <c r="E2901" s="21" t="s">
        <v>359</v>
      </c>
      <c r="F2901" s="22">
        <v>12</v>
      </c>
      <c r="G2901" s="20" t="s">
        <v>21</v>
      </c>
      <c r="H2901" s="143" t="s">
        <v>119</v>
      </c>
      <c r="I2901" s="115">
        <v>10.73</v>
      </c>
      <c r="J2901" s="23">
        <v>8</v>
      </c>
      <c r="K2901" s="25">
        <v>17</v>
      </c>
      <c r="L2901" s="100">
        <f t="shared" ref="L2901:L2903" si="500">(I2901*J2901*K2901/1000)</f>
        <v>1.4592799999999999</v>
      </c>
      <c r="M2901" s="20"/>
      <c r="N2901" s="20"/>
      <c r="O2901" s="20"/>
      <c r="P2901" s="20"/>
      <c r="Q2901" s="155"/>
      <c r="R2901" s="155"/>
      <c r="S2901" s="497" t="s">
        <v>426</v>
      </c>
    </row>
    <row r="2902" spans="1:19" ht="15.6">
      <c r="A2902" s="20"/>
      <c r="B2902" s="21" t="s">
        <v>331</v>
      </c>
      <c r="C2902" s="20"/>
      <c r="D2902" s="20"/>
      <c r="E2902" s="20"/>
      <c r="F2902" s="20"/>
      <c r="G2902" s="20" t="s">
        <v>21</v>
      </c>
      <c r="H2902" s="20" t="s">
        <v>119</v>
      </c>
      <c r="I2902" s="115">
        <v>10.73</v>
      </c>
      <c r="J2902" s="23">
        <v>9.3000000000000007</v>
      </c>
      <c r="K2902" s="25">
        <v>22</v>
      </c>
      <c r="L2902" s="100">
        <f t="shared" si="500"/>
        <v>2.1953580000000001</v>
      </c>
      <c r="M2902" s="20"/>
      <c r="N2902" s="20"/>
      <c r="O2902" s="20"/>
      <c r="P2902" s="20"/>
      <c r="Q2902" s="155"/>
      <c r="R2902" s="155"/>
    </row>
    <row r="2903" spans="1:19" ht="15.6">
      <c r="A2903" s="20"/>
      <c r="B2903" s="20"/>
      <c r="C2903" s="20"/>
      <c r="D2903" s="20"/>
      <c r="E2903" s="20"/>
      <c r="F2903" s="20"/>
      <c r="G2903" s="20" t="s">
        <v>21</v>
      </c>
      <c r="H2903" s="20" t="s">
        <v>119</v>
      </c>
      <c r="I2903" s="115">
        <v>10.73</v>
      </c>
      <c r="J2903" s="23">
        <v>11.1</v>
      </c>
      <c r="K2903" s="25">
        <v>20</v>
      </c>
      <c r="L2903" s="100">
        <f t="shared" si="500"/>
        <v>2.3820600000000001</v>
      </c>
      <c r="M2903" s="20"/>
      <c r="N2903" s="20"/>
      <c r="O2903" s="20"/>
      <c r="P2903" s="20"/>
      <c r="Q2903" s="155"/>
      <c r="R2903" s="155"/>
    </row>
    <row r="2904" spans="1:19" ht="15.6">
      <c r="A2904" s="20"/>
      <c r="B2904" s="20"/>
      <c r="C2904" s="20"/>
      <c r="D2904" s="20"/>
      <c r="E2904" s="20"/>
      <c r="F2904" s="20"/>
      <c r="G2904" s="20"/>
      <c r="H2904" s="20"/>
      <c r="I2904" s="115"/>
      <c r="J2904" s="23"/>
      <c r="K2904" s="25">
        <f t="shared" ref="K2904:L2904" si="501">SUM(K2901:K2903)</f>
        <v>59</v>
      </c>
      <c r="L2904" s="23">
        <f t="shared" si="501"/>
        <v>6.0366980000000003</v>
      </c>
      <c r="M2904" s="20"/>
      <c r="N2904" s="20"/>
      <c r="O2904" s="20"/>
      <c r="P2904" s="20"/>
      <c r="Q2904" s="155"/>
      <c r="R2904" s="155"/>
    </row>
    <row r="2905" spans="1:19" s="497" customFormat="1" ht="15.6">
      <c r="A2905" s="20"/>
      <c r="B2905" s="20"/>
      <c r="C2905" s="20"/>
      <c r="D2905" s="20"/>
      <c r="E2905" s="20"/>
      <c r="F2905" s="20"/>
      <c r="G2905" s="20"/>
      <c r="H2905" s="20"/>
      <c r="I2905" s="115"/>
      <c r="J2905" s="23"/>
      <c r="K2905" s="25"/>
      <c r="L2905" s="23"/>
      <c r="M2905" s="20"/>
      <c r="N2905" s="20"/>
      <c r="O2905" s="20"/>
      <c r="P2905" s="20"/>
      <c r="Q2905" s="155"/>
      <c r="R2905" s="155"/>
    </row>
    <row r="2906" spans="1:19" ht="15.6">
      <c r="A2906" s="21" t="s">
        <v>395</v>
      </c>
      <c r="B2906" s="21" t="s">
        <v>385</v>
      </c>
      <c r="C2906" s="21" t="s">
        <v>19</v>
      </c>
      <c r="D2906" s="21" t="s">
        <v>49</v>
      </c>
      <c r="E2906" s="21" t="s">
        <v>359</v>
      </c>
      <c r="F2906" s="22">
        <v>12</v>
      </c>
      <c r="G2906" s="20" t="s">
        <v>21</v>
      </c>
      <c r="H2906" s="143" t="s">
        <v>119</v>
      </c>
      <c r="I2906" s="115">
        <v>10.73</v>
      </c>
      <c r="J2906" s="23">
        <v>10.5</v>
      </c>
      <c r="K2906" s="25">
        <v>5</v>
      </c>
      <c r="L2906" s="100">
        <f>(I2906*J2906*K2906/1000)</f>
        <v>0.56332500000000008</v>
      </c>
      <c r="M2906" s="20"/>
      <c r="N2906" s="20"/>
      <c r="O2906" s="20"/>
      <c r="P2906" s="20"/>
      <c r="Q2906" s="155"/>
      <c r="R2906" s="155"/>
      <c r="S2906" s="497" t="s">
        <v>426</v>
      </c>
    </row>
    <row r="2907" spans="1:19" ht="15.6">
      <c r="A2907" s="20"/>
      <c r="B2907" s="184" t="s">
        <v>333</v>
      </c>
      <c r="C2907" s="20"/>
      <c r="D2907" s="20"/>
      <c r="E2907" s="20"/>
      <c r="F2907" s="20"/>
      <c r="G2907" s="20" t="s">
        <v>21</v>
      </c>
      <c r="H2907" s="20" t="s">
        <v>119</v>
      </c>
      <c r="I2907" s="115">
        <v>10.73</v>
      </c>
      <c r="J2907" s="23">
        <v>12</v>
      </c>
      <c r="K2907" s="25">
        <v>3</v>
      </c>
      <c r="L2907" s="100">
        <f>(I2907*J2907*K2907/1000)</f>
        <v>0.38627999999999996</v>
      </c>
      <c r="M2907" s="20"/>
      <c r="N2907" s="20"/>
      <c r="O2907" s="20"/>
      <c r="P2907" s="20"/>
      <c r="Q2907" s="155"/>
      <c r="R2907" s="155"/>
    </row>
    <row r="2908" spans="1:19" ht="15.6">
      <c r="A2908" s="20"/>
      <c r="B2908" s="20"/>
      <c r="C2908" s="20"/>
      <c r="D2908" s="20"/>
      <c r="E2908" s="20"/>
      <c r="F2908" s="20"/>
      <c r="G2908" s="20"/>
      <c r="H2908" s="20"/>
      <c r="I2908" s="115"/>
      <c r="J2908" s="23"/>
      <c r="K2908" s="25">
        <f>SUM(K2906:K2907)</f>
        <v>8</v>
      </c>
      <c r="L2908" s="23">
        <f>SUM(L2906:L2907)</f>
        <v>0.94960500000000003</v>
      </c>
      <c r="M2908" s="20"/>
      <c r="N2908" s="20"/>
      <c r="O2908" s="20"/>
      <c r="P2908" s="20"/>
      <c r="Q2908" s="155"/>
      <c r="R2908" s="155"/>
    </row>
    <row r="2909" spans="1:19" s="497" customFormat="1" ht="15.6">
      <c r="A2909" s="20"/>
      <c r="B2909" s="20"/>
      <c r="C2909" s="20"/>
      <c r="D2909" s="20"/>
      <c r="E2909" s="20"/>
      <c r="F2909" s="20"/>
      <c r="G2909" s="20"/>
      <c r="H2909" s="20"/>
      <c r="I2909" s="115"/>
      <c r="J2909" s="23"/>
      <c r="K2909" s="25"/>
      <c r="L2909" s="23"/>
      <c r="M2909" s="20"/>
      <c r="N2909" s="20"/>
      <c r="O2909" s="20"/>
      <c r="P2909" s="20"/>
      <c r="Q2909" s="155"/>
      <c r="R2909" s="155"/>
    </row>
    <row r="2910" spans="1:19" ht="15.6">
      <c r="A2910" s="21" t="s">
        <v>395</v>
      </c>
      <c r="B2910" s="21" t="s">
        <v>396</v>
      </c>
      <c r="C2910" s="21" t="s">
        <v>19</v>
      </c>
      <c r="D2910" s="21" t="s">
        <v>49</v>
      </c>
      <c r="E2910" s="21" t="s">
        <v>359</v>
      </c>
      <c r="F2910" s="22">
        <v>12</v>
      </c>
      <c r="G2910" s="612" t="s">
        <v>21</v>
      </c>
      <c r="H2910" s="735" t="s">
        <v>119</v>
      </c>
      <c r="I2910" s="613">
        <v>10.73</v>
      </c>
      <c r="J2910" s="610">
        <v>12</v>
      </c>
      <c r="K2910" s="609">
        <v>28</v>
      </c>
      <c r="L2910" s="100">
        <f>(I2910*J2910*K2910/1000)</f>
        <v>3.6052799999999996</v>
      </c>
      <c r="M2910" s="20"/>
      <c r="N2910" s="20"/>
      <c r="O2910" s="20"/>
      <c r="P2910" s="20"/>
      <c r="Q2910" s="155"/>
      <c r="R2910" s="155"/>
      <c r="S2910" s="497" t="s">
        <v>426</v>
      </c>
    </row>
    <row r="2911" spans="1:19" ht="15.6">
      <c r="A2911" s="20"/>
      <c r="B2911" s="184" t="s">
        <v>277</v>
      </c>
      <c r="C2911" s="20"/>
      <c r="D2911" s="20"/>
      <c r="E2911" s="20"/>
      <c r="F2911" s="20"/>
      <c r="G2911" s="612"/>
      <c r="H2911" s="612"/>
      <c r="I2911" s="613"/>
      <c r="J2911" s="610"/>
      <c r="K2911" s="609">
        <f t="shared" ref="K2911:L2911" si="502">SUM(K2910)</f>
        <v>28</v>
      </c>
      <c r="L2911" s="610">
        <f t="shared" si="502"/>
        <v>3.6052799999999996</v>
      </c>
      <c r="M2911" s="20"/>
      <c r="N2911" s="20"/>
      <c r="O2911" s="20"/>
      <c r="P2911" s="20"/>
      <c r="Q2911" s="155"/>
      <c r="R2911" s="155"/>
    </row>
    <row r="2912" spans="1:19" s="497" customFormat="1" ht="15.6">
      <c r="A2912" s="20"/>
      <c r="B2912" s="184"/>
      <c r="C2912" s="20"/>
      <c r="D2912" s="20"/>
      <c r="E2912" s="20"/>
      <c r="F2912" s="20"/>
      <c r="G2912" s="612"/>
      <c r="H2912" s="612"/>
      <c r="I2912" s="613"/>
      <c r="J2912" s="610"/>
      <c r="K2912" s="609"/>
      <c r="L2912" s="610">
        <f>SUM(L2886:L2911)/2</f>
        <v>66.244422999999983</v>
      </c>
      <c r="M2912" s="20"/>
      <c r="N2912" s="20"/>
      <c r="O2912" s="20"/>
      <c r="P2912" s="20"/>
      <c r="Q2912" s="155"/>
      <c r="R2912" s="155"/>
    </row>
    <row r="2913" spans="1:21" s="497" customFormat="1" ht="15.6">
      <c r="A2913" s="20"/>
      <c r="B2913" s="184"/>
      <c r="C2913" s="20"/>
      <c r="D2913" s="20"/>
      <c r="E2913" s="20"/>
      <c r="F2913" s="20"/>
      <c r="G2913" s="612"/>
      <c r="H2913" s="612"/>
      <c r="I2913" s="613"/>
      <c r="J2913" s="610"/>
      <c r="K2913" s="609"/>
      <c r="L2913" s="610"/>
      <c r="M2913" s="20"/>
      <c r="N2913" s="20"/>
      <c r="O2913" s="20"/>
      <c r="P2913" s="20"/>
      <c r="Q2913" s="155"/>
      <c r="R2913" s="155"/>
    </row>
    <row r="2914" spans="1:21" ht="15.6">
      <c r="A2914" s="21" t="s">
        <v>332</v>
      </c>
      <c r="B2914" s="21" t="s">
        <v>381</v>
      </c>
      <c r="C2914" s="21" t="s">
        <v>19</v>
      </c>
      <c r="D2914" s="21" t="s">
        <v>20</v>
      </c>
      <c r="E2914" s="21" t="s">
        <v>47</v>
      </c>
      <c r="F2914" s="22">
        <v>12</v>
      </c>
      <c r="G2914" s="20" t="s">
        <v>21</v>
      </c>
      <c r="H2914" s="143" t="s">
        <v>118</v>
      </c>
      <c r="I2914" s="115">
        <v>9.26</v>
      </c>
      <c r="J2914" s="23">
        <v>7.8</v>
      </c>
      <c r="K2914" s="25">
        <v>43</v>
      </c>
      <c r="L2914" s="100">
        <f t="shared" ref="L2914:L2919" si="503">(I2914*J2914*K2914/1000)</f>
        <v>3.1058039999999996</v>
      </c>
      <c r="M2914" s="20"/>
      <c r="N2914" s="20"/>
      <c r="O2914" s="20"/>
      <c r="P2914" s="20"/>
      <c r="Q2914" s="155"/>
      <c r="R2914" s="155"/>
      <c r="S2914">
        <f>25+5+11</f>
        <v>41</v>
      </c>
      <c r="T2914" s="126">
        <f>J2914*S2914*I2914/1000</f>
        <v>2.9613480000000001</v>
      </c>
      <c r="U2914" s="497" t="s">
        <v>426</v>
      </c>
    </row>
    <row r="2915" spans="1:21" ht="15.6">
      <c r="A2915" s="20"/>
      <c r="B2915" s="503" t="s">
        <v>340</v>
      </c>
      <c r="C2915" s="20"/>
      <c r="D2915" s="20"/>
      <c r="E2915" s="20"/>
      <c r="F2915" s="20"/>
      <c r="G2915" s="20" t="s">
        <v>21</v>
      </c>
      <c r="H2915" s="20" t="s">
        <v>118</v>
      </c>
      <c r="I2915" s="115">
        <v>9.26</v>
      </c>
      <c r="J2915" s="23">
        <v>8.1999999999999993</v>
      </c>
      <c r="K2915" s="25">
        <v>22</v>
      </c>
      <c r="L2915" s="100">
        <f t="shared" si="503"/>
        <v>1.6705039999999998</v>
      </c>
      <c r="M2915" s="20"/>
      <c r="N2915" s="20"/>
      <c r="O2915" s="20"/>
      <c r="P2915" s="20"/>
      <c r="Q2915" s="155"/>
      <c r="R2915" s="155"/>
      <c r="S2915">
        <f>2+5+1</f>
        <v>8</v>
      </c>
      <c r="T2915" s="126">
        <f t="shared" ref="T2915:T2918" si="504">J2915*S2915*I2915/1000</f>
        <v>0.60745599999999988</v>
      </c>
    </row>
    <row r="2916" spans="1:21" ht="15.6">
      <c r="A2916" s="20"/>
      <c r="B2916" s="20"/>
      <c r="C2916" s="20"/>
      <c r="D2916" s="20"/>
      <c r="E2916" s="20"/>
      <c r="F2916" s="20"/>
      <c r="G2916" s="20" t="s">
        <v>21</v>
      </c>
      <c r="H2916" s="20" t="s">
        <v>118</v>
      </c>
      <c r="I2916" s="115">
        <v>9.26</v>
      </c>
      <c r="J2916" s="23">
        <v>8.8000000000000007</v>
      </c>
      <c r="K2916" s="25">
        <v>87</v>
      </c>
      <c r="L2916" s="100">
        <f t="shared" si="503"/>
        <v>7.0894560000000002</v>
      </c>
      <c r="M2916" s="20"/>
      <c r="N2916" s="20"/>
      <c r="O2916" s="20"/>
      <c r="P2916" s="20"/>
      <c r="Q2916" s="155"/>
      <c r="R2916" s="155"/>
      <c r="S2916">
        <f>25+17+23</f>
        <v>65</v>
      </c>
      <c r="T2916" s="126">
        <f t="shared" si="504"/>
        <v>5.2967200000000005</v>
      </c>
    </row>
    <row r="2917" spans="1:21" ht="15.6">
      <c r="A2917" s="20"/>
      <c r="B2917" s="20"/>
      <c r="C2917" s="20"/>
      <c r="D2917" s="20"/>
      <c r="E2917" s="20"/>
      <c r="F2917" s="20"/>
      <c r="G2917" s="20" t="s">
        <v>21</v>
      </c>
      <c r="H2917" s="20" t="s">
        <v>118</v>
      </c>
      <c r="I2917" s="115">
        <v>9.26</v>
      </c>
      <c r="J2917" s="23">
        <v>9.5</v>
      </c>
      <c r="K2917" s="25">
        <v>18</v>
      </c>
      <c r="L2917" s="100">
        <f t="shared" si="503"/>
        <v>1.5834600000000001</v>
      </c>
      <c r="M2917" s="20"/>
      <c r="N2917" s="20"/>
      <c r="O2917" s="20"/>
      <c r="P2917" s="20"/>
      <c r="Q2917" s="155"/>
      <c r="R2917" s="155"/>
      <c r="S2917">
        <v>8</v>
      </c>
      <c r="T2917" s="126">
        <f t="shared" si="504"/>
        <v>0.70375999999999994</v>
      </c>
    </row>
    <row r="2918" spans="1:21" ht="15.6">
      <c r="A2918" s="20"/>
      <c r="B2918" s="20"/>
      <c r="C2918" s="20"/>
      <c r="D2918" s="20"/>
      <c r="E2918" s="20"/>
      <c r="F2918" s="20"/>
      <c r="G2918" s="20" t="s">
        <v>21</v>
      </c>
      <c r="H2918" s="20" t="s">
        <v>118</v>
      </c>
      <c r="I2918" s="115">
        <v>9.26</v>
      </c>
      <c r="J2918" s="23">
        <v>11.2</v>
      </c>
      <c r="K2918" s="25">
        <v>36</v>
      </c>
      <c r="L2918" s="100">
        <f t="shared" si="503"/>
        <v>3.7336319999999996</v>
      </c>
      <c r="M2918" s="20"/>
      <c r="N2918" s="20"/>
      <c r="O2918" s="20"/>
      <c r="P2918" s="20"/>
      <c r="Q2918" s="155"/>
      <c r="R2918" s="155"/>
      <c r="S2918">
        <f>9+10</f>
        <v>19</v>
      </c>
      <c r="T2918" s="126">
        <f t="shared" si="504"/>
        <v>1.9705279999999998</v>
      </c>
    </row>
    <row r="2919" spans="1:21" ht="15.6">
      <c r="A2919" s="20"/>
      <c r="B2919" s="20"/>
      <c r="C2919" s="20"/>
      <c r="D2919" s="20"/>
      <c r="E2919" s="20"/>
      <c r="F2919" s="20"/>
      <c r="G2919" s="20" t="s">
        <v>21</v>
      </c>
      <c r="H2919" s="20" t="s">
        <v>118</v>
      </c>
      <c r="I2919" s="115">
        <v>9.26</v>
      </c>
      <c r="J2919" s="23">
        <v>12</v>
      </c>
      <c r="K2919" s="25">
        <v>62</v>
      </c>
      <c r="L2919" s="100">
        <f t="shared" si="503"/>
        <v>6.8894400000000005</v>
      </c>
      <c r="M2919" s="20"/>
      <c r="N2919" s="20"/>
      <c r="O2919" s="20"/>
      <c r="P2919" s="20"/>
      <c r="Q2919" s="155"/>
      <c r="R2919" s="155"/>
      <c r="S2919">
        <f>28+3+29</f>
        <v>60</v>
      </c>
      <c r="T2919" s="126">
        <f>J2919*S2919*I2919/1000</f>
        <v>6.6672000000000002</v>
      </c>
    </row>
    <row r="2920" spans="1:21" ht="15.6">
      <c r="A2920" s="20"/>
      <c r="B2920" s="20"/>
      <c r="C2920" s="20"/>
      <c r="D2920" s="20"/>
      <c r="E2920" s="20"/>
      <c r="F2920" s="20"/>
      <c r="G2920" s="20"/>
      <c r="H2920" s="20"/>
      <c r="I2920" s="115"/>
      <c r="J2920" s="23"/>
      <c r="K2920" s="25">
        <f>SUM(K2914:K2919)</f>
        <v>268</v>
      </c>
      <c r="L2920" s="23">
        <f>SUM(L2914:L2919)</f>
        <v>24.072295999999998</v>
      </c>
      <c r="M2920" s="20"/>
      <c r="N2920" s="20"/>
      <c r="O2920" s="20"/>
      <c r="P2920" s="20"/>
      <c r="Q2920" s="20"/>
      <c r="R2920" s="20"/>
      <c r="S2920" s="25">
        <f>SUM(S2914:S2919)</f>
        <v>201</v>
      </c>
      <c r="T2920" s="23">
        <f>SUM(T2914:T2919)</f>
        <v>18.207011999999999</v>
      </c>
    </row>
    <row r="2921" spans="1:21" s="497" customFormat="1" ht="15.6">
      <c r="A2921" s="20"/>
      <c r="B2921" s="20"/>
      <c r="C2921" s="20"/>
      <c r="D2921" s="20"/>
      <c r="E2921" s="20"/>
      <c r="F2921" s="20"/>
      <c r="G2921" s="20"/>
      <c r="H2921" s="20"/>
      <c r="I2921" s="115"/>
      <c r="J2921" s="23"/>
      <c r="K2921" s="25"/>
      <c r="L2921" s="23"/>
      <c r="M2921" s="20"/>
      <c r="N2921" s="20"/>
      <c r="O2921" s="20"/>
      <c r="P2921" s="20"/>
      <c r="Q2921" s="155"/>
      <c r="R2921" s="155"/>
    </row>
    <row r="2922" spans="1:21" ht="15.6">
      <c r="A2922" s="21" t="s">
        <v>174</v>
      </c>
      <c r="B2922" s="21" t="s">
        <v>394</v>
      </c>
      <c r="C2922" s="21" t="s">
        <v>19</v>
      </c>
      <c r="D2922" s="21" t="s">
        <v>20</v>
      </c>
      <c r="E2922" s="21" t="s">
        <v>47</v>
      </c>
      <c r="F2922" s="22">
        <v>12</v>
      </c>
      <c r="G2922" s="296" t="s">
        <v>21</v>
      </c>
      <c r="H2922" s="143" t="s">
        <v>118</v>
      </c>
      <c r="I2922" s="452">
        <v>9.26</v>
      </c>
      <c r="J2922" s="444">
        <v>8.8000000000000007</v>
      </c>
      <c r="K2922" s="445">
        <v>58</v>
      </c>
      <c r="L2922" s="100">
        <f t="shared" ref="L2922:L2924" si="505">(I2922*J2922*K2922/1000)</f>
        <v>4.7263039999999998</v>
      </c>
      <c r="M2922" s="20"/>
      <c r="N2922" s="20"/>
      <c r="O2922" s="20"/>
      <c r="P2922" s="20"/>
      <c r="Q2922" s="155"/>
      <c r="R2922" s="155"/>
      <c r="U2922" s="497" t="s">
        <v>426</v>
      </c>
    </row>
    <row r="2923" spans="1:21" ht="15.6">
      <c r="A2923" s="20"/>
      <c r="B2923" s="503"/>
      <c r="C2923" s="20"/>
      <c r="D2923" s="20"/>
      <c r="E2923" s="20"/>
      <c r="F2923" s="20"/>
      <c r="G2923" s="296" t="s">
        <v>21</v>
      </c>
      <c r="H2923" s="296" t="s">
        <v>118</v>
      </c>
      <c r="I2923" s="452">
        <v>9.26</v>
      </c>
      <c r="J2923" s="444">
        <v>10.3</v>
      </c>
      <c r="K2923" s="445">
        <v>32</v>
      </c>
      <c r="L2923" s="100">
        <f t="shared" si="505"/>
        <v>3.0520960000000001</v>
      </c>
      <c r="M2923" s="20"/>
      <c r="N2923" s="20"/>
      <c r="O2923" s="20"/>
      <c r="P2923" s="20"/>
      <c r="Q2923" s="155"/>
      <c r="R2923" s="155"/>
      <c r="S2923">
        <f>17+2</f>
        <v>19</v>
      </c>
      <c r="T2923" s="126">
        <f t="shared" ref="T2923:T2924" si="506">J2923*S2923*I2923/1000</f>
        <v>1.812182</v>
      </c>
    </row>
    <row r="2924" spans="1:21" ht="15.6">
      <c r="A2924" s="20"/>
      <c r="B2924" s="20"/>
      <c r="C2924" s="20"/>
      <c r="D2924" s="20"/>
      <c r="E2924" s="20"/>
      <c r="F2924" s="20"/>
      <c r="G2924" s="296" t="s">
        <v>21</v>
      </c>
      <c r="H2924" s="296" t="s">
        <v>118</v>
      </c>
      <c r="I2924" s="452">
        <v>9.26</v>
      </c>
      <c r="J2924" s="444">
        <v>11.9</v>
      </c>
      <c r="K2924" s="445">
        <v>13</v>
      </c>
      <c r="L2924" s="100">
        <f t="shared" si="505"/>
        <v>1.4325219999999999</v>
      </c>
      <c r="M2924" s="20"/>
      <c r="N2924" s="20"/>
      <c r="O2924" s="20"/>
      <c r="P2924" s="20"/>
      <c r="Q2924" s="155"/>
      <c r="R2924" s="155"/>
      <c r="S2924">
        <v>8</v>
      </c>
      <c r="T2924" s="126">
        <f t="shared" si="506"/>
        <v>0.881552</v>
      </c>
    </row>
    <row r="2925" spans="1:21" ht="15.6">
      <c r="A2925" s="20"/>
      <c r="B2925" s="20"/>
      <c r="C2925" s="20"/>
      <c r="D2925" s="20"/>
      <c r="E2925" s="20"/>
      <c r="F2925" s="20"/>
      <c r="G2925" s="296"/>
      <c r="H2925" s="296"/>
      <c r="I2925" s="452"/>
      <c r="J2925" s="611"/>
      <c r="K2925" s="445">
        <f t="shared" ref="K2925:L2925" si="507">SUM(K2922:K2924)</f>
        <v>103</v>
      </c>
      <c r="L2925" s="444">
        <f t="shared" si="507"/>
        <v>9.2109220000000001</v>
      </c>
      <c r="M2925" s="20"/>
      <c r="N2925" s="20"/>
      <c r="O2925" s="20"/>
      <c r="P2925" s="20"/>
      <c r="Q2925" s="20"/>
      <c r="R2925" s="20"/>
      <c r="S2925" s="445">
        <f t="shared" ref="S2925:T2925" si="508">SUM(S2922:S2924)</f>
        <v>27</v>
      </c>
      <c r="T2925" s="444">
        <f t="shared" si="508"/>
        <v>2.6937340000000001</v>
      </c>
    </row>
    <row r="2926" spans="1:21" s="497" customFormat="1" ht="15.6">
      <c r="A2926" s="20"/>
      <c r="B2926" s="20"/>
      <c r="C2926" s="20"/>
      <c r="D2926" s="20"/>
      <c r="E2926" s="20"/>
      <c r="F2926" s="20"/>
      <c r="G2926" s="296"/>
      <c r="H2926" s="296"/>
      <c r="I2926" s="452"/>
      <c r="J2926" s="611"/>
      <c r="K2926" s="445"/>
      <c r="L2926" s="444"/>
      <c r="M2926" s="20"/>
      <c r="N2926" s="20"/>
      <c r="O2926" s="20"/>
      <c r="P2926" s="20"/>
      <c r="Q2926" s="155"/>
      <c r="R2926" s="155"/>
    </row>
    <row r="2927" spans="1:21" ht="15.6">
      <c r="A2927" s="21" t="s">
        <v>332</v>
      </c>
      <c r="B2927" s="21" t="s">
        <v>382</v>
      </c>
      <c r="C2927" s="21" t="s">
        <v>19</v>
      </c>
      <c r="D2927" s="21" t="s">
        <v>49</v>
      </c>
      <c r="E2927" s="21" t="s">
        <v>359</v>
      </c>
      <c r="F2927" s="22">
        <v>12</v>
      </c>
      <c r="G2927" s="20" t="s">
        <v>21</v>
      </c>
      <c r="H2927" s="143" t="s">
        <v>118</v>
      </c>
      <c r="I2927" s="115">
        <v>9.26</v>
      </c>
      <c r="J2927" s="23">
        <v>7</v>
      </c>
      <c r="K2927" s="25">
        <v>9</v>
      </c>
      <c r="L2927" s="100">
        <f t="shared" ref="L2927:L2929" si="509">(I2927*J2927*K2927/1000)</f>
        <v>0.5833799999999999</v>
      </c>
      <c r="M2927" s="20"/>
      <c r="N2927" s="20"/>
      <c r="O2927" s="20"/>
      <c r="P2927" s="20"/>
      <c r="Q2927" s="155"/>
      <c r="R2927" s="155"/>
      <c r="S2927">
        <f>4+2</f>
        <v>6</v>
      </c>
      <c r="T2927" s="126">
        <f>J2927*S2927*I2927/1000</f>
        <v>0.38892000000000004</v>
      </c>
      <c r="U2927" s="497" t="s">
        <v>426</v>
      </c>
    </row>
    <row r="2928" spans="1:21" ht="15.6">
      <c r="A2928" s="20"/>
      <c r="B2928" s="21" t="s">
        <v>331</v>
      </c>
      <c r="C2928" s="20"/>
      <c r="D2928" s="20"/>
      <c r="E2928" s="20"/>
      <c r="F2928" s="20"/>
      <c r="G2928" s="20" t="s">
        <v>21</v>
      </c>
      <c r="H2928" s="20" t="s">
        <v>118</v>
      </c>
      <c r="I2928" s="115">
        <v>9.26</v>
      </c>
      <c r="J2928" s="23">
        <v>8</v>
      </c>
      <c r="K2928" s="25">
        <v>17</v>
      </c>
      <c r="L2928" s="100">
        <f t="shared" si="509"/>
        <v>1.2593599999999998</v>
      </c>
      <c r="M2928" s="20"/>
      <c r="N2928" s="20"/>
      <c r="O2928" s="20"/>
      <c r="P2928" s="20"/>
      <c r="Q2928" s="155"/>
      <c r="R2928" s="155"/>
      <c r="S2928">
        <f>13+4</f>
        <v>17</v>
      </c>
      <c r="T2928" s="126">
        <f>J2928*S2928*I2928/1000</f>
        <v>1.2593599999999998</v>
      </c>
    </row>
    <row r="2929" spans="1:21" ht="15.6">
      <c r="A2929" s="20"/>
      <c r="B2929" s="20"/>
      <c r="C2929" s="20"/>
      <c r="D2929" s="20"/>
      <c r="E2929" s="20"/>
      <c r="F2929" s="20"/>
      <c r="G2929" s="20" t="s">
        <v>21</v>
      </c>
      <c r="H2929" s="20" t="s">
        <v>118</v>
      </c>
      <c r="I2929" s="115">
        <v>9.26</v>
      </c>
      <c r="J2929" s="23">
        <v>11.6</v>
      </c>
      <c r="K2929" s="25">
        <v>21</v>
      </c>
      <c r="L2929" s="100">
        <f t="shared" si="509"/>
        <v>2.2557359999999997</v>
      </c>
      <c r="M2929" s="20"/>
      <c r="N2929" s="20"/>
      <c r="O2929" s="20"/>
      <c r="P2929" s="20"/>
      <c r="Q2929" s="155"/>
      <c r="R2929" s="155"/>
      <c r="S2929">
        <v>10</v>
      </c>
      <c r="T2929" s="126">
        <f>J2929*S2929*I2929/1000</f>
        <v>1.07416</v>
      </c>
    </row>
    <row r="2930" spans="1:21" ht="15.6">
      <c r="A2930" s="20"/>
      <c r="B2930" s="20"/>
      <c r="C2930" s="20"/>
      <c r="D2930" s="20"/>
      <c r="E2930" s="20"/>
      <c r="F2930" s="20"/>
      <c r="G2930" s="20"/>
      <c r="H2930" s="20"/>
      <c r="I2930" s="115"/>
      <c r="J2930" s="23"/>
      <c r="K2930" s="25">
        <f t="shared" ref="K2930:L2930" si="510">SUM(K2927:K2929)</f>
        <v>47</v>
      </c>
      <c r="L2930" s="23">
        <f t="shared" si="510"/>
        <v>4.0984759999999998</v>
      </c>
      <c r="M2930" s="20"/>
      <c r="N2930" s="20"/>
      <c r="O2930" s="20"/>
      <c r="P2930" s="20"/>
      <c r="Q2930" s="20"/>
      <c r="R2930" s="20"/>
      <c r="S2930" s="25">
        <f t="shared" ref="S2930" si="511">SUM(S2927:S2929)</f>
        <v>33</v>
      </c>
      <c r="T2930" s="23">
        <f>SUM(T2927:T2929)</f>
        <v>2.7224399999999997</v>
      </c>
    </row>
    <row r="2931" spans="1:21" s="497" customFormat="1" ht="15.6">
      <c r="A2931" s="20"/>
      <c r="B2931" s="20"/>
      <c r="C2931" s="20"/>
      <c r="D2931" s="20"/>
      <c r="E2931" s="20"/>
      <c r="F2931" s="20"/>
      <c r="G2931" s="20"/>
      <c r="H2931" s="20"/>
      <c r="I2931" s="115"/>
      <c r="J2931" s="23"/>
      <c r="K2931" s="25"/>
      <c r="L2931" s="23"/>
      <c r="M2931" s="20"/>
      <c r="N2931" s="20"/>
      <c r="O2931" s="20"/>
      <c r="P2931" s="20"/>
      <c r="Q2931" s="155"/>
      <c r="R2931" s="155"/>
    </row>
    <row r="2932" spans="1:21" ht="15.6">
      <c r="A2932" s="21" t="s">
        <v>395</v>
      </c>
      <c r="B2932" s="21" t="s">
        <v>396</v>
      </c>
      <c r="C2932" s="21" t="s">
        <v>19</v>
      </c>
      <c r="D2932" s="21" t="s">
        <v>49</v>
      </c>
      <c r="E2932" s="21" t="s">
        <v>359</v>
      </c>
      <c r="F2932" s="22">
        <v>12</v>
      </c>
      <c r="G2932" s="612" t="s">
        <v>21</v>
      </c>
      <c r="H2932" s="735" t="s">
        <v>118</v>
      </c>
      <c r="I2932" s="613">
        <v>9.26</v>
      </c>
      <c r="J2932" s="610">
        <v>12</v>
      </c>
      <c r="K2932" s="609">
        <v>32</v>
      </c>
      <c r="L2932" s="100">
        <f>(I2932*J2932*K2932/1000)</f>
        <v>3.5558400000000003</v>
      </c>
      <c r="M2932" s="20"/>
      <c r="N2932" s="20"/>
      <c r="O2932" s="20"/>
      <c r="P2932" s="20"/>
      <c r="Q2932" s="155"/>
      <c r="R2932" s="155"/>
      <c r="S2932">
        <v>20</v>
      </c>
      <c r="T2932" s="126">
        <f>J2932*S2932*I2932/1000</f>
        <v>2.2223999999999999</v>
      </c>
      <c r="U2932" s="497" t="s">
        <v>426</v>
      </c>
    </row>
    <row r="2933" spans="1:21" ht="15.6">
      <c r="A2933" s="20"/>
      <c r="B2933" s="184" t="s">
        <v>277</v>
      </c>
      <c r="C2933" s="20"/>
      <c r="D2933" s="20"/>
      <c r="E2933" s="20"/>
      <c r="F2933" s="20"/>
      <c r="G2933" s="612"/>
      <c r="H2933" s="612"/>
      <c r="I2933" s="613"/>
      <c r="J2933" s="610"/>
      <c r="K2933" s="609">
        <f t="shared" ref="K2933" si="512">SUM(K2932)</f>
        <v>32</v>
      </c>
      <c r="L2933" s="610">
        <f>SUM(L2932)</f>
        <v>3.5558400000000003</v>
      </c>
      <c r="M2933" s="20"/>
      <c r="N2933" s="20"/>
      <c r="O2933" s="20"/>
      <c r="P2933" s="20"/>
      <c r="Q2933" s="20"/>
      <c r="R2933" s="20"/>
      <c r="S2933" s="609">
        <f t="shared" ref="S2933" si="513">SUM(S2932)</f>
        <v>20</v>
      </c>
      <c r="T2933" s="610">
        <f>SUM(T2932)</f>
        <v>2.2223999999999999</v>
      </c>
    </row>
    <row r="2934" spans="1:21" s="497" customFormat="1" ht="15.6">
      <c r="A2934" s="20"/>
      <c r="B2934" s="184"/>
      <c r="C2934" s="20"/>
      <c r="D2934" s="20"/>
      <c r="E2934" s="20"/>
      <c r="F2934" s="20"/>
      <c r="G2934" s="612"/>
      <c r="H2934" s="612"/>
      <c r="I2934" s="613"/>
      <c r="J2934" s="610"/>
      <c r="K2934" s="609"/>
      <c r="L2934" s="610">
        <f>SUM(L2914:L2933)/2</f>
        <v>40.937534000000007</v>
      </c>
      <c r="M2934" s="20"/>
      <c r="N2934" s="20"/>
      <c r="O2934" s="20"/>
      <c r="P2934" s="20"/>
      <c r="Q2934" s="155"/>
      <c r="R2934" s="155"/>
      <c r="T2934" s="610">
        <f>SUM(T2914:T2933)/2</f>
        <v>25.845585999999997</v>
      </c>
    </row>
    <row r="2935" spans="1:21" s="497" customFormat="1" ht="15.6">
      <c r="A2935" s="20"/>
      <c r="B2935" s="184"/>
      <c r="C2935" s="20"/>
      <c r="D2935" s="20"/>
      <c r="E2935" s="20"/>
      <c r="F2935" s="20"/>
      <c r="G2935" s="612"/>
      <c r="H2935" s="612"/>
      <c r="I2935" s="613"/>
      <c r="J2935" s="610"/>
      <c r="K2935" s="609"/>
      <c r="L2935" s="610"/>
      <c r="M2935" s="20"/>
      <c r="N2935" s="20"/>
      <c r="O2935" s="20"/>
      <c r="P2935" s="20"/>
      <c r="Q2935" s="155"/>
      <c r="R2935" s="155"/>
    </row>
    <row r="2936" spans="1:21" s="497" customFormat="1" ht="15.6">
      <c r="A2936" s="20"/>
      <c r="B2936" s="184"/>
      <c r="C2936" s="20"/>
      <c r="D2936" s="20"/>
      <c r="E2936" s="20"/>
      <c r="F2936" s="20"/>
      <c r="G2936" s="612"/>
      <c r="H2936" s="612"/>
      <c r="I2936" s="613"/>
      <c r="J2936" s="610"/>
      <c r="K2936" s="609"/>
      <c r="L2936" s="610"/>
      <c r="M2936" s="20"/>
      <c r="N2936" s="20"/>
      <c r="O2936" s="20"/>
      <c r="P2936" s="20"/>
      <c r="Q2936" s="155"/>
      <c r="R2936" s="155"/>
    </row>
    <row r="2937" spans="1:21" s="497" customFormat="1" ht="15.6">
      <c r="A2937" s="20"/>
      <c r="B2937" s="184"/>
      <c r="C2937" s="20"/>
      <c r="D2937" s="20"/>
      <c r="E2937" s="20"/>
      <c r="F2937" s="20"/>
      <c r="G2937" s="612"/>
      <c r="H2937" s="612"/>
      <c r="I2937" s="613"/>
      <c r="J2937" s="610"/>
      <c r="K2937" s="609"/>
      <c r="L2937" s="610"/>
      <c r="M2937" s="20"/>
      <c r="N2937" s="20"/>
      <c r="O2937" s="20"/>
      <c r="P2937" s="20"/>
      <c r="Q2937" s="155"/>
      <c r="R2937" s="155"/>
    </row>
    <row r="2938" spans="1:21" ht="15.6">
      <c r="A2938" s="20"/>
      <c r="B2938" s="20"/>
      <c r="C2938" s="20"/>
      <c r="D2938" s="20"/>
      <c r="E2938" s="20"/>
      <c r="F2938" s="20"/>
      <c r="G2938" s="20"/>
      <c r="H2938" s="20"/>
      <c r="I2938" s="115"/>
      <c r="J2938" s="23"/>
      <c r="K2938" s="211"/>
      <c r="L2938" s="131"/>
      <c r="M2938" s="20"/>
      <c r="N2938" s="20"/>
      <c r="O2938" s="20"/>
      <c r="P2938" s="20"/>
      <c r="Q2938" s="155"/>
      <c r="R2938" s="155"/>
    </row>
    <row r="2939" spans="1:21" ht="15.6">
      <c r="A2939" s="21" t="s">
        <v>332</v>
      </c>
      <c r="B2939" s="21" t="s">
        <v>381</v>
      </c>
      <c r="C2939" s="21" t="s">
        <v>19</v>
      </c>
      <c r="D2939" s="21" t="s">
        <v>20</v>
      </c>
      <c r="E2939" s="21" t="s">
        <v>47</v>
      </c>
      <c r="F2939" s="22">
        <v>12</v>
      </c>
      <c r="G2939" s="20" t="s">
        <v>21</v>
      </c>
      <c r="H2939" s="143" t="s">
        <v>205</v>
      </c>
      <c r="I2939" s="115">
        <v>13.6</v>
      </c>
      <c r="J2939" s="23">
        <v>7.8</v>
      </c>
      <c r="K2939" s="25">
        <v>2</v>
      </c>
      <c r="L2939" s="100">
        <f>(I2939*J2939*K2939/1000)</f>
        <v>0.21215999999999999</v>
      </c>
      <c r="M2939" s="25">
        <v>2</v>
      </c>
      <c r="N2939" s="23">
        <f>J2939*M2939*I2939/1000</f>
        <v>0.21215999999999999</v>
      </c>
      <c r="O2939" s="20"/>
      <c r="P2939" s="20"/>
      <c r="Q2939" s="155"/>
      <c r="R2939" s="155"/>
      <c r="S2939" s="497" t="s">
        <v>426</v>
      </c>
    </row>
    <row r="2940" spans="1:21" ht="15.6">
      <c r="A2940" s="20"/>
      <c r="B2940" s="503" t="s">
        <v>340</v>
      </c>
      <c r="C2940" s="20"/>
      <c r="D2940" s="20"/>
      <c r="E2940" s="20"/>
      <c r="F2940" s="20"/>
      <c r="G2940" s="20"/>
      <c r="H2940" s="20"/>
      <c r="I2940" s="115"/>
      <c r="J2940" s="23"/>
      <c r="K2940" s="25">
        <f>SUM(K2939)</f>
        <v>2</v>
      </c>
      <c r="L2940" s="23">
        <f>SUM(L2939)</f>
        <v>0.21215999999999999</v>
      </c>
      <c r="M2940" s="25">
        <f>SUM(M2939)</f>
        <v>2</v>
      </c>
      <c r="N2940" s="23">
        <f>SUM(N2939)</f>
        <v>0.21215999999999999</v>
      </c>
      <c r="O2940" s="20"/>
      <c r="P2940" s="20"/>
      <c r="Q2940" s="155"/>
      <c r="R2940" s="155"/>
    </row>
    <row r="2941" spans="1:21" ht="15.6">
      <c r="A2941" s="20"/>
      <c r="B2941" s="20"/>
      <c r="C2941" s="20"/>
      <c r="D2941" s="20"/>
      <c r="E2941" s="20"/>
      <c r="F2941" s="20"/>
      <c r="G2941" s="20"/>
      <c r="H2941" s="20"/>
      <c r="I2941" s="115"/>
      <c r="J2941" s="23"/>
      <c r="K2941" s="211"/>
      <c r="L2941" s="131"/>
      <c r="M2941" s="20"/>
      <c r="N2941" s="20"/>
      <c r="O2941" s="20"/>
      <c r="P2941" s="20"/>
      <c r="Q2941" s="155"/>
      <c r="R2941" s="155"/>
    </row>
    <row r="2942" spans="1:21" ht="15.6">
      <c r="A2942" s="20"/>
      <c r="B2942" s="20"/>
      <c r="C2942" s="20"/>
      <c r="D2942" s="20"/>
      <c r="E2942" s="20"/>
      <c r="F2942" s="20"/>
      <c r="G2942" s="20"/>
      <c r="H2942" s="20"/>
      <c r="I2942" s="115"/>
      <c r="J2942" s="23"/>
      <c r="K2942" s="211"/>
      <c r="L2942" s="131"/>
      <c r="M2942" s="20"/>
      <c r="N2942" s="20"/>
      <c r="O2942" s="20"/>
      <c r="P2942" s="20"/>
      <c r="Q2942" s="155"/>
      <c r="R2942" s="155"/>
    </row>
    <row r="2943" spans="1:21" ht="15.6">
      <c r="A2943" s="21" t="s">
        <v>332</v>
      </c>
      <c r="B2943" s="21" t="s">
        <v>381</v>
      </c>
      <c r="C2943" s="21" t="s">
        <v>19</v>
      </c>
      <c r="D2943" s="21" t="s">
        <v>155</v>
      </c>
      <c r="E2943" s="21" t="s">
        <v>323</v>
      </c>
      <c r="F2943" s="22">
        <v>12</v>
      </c>
      <c r="G2943" s="20" t="s">
        <v>61</v>
      </c>
      <c r="H2943" s="143" t="s">
        <v>118</v>
      </c>
      <c r="I2943" s="115">
        <v>9.26</v>
      </c>
      <c r="J2943" s="23">
        <v>7.6</v>
      </c>
      <c r="K2943" s="25">
        <v>18</v>
      </c>
      <c r="L2943" s="100">
        <f t="shared" ref="L2943:L2944" si="514">(I2943*J2943*K2943/1000)</f>
        <v>1.2667679999999999</v>
      </c>
      <c r="M2943" s="20"/>
      <c r="N2943" s="20"/>
      <c r="O2943" s="20"/>
      <c r="P2943" s="20"/>
      <c r="Q2943" s="155"/>
      <c r="R2943" s="155"/>
      <c r="S2943" s="497" t="s">
        <v>426</v>
      </c>
    </row>
    <row r="2944" spans="1:21" ht="15.6">
      <c r="A2944" s="20"/>
      <c r="B2944" s="503" t="s">
        <v>340</v>
      </c>
      <c r="C2944" s="37"/>
      <c r="D2944" s="37"/>
      <c r="E2944" s="37"/>
      <c r="F2944" s="37"/>
      <c r="G2944" s="20" t="s">
        <v>61</v>
      </c>
      <c r="H2944" s="20" t="s">
        <v>118</v>
      </c>
      <c r="I2944" s="115">
        <v>9.26</v>
      </c>
      <c r="J2944" s="23">
        <v>11.7</v>
      </c>
      <c r="K2944" s="25">
        <v>5</v>
      </c>
      <c r="L2944" s="100">
        <f t="shared" si="514"/>
        <v>0.54170999999999991</v>
      </c>
      <c r="M2944" s="20"/>
      <c r="N2944" s="20"/>
      <c r="O2944" s="20"/>
      <c r="P2944" s="20"/>
      <c r="Q2944" s="155"/>
      <c r="R2944" s="155"/>
    </row>
    <row r="2945" spans="1:19" ht="15.6">
      <c r="A2945" s="20"/>
      <c r="B2945" s="20"/>
      <c r="C2945" s="20"/>
      <c r="D2945" s="20"/>
      <c r="E2945" s="20"/>
      <c r="F2945" s="20"/>
      <c r="G2945" s="20"/>
      <c r="H2945" s="20"/>
      <c r="I2945" s="115"/>
      <c r="J2945" s="23"/>
      <c r="K2945" s="25">
        <f>SUM(K2943:K2944)</f>
        <v>23</v>
      </c>
      <c r="L2945" s="23">
        <f>SUM(L2943:L2944)</f>
        <v>1.8084779999999998</v>
      </c>
      <c r="M2945" s="20"/>
      <c r="N2945" s="20"/>
      <c r="O2945" s="20"/>
      <c r="P2945" s="20"/>
      <c r="Q2945" s="155"/>
      <c r="R2945" s="155"/>
    </row>
    <row r="2946" spans="1:19" s="497" customFormat="1" ht="15.6">
      <c r="A2946" s="20"/>
      <c r="B2946" s="20"/>
      <c r="C2946" s="20"/>
      <c r="D2946" s="20"/>
      <c r="E2946" s="20"/>
      <c r="F2946" s="20"/>
      <c r="G2946" s="20"/>
      <c r="H2946" s="20"/>
      <c r="I2946" s="115"/>
      <c r="J2946" s="23"/>
      <c r="K2946" s="25"/>
      <c r="L2946" s="23"/>
      <c r="M2946" s="20"/>
      <c r="N2946" s="20"/>
      <c r="O2946" s="20"/>
      <c r="P2946" s="20"/>
      <c r="Q2946" s="155"/>
      <c r="R2946" s="155"/>
    </row>
    <row r="2947" spans="1:19" ht="15.6">
      <c r="A2947" s="21" t="s">
        <v>332</v>
      </c>
      <c r="B2947" s="21" t="s">
        <v>382</v>
      </c>
      <c r="C2947" s="21" t="s">
        <v>19</v>
      </c>
      <c r="D2947" s="21" t="s">
        <v>155</v>
      </c>
      <c r="E2947" s="21" t="s">
        <v>270</v>
      </c>
      <c r="F2947" s="22">
        <v>8.5</v>
      </c>
      <c r="G2947" s="20" t="s">
        <v>61</v>
      </c>
      <c r="H2947" s="143" t="s">
        <v>118</v>
      </c>
      <c r="I2947" s="115">
        <v>9.26</v>
      </c>
      <c r="J2947" s="23">
        <v>6.9</v>
      </c>
      <c r="K2947" s="25">
        <v>4</v>
      </c>
      <c r="L2947" s="100">
        <f>(I2947*J2947*K2947/1000)</f>
        <v>0.25557599999999997</v>
      </c>
      <c r="M2947" s="20">
        <v>4</v>
      </c>
      <c r="N2947" s="23">
        <f>J2947*M2947*I2947/1000</f>
        <v>0.25557599999999997</v>
      </c>
      <c r="O2947" s="20"/>
      <c r="P2947" s="20"/>
      <c r="Q2947" s="155"/>
      <c r="R2947" s="155"/>
      <c r="S2947" s="497" t="s">
        <v>426</v>
      </c>
    </row>
    <row r="2948" spans="1:19" ht="15.6">
      <c r="A2948" s="20"/>
      <c r="B2948" s="21" t="s">
        <v>331</v>
      </c>
      <c r="C2948" s="37"/>
      <c r="D2948" s="37"/>
      <c r="E2948" s="37"/>
      <c r="F2948" s="37"/>
      <c r="G2948" s="20"/>
      <c r="H2948" s="20"/>
      <c r="I2948" s="115"/>
      <c r="J2948" s="23"/>
      <c r="K2948" s="25">
        <f>SUM(K2947)</f>
        <v>4</v>
      </c>
      <c r="L2948" s="23">
        <f>SUM(L2947)</f>
        <v>0.25557599999999997</v>
      </c>
      <c r="M2948" s="25">
        <f>SUM(M2947)</f>
        <v>4</v>
      </c>
      <c r="N2948" s="23">
        <f>SUM(N2947)</f>
        <v>0.25557599999999997</v>
      </c>
      <c r="O2948" s="20"/>
      <c r="P2948" s="20"/>
      <c r="Q2948" s="155"/>
      <c r="R2948" s="155"/>
    </row>
    <row r="2949" spans="1:19" s="497" customFormat="1" ht="15.6">
      <c r="A2949" s="20"/>
      <c r="B2949" s="21"/>
      <c r="C2949" s="37"/>
      <c r="D2949" s="37"/>
      <c r="E2949" s="37"/>
      <c r="F2949" s="37"/>
      <c r="G2949" s="20"/>
      <c r="H2949" s="20"/>
      <c r="I2949" s="115"/>
      <c r="J2949" s="23"/>
      <c r="K2949" s="25"/>
      <c r="L2949" s="23"/>
      <c r="M2949" s="20"/>
      <c r="N2949" s="20"/>
      <c r="O2949" s="20"/>
      <c r="P2949" s="20"/>
      <c r="Q2949" s="155"/>
      <c r="R2949" s="155"/>
    </row>
    <row r="2950" spans="1:19" ht="15.6">
      <c r="A2950" s="21" t="s">
        <v>332</v>
      </c>
      <c r="B2950" s="21" t="s">
        <v>382</v>
      </c>
      <c r="C2950" s="21" t="s">
        <v>19</v>
      </c>
      <c r="D2950" s="21" t="s">
        <v>155</v>
      </c>
      <c r="E2950" s="21" t="s">
        <v>270</v>
      </c>
      <c r="F2950" s="22">
        <v>8.5</v>
      </c>
      <c r="G2950" s="20" t="s">
        <v>61</v>
      </c>
      <c r="H2950" s="143" t="s">
        <v>118</v>
      </c>
      <c r="I2950" s="115">
        <v>9.26</v>
      </c>
      <c r="J2950" s="23">
        <v>11.3</v>
      </c>
      <c r="K2950" s="25">
        <v>18</v>
      </c>
      <c r="L2950" s="100">
        <f>(I2950*J2950*K2950/1000)</f>
        <v>1.8834840000000002</v>
      </c>
      <c r="M2950" s="20"/>
      <c r="N2950" s="20"/>
      <c r="O2950" s="20"/>
      <c r="P2950" s="20"/>
      <c r="Q2950" s="155"/>
      <c r="R2950" s="155"/>
      <c r="S2950" s="497" t="s">
        <v>426</v>
      </c>
    </row>
    <row r="2951" spans="1:19" ht="15.6">
      <c r="A2951" s="20"/>
      <c r="B2951" s="21" t="s">
        <v>331</v>
      </c>
      <c r="C2951" s="37"/>
      <c r="D2951" s="37"/>
      <c r="E2951" s="37"/>
      <c r="F2951" s="37"/>
      <c r="G2951" s="20"/>
      <c r="H2951" s="20"/>
      <c r="I2951" s="115"/>
      <c r="J2951" s="23"/>
      <c r="K2951" s="25">
        <f>SUM(K2950)</f>
        <v>18</v>
      </c>
      <c r="L2951" s="23">
        <f>SUM(L2950)</f>
        <v>1.8834840000000002</v>
      </c>
      <c r="M2951" s="20"/>
      <c r="N2951" s="20"/>
      <c r="O2951" s="20"/>
      <c r="P2951" s="20"/>
      <c r="Q2951" s="155"/>
      <c r="R2951" s="155"/>
    </row>
    <row r="2952" spans="1:19" s="497" customFormat="1" ht="15.6">
      <c r="A2952" s="20"/>
      <c r="B2952" s="21"/>
      <c r="C2952" s="37"/>
      <c r="D2952" s="37"/>
      <c r="E2952" s="37"/>
      <c r="F2952" s="37"/>
      <c r="G2952" s="20"/>
      <c r="H2952" s="20"/>
      <c r="I2952" s="115"/>
      <c r="J2952" s="23"/>
      <c r="K2952" s="25"/>
      <c r="L2952" s="23"/>
      <c r="M2952" s="20"/>
      <c r="N2952" s="20"/>
      <c r="O2952" s="20"/>
      <c r="P2952" s="20"/>
      <c r="Q2952" s="155"/>
      <c r="R2952" s="155"/>
    </row>
    <row r="2953" spans="1:19" ht="15.6">
      <c r="A2953" s="21" t="s">
        <v>395</v>
      </c>
      <c r="B2953" s="21" t="s">
        <v>385</v>
      </c>
      <c r="C2953" s="21" t="s">
        <v>19</v>
      </c>
      <c r="D2953" s="21" t="s">
        <v>155</v>
      </c>
      <c r="E2953" s="21" t="s">
        <v>270</v>
      </c>
      <c r="F2953" s="22">
        <v>8.5</v>
      </c>
      <c r="G2953" s="20" t="s">
        <v>61</v>
      </c>
      <c r="H2953" s="143" t="s">
        <v>118</v>
      </c>
      <c r="I2953" s="115">
        <v>9.26</v>
      </c>
      <c r="J2953" s="23">
        <v>12</v>
      </c>
      <c r="K2953" s="25">
        <v>7</v>
      </c>
      <c r="L2953" s="100">
        <f>(I2953*J2953*K2953/1000)</f>
        <v>0.77784000000000009</v>
      </c>
      <c r="M2953" s="20"/>
      <c r="N2953" s="20"/>
      <c r="O2953" s="20"/>
      <c r="P2953" s="20"/>
      <c r="Q2953" s="155"/>
      <c r="R2953" s="155"/>
      <c r="S2953" s="497" t="s">
        <v>426</v>
      </c>
    </row>
    <row r="2954" spans="1:19" ht="15.6">
      <c r="A2954" s="20"/>
      <c r="B2954" s="184" t="s">
        <v>333</v>
      </c>
      <c r="C2954" s="37"/>
      <c r="D2954" s="37"/>
      <c r="E2954" s="37"/>
      <c r="F2954" s="37"/>
      <c r="G2954" s="20"/>
      <c r="H2954" s="20"/>
      <c r="I2954" s="115"/>
      <c r="J2954" s="23"/>
      <c r="K2954" s="25">
        <f t="shared" ref="K2954:L2954" si="515">SUM(K2953)</f>
        <v>7</v>
      </c>
      <c r="L2954" s="23">
        <f t="shared" si="515"/>
        <v>0.77784000000000009</v>
      </c>
      <c r="M2954" s="20"/>
      <c r="N2954" s="20"/>
      <c r="O2954" s="20"/>
      <c r="P2954" s="20"/>
      <c r="Q2954" s="155"/>
      <c r="R2954" s="155"/>
    </row>
    <row r="2955" spans="1:19" s="497" customFormat="1" ht="15.6">
      <c r="A2955" s="20"/>
      <c r="B2955" s="184"/>
      <c r="C2955" s="37"/>
      <c r="D2955" s="37"/>
      <c r="E2955" s="37"/>
      <c r="F2955" s="37"/>
      <c r="G2955" s="20"/>
      <c r="H2955" s="20"/>
      <c r="I2955" s="115"/>
      <c r="J2955" s="23"/>
      <c r="K2955" s="25"/>
      <c r="L2955" s="23"/>
      <c r="M2955" s="20"/>
      <c r="N2955" s="20"/>
      <c r="O2955" s="20"/>
      <c r="P2955" s="20"/>
      <c r="Q2955" s="155"/>
      <c r="R2955" s="155"/>
    </row>
    <row r="2956" spans="1:19" ht="15.6">
      <c r="A2956" s="21" t="s">
        <v>395</v>
      </c>
      <c r="B2956" s="21" t="s">
        <v>396</v>
      </c>
      <c r="C2956" s="21" t="s">
        <v>19</v>
      </c>
      <c r="D2956" s="21" t="s">
        <v>155</v>
      </c>
      <c r="E2956" s="21" t="s">
        <v>247</v>
      </c>
      <c r="F2956" s="22">
        <v>12</v>
      </c>
      <c r="G2956" s="612" t="s">
        <v>61</v>
      </c>
      <c r="H2956" s="735" t="s">
        <v>118</v>
      </c>
      <c r="I2956" s="613">
        <v>9.26</v>
      </c>
      <c r="J2956" s="610">
        <v>12</v>
      </c>
      <c r="K2956" s="609">
        <v>55</v>
      </c>
      <c r="L2956" s="100">
        <f>(I2956*J2956*K2956/1000)</f>
        <v>6.1116000000000001</v>
      </c>
      <c r="M2956" s="20"/>
      <c r="N2956" s="20"/>
      <c r="O2956" s="20"/>
      <c r="P2956" s="20"/>
      <c r="Q2956" s="155"/>
      <c r="R2956" s="155"/>
      <c r="S2956" s="497" t="s">
        <v>426</v>
      </c>
    </row>
    <row r="2957" spans="1:19" ht="15.6">
      <c r="A2957" s="20"/>
      <c r="B2957" s="612" t="s">
        <v>88</v>
      </c>
      <c r="C2957" s="20"/>
      <c r="D2957" s="37"/>
      <c r="E2957" s="37"/>
      <c r="F2957" s="37"/>
      <c r="G2957" s="612"/>
      <c r="H2957" s="612"/>
      <c r="I2957" s="613"/>
      <c r="J2957" s="610"/>
      <c r="K2957" s="609">
        <f t="shared" ref="K2957:L2957" si="516">SUM(K2956)</f>
        <v>55</v>
      </c>
      <c r="L2957" s="610">
        <f t="shared" si="516"/>
        <v>6.1116000000000001</v>
      </c>
      <c r="M2957" s="20"/>
      <c r="N2957" s="20"/>
      <c r="O2957" s="20"/>
      <c r="P2957" s="20"/>
      <c r="Q2957" s="155"/>
      <c r="R2957" s="155"/>
    </row>
    <row r="2958" spans="1:19" s="497" customFormat="1" ht="15.6">
      <c r="A2958" s="20"/>
      <c r="B2958" s="612"/>
      <c r="C2958" s="20"/>
      <c r="D2958" s="37"/>
      <c r="E2958" s="37"/>
      <c r="F2958" s="37"/>
      <c r="G2958" s="612"/>
      <c r="H2958" s="612"/>
      <c r="I2958" s="613"/>
      <c r="J2958" s="610"/>
      <c r="K2958" s="614">
        <f>SUM(K2943:K2957)/2</f>
        <v>107</v>
      </c>
      <c r="L2958" s="610">
        <f>SUM(L2943:L2957)/2</f>
        <v>10.836977999999998</v>
      </c>
      <c r="M2958" s="614">
        <f>SUM(M2943:M2957)/2</f>
        <v>4</v>
      </c>
      <c r="N2958" s="610">
        <f>SUM(N2943:N2957)/2</f>
        <v>0.25557599999999997</v>
      </c>
      <c r="O2958" s="20"/>
      <c r="P2958" s="20"/>
      <c r="Q2958" s="155"/>
      <c r="R2958" s="155"/>
    </row>
    <row r="2959" spans="1:19" s="497" customFormat="1" ht="15.6">
      <c r="A2959" s="20"/>
      <c r="B2959" s="612"/>
      <c r="C2959" s="20"/>
      <c r="D2959" s="37"/>
      <c r="E2959" s="37"/>
      <c r="F2959" s="37"/>
      <c r="G2959" s="612"/>
      <c r="H2959" s="612"/>
      <c r="I2959" s="613"/>
      <c r="J2959" s="610"/>
      <c r="K2959" s="609"/>
      <c r="L2959" s="610"/>
      <c r="M2959" s="20"/>
      <c r="N2959" s="20"/>
      <c r="O2959" s="20"/>
      <c r="P2959" s="20"/>
      <c r="Q2959" s="155"/>
      <c r="R2959" s="155"/>
    </row>
    <row r="2960" spans="1:19" s="497" customFormat="1" ht="15.6">
      <c r="A2960" s="20"/>
      <c r="B2960" s="612"/>
      <c r="C2960" s="20"/>
      <c r="D2960" s="37"/>
      <c r="E2960" s="37"/>
      <c r="F2960" s="37"/>
      <c r="G2960" s="612"/>
      <c r="H2960" s="612"/>
      <c r="I2960" s="613"/>
      <c r="J2960" s="610"/>
      <c r="K2960" s="609"/>
      <c r="L2960" s="610"/>
      <c r="M2960" s="20"/>
      <c r="N2960" s="20"/>
      <c r="O2960" s="20"/>
      <c r="P2960" s="20"/>
      <c r="Q2960" s="155"/>
      <c r="R2960" s="155"/>
    </row>
    <row r="2961" spans="1:19" ht="15.6">
      <c r="A2961" s="21" t="s">
        <v>395</v>
      </c>
      <c r="B2961" s="21" t="s">
        <v>396</v>
      </c>
      <c r="C2961" s="21" t="s">
        <v>19</v>
      </c>
      <c r="D2961" s="21" t="s">
        <v>155</v>
      </c>
      <c r="E2961" s="21" t="s">
        <v>247</v>
      </c>
      <c r="F2961" s="22">
        <v>12</v>
      </c>
      <c r="G2961" s="612" t="s">
        <v>61</v>
      </c>
      <c r="H2961" s="735" t="s">
        <v>119</v>
      </c>
      <c r="I2961" s="613">
        <v>10.7</v>
      </c>
      <c r="J2961" s="610">
        <v>12</v>
      </c>
      <c r="K2961" s="609">
        <v>9</v>
      </c>
      <c r="L2961" s="100">
        <f>(I2961*J2961*K2961/1000)</f>
        <v>1.1556</v>
      </c>
      <c r="M2961" s="20"/>
      <c r="N2961" s="20"/>
      <c r="O2961" s="20"/>
      <c r="P2961" s="20"/>
      <c r="Q2961" s="155"/>
      <c r="R2961" s="155"/>
      <c r="S2961" s="497" t="s">
        <v>426</v>
      </c>
    </row>
    <row r="2962" spans="1:19" ht="15.6">
      <c r="A2962" s="20"/>
      <c r="B2962" s="612" t="s">
        <v>88</v>
      </c>
      <c r="C2962" s="20"/>
      <c r="D2962" s="37"/>
      <c r="E2962" s="37"/>
      <c r="F2962" s="20"/>
      <c r="G2962" s="612"/>
      <c r="H2962" s="612"/>
      <c r="I2962" s="613"/>
      <c r="J2962" s="610"/>
      <c r="K2962" s="609">
        <f t="shared" ref="K2962:L2962" si="517">SUM(K2961)</f>
        <v>9</v>
      </c>
      <c r="L2962" s="610">
        <f t="shared" si="517"/>
        <v>1.1556</v>
      </c>
      <c r="M2962" s="20"/>
      <c r="N2962" s="20"/>
      <c r="O2962" s="20"/>
      <c r="P2962" s="20"/>
      <c r="Q2962" s="155"/>
      <c r="R2962" s="155"/>
    </row>
    <row r="2963" spans="1:19" s="497" customFormat="1" ht="15.6">
      <c r="A2963" s="20"/>
      <c r="B2963" s="612"/>
      <c r="C2963" s="20"/>
      <c r="D2963" s="37"/>
      <c r="E2963" s="37"/>
      <c r="F2963" s="20"/>
      <c r="G2963" s="612"/>
      <c r="H2963" s="612"/>
      <c r="I2963" s="613"/>
      <c r="J2963" s="610"/>
      <c r="K2963" s="609"/>
      <c r="L2963" s="610"/>
      <c r="M2963" s="20"/>
      <c r="N2963" s="20"/>
      <c r="O2963" s="20"/>
      <c r="P2963" s="20"/>
      <c r="Q2963" s="155"/>
      <c r="R2963" s="155"/>
    </row>
    <row r="2964" spans="1:19" ht="15.6">
      <c r="A2964" s="21" t="s">
        <v>395</v>
      </c>
      <c r="B2964" s="21" t="s">
        <v>385</v>
      </c>
      <c r="C2964" s="21" t="s">
        <v>19</v>
      </c>
      <c r="D2964" s="21" t="s">
        <v>155</v>
      </c>
      <c r="E2964" s="21" t="s">
        <v>270</v>
      </c>
      <c r="F2964" s="22">
        <v>12</v>
      </c>
      <c r="G2964" s="20" t="s">
        <v>61</v>
      </c>
      <c r="H2964" s="143" t="s">
        <v>119</v>
      </c>
      <c r="I2964" s="115">
        <v>10.73</v>
      </c>
      <c r="J2964" s="23">
        <v>12</v>
      </c>
      <c r="K2964" s="25">
        <v>6</v>
      </c>
      <c r="L2964" s="100">
        <f>(I2964*J2964*K2964/1000)</f>
        <v>0.77255999999999991</v>
      </c>
      <c r="M2964" s="20"/>
      <c r="N2964" s="20"/>
      <c r="O2964" s="20"/>
      <c r="P2964" s="20"/>
      <c r="Q2964" s="155"/>
      <c r="R2964" s="155"/>
      <c r="S2964" s="497" t="s">
        <v>426</v>
      </c>
    </row>
    <row r="2965" spans="1:19" ht="15.6">
      <c r="A2965" s="20"/>
      <c r="B2965" s="184" t="s">
        <v>333</v>
      </c>
      <c r="C2965" s="37"/>
      <c r="D2965" s="37"/>
      <c r="E2965" s="37"/>
      <c r="F2965" s="37"/>
      <c r="G2965" s="20"/>
      <c r="H2965" s="20"/>
      <c r="I2965" s="115"/>
      <c r="J2965" s="23"/>
      <c r="K2965" s="25">
        <f>SUM(K2964:K2964)</f>
        <v>6</v>
      </c>
      <c r="L2965" s="23">
        <f>SUM(L2964:L2964)</f>
        <v>0.77255999999999991</v>
      </c>
      <c r="M2965" s="20"/>
      <c r="N2965" s="20"/>
      <c r="O2965" s="20"/>
      <c r="P2965" s="20"/>
      <c r="Q2965" s="155"/>
      <c r="R2965" s="155"/>
    </row>
    <row r="2966" spans="1:19" s="497" customFormat="1" ht="15.6">
      <c r="A2966" s="20"/>
      <c r="B2966" s="184"/>
      <c r="C2966" s="37"/>
      <c r="D2966" s="37"/>
      <c r="E2966" s="37"/>
      <c r="F2966" s="37"/>
      <c r="G2966" s="20"/>
      <c r="H2966" s="20"/>
      <c r="I2966" s="115"/>
      <c r="J2966" s="23"/>
      <c r="K2966" s="25"/>
      <c r="L2966" s="23"/>
      <c r="M2966" s="20"/>
      <c r="N2966" s="20"/>
      <c r="O2966" s="20"/>
      <c r="P2966" s="20"/>
      <c r="Q2966" s="155"/>
      <c r="R2966" s="155"/>
    </row>
    <row r="2967" spans="1:19" ht="15.6">
      <c r="A2967" s="21" t="s">
        <v>332</v>
      </c>
      <c r="B2967" s="21" t="s">
        <v>382</v>
      </c>
      <c r="C2967" s="21" t="s">
        <v>19</v>
      </c>
      <c r="D2967" s="21" t="s">
        <v>155</v>
      </c>
      <c r="E2967" s="21" t="s">
        <v>270</v>
      </c>
      <c r="F2967" s="22">
        <v>12</v>
      </c>
      <c r="G2967" s="20" t="s">
        <v>61</v>
      </c>
      <c r="H2967" s="143" t="s">
        <v>119</v>
      </c>
      <c r="I2967" s="115">
        <v>10.73</v>
      </c>
      <c r="J2967" s="23">
        <v>11.8</v>
      </c>
      <c r="K2967" s="25">
        <v>18</v>
      </c>
      <c r="L2967" s="100">
        <f>(I2967*J2967*K2967/1000)</f>
        <v>2.2790520000000001</v>
      </c>
      <c r="M2967" s="20"/>
      <c r="N2967" s="20"/>
      <c r="O2967" s="20"/>
      <c r="P2967" s="20"/>
      <c r="Q2967" s="155"/>
      <c r="R2967" s="155"/>
      <c r="S2967" s="497" t="s">
        <v>426</v>
      </c>
    </row>
    <row r="2968" spans="1:19" ht="15.6">
      <c r="A2968" s="20"/>
      <c r="B2968" s="21" t="s">
        <v>331</v>
      </c>
      <c r="C2968" s="37"/>
      <c r="D2968" s="37"/>
      <c r="E2968" s="37"/>
      <c r="F2968" s="37"/>
      <c r="G2968" s="20"/>
      <c r="H2968" s="20"/>
      <c r="I2968" s="115"/>
      <c r="J2968" s="23"/>
      <c r="K2968" s="25">
        <f>SUM(K2967)</f>
        <v>18</v>
      </c>
      <c r="L2968" s="23">
        <f>SUM(L2967)</f>
        <v>2.2790520000000001</v>
      </c>
      <c r="M2968" s="20"/>
      <c r="N2968" s="20"/>
      <c r="O2968" s="20"/>
      <c r="P2968" s="20"/>
      <c r="Q2968" s="155"/>
      <c r="R2968" s="155"/>
    </row>
    <row r="2969" spans="1:19" s="497" customFormat="1" ht="15.6">
      <c r="A2969" s="20"/>
      <c r="B2969" s="21"/>
      <c r="C2969" s="37"/>
      <c r="D2969" s="37"/>
      <c r="E2969" s="37"/>
      <c r="F2969" s="37"/>
      <c r="G2969" s="20"/>
      <c r="H2969" s="20"/>
      <c r="I2969" s="115"/>
      <c r="J2969" s="23"/>
      <c r="K2969" s="25"/>
      <c r="L2969" s="23"/>
      <c r="M2969" s="20"/>
      <c r="N2969" s="20"/>
      <c r="O2969" s="20"/>
      <c r="P2969" s="20"/>
      <c r="Q2969" s="155"/>
      <c r="R2969" s="155"/>
    </row>
    <row r="2970" spans="1:19" ht="15.6">
      <c r="A2970" s="21" t="s">
        <v>395</v>
      </c>
      <c r="B2970" s="21" t="s">
        <v>396</v>
      </c>
      <c r="C2970" s="21" t="s">
        <v>19</v>
      </c>
      <c r="D2970" s="21" t="s">
        <v>155</v>
      </c>
      <c r="E2970" s="21" t="s">
        <v>270</v>
      </c>
      <c r="F2970" s="22">
        <v>12</v>
      </c>
      <c r="G2970" s="612" t="s">
        <v>61</v>
      </c>
      <c r="H2970" s="735" t="s">
        <v>119</v>
      </c>
      <c r="I2970" s="613">
        <v>10.73</v>
      </c>
      <c r="J2970" s="610">
        <v>12</v>
      </c>
      <c r="K2970" s="609">
        <v>8</v>
      </c>
      <c r="L2970" s="100">
        <f>(I2970*J2970*K2970/1000)</f>
        <v>1.0300799999999999</v>
      </c>
      <c r="M2970" s="20"/>
      <c r="N2970" s="20"/>
      <c r="O2970" s="20"/>
      <c r="P2970" s="20"/>
      <c r="Q2970" s="155"/>
      <c r="R2970" s="155"/>
      <c r="S2970" s="497" t="s">
        <v>426</v>
      </c>
    </row>
    <row r="2971" spans="1:19" ht="15.6">
      <c r="A2971" s="20"/>
      <c r="B2971" s="184" t="s">
        <v>277</v>
      </c>
      <c r="C2971" s="20"/>
      <c r="D2971" s="37"/>
      <c r="E2971" s="37"/>
      <c r="F2971" s="37"/>
      <c r="G2971" s="612"/>
      <c r="H2971" s="612"/>
      <c r="I2971" s="613"/>
      <c r="J2971" s="610"/>
      <c r="K2971" s="609">
        <f t="shared" ref="K2971:L2971" si="518">SUM(K2970)</f>
        <v>8</v>
      </c>
      <c r="L2971" s="610">
        <f t="shared" si="518"/>
        <v>1.0300799999999999</v>
      </c>
      <c r="M2971" s="20"/>
      <c r="N2971" s="20"/>
      <c r="O2971" s="20"/>
      <c r="P2971" s="20"/>
      <c r="Q2971" s="155"/>
      <c r="R2971" s="155"/>
    </row>
    <row r="2972" spans="1:19" s="497" customFormat="1" ht="15.6">
      <c r="A2972" s="20"/>
      <c r="B2972" s="184"/>
      <c r="C2972" s="20"/>
      <c r="D2972" s="37"/>
      <c r="E2972" s="37"/>
      <c r="F2972" s="37"/>
      <c r="G2972" s="612"/>
      <c r="H2972" s="612"/>
      <c r="I2972" s="613"/>
      <c r="J2972" s="610"/>
      <c r="K2972" s="614">
        <f>SUM(K2961:K2971)/2</f>
        <v>41</v>
      </c>
      <c r="L2972" s="610">
        <f>SUM(L2961:L2971)/2</f>
        <v>5.2372920000000001</v>
      </c>
      <c r="M2972" s="614">
        <f>SUM(M2961:M2971)/2</f>
        <v>0</v>
      </c>
      <c r="N2972" s="610">
        <f>SUM(N2961:N2971)/2</f>
        <v>0</v>
      </c>
      <c r="O2972" s="20"/>
      <c r="P2972" s="20"/>
      <c r="Q2972" s="155"/>
      <c r="R2972" s="155"/>
    </row>
    <row r="2973" spans="1:19" s="497" customFormat="1" ht="15.6">
      <c r="A2973" s="20"/>
      <c r="B2973" s="184"/>
      <c r="C2973" s="20"/>
      <c r="D2973" s="37"/>
      <c r="E2973" s="37"/>
      <c r="F2973" s="37"/>
      <c r="G2973" s="612"/>
      <c r="H2973" s="612"/>
      <c r="I2973" s="613"/>
      <c r="J2973" s="610"/>
      <c r="K2973" s="609"/>
      <c r="L2973" s="610"/>
      <c r="M2973" s="20"/>
      <c r="N2973" s="20"/>
      <c r="O2973" s="20"/>
      <c r="P2973" s="20"/>
      <c r="Q2973" s="155"/>
      <c r="R2973" s="155"/>
    </row>
    <row r="2974" spans="1:19" ht="15.6">
      <c r="A2974" s="20"/>
      <c r="B2974" s="20"/>
      <c r="C2974" s="20"/>
      <c r="D2974" s="20"/>
      <c r="E2974" s="20"/>
      <c r="F2974" s="20"/>
      <c r="G2974" s="20"/>
      <c r="H2974" s="20"/>
      <c r="I2974" s="115"/>
      <c r="J2974" s="23"/>
      <c r="K2974" s="211"/>
      <c r="L2974" s="131"/>
      <c r="M2974" s="20"/>
      <c r="N2974" s="20"/>
      <c r="O2974" s="20"/>
      <c r="P2974" s="20"/>
      <c r="Q2974" s="155"/>
      <c r="R2974" s="155"/>
    </row>
    <row r="2975" spans="1:19" ht="15.6">
      <c r="A2975" s="21" t="s">
        <v>332</v>
      </c>
      <c r="B2975" s="21" t="s">
        <v>381</v>
      </c>
      <c r="C2975" s="21" t="s">
        <v>19</v>
      </c>
      <c r="D2975" s="21" t="s">
        <v>155</v>
      </c>
      <c r="E2975" s="21" t="s">
        <v>323</v>
      </c>
      <c r="F2975" s="22">
        <v>12</v>
      </c>
      <c r="G2975" s="20" t="s">
        <v>61</v>
      </c>
      <c r="H2975" s="143" t="s">
        <v>134</v>
      </c>
      <c r="I2975" s="115">
        <v>12.2</v>
      </c>
      <c r="J2975" s="23">
        <v>9.3000000000000007</v>
      </c>
      <c r="K2975" s="25">
        <v>10</v>
      </c>
      <c r="L2975" s="100">
        <f>(I2975*J2975*K2975/1000)</f>
        <v>1.1346000000000001</v>
      </c>
      <c r="M2975" s="20"/>
      <c r="N2975" s="20"/>
      <c r="O2975" s="20"/>
      <c r="P2975" s="20"/>
      <c r="Q2975" s="155"/>
      <c r="R2975" s="155"/>
      <c r="S2975" s="497" t="s">
        <v>426</v>
      </c>
    </row>
    <row r="2976" spans="1:19" ht="15.6">
      <c r="A2976" s="20"/>
      <c r="B2976" s="503" t="s">
        <v>340</v>
      </c>
      <c r="C2976" s="37"/>
      <c r="D2976" s="37"/>
      <c r="E2976" s="37"/>
      <c r="F2976" s="37"/>
      <c r="G2976" s="20"/>
      <c r="H2976" s="20"/>
      <c r="I2976" s="115"/>
      <c r="J2976" s="23"/>
      <c r="K2976" s="25">
        <f>SUM(K2975)</f>
        <v>10</v>
      </c>
      <c r="L2976" s="23">
        <f>SUM(L2975)</f>
        <v>1.1346000000000001</v>
      </c>
      <c r="M2976" s="20"/>
      <c r="N2976" s="20"/>
      <c r="O2976" s="20"/>
      <c r="P2976" s="20"/>
      <c r="Q2976" s="155"/>
      <c r="R2976" s="155"/>
    </row>
    <row r="2977" spans="1:19" s="497" customFormat="1" ht="15.6">
      <c r="A2977" s="20"/>
      <c r="B2977" s="503"/>
      <c r="C2977" s="37"/>
      <c r="D2977" s="37"/>
      <c r="E2977" s="37"/>
      <c r="F2977" s="37"/>
      <c r="G2977" s="20"/>
      <c r="H2977" s="20"/>
      <c r="I2977" s="115"/>
      <c r="J2977" s="23"/>
      <c r="K2977" s="25"/>
      <c r="L2977" s="23"/>
      <c r="M2977" s="20"/>
      <c r="N2977" s="20"/>
      <c r="O2977" s="20"/>
      <c r="P2977" s="20"/>
      <c r="Q2977" s="155"/>
      <c r="R2977" s="155"/>
    </row>
    <row r="2978" spans="1:19" s="497" customFormat="1" ht="15.6">
      <c r="A2978" s="21" t="s">
        <v>400</v>
      </c>
      <c r="B2978" s="21" t="s">
        <v>396</v>
      </c>
      <c r="C2978" s="21" t="s">
        <v>19</v>
      </c>
      <c r="D2978" s="21" t="s">
        <v>155</v>
      </c>
      <c r="E2978" s="21" t="s">
        <v>323</v>
      </c>
      <c r="F2978" s="22">
        <v>12</v>
      </c>
      <c r="G2978" s="20" t="s">
        <v>61</v>
      </c>
      <c r="H2978" s="143" t="s">
        <v>134</v>
      </c>
      <c r="I2978" s="115">
        <v>12.2</v>
      </c>
      <c r="J2978" s="23">
        <v>10</v>
      </c>
      <c r="K2978" s="25">
        <v>5</v>
      </c>
      <c r="L2978" s="100">
        <f>(I2978*J2978*K2978/1000)</f>
        <v>0.61</v>
      </c>
      <c r="M2978" s="20"/>
      <c r="N2978" s="20"/>
      <c r="O2978" s="20"/>
      <c r="P2978" s="20"/>
      <c r="Q2978" s="155"/>
      <c r="R2978" s="155"/>
      <c r="S2978" s="497" t="s">
        <v>426</v>
      </c>
    </row>
    <row r="2979" spans="1:19" s="497" customFormat="1" ht="15.6">
      <c r="A2979" s="20"/>
      <c r="B2979" s="503"/>
      <c r="C2979" s="37"/>
      <c r="D2979" s="37"/>
      <c r="E2979" s="37"/>
      <c r="F2979" s="37"/>
      <c r="G2979" s="20"/>
      <c r="H2979" s="20"/>
      <c r="I2979" s="115"/>
      <c r="J2979" s="23"/>
      <c r="K2979" s="25">
        <f>SUM(K2978)</f>
        <v>5</v>
      </c>
      <c r="L2979" s="23">
        <f>SUM(L2978)</f>
        <v>0.61</v>
      </c>
      <c r="M2979" s="20"/>
      <c r="N2979" s="20"/>
      <c r="O2979" s="20"/>
      <c r="P2979" s="20"/>
      <c r="Q2979" s="155"/>
      <c r="R2979" s="155"/>
    </row>
    <row r="2980" spans="1:19" s="497" customFormat="1" ht="15.6">
      <c r="A2980" s="20"/>
      <c r="B2980" s="503"/>
      <c r="C2980" s="37"/>
      <c r="D2980" s="37"/>
      <c r="E2980" s="37"/>
      <c r="F2980" s="37"/>
      <c r="G2980" s="20"/>
      <c r="H2980" s="20"/>
      <c r="I2980" s="115"/>
      <c r="J2980" s="23"/>
      <c r="K2980" s="25"/>
      <c r="L2980" s="23"/>
      <c r="M2980" s="20"/>
      <c r="N2980" s="20"/>
      <c r="O2980" s="20"/>
      <c r="P2980" s="20"/>
      <c r="Q2980" s="155"/>
      <c r="R2980" s="155"/>
    </row>
    <row r="2981" spans="1:19" ht="15.6">
      <c r="A2981" s="21" t="s">
        <v>332</v>
      </c>
      <c r="B2981" s="21" t="s">
        <v>382</v>
      </c>
      <c r="C2981" s="21" t="s">
        <v>19</v>
      </c>
      <c r="D2981" s="21" t="s">
        <v>155</v>
      </c>
      <c r="E2981" s="21" t="s">
        <v>270</v>
      </c>
      <c r="F2981" s="22">
        <v>8.5</v>
      </c>
      <c r="G2981" s="20" t="s">
        <v>61</v>
      </c>
      <c r="H2981" s="143" t="s">
        <v>134</v>
      </c>
      <c r="I2981" s="115">
        <v>12.18</v>
      </c>
      <c r="J2981" s="23">
        <v>7.1</v>
      </c>
      <c r="K2981" s="25">
        <v>16</v>
      </c>
      <c r="L2981" s="100">
        <f>(I2981*J2981*K2981/1000)</f>
        <v>1.383648</v>
      </c>
      <c r="M2981" s="20">
        <v>12</v>
      </c>
      <c r="N2981" s="23">
        <f t="shared" ref="N2981:N2982" si="519">J2981*M2981*I2981/1000</f>
        <v>1.0377359999999998</v>
      </c>
      <c r="O2981" s="20"/>
      <c r="P2981" s="20"/>
      <c r="Q2981" s="155"/>
      <c r="R2981" s="155"/>
      <c r="S2981" s="497" t="s">
        <v>426</v>
      </c>
    </row>
    <row r="2982" spans="1:19" ht="15.6">
      <c r="A2982" s="20"/>
      <c r="B2982" s="21" t="s">
        <v>331</v>
      </c>
      <c r="C2982" s="37"/>
      <c r="D2982" s="37"/>
      <c r="E2982" s="37"/>
      <c r="F2982" s="37"/>
      <c r="G2982" s="20" t="s">
        <v>61</v>
      </c>
      <c r="H2982" s="20" t="s">
        <v>134</v>
      </c>
      <c r="I2982" s="115">
        <v>12.18</v>
      </c>
      <c r="J2982" s="23">
        <v>9.1999999999999993</v>
      </c>
      <c r="K2982" s="25">
        <v>8</v>
      </c>
      <c r="L2982" s="100">
        <f>(I2982*J2982*K2982/1000)</f>
        <v>0.89644799999999991</v>
      </c>
      <c r="M2982" s="20">
        <v>8</v>
      </c>
      <c r="N2982" s="23">
        <f t="shared" si="519"/>
        <v>0.89644799999999991</v>
      </c>
      <c r="O2982" s="20"/>
      <c r="P2982" s="20"/>
      <c r="Q2982" s="155"/>
      <c r="R2982" s="155"/>
    </row>
    <row r="2983" spans="1:19" ht="15.6">
      <c r="A2983" s="20"/>
      <c r="B2983" s="20"/>
      <c r="C2983" s="20"/>
      <c r="D2983" s="20"/>
      <c r="E2983" s="20"/>
      <c r="F2983" s="20"/>
      <c r="G2983" s="20"/>
      <c r="H2983" s="20"/>
      <c r="I2983" s="115"/>
      <c r="J2983" s="23"/>
      <c r="K2983" s="25">
        <f t="shared" ref="K2983:N2983" si="520">SUM(K2981:K2982)</f>
        <v>24</v>
      </c>
      <c r="L2983" s="23">
        <f t="shared" si="520"/>
        <v>2.2800959999999999</v>
      </c>
      <c r="M2983" s="25">
        <f t="shared" si="520"/>
        <v>20</v>
      </c>
      <c r="N2983" s="23">
        <f t="shared" si="520"/>
        <v>1.9341839999999997</v>
      </c>
      <c r="O2983" s="20"/>
      <c r="P2983" s="20"/>
      <c r="Q2983" s="155"/>
      <c r="R2983" s="155"/>
    </row>
    <row r="2984" spans="1:19" ht="15.6">
      <c r="A2984" s="20"/>
      <c r="B2984" s="20"/>
      <c r="C2984" s="20"/>
      <c r="D2984" s="20"/>
      <c r="E2984" s="20"/>
      <c r="F2984" s="20"/>
      <c r="G2984" s="20"/>
      <c r="H2984" s="20"/>
      <c r="I2984" s="115"/>
      <c r="J2984" s="23"/>
      <c r="K2984" s="211"/>
      <c r="L2984" s="131"/>
      <c r="M2984" s="20"/>
      <c r="N2984" s="20"/>
      <c r="O2984" s="20"/>
      <c r="P2984" s="20"/>
      <c r="Q2984" s="155"/>
      <c r="R2984" s="155"/>
    </row>
    <row r="2985" spans="1:19" ht="15.6">
      <c r="A2985" s="21" t="s">
        <v>395</v>
      </c>
      <c r="B2985" s="21" t="s">
        <v>385</v>
      </c>
      <c r="C2985" s="21" t="s">
        <v>19</v>
      </c>
      <c r="D2985" s="21" t="s">
        <v>155</v>
      </c>
      <c r="E2985" s="21" t="s">
        <v>270</v>
      </c>
      <c r="F2985" s="22">
        <v>8.5</v>
      </c>
      <c r="G2985" s="20" t="s">
        <v>61</v>
      </c>
      <c r="H2985" s="143" t="s">
        <v>134</v>
      </c>
      <c r="I2985" s="115">
        <v>12.18</v>
      </c>
      <c r="J2985" s="23">
        <v>10.5</v>
      </c>
      <c r="K2985" s="25">
        <v>7</v>
      </c>
      <c r="L2985" s="100">
        <f>(I2985*J2985*K2985/1000)</f>
        <v>0.89522999999999997</v>
      </c>
      <c r="M2985" s="20"/>
      <c r="N2985" s="20"/>
      <c r="O2985" s="20"/>
      <c r="P2985" s="20"/>
      <c r="Q2985" s="155"/>
      <c r="R2985" s="155"/>
      <c r="S2985" s="759" t="s">
        <v>426</v>
      </c>
    </row>
    <row r="2986" spans="1:19" ht="15.6">
      <c r="A2986" s="20"/>
      <c r="B2986" s="184" t="s">
        <v>333</v>
      </c>
      <c r="C2986" s="37"/>
      <c r="D2986" s="37"/>
      <c r="E2986" s="37"/>
      <c r="F2986" s="37"/>
      <c r="G2986" s="20"/>
      <c r="H2986" s="20"/>
      <c r="I2986" s="115"/>
      <c r="J2986" s="23"/>
      <c r="K2986" s="25">
        <f>SUM(K2985:K2985)</f>
        <v>7</v>
      </c>
      <c r="L2986" s="23">
        <f>SUM(L2985:L2985)</f>
        <v>0.89522999999999997</v>
      </c>
      <c r="M2986" s="20"/>
      <c r="N2986" s="20"/>
      <c r="O2986" s="20"/>
      <c r="P2986" s="20"/>
      <c r="Q2986" s="155"/>
      <c r="R2986" s="155"/>
    </row>
    <row r="2987" spans="1:19" ht="15.6">
      <c r="A2987" s="20"/>
      <c r="B2987" s="20"/>
      <c r="C2987" s="20"/>
      <c r="D2987" s="20"/>
      <c r="E2987" s="20"/>
      <c r="F2987" s="20"/>
      <c r="G2987" s="20"/>
      <c r="H2987" s="20"/>
      <c r="I2987" s="115"/>
      <c r="J2987" s="23"/>
      <c r="K2987" s="211"/>
      <c r="L2987" s="131"/>
      <c r="M2987" s="20"/>
      <c r="N2987" s="20"/>
      <c r="O2987" s="20"/>
      <c r="P2987" s="20"/>
      <c r="Q2987" s="155"/>
      <c r="R2987" s="155"/>
    </row>
    <row r="2988" spans="1:19" ht="15.6">
      <c r="A2988" s="21" t="s">
        <v>395</v>
      </c>
      <c r="B2988" s="21" t="s">
        <v>396</v>
      </c>
      <c r="C2988" s="21" t="s">
        <v>19</v>
      </c>
      <c r="D2988" s="21" t="s">
        <v>155</v>
      </c>
      <c r="E2988" s="21" t="s">
        <v>247</v>
      </c>
      <c r="F2988" s="22">
        <v>12</v>
      </c>
      <c r="G2988" s="612" t="s">
        <v>61</v>
      </c>
      <c r="H2988" s="735" t="s">
        <v>134</v>
      </c>
      <c r="I2988" s="613">
        <v>12.2</v>
      </c>
      <c r="J2988" s="610">
        <v>12</v>
      </c>
      <c r="K2988" s="609">
        <v>11</v>
      </c>
      <c r="L2988" s="100">
        <f>(I2988*J2988*K2988/1000)</f>
        <v>1.6103999999999996</v>
      </c>
      <c r="M2988" s="20"/>
      <c r="N2988" s="23">
        <f>J2988*M2988*I2988/1000</f>
        <v>0</v>
      </c>
      <c r="O2988" s="20"/>
      <c r="P2988" s="20"/>
      <c r="Q2988" s="155"/>
      <c r="R2988" s="155"/>
      <c r="S2988" s="759" t="s">
        <v>426</v>
      </c>
    </row>
    <row r="2989" spans="1:19" ht="15.6">
      <c r="A2989" s="20"/>
      <c r="B2989" s="616" t="s">
        <v>88</v>
      </c>
      <c r="C2989" s="20"/>
      <c r="D2989" s="37"/>
      <c r="E2989" s="37"/>
      <c r="F2989" s="20"/>
      <c r="G2989" s="612"/>
      <c r="H2989" s="612"/>
      <c r="I2989" s="613"/>
      <c r="J2989" s="610"/>
      <c r="K2989" s="609">
        <f t="shared" ref="K2989:M2989" si="521">SUM(K2988)</f>
        <v>11</v>
      </c>
      <c r="L2989" s="610">
        <f t="shared" si="521"/>
        <v>1.6103999999999996</v>
      </c>
      <c r="M2989" s="609">
        <f t="shared" si="521"/>
        <v>0</v>
      </c>
      <c r="N2989" s="610">
        <f>SUM(N2988)</f>
        <v>0</v>
      </c>
      <c r="O2989" s="20"/>
      <c r="P2989" s="20"/>
      <c r="Q2989" s="155"/>
      <c r="R2989" s="155"/>
    </row>
    <row r="2990" spans="1:19" ht="15.6">
      <c r="A2990" s="20"/>
      <c r="B2990" s="20"/>
      <c r="C2990" s="20"/>
      <c r="D2990" s="20"/>
      <c r="E2990" s="20"/>
      <c r="F2990" s="20"/>
      <c r="G2990" s="20"/>
      <c r="H2990" s="20"/>
      <c r="I2990" s="131"/>
      <c r="J2990" s="20"/>
      <c r="K2990" s="154">
        <f>SUM(K2975:K2989)/2</f>
        <v>57</v>
      </c>
      <c r="L2990" s="124">
        <f>SUM(L2975:L2989)/2</f>
        <v>6.5303259999999996</v>
      </c>
      <c r="M2990" s="154">
        <f>SUM(M2975:M2989)/2</f>
        <v>20</v>
      </c>
      <c r="N2990" s="124">
        <f>SUM(N2975:N2989)/2</f>
        <v>1.9341839999999997</v>
      </c>
      <c r="O2990" s="20"/>
      <c r="P2990" s="20"/>
      <c r="Q2990" s="155"/>
      <c r="R2990" s="155"/>
    </row>
    <row r="2991" spans="1:19" s="497" customFormat="1" ht="15.6">
      <c r="A2991" s="20"/>
      <c r="B2991" s="20"/>
      <c r="C2991" s="20"/>
      <c r="D2991" s="20"/>
      <c r="E2991" s="20"/>
      <c r="F2991" s="20"/>
      <c r="G2991" s="20"/>
      <c r="H2991" s="20"/>
      <c r="I2991" s="131"/>
      <c r="J2991" s="20"/>
      <c r="K2991" s="211"/>
      <c r="L2991" s="124"/>
      <c r="M2991" s="20"/>
      <c r="N2991" s="20"/>
      <c r="O2991" s="20"/>
      <c r="P2991" s="20"/>
      <c r="Q2991" s="155"/>
      <c r="R2991" s="155"/>
    </row>
    <row r="2992" spans="1:19" s="497" customFormat="1" ht="15.6">
      <c r="A2992" s="20"/>
      <c r="B2992" s="20"/>
      <c r="C2992" s="20"/>
      <c r="D2992" s="20"/>
      <c r="E2992" s="20"/>
      <c r="F2992" s="20"/>
      <c r="G2992" s="20"/>
      <c r="H2992" s="20"/>
      <c r="I2992" s="131"/>
      <c r="J2992" s="20"/>
      <c r="K2992" s="211"/>
      <c r="L2992" s="124"/>
      <c r="M2992" s="20"/>
      <c r="N2992" s="20"/>
      <c r="O2992" s="20"/>
      <c r="P2992" s="20"/>
      <c r="Q2992" s="155"/>
      <c r="R2992" s="155"/>
    </row>
    <row r="2993" spans="1:18" ht="15.6">
      <c r="A2993" s="20"/>
      <c r="B2993" s="20"/>
      <c r="C2993" s="20"/>
      <c r="D2993" s="20"/>
      <c r="E2993" s="20"/>
      <c r="F2993" s="20"/>
      <c r="G2993" s="20"/>
      <c r="H2993" s="20"/>
      <c r="I2993" s="131"/>
      <c r="J2993" s="20"/>
      <c r="K2993" s="154">
        <f>+K2990+K2972+K2958+K2940+K2883+K2912+K2934</f>
        <v>1174</v>
      </c>
      <c r="L2993" s="124">
        <f>+L2990+L2972+L2958+L2940+L2883+L2912+L2934</f>
        <v>247.19556500000002</v>
      </c>
      <c r="M2993" s="154">
        <f>+M2990+M2972+M2958+M2940+M2883+M2912+M2934</f>
        <v>42</v>
      </c>
      <c r="N2993" s="124">
        <f>+N2990+N2972+N2958+N2940+N2883+N2912+N2934</f>
        <v>4.1940999999999997</v>
      </c>
      <c r="O2993" s="20"/>
      <c r="P2993" s="20"/>
      <c r="Q2993" s="155"/>
      <c r="R2993" s="155"/>
    </row>
    <row r="2994" spans="1:18">
      <c r="A2994" s="10" t="s">
        <v>48</v>
      </c>
      <c r="B2994" s="10"/>
      <c r="C2994" s="11"/>
      <c r="D2994" s="11"/>
      <c r="E2994" s="11"/>
      <c r="F2994" s="92"/>
      <c r="G2994" s="11"/>
      <c r="H2994" s="92"/>
      <c r="I2994" s="13"/>
      <c r="J2994" s="11"/>
      <c r="K2994" s="202"/>
      <c r="L2994" s="2047" t="s">
        <v>0</v>
      </c>
      <c r="M2994" s="2047"/>
      <c r="N2994" s="2047"/>
      <c r="O2994" s="2048"/>
      <c r="P2994" s="2020"/>
      <c r="Q2994" s="142"/>
      <c r="R2994" s="142"/>
    </row>
    <row r="2995" spans="1:18">
      <c r="A2995" s="14" t="s">
        <v>1</v>
      </c>
      <c r="B2995" s="14"/>
      <c r="C2995" s="14"/>
      <c r="D2995" s="15" t="s">
        <v>2</v>
      </c>
      <c r="E2995" s="15"/>
      <c r="F2995" s="16"/>
      <c r="G2995" s="16"/>
      <c r="H2995" s="16"/>
      <c r="I2995" s="17"/>
      <c r="J2995" s="16"/>
      <c r="K2995" s="203" t="s">
        <v>3</v>
      </c>
      <c r="L2995" s="16"/>
      <c r="M2995" s="14"/>
      <c r="N2995" s="16"/>
      <c r="O2995" s="19"/>
      <c r="P2995" s="2020"/>
      <c r="Q2995" s="142"/>
      <c r="R2995" s="142"/>
    </row>
    <row r="2996" spans="1:18" ht="15.6">
      <c r="A2996" s="607" t="s">
        <v>22</v>
      </c>
      <c r="B2996" s="2021" t="s">
        <v>23</v>
      </c>
      <c r="C2996" s="2022"/>
      <c r="D2996" s="2023"/>
      <c r="E2996" s="607" t="s">
        <v>24</v>
      </c>
      <c r="F2996" s="2021" t="s">
        <v>25</v>
      </c>
      <c r="G2996" s="2023"/>
      <c r="H2996" s="2021" t="s">
        <v>26</v>
      </c>
      <c r="I2996" s="2022"/>
      <c r="J2996" s="2022"/>
      <c r="K2996" s="2023"/>
      <c r="L2996" s="2024" t="s">
        <v>27</v>
      </c>
      <c r="M2996" s="2024"/>
      <c r="N2996" s="2024"/>
      <c r="O2996" s="2021"/>
      <c r="P2996" s="2020"/>
      <c r="Q2996" s="142"/>
      <c r="R2996" s="142"/>
    </row>
    <row r="2997" spans="1:18" ht="15.6">
      <c r="A2997" s="38"/>
      <c r="B2997" s="2025"/>
      <c r="C2997" s="2026"/>
      <c r="D2997" s="2027"/>
      <c r="E2997" s="26"/>
      <c r="F2997" s="2025"/>
      <c r="G2997" s="2027"/>
      <c r="H2997" s="2025"/>
      <c r="I2997" s="2026"/>
      <c r="J2997" s="2026"/>
      <c r="K2997" s="2027"/>
      <c r="L2997" s="2025"/>
      <c r="M2997" s="2026"/>
      <c r="N2997" s="2026"/>
      <c r="O2997" s="2026"/>
      <c r="P2997" s="2020"/>
      <c r="Q2997" s="142"/>
      <c r="R2997" s="142"/>
    </row>
    <row r="2998" spans="1:18" ht="15.6">
      <c r="A2998" s="38"/>
      <c r="B2998" s="602"/>
      <c r="C2998" s="601"/>
      <c r="D2998" s="603"/>
      <c r="E2998" s="26"/>
      <c r="F2998" s="602"/>
      <c r="G2998" s="603"/>
      <c r="H2998" s="602"/>
      <c r="I2998" s="1856"/>
      <c r="J2998" s="601"/>
      <c r="K2998" s="204"/>
      <c r="L2998" s="602"/>
      <c r="M2998" s="601"/>
      <c r="N2998" s="601"/>
      <c r="O2998" s="601"/>
      <c r="P2998" s="2020"/>
      <c r="Q2998" s="142"/>
      <c r="R2998" s="142"/>
    </row>
    <row r="2999" spans="1:18" ht="15.6">
      <c r="A2999" s="38" t="s">
        <v>28</v>
      </c>
      <c r="B2999" s="2025" t="s">
        <v>138</v>
      </c>
      <c r="C2999" s="2026"/>
      <c r="D2999" s="2027"/>
      <c r="E2999" s="26">
        <f>+L2883-1.792</f>
        <v>115.40485200000002</v>
      </c>
      <c r="F2999" s="2025">
        <v>12</v>
      </c>
      <c r="G2999" s="2027"/>
      <c r="H2999" s="2025" t="s">
        <v>49</v>
      </c>
      <c r="I2999" s="2026"/>
      <c r="J2999" s="2026"/>
      <c r="K2999" s="2027"/>
      <c r="L2999" s="2025" t="s">
        <v>283</v>
      </c>
      <c r="M2999" s="2026"/>
      <c r="N2999" s="2026"/>
      <c r="O2999" s="2026"/>
      <c r="P2999" s="2020"/>
      <c r="Q2999" s="142"/>
      <c r="R2999" s="142"/>
    </row>
    <row r="3000" spans="1:18" ht="15.6">
      <c r="A3000" s="38" t="s">
        <v>29</v>
      </c>
      <c r="B3000" s="2025" t="s">
        <v>137</v>
      </c>
      <c r="C3000" s="2026"/>
      <c r="D3000" s="2027"/>
      <c r="E3000" s="26">
        <f>+L2912</f>
        <v>66.244422999999983</v>
      </c>
      <c r="F3000" s="2025">
        <v>12</v>
      </c>
      <c r="G3000" s="2027"/>
      <c r="H3000" s="2025" t="s">
        <v>49</v>
      </c>
      <c r="I3000" s="2026"/>
      <c r="J3000" s="2026"/>
      <c r="K3000" s="2027"/>
      <c r="L3000" s="2025" t="s">
        <v>375</v>
      </c>
      <c r="M3000" s="2026"/>
      <c r="N3000" s="2026"/>
      <c r="O3000" s="2026"/>
      <c r="P3000" s="2020"/>
      <c r="Q3000" s="142"/>
      <c r="R3000" s="142"/>
    </row>
    <row r="3001" spans="1:18" ht="15.6">
      <c r="A3001" s="38" t="s">
        <v>30</v>
      </c>
      <c r="B3001" s="2025" t="s">
        <v>136</v>
      </c>
      <c r="C3001" s="2026"/>
      <c r="D3001" s="2027"/>
      <c r="E3001" s="26">
        <f>+L2934</f>
        <v>40.937534000000007</v>
      </c>
      <c r="F3001" s="2025">
        <v>12</v>
      </c>
      <c r="G3001" s="2027"/>
      <c r="H3001" s="2025" t="s">
        <v>49</v>
      </c>
      <c r="I3001" s="2026"/>
      <c r="J3001" s="2026"/>
      <c r="K3001" s="2027"/>
      <c r="L3001" s="2025" t="s">
        <v>375</v>
      </c>
      <c r="M3001" s="2026"/>
      <c r="N3001" s="2026"/>
      <c r="O3001" s="2026"/>
      <c r="P3001" s="2020"/>
      <c r="Q3001" s="142"/>
      <c r="R3001" s="142"/>
    </row>
    <row r="3002" spans="1:18" s="497" customFormat="1" ht="15.6">
      <c r="A3002" s="38" t="s">
        <v>46</v>
      </c>
      <c r="B3002" s="2025" t="s">
        <v>159</v>
      </c>
      <c r="C3002" s="2026"/>
      <c r="D3002" s="2027"/>
      <c r="E3002" s="26">
        <v>2</v>
      </c>
      <c r="F3002" s="2025">
        <v>12</v>
      </c>
      <c r="G3002" s="2027"/>
      <c r="H3002" s="2025" t="s">
        <v>49</v>
      </c>
      <c r="I3002" s="2026"/>
      <c r="J3002" s="2026"/>
      <c r="K3002" s="2027"/>
      <c r="L3002" s="2025" t="s">
        <v>283</v>
      </c>
      <c r="M3002" s="2026"/>
      <c r="N3002" s="2026"/>
      <c r="O3002" s="2026"/>
      <c r="P3002" s="2020"/>
      <c r="Q3002" s="142"/>
      <c r="R3002" s="142"/>
    </row>
    <row r="3003" spans="1:18" s="497" customFormat="1" ht="15.6">
      <c r="A3003" s="38"/>
      <c r="B3003" s="602"/>
      <c r="C3003" s="601"/>
      <c r="D3003" s="603"/>
      <c r="E3003" s="26"/>
      <c r="F3003" s="602"/>
      <c r="G3003" s="603"/>
      <c r="H3003" s="602"/>
      <c r="I3003" s="1856"/>
      <c r="J3003" s="601"/>
      <c r="K3003" s="603"/>
      <c r="L3003" s="602"/>
      <c r="M3003" s="601"/>
      <c r="N3003" s="601"/>
      <c r="O3003" s="601"/>
      <c r="P3003" s="2020"/>
      <c r="Q3003" s="142"/>
      <c r="R3003" s="142"/>
    </row>
    <row r="3004" spans="1:18" ht="15.6">
      <c r="A3004" s="615" t="s">
        <v>58</v>
      </c>
      <c r="B3004" s="2026" t="s">
        <v>397</v>
      </c>
      <c r="C3004" s="2026"/>
      <c r="D3004" s="2026"/>
      <c r="E3004" s="369">
        <f>+L2958-0.256</f>
        <v>10.580977999999998</v>
      </c>
      <c r="F3004" s="2025">
        <v>12</v>
      </c>
      <c r="G3004" s="2027"/>
      <c r="H3004" s="2025" t="s">
        <v>155</v>
      </c>
      <c r="I3004" s="2026"/>
      <c r="J3004" s="2026"/>
      <c r="K3004" s="2027"/>
      <c r="L3004" s="2026" t="s">
        <v>379</v>
      </c>
      <c r="M3004" s="2026"/>
      <c r="N3004" s="2026"/>
      <c r="O3004" s="2026"/>
      <c r="P3004" s="2020"/>
      <c r="Q3004" s="142"/>
      <c r="R3004" s="142"/>
    </row>
    <row r="3005" spans="1:18" s="497" customFormat="1" ht="15.6">
      <c r="A3005" s="615" t="s">
        <v>163</v>
      </c>
      <c r="B3005" s="2026" t="s">
        <v>398</v>
      </c>
      <c r="C3005" s="2026"/>
      <c r="D3005" s="2026"/>
      <c r="E3005" s="369">
        <f>+L2972</f>
        <v>5.2372920000000001</v>
      </c>
      <c r="F3005" s="2025">
        <v>12</v>
      </c>
      <c r="G3005" s="2027"/>
      <c r="H3005" s="2025" t="s">
        <v>155</v>
      </c>
      <c r="I3005" s="2026"/>
      <c r="J3005" s="2026"/>
      <c r="K3005" s="2027"/>
      <c r="L3005" s="2026" t="s">
        <v>349</v>
      </c>
      <c r="M3005" s="2026"/>
      <c r="N3005" s="2026"/>
      <c r="O3005" s="2026"/>
      <c r="P3005" s="2020"/>
      <c r="Q3005" s="142"/>
      <c r="R3005" s="142"/>
    </row>
    <row r="3006" spans="1:18" s="497" customFormat="1" ht="15.6">
      <c r="A3006" s="615" t="s">
        <v>302</v>
      </c>
      <c r="B3006" s="2026" t="s">
        <v>399</v>
      </c>
      <c r="C3006" s="2026"/>
      <c r="D3006" s="2026"/>
      <c r="E3006" s="369">
        <f>+L2990-1.934</f>
        <v>4.5963259999999995</v>
      </c>
      <c r="F3006" s="2025">
        <v>12</v>
      </c>
      <c r="G3006" s="2027"/>
      <c r="H3006" s="2025" t="s">
        <v>155</v>
      </c>
      <c r="I3006" s="2026"/>
      <c r="J3006" s="2026"/>
      <c r="K3006" s="2027"/>
      <c r="L3006" s="2026" t="s">
        <v>379</v>
      </c>
      <c r="M3006" s="2026"/>
      <c r="N3006" s="2026"/>
      <c r="O3006" s="2026"/>
      <c r="P3006" s="2020"/>
      <c r="Q3006" s="142"/>
      <c r="R3006" s="142"/>
    </row>
    <row r="3007" spans="1:18" s="497" customFormat="1" ht="15.6">
      <c r="A3007" s="604"/>
      <c r="B3007" s="601"/>
      <c r="C3007" s="601"/>
      <c r="D3007" s="601"/>
      <c r="E3007" s="369"/>
      <c r="F3007" s="602"/>
      <c r="G3007" s="603"/>
      <c r="H3007" s="602"/>
      <c r="I3007" s="1856"/>
      <c r="J3007" s="601"/>
      <c r="K3007" s="603"/>
      <c r="L3007" s="601"/>
      <c r="M3007" s="601"/>
      <c r="N3007" s="601"/>
      <c r="O3007" s="601"/>
      <c r="P3007" s="2020"/>
      <c r="Q3007" s="142"/>
      <c r="R3007" s="142"/>
    </row>
    <row r="3008" spans="1:18" ht="15.6">
      <c r="A3008" s="38"/>
      <c r="B3008" s="2025"/>
      <c r="C3008" s="2026"/>
      <c r="D3008" s="2027"/>
      <c r="E3008" s="26"/>
      <c r="F3008" s="2025"/>
      <c r="G3008" s="2027"/>
      <c r="H3008" s="2025"/>
      <c r="I3008" s="2026"/>
      <c r="J3008" s="2026"/>
      <c r="K3008" s="2027"/>
      <c r="L3008" s="2025"/>
      <c r="M3008" s="2026"/>
      <c r="N3008" s="2026"/>
      <c r="O3008" s="2026"/>
      <c r="P3008" s="2020"/>
      <c r="Q3008" s="142"/>
      <c r="R3008" s="142"/>
    </row>
    <row r="3009" spans="1:18" ht="16.2" thickBot="1">
      <c r="A3009" s="38"/>
      <c r="B3009" s="602"/>
      <c r="C3009" s="601"/>
      <c r="D3009" s="601"/>
      <c r="E3009" s="26"/>
      <c r="F3009" s="601"/>
      <c r="G3009" s="603"/>
      <c r="H3009" s="602"/>
      <c r="I3009" s="1856"/>
      <c r="J3009" s="601"/>
      <c r="K3009" s="204"/>
      <c r="L3009" s="39"/>
      <c r="M3009" s="40"/>
      <c r="N3009" s="40"/>
      <c r="O3009" s="40"/>
      <c r="P3009" s="2020"/>
      <c r="Q3009" s="142"/>
      <c r="R3009" s="142"/>
    </row>
    <row r="3010" spans="1:18" ht="15.6">
      <c r="A3010" s="41"/>
      <c r="B3010" s="42"/>
      <c r="C3010" s="43"/>
      <c r="D3010" s="43"/>
      <c r="E3010" s="2028">
        <f>SUM(E2997:E3009)</f>
        <v>245.00140499999998</v>
      </c>
      <c r="F3010" s="44"/>
      <c r="G3010" s="45"/>
      <c r="H3010" s="46"/>
      <c r="I3010" s="1858"/>
      <c r="J3010" s="43"/>
      <c r="K3010" s="205"/>
      <c r="L3010" s="46"/>
      <c r="M3010" s="43"/>
      <c r="N3010" s="44"/>
      <c r="O3010" s="43"/>
      <c r="P3010" s="2020"/>
      <c r="Q3010" s="142"/>
      <c r="R3010" s="142"/>
    </row>
    <row r="3011" spans="1:18" ht="16.2" thickBot="1">
      <c r="A3011" s="47"/>
      <c r="B3011" s="48"/>
      <c r="C3011" s="49"/>
      <c r="D3011" s="49"/>
      <c r="E3011" s="2029"/>
      <c r="F3011" s="50"/>
      <c r="G3011" s="51"/>
      <c r="H3011" s="52"/>
      <c r="I3011" s="1860"/>
      <c r="J3011" s="49"/>
      <c r="K3011" s="206"/>
      <c r="L3011" s="52"/>
      <c r="M3011" s="49"/>
      <c r="N3011" s="50"/>
      <c r="O3011" s="49"/>
      <c r="P3011" s="2020"/>
      <c r="Q3011" s="142"/>
      <c r="R3011" s="142"/>
    </row>
    <row r="3012" spans="1:18" ht="15.6">
      <c r="A3012" s="53" t="s">
        <v>31</v>
      </c>
      <c r="B3012" s="43"/>
      <c r="C3012" s="43"/>
      <c r="D3012" s="43"/>
      <c r="E3012" s="43"/>
      <c r="F3012" s="44"/>
      <c r="G3012" s="43"/>
      <c r="H3012" s="44"/>
      <c r="I3012" s="1858"/>
      <c r="J3012" s="43"/>
      <c r="K3012" s="207"/>
      <c r="L3012" s="44"/>
      <c r="M3012" s="43"/>
      <c r="N3012" s="44"/>
      <c r="O3012" s="43"/>
      <c r="P3012" s="2020"/>
      <c r="Q3012" s="142"/>
      <c r="R3012" s="142"/>
    </row>
    <row r="3013" spans="1:18" ht="15.6">
      <c r="A3013" s="54"/>
      <c r="B3013" s="55"/>
      <c r="C3013" s="55"/>
      <c r="D3013" s="55"/>
      <c r="E3013" s="55"/>
      <c r="F3013" s="600"/>
      <c r="G3013" s="55"/>
      <c r="H3013" s="600"/>
      <c r="I3013" s="1859"/>
      <c r="J3013" s="55"/>
      <c r="K3013" s="208"/>
      <c r="L3013" s="600"/>
      <c r="M3013" s="55"/>
      <c r="N3013" s="600"/>
      <c r="O3013" s="55"/>
      <c r="P3013" s="2020"/>
      <c r="Q3013" s="142"/>
      <c r="R3013" s="142"/>
    </row>
    <row r="3014" spans="1:18" ht="16.2" thickBot="1">
      <c r="A3014" s="2030" t="s">
        <v>32</v>
      </c>
      <c r="B3014" s="2031"/>
      <c r="C3014" s="2032" t="s">
        <v>33</v>
      </c>
      <c r="D3014" s="2033"/>
      <c r="E3014" s="57" t="s">
        <v>34</v>
      </c>
      <c r="F3014" s="57" t="s">
        <v>35</v>
      </c>
      <c r="G3014" s="2034" t="s">
        <v>36</v>
      </c>
      <c r="H3014" s="2035"/>
      <c r="I3014" s="2035"/>
      <c r="J3014" s="2035"/>
      <c r="K3014" s="2035"/>
      <c r="L3014" s="2035"/>
      <c r="M3014" s="2035"/>
      <c r="N3014" s="2035"/>
      <c r="O3014" s="2035"/>
      <c r="P3014" s="2020"/>
      <c r="Q3014" s="142"/>
      <c r="R3014" s="142"/>
    </row>
    <row r="3015" spans="1:18" ht="15.6">
      <c r="A3015" s="2036"/>
      <c r="B3015" s="2023"/>
      <c r="C3015" s="2021"/>
      <c r="D3015" s="2023"/>
      <c r="E3015" s="607"/>
      <c r="F3015" s="605"/>
      <c r="G3015" s="2037"/>
      <c r="H3015" s="2038"/>
      <c r="I3015" s="2038"/>
      <c r="J3015" s="2038"/>
      <c r="K3015" s="2038"/>
      <c r="L3015" s="2038"/>
      <c r="M3015" s="2038"/>
      <c r="N3015" s="2038"/>
      <c r="O3015" s="2038"/>
      <c r="P3015" s="2020"/>
      <c r="Q3015" s="142"/>
      <c r="R3015" s="142"/>
    </row>
    <row r="3016" spans="1:18" ht="15.6">
      <c r="A3016" s="2043" t="s">
        <v>37</v>
      </c>
      <c r="B3016" s="2044"/>
      <c r="C3016" s="2021"/>
      <c r="D3016" s="2023"/>
      <c r="E3016" s="607"/>
      <c r="F3016" s="605"/>
      <c r="G3016" s="2039"/>
      <c r="H3016" s="2040"/>
      <c r="I3016" s="2040"/>
      <c r="J3016" s="2040"/>
      <c r="K3016" s="2040"/>
      <c r="L3016" s="2040"/>
      <c r="M3016" s="2040"/>
      <c r="N3016" s="2040"/>
      <c r="O3016" s="2040"/>
      <c r="P3016" s="2020"/>
      <c r="Q3016" s="142"/>
      <c r="R3016" s="142"/>
    </row>
    <row r="3017" spans="1:18" ht="15.6">
      <c r="A3017" s="2043" t="s">
        <v>38</v>
      </c>
      <c r="B3017" s="2044"/>
      <c r="C3017" s="2021"/>
      <c r="D3017" s="2023"/>
      <c r="E3017" s="607"/>
      <c r="F3017" s="605"/>
      <c r="G3017" s="2039"/>
      <c r="H3017" s="2040"/>
      <c r="I3017" s="2040"/>
      <c r="J3017" s="2040"/>
      <c r="K3017" s="2040"/>
      <c r="L3017" s="2040"/>
      <c r="M3017" s="2040"/>
      <c r="N3017" s="2040"/>
      <c r="O3017" s="2040"/>
      <c r="P3017" s="2020"/>
      <c r="Q3017" s="142"/>
      <c r="R3017" s="142"/>
    </row>
    <row r="3018" spans="1:18" ht="15.6">
      <c r="A3018" s="2043" t="s">
        <v>39</v>
      </c>
      <c r="B3018" s="2044"/>
      <c r="C3018" s="2021"/>
      <c r="D3018" s="2023"/>
      <c r="E3018" s="607"/>
      <c r="F3018" s="605"/>
      <c r="G3018" s="2039"/>
      <c r="H3018" s="2040"/>
      <c r="I3018" s="2040"/>
      <c r="J3018" s="2040"/>
      <c r="K3018" s="2040"/>
      <c r="L3018" s="2040"/>
      <c r="M3018" s="2040"/>
      <c r="N3018" s="2040"/>
      <c r="O3018" s="2040"/>
      <c r="P3018" s="2020"/>
      <c r="Q3018" s="142"/>
      <c r="R3018" s="142"/>
    </row>
    <row r="3019" spans="1:18" ht="15.6">
      <c r="A3019" s="2043" t="s">
        <v>40</v>
      </c>
      <c r="B3019" s="2044"/>
      <c r="C3019" s="2021"/>
      <c r="D3019" s="2023"/>
      <c r="E3019" s="607"/>
      <c r="F3019" s="605"/>
      <c r="G3019" s="2039"/>
      <c r="H3019" s="2040"/>
      <c r="I3019" s="2040"/>
      <c r="J3019" s="2040"/>
      <c r="K3019" s="2040"/>
      <c r="L3019" s="2040"/>
      <c r="M3019" s="2040"/>
      <c r="N3019" s="2040"/>
      <c r="O3019" s="2040"/>
      <c r="P3019" s="2020"/>
      <c r="Q3019" s="142"/>
      <c r="R3019" s="142"/>
    </row>
    <row r="3020" spans="1:18" ht="16.2" thickBot="1">
      <c r="A3020" s="2049" t="s">
        <v>41</v>
      </c>
      <c r="B3020" s="2050"/>
      <c r="C3020" s="2051"/>
      <c r="D3020" s="2052"/>
      <c r="E3020" s="58"/>
      <c r="F3020" s="606"/>
      <c r="G3020" s="2041"/>
      <c r="H3020" s="2042"/>
      <c r="I3020" s="2042"/>
      <c r="J3020" s="2042"/>
      <c r="K3020" s="2042"/>
      <c r="L3020" s="2042"/>
      <c r="M3020" s="2042"/>
      <c r="N3020" s="2042"/>
      <c r="O3020" s="2042"/>
      <c r="P3020" s="2020"/>
      <c r="Q3020" s="142"/>
      <c r="R3020" s="142"/>
    </row>
    <row r="3021" spans="1:18" ht="15.6">
      <c r="A3021" s="54"/>
      <c r="B3021" s="55"/>
      <c r="C3021" s="55"/>
      <c r="D3021" s="55"/>
      <c r="E3021" s="55"/>
      <c r="F3021" s="600"/>
      <c r="G3021" s="55"/>
      <c r="H3021" s="59"/>
      <c r="I3021" s="60"/>
      <c r="J3021" s="61"/>
      <c r="K3021" s="209"/>
      <c r="L3021" s="301"/>
      <c r="M3021" s="55"/>
      <c r="N3021" s="600"/>
      <c r="O3021" s="55"/>
      <c r="P3021" s="2020"/>
      <c r="Q3021" s="142"/>
      <c r="R3021" s="142"/>
    </row>
    <row r="3022" spans="1:18" ht="15.6">
      <c r="A3022" s="62" t="s">
        <v>42</v>
      </c>
      <c r="B3022" s="56"/>
      <c r="C3022" s="55"/>
      <c r="D3022" s="55"/>
      <c r="E3022" s="55"/>
      <c r="F3022" s="600"/>
      <c r="G3022" s="56"/>
      <c r="H3022" s="59"/>
      <c r="I3022" s="60"/>
      <c r="J3022" s="61"/>
      <c r="K3022" s="208"/>
      <c r="L3022" s="302"/>
      <c r="M3022" s="55"/>
      <c r="N3022" s="2045" t="s">
        <v>43</v>
      </c>
      <c r="O3022" s="2045"/>
      <c r="P3022" s="2020"/>
      <c r="Q3022" s="142"/>
      <c r="R3022" s="142"/>
    </row>
    <row r="3023" spans="1:18" ht="15.6">
      <c r="A3023" s="62"/>
      <c r="B3023" s="56"/>
      <c r="C3023" s="55"/>
      <c r="D3023" s="55"/>
      <c r="E3023" s="55"/>
      <c r="F3023" s="600"/>
      <c r="G3023" s="55"/>
      <c r="H3023" s="600"/>
      <c r="I3023" s="1859"/>
      <c r="J3023" s="55"/>
      <c r="K3023" s="208"/>
      <c r="L3023" s="600"/>
      <c r="M3023" s="55"/>
      <c r="N3023" s="600"/>
      <c r="O3023" s="56"/>
      <c r="P3023" s="2020"/>
      <c r="Q3023" s="142"/>
      <c r="R3023" s="142"/>
    </row>
    <row r="3024" spans="1:18" ht="15.6">
      <c r="A3024" s="62" t="s">
        <v>44</v>
      </c>
      <c r="B3024" s="56"/>
      <c r="C3024" s="55"/>
      <c r="D3024" s="55"/>
      <c r="E3024" s="55"/>
      <c r="F3024" s="600"/>
      <c r="G3024" s="55"/>
      <c r="H3024" s="600"/>
      <c r="I3024" s="1859"/>
      <c r="J3024" s="55"/>
      <c r="K3024" s="208"/>
      <c r="L3024" s="600"/>
      <c r="M3024" s="55"/>
      <c r="N3024" s="2045" t="s">
        <v>45</v>
      </c>
      <c r="O3024" s="2045"/>
      <c r="P3024" s="2020"/>
      <c r="Q3024" s="142"/>
      <c r="R3024" s="142"/>
    </row>
    <row r="3025" spans="1:19" ht="16.2" thickBot="1">
      <c r="A3025" s="48"/>
      <c r="B3025" s="49"/>
      <c r="C3025" s="49"/>
      <c r="D3025" s="49"/>
      <c r="E3025" s="49"/>
      <c r="F3025" s="50"/>
      <c r="G3025" s="49"/>
      <c r="H3025" s="50"/>
      <c r="I3025" s="1860"/>
      <c r="J3025" s="49"/>
      <c r="K3025" s="210"/>
      <c r="L3025" s="50"/>
      <c r="M3025" s="49"/>
      <c r="N3025" s="50"/>
      <c r="O3025" s="49"/>
      <c r="P3025" s="2020"/>
      <c r="Q3025" s="142"/>
      <c r="R3025" s="142"/>
    </row>
    <row r="3029" spans="1:19" ht="15.6">
      <c r="A3029" s="468" t="s">
        <v>48</v>
      </c>
      <c r="B3029" s="468"/>
      <c r="C3029" s="469"/>
      <c r="D3029" s="469"/>
      <c r="E3029" s="469"/>
      <c r="F3029" s="470"/>
      <c r="G3029" s="469"/>
      <c r="H3029" s="469"/>
      <c r="I3029" s="471"/>
      <c r="J3029" s="472"/>
      <c r="K3029" s="473"/>
      <c r="L3029" s="2046" t="s">
        <v>0</v>
      </c>
      <c r="M3029" s="2046"/>
      <c r="N3029" s="2046"/>
      <c r="O3029" s="2046"/>
      <c r="P3029" s="474"/>
      <c r="Q3029" s="474"/>
      <c r="R3029" s="474"/>
    </row>
    <row r="3030" spans="1:19" ht="15.6">
      <c r="A3030" s="27" t="s">
        <v>1</v>
      </c>
      <c r="B3030" s="27"/>
      <c r="C3030" s="27"/>
      <c r="D3030" s="28" t="s">
        <v>2</v>
      </c>
      <c r="E3030" s="28"/>
      <c r="F3030" s="29"/>
      <c r="G3030" s="29"/>
      <c r="H3030" s="29"/>
      <c r="I3030" s="30"/>
      <c r="J3030" s="622"/>
      <c r="K3030" s="197" t="s">
        <v>3</v>
      </c>
      <c r="L3030" s="622"/>
      <c r="M3030" s="27"/>
      <c r="N3030" s="29"/>
      <c r="O3030" s="27"/>
      <c r="P3030" s="475"/>
      <c r="Q3030" s="155"/>
      <c r="R3030" s="155"/>
    </row>
    <row r="3031" spans="1:19" ht="31.2">
      <c r="A3031" s="32" t="s">
        <v>4</v>
      </c>
      <c r="B3031" s="32" t="s">
        <v>5</v>
      </c>
      <c r="C3031" s="32" t="s">
        <v>6</v>
      </c>
      <c r="D3031" s="32" t="s">
        <v>7</v>
      </c>
      <c r="E3031" s="32" t="s">
        <v>8</v>
      </c>
      <c r="F3031" s="33" t="s">
        <v>9</v>
      </c>
      <c r="G3031" s="34" t="s">
        <v>10</v>
      </c>
      <c r="H3031" s="34" t="s">
        <v>11</v>
      </c>
      <c r="I3031" s="35" t="s">
        <v>12</v>
      </c>
      <c r="J3031" s="36" t="s">
        <v>13</v>
      </c>
      <c r="K3031" s="198" t="s">
        <v>14</v>
      </c>
      <c r="L3031" s="297" t="s">
        <v>15</v>
      </c>
      <c r="M3031" s="33" t="s">
        <v>16</v>
      </c>
      <c r="N3031" s="33" t="s">
        <v>17</v>
      </c>
      <c r="O3031" s="34" t="s">
        <v>18</v>
      </c>
      <c r="P3031" s="33" t="s">
        <v>192</v>
      </c>
      <c r="Q3031" s="1057"/>
      <c r="R3031" s="1057"/>
    </row>
    <row r="3032" spans="1:19" ht="15.6">
      <c r="A3032" s="21" t="s">
        <v>383</v>
      </c>
      <c r="B3032" s="21" t="s">
        <v>384</v>
      </c>
      <c r="C3032" s="21" t="s">
        <v>19</v>
      </c>
      <c r="D3032" s="21" t="s">
        <v>20</v>
      </c>
      <c r="E3032" s="21" t="s">
        <v>47</v>
      </c>
      <c r="F3032" s="22">
        <v>13</v>
      </c>
      <c r="G3032" s="185" t="s">
        <v>21</v>
      </c>
      <c r="H3032" s="629" t="s">
        <v>229</v>
      </c>
      <c r="I3032" s="186">
        <v>21.6</v>
      </c>
      <c r="J3032" s="23">
        <v>9.9</v>
      </c>
      <c r="K3032" s="25">
        <v>25</v>
      </c>
      <c r="L3032" s="100">
        <f>(I3032*J3032*K3032/1000)</f>
        <v>5.346000000000001</v>
      </c>
      <c r="M3032" s="20"/>
      <c r="N3032" s="20"/>
      <c r="O3032" s="20"/>
      <c r="P3032" s="20"/>
      <c r="Q3032" s="155"/>
      <c r="R3032" s="155"/>
      <c r="S3032" s="497" t="s">
        <v>431</v>
      </c>
    </row>
    <row r="3033" spans="1:19" ht="15.6">
      <c r="A3033" s="20"/>
      <c r="B3033" s="503" t="s">
        <v>334</v>
      </c>
      <c r="C3033" s="20"/>
      <c r="D3033" s="20"/>
      <c r="E3033" s="20"/>
      <c r="F3033" s="20"/>
      <c r="G3033" s="185"/>
      <c r="H3033" s="185"/>
      <c r="I3033" s="186"/>
      <c r="J3033" s="183"/>
      <c r="K3033" s="626">
        <f>SUM(K3032:K3032)</f>
        <v>25</v>
      </c>
      <c r="L3033" s="183">
        <f>SUM(L3032:L3032)</f>
        <v>5.346000000000001</v>
      </c>
      <c r="M3033" s="20"/>
      <c r="N3033" s="20"/>
      <c r="O3033" s="20"/>
      <c r="P3033" s="20"/>
      <c r="Q3033" s="155"/>
      <c r="R3033" s="155"/>
    </row>
    <row r="3034" spans="1:19" s="497" customFormat="1" ht="15.6">
      <c r="A3034" s="20"/>
      <c r="B3034" s="503"/>
      <c r="C3034" s="20"/>
      <c r="D3034" s="20"/>
      <c r="E3034" s="20"/>
      <c r="F3034" s="20"/>
      <c r="G3034" s="185"/>
      <c r="H3034" s="185"/>
      <c r="I3034" s="186"/>
      <c r="J3034" s="183"/>
      <c r="K3034" s="626"/>
      <c r="L3034" s="183"/>
      <c r="M3034" s="20"/>
      <c r="N3034" s="20"/>
      <c r="O3034" s="20"/>
      <c r="P3034" s="20"/>
      <c r="Q3034" s="155"/>
      <c r="R3034" s="155"/>
    </row>
    <row r="3035" spans="1:19" s="497" customFormat="1" ht="15.6">
      <c r="A3035" s="20"/>
      <c r="B3035" s="503"/>
      <c r="C3035" s="20"/>
      <c r="D3035" s="20"/>
      <c r="E3035" s="20"/>
      <c r="F3035" s="20"/>
      <c r="G3035" s="185"/>
      <c r="H3035" s="185"/>
      <c r="I3035" s="186"/>
      <c r="J3035" s="183"/>
      <c r="K3035" s="626"/>
      <c r="L3035" s="183"/>
      <c r="M3035" s="20"/>
      <c r="N3035" s="20"/>
      <c r="O3035" s="20"/>
      <c r="P3035" s="20"/>
      <c r="Q3035" s="155"/>
      <c r="R3035" s="155"/>
    </row>
    <row r="3036" spans="1:19" ht="15.6">
      <c r="A3036" s="21" t="s">
        <v>332</v>
      </c>
      <c r="B3036" s="21" t="s">
        <v>381</v>
      </c>
      <c r="C3036" s="21" t="s">
        <v>19</v>
      </c>
      <c r="D3036" s="21" t="s">
        <v>20</v>
      </c>
      <c r="E3036" s="21" t="s">
        <v>47</v>
      </c>
      <c r="F3036" s="22">
        <v>13</v>
      </c>
      <c r="G3036" s="20" t="s">
        <v>21</v>
      </c>
      <c r="H3036" s="143" t="s">
        <v>120</v>
      </c>
      <c r="I3036" s="115">
        <v>18.2</v>
      </c>
      <c r="J3036" s="23">
        <v>11.7</v>
      </c>
      <c r="K3036" s="25">
        <v>64</v>
      </c>
      <c r="L3036" s="100">
        <f t="shared" ref="L3036:L3037" si="522">(I3036*J3036*K3036/1000)</f>
        <v>13.628159999999998</v>
      </c>
      <c r="M3036" s="20"/>
      <c r="N3036" s="20"/>
      <c r="O3036" s="20"/>
      <c r="P3036" s="20"/>
      <c r="Q3036" s="155"/>
      <c r="R3036" s="155"/>
      <c r="S3036" s="497" t="s">
        <v>431</v>
      </c>
    </row>
    <row r="3037" spans="1:19" ht="15.6">
      <c r="A3037" s="20"/>
      <c r="B3037" s="503" t="s">
        <v>340</v>
      </c>
      <c r="C3037" s="20"/>
      <c r="D3037" s="20"/>
      <c r="E3037" s="20"/>
      <c r="F3037" s="20"/>
      <c r="G3037" s="20" t="s">
        <v>21</v>
      </c>
      <c r="H3037" s="20" t="s">
        <v>120</v>
      </c>
      <c r="I3037" s="115">
        <v>18.2</v>
      </c>
      <c r="J3037" s="23">
        <v>11.9</v>
      </c>
      <c r="K3037" s="25">
        <v>7</v>
      </c>
      <c r="L3037" s="100">
        <f t="shared" si="522"/>
        <v>1.51606</v>
      </c>
      <c r="M3037" s="20"/>
      <c r="N3037" s="20"/>
      <c r="O3037" s="20"/>
      <c r="P3037" s="20"/>
      <c r="Q3037" s="155"/>
      <c r="R3037" s="155"/>
    </row>
    <row r="3038" spans="1:19" ht="15.6">
      <c r="A3038" s="20"/>
      <c r="B3038" s="20"/>
      <c r="C3038" s="20"/>
      <c r="D3038" s="20"/>
      <c r="E3038" s="20"/>
      <c r="F3038" s="20"/>
      <c r="G3038" s="20"/>
      <c r="H3038" s="20"/>
      <c r="I3038" s="115"/>
      <c r="J3038" s="23"/>
      <c r="K3038" s="25">
        <f>SUM(K3036:K3037)</f>
        <v>71</v>
      </c>
      <c r="L3038" s="23">
        <f>SUM(L3036:L3037)</f>
        <v>15.144219999999997</v>
      </c>
      <c r="M3038" s="20"/>
      <c r="N3038" s="20"/>
      <c r="O3038" s="20"/>
      <c r="P3038" s="20"/>
      <c r="Q3038" s="155"/>
      <c r="R3038" s="155"/>
    </row>
    <row r="3039" spans="1:19" s="497" customFormat="1" ht="15.6">
      <c r="A3039" s="20"/>
      <c r="B3039" s="20"/>
      <c r="C3039" s="20"/>
      <c r="D3039" s="20"/>
      <c r="E3039" s="20"/>
      <c r="F3039" s="20"/>
      <c r="G3039" s="20"/>
      <c r="H3039" s="20"/>
      <c r="I3039" s="115"/>
      <c r="J3039" s="23"/>
      <c r="K3039" s="25"/>
      <c r="L3039" s="23"/>
      <c r="M3039" s="20"/>
      <c r="N3039" s="20"/>
      <c r="O3039" s="20"/>
      <c r="P3039" s="20"/>
      <c r="Q3039" s="155"/>
      <c r="R3039" s="155"/>
    </row>
    <row r="3040" spans="1:19" ht="15.6">
      <c r="A3040" s="21" t="s">
        <v>383</v>
      </c>
      <c r="B3040" s="21" t="s">
        <v>384</v>
      </c>
      <c r="C3040" s="21" t="s">
        <v>19</v>
      </c>
      <c r="D3040" s="21" t="s">
        <v>20</v>
      </c>
      <c r="E3040" s="21" t="s">
        <v>47</v>
      </c>
      <c r="F3040" s="22">
        <v>13</v>
      </c>
      <c r="G3040" s="185" t="s">
        <v>21</v>
      </c>
      <c r="H3040" s="629" t="s">
        <v>120</v>
      </c>
      <c r="I3040" s="186">
        <v>18.2</v>
      </c>
      <c r="J3040" s="23">
        <v>7.9</v>
      </c>
      <c r="K3040" s="25">
        <v>28</v>
      </c>
      <c r="L3040" s="100">
        <f t="shared" ref="L3040:L3041" si="523">(I3040*J3040*K3040/1000)</f>
        <v>4.0258400000000005</v>
      </c>
      <c r="M3040" s="20"/>
      <c r="N3040" s="20"/>
      <c r="O3040" s="20"/>
      <c r="P3040" s="20"/>
      <c r="Q3040" s="155"/>
      <c r="R3040" s="155"/>
      <c r="S3040" s="497" t="s">
        <v>431</v>
      </c>
    </row>
    <row r="3041" spans="1:19" ht="15.6">
      <c r="A3041" s="20"/>
      <c r="B3041" s="503" t="s">
        <v>334</v>
      </c>
      <c r="C3041" s="20"/>
      <c r="D3041" s="20"/>
      <c r="E3041" s="20"/>
      <c r="F3041" s="20"/>
      <c r="G3041" s="185" t="s">
        <v>21</v>
      </c>
      <c r="H3041" s="185" t="s">
        <v>120</v>
      </c>
      <c r="I3041" s="186">
        <v>18.2</v>
      </c>
      <c r="J3041" s="23">
        <v>10.9</v>
      </c>
      <c r="K3041" s="25">
        <v>2</v>
      </c>
      <c r="L3041" s="100">
        <f t="shared" si="523"/>
        <v>0.39676</v>
      </c>
      <c r="M3041" s="20"/>
      <c r="N3041" s="20"/>
      <c r="O3041" s="20"/>
      <c r="P3041" s="20"/>
      <c r="Q3041" s="155"/>
      <c r="R3041" s="155"/>
    </row>
    <row r="3042" spans="1:19" ht="15.6">
      <c r="A3042" s="20"/>
      <c r="B3042" s="20"/>
      <c r="C3042" s="20"/>
      <c r="D3042" s="20"/>
      <c r="E3042" s="20"/>
      <c r="F3042" s="20"/>
      <c r="G3042" s="185"/>
      <c r="H3042" s="185"/>
      <c r="I3042" s="186"/>
      <c r="J3042" s="183"/>
      <c r="K3042" s="626">
        <f>SUM(K3040:K3041)</f>
        <v>30</v>
      </c>
      <c r="L3042" s="183">
        <f>SUM(L3040:L3041)</f>
        <v>4.422600000000001</v>
      </c>
      <c r="M3042" s="20"/>
      <c r="N3042" s="20"/>
      <c r="O3042" s="20"/>
      <c r="P3042" s="20"/>
      <c r="Q3042" s="155"/>
      <c r="R3042" s="155"/>
    </row>
    <row r="3043" spans="1:19" s="497" customFormat="1" ht="15.6">
      <c r="A3043" s="20"/>
      <c r="B3043" s="20"/>
      <c r="C3043" s="20"/>
      <c r="D3043" s="20"/>
      <c r="E3043" s="20"/>
      <c r="F3043" s="20"/>
      <c r="G3043" s="185"/>
      <c r="H3043" s="185"/>
      <c r="I3043" s="186"/>
      <c r="J3043" s="183"/>
      <c r="K3043" s="626"/>
      <c r="L3043" s="183"/>
      <c r="M3043" s="20"/>
      <c r="N3043" s="20"/>
      <c r="O3043" s="20"/>
      <c r="P3043" s="20"/>
      <c r="Q3043" s="155"/>
      <c r="R3043" s="155"/>
    </row>
    <row r="3044" spans="1:19" ht="15.6">
      <c r="A3044" s="21" t="s">
        <v>332</v>
      </c>
      <c r="B3044" s="21" t="s">
        <v>382</v>
      </c>
      <c r="C3044" s="21" t="s">
        <v>19</v>
      </c>
      <c r="D3044" s="21" t="s">
        <v>49</v>
      </c>
      <c r="E3044" s="21" t="s">
        <v>359</v>
      </c>
      <c r="F3044" s="22">
        <v>13</v>
      </c>
      <c r="G3044" s="20" t="s">
        <v>21</v>
      </c>
      <c r="H3044" s="143" t="s">
        <v>120</v>
      </c>
      <c r="I3044" s="115">
        <v>18.149999999999999</v>
      </c>
      <c r="J3044" s="23">
        <v>7.9</v>
      </c>
      <c r="K3044" s="25">
        <v>8</v>
      </c>
      <c r="L3044" s="100">
        <f t="shared" ref="L3044:L3046" si="524">(I3044*J3044*K3044/1000)</f>
        <v>1.1470799999999999</v>
      </c>
      <c r="M3044" s="20"/>
      <c r="N3044" s="20"/>
      <c r="O3044" s="20"/>
      <c r="P3044" s="20"/>
      <c r="Q3044" s="155"/>
      <c r="R3044" s="155"/>
      <c r="S3044" s="497" t="s">
        <v>431</v>
      </c>
    </row>
    <row r="3045" spans="1:19" ht="15.6">
      <c r="A3045" s="20"/>
      <c r="B3045" s="21" t="s">
        <v>331</v>
      </c>
      <c r="C3045" s="20"/>
      <c r="D3045" s="20"/>
      <c r="E3045" s="20"/>
      <c r="F3045" s="20"/>
      <c r="G3045" s="20" t="s">
        <v>21</v>
      </c>
      <c r="H3045" s="20" t="s">
        <v>120</v>
      </c>
      <c r="I3045" s="115">
        <v>18.149999999999999</v>
      </c>
      <c r="J3045" s="23">
        <v>9.5</v>
      </c>
      <c r="K3045" s="25">
        <v>13</v>
      </c>
      <c r="L3045" s="100">
        <f t="shared" si="524"/>
        <v>2.2415249999999998</v>
      </c>
      <c r="M3045" s="20"/>
      <c r="N3045" s="20"/>
      <c r="O3045" s="20"/>
      <c r="P3045" s="20"/>
      <c r="Q3045" s="155"/>
      <c r="R3045" s="155"/>
    </row>
    <row r="3046" spans="1:19" ht="15.6">
      <c r="A3046" s="20"/>
      <c r="B3046" s="20"/>
      <c r="C3046" s="20"/>
      <c r="D3046" s="20"/>
      <c r="E3046" s="20"/>
      <c r="F3046" s="20"/>
      <c r="G3046" s="20" t="s">
        <v>21</v>
      </c>
      <c r="H3046" s="20" t="s">
        <v>120</v>
      </c>
      <c r="I3046" s="115">
        <v>18.149999999999999</v>
      </c>
      <c r="J3046" s="23">
        <v>11.6</v>
      </c>
      <c r="K3046" s="25">
        <v>5</v>
      </c>
      <c r="L3046" s="100">
        <f t="shared" si="524"/>
        <v>1.0526999999999997</v>
      </c>
      <c r="M3046" s="20"/>
      <c r="N3046" s="20"/>
      <c r="O3046" s="20"/>
      <c r="P3046" s="20"/>
      <c r="Q3046" s="155"/>
      <c r="R3046" s="155"/>
    </row>
    <row r="3047" spans="1:19" ht="15.6">
      <c r="A3047" s="20"/>
      <c r="B3047" s="20"/>
      <c r="C3047" s="20"/>
      <c r="D3047" s="20"/>
      <c r="E3047" s="20"/>
      <c r="F3047" s="20"/>
      <c r="G3047" s="20"/>
      <c r="H3047" s="20"/>
      <c r="I3047" s="115"/>
      <c r="J3047" s="23"/>
      <c r="K3047" s="25">
        <f t="shared" ref="K3047:L3047" si="525">SUM(K3044:K3046)</f>
        <v>26</v>
      </c>
      <c r="L3047" s="23">
        <f t="shared" si="525"/>
        <v>4.4413049999999998</v>
      </c>
      <c r="M3047" s="20"/>
      <c r="N3047" s="20"/>
      <c r="O3047" s="20"/>
      <c r="P3047" s="20"/>
      <c r="Q3047" s="155"/>
      <c r="R3047" s="155"/>
    </row>
    <row r="3048" spans="1:19" s="497" customFormat="1" ht="15.6">
      <c r="A3048" s="20"/>
      <c r="B3048" s="20"/>
      <c r="C3048" s="20"/>
      <c r="D3048" s="20"/>
      <c r="E3048" s="20"/>
      <c r="F3048" s="20"/>
      <c r="G3048" s="20"/>
      <c r="H3048" s="20"/>
      <c r="I3048" s="115"/>
      <c r="J3048" s="23"/>
      <c r="K3048" s="25"/>
      <c r="L3048" s="23"/>
      <c r="M3048" s="20"/>
      <c r="N3048" s="20"/>
      <c r="O3048" s="20"/>
      <c r="P3048" s="20"/>
      <c r="Q3048" s="155"/>
      <c r="R3048" s="155"/>
    </row>
    <row r="3049" spans="1:19" ht="15.6">
      <c r="A3049" s="21" t="s">
        <v>395</v>
      </c>
      <c r="B3049" s="21" t="s">
        <v>385</v>
      </c>
      <c r="C3049" s="21" t="s">
        <v>19</v>
      </c>
      <c r="D3049" s="21" t="s">
        <v>49</v>
      </c>
      <c r="E3049" s="21" t="s">
        <v>359</v>
      </c>
      <c r="F3049" s="22">
        <v>13</v>
      </c>
      <c r="G3049" s="20" t="s">
        <v>21</v>
      </c>
      <c r="H3049" s="143" t="s">
        <v>120</v>
      </c>
      <c r="I3049" s="115">
        <v>18.149999999999999</v>
      </c>
      <c r="J3049" s="23">
        <v>12</v>
      </c>
      <c r="K3049" s="25">
        <v>7</v>
      </c>
      <c r="L3049" s="100">
        <f>(I3049*J3049*K3049/1000)</f>
        <v>1.5246</v>
      </c>
      <c r="M3049" s="20"/>
      <c r="N3049" s="20"/>
      <c r="O3049" s="20"/>
      <c r="P3049" s="20"/>
      <c r="Q3049" s="155"/>
      <c r="R3049" s="155"/>
      <c r="S3049" s="497" t="s">
        <v>431</v>
      </c>
    </row>
    <row r="3050" spans="1:19" ht="15.6">
      <c r="A3050" s="20"/>
      <c r="B3050" s="184" t="s">
        <v>333</v>
      </c>
      <c r="C3050" s="20"/>
      <c r="D3050" s="20"/>
      <c r="E3050" s="20"/>
      <c r="F3050" s="20"/>
      <c r="G3050" s="20"/>
      <c r="H3050" s="20"/>
      <c r="I3050" s="115"/>
      <c r="J3050" s="23"/>
      <c r="K3050" s="25">
        <f t="shared" ref="K3050:L3050" si="526">SUM(K3049)</f>
        <v>7</v>
      </c>
      <c r="L3050" s="23">
        <f t="shared" si="526"/>
        <v>1.5246</v>
      </c>
      <c r="M3050" s="20"/>
      <c r="N3050" s="20"/>
      <c r="O3050" s="20"/>
      <c r="P3050" s="20"/>
      <c r="Q3050" s="155"/>
      <c r="R3050" s="155"/>
    </row>
    <row r="3051" spans="1:19" s="497" customFormat="1" ht="15.6">
      <c r="A3051" s="20"/>
      <c r="B3051" s="184"/>
      <c r="C3051" s="20"/>
      <c r="D3051" s="20"/>
      <c r="E3051" s="20"/>
      <c r="F3051" s="20"/>
      <c r="G3051" s="20"/>
      <c r="H3051" s="20"/>
      <c r="I3051" s="115"/>
      <c r="J3051" s="23"/>
      <c r="K3051" s="25">
        <f>SUM(K3036:K3050)/2</f>
        <v>134</v>
      </c>
      <c r="L3051" s="23">
        <f>SUM(L3036:L3050)/2</f>
        <v>25.532725000000003</v>
      </c>
      <c r="M3051" s="20"/>
      <c r="N3051" s="20"/>
      <c r="O3051" s="20"/>
      <c r="P3051" s="20"/>
      <c r="Q3051" s="155"/>
      <c r="R3051" s="155"/>
    </row>
    <row r="3052" spans="1:19" s="497" customFormat="1" ht="15.6">
      <c r="A3052" s="20"/>
      <c r="B3052" s="184"/>
      <c r="C3052" s="20"/>
      <c r="D3052" s="20"/>
      <c r="E3052" s="20"/>
      <c r="F3052" s="20"/>
      <c r="G3052" s="20"/>
      <c r="H3052" s="20"/>
      <c r="I3052" s="115"/>
      <c r="J3052" s="23"/>
      <c r="K3052" s="25"/>
      <c r="L3052" s="23"/>
      <c r="M3052" s="20"/>
      <c r="N3052" s="20"/>
      <c r="O3052" s="20"/>
      <c r="P3052" s="20"/>
      <c r="Q3052" s="155"/>
      <c r="R3052" s="155"/>
    </row>
    <row r="3053" spans="1:19" s="497" customFormat="1" ht="15.6">
      <c r="A3053" s="20"/>
      <c r="B3053" s="184"/>
      <c r="C3053" s="20"/>
      <c r="D3053" s="20"/>
      <c r="E3053" s="20"/>
      <c r="F3053" s="20"/>
      <c r="G3053" s="20"/>
      <c r="H3053" s="20"/>
      <c r="I3053" s="115"/>
      <c r="J3053" s="23"/>
      <c r="K3053" s="25"/>
      <c r="L3053" s="23"/>
      <c r="M3053" s="20"/>
      <c r="N3053" s="20"/>
      <c r="O3053" s="20"/>
      <c r="P3053" s="20"/>
      <c r="Q3053" s="155"/>
      <c r="R3053" s="155"/>
    </row>
    <row r="3054" spans="1:19" ht="15.6">
      <c r="A3054" s="21" t="s">
        <v>332</v>
      </c>
      <c r="B3054" s="21" t="s">
        <v>381</v>
      </c>
      <c r="C3054" s="21" t="s">
        <v>19</v>
      </c>
      <c r="D3054" s="21" t="s">
        <v>20</v>
      </c>
      <c r="E3054" s="21" t="s">
        <v>47</v>
      </c>
      <c r="F3054" s="22">
        <v>13</v>
      </c>
      <c r="G3054" s="20" t="s">
        <v>21</v>
      </c>
      <c r="H3054" s="143" t="s">
        <v>123</v>
      </c>
      <c r="I3054" s="115">
        <v>16.5</v>
      </c>
      <c r="J3054" s="23">
        <v>6.3</v>
      </c>
      <c r="K3054" s="25">
        <v>77</v>
      </c>
      <c r="L3054" s="100">
        <f t="shared" ref="L3054:L3062" si="527">(I3054*J3054*K3054/1000)</f>
        <v>8.004150000000001</v>
      </c>
      <c r="M3054" s="20"/>
      <c r="N3054" s="20"/>
      <c r="O3054" s="20"/>
      <c r="P3054" s="20"/>
      <c r="Q3054" s="155"/>
      <c r="R3054" s="155"/>
      <c r="S3054" s="497" t="s">
        <v>431</v>
      </c>
    </row>
    <row r="3055" spans="1:19" ht="15.6">
      <c r="A3055" s="20"/>
      <c r="B3055" s="503" t="s">
        <v>340</v>
      </c>
      <c r="C3055" s="20"/>
      <c r="D3055" s="20"/>
      <c r="E3055" s="20"/>
      <c r="F3055" s="20"/>
      <c r="G3055" s="20" t="s">
        <v>21</v>
      </c>
      <c r="H3055" s="20" t="s">
        <v>123</v>
      </c>
      <c r="I3055" s="115">
        <v>16.5</v>
      </c>
      <c r="J3055" s="23">
        <v>7.1</v>
      </c>
      <c r="K3055" s="25">
        <v>12</v>
      </c>
      <c r="L3055" s="100">
        <f t="shared" si="527"/>
        <v>1.4057999999999999</v>
      </c>
      <c r="M3055" s="20"/>
      <c r="N3055" s="20"/>
      <c r="O3055" s="20"/>
      <c r="P3055" s="20"/>
      <c r="Q3055" s="155"/>
      <c r="R3055" s="155"/>
    </row>
    <row r="3056" spans="1:19" ht="15.6">
      <c r="A3056" s="20"/>
      <c r="B3056" s="20"/>
      <c r="C3056" s="20"/>
      <c r="D3056" s="20"/>
      <c r="E3056" s="20"/>
      <c r="F3056" s="20"/>
      <c r="G3056" s="20" t="s">
        <v>21</v>
      </c>
      <c r="H3056" s="20" t="s">
        <v>123</v>
      </c>
      <c r="I3056" s="115">
        <v>16.5</v>
      </c>
      <c r="J3056" s="23">
        <v>7.7</v>
      </c>
      <c r="K3056" s="25">
        <v>25</v>
      </c>
      <c r="L3056" s="100">
        <f t="shared" si="527"/>
        <v>3.17625</v>
      </c>
      <c r="M3056" s="20"/>
      <c r="N3056" s="20"/>
      <c r="O3056" s="20"/>
      <c r="P3056" s="20"/>
      <c r="Q3056" s="155"/>
      <c r="R3056" s="155"/>
    </row>
    <row r="3057" spans="1:19" ht="15.6">
      <c r="A3057" s="20"/>
      <c r="B3057" s="20"/>
      <c r="C3057" s="20"/>
      <c r="D3057" s="20"/>
      <c r="E3057" s="20"/>
      <c r="F3057" s="20"/>
      <c r="G3057" s="20" t="s">
        <v>21</v>
      </c>
      <c r="H3057" s="20" t="s">
        <v>123</v>
      </c>
      <c r="I3057" s="115">
        <v>16.5</v>
      </c>
      <c r="J3057" s="23">
        <v>8.8000000000000007</v>
      </c>
      <c r="K3057" s="25">
        <v>64</v>
      </c>
      <c r="L3057" s="100">
        <f t="shared" si="527"/>
        <v>9.2928000000000015</v>
      </c>
      <c r="M3057" s="20"/>
      <c r="N3057" s="20"/>
      <c r="O3057" s="20"/>
      <c r="P3057" s="20"/>
      <c r="Q3057" s="155"/>
      <c r="R3057" s="155"/>
    </row>
    <row r="3058" spans="1:19" ht="15.6">
      <c r="A3058" s="20"/>
      <c r="B3058" s="20"/>
      <c r="C3058" s="20"/>
      <c r="D3058" s="20"/>
      <c r="E3058" s="20"/>
      <c r="F3058" s="20"/>
      <c r="G3058" s="20" t="s">
        <v>21</v>
      </c>
      <c r="H3058" s="20" t="s">
        <v>123</v>
      </c>
      <c r="I3058" s="115">
        <v>16.5</v>
      </c>
      <c r="J3058" s="23">
        <v>8.9</v>
      </c>
      <c r="K3058" s="25">
        <v>172</v>
      </c>
      <c r="L3058" s="100">
        <f t="shared" si="527"/>
        <v>25.258200000000002</v>
      </c>
      <c r="M3058" s="20"/>
      <c r="N3058" s="20"/>
      <c r="O3058" s="20"/>
      <c r="P3058" s="20"/>
      <c r="Q3058" s="155"/>
      <c r="R3058" s="155"/>
    </row>
    <row r="3059" spans="1:19" ht="15.6">
      <c r="A3059" s="20"/>
      <c r="B3059" s="20"/>
      <c r="C3059" s="20"/>
      <c r="D3059" s="20"/>
      <c r="E3059" s="20"/>
      <c r="F3059" s="20"/>
      <c r="G3059" s="20" t="s">
        <v>21</v>
      </c>
      <c r="H3059" s="20" t="s">
        <v>123</v>
      </c>
      <c r="I3059" s="115">
        <v>16.5</v>
      </c>
      <c r="J3059" s="23">
        <v>9.1999999999999993</v>
      </c>
      <c r="K3059" s="25">
        <v>30</v>
      </c>
      <c r="L3059" s="100">
        <f t="shared" si="527"/>
        <v>4.5539999999999994</v>
      </c>
      <c r="M3059" s="20"/>
      <c r="N3059" s="20"/>
      <c r="O3059" s="20"/>
      <c r="P3059" s="20"/>
      <c r="Q3059" s="155"/>
      <c r="R3059" s="155"/>
    </row>
    <row r="3060" spans="1:19" ht="15.6">
      <c r="A3060" s="20"/>
      <c r="B3060" s="20"/>
      <c r="C3060" s="20"/>
      <c r="D3060" s="20"/>
      <c r="E3060" s="20"/>
      <c r="F3060" s="20"/>
      <c r="G3060" s="20" t="s">
        <v>21</v>
      </c>
      <c r="H3060" s="20" t="s">
        <v>123</v>
      </c>
      <c r="I3060" s="115">
        <v>16.5</v>
      </c>
      <c r="J3060" s="23">
        <v>10.7</v>
      </c>
      <c r="K3060" s="25">
        <v>72</v>
      </c>
      <c r="L3060" s="100">
        <f t="shared" si="527"/>
        <v>12.711599999999999</v>
      </c>
      <c r="M3060" s="20"/>
      <c r="N3060" s="20"/>
      <c r="O3060" s="20"/>
      <c r="P3060" s="20"/>
      <c r="Q3060" s="155"/>
      <c r="R3060" s="155"/>
    </row>
    <row r="3061" spans="1:19" ht="15.6">
      <c r="A3061" s="20"/>
      <c r="B3061" s="20"/>
      <c r="C3061" s="20"/>
      <c r="D3061" s="20"/>
      <c r="E3061" s="20"/>
      <c r="F3061" s="20"/>
      <c r="G3061" s="20" t="s">
        <v>21</v>
      </c>
      <c r="H3061" s="20" t="s">
        <v>123</v>
      </c>
      <c r="I3061" s="115">
        <v>16.5</v>
      </c>
      <c r="J3061" s="23">
        <v>11.1</v>
      </c>
      <c r="K3061" s="25">
        <v>144</v>
      </c>
      <c r="L3061" s="100">
        <f t="shared" si="527"/>
        <v>26.373600000000003</v>
      </c>
      <c r="M3061" s="20"/>
      <c r="N3061" s="20"/>
      <c r="O3061" s="20"/>
      <c r="P3061" s="20"/>
      <c r="Q3061" s="155"/>
      <c r="R3061" s="155"/>
    </row>
    <row r="3062" spans="1:19" ht="15.6">
      <c r="A3062" s="20"/>
      <c r="B3062" s="20"/>
      <c r="C3062" s="20"/>
      <c r="D3062" s="20"/>
      <c r="E3062" s="20"/>
      <c r="F3062" s="20"/>
      <c r="G3062" s="20" t="s">
        <v>21</v>
      </c>
      <c r="H3062" s="20" t="s">
        <v>123</v>
      </c>
      <c r="I3062" s="115">
        <v>16.5</v>
      </c>
      <c r="J3062" s="23">
        <v>11.7</v>
      </c>
      <c r="K3062" s="25">
        <v>24</v>
      </c>
      <c r="L3062" s="100">
        <f t="shared" si="527"/>
        <v>4.6331999999999995</v>
      </c>
      <c r="M3062" s="20"/>
      <c r="N3062" s="20"/>
      <c r="O3062" s="20"/>
      <c r="P3062" s="20"/>
      <c r="Q3062" s="155"/>
      <c r="R3062" s="155"/>
    </row>
    <row r="3063" spans="1:19" ht="15.6">
      <c r="A3063" s="20"/>
      <c r="B3063" s="20"/>
      <c r="C3063" s="20"/>
      <c r="D3063" s="20"/>
      <c r="E3063" s="20"/>
      <c r="F3063" s="20"/>
      <c r="G3063" s="20"/>
      <c r="H3063" s="20"/>
      <c r="I3063" s="115"/>
      <c r="J3063" s="23"/>
      <c r="K3063" s="25">
        <f>SUM(K3054:K3062)</f>
        <v>620</v>
      </c>
      <c r="L3063" s="23">
        <f>SUM(L3054:L3062)</f>
        <v>95.409600000000026</v>
      </c>
      <c r="M3063" s="20"/>
      <c r="N3063" s="20"/>
      <c r="O3063" s="20"/>
      <c r="P3063" s="20"/>
      <c r="Q3063" s="155"/>
      <c r="R3063" s="155"/>
    </row>
    <row r="3064" spans="1:19" ht="15.6">
      <c r="A3064" s="20"/>
      <c r="B3064" s="20"/>
      <c r="C3064" s="20"/>
      <c r="D3064" s="20"/>
      <c r="E3064" s="20"/>
      <c r="F3064" s="20"/>
      <c r="G3064" s="20"/>
      <c r="H3064" s="20"/>
      <c r="I3064" s="115"/>
      <c r="J3064" s="20"/>
      <c r="K3064" s="211"/>
      <c r="L3064" s="131"/>
      <c r="M3064" s="20"/>
      <c r="N3064" s="20"/>
      <c r="O3064" s="20"/>
      <c r="P3064" s="20"/>
      <c r="Q3064" s="155"/>
      <c r="R3064" s="155"/>
    </row>
    <row r="3065" spans="1:19" ht="15.6">
      <c r="A3065" s="21" t="s">
        <v>332</v>
      </c>
      <c r="B3065" s="21" t="s">
        <v>382</v>
      </c>
      <c r="C3065" s="21" t="s">
        <v>19</v>
      </c>
      <c r="D3065" s="21" t="s">
        <v>49</v>
      </c>
      <c r="E3065" s="21" t="s">
        <v>359</v>
      </c>
      <c r="F3065" s="22">
        <v>13</v>
      </c>
      <c r="G3065" s="20" t="s">
        <v>21</v>
      </c>
      <c r="H3065" s="143" t="s">
        <v>123</v>
      </c>
      <c r="I3065" s="115">
        <v>16.5</v>
      </c>
      <c r="J3065" s="23">
        <v>7</v>
      </c>
      <c r="K3065" s="25">
        <v>3</v>
      </c>
      <c r="L3065" s="100">
        <f>(I3065*J3065*K3065/1000)</f>
        <v>0.34649999999999997</v>
      </c>
      <c r="M3065" s="20"/>
      <c r="N3065" s="20"/>
      <c r="O3065" s="20"/>
      <c r="P3065" s="20"/>
      <c r="Q3065" s="155"/>
      <c r="R3065" s="155"/>
      <c r="S3065" s="497" t="s">
        <v>431</v>
      </c>
    </row>
    <row r="3066" spans="1:19" ht="15.6">
      <c r="A3066" s="20"/>
      <c r="B3066" s="21" t="s">
        <v>331</v>
      </c>
      <c r="C3066" s="20"/>
      <c r="D3066" s="20"/>
      <c r="E3066" s="20"/>
      <c r="F3066" s="20"/>
      <c r="G3066" s="20"/>
      <c r="H3066" s="20"/>
      <c r="I3066" s="115"/>
      <c r="J3066" s="23"/>
      <c r="K3066" s="25">
        <f t="shared" ref="K3066:L3066" si="528">SUM(K3065)</f>
        <v>3</v>
      </c>
      <c r="L3066" s="23">
        <f t="shared" si="528"/>
        <v>0.34649999999999997</v>
      </c>
      <c r="M3066" s="20"/>
      <c r="N3066" s="20"/>
      <c r="O3066" s="20"/>
      <c r="P3066" s="20"/>
      <c r="Q3066" s="155"/>
      <c r="R3066" s="155"/>
    </row>
    <row r="3067" spans="1:19" ht="15.6">
      <c r="A3067" s="20"/>
      <c r="B3067" s="20"/>
      <c r="C3067" s="20"/>
      <c r="D3067" s="20"/>
      <c r="E3067" s="20"/>
      <c r="F3067" s="20"/>
      <c r="G3067" s="20"/>
      <c r="H3067" s="20"/>
      <c r="I3067" s="115"/>
      <c r="J3067" s="20"/>
      <c r="K3067" s="211"/>
      <c r="L3067" s="131"/>
      <c r="M3067" s="20"/>
      <c r="N3067" s="20"/>
      <c r="O3067" s="20"/>
      <c r="P3067" s="20"/>
      <c r="Q3067" s="155"/>
      <c r="R3067" s="155"/>
    </row>
    <row r="3068" spans="1:19" ht="15.6">
      <c r="A3068" s="21" t="s">
        <v>395</v>
      </c>
      <c r="B3068" s="21" t="s">
        <v>394</v>
      </c>
      <c r="C3068" s="21" t="s">
        <v>19</v>
      </c>
      <c r="D3068" s="21" t="s">
        <v>49</v>
      </c>
      <c r="E3068" s="21" t="s">
        <v>359</v>
      </c>
      <c r="F3068" s="22">
        <v>13</v>
      </c>
      <c r="G3068" s="612" t="s">
        <v>21</v>
      </c>
      <c r="H3068" s="735" t="s">
        <v>123</v>
      </c>
      <c r="I3068" s="613">
        <v>16.5</v>
      </c>
      <c r="J3068" s="610">
        <v>12</v>
      </c>
      <c r="K3068" s="609">
        <v>20</v>
      </c>
      <c r="L3068" s="100">
        <f>(I3068*J3068*K3068/1000)</f>
        <v>3.96</v>
      </c>
      <c r="M3068" s="20"/>
      <c r="N3068" s="20"/>
      <c r="O3068" s="20"/>
      <c r="P3068" s="20"/>
      <c r="Q3068" s="155"/>
      <c r="R3068" s="155"/>
      <c r="S3068" s="497" t="s">
        <v>431</v>
      </c>
    </row>
    <row r="3069" spans="1:19" ht="15.6">
      <c r="A3069" s="20"/>
      <c r="B3069" s="612" t="s">
        <v>277</v>
      </c>
      <c r="C3069" s="20"/>
      <c r="D3069" s="20"/>
      <c r="E3069" s="20"/>
      <c r="F3069" s="20"/>
      <c r="G3069" s="612"/>
      <c r="H3069" s="612"/>
      <c r="I3069" s="613"/>
      <c r="J3069" s="610"/>
      <c r="K3069" s="609">
        <f t="shared" ref="K3069:L3069" si="529">SUM(K3068)</f>
        <v>20</v>
      </c>
      <c r="L3069" s="610">
        <f t="shared" si="529"/>
        <v>3.96</v>
      </c>
      <c r="M3069" s="20"/>
      <c r="N3069" s="20"/>
      <c r="O3069" s="20"/>
      <c r="P3069" s="20"/>
      <c r="Q3069" s="155"/>
      <c r="R3069" s="155"/>
    </row>
    <row r="3070" spans="1:19" s="497" customFormat="1" ht="15.6">
      <c r="A3070" s="20"/>
      <c r="B3070" s="612"/>
      <c r="C3070" s="20"/>
      <c r="D3070" s="20"/>
      <c r="E3070" s="20"/>
      <c r="F3070" s="20"/>
      <c r="G3070" s="612"/>
      <c r="H3070" s="612"/>
      <c r="I3070" s="613"/>
      <c r="J3070" s="610"/>
      <c r="K3070" s="614">
        <f>SUM(K3054:K3069)/2</f>
        <v>643</v>
      </c>
      <c r="L3070" s="610">
        <f>SUM(L3054:L3069)/2</f>
        <v>99.716100000000026</v>
      </c>
      <c r="M3070" s="20"/>
      <c r="N3070" s="20"/>
      <c r="O3070" s="20"/>
      <c r="P3070" s="20"/>
      <c r="Q3070" s="155"/>
      <c r="R3070" s="155"/>
    </row>
    <row r="3071" spans="1:19" s="497" customFormat="1" ht="15.6">
      <c r="A3071" s="20"/>
      <c r="B3071" s="612"/>
      <c r="C3071" s="20"/>
      <c r="D3071" s="20"/>
      <c r="E3071" s="20"/>
      <c r="F3071" s="20"/>
      <c r="G3071" s="612"/>
      <c r="H3071" s="612"/>
      <c r="I3071" s="613"/>
      <c r="J3071" s="610"/>
      <c r="K3071" s="609"/>
      <c r="L3071" s="610"/>
      <c r="M3071" s="20"/>
      <c r="N3071" s="20"/>
      <c r="O3071" s="20"/>
      <c r="P3071" s="20"/>
      <c r="Q3071" s="155"/>
      <c r="R3071" s="155"/>
    </row>
    <row r="3072" spans="1:19" s="497" customFormat="1" ht="15.6">
      <c r="A3072" s="20"/>
      <c r="B3072" s="612"/>
      <c r="C3072" s="20"/>
      <c r="D3072" s="20"/>
      <c r="E3072" s="20"/>
      <c r="F3072" s="20"/>
      <c r="G3072" s="612"/>
      <c r="H3072" s="612"/>
      <c r="I3072" s="613"/>
      <c r="J3072" s="610"/>
      <c r="K3072" s="609"/>
      <c r="L3072" s="610"/>
      <c r="M3072" s="20"/>
      <c r="N3072" s="20"/>
      <c r="O3072" s="20"/>
      <c r="P3072" s="20"/>
      <c r="Q3072" s="155"/>
      <c r="R3072" s="155"/>
    </row>
    <row r="3073" spans="1:19" ht="15.6">
      <c r="A3073" s="21" t="s">
        <v>332</v>
      </c>
      <c r="B3073" s="21" t="s">
        <v>381</v>
      </c>
      <c r="C3073" s="21" t="s">
        <v>19</v>
      </c>
      <c r="D3073" s="21" t="s">
        <v>20</v>
      </c>
      <c r="E3073" s="21" t="s">
        <v>47</v>
      </c>
      <c r="F3073" s="22">
        <v>13</v>
      </c>
      <c r="G3073" s="20" t="s">
        <v>21</v>
      </c>
      <c r="H3073" s="143" t="s">
        <v>122</v>
      </c>
      <c r="I3073" s="115">
        <v>14.7</v>
      </c>
      <c r="J3073" s="23">
        <v>6.25</v>
      </c>
      <c r="K3073" s="25">
        <v>48</v>
      </c>
      <c r="L3073" s="100">
        <f t="shared" ref="L3073:L3075" si="530">(I3073*J3073*K3073/1000)</f>
        <v>4.41</v>
      </c>
      <c r="M3073" s="20"/>
      <c r="N3073" s="20"/>
      <c r="O3073" s="20"/>
      <c r="P3073" s="20"/>
      <c r="Q3073" s="155"/>
      <c r="R3073" s="155"/>
      <c r="S3073" s="497" t="s">
        <v>432</v>
      </c>
    </row>
    <row r="3074" spans="1:19" ht="15.6">
      <c r="A3074" s="20"/>
      <c r="B3074" s="503" t="s">
        <v>340</v>
      </c>
      <c r="C3074" s="20"/>
      <c r="D3074" s="20"/>
      <c r="E3074" s="20"/>
      <c r="F3074" s="20"/>
      <c r="G3074" s="20" t="s">
        <v>21</v>
      </c>
      <c r="H3074" s="20" t="s">
        <v>122</v>
      </c>
      <c r="I3074" s="115">
        <v>14.7</v>
      </c>
      <c r="J3074" s="23">
        <v>8.9</v>
      </c>
      <c r="K3074" s="25">
        <v>64</v>
      </c>
      <c r="L3074" s="100">
        <f t="shared" si="530"/>
        <v>8.3731200000000001</v>
      </c>
      <c r="M3074" s="20"/>
      <c r="N3074" s="20"/>
      <c r="O3074" s="20"/>
      <c r="P3074" s="20"/>
      <c r="Q3074" s="155"/>
      <c r="R3074" s="155"/>
    </row>
    <row r="3075" spans="1:19" ht="15.6">
      <c r="A3075" s="20"/>
      <c r="B3075" s="20"/>
      <c r="C3075" s="20"/>
      <c r="D3075" s="20"/>
      <c r="E3075" s="20"/>
      <c r="F3075" s="20"/>
      <c r="G3075" s="20" t="s">
        <v>21</v>
      </c>
      <c r="H3075" s="20" t="s">
        <v>122</v>
      </c>
      <c r="I3075" s="115">
        <v>14.7</v>
      </c>
      <c r="J3075" s="23">
        <v>10.9</v>
      </c>
      <c r="K3075" s="25">
        <v>32</v>
      </c>
      <c r="L3075" s="100">
        <f t="shared" si="530"/>
        <v>5.1273599999999995</v>
      </c>
      <c r="M3075" s="20"/>
      <c r="N3075" s="20"/>
      <c r="O3075" s="20"/>
      <c r="P3075" s="20"/>
      <c r="Q3075" s="155"/>
      <c r="R3075" s="155"/>
    </row>
    <row r="3076" spans="1:19" ht="15.6">
      <c r="A3076" s="20"/>
      <c r="B3076" s="20"/>
      <c r="C3076" s="20"/>
      <c r="D3076" s="20"/>
      <c r="E3076" s="20"/>
      <c r="F3076" s="20"/>
      <c r="G3076" s="20"/>
      <c r="H3076" s="20"/>
      <c r="I3076" s="115"/>
      <c r="J3076" s="23"/>
      <c r="K3076" s="25">
        <f>SUM(K3073:K3075)</f>
        <v>144</v>
      </c>
      <c r="L3076" s="23">
        <f>SUM(L3073:L3075)</f>
        <v>17.91048</v>
      </c>
      <c r="M3076" s="20"/>
      <c r="N3076" s="20"/>
      <c r="O3076" s="20"/>
      <c r="P3076" s="20"/>
      <c r="Q3076" s="155"/>
      <c r="R3076" s="155"/>
    </row>
    <row r="3077" spans="1:19" s="497" customFormat="1" ht="15.6">
      <c r="A3077" s="20"/>
      <c r="B3077" s="20"/>
      <c r="C3077" s="20"/>
      <c r="D3077" s="20"/>
      <c r="E3077" s="20"/>
      <c r="F3077" s="20"/>
      <c r="G3077" s="20"/>
      <c r="H3077" s="20"/>
      <c r="I3077" s="115"/>
      <c r="J3077" s="23"/>
      <c r="K3077" s="25"/>
      <c r="L3077" s="23"/>
      <c r="M3077" s="20"/>
      <c r="N3077" s="20"/>
      <c r="O3077" s="20"/>
      <c r="P3077" s="20"/>
      <c r="Q3077" s="155"/>
      <c r="R3077" s="155"/>
    </row>
    <row r="3078" spans="1:19" ht="15.6">
      <c r="A3078" s="21" t="s">
        <v>383</v>
      </c>
      <c r="B3078" s="21" t="s">
        <v>384</v>
      </c>
      <c r="C3078" s="21" t="s">
        <v>19</v>
      </c>
      <c r="D3078" s="21" t="s">
        <v>20</v>
      </c>
      <c r="E3078" s="21" t="s">
        <v>47</v>
      </c>
      <c r="F3078" s="22">
        <v>13</v>
      </c>
      <c r="G3078" s="185" t="s">
        <v>21</v>
      </c>
      <c r="H3078" s="629" t="s">
        <v>122</v>
      </c>
      <c r="I3078" s="186">
        <v>14.7</v>
      </c>
      <c r="J3078" s="183">
        <v>6.4</v>
      </c>
      <c r="K3078" s="626">
        <v>12</v>
      </c>
      <c r="L3078" s="100">
        <f t="shared" ref="L3078:L3080" si="531">(I3078*J3078*K3078/1000)</f>
        <v>1.12896</v>
      </c>
      <c r="M3078" s="20"/>
      <c r="N3078" s="20"/>
      <c r="O3078" s="20"/>
      <c r="P3078" s="20"/>
      <c r="Q3078" s="155"/>
      <c r="R3078" s="155"/>
      <c r="S3078" s="497" t="s">
        <v>432</v>
      </c>
    </row>
    <row r="3079" spans="1:19" ht="15.6">
      <c r="A3079" s="20"/>
      <c r="B3079" s="503" t="s">
        <v>334</v>
      </c>
      <c r="C3079" s="20"/>
      <c r="D3079" s="20"/>
      <c r="E3079" s="20"/>
      <c r="F3079" s="20"/>
      <c r="G3079" s="185" t="s">
        <v>21</v>
      </c>
      <c r="H3079" s="185" t="s">
        <v>122</v>
      </c>
      <c r="I3079" s="186">
        <v>14.7</v>
      </c>
      <c r="J3079" s="183">
        <v>8.5</v>
      </c>
      <c r="K3079" s="626">
        <v>16</v>
      </c>
      <c r="L3079" s="100">
        <f t="shared" si="531"/>
        <v>1.9991999999999999</v>
      </c>
      <c r="M3079" s="20"/>
      <c r="N3079" s="20"/>
      <c r="O3079" s="20"/>
      <c r="P3079" s="20"/>
      <c r="Q3079" s="155"/>
      <c r="R3079" s="155"/>
    </row>
    <row r="3080" spans="1:19" ht="15.6">
      <c r="A3080" s="20"/>
      <c r="B3080" s="20"/>
      <c r="C3080" s="20"/>
      <c r="D3080" s="20"/>
      <c r="E3080" s="20"/>
      <c r="F3080" s="20"/>
      <c r="G3080" s="185" t="s">
        <v>21</v>
      </c>
      <c r="H3080" s="185" t="s">
        <v>122</v>
      </c>
      <c r="I3080" s="186">
        <v>14.7</v>
      </c>
      <c r="J3080" s="183">
        <v>9.5</v>
      </c>
      <c r="K3080" s="626">
        <v>17</v>
      </c>
      <c r="L3080" s="100">
        <f t="shared" si="531"/>
        <v>2.37405</v>
      </c>
      <c r="M3080" s="20"/>
      <c r="N3080" s="20"/>
      <c r="O3080" s="20"/>
      <c r="P3080" s="20"/>
      <c r="Q3080" s="155"/>
      <c r="R3080" s="155"/>
    </row>
    <row r="3081" spans="1:19" ht="15.6">
      <c r="A3081" s="20"/>
      <c r="B3081" s="20"/>
      <c r="C3081" s="20"/>
      <c r="D3081" s="20"/>
      <c r="E3081" s="20"/>
      <c r="F3081" s="20"/>
      <c r="G3081" s="185"/>
      <c r="H3081" s="185"/>
      <c r="I3081" s="186"/>
      <c r="J3081" s="183"/>
      <c r="K3081" s="626">
        <f t="shared" ref="K3081:L3081" si="532">SUM(K3078:K3080)</f>
        <v>45</v>
      </c>
      <c r="L3081" s="183">
        <f t="shared" si="532"/>
        <v>5.5022099999999998</v>
      </c>
      <c r="M3081" s="20"/>
      <c r="N3081" s="20"/>
      <c r="O3081" s="20"/>
      <c r="P3081" s="20"/>
      <c r="Q3081" s="155"/>
      <c r="R3081" s="155"/>
    </row>
    <row r="3082" spans="1:19" ht="15.6">
      <c r="A3082" s="20"/>
      <c r="B3082" s="20"/>
      <c r="C3082" s="20"/>
      <c r="D3082" s="20"/>
      <c r="E3082" s="20"/>
      <c r="F3082" s="20"/>
      <c r="G3082" s="20"/>
      <c r="H3082" s="20"/>
      <c r="I3082" s="115"/>
      <c r="J3082" s="20"/>
      <c r="K3082" s="211"/>
      <c r="L3082" s="131"/>
      <c r="M3082" s="20"/>
      <c r="N3082" s="20"/>
      <c r="O3082" s="20"/>
      <c r="P3082" s="20"/>
      <c r="Q3082" s="155"/>
      <c r="R3082" s="155"/>
    </row>
    <row r="3083" spans="1:19" ht="15.6">
      <c r="A3083" s="21" t="s">
        <v>332</v>
      </c>
      <c r="B3083" s="21" t="s">
        <v>382</v>
      </c>
      <c r="C3083" s="21" t="s">
        <v>19</v>
      </c>
      <c r="D3083" s="21" t="s">
        <v>49</v>
      </c>
      <c r="E3083" s="21" t="s">
        <v>359</v>
      </c>
      <c r="F3083" s="22">
        <v>13</v>
      </c>
      <c r="G3083" s="20" t="s">
        <v>21</v>
      </c>
      <c r="H3083" s="143" t="s">
        <v>122</v>
      </c>
      <c r="I3083" s="115">
        <v>14.66</v>
      </c>
      <c r="J3083" s="23">
        <v>8.8000000000000007</v>
      </c>
      <c r="K3083" s="25">
        <v>4</v>
      </c>
      <c r="L3083" s="100">
        <f>(I3083*J3083*K3083/1000)</f>
        <v>0.51603200000000005</v>
      </c>
      <c r="M3083" s="20"/>
      <c r="N3083" s="20"/>
      <c r="O3083" s="20"/>
      <c r="P3083" s="20"/>
      <c r="Q3083" s="155"/>
      <c r="R3083" s="155"/>
      <c r="S3083" s="497" t="s">
        <v>432</v>
      </c>
    </row>
    <row r="3084" spans="1:19" ht="15.6">
      <c r="A3084" s="20"/>
      <c r="B3084" s="21" t="s">
        <v>331</v>
      </c>
      <c r="C3084" s="20"/>
      <c r="D3084" s="20"/>
      <c r="E3084" s="20"/>
      <c r="F3084" s="20"/>
      <c r="G3084" s="20"/>
      <c r="H3084" s="143"/>
      <c r="I3084" s="115"/>
      <c r="J3084" s="23"/>
      <c r="K3084" s="25">
        <f t="shared" ref="K3084:L3084" si="533">SUM(K3083)</f>
        <v>4</v>
      </c>
      <c r="L3084" s="23">
        <f t="shared" si="533"/>
        <v>0.51603200000000005</v>
      </c>
      <c r="M3084" s="20"/>
      <c r="N3084" s="20"/>
      <c r="O3084" s="20"/>
      <c r="P3084" s="20"/>
      <c r="Q3084" s="155"/>
      <c r="R3084" s="155"/>
    </row>
    <row r="3085" spans="1:19" s="497" customFormat="1" ht="15.6">
      <c r="A3085" s="20"/>
      <c r="B3085" s="21"/>
      <c r="C3085" s="20"/>
      <c r="D3085" s="20"/>
      <c r="E3085" s="20"/>
      <c r="F3085" s="20"/>
      <c r="G3085" s="20"/>
      <c r="H3085" s="20"/>
      <c r="I3085" s="115"/>
      <c r="J3085" s="23"/>
      <c r="K3085" s="25"/>
      <c r="L3085" s="23"/>
      <c r="M3085" s="20"/>
      <c r="N3085" s="20"/>
      <c r="O3085" s="20"/>
      <c r="P3085" s="20"/>
      <c r="Q3085" s="155"/>
      <c r="R3085" s="155"/>
    </row>
    <row r="3086" spans="1:19" ht="15.6">
      <c r="A3086" s="21" t="s">
        <v>332</v>
      </c>
      <c r="B3086" s="21" t="s">
        <v>382</v>
      </c>
      <c r="C3086" s="21" t="s">
        <v>19</v>
      </c>
      <c r="D3086" s="21" t="s">
        <v>49</v>
      </c>
      <c r="E3086" s="21" t="s">
        <v>359</v>
      </c>
      <c r="F3086" s="22">
        <v>13</v>
      </c>
      <c r="G3086" s="20" t="s">
        <v>21</v>
      </c>
      <c r="H3086" s="143" t="s">
        <v>122</v>
      </c>
      <c r="I3086" s="115">
        <v>14.66</v>
      </c>
      <c r="J3086" s="23">
        <v>10.4</v>
      </c>
      <c r="K3086" s="25">
        <v>4</v>
      </c>
      <c r="L3086" s="100">
        <f>(I3086*J3086*K3086/1000)</f>
        <v>0.60985599999999995</v>
      </c>
      <c r="M3086" s="20"/>
      <c r="N3086" s="20"/>
      <c r="O3086" s="20"/>
      <c r="P3086" s="20"/>
      <c r="Q3086" s="155"/>
      <c r="R3086" s="155"/>
      <c r="S3086" s="497" t="s">
        <v>432</v>
      </c>
    </row>
    <row r="3087" spans="1:19" ht="15.6">
      <c r="A3087" s="20"/>
      <c r="B3087" s="21" t="s">
        <v>331</v>
      </c>
      <c r="C3087" s="20"/>
      <c r="D3087" s="20"/>
      <c r="E3087" s="20"/>
      <c r="F3087" s="20"/>
      <c r="G3087" s="20"/>
      <c r="H3087" s="20"/>
      <c r="I3087" s="115"/>
      <c r="J3087" s="23"/>
      <c r="K3087" s="25">
        <f t="shared" ref="K3087:L3087" si="534">SUM(K3086)</f>
        <v>4</v>
      </c>
      <c r="L3087" s="23">
        <f t="shared" si="534"/>
        <v>0.60985599999999995</v>
      </c>
      <c r="M3087" s="20"/>
      <c r="N3087" s="20"/>
      <c r="O3087" s="20"/>
      <c r="P3087" s="20"/>
      <c r="Q3087" s="155"/>
      <c r="R3087" s="155"/>
    </row>
    <row r="3088" spans="1:19" s="497" customFormat="1" ht="15.6">
      <c r="A3088" s="20"/>
      <c r="B3088" s="21"/>
      <c r="C3088" s="20"/>
      <c r="D3088" s="20"/>
      <c r="E3088" s="20"/>
      <c r="F3088" s="20"/>
      <c r="G3088" s="20"/>
      <c r="H3088" s="20"/>
      <c r="I3088" s="115"/>
      <c r="J3088" s="23"/>
      <c r="K3088" s="25"/>
      <c r="L3088" s="23"/>
      <c r="M3088" s="20"/>
      <c r="N3088" s="20"/>
      <c r="O3088" s="20"/>
      <c r="P3088" s="20"/>
      <c r="Q3088" s="155"/>
      <c r="R3088" s="155"/>
    </row>
    <row r="3089" spans="1:19" ht="15.6">
      <c r="A3089" s="21" t="s">
        <v>332</v>
      </c>
      <c r="B3089" s="21" t="s">
        <v>382</v>
      </c>
      <c r="C3089" s="21" t="s">
        <v>19</v>
      </c>
      <c r="D3089" s="21" t="s">
        <v>49</v>
      </c>
      <c r="E3089" s="21" t="s">
        <v>359</v>
      </c>
      <c r="F3089" s="22">
        <v>13</v>
      </c>
      <c r="G3089" s="20" t="s">
        <v>21</v>
      </c>
      <c r="H3089" s="143" t="s">
        <v>122</v>
      </c>
      <c r="I3089" s="115">
        <v>14.66</v>
      </c>
      <c r="J3089" s="23">
        <v>8.1999999999999993</v>
      </c>
      <c r="K3089" s="25">
        <v>14</v>
      </c>
      <c r="L3089" s="100">
        <f>(I3089*J3089*K3089/1000)</f>
        <v>1.6829679999999998</v>
      </c>
      <c r="M3089" s="20"/>
      <c r="N3089" s="20"/>
      <c r="O3089" s="20"/>
      <c r="P3089" s="20"/>
      <c r="Q3089" s="155"/>
      <c r="R3089" s="155"/>
      <c r="S3089" s="497" t="s">
        <v>432</v>
      </c>
    </row>
    <row r="3090" spans="1:19" ht="15.6">
      <c r="A3090" s="20"/>
      <c r="B3090" s="21" t="s">
        <v>331</v>
      </c>
      <c r="C3090" s="20"/>
      <c r="D3090" s="20"/>
      <c r="E3090" s="20"/>
      <c r="F3090" s="20"/>
      <c r="G3090" s="20" t="s">
        <v>21</v>
      </c>
      <c r="H3090" s="786" t="s">
        <v>122</v>
      </c>
      <c r="I3090" s="115">
        <v>14.66</v>
      </c>
      <c r="J3090" s="23">
        <v>12</v>
      </c>
      <c r="K3090" s="25">
        <v>13</v>
      </c>
      <c r="L3090" s="100">
        <f>(I3090*J3090*K3090/1000)</f>
        <v>2.2869600000000001</v>
      </c>
      <c r="M3090" s="20"/>
      <c r="N3090" s="20"/>
      <c r="O3090" s="20"/>
      <c r="P3090" s="20"/>
      <c r="Q3090" s="155"/>
      <c r="R3090" s="155"/>
    </row>
    <row r="3091" spans="1:19" ht="15.6">
      <c r="A3091" s="20"/>
      <c r="B3091" s="20"/>
      <c r="C3091" s="20"/>
      <c r="D3091" s="20"/>
      <c r="E3091" s="20"/>
      <c r="F3091" s="20"/>
      <c r="G3091" s="20"/>
      <c r="H3091" s="20"/>
      <c r="I3091" s="115"/>
      <c r="J3091" s="23"/>
      <c r="K3091" s="25">
        <f t="shared" ref="K3091:L3091" si="535">SUM(K3089:K3090)</f>
        <v>27</v>
      </c>
      <c r="L3091" s="23">
        <f t="shared" si="535"/>
        <v>3.9699279999999999</v>
      </c>
      <c r="M3091" s="20"/>
      <c r="N3091" s="20"/>
      <c r="O3091" s="20"/>
      <c r="P3091" s="20"/>
      <c r="Q3091" s="155"/>
      <c r="R3091" s="155"/>
    </row>
    <row r="3092" spans="1:19" s="497" customFormat="1" ht="15.6">
      <c r="A3092" s="20"/>
      <c r="B3092" s="20"/>
      <c r="C3092" s="20"/>
      <c r="D3092" s="20"/>
      <c r="E3092" s="20"/>
      <c r="F3092" s="20"/>
      <c r="G3092" s="20"/>
      <c r="H3092" s="20"/>
      <c r="I3092" s="115"/>
      <c r="J3092" s="23"/>
      <c r="K3092" s="25"/>
      <c r="L3092" s="23"/>
      <c r="M3092" s="20"/>
      <c r="N3092" s="20"/>
      <c r="O3092" s="20"/>
      <c r="P3092" s="20"/>
      <c r="Q3092" s="155"/>
      <c r="R3092" s="155"/>
    </row>
    <row r="3093" spans="1:19" ht="15.6">
      <c r="A3093" s="21" t="s">
        <v>395</v>
      </c>
      <c r="B3093" s="21" t="s">
        <v>385</v>
      </c>
      <c r="C3093" s="21" t="s">
        <v>19</v>
      </c>
      <c r="D3093" s="21" t="s">
        <v>49</v>
      </c>
      <c r="E3093" s="21" t="s">
        <v>359</v>
      </c>
      <c r="F3093" s="22">
        <v>13</v>
      </c>
      <c r="G3093" s="20" t="s">
        <v>21</v>
      </c>
      <c r="H3093" s="143" t="s">
        <v>122</v>
      </c>
      <c r="I3093" s="115">
        <v>14.66</v>
      </c>
      <c r="J3093" s="23">
        <v>8.8000000000000007</v>
      </c>
      <c r="K3093" s="25">
        <v>4</v>
      </c>
      <c r="L3093" s="100">
        <f>(I3093*J3093*K3093/1000)</f>
        <v>0.51603200000000005</v>
      </c>
      <c r="M3093" s="20"/>
      <c r="N3093" s="20"/>
      <c r="O3093" s="23">
        <v>8.75</v>
      </c>
      <c r="P3093" s="20"/>
      <c r="Q3093" s="155"/>
      <c r="R3093" s="155"/>
      <c r="S3093" s="497" t="s">
        <v>432</v>
      </c>
    </row>
    <row r="3094" spans="1:19" ht="15.6">
      <c r="A3094" s="20"/>
      <c r="B3094" s="184" t="s">
        <v>333</v>
      </c>
      <c r="C3094" s="20"/>
      <c r="D3094" s="20"/>
      <c r="E3094" s="20"/>
      <c r="F3094" s="20"/>
      <c r="G3094" s="20"/>
      <c r="H3094" s="20"/>
      <c r="I3094" s="115"/>
      <c r="J3094" s="23"/>
      <c r="K3094" s="25">
        <f t="shared" ref="K3094:L3094" si="536">SUM(K3093)</f>
        <v>4</v>
      </c>
      <c r="L3094" s="23">
        <f t="shared" si="536"/>
        <v>0.51603200000000005</v>
      </c>
      <c r="M3094" s="20"/>
      <c r="N3094" s="20"/>
      <c r="O3094" s="20"/>
      <c r="P3094" s="20"/>
      <c r="Q3094" s="155"/>
      <c r="R3094" s="155"/>
    </row>
    <row r="3095" spans="1:19" ht="15.6">
      <c r="A3095" s="20"/>
      <c r="B3095" s="20"/>
      <c r="C3095" s="20"/>
      <c r="D3095" s="20"/>
      <c r="E3095" s="20"/>
      <c r="F3095" s="20"/>
      <c r="G3095" s="20"/>
      <c r="H3095" s="20"/>
      <c r="I3095" s="115"/>
      <c r="J3095" s="20"/>
      <c r="K3095" s="211"/>
      <c r="L3095" s="131"/>
      <c r="M3095" s="20"/>
      <c r="N3095" s="20"/>
      <c r="O3095" s="20"/>
      <c r="P3095" s="20"/>
      <c r="Q3095" s="155"/>
      <c r="R3095" s="155"/>
    </row>
    <row r="3096" spans="1:19" ht="15.6">
      <c r="A3096" s="21" t="s">
        <v>395</v>
      </c>
      <c r="B3096" s="21" t="s">
        <v>394</v>
      </c>
      <c r="C3096" s="21" t="s">
        <v>19</v>
      </c>
      <c r="D3096" s="21" t="s">
        <v>49</v>
      </c>
      <c r="E3096" s="21" t="s">
        <v>359</v>
      </c>
      <c r="F3096" s="22">
        <v>13</v>
      </c>
      <c r="G3096" s="612" t="s">
        <v>21</v>
      </c>
      <c r="H3096" s="735" t="s">
        <v>122</v>
      </c>
      <c r="I3096" s="613">
        <v>14.66</v>
      </c>
      <c r="J3096" s="610">
        <v>12</v>
      </c>
      <c r="K3096" s="609">
        <v>8</v>
      </c>
      <c r="L3096" s="100">
        <f>(I3096*J3096*K3096/1000)</f>
        <v>1.4073600000000002</v>
      </c>
      <c r="M3096" s="20"/>
      <c r="N3096" s="20"/>
      <c r="O3096" s="20"/>
      <c r="P3096" s="20"/>
      <c r="Q3096" s="155"/>
      <c r="R3096" s="155"/>
      <c r="S3096" s="497" t="s">
        <v>432</v>
      </c>
    </row>
    <row r="3097" spans="1:19" ht="15.6">
      <c r="A3097" s="20"/>
      <c r="B3097" s="612" t="s">
        <v>277</v>
      </c>
      <c r="C3097" s="20"/>
      <c r="D3097" s="20"/>
      <c r="E3097" s="20"/>
      <c r="F3097" s="20"/>
      <c r="G3097" s="612"/>
      <c r="H3097" s="612"/>
      <c r="I3097" s="613"/>
      <c r="J3097" s="610"/>
      <c r="K3097" s="609">
        <f t="shared" ref="K3097:L3097" si="537">SUM(K3096)</f>
        <v>8</v>
      </c>
      <c r="L3097" s="610">
        <f t="shared" si="537"/>
        <v>1.4073600000000002</v>
      </c>
      <c r="M3097" s="20"/>
      <c r="N3097" s="20"/>
      <c r="O3097" s="20"/>
      <c r="P3097" s="20"/>
      <c r="Q3097" s="155"/>
      <c r="R3097" s="155"/>
    </row>
    <row r="3098" spans="1:19" s="497" customFormat="1" ht="15.6">
      <c r="A3098" s="20"/>
      <c r="B3098" s="612"/>
      <c r="C3098" s="20"/>
      <c r="D3098" s="20"/>
      <c r="E3098" s="20"/>
      <c r="F3098" s="20"/>
      <c r="G3098" s="612"/>
      <c r="H3098" s="612"/>
      <c r="I3098" s="613"/>
      <c r="J3098" s="610"/>
      <c r="K3098" s="614">
        <f>SUM(K3073:K3097)/2</f>
        <v>236</v>
      </c>
      <c r="L3098" s="610">
        <f>SUM(L3073:L3097)/2</f>
        <v>30.431898000000004</v>
      </c>
      <c r="M3098" s="20"/>
      <c r="N3098" s="20"/>
      <c r="O3098" s="20"/>
      <c r="P3098" s="20"/>
      <c r="Q3098" s="155"/>
      <c r="R3098" s="155"/>
    </row>
    <row r="3099" spans="1:19" s="497" customFormat="1" ht="15.6">
      <c r="A3099" s="20"/>
      <c r="B3099" s="612"/>
      <c r="C3099" s="20"/>
      <c r="D3099" s="20"/>
      <c r="E3099" s="20"/>
      <c r="F3099" s="20"/>
      <c r="G3099" s="612"/>
      <c r="H3099" s="612"/>
      <c r="I3099" s="613"/>
      <c r="J3099" s="610"/>
      <c r="K3099" s="609"/>
      <c r="L3099" s="610"/>
      <c r="M3099" s="20"/>
      <c r="N3099" s="20"/>
      <c r="O3099" s="20"/>
      <c r="P3099" s="20"/>
      <c r="Q3099" s="155"/>
      <c r="R3099" s="155"/>
    </row>
    <row r="3100" spans="1:19" ht="15.6">
      <c r="A3100" s="20"/>
      <c r="B3100" s="20"/>
      <c r="C3100" s="20"/>
      <c r="D3100" s="20"/>
      <c r="E3100" s="20"/>
      <c r="F3100" s="20"/>
      <c r="G3100" s="20"/>
      <c r="H3100" s="20"/>
      <c r="I3100" s="131"/>
      <c r="J3100" s="20"/>
      <c r="K3100" s="211"/>
      <c r="L3100" s="131"/>
      <c r="M3100" s="20"/>
      <c r="N3100" s="20"/>
      <c r="O3100" s="20"/>
      <c r="P3100" s="20"/>
      <c r="Q3100" s="155"/>
      <c r="R3100" s="155"/>
    </row>
    <row r="3101" spans="1:19" ht="15.6">
      <c r="A3101" s="20"/>
      <c r="B3101" s="20"/>
      <c r="C3101" s="20"/>
      <c r="D3101" s="20"/>
      <c r="E3101" s="20"/>
      <c r="F3101" s="20"/>
      <c r="G3101" s="20"/>
      <c r="H3101" s="20"/>
      <c r="I3101" s="131"/>
      <c r="J3101" s="20"/>
      <c r="K3101" s="211"/>
      <c r="L3101" s="128">
        <f>+L3098+L3070+L3051+L3033</f>
        <v>161.02672300000003</v>
      </c>
      <c r="M3101" s="20"/>
      <c r="N3101" s="20"/>
      <c r="O3101" s="20"/>
      <c r="P3101" s="20"/>
      <c r="Q3101" s="155"/>
      <c r="R3101" s="155"/>
    </row>
    <row r="3102" spans="1:19" s="497" customFormat="1">
      <c r="A3102" s="10" t="s">
        <v>48</v>
      </c>
      <c r="B3102" s="10"/>
      <c r="C3102" s="11"/>
      <c r="D3102" s="11"/>
      <c r="E3102" s="11"/>
      <c r="F3102" s="92"/>
      <c r="G3102" s="11"/>
      <c r="H3102" s="92"/>
      <c r="I3102" s="13"/>
      <c r="J3102" s="11"/>
      <c r="K3102" s="202"/>
      <c r="L3102" s="2047" t="s">
        <v>0</v>
      </c>
      <c r="M3102" s="2047"/>
      <c r="N3102" s="2047"/>
      <c r="O3102" s="2048"/>
      <c r="P3102" s="2020"/>
      <c r="Q3102" s="142"/>
      <c r="R3102" s="142"/>
    </row>
    <row r="3103" spans="1:19" s="497" customFormat="1">
      <c r="A3103" s="14" t="s">
        <v>1</v>
      </c>
      <c r="B3103" s="14"/>
      <c r="C3103" s="14"/>
      <c r="D3103" s="15" t="s">
        <v>2</v>
      </c>
      <c r="E3103" s="15"/>
      <c r="F3103" s="16"/>
      <c r="G3103" s="16"/>
      <c r="H3103" s="16"/>
      <c r="I3103" s="17"/>
      <c r="J3103" s="16"/>
      <c r="K3103" s="203" t="s">
        <v>3</v>
      </c>
      <c r="L3103" s="16"/>
      <c r="M3103" s="14"/>
      <c r="N3103" s="16"/>
      <c r="O3103" s="19"/>
      <c r="P3103" s="2020"/>
      <c r="Q3103" s="142"/>
      <c r="R3103" s="142"/>
    </row>
    <row r="3104" spans="1:19" s="497" customFormat="1" ht="15.6">
      <c r="A3104" s="623" t="s">
        <v>22</v>
      </c>
      <c r="B3104" s="2021" t="s">
        <v>23</v>
      </c>
      <c r="C3104" s="2022"/>
      <c r="D3104" s="2023"/>
      <c r="E3104" s="623" t="s">
        <v>24</v>
      </c>
      <c r="F3104" s="2021" t="s">
        <v>25</v>
      </c>
      <c r="G3104" s="2023"/>
      <c r="H3104" s="2021" t="s">
        <v>26</v>
      </c>
      <c r="I3104" s="2022"/>
      <c r="J3104" s="2022"/>
      <c r="K3104" s="2023"/>
      <c r="L3104" s="2024" t="s">
        <v>27</v>
      </c>
      <c r="M3104" s="2024"/>
      <c r="N3104" s="2024"/>
      <c r="O3104" s="2021"/>
      <c r="P3104" s="2020"/>
      <c r="Q3104" s="142"/>
      <c r="R3104" s="142"/>
    </row>
    <row r="3105" spans="1:18" s="497" customFormat="1" ht="15.6">
      <c r="A3105" s="38"/>
      <c r="B3105" s="2025"/>
      <c r="C3105" s="2026"/>
      <c r="D3105" s="2027"/>
      <c r="E3105" s="26"/>
      <c r="F3105" s="2025"/>
      <c r="G3105" s="2027"/>
      <c r="H3105" s="2025"/>
      <c r="I3105" s="2026"/>
      <c r="J3105" s="2026"/>
      <c r="K3105" s="2027"/>
      <c r="L3105" s="2025"/>
      <c r="M3105" s="2026"/>
      <c r="N3105" s="2026"/>
      <c r="O3105" s="2026"/>
      <c r="P3105" s="2020"/>
      <c r="Q3105" s="142"/>
      <c r="R3105" s="142"/>
    </row>
    <row r="3106" spans="1:18" s="497" customFormat="1" ht="15.6">
      <c r="A3106" s="38"/>
      <c r="B3106" s="617"/>
      <c r="C3106" s="618"/>
      <c r="D3106" s="619"/>
      <c r="E3106" s="26"/>
      <c r="F3106" s="617"/>
      <c r="G3106" s="619"/>
      <c r="H3106" s="617"/>
      <c r="I3106" s="1856"/>
      <c r="J3106" s="618"/>
      <c r="K3106" s="204"/>
      <c r="L3106" s="617"/>
      <c r="M3106" s="618"/>
      <c r="N3106" s="618"/>
      <c r="O3106" s="618"/>
      <c r="P3106" s="2020"/>
      <c r="Q3106" s="142"/>
      <c r="R3106" s="142"/>
    </row>
    <row r="3107" spans="1:18" s="497" customFormat="1" ht="15.6">
      <c r="A3107" s="38" t="s">
        <v>28</v>
      </c>
      <c r="B3107" s="2025" t="s">
        <v>405</v>
      </c>
      <c r="C3107" s="2026"/>
      <c r="D3107" s="2027"/>
      <c r="E3107" s="26">
        <f>+L3033</f>
        <v>5.346000000000001</v>
      </c>
      <c r="F3107" s="2025">
        <v>13</v>
      </c>
      <c r="G3107" s="2027"/>
      <c r="H3107" s="2025" t="s">
        <v>49</v>
      </c>
      <c r="I3107" s="2026"/>
      <c r="J3107" s="2026"/>
      <c r="K3107" s="2027"/>
      <c r="L3107" s="2025" t="s">
        <v>404</v>
      </c>
      <c r="M3107" s="2026"/>
      <c r="N3107" s="2026"/>
      <c r="O3107" s="2026"/>
      <c r="P3107" s="2020"/>
      <c r="Q3107" s="142"/>
      <c r="R3107" s="142"/>
    </row>
    <row r="3108" spans="1:18" s="497" customFormat="1" ht="15.6">
      <c r="A3108" s="38" t="s">
        <v>29</v>
      </c>
      <c r="B3108" s="2025" t="s">
        <v>144</v>
      </c>
      <c r="C3108" s="2026"/>
      <c r="D3108" s="2027"/>
      <c r="E3108" s="26">
        <f>+L3051</f>
        <v>25.532725000000003</v>
      </c>
      <c r="F3108" s="2025">
        <v>13</v>
      </c>
      <c r="G3108" s="2027"/>
      <c r="H3108" s="2025" t="s">
        <v>49</v>
      </c>
      <c r="I3108" s="2026"/>
      <c r="J3108" s="2026"/>
      <c r="K3108" s="2027"/>
      <c r="L3108" s="2025" t="s">
        <v>404</v>
      </c>
      <c r="M3108" s="2026"/>
      <c r="N3108" s="2026"/>
      <c r="O3108" s="2026"/>
      <c r="P3108" s="2020"/>
      <c r="Q3108" s="142"/>
      <c r="R3108" s="142"/>
    </row>
    <row r="3109" spans="1:18" s="497" customFormat="1" ht="15.6">
      <c r="A3109" s="38" t="s">
        <v>30</v>
      </c>
      <c r="B3109" s="2025" t="s">
        <v>145</v>
      </c>
      <c r="C3109" s="2026"/>
      <c r="D3109" s="2027"/>
      <c r="E3109" s="26">
        <f>+L3070</f>
        <v>99.716100000000026</v>
      </c>
      <c r="F3109" s="2025">
        <v>13</v>
      </c>
      <c r="G3109" s="2027"/>
      <c r="H3109" s="2025" t="s">
        <v>49</v>
      </c>
      <c r="I3109" s="2026"/>
      <c r="J3109" s="2026"/>
      <c r="K3109" s="2027"/>
      <c r="L3109" s="2025" t="s">
        <v>404</v>
      </c>
      <c r="M3109" s="2026"/>
      <c r="N3109" s="2026"/>
      <c r="O3109" s="2026"/>
      <c r="P3109" s="2020"/>
      <c r="Q3109" s="142"/>
      <c r="R3109" s="142"/>
    </row>
    <row r="3110" spans="1:18" s="497" customFormat="1" ht="15.6">
      <c r="A3110" s="38" t="s">
        <v>46</v>
      </c>
      <c r="B3110" s="2025" t="s">
        <v>146</v>
      </c>
      <c r="C3110" s="2026"/>
      <c r="D3110" s="2027"/>
      <c r="E3110" s="26">
        <f>+L3098</f>
        <v>30.431898000000004</v>
      </c>
      <c r="F3110" s="2025">
        <v>13</v>
      </c>
      <c r="G3110" s="2027"/>
      <c r="H3110" s="2025" t="s">
        <v>49</v>
      </c>
      <c r="I3110" s="2026"/>
      <c r="J3110" s="2026"/>
      <c r="K3110" s="2027"/>
      <c r="L3110" s="2025" t="s">
        <v>404</v>
      </c>
      <c r="M3110" s="2026"/>
      <c r="N3110" s="2026"/>
      <c r="O3110" s="2026"/>
      <c r="P3110" s="2020"/>
      <c r="Q3110" s="142"/>
      <c r="R3110" s="142"/>
    </row>
    <row r="3111" spans="1:18" s="497" customFormat="1" ht="15.6">
      <c r="A3111" s="38"/>
      <c r="B3111" s="617"/>
      <c r="C3111" s="618"/>
      <c r="D3111" s="619"/>
      <c r="E3111" s="26"/>
      <c r="F3111" s="617"/>
      <c r="G3111" s="619"/>
      <c r="H3111" s="617"/>
      <c r="I3111" s="1856"/>
      <c r="J3111" s="618"/>
      <c r="K3111" s="619"/>
      <c r="L3111" s="617"/>
      <c r="M3111" s="618"/>
      <c r="N3111" s="618"/>
      <c r="O3111" s="618"/>
      <c r="P3111" s="2020"/>
      <c r="Q3111" s="142"/>
      <c r="R3111" s="142"/>
    </row>
    <row r="3112" spans="1:18" s="497" customFormat="1" ht="15.6">
      <c r="A3112" s="38"/>
      <c r="B3112" s="2025"/>
      <c r="C3112" s="2026"/>
      <c r="D3112" s="2027"/>
      <c r="E3112" s="26"/>
      <c r="F3112" s="2025"/>
      <c r="G3112" s="2027"/>
      <c r="H3112" s="2025"/>
      <c r="I3112" s="2026"/>
      <c r="J3112" s="2026"/>
      <c r="K3112" s="2027"/>
      <c r="L3112" s="2025"/>
      <c r="M3112" s="2026"/>
      <c r="N3112" s="2026"/>
      <c r="O3112" s="2026"/>
      <c r="P3112" s="2020"/>
      <c r="Q3112" s="142"/>
      <c r="R3112" s="142"/>
    </row>
    <row r="3113" spans="1:18" s="497" customFormat="1" ht="16.2" thickBot="1">
      <c r="A3113" s="38"/>
      <c r="B3113" s="617"/>
      <c r="C3113" s="618"/>
      <c r="D3113" s="618"/>
      <c r="E3113" s="26"/>
      <c r="F3113" s="618"/>
      <c r="G3113" s="619"/>
      <c r="H3113" s="617"/>
      <c r="I3113" s="1856"/>
      <c r="J3113" s="618"/>
      <c r="K3113" s="204"/>
      <c r="L3113" s="39"/>
      <c r="M3113" s="40"/>
      <c r="N3113" s="40"/>
      <c r="O3113" s="40"/>
      <c r="P3113" s="2020"/>
      <c r="Q3113" s="142"/>
      <c r="R3113" s="142"/>
    </row>
    <row r="3114" spans="1:18" s="497" customFormat="1" ht="15.6">
      <c r="A3114" s="41"/>
      <c r="B3114" s="42"/>
      <c r="C3114" s="43"/>
      <c r="D3114" s="43"/>
      <c r="E3114" s="2028">
        <f>SUM(E3105:E3113)</f>
        <v>161.026723</v>
      </c>
      <c r="F3114" s="44"/>
      <c r="G3114" s="45"/>
      <c r="H3114" s="46"/>
      <c r="I3114" s="1858"/>
      <c r="J3114" s="43"/>
      <c r="K3114" s="205"/>
      <c r="L3114" s="46"/>
      <c r="M3114" s="43"/>
      <c r="N3114" s="44"/>
      <c r="O3114" s="43"/>
      <c r="P3114" s="2020"/>
      <c r="Q3114" s="142"/>
      <c r="R3114" s="142"/>
    </row>
    <row r="3115" spans="1:18" s="497" customFormat="1" ht="16.2" thickBot="1">
      <c r="A3115" s="47"/>
      <c r="B3115" s="48"/>
      <c r="C3115" s="49"/>
      <c r="D3115" s="49"/>
      <c r="E3115" s="2029"/>
      <c r="F3115" s="50"/>
      <c r="G3115" s="51"/>
      <c r="H3115" s="52"/>
      <c r="I3115" s="1860"/>
      <c r="J3115" s="49"/>
      <c r="K3115" s="206"/>
      <c r="L3115" s="52"/>
      <c r="M3115" s="49"/>
      <c r="N3115" s="50"/>
      <c r="O3115" s="49"/>
      <c r="P3115" s="2020"/>
      <c r="Q3115" s="142"/>
      <c r="R3115" s="142"/>
    </row>
    <row r="3116" spans="1:18" s="497" customFormat="1" ht="15.6">
      <c r="A3116" s="53" t="s">
        <v>31</v>
      </c>
      <c r="B3116" s="43"/>
      <c r="C3116" s="43"/>
      <c r="D3116" s="43"/>
      <c r="E3116" s="43"/>
      <c r="F3116" s="44"/>
      <c r="G3116" s="43"/>
      <c r="H3116" s="44"/>
      <c r="I3116" s="1858"/>
      <c r="J3116" s="43"/>
      <c r="K3116" s="207"/>
      <c r="L3116" s="44"/>
      <c r="M3116" s="43"/>
      <c r="N3116" s="44"/>
      <c r="O3116" s="43"/>
      <c r="P3116" s="2020"/>
      <c r="Q3116" s="142"/>
      <c r="R3116" s="142"/>
    </row>
    <row r="3117" spans="1:18" s="497" customFormat="1" ht="15.6">
      <c r="A3117" s="54"/>
      <c r="B3117" s="55"/>
      <c r="C3117" s="55"/>
      <c r="D3117" s="55"/>
      <c r="E3117" s="55"/>
      <c r="F3117" s="624"/>
      <c r="G3117" s="55"/>
      <c r="H3117" s="624"/>
      <c r="I3117" s="1859"/>
      <c r="J3117" s="55"/>
      <c r="K3117" s="208"/>
      <c r="L3117" s="624"/>
      <c r="M3117" s="55"/>
      <c r="N3117" s="624"/>
      <c r="O3117" s="55"/>
      <c r="P3117" s="2020"/>
      <c r="Q3117" s="142"/>
      <c r="R3117" s="142"/>
    </row>
    <row r="3118" spans="1:18" s="497" customFormat="1" ht="16.2" thickBot="1">
      <c r="A3118" s="2030" t="s">
        <v>32</v>
      </c>
      <c r="B3118" s="2031"/>
      <c r="C3118" s="2032" t="s">
        <v>33</v>
      </c>
      <c r="D3118" s="2033"/>
      <c r="E3118" s="57" t="s">
        <v>34</v>
      </c>
      <c r="F3118" s="57" t="s">
        <v>35</v>
      </c>
      <c r="G3118" s="2034" t="s">
        <v>36</v>
      </c>
      <c r="H3118" s="2035"/>
      <c r="I3118" s="2035"/>
      <c r="J3118" s="2035"/>
      <c r="K3118" s="2035"/>
      <c r="L3118" s="2035"/>
      <c r="M3118" s="2035"/>
      <c r="N3118" s="2035"/>
      <c r="O3118" s="2035"/>
      <c r="P3118" s="2020"/>
      <c r="Q3118" s="142"/>
      <c r="R3118" s="142"/>
    </row>
    <row r="3119" spans="1:18" s="497" customFormat="1" ht="15.6">
      <c r="A3119" s="2036"/>
      <c r="B3119" s="2023"/>
      <c r="C3119" s="2021"/>
      <c r="D3119" s="2023"/>
      <c r="E3119" s="623"/>
      <c r="F3119" s="620"/>
      <c r="G3119" s="2037"/>
      <c r="H3119" s="2038"/>
      <c r="I3119" s="2038"/>
      <c r="J3119" s="2038"/>
      <c r="K3119" s="2038"/>
      <c r="L3119" s="2038"/>
      <c r="M3119" s="2038"/>
      <c r="N3119" s="2038"/>
      <c r="O3119" s="2038"/>
      <c r="P3119" s="2020"/>
      <c r="Q3119" s="142"/>
      <c r="R3119" s="142"/>
    </row>
    <row r="3120" spans="1:18" s="497" customFormat="1" ht="15.6">
      <c r="A3120" s="2043" t="s">
        <v>37</v>
      </c>
      <c r="B3120" s="2044"/>
      <c r="C3120" s="2021"/>
      <c r="D3120" s="2023"/>
      <c r="E3120" s="623"/>
      <c r="F3120" s="620"/>
      <c r="G3120" s="2039"/>
      <c r="H3120" s="2040"/>
      <c r="I3120" s="2040"/>
      <c r="J3120" s="2040"/>
      <c r="K3120" s="2040"/>
      <c r="L3120" s="2040"/>
      <c r="M3120" s="2040"/>
      <c r="N3120" s="2040"/>
      <c r="O3120" s="2040"/>
      <c r="P3120" s="2020"/>
      <c r="Q3120" s="142"/>
      <c r="R3120" s="142"/>
    </row>
    <row r="3121" spans="1:21" s="497" customFormat="1" ht="15.6">
      <c r="A3121" s="2043" t="s">
        <v>38</v>
      </c>
      <c r="B3121" s="2044"/>
      <c r="C3121" s="2021"/>
      <c r="D3121" s="2023"/>
      <c r="E3121" s="623"/>
      <c r="F3121" s="620"/>
      <c r="G3121" s="2039"/>
      <c r="H3121" s="2040"/>
      <c r="I3121" s="2040"/>
      <c r="J3121" s="2040"/>
      <c r="K3121" s="2040"/>
      <c r="L3121" s="2040"/>
      <c r="M3121" s="2040"/>
      <c r="N3121" s="2040"/>
      <c r="O3121" s="2040"/>
      <c r="P3121" s="2020"/>
      <c r="Q3121" s="142"/>
      <c r="R3121" s="142"/>
    </row>
    <row r="3122" spans="1:21" s="497" customFormat="1" ht="15.6">
      <c r="A3122" s="2043" t="s">
        <v>39</v>
      </c>
      <c r="B3122" s="2044"/>
      <c r="C3122" s="2021"/>
      <c r="D3122" s="2023"/>
      <c r="E3122" s="623"/>
      <c r="F3122" s="620"/>
      <c r="G3122" s="2039"/>
      <c r="H3122" s="2040"/>
      <c r="I3122" s="2040"/>
      <c r="J3122" s="2040"/>
      <c r="K3122" s="2040"/>
      <c r="L3122" s="2040"/>
      <c r="M3122" s="2040"/>
      <c r="N3122" s="2040"/>
      <c r="O3122" s="2040"/>
      <c r="P3122" s="2020"/>
      <c r="Q3122" s="142"/>
      <c r="R3122" s="142"/>
    </row>
    <row r="3123" spans="1:21" s="497" customFormat="1" ht="15.6">
      <c r="A3123" s="2043" t="s">
        <v>40</v>
      </c>
      <c r="B3123" s="2044"/>
      <c r="C3123" s="2021"/>
      <c r="D3123" s="2023"/>
      <c r="E3123" s="623"/>
      <c r="F3123" s="620"/>
      <c r="G3123" s="2039"/>
      <c r="H3123" s="2040"/>
      <c r="I3123" s="2040"/>
      <c r="J3123" s="2040"/>
      <c r="K3123" s="2040"/>
      <c r="L3123" s="2040"/>
      <c r="M3123" s="2040"/>
      <c r="N3123" s="2040"/>
      <c r="O3123" s="2040"/>
      <c r="P3123" s="2020"/>
      <c r="Q3123" s="142"/>
      <c r="R3123" s="142"/>
    </row>
    <row r="3124" spans="1:21" s="497" customFormat="1" ht="16.2" thickBot="1">
      <c r="A3124" s="2049" t="s">
        <v>41</v>
      </c>
      <c r="B3124" s="2050"/>
      <c r="C3124" s="2051"/>
      <c r="D3124" s="2052"/>
      <c r="E3124" s="58"/>
      <c r="F3124" s="621"/>
      <c r="G3124" s="2041"/>
      <c r="H3124" s="2042"/>
      <c r="I3124" s="2042"/>
      <c r="J3124" s="2042"/>
      <c r="K3124" s="2042"/>
      <c r="L3124" s="2042"/>
      <c r="M3124" s="2042"/>
      <c r="N3124" s="2042"/>
      <c r="O3124" s="2042"/>
      <c r="P3124" s="2020"/>
      <c r="Q3124" s="142"/>
      <c r="R3124" s="142"/>
    </row>
    <row r="3125" spans="1:21" s="497" customFormat="1" ht="15.6">
      <c r="A3125" s="54"/>
      <c r="B3125" s="55"/>
      <c r="C3125" s="55"/>
      <c r="D3125" s="55"/>
      <c r="E3125" s="55"/>
      <c r="F3125" s="624"/>
      <c r="G3125" s="55"/>
      <c r="H3125" s="59"/>
      <c r="I3125" s="60"/>
      <c r="J3125" s="61"/>
      <c r="K3125" s="209"/>
      <c r="L3125" s="301"/>
      <c r="M3125" s="55"/>
      <c r="N3125" s="624"/>
      <c r="O3125" s="55"/>
      <c r="P3125" s="2020"/>
      <c r="Q3125" s="142"/>
      <c r="R3125" s="142"/>
    </row>
    <row r="3126" spans="1:21" s="497" customFormat="1" ht="15.6">
      <c r="A3126" s="62" t="s">
        <v>42</v>
      </c>
      <c r="B3126" s="56"/>
      <c r="C3126" s="55"/>
      <c r="D3126" s="55"/>
      <c r="E3126" s="55"/>
      <c r="F3126" s="624"/>
      <c r="G3126" s="56"/>
      <c r="H3126" s="59"/>
      <c r="I3126" s="60"/>
      <c r="J3126" s="61"/>
      <c r="K3126" s="208"/>
      <c r="L3126" s="302"/>
      <c r="M3126" s="55"/>
      <c r="N3126" s="2045" t="s">
        <v>43</v>
      </c>
      <c r="O3126" s="2045"/>
      <c r="P3126" s="2020"/>
      <c r="Q3126" s="142"/>
      <c r="R3126" s="142"/>
    </row>
    <row r="3127" spans="1:21" s="497" customFormat="1" ht="15.6">
      <c r="A3127" s="62"/>
      <c r="B3127" s="56"/>
      <c r="C3127" s="55"/>
      <c r="D3127" s="55"/>
      <c r="E3127" s="55"/>
      <c r="F3127" s="624"/>
      <c r="G3127" s="55"/>
      <c r="H3127" s="624"/>
      <c r="I3127" s="1859"/>
      <c r="J3127" s="55"/>
      <c r="K3127" s="208"/>
      <c r="L3127" s="624"/>
      <c r="M3127" s="55"/>
      <c r="N3127" s="624"/>
      <c r="O3127" s="56"/>
      <c r="P3127" s="2020"/>
      <c r="Q3127" s="142"/>
      <c r="R3127" s="142"/>
    </row>
    <row r="3128" spans="1:21" s="497" customFormat="1" ht="15.6">
      <c r="A3128" s="62" t="s">
        <v>44</v>
      </c>
      <c r="B3128" s="56"/>
      <c r="C3128" s="55"/>
      <c r="D3128" s="55"/>
      <c r="E3128" s="55"/>
      <c r="F3128" s="624"/>
      <c r="G3128" s="55"/>
      <c r="H3128" s="624"/>
      <c r="I3128" s="1859"/>
      <c r="J3128" s="55"/>
      <c r="K3128" s="208"/>
      <c r="L3128" s="624"/>
      <c r="M3128" s="55"/>
      <c r="N3128" s="2045" t="s">
        <v>45</v>
      </c>
      <c r="O3128" s="2045"/>
      <c r="P3128" s="2020"/>
      <c r="Q3128" s="142"/>
      <c r="R3128" s="142"/>
    </row>
    <row r="3129" spans="1:21" s="497" customFormat="1" ht="16.2" thickBot="1">
      <c r="A3129" s="48"/>
      <c r="B3129" s="49"/>
      <c r="C3129" s="49"/>
      <c r="D3129" s="49"/>
      <c r="E3129" s="49"/>
      <c r="F3129" s="50"/>
      <c r="G3129" s="49"/>
      <c r="H3129" s="50"/>
      <c r="I3129" s="1860"/>
      <c r="J3129" s="49"/>
      <c r="K3129" s="210"/>
      <c r="L3129" s="50"/>
      <c r="M3129" s="49"/>
      <c r="N3129" s="50"/>
      <c r="O3129" s="49"/>
      <c r="P3129" s="2020"/>
      <c r="Q3129" s="142"/>
      <c r="R3129" s="142"/>
    </row>
    <row r="3130" spans="1:21" s="497" customFormat="1" ht="15.6">
      <c r="A3130" s="155"/>
      <c r="B3130" s="155"/>
      <c r="C3130" s="155"/>
      <c r="D3130" s="155"/>
      <c r="E3130" s="155"/>
      <c r="F3130" s="155"/>
      <c r="G3130" s="155"/>
      <c r="H3130" s="155"/>
      <c r="I3130" s="627"/>
      <c r="J3130" s="155"/>
      <c r="K3130" s="628"/>
      <c r="L3130" s="156"/>
      <c r="M3130" s="155"/>
      <c r="N3130" s="155"/>
      <c r="O3130" s="155"/>
      <c r="P3130" s="155"/>
      <c r="Q3130" s="155"/>
      <c r="R3130" s="155"/>
    </row>
    <row r="3133" spans="1:21" ht="15.6">
      <c r="A3133" s="468" t="s">
        <v>48</v>
      </c>
      <c r="B3133" s="468"/>
      <c r="C3133" s="469"/>
      <c r="D3133" s="469"/>
      <c r="E3133" s="469"/>
      <c r="F3133" s="470"/>
      <c r="G3133" s="469"/>
      <c r="H3133" s="469"/>
      <c r="I3133" s="471"/>
      <c r="J3133" s="472"/>
      <c r="K3133" s="473"/>
      <c r="L3133" s="2046" t="s">
        <v>0</v>
      </c>
      <c r="M3133" s="2046"/>
      <c r="N3133" s="2046"/>
      <c r="O3133" s="2046"/>
      <c r="P3133" s="474"/>
      <c r="Q3133" s="474"/>
      <c r="R3133" s="474"/>
    </row>
    <row r="3134" spans="1:21" ht="15.6">
      <c r="A3134" s="27" t="s">
        <v>1</v>
      </c>
      <c r="B3134" s="27"/>
      <c r="C3134" s="27"/>
      <c r="D3134" s="28" t="s">
        <v>2</v>
      </c>
      <c r="E3134" s="28"/>
      <c r="F3134" s="29"/>
      <c r="G3134" s="29"/>
      <c r="H3134" s="29"/>
      <c r="I3134" s="30"/>
      <c r="J3134" s="622"/>
      <c r="K3134" s="197" t="s">
        <v>3</v>
      </c>
      <c r="L3134" s="622"/>
      <c r="M3134" s="27"/>
      <c r="N3134" s="29"/>
      <c r="O3134" s="27"/>
      <c r="P3134" s="475"/>
      <c r="Q3134" s="155"/>
      <c r="R3134" s="155"/>
    </row>
    <row r="3135" spans="1:21" ht="31.2">
      <c r="A3135" s="32" t="s">
        <v>4</v>
      </c>
      <c r="B3135" s="32" t="s">
        <v>5</v>
      </c>
      <c r="C3135" s="32" t="s">
        <v>6</v>
      </c>
      <c r="D3135" s="32" t="s">
        <v>7</v>
      </c>
      <c r="E3135" s="32" t="s">
        <v>8</v>
      </c>
      <c r="F3135" s="33" t="s">
        <v>9</v>
      </c>
      <c r="G3135" s="34" t="s">
        <v>10</v>
      </c>
      <c r="H3135" s="34" t="s">
        <v>11</v>
      </c>
      <c r="I3135" s="35" t="s">
        <v>12</v>
      </c>
      <c r="J3135" s="36" t="s">
        <v>13</v>
      </c>
      <c r="K3135" s="198" t="s">
        <v>14</v>
      </c>
      <c r="L3135" s="297" t="s">
        <v>15</v>
      </c>
      <c r="M3135" s="33" t="s">
        <v>16</v>
      </c>
      <c r="N3135" s="33" t="s">
        <v>17</v>
      </c>
      <c r="O3135" s="34" t="s">
        <v>18</v>
      </c>
      <c r="P3135" s="33" t="s">
        <v>192</v>
      </c>
      <c r="Q3135" s="1057"/>
      <c r="R3135" s="1057"/>
    </row>
    <row r="3136" spans="1:21" ht="15.6">
      <c r="A3136" s="21" t="s">
        <v>332</v>
      </c>
      <c r="B3136" s="21" t="s">
        <v>381</v>
      </c>
      <c r="C3136" s="21" t="s">
        <v>19</v>
      </c>
      <c r="D3136" s="21" t="s">
        <v>20</v>
      </c>
      <c r="E3136" s="21" t="s">
        <v>47</v>
      </c>
      <c r="F3136" s="22">
        <v>14</v>
      </c>
      <c r="G3136" s="20" t="s">
        <v>21</v>
      </c>
      <c r="H3136" s="143" t="s">
        <v>126</v>
      </c>
      <c r="I3136" s="115">
        <v>23.6</v>
      </c>
      <c r="J3136" s="23">
        <v>7</v>
      </c>
      <c r="K3136" s="25">
        <v>12</v>
      </c>
      <c r="L3136" s="100">
        <f t="shared" ref="L3136:L3140" si="538">(I3136*J3136*K3136/1000)</f>
        <v>1.9824000000000002</v>
      </c>
      <c r="M3136" s="20"/>
      <c r="N3136" s="20"/>
      <c r="O3136" s="20"/>
      <c r="P3136" s="20"/>
      <c r="Q3136" s="155"/>
      <c r="R3136" s="155"/>
      <c r="S3136">
        <f>1+1</f>
        <v>2</v>
      </c>
      <c r="T3136" s="126">
        <f>J3136*S3136*I3136/1000</f>
        <v>0.33040000000000003</v>
      </c>
      <c r="U3136" s="497" t="s">
        <v>432</v>
      </c>
    </row>
    <row r="3137" spans="1:21" ht="15.6">
      <c r="A3137" s="20"/>
      <c r="B3137" s="503" t="s">
        <v>340</v>
      </c>
      <c r="C3137" s="20"/>
      <c r="D3137" s="20"/>
      <c r="E3137" s="20"/>
      <c r="F3137" s="20"/>
      <c r="G3137" s="20" t="s">
        <v>21</v>
      </c>
      <c r="H3137" s="20" t="s">
        <v>126</v>
      </c>
      <c r="I3137" s="115">
        <v>23.6</v>
      </c>
      <c r="J3137" s="23">
        <v>8.5</v>
      </c>
      <c r="K3137" s="25">
        <v>7</v>
      </c>
      <c r="L3137" s="100">
        <f t="shared" si="538"/>
        <v>1.4042000000000003</v>
      </c>
      <c r="M3137" s="20">
        <f>2+2</f>
        <v>4</v>
      </c>
      <c r="N3137" s="23">
        <f>J3137*M3137*I3137/1000</f>
        <v>0.80240000000000011</v>
      </c>
      <c r="O3137" s="20"/>
      <c r="P3137" s="20"/>
      <c r="Q3137" s="155"/>
      <c r="R3137" s="155"/>
      <c r="S3137">
        <v>2</v>
      </c>
      <c r="T3137" s="126">
        <f t="shared" ref="T3137:T3140" si="539">J3137*S3137*I3137/1000</f>
        <v>0.40120000000000006</v>
      </c>
    </row>
    <row r="3138" spans="1:21" ht="15.6">
      <c r="A3138" s="20"/>
      <c r="B3138" s="20"/>
      <c r="C3138" s="20"/>
      <c r="D3138" s="20"/>
      <c r="E3138" s="20"/>
      <c r="F3138" s="20"/>
      <c r="G3138" s="20" t="s">
        <v>21</v>
      </c>
      <c r="H3138" s="20" t="s">
        <v>126</v>
      </c>
      <c r="I3138" s="115">
        <v>23.6</v>
      </c>
      <c r="J3138" s="23">
        <v>10.5</v>
      </c>
      <c r="K3138" s="25">
        <v>66</v>
      </c>
      <c r="L3138" s="100">
        <f t="shared" si="538"/>
        <v>16.354800000000001</v>
      </c>
      <c r="M3138" s="20"/>
      <c r="N3138" s="20"/>
      <c r="O3138" s="20">
        <f>11+10+5+1</f>
        <v>27</v>
      </c>
      <c r="P3138" s="23">
        <f>J3138*O3138*I3138/1000</f>
        <v>6.6906000000000008</v>
      </c>
      <c r="Q3138" s="134"/>
      <c r="R3138" s="134"/>
      <c r="S3138">
        <f>10+7+11+11</f>
        <v>39</v>
      </c>
      <c r="T3138" s="126">
        <f t="shared" si="539"/>
        <v>9.664200000000001</v>
      </c>
    </row>
    <row r="3139" spans="1:21" ht="15.6">
      <c r="A3139" s="20"/>
      <c r="B3139" s="20"/>
      <c r="C3139" s="20"/>
      <c r="D3139" s="20"/>
      <c r="E3139" s="20"/>
      <c r="F3139" s="20"/>
      <c r="G3139" s="20" t="s">
        <v>21</v>
      </c>
      <c r="H3139" s="20" t="s">
        <v>126</v>
      </c>
      <c r="I3139" s="115">
        <v>23.6</v>
      </c>
      <c r="J3139" s="23">
        <v>11.8</v>
      </c>
      <c r="K3139" s="25">
        <v>18</v>
      </c>
      <c r="L3139" s="100">
        <f t="shared" si="538"/>
        <v>5.0126400000000002</v>
      </c>
      <c r="M3139" s="20"/>
      <c r="N3139" s="20"/>
      <c r="O3139" s="20">
        <v>1</v>
      </c>
      <c r="P3139" s="23">
        <f t="shared" ref="P3139:P3140" si="540">J3139*O3139*I3139/1000</f>
        <v>0.27848000000000001</v>
      </c>
      <c r="Q3139" s="134"/>
      <c r="R3139" s="134"/>
      <c r="S3139">
        <f>1+5+10</f>
        <v>16</v>
      </c>
      <c r="T3139" s="126">
        <f t="shared" si="539"/>
        <v>4.4556800000000001</v>
      </c>
    </row>
    <row r="3140" spans="1:21" ht="15.6">
      <c r="A3140" s="20"/>
      <c r="B3140" s="20"/>
      <c r="C3140" s="20"/>
      <c r="D3140" s="20"/>
      <c r="E3140" s="20"/>
      <c r="F3140" s="20"/>
      <c r="G3140" s="20" t="s">
        <v>21</v>
      </c>
      <c r="H3140" s="20" t="s">
        <v>126</v>
      </c>
      <c r="I3140" s="115">
        <v>23.6</v>
      </c>
      <c r="J3140" s="23">
        <v>12</v>
      </c>
      <c r="K3140" s="25">
        <v>20</v>
      </c>
      <c r="L3140" s="100">
        <f t="shared" si="538"/>
        <v>5.6640000000000006</v>
      </c>
      <c r="M3140" s="20"/>
      <c r="N3140" s="20"/>
      <c r="O3140" s="20">
        <v>8</v>
      </c>
      <c r="P3140" s="23">
        <f t="shared" si="540"/>
        <v>2.2656000000000005</v>
      </c>
      <c r="Q3140" s="134"/>
      <c r="R3140" s="134"/>
      <c r="S3140">
        <f>8+1+2</f>
        <v>11</v>
      </c>
      <c r="T3140" s="126">
        <f t="shared" si="539"/>
        <v>3.1152000000000002</v>
      </c>
    </row>
    <row r="3141" spans="1:21" ht="15.6">
      <c r="A3141" s="20"/>
      <c r="B3141" s="20"/>
      <c r="C3141" s="20"/>
      <c r="D3141" s="20"/>
      <c r="E3141" s="20"/>
      <c r="F3141" s="20"/>
      <c r="G3141" s="20"/>
      <c r="H3141" s="20"/>
      <c r="I3141" s="115"/>
      <c r="J3141" s="23"/>
      <c r="K3141" s="25">
        <f t="shared" ref="K3141:T3141" si="541">SUM(K3136:K3140)</f>
        <v>123</v>
      </c>
      <c r="L3141" s="23">
        <f t="shared" si="541"/>
        <v>30.418040000000005</v>
      </c>
      <c r="M3141" s="25">
        <f t="shared" si="541"/>
        <v>4</v>
      </c>
      <c r="N3141" s="23">
        <f t="shared" si="541"/>
        <v>0.80240000000000011</v>
      </c>
      <c r="O3141" s="25">
        <f t="shared" si="541"/>
        <v>36</v>
      </c>
      <c r="P3141" s="23">
        <f t="shared" si="541"/>
        <v>9.2346800000000009</v>
      </c>
      <c r="Q3141" s="23"/>
      <c r="R3141" s="23"/>
      <c r="S3141" s="25">
        <f t="shared" si="541"/>
        <v>70</v>
      </c>
      <c r="T3141" s="23">
        <f t="shared" si="541"/>
        <v>17.966680000000004</v>
      </c>
    </row>
    <row r="3142" spans="1:21" ht="15.6">
      <c r="A3142" s="20"/>
      <c r="B3142" s="20"/>
      <c r="C3142" s="20"/>
      <c r="D3142" s="20"/>
      <c r="E3142" s="20"/>
      <c r="F3142" s="20"/>
      <c r="G3142" s="20"/>
      <c r="H3142" s="20"/>
      <c r="I3142" s="115"/>
      <c r="J3142" s="20"/>
      <c r="K3142" s="211"/>
      <c r="L3142" s="131"/>
      <c r="M3142" s="20"/>
      <c r="N3142" s="20"/>
      <c r="O3142" s="20"/>
      <c r="P3142" s="20"/>
      <c r="Q3142" s="155"/>
      <c r="R3142" s="155"/>
    </row>
    <row r="3143" spans="1:21" ht="15.6">
      <c r="A3143" s="21" t="s">
        <v>383</v>
      </c>
      <c r="B3143" s="21" t="s">
        <v>384</v>
      </c>
      <c r="C3143" s="21" t="s">
        <v>19</v>
      </c>
      <c r="D3143" s="21" t="s">
        <v>20</v>
      </c>
      <c r="E3143" s="21" t="s">
        <v>47</v>
      </c>
      <c r="F3143" s="22">
        <v>14</v>
      </c>
      <c r="G3143" s="185" t="s">
        <v>21</v>
      </c>
      <c r="H3143" s="629" t="s">
        <v>126</v>
      </c>
      <c r="I3143" s="186">
        <v>23.6</v>
      </c>
      <c r="J3143" s="23">
        <v>7.2</v>
      </c>
      <c r="K3143" s="25">
        <v>78</v>
      </c>
      <c r="L3143" s="100">
        <f t="shared" ref="L3143:L3145" si="542">(I3143*J3143*K3143/1000)</f>
        <v>13.253760000000002</v>
      </c>
      <c r="M3143" s="20"/>
      <c r="N3143" s="20"/>
      <c r="O3143" s="20">
        <v>10</v>
      </c>
      <c r="P3143" s="23">
        <f>J3143*O3143*I3143/1000</f>
        <v>1.6992</v>
      </c>
      <c r="Q3143" s="134"/>
      <c r="R3143" s="134"/>
      <c r="S3143" s="497">
        <f>14+16+2</f>
        <v>32</v>
      </c>
      <c r="T3143" s="126">
        <f t="shared" ref="T3143:T3145" si="543">J3143*S3143*I3143/1000</f>
        <v>5.4374400000000005</v>
      </c>
      <c r="U3143" s="497" t="s">
        <v>432</v>
      </c>
    </row>
    <row r="3144" spans="1:21" ht="15.6">
      <c r="A3144" s="20"/>
      <c r="B3144" s="503" t="s">
        <v>334</v>
      </c>
      <c r="C3144" s="20"/>
      <c r="D3144" s="20"/>
      <c r="E3144" s="20"/>
      <c r="F3144" s="20"/>
      <c r="G3144" s="185" t="s">
        <v>21</v>
      </c>
      <c r="H3144" s="185" t="s">
        <v>126</v>
      </c>
      <c r="I3144" s="186">
        <v>23.6</v>
      </c>
      <c r="J3144" s="23">
        <v>8.3000000000000007</v>
      </c>
      <c r="K3144" s="25">
        <v>25</v>
      </c>
      <c r="L3144" s="100">
        <f t="shared" si="542"/>
        <v>4.8970000000000011</v>
      </c>
      <c r="M3144" s="20"/>
      <c r="N3144" s="20"/>
      <c r="O3144" s="20"/>
      <c r="P3144" s="20"/>
      <c r="Q3144" s="155"/>
      <c r="R3144" s="155"/>
      <c r="S3144">
        <v>3</v>
      </c>
      <c r="T3144" s="126">
        <f t="shared" si="543"/>
        <v>0.58764000000000005</v>
      </c>
    </row>
    <row r="3145" spans="1:21" ht="15.6">
      <c r="A3145" s="20"/>
      <c r="B3145" s="20"/>
      <c r="C3145" s="20"/>
      <c r="D3145" s="20"/>
      <c r="E3145" s="20"/>
      <c r="F3145" s="20"/>
      <c r="G3145" s="185" t="s">
        <v>21</v>
      </c>
      <c r="H3145" s="185" t="s">
        <v>126</v>
      </c>
      <c r="I3145" s="186">
        <v>23.6</v>
      </c>
      <c r="J3145" s="23">
        <v>11.6</v>
      </c>
      <c r="K3145" s="25">
        <v>10</v>
      </c>
      <c r="L3145" s="100">
        <f t="shared" si="542"/>
        <v>2.7376</v>
      </c>
      <c r="M3145" s="20"/>
      <c r="N3145" s="20"/>
      <c r="O3145" s="20"/>
      <c r="P3145" s="20"/>
      <c r="Q3145" s="155"/>
      <c r="R3145" s="155"/>
      <c r="S3145">
        <v>1</v>
      </c>
      <c r="T3145" s="126">
        <f t="shared" si="543"/>
        <v>0.27376</v>
      </c>
    </row>
    <row r="3146" spans="1:21" ht="15.6">
      <c r="A3146" s="20"/>
      <c r="B3146" s="20"/>
      <c r="C3146" s="20"/>
      <c r="D3146" s="20"/>
      <c r="E3146" s="20"/>
      <c r="F3146" s="20"/>
      <c r="G3146" s="185"/>
      <c r="H3146" s="185"/>
      <c r="I3146" s="186"/>
      <c r="J3146" s="183"/>
      <c r="K3146" s="626">
        <f>SUM(K3143:K3145)</f>
        <v>113</v>
      </c>
      <c r="L3146" s="183">
        <f>SUM(L3143:L3145)</f>
        <v>20.888360000000002</v>
      </c>
      <c r="M3146" s="20"/>
      <c r="N3146" s="20"/>
      <c r="O3146" s="626">
        <f>SUM(O3143:O3145)</f>
        <v>10</v>
      </c>
      <c r="P3146" s="183">
        <f>SUM(P3143:P3145)</f>
        <v>1.6992</v>
      </c>
      <c r="Q3146" s="183"/>
      <c r="R3146" s="183"/>
      <c r="S3146" s="626">
        <f>SUM(S3143:S3145)</f>
        <v>36</v>
      </c>
      <c r="T3146" s="183">
        <f>SUM(T3143:T3145)</f>
        <v>6.2988400000000011</v>
      </c>
    </row>
    <row r="3147" spans="1:21" s="497" customFormat="1" ht="15.6">
      <c r="A3147" s="20"/>
      <c r="B3147" s="20"/>
      <c r="C3147" s="20"/>
      <c r="D3147" s="20"/>
      <c r="E3147" s="20"/>
      <c r="F3147" s="20"/>
      <c r="G3147" s="185"/>
      <c r="H3147" s="185"/>
      <c r="I3147" s="186"/>
      <c r="J3147" s="183"/>
      <c r="K3147" s="626"/>
      <c r="L3147" s="183"/>
      <c r="M3147" s="20"/>
      <c r="N3147" s="20"/>
      <c r="O3147" s="20"/>
      <c r="P3147" s="20"/>
      <c r="Q3147" s="155"/>
      <c r="R3147" s="155"/>
    </row>
    <row r="3148" spans="1:21" ht="15.6">
      <c r="A3148" s="21" t="s">
        <v>332</v>
      </c>
      <c r="B3148" s="21" t="s">
        <v>382</v>
      </c>
      <c r="C3148" s="21" t="s">
        <v>19</v>
      </c>
      <c r="D3148" s="21" t="s">
        <v>49</v>
      </c>
      <c r="E3148" s="21" t="s">
        <v>359</v>
      </c>
      <c r="F3148" s="22">
        <v>14</v>
      </c>
      <c r="G3148" s="20" t="s">
        <v>21</v>
      </c>
      <c r="H3148" s="143" t="s">
        <v>126</v>
      </c>
      <c r="I3148" s="115">
        <v>23.45</v>
      </c>
      <c r="J3148" s="23">
        <v>10</v>
      </c>
      <c r="K3148" s="25">
        <v>5</v>
      </c>
      <c r="L3148" s="100">
        <f>(I3148*J3148*K3148/1000)</f>
        <v>1.1725000000000001</v>
      </c>
      <c r="M3148" s="20">
        <v>5</v>
      </c>
      <c r="N3148" s="23">
        <f>J3148*M3148*I3148/1000</f>
        <v>1.1725000000000001</v>
      </c>
      <c r="O3148" s="20"/>
      <c r="P3148" s="20"/>
      <c r="Q3148" s="155"/>
      <c r="R3148" s="155"/>
      <c r="S3148" s="497" t="s">
        <v>432</v>
      </c>
    </row>
    <row r="3149" spans="1:21" ht="15.6">
      <c r="A3149" s="20"/>
      <c r="B3149" s="21" t="s">
        <v>331</v>
      </c>
      <c r="C3149" s="20"/>
      <c r="D3149" s="20"/>
      <c r="E3149" s="20"/>
      <c r="F3149" s="20"/>
      <c r="G3149" s="20" t="s">
        <v>21</v>
      </c>
      <c r="H3149" s="20" t="s">
        <v>126</v>
      </c>
      <c r="I3149" s="115">
        <v>23.45</v>
      </c>
      <c r="J3149" s="23">
        <v>10.3</v>
      </c>
      <c r="K3149" s="25">
        <v>4</v>
      </c>
      <c r="L3149" s="100">
        <f>(I3149*J3149*K3149/1000)</f>
        <v>0.96614</v>
      </c>
      <c r="M3149" s="20">
        <v>4</v>
      </c>
      <c r="N3149" s="23">
        <f>J3149*M3149*I3149/1000</f>
        <v>0.96614</v>
      </c>
      <c r="O3149" s="20"/>
      <c r="P3149" s="20"/>
      <c r="Q3149" s="155"/>
      <c r="R3149" s="155"/>
    </row>
    <row r="3150" spans="1:21" ht="15.6">
      <c r="A3150" s="20"/>
      <c r="B3150" s="20"/>
      <c r="C3150" s="20"/>
      <c r="D3150" s="20"/>
      <c r="E3150" s="20"/>
      <c r="F3150" s="20"/>
      <c r="G3150" s="20" t="s">
        <v>21</v>
      </c>
      <c r="H3150" s="20" t="s">
        <v>126</v>
      </c>
      <c r="I3150" s="115">
        <v>23.45</v>
      </c>
      <c r="J3150" s="23">
        <v>10.5</v>
      </c>
      <c r="K3150" s="25">
        <v>5</v>
      </c>
      <c r="L3150" s="100">
        <f>(I3150*J3150*K3150/1000)</f>
        <v>1.231125</v>
      </c>
      <c r="M3150" s="20">
        <v>5</v>
      </c>
      <c r="N3150" s="23">
        <f>J3150*M3150*I3150/1000</f>
        <v>1.231125</v>
      </c>
      <c r="O3150" s="20"/>
      <c r="P3150" s="20"/>
      <c r="Q3150" s="155"/>
      <c r="R3150" s="155"/>
    </row>
    <row r="3151" spans="1:21" ht="15.6">
      <c r="A3151" s="20"/>
      <c r="B3151" s="20"/>
      <c r="C3151" s="20"/>
      <c r="D3151" s="20"/>
      <c r="E3151" s="20"/>
      <c r="F3151" s="20"/>
      <c r="G3151" s="20"/>
      <c r="H3151" s="20"/>
      <c r="I3151" s="115"/>
      <c r="J3151" s="23"/>
      <c r="K3151" s="25">
        <f>SUM(K3148:K3150)</f>
        <v>14</v>
      </c>
      <c r="L3151" s="23">
        <f>SUM(L3148:L3150)</f>
        <v>3.3697650000000001</v>
      </c>
      <c r="M3151" s="25">
        <f>SUM(M3148:M3150)</f>
        <v>14</v>
      </c>
      <c r="N3151" s="23">
        <f>SUM(N3148:N3150)</f>
        <v>3.3697650000000001</v>
      </c>
      <c r="O3151" s="20"/>
      <c r="P3151" s="20"/>
      <c r="Q3151" s="155"/>
      <c r="R3151" s="155"/>
    </row>
    <row r="3152" spans="1:21" ht="15.6">
      <c r="A3152" s="20"/>
      <c r="B3152" s="20"/>
      <c r="C3152" s="20"/>
      <c r="D3152" s="20"/>
      <c r="E3152" s="20"/>
      <c r="F3152" s="20"/>
      <c r="G3152" s="20"/>
      <c r="H3152" s="20"/>
      <c r="I3152" s="115"/>
      <c r="J3152" s="20"/>
      <c r="K3152" s="211"/>
      <c r="L3152" s="131"/>
      <c r="M3152" s="20"/>
      <c r="N3152" s="20"/>
      <c r="O3152" s="20"/>
      <c r="P3152" s="20"/>
      <c r="Q3152" s="155"/>
      <c r="R3152" s="155"/>
    </row>
    <row r="3153" spans="1:21" ht="15.6">
      <c r="A3153" s="21" t="s">
        <v>395</v>
      </c>
      <c r="B3153" s="21" t="s">
        <v>394</v>
      </c>
      <c r="C3153" s="21" t="s">
        <v>19</v>
      </c>
      <c r="D3153" s="21" t="s">
        <v>49</v>
      </c>
      <c r="E3153" s="21" t="s">
        <v>359</v>
      </c>
      <c r="F3153" s="22">
        <v>14</v>
      </c>
      <c r="G3153" s="612" t="s">
        <v>21</v>
      </c>
      <c r="H3153" s="735" t="s">
        <v>126</v>
      </c>
      <c r="I3153" s="613">
        <v>23.45</v>
      </c>
      <c r="J3153" s="610">
        <v>12</v>
      </c>
      <c r="K3153" s="609">
        <v>2</v>
      </c>
      <c r="L3153" s="100">
        <f>(I3153*J3153*K3153/1000)</f>
        <v>0.56279999999999997</v>
      </c>
      <c r="M3153" s="20">
        <v>2</v>
      </c>
      <c r="N3153" s="23">
        <f>J3153*M3153*I3153/1000</f>
        <v>0.56279999999999997</v>
      </c>
      <c r="O3153" s="20"/>
      <c r="P3153" s="20"/>
      <c r="Q3153" s="155"/>
      <c r="R3153" s="155"/>
      <c r="S3153" s="497" t="s">
        <v>432</v>
      </c>
    </row>
    <row r="3154" spans="1:21" ht="15.6">
      <c r="A3154" s="20"/>
      <c r="B3154" s="616" t="s">
        <v>277</v>
      </c>
      <c r="C3154" s="20"/>
      <c r="D3154" s="20"/>
      <c r="E3154" s="20"/>
      <c r="F3154" s="20"/>
      <c r="G3154" s="612"/>
      <c r="H3154" s="612"/>
      <c r="I3154" s="613"/>
      <c r="J3154" s="610"/>
      <c r="K3154" s="609">
        <f t="shared" ref="K3154:M3154" si="544">SUM(K3153)</f>
        <v>2</v>
      </c>
      <c r="L3154" s="610">
        <f>SUM(L3153)</f>
        <v>0.56279999999999997</v>
      </c>
      <c r="M3154" s="609">
        <f t="shared" si="544"/>
        <v>2</v>
      </c>
      <c r="N3154" s="610">
        <f>SUM(N3153)</f>
        <v>0.56279999999999997</v>
      </c>
      <c r="O3154" s="20"/>
      <c r="P3154" s="20"/>
      <c r="Q3154" s="155"/>
      <c r="R3154" s="155"/>
    </row>
    <row r="3155" spans="1:21" s="497" customFormat="1" ht="15.6">
      <c r="A3155" s="20"/>
      <c r="B3155" s="612"/>
      <c r="C3155" s="20"/>
      <c r="D3155" s="20"/>
      <c r="E3155" s="20"/>
      <c r="F3155" s="20"/>
      <c r="G3155" s="612"/>
      <c r="H3155" s="612"/>
      <c r="I3155" s="613"/>
      <c r="J3155" s="610"/>
      <c r="K3155" s="614">
        <f>SUM(K3136:K3154)/2</f>
        <v>252</v>
      </c>
      <c r="L3155" s="610">
        <f>SUM(L3136:L3154)/2</f>
        <v>55.238965000000007</v>
      </c>
      <c r="M3155" s="614">
        <f>SUM(M3136:M3154)/2</f>
        <v>20</v>
      </c>
      <c r="N3155" s="610">
        <f>SUM(N3136:N3154)/2</f>
        <v>4.734964999999999</v>
      </c>
      <c r="O3155" s="20"/>
      <c r="P3155" s="20"/>
      <c r="Q3155" s="155"/>
      <c r="R3155" s="155"/>
    </row>
    <row r="3156" spans="1:21" s="497" customFormat="1" ht="15.6">
      <c r="A3156" s="20"/>
      <c r="B3156" s="612"/>
      <c r="C3156" s="20"/>
      <c r="D3156" s="20"/>
      <c r="E3156" s="20"/>
      <c r="F3156" s="20"/>
      <c r="G3156" s="612"/>
      <c r="H3156" s="612"/>
      <c r="I3156" s="613"/>
      <c r="J3156" s="610"/>
      <c r="K3156" s="609"/>
      <c r="L3156" s="610"/>
      <c r="M3156" s="20"/>
      <c r="N3156" s="20"/>
      <c r="O3156" s="20"/>
      <c r="P3156" s="20"/>
      <c r="Q3156" s="155"/>
      <c r="R3156" s="155"/>
    </row>
    <row r="3157" spans="1:21" ht="15.6">
      <c r="A3157" s="20"/>
      <c r="B3157" s="20"/>
      <c r="C3157" s="20"/>
      <c r="D3157" s="20"/>
      <c r="E3157" s="20"/>
      <c r="F3157" s="20"/>
      <c r="G3157" s="20"/>
      <c r="H3157" s="20"/>
      <c r="I3157" s="115"/>
      <c r="J3157" s="20"/>
      <c r="K3157" s="211"/>
      <c r="L3157" s="131"/>
      <c r="M3157" s="20"/>
      <c r="N3157" s="20"/>
      <c r="O3157" s="20"/>
      <c r="P3157" s="20"/>
      <c r="Q3157" s="155"/>
      <c r="R3157" s="155"/>
    </row>
    <row r="3158" spans="1:21" ht="15.6">
      <c r="A3158" s="21" t="s">
        <v>332</v>
      </c>
      <c r="B3158" s="21" t="s">
        <v>381</v>
      </c>
      <c r="C3158" s="21" t="s">
        <v>19</v>
      </c>
      <c r="D3158" s="21" t="s">
        <v>20</v>
      </c>
      <c r="E3158" s="21" t="s">
        <v>47</v>
      </c>
      <c r="F3158" s="22">
        <v>14</v>
      </c>
      <c r="G3158" s="20" t="s">
        <v>21</v>
      </c>
      <c r="H3158" s="143" t="s">
        <v>124</v>
      </c>
      <c r="I3158" s="115">
        <v>19.8</v>
      </c>
      <c r="J3158" s="23">
        <v>7</v>
      </c>
      <c r="K3158" s="25">
        <v>24</v>
      </c>
      <c r="L3158" s="100">
        <f t="shared" ref="L3158:L3161" si="545">(I3158*J3158*K3158/1000)</f>
        <v>3.3263999999999996</v>
      </c>
      <c r="M3158" s="20"/>
      <c r="N3158" s="20"/>
      <c r="O3158" s="20"/>
      <c r="P3158" s="20"/>
      <c r="Q3158" s="155"/>
      <c r="R3158" s="155"/>
      <c r="S3158">
        <v>24</v>
      </c>
      <c r="T3158" s="126">
        <f t="shared" ref="T3158" si="546">J3158*S3158*I3158/1000</f>
        <v>3.3264</v>
      </c>
      <c r="U3158" s="497" t="s">
        <v>440</v>
      </c>
    </row>
    <row r="3159" spans="1:21" ht="15.6">
      <c r="A3159" s="20"/>
      <c r="B3159" s="503" t="s">
        <v>340</v>
      </c>
      <c r="C3159" s="20"/>
      <c r="D3159" s="20"/>
      <c r="E3159" s="20"/>
      <c r="F3159" s="20"/>
      <c r="G3159" s="20" t="s">
        <v>21</v>
      </c>
      <c r="H3159" s="20" t="s">
        <v>124</v>
      </c>
      <c r="I3159" s="115">
        <v>19.8</v>
      </c>
      <c r="J3159" s="23">
        <v>9.5</v>
      </c>
      <c r="K3159" s="25">
        <v>22</v>
      </c>
      <c r="L3159" s="100">
        <f t="shared" si="545"/>
        <v>4.1381999999999994</v>
      </c>
      <c r="M3159" s="20"/>
      <c r="N3159" s="20"/>
      <c r="O3159" s="20">
        <f>6+11+3</f>
        <v>20</v>
      </c>
      <c r="P3159" s="20">
        <f>J3159*O3159*I3159/1000</f>
        <v>3.762</v>
      </c>
      <c r="Q3159" s="155"/>
      <c r="R3159" s="155"/>
    </row>
    <row r="3160" spans="1:21" ht="15.6">
      <c r="A3160" s="20"/>
      <c r="B3160" s="20"/>
      <c r="C3160" s="20"/>
      <c r="D3160" s="20"/>
      <c r="E3160" s="20"/>
      <c r="F3160" s="20"/>
      <c r="G3160" s="20" t="s">
        <v>21</v>
      </c>
      <c r="H3160" s="20" t="s">
        <v>124</v>
      </c>
      <c r="I3160" s="115">
        <v>19.8</v>
      </c>
      <c r="J3160" s="23">
        <v>9.8000000000000007</v>
      </c>
      <c r="K3160" s="25">
        <v>30</v>
      </c>
      <c r="L3160" s="100">
        <f t="shared" si="545"/>
        <v>5.821200000000001</v>
      </c>
      <c r="M3160" s="20"/>
      <c r="N3160" s="20"/>
      <c r="O3160" s="20">
        <f>11+11+4+4</f>
        <v>30</v>
      </c>
      <c r="P3160" s="23">
        <f>J3160*O3160*I3160/1000</f>
        <v>5.8212000000000002</v>
      </c>
      <c r="Q3160" s="134"/>
      <c r="R3160" s="134"/>
    </row>
    <row r="3161" spans="1:21" ht="15.6">
      <c r="A3161" s="20"/>
      <c r="B3161" s="20"/>
      <c r="C3161" s="20"/>
      <c r="D3161" s="20"/>
      <c r="E3161" s="20"/>
      <c r="F3161" s="20"/>
      <c r="G3161" s="20" t="s">
        <v>21</v>
      </c>
      <c r="H3161" s="20" t="s">
        <v>124</v>
      </c>
      <c r="I3161" s="115">
        <v>19.8</v>
      </c>
      <c r="J3161" s="23">
        <v>10.9</v>
      </c>
      <c r="K3161" s="25">
        <v>13</v>
      </c>
      <c r="L3161" s="100">
        <f t="shared" si="545"/>
        <v>2.8056600000000005</v>
      </c>
      <c r="M3161" s="20"/>
      <c r="N3161" s="20"/>
      <c r="O3161" s="20"/>
      <c r="P3161" s="20"/>
      <c r="Q3161" s="155"/>
      <c r="R3161" s="155"/>
      <c r="S3161">
        <v>12</v>
      </c>
      <c r="T3161" s="126">
        <f t="shared" ref="T3161" si="547">J3161*S3161*I3161/1000</f>
        <v>2.5898400000000001</v>
      </c>
    </row>
    <row r="3162" spans="1:21" ht="15.6">
      <c r="A3162" s="20"/>
      <c r="B3162" s="20"/>
      <c r="C3162" s="20"/>
      <c r="D3162" s="20"/>
      <c r="E3162" s="20"/>
      <c r="F3162" s="20"/>
      <c r="G3162" s="20"/>
      <c r="H3162" s="20"/>
      <c r="I3162" s="115"/>
      <c r="J3162" s="23"/>
      <c r="K3162" s="25">
        <f>SUM(K3158:K3161)</f>
        <v>89</v>
      </c>
      <c r="L3162" s="23">
        <f>SUM(L3158:L3161)</f>
        <v>16.091460000000001</v>
      </c>
      <c r="M3162" s="20"/>
      <c r="N3162" s="20"/>
      <c r="O3162" s="25">
        <f>SUM(O3158:O3161)</f>
        <v>50</v>
      </c>
      <c r="P3162" s="23">
        <f>SUM(P3158:P3161)</f>
        <v>9.5831999999999997</v>
      </c>
      <c r="Q3162" s="23"/>
      <c r="R3162" s="23"/>
      <c r="S3162" s="25">
        <f>SUM(S3158:S3161)</f>
        <v>36</v>
      </c>
      <c r="T3162" s="23">
        <f>SUM(T3158:T3161)</f>
        <v>5.9162400000000002</v>
      </c>
    </row>
    <row r="3163" spans="1:21" ht="15.6">
      <c r="A3163" s="20"/>
      <c r="B3163" s="20"/>
      <c r="C3163" s="20"/>
      <c r="D3163" s="20"/>
      <c r="E3163" s="20"/>
      <c r="F3163" s="20"/>
      <c r="G3163" s="20"/>
      <c r="H3163" s="20"/>
      <c r="I3163" s="115"/>
      <c r="J3163" s="20"/>
      <c r="K3163" s="211"/>
      <c r="L3163" s="131"/>
      <c r="M3163" s="20"/>
      <c r="N3163" s="20"/>
      <c r="O3163" s="20"/>
      <c r="P3163" s="20"/>
      <c r="Q3163" s="155"/>
      <c r="R3163" s="155"/>
    </row>
    <row r="3164" spans="1:21" ht="15.6">
      <c r="A3164" s="21" t="s">
        <v>332</v>
      </c>
      <c r="B3164" s="21" t="s">
        <v>382</v>
      </c>
      <c r="C3164" s="21" t="s">
        <v>19</v>
      </c>
      <c r="D3164" s="21" t="s">
        <v>49</v>
      </c>
      <c r="E3164" s="21" t="s">
        <v>359</v>
      </c>
      <c r="F3164" s="22">
        <v>14</v>
      </c>
      <c r="G3164" s="20" t="s">
        <v>21</v>
      </c>
      <c r="H3164" s="143" t="s">
        <v>124</v>
      </c>
      <c r="I3164" s="115">
        <v>19.72</v>
      </c>
      <c r="J3164" s="23">
        <v>7.9</v>
      </c>
      <c r="K3164" s="25">
        <v>6</v>
      </c>
      <c r="L3164" s="100">
        <f>(I3164*J3164*K3164/1000)</f>
        <v>0.93472800000000011</v>
      </c>
      <c r="M3164" s="20"/>
      <c r="N3164" s="20"/>
      <c r="O3164" s="20"/>
      <c r="P3164" s="20"/>
      <c r="Q3164" s="155"/>
      <c r="R3164" s="155"/>
      <c r="S3164">
        <v>6</v>
      </c>
      <c r="T3164" s="126">
        <f t="shared" ref="T3164:T3165" si="548">J3164*S3164*I3164/1000</f>
        <v>0.93472800000000011</v>
      </c>
      <c r="U3164" s="497" t="s">
        <v>432</v>
      </c>
    </row>
    <row r="3165" spans="1:21" ht="15.6">
      <c r="A3165" s="20"/>
      <c r="B3165" s="21" t="s">
        <v>331</v>
      </c>
      <c r="C3165" s="20"/>
      <c r="D3165" s="20"/>
      <c r="E3165" s="20"/>
      <c r="F3165" s="20"/>
      <c r="G3165" s="20" t="s">
        <v>21</v>
      </c>
      <c r="H3165" s="20" t="s">
        <v>124</v>
      </c>
      <c r="I3165" s="115">
        <v>19.72</v>
      </c>
      <c r="J3165" s="23">
        <v>11.4</v>
      </c>
      <c r="K3165" s="25">
        <v>5</v>
      </c>
      <c r="L3165" s="100">
        <f>(I3165*J3165*K3165/1000)</f>
        <v>1.1240399999999999</v>
      </c>
      <c r="M3165" s="20"/>
      <c r="N3165" s="20"/>
      <c r="O3165" s="20"/>
      <c r="P3165" s="20"/>
      <c r="Q3165" s="155"/>
      <c r="R3165" s="155"/>
      <c r="S3165">
        <v>5</v>
      </c>
      <c r="T3165" s="126">
        <f t="shared" si="548"/>
        <v>1.1240399999999999</v>
      </c>
    </row>
    <row r="3166" spans="1:21" ht="15.6">
      <c r="A3166" s="20"/>
      <c r="B3166" s="20"/>
      <c r="C3166" s="20"/>
      <c r="D3166" s="20"/>
      <c r="E3166" s="20"/>
      <c r="F3166" s="20"/>
      <c r="G3166" s="20"/>
      <c r="H3166" s="20"/>
      <c r="I3166" s="115"/>
      <c r="J3166" s="23"/>
      <c r="K3166" s="25">
        <f t="shared" ref="K3166:L3166" si="549">SUM(K3164:K3165)</f>
        <v>11</v>
      </c>
      <c r="L3166" s="23">
        <f t="shared" si="549"/>
        <v>2.0587680000000002</v>
      </c>
      <c r="M3166" s="20"/>
      <c r="N3166" s="20"/>
      <c r="O3166" s="20"/>
      <c r="P3166" s="20"/>
      <c r="Q3166" s="20"/>
      <c r="R3166" s="20"/>
      <c r="S3166" s="25">
        <f t="shared" ref="S3166:T3166" si="550">SUM(S3164:S3165)</f>
        <v>11</v>
      </c>
      <c r="T3166" s="23">
        <f t="shared" si="550"/>
        <v>2.0587680000000002</v>
      </c>
    </row>
    <row r="3167" spans="1:21" ht="15.6">
      <c r="A3167" s="20"/>
      <c r="B3167" s="20"/>
      <c r="C3167" s="20"/>
      <c r="D3167" s="20"/>
      <c r="E3167" s="20"/>
      <c r="F3167" s="20"/>
      <c r="G3167" s="20"/>
      <c r="H3167" s="20"/>
      <c r="I3167" s="115"/>
      <c r="J3167" s="20"/>
      <c r="K3167" s="211"/>
      <c r="L3167" s="131"/>
      <c r="M3167" s="20"/>
      <c r="N3167" s="20"/>
      <c r="O3167" s="20"/>
      <c r="P3167" s="20"/>
      <c r="Q3167" s="155"/>
      <c r="R3167" s="155"/>
    </row>
    <row r="3168" spans="1:21" ht="15.6">
      <c r="A3168" s="21" t="s">
        <v>395</v>
      </c>
      <c r="B3168" s="21" t="s">
        <v>385</v>
      </c>
      <c r="C3168" s="21" t="s">
        <v>19</v>
      </c>
      <c r="D3168" s="21" t="s">
        <v>49</v>
      </c>
      <c r="E3168" s="21" t="s">
        <v>359</v>
      </c>
      <c r="F3168" s="22">
        <v>14</v>
      </c>
      <c r="G3168" s="20" t="s">
        <v>21</v>
      </c>
      <c r="H3168" s="143" t="s">
        <v>124</v>
      </c>
      <c r="I3168" s="115">
        <v>19.72</v>
      </c>
      <c r="J3168" s="23">
        <v>6.75</v>
      </c>
      <c r="K3168" s="25">
        <v>8</v>
      </c>
      <c r="L3168" s="100">
        <f>(I3168*J3168*K3168/1000)</f>
        <v>1.0648799999999998</v>
      </c>
      <c r="M3168" s="20"/>
      <c r="N3168" s="20"/>
      <c r="O3168" s="20"/>
      <c r="P3168" s="20"/>
      <c r="Q3168" s="155"/>
      <c r="R3168" s="155"/>
      <c r="S3168">
        <v>8</v>
      </c>
      <c r="T3168" s="126">
        <f t="shared" ref="T3168" si="551">J3168*S3168*I3168/1000</f>
        <v>1.0648799999999998</v>
      </c>
      <c r="U3168" s="497" t="s">
        <v>432</v>
      </c>
    </row>
    <row r="3169" spans="1:21" ht="15.6">
      <c r="A3169" s="20"/>
      <c r="B3169" s="184" t="s">
        <v>333</v>
      </c>
      <c r="C3169" s="20"/>
      <c r="D3169" s="20"/>
      <c r="E3169" s="20"/>
      <c r="F3169" s="20"/>
      <c r="G3169" s="20"/>
      <c r="H3169" s="20"/>
      <c r="I3169" s="115"/>
      <c r="J3169" s="23"/>
      <c r="K3169" s="25">
        <f t="shared" ref="K3169:L3169" si="552">SUM(K3168)</f>
        <v>8</v>
      </c>
      <c r="L3169" s="23">
        <f t="shared" si="552"/>
        <v>1.0648799999999998</v>
      </c>
      <c r="M3169" s="20"/>
      <c r="N3169" s="20"/>
      <c r="O3169" s="20"/>
      <c r="P3169" s="20"/>
      <c r="Q3169" s="20"/>
      <c r="R3169" s="20"/>
      <c r="S3169" s="25">
        <f t="shared" ref="S3169:T3169" si="553">SUM(S3168)</f>
        <v>8</v>
      </c>
      <c r="T3169" s="23">
        <f t="shared" si="553"/>
        <v>1.0648799999999998</v>
      </c>
    </row>
    <row r="3170" spans="1:21" ht="15.6">
      <c r="A3170" s="20"/>
      <c r="B3170" s="20"/>
      <c r="C3170" s="20"/>
      <c r="D3170" s="20"/>
      <c r="E3170" s="20"/>
      <c r="F3170" s="20"/>
      <c r="G3170" s="20"/>
      <c r="H3170" s="20"/>
      <c r="I3170" s="115"/>
      <c r="J3170" s="20"/>
      <c r="K3170" s="211"/>
      <c r="L3170" s="131"/>
      <c r="M3170" s="20"/>
      <c r="N3170" s="20"/>
      <c r="O3170" s="20"/>
      <c r="P3170" s="20"/>
      <c r="Q3170" s="155"/>
      <c r="R3170" s="155"/>
    </row>
    <row r="3171" spans="1:21" ht="15.6">
      <c r="A3171" s="21" t="s">
        <v>395</v>
      </c>
      <c r="B3171" s="21" t="s">
        <v>394</v>
      </c>
      <c r="C3171" s="21" t="s">
        <v>19</v>
      </c>
      <c r="D3171" s="21" t="s">
        <v>49</v>
      </c>
      <c r="E3171" s="21" t="s">
        <v>359</v>
      </c>
      <c r="F3171" s="22">
        <v>14</v>
      </c>
      <c r="G3171" s="612" t="s">
        <v>21</v>
      </c>
      <c r="H3171" s="735" t="s">
        <v>124</v>
      </c>
      <c r="I3171" s="613">
        <v>19.72</v>
      </c>
      <c r="J3171" s="610">
        <v>12</v>
      </c>
      <c r="K3171" s="609">
        <v>10</v>
      </c>
      <c r="L3171" s="100">
        <f>(I3171*J3171*K3171/1000)</f>
        <v>2.3663999999999996</v>
      </c>
      <c r="M3171" s="20"/>
      <c r="N3171" s="20"/>
      <c r="O3171" s="20"/>
      <c r="P3171" s="20"/>
      <c r="Q3171" s="155"/>
      <c r="R3171" s="155"/>
      <c r="S3171">
        <v>10</v>
      </c>
      <c r="T3171" s="126">
        <f t="shared" ref="T3171" si="554">J3171*S3171*I3171/1000</f>
        <v>2.3663999999999996</v>
      </c>
      <c r="U3171" s="497" t="s">
        <v>432</v>
      </c>
    </row>
    <row r="3172" spans="1:21" ht="15.6">
      <c r="A3172" s="20"/>
      <c r="B3172" s="612" t="s">
        <v>277</v>
      </c>
      <c r="C3172" s="20"/>
      <c r="D3172" s="20"/>
      <c r="E3172" s="20"/>
      <c r="F3172" s="20"/>
      <c r="G3172" s="612"/>
      <c r="H3172" s="612"/>
      <c r="I3172" s="613"/>
      <c r="J3172" s="610"/>
      <c r="K3172" s="609">
        <f t="shared" ref="K3172:L3172" si="555">SUM(K3171)</f>
        <v>10</v>
      </c>
      <c r="L3172" s="610">
        <f t="shared" si="555"/>
        <v>2.3663999999999996</v>
      </c>
      <c r="M3172" s="20"/>
      <c r="N3172" s="20"/>
      <c r="O3172" s="20"/>
      <c r="P3172" s="20"/>
      <c r="Q3172" s="20"/>
      <c r="R3172" s="20"/>
      <c r="S3172" s="609">
        <f t="shared" ref="S3172:T3172" si="556">SUM(S3171)</f>
        <v>10</v>
      </c>
      <c r="T3172" s="610">
        <f t="shared" si="556"/>
        <v>2.3663999999999996</v>
      </c>
    </row>
    <row r="3173" spans="1:21" s="497" customFormat="1" ht="15.6">
      <c r="A3173" s="20"/>
      <c r="B3173" s="612"/>
      <c r="C3173" s="20"/>
      <c r="D3173" s="20"/>
      <c r="E3173" s="20"/>
      <c r="F3173" s="20"/>
      <c r="G3173" s="612"/>
      <c r="H3173" s="612"/>
      <c r="I3173" s="613"/>
      <c r="J3173" s="610"/>
      <c r="K3173" s="614">
        <f>SUM(K3158:K3172)/2</f>
        <v>118</v>
      </c>
      <c r="L3173" s="610">
        <f>SUM(L3158:L3172)/2</f>
        <v>21.581508000000003</v>
      </c>
      <c r="M3173" s="20"/>
      <c r="N3173" s="20"/>
      <c r="O3173" s="20"/>
      <c r="P3173" s="20"/>
      <c r="Q3173" s="155"/>
      <c r="R3173" s="155"/>
      <c r="T3173" s="610">
        <f>SUM(T3158:T3172)/2</f>
        <v>11.406287999999998</v>
      </c>
    </row>
    <row r="3174" spans="1:21" s="497" customFormat="1" ht="15.6">
      <c r="A3174" s="20"/>
      <c r="B3174" s="612"/>
      <c r="C3174" s="20"/>
      <c r="D3174" s="20"/>
      <c r="E3174" s="20"/>
      <c r="F3174" s="20"/>
      <c r="G3174" s="612"/>
      <c r="H3174" s="612"/>
      <c r="I3174" s="613"/>
      <c r="J3174" s="610"/>
      <c r="K3174" s="609"/>
      <c r="L3174" s="610"/>
      <c r="M3174" s="20"/>
      <c r="N3174" s="20"/>
      <c r="O3174" s="20"/>
      <c r="P3174" s="20"/>
      <c r="Q3174" s="155"/>
      <c r="R3174" s="155"/>
    </row>
    <row r="3175" spans="1:21" s="497" customFormat="1" ht="15.6">
      <c r="A3175" s="20"/>
      <c r="B3175" s="612"/>
      <c r="C3175" s="20"/>
      <c r="D3175" s="20"/>
      <c r="E3175" s="20"/>
      <c r="F3175" s="20"/>
      <c r="G3175" s="612"/>
      <c r="H3175" s="612"/>
      <c r="I3175" s="613"/>
      <c r="J3175" s="610"/>
      <c r="K3175" s="609"/>
      <c r="L3175" s="610"/>
      <c r="M3175" s="20"/>
      <c r="N3175" s="20"/>
      <c r="O3175" s="20"/>
      <c r="P3175" s="20"/>
      <c r="Q3175" s="155"/>
      <c r="R3175" s="155"/>
    </row>
    <row r="3176" spans="1:21" ht="15.6">
      <c r="A3176" s="21" t="s">
        <v>395</v>
      </c>
      <c r="B3176" s="21" t="s">
        <v>394</v>
      </c>
      <c r="C3176" s="21" t="s">
        <v>19</v>
      </c>
      <c r="D3176" s="21" t="s">
        <v>49</v>
      </c>
      <c r="E3176" s="21" t="s">
        <v>359</v>
      </c>
      <c r="F3176" s="22">
        <v>14</v>
      </c>
      <c r="G3176" s="612" t="s">
        <v>21</v>
      </c>
      <c r="H3176" s="735" t="s">
        <v>129</v>
      </c>
      <c r="I3176" s="613">
        <v>17.82</v>
      </c>
      <c r="J3176" s="610">
        <v>12</v>
      </c>
      <c r="K3176" s="609">
        <v>6</v>
      </c>
      <c r="L3176" s="100">
        <f>(I3176*J3176*K3176/1000)</f>
        <v>1.28304</v>
      </c>
      <c r="M3176" s="20">
        <v>6</v>
      </c>
      <c r="N3176" s="23">
        <f>J3176*M3176*I3176/1000</f>
        <v>1.28304</v>
      </c>
      <c r="O3176" s="20"/>
      <c r="P3176" s="20"/>
      <c r="Q3176" s="155"/>
      <c r="R3176" s="155"/>
      <c r="S3176" s="497" t="s">
        <v>435</v>
      </c>
    </row>
    <row r="3177" spans="1:21" ht="15.6">
      <c r="A3177" s="20"/>
      <c r="B3177" s="612" t="s">
        <v>277</v>
      </c>
      <c r="C3177" s="20"/>
      <c r="D3177" s="20"/>
      <c r="E3177" s="20"/>
      <c r="F3177" s="20"/>
      <c r="G3177" s="612"/>
      <c r="H3177" s="612"/>
      <c r="I3177" s="613"/>
      <c r="J3177" s="610"/>
      <c r="K3177" s="609">
        <f t="shared" ref="K3177:M3177" si="557">SUM(K3176)</f>
        <v>6</v>
      </c>
      <c r="L3177" s="610">
        <f>SUM(L3176)</f>
        <v>1.28304</v>
      </c>
      <c r="M3177" s="609">
        <f t="shared" si="557"/>
        <v>6</v>
      </c>
      <c r="N3177" s="610">
        <f>SUM(N3176)</f>
        <v>1.28304</v>
      </c>
      <c r="O3177" s="20"/>
      <c r="P3177" s="20"/>
      <c r="Q3177" s="155"/>
      <c r="R3177" s="155"/>
    </row>
    <row r="3178" spans="1:21" ht="15.6">
      <c r="A3178" s="20"/>
      <c r="B3178" s="20"/>
      <c r="C3178" s="20"/>
      <c r="D3178" s="20"/>
      <c r="E3178" s="20"/>
      <c r="F3178" s="20"/>
      <c r="G3178" s="20"/>
      <c r="H3178" s="20"/>
      <c r="I3178" s="131"/>
      <c r="J3178" s="20"/>
      <c r="K3178" s="211"/>
      <c r="L3178" s="131"/>
      <c r="M3178" s="20"/>
      <c r="N3178" s="20"/>
      <c r="O3178" s="20"/>
      <c r="P3178" s="20"/>
      <c r="Q3178" s="155"/>
      <c r="R3178" s="155"/>
    </row>
    <row r="3179" spans="1:21" s="497" customFormat="1" ht="15.6">
      <c r="A3179" s="20"/>
      <c r="B3179" s="20"/>
      <c r="C3179" s="20"/>
      <c r="D3179" s="20"/>
      <c r="E3179" s="20"/>
      <c r="F3179" s="20"/>
      <c r="G3179" s="20"/>
      <c r="H3179" s="20"/>
      <c r="I3179" s="131"/>
      <c r="J3179" s="20"/>
      <c r="K3179" s="211"/>
      <c r="L3179" s="131"/>
      <c r="M3179" s="20"/>
      <c r="N3179" s="20"/>
      <c r="O3179" s="20"/>
      <c r="P3179" s="20"/>
      <c r="Q3179" s="155"/>
      <c r="R3179" s="155"/>
    </row>
    <row r="3180" spans="1:21" s="497" customFormat="1" ht="15.6">
      <c r="A3180" s="20"/>
      <c r="B3180" s="20"/>
      <c r="C3180" s="20"/>
      <c r="D3180" s="20"/>
      <c r="E3180" s="20"/>
      <c r="F3180" s="20"/>
      <c r="G3180" s="20"/>
      <c r="H3180" s="20"/>
      <c r="I3180" s="131"/>
      <c r="J3180" s="20"/>
      <c r="K3180" s="211"/>
      <c r="L3180" s="131"/>
      <c r="M3180" s="20"/>
      <c r="N3180" s="20"/>
      <c r="O3180" s="20"/>
      <c r="P3180" s="20"/>
      <c r="Q3180" s="155"/>
      <c r="R3180" s="155"/>
    </row>
    <row r="3181" spans="1:21" s="497" customFormat="1" ht="15.6">
      <c r="A3181" s="20"/>
      <c r="B3181" s="20"/>
      <c r="C3181" s="20"/>
      <c r="D3181" s="20"/>
      <c r="E3181" s="20"/>
      <c r="F3181" s="20"/>
      <c r="G3181" s="20"/>
      <c r="H3181" s="20"/>
      <c r="I3181" s="131"/>
      <c r="J3181" s="20"/>
      <c r="K3181" s="211"/>
      <c r="L3181" s="131"/>
      <c r="M3181" s="20"/>
      <c r="N3181" s="20"/>
      <c r="O3181" s="20"/>
      <c r="P3181" s="20"/>
      <c r="Q3181" s="155"/>
      <c r="R3181" s="155"/>
    </row>
    <row r="3182" spans="1:21" s="497" customFormat="1" ht="15.6">
      <c r="A3182" s="21" t="s">
        <v>332</v>
      </c>
      <c r="B3182" s="21" t="s">
        <v>341</v>
      </c>
      <c r="C3182" s="21" t="s">
        <v>19</v>
      </c>
      <c r="D3182" s="21" t="s">
        <v>49</v>
      </c>
      <c r="E3182" s="21" t="s">
        <v>359</v>
      </c>
      <c r="F3182" s="22">
        <v>14</v>
      </c>
      <c r="G3182" s="20" t="s">
        <v>21</v>
      </c>
      <c r="H3182" s="143" t="s">
        <v>125</v>
      </c>
      <c r="I3182" s="115">
        <v>21.7</v>
      </c>
      <c r="J3182" s="23">
        <v>12</v>
      </c>
      <c r="K3182" s="25">
        <v>4</v>
      </c>
      <c r="L3182" s="100">
        <f>(I3182*J3182*K3182/1000)</f>
        <v>1.0415999999999999</v>
      </c>
      <c r="M3182" s="20">
        <v>4</v>
      </c>
      <c r="N3182" s="23">
        <f>J3182*M3182*I3182/1000</f>
        <v>1.0415999999999999</v>
      </c>
      <c r="O3182" s="20"/>
      <c r="P3182" s="20"/>
      <c r="Q3182" s="155"/>
      <c r="R3182" s="155"/>
      <c r="S3182" s="497" t="s">
        <v>435</v>
      </c>
    </row>
    <row r="3183" spans="1:21" s="497" customFormat="1" ht="15.6">
      <c r="A3183" s="20"/>
      <c r="B3183" s="21" t="s">
        <v>331</v>
      </c>
      <c r="C3183" s="20"/>
      <c r="D3183" s="20"/>
      <c r="E3183" s="20"/>
      <c r="F3183" s="20"/>
      <c r="G3183" s="20"/>
      <c r="H3183" s="20"/>
      <c r="I3183" s="115"/>
      <c r="J3183" s="23"/>
      <c r="K3183" s="25">
        <f>SUM(K3182:K3182)</f>
        <v>4</v>
      </c>
      <c r="L3183" s="23">
        <f>SUM(L3182:L3182)</f>
        <v>1.0415999999999999</v>
      </c>
      <c r="M3183" s="25">
        <f>SUM(M3182:M3182)</f>
        <v>4</v>
      </c>
      <c r="N3183" s="23">
        <f>SUM(N3182:N3182)</f>
        <v>1.0415999999999999</v>
      </c>
      <c r="O3183" s="20"/>
      <c r="P3183" s="20"/>
      <c r="Q3183" s="155"/>
      <c r="R3183" s="155"/>
    </row>
    <row r="3184" spans="1:21" s="497" customFormat="1" ht="15.6">
      <c r="A3184" s="20"/>
      <c r="B3184" s="20"/>
      <c r="C3184" s="20"/>
      <c r="D3184" s="20"/>
      <c r="E3184" s="20"/>
      <c r="F3184" s="20"/>
      <c r="G3184" s="20"/>
      <c r="H3184" s="20"/>
      <c r="I3184" s="131"/>
      <c r="J3184" s="20"/>
      <c r="K3184" s="211"/>
      <c r="L3184" s="131"/>
      <c r="M3184" s="20"/>
      <c r="N3184" s="20"/>
      <c r="O3184" s="20"/>
      <c r="P3184" s="20"/>
      <c r="Q3184" s="155"/>
      <c r="R3184" s="155"/>
    </row>
    <row r="3185" spans="1:21" s="497" customFormat="1" ht="15.6">
      <c r="A3185" s="21" t="s">
        <v>332</v>
      </c>
      <c r="B3185" s="21" t="s">
        <v>341</v>
      </c>
      <c r="C3185" s="21" t="s">
        <v>19</v>
      </c>
      <c r="D3185" s="21" t="s">
        <v>20</v>
      </c>
      <c r="E3185" s="246" t="s">
        <v>51</v>
      </c>
      <c r="F3185" s="22">
        <v>14</v>
      </c>
      <c r="G3185" s="20" t="s">
        <v>21</v>
      </c>
      <c r="H3185" s="143" t="s">
        <v>128</v>
      </c>
      <c r="I3185" s="115">
        <v>16</v>
      </c>
      <c r="J3185" s="740">
        <v>6</v>
      </c>
      <c r="K3185" s="741">
        <v>2</v>
      </c>
      <c r="L3185" s="100">
        <f>(I3185*J3185*K3185/1000)</f>
        <v>0.192</v>
      </c>
      <c r="M3185" s="20">
        <v>2</v>
      </c>
      <c r="N3185" s="23">
        <f>J3185*M3185*I3185/1000</f>
        <v>0.192</v>
      </c>
      <c r="O3185" s="20"/>
      <c r="P3185" s="20"/>
      <c r="Q3185" s="155"/>
      <c r="R3185" s="155"/>
      <c r="S3185" s="497" t="s">
        <v>435</v>
      </c>
    </row>
    <row r="3186" spans="1:21" s="497" customFormat="1" ht="15.6">
      <c r="A3186" s="20"/>
      <c r="B3186" s="742" t="s">
        <v>52</v>
      </c>
      <c r="C3186" s="20"/>
      <c r="D3186" s="20"/>
      <c r="E3186" s="20"/>
      <c r="F3186" s="20"/>
      <c r="G3186" s="20"/>
      <c r="H3186" s="20"/>
      <c r="I3186" s="115"/>
      <c r="J3186" s="740"/>
      <c r="K3186" s="741">
        <f t="shared" ref="K3186" si="558">SUM(K3185)</f>
        <v>2</v>
      </c>
      <c r="L3186" s="100">
        <f>SUM(L3185)</f>
        <v>0.192</v>
      </c>
      <c r="M3186" s="741">
        <f t="shared" ref="M3186" si="559">SUM(M3185)</f>
        <v>2</v>
      </c>
      <c r="N3186" s="100">
        <f>SUM(N3185)</f>
        <v>0.192</v>
      </c>
      <c r="O3186" s="20"/>
      <c r="P3186" s="20"/>
      <c r="Q3186" s="155"/>
      <c r="R3186" s="155"/>
    </row>
    <row r="3187" spans="1:21" s="497" customFormat="1" ht="15.6">
      <c r="A3187" s="20"/>
      <c r="B3187" s="20"/>
      <c r="C3187" s="20"/>
      <c r="D3187" s="20"/>
      <c r="E3187" s="20"/>
      <c r="F3187" s="20"/>
      <c r="G3187" s="20"/>
      <c r="H3187" s="20"/>
      <c r="I3187" s="131"/>
      <c r="J3187" s="20"/>
      <c r="K3187" s="211"/>
      <c r="L3187" s="131"/>
      <c r="M3187" s="20"/>
      <c r="N3187" s="20"/>
      <c r="O3187" s="20"/>
      <c r="P3187" s="20"/>
      <c r="Q3187" s="155"/>
      <c r="R3187" s="155"/>
    </row>
    <row r="3188" spans="1:21" s="497" customFormat="1" ht="15.6">
      <c r="A3188" s="21" t="s">
        <v>395</v>
      </c>
      <c r="B3188" s="21" t="s">
        <v>341</v>
      </c>
      <c r="C3188" s="21" t="s">
        <v>19</v>
      </c>
      <c r="D3188" s="21" t="s">
        <v>49</v>
      </c>
      <c r="E3188" s="21" t="s">
        <v>359</v>
      </c>
      <c r="F3188" s="22">
        <v>14</v>
      </c>
      <c r="G3188" s="612" t="s">
        <v>21</v>
      </c>
      <c r="H3188" s="735" t="s">
        <v>126</v>
      </c>
      <c r="I3188" s="613">
        <v>23.45</v>
      </c>
      <c r="J3188" s="740">
        <v>11.7</v>
      </c>
      <c r="K3188" s="741">
        <v>10</v>
      </c>
      <c r="L3188" s="100">
        <f>(I3188*J3188*K3188/1000)</f>
        <v>2.7436499999999997</v>
      </c>
      <c r="M3188" s="20">
        <v>10</v>
      </c>
      <c r="N3188" s="23">
        <f>J3188*M3188*I3188/1000</f>
        <v>2.7436500000000001</v>
      </c>
      <c r="O3188" s="20"/>
      <c r="P3188" s="20"/>
      <c r="Q3188" s="155"/>
      <c r="R3188" s="155"/>
      <c r="S3188" s="497" t="s">
        <v>435</v>
      </c>
    </row>
    <row r="3189" spans="1:21" s="497" customFormat="1" ht="15.6">
      <c r="A3189" s="20"/>
      <c r="B3189" s="616" t="s">
        <v>277</v>
      </c>
      <c r="C3189" s="20"/>
      <c r="D3189" s="20"/>
      <c r="E3189" s="20"/>
      <c r="F3189" s="20"/>
      <c r="G3189" s="612"/>
      <c r="H3189" s="612"/>
      <c r="I3189" s="613"/>
      <c r="J3189" s="610"/>
      <c r="K3189" s="609">
        <f t="shared" ref="K3189:M3189" si="560">SUM(K3188)</f>
        <v>10</v>
      </c>
      <c r="L3189" s="610">
        <f>SUM(L3188)</f>
        <v>2.7436499999999997</v>
      </c>
      <c r="M3189" s="609">
        <f t="shared" si="560"/>
        <v>10</v>
      </c>
      <c r="N3189" s="610">
        <f>SUM(N3188)</f>
        <v>2.7436500000000001</v>
      </c>
      <c r="O3189" s="20"/>
      <c r="P3189" s="20"/>
      <c r="Q3189" s="155"/>
      <c r="R3189" s="155"/>
    </row>
    <row r="3190" spans="1:21" s="497" customFormat="1" ht="15.6">
      <c r="A3190" s="20"/>
      <c r="B3190" s="20"/>
      <c r="C3190" s="20"/>
      <c r="D3190" s="20"/>
      <c r="E3190" s="20"/>
      <c r="F3190" s="20"/>
      <c r="G3190" s="20"/>
      <c r="H3190" s="20"/>
      <c r="I3190" s="131"/>
      <c r="J3190" s="20"/>
      <c r="K3190" s="211"/>
      <c r="L3190" s="131"/>
      <c r="M3190" s="20"/>
      <c r="N3190" s="20"/>
      <c r="O3190" s="20"/>
      <c r="P3190" s="20"/>
      <c r="Q3190" s="155"/>
      <c r="R3190" s="155"/>
    </row>
    <row r="3191" spans="1:21" s="497" customFormat="1" ht="15.6">
      <c r="A3191" s="20"/>
      <c r="B3191" s="20"/>
      <c r="C3191" s="20"/>
      <c r="D3191" s="20"/>
      <c r="E3191" s="20"/>
      <c r="F3191" s="20"/>
      <c r="G3191" s="20"/>
      <c r="H3191" s="20"/>
      <c r="I3191" s="131"/>
      <c r="J3191" s="20"/>
      <c r="K3191" s="211"/>
      <c r="L3191" s="131"/>
      <c r="M3191" s="20"/>
      <c r="N3191" s="20"/>
      <c r="O3191" s="20"/>
      <c r="P3191" s="20"/>
      <c r="Q3191" s="155"/>
      <c r="R3191" s="155"/>
    </row>
    <row r="3192" spans="1:21" s="497" customFormat="1" ht="15.6">
      <c r="A3192" s="21" t="s">
        <v>332</v>
      </c>
      <c r="B3192" s="21" t="s">
        <v>341</v>
      </c>
      <c r="C3192" s="21" t="s">
        <v>19</v>
      </c>
      <c r="D3192" s="21" t="s">
        <v>20</v>
      </c>
      <c r="E3192" s="246" t="s">
        <v>51</v>
      </c>
      <c r="F3192" s="22">
        <v>14</v>
      </c>
      <c r="G3192" s="185" t="s">
        <v>21</v>
      </c>
      <c r="H3192" s="629" t="s">
        <v>126</v>
      </c>
      <c r="I3192" s="186">
        <v>23.6</v>
      </c>
      <c r="J3192" s="740">
        <v>8.1</v>
      </c>
      <c r="K3192" s="741">
        <v>1</v>
      </c>
      <c r="L3192" s="100">
        <f t="shared" ref="L3192" si="561">(I3192*J3192*K3192/1000)</f>
        <v>0.19116</v>
      </c>
      <c r="M3192" s="20"/>
      <c r="N3192" s="20"/>
      <c r="O3192" s="23">
        <v>7.5</v>
      </c>
      <c r="P3192" s="20"/>
      <c r="Q3192" s="155"/>
      <c r="R3192" s="155"/>
      <c r="S3192" s="497">
        <v>1</v>
      </c>
      <c r="T3192" s="126">
        <f t="shared" ref="T3192:T3202" si="562">J3192*S3192*I3192/1000</f>
        <v>0.19116</v>
      </c>
      <c r="U3192" s="497" t="s">
        <v>432</v>
      </c>
    </row>
    <row r="3193" spans="1:21" s="497" customFormat="1" ht="15.6">
      <c r="A3193" s="20"/>
      <c r="B3193" s="742" t="s">
        <v>52</v>
      </c>
      <c r="C3193" s="20"/>
      <c r="D3193" s="20"/>
      <c r="E3193" s="20"/>
      <c r="F3193" s="20"/>
      <c r="G3193" s="185" t="s">
        <v>21</v>
      </c>
      <c r="H3193" s="185" t="s">
        <v>126</v>
      </c>
      <c r="I3193" s="186">
        <v>23.6</v>
      </c>
      <c r="J3193" s="740">
        <v>8.1</v>
      </c>
      <c r="K3193" s="741">
        <v>8</v>
      </c>
      <c r="L3193" s="100">
        <f t="shared" ref="L3193:L3202" si="563">(I3193*J3193*K3193/1000)</f>
        <v>1.52928</v>
      </c>
      <c r="M3193" s="20"/>
      <c r="N3193" s="20"/>
      <c r="O3193" s="23"/>
      <c r="P3193" s="20"/>
      <c r="Q3193" s="155"/>
      <c r="R3193" s="155"/>
      <c r="S3193" s="497">
        <v>5</v>
      </c>
      <c r="T3193" s="126">
        <f t="shared" si="562"/>
        <v>0.95580000000000009</v>
      </c>
    </row>
    <row r="3194" spans="1:21" s="497" customFormat="1" ht="15.6">
      <c r="A3194" s="20"/>
      <c r="B3194" s="20"/>
      <c r="C3194" s="20"/>
      <c r="D3194" s="20"/>
      <c r="E3194" s="20"/>
      <c r="F3194" s="20"/>
      <c r="G3194" s="185" t="s">
        <v>21</v>
      </c>
      <c r="H3194" s="185" t="s">
        <v>126</v>
      </c>
      <c r="I3194" s="186">
        <v>23.6</v>
      </c>
      <c r="J3194" s="740">
        <v>9.1</v>
      </c>
      <c r="K3194" s="741">
        <v>14</v>
      </c>
      <c r="L3194" s="100">
        <f t="shared" si="563"/>
        <v>3.00664</v>
      </c>
      <c r="M3194" s="20"/>
      <c r="N3194" s="20"/>
      <c r="O3194" s="23"/>
      <c r="P3194" s="20"/>
      <c r="Q3194" s="155"/>
      <c r="R3194" s="155"/>
      <c r="S3194" s="497">
        <f>5+1+1</f>
        <v>7</v>
      </c>
      <c r="T3194" s="126">
        <f t="shared" si="562"/>
        <v>1.50332</v>
      </c>
    </row>
    <row r="3195" spans="1:21" s="497" customFormat="1" ht="15.6">
      <c r="A3195" s="20"/>
      <c r="B3195" s="20"/>
      <c r="C3195" s="20"/>
      <c r="D3195" s="20"/>
      <c r="E3195" s="20"/>
      <c r="F3195" s="20"/>
      <c r="G3195" s="185" t="s">
        <v>21</v>
      </c>
      <c r="H3195" s="185" t="s">
        <v>126</v>
      </c>
      <c r="I3195" s="186">
        <v>23.6</v>
      </c>
      <c r="J3195" s="740">
        <v>9.6999999999999993</v>
      </c>
      <c r="K3195" s="741">
        <v>9</v>
      </c>
      <c r="L3195" s="100">
        <f t="shared" si="563"/>
        <v>2.0602799999999997</v>
      </c>
      <c r="M3195" s="20"/>
      <c r="N3195" s="20"/>
      <c r="O3195" s="23"/>
      <c r="P3195" s="20"/>
      <c r="Q3195" s="155"/>
      <c r="R3195" s="155"/>
      <c r="S3195" s="497">
        <f>4+3</f>
        <v>7</v>
      </c>
      <c r="T3195" s="126">
        <f t="shared" si="562"/>
        <v>1.6024399999999999</v>
      </c>
    </row>
    <row r="3196" spans="1:21" s="497" customFormat="1" ht="15.6">
      <c r="A3196" s="20"/>
      <c r="B3196" s="20"/>
      <c r="C3196" s="20"/>
      <c r="D3196" s="20"/>
      <c r="E3196" s="20"/>
      <c r="F3196" s="20"/>
      <c r="G3196" s="185" t="s">
        <v>21</v>
      </c>
      <c r="H3196" s="185" t="s">
        <v>126</v>
      </c>
      <c r="I3196" s="186">
        <v>23.6</v>
      </c>
      <c r="J3196" s="740">
        <v>9.9</v>
      </c>
      <c r="K3196" s="741">
        <v>9</v>
      </c>
      <c r="L3196" s="100">
        <f t="shared" si="563"/>
        <v>2.1027600000000004</v>
      </c>
      <c r="M3196" s="20"/>
      <c r="N3196" s="20"/>
      <c r="O3196" s="23"/>
      <c r="P3196" s="20"/>
      <c r="Q3196" s="155"/>
      <c r="R3196" s="155"/>
      <c r="S3196" s="497">
        <f>3+4</f>
        <v>7</v>
      </c>
      <c r="T3196" s="126">
        <f t="shared" si="562"/>
        <v>1.63548</v>
      </c>
    </row>
    <row r="3197" spans="1:21" s="497" customFormat="1" ht="15.6">
      <c r="A3197" s="20"/>
      <c r="B3197" s="20"/>
      <c r="C3197" s="20"/>
      <c r="D3197" s="20"/>
      <c r="E3197" s="20"/>
      <c r="F3197" s="20"/>
      <c r="G3197" s="185" t="s">
        <v>21</v>
      </c>
      <c r="H3197" s="185" t="s">
        <v>126</v>
      </c>
      <c r="I3197" s="186">
        <v>23.6</v>
      </c>
      <c r="J3197" s="740">
        <v>10.199999999999999</v>
      </c>
      <c r="K3197" s="741">
        <v>3</v>
      </c>
      <c r="L3197" s="100">
        <f t="shared" si="563"/>
        <v>0.72215999999999991</v>
      </c>
      <c r="M3197" s="20"/>
      <c r="N3197" s="20"/>
      <c r="O3197" s="23">
        <v>10</v>
      </c>
      <c r="P3197" s="20"/>
      <c r="Q3197" s="155"/>
      <c r="R3197" s="155"/>
      <c r="S3197" s="497">
        <f>2+1</f>
        <v>3</v>
      </c>
      <c r="T3197" s="126">
        <f t="shared" si="562"/>
        <v>0.72215999999999991</v>
      </c>
    </row>
    <row r="3198" spans="1:21" s="497" customFormat="1" ht="15.6">
      <c r="A3198" s="20"/>
      <c r="B3198" s="20"/>
      <c r="C3198" s="20"/>
      <c r="D3198" s="20"/>
      <c r="E3198" s="20"/>
      <c r="F3198" s="20"/>
      <c r="G3198" s="185" t="s">
        <v>21</v>
      </c>
      <c r="H3198" s="185" t="s">
        <v>126</v>
      </c>
      <c r="I3198" s="186">
        <v>23.6</v>
      </c>
      <c r="J3198" s="740">
        <v>10.199999999999999</v>
      </c>
      <c r="K3198" s="741">
        <v>4</v>
      </c>
      <c r="L3198" s="100">
        <f t="shared" si="563"/>
        <v>0.96287999999999996</v>
      </c>
      <c r="M3198" s="20"/>
      <c r="N3198" s="20"/>
      <c r="O3198" s="23">
        <v>10.1</v>
      </c>
      <c r="P3198" s="20"/>
      <c r="Q3198" s="155"/>
      <c r="R3198" s="155"/>
      <c r="S3198" s="497">
        <f>3+1</f>
        <v>4</v>
      </c>
      <c r="T3198" s="126">
        <f t="shared" si="562"/>
        <v>0.96287999999999996</v>
      </c>
    </row>
    <row r="3199" spans="1:21" s="497" customFormat="1" ht="15.6">
      <c r="A3199" s="20"/>
      <c r="B3199" s="20"/>
      <c r="C3199" s="20"/>
      <c r="D3199" s="20"/>
      <c r="E3199" s="20"/>
      <c r="F3199" s="20"/>
      <c r="G3199" s="185" t="s">
        <v>21</v>
      </c>
      <c r="H3199" s="185" t="s">
        <v>126</v>
      </c>
      <c r="I3199" s="186">
        <v>23.6</v>
      </c>
      <c r="J3199" s="740">
        <v>10.199999999999999</v>
      </c>
      <c r="K3199" s="741">
        <v>5</v>
      </c>
      <c r="L3199" s="100">
        <f t="shared" si="563"/>
        <v>1.2036</v>
      </c>
      <c r="M3199" s="20"/>
      <c r="N3199" s="20"/>
      <c r="O3199" s="20"/>
      <c r="P3199" s="20"/>
      <c r="Q3199" s="155"/>
      <c r="R3199" s="155"/>
      <c r="S3199" s="497">
        <v>5</v>
      </c>
      <c r="T3199" s="126">
        <f t="shared" si="562"/>
        <v>1.2036000000000002</v>
      </c>
    </row>
    <row r="3200" spans="1:21" s="497" customFormat="1" ht="15.6">
      <c r="A3200" s="20"/>
      <c r="B3200" s="20"/>
      <c r="C3200" s="20"/>
      <c r="D3200" s="20"/>
      <c r="E3200" s="20"/>
      <c r="F3200" s="20"/>
      <c r="G3200" s="185" t="s">
        <v>21</v>
      </c>
      <c r="H3200" s="185" t="s">
        <v>126</v>
      </c>
      <c r="I3200" s="186">
        <v>23.6</v>
      </c>
      <c r="J3200" s="740">
        <v>10.6</v>
      </c>
      <c r="K3200" s="741">
        <v>8</v>
      </c>
      <c r="L3200" s="100">
        <f t="shared" si="563"/>
        <v>2.0012799999999999</v>
      </c>
      <c r="M3200" s="20"/>
      <c r="N3200" s="20"/>
      <c r="O3200" s="20"/>
      <c r="P3200" s="20"/>
      <c r="Q3200" s="155"/>
      <c r="R3200" s="155"/>
      <c r="S3200" s="497">
        <v>1</v>
      </c>
      <c r="T3200" s="126">
        <f t="shared" si="562"/>
        <v>0.25015999999999999</v>
      </c>
    </row>
    <row r="3201" spans="1:22" s="497" customFormat="1" ht="15.6">
      <c r="A3201" s="20"/>
      <c r="B3201" s="20"/>
      <c r="C3201" s="20"/>
      <c r="D3201" s="20"/>
      <c r="E3201" s="20"/>
      <c r="F3201" s="20"/>
      <c r="G3201" s="185" t="s">
        <v>21</v>
      </c>
      <c r="H3201" s="185" t="s">
        <v>126</v>
      </c>
      <c r="I3201" s="186">
        <v>23.6</v>
      </c>
      <c r="J3201" s="740">
        <v>11.3</v>
      </c>
      <c r="K3201" s="741">
        <v>8</v>
      </c>
      <c r="L3201" s="100">
        <f t="shared" si="563"/>
        <v>2.1334400000000002</v>
      </c>
      <c r="M3201" s="20"/>
      <c r="N3201" s="20"/>
      <c r="O3201" s="20"/>
      <c r="P3201" s="20"/>
      <c r="Q3201" s="155"/>
      <c r="R3201" s="155"/>
      <c r="S3201" s="497">
        <f>1+1+1</f>
        <v>3</v>
      </c>
      <c r="T3201" s="126">
        <f t="shared" si="562"/>
        <v>0.8000400000000002</v>
      </c>
    </row>
    <row r="3202" spans="1:22" s="497" customFormat="1" ht="15.6">
      <c r="A3202" s="20"/>
      <c r="B3202" s="20"/>
      <c r="C3202" s="20"/>
      <c r="D3202" s="20"/>
      <c r="E3202" s="20"/>
      <c r="F3202" s="20"/>
      <c r="G3202" s="185" t="s">
        <v>21</v>
      </c>
      <c r="H3202" s="185" t="s">
        <v>126</v>
      </c>
      <c r="I3202" s="186">
        <v>23.6</v>
      </c>
      <c r="J3202" s="740">
        <v>11.9</v>
      </c>
      <c r="K3202" s="741">
        <v>11</v>
      </c>
      <c r="L3202" s="100">
        <f t="shared" si="563"/>
        <v>3.0892400000000002</v>
      </c>
      <c r="M3202" s="20"/>
      <c r="N3202" s="20"/>
      <c r="O3202" s="20"/>
      <c r="P3202" s="20"/>
      <c r="Q3202" s="155"/>
      <c r="R3202" s="155"/>
      <c r="S3202" s="497">
        <v>4</v>
      </c>
      <c r="T3202" s="126">
        <f t="shared" si="562"/>
        <v>1.1233600000000001</v>
      </c>
    </row>
    <row r="3203" spans="1:22" s="497" customFormat="1" ht="15.6">
      <c r="A3203" s="20"/>
      <c r="B3203" s="20"/>
      <c r="C3203" s="20"/>
      <c r="D3203" s="20"/>
      <c r="E3203" s="20"/>
      <c r="F3203" s="20"/>
      <c r="G3203" s="20"/>
      <c r="H3203" s="20"/>
      <c r="I3203" s="131"/>
      <c r="J3203" s="740"/>
      <c r="K3203" s="741">
        <f>SUM(K3192:K3202)</f>
        <v>80</v>
      </c>
      <c r="L3203" s="740">
        <f>SUM(L3192:L3202)</f>
        <v>19.00272</v>
      </c>
      <c r="M3203" s="20"/>
      <c r="N3203" s="20"/>
      <c r="O3203" s="20"/>
      <c r="P3203" s="20"/>
      <c r="Q3203" s="20"/>
      <c r="R3203" s="20"/>
      <c r="S3203" s="741">
        <f>SUM(S3192:S3202)</f>
        <v>47</v>
      </c>
      <c r="T3203" s="740">
        <f>SUM(T3192:T3202)</f>
        <v>10.9504</v>
      </c>
    </row>
    <row r="3204" spans="1:22" s="497" customFormat="1" ht="15.6">
      <c r="A3204" s="20"/>
      <c r="B3204" s="20"/>
      <c r="C3204" s="20"/>
      <c r="D3204" s="20"/>
      <c r="E3204" s="20"/>
      <c r="F3204" s="20"/>
      <c r="G3204" s="20"/>
      <c r="H3204" s="20"/>
      <c r="I3204" s="131"/>
      <c r="J3204" s="20"/>
      <c r="K3204" s="211"/>
      <c r="L3204" s="131"/>
      <c r="M3204" s="20"/>
      <c r="N3204" s="20"/>
      <c r="O3204" s="20"/>
      <c r="P3204" s="20"/>
      <c r="Q3204" s="155"/>
      <c r="R3204" s="155"/>
    </row>
    <row r="3205" spans="1:22" s="497" customFormat="1" ht="15.6">
      <c r="A3205" s="21" t="s">
        <v>332</v>
      </c>
      <c r="B3205" s="21" t="s">
        <v>341</v>
      </c>
      <c r="C3205" s="21" t="s">
        <v>19</v>
      </c>
      <c r="D3205" s="21" t="s">
        <v>20</v>
      </c>
      <c r="E3205" s="246" t="s">
        <v>51</v>
      </c>
      <c r="F3205" s="22">
        <v>14</v>
      </c>
      <c r="G3205" s="20" t="s">
        <v>21</v>
      </c>
      <c r="H3205" s="143" t="s">
        <v>125</v>
      </c>
      <c r="I3205" s="115">
        <v>21.7</v>
      </c>
      <c r="J3205" s="740">
        <v>8.5</v>
      </c>
      <c r="K3205" s="741">
        <v>22</v>
      </c>
      <c r="L3205" s="100">
        <f>(I3205*J3205*K3205/1000)</f>
        <v>4.0579000000000001</v>
      </c>
      <c r="M3205" s="20"/>
      <c r="N3205" s="20"/>
      <c r="O3205" s="24"/>
      <c r="P3205" s="20"/>
      <c r="Q3205" s="155"/>
      <c r="R3205" s="155"/>
      <c r="S3205" s="497" t="s">
        <v>435</v>
      </c>
    </row>
    <row r="3206" spans="1:22" s="497" customFormat="1" ht="15.6">
      <c r="A3206" s="20"/>
      <c r="B3206" s="742" t="s">
        <v>52</v>
      </c>
      <c r="C3206" s="20"/>
      <c r="D3206" s="20"/>
      <c r="E3206" s="20"/>
      <c r="F3206" s="20"/>
      <c r="G3206" s="20" t="s">
        <v>21</v>
      </c>
      <c r="H3206" s="20" t="s">
        <v>125</v>
      </c>
      <c r="I3206" s="115">
        <v>21.7</v>
      </c>
      <c r="J3206" s="740">
        <v>9.3000000000000007</v>
      </c>
      <c r="K3206" s="741">
        <v>4</v>
      </c>
      <c r="L3206" s="100">
        <f>(I3206*J3206*K3206/1000)</f>
        <v>0.80723999999999996</v>
      </c>
      <c r="M3206" s="20"/>
      <c r="N3206" s="20"/>
      <c r="O3206" s="24">
        <v>8.9</v>
      </c>
      <c r="P3206" s="20"/>
      <c r="Q3206" s="155"/>
      <c r="R3206" s="155"/>
    </row>
    <row r="3207" spans="1:22" s="497" customFormat="1" ht="15.6">
      <c r="A3207" s="20"/>
      <c r="B3207" s="20"/>
      <c r="C3207" s="20"/>
      <c r="D3207" s="20"/>
      <c r="E3207" s="20"/>
      <c r="F3207" s="20"/>
      <c r="G3207" s="20" t="s">
        <v>21</v>
      </c>
      <c r="H3207" s="20" t="s">
        <v>125</v>
      </c>
      <c r="I3207" s="115">
        <v>21.7</v>
      </c>
      <c r="J3207" s="740">
        <v>9.3000000000000007</v>
      </c>
      <c r="K3207" s="741">
        <v>4</v>
      </c>
      <c r="L3207" s="100">
        <f>(I3207*J3207*K3207/1000)</f>
        <v>0.80723999999999996</v>
      </c>
      <c r="M3207" s="20"/>
      <c r="N3207" s="20"/>
      <c r="O3207" s="20"/>
      <c r="P3207" s="20"/>
      <c r="Q3207" s="155"/>
      <c r="R3207" s="155"/>
    </row>
    <row r="3208" spans="1:22" s="497" customFormat="1" ht="15.6">
      <c r="A3208" s="20"/>
      <c r="B3208" s="20"/>
      <c r="C3208" s="20"/>
      <c r="D3208" s="20"/>
      <c r="E3208" s="20"/>
      <c r="F3208" s="20"/>
      <c r="G3208" s="20" t="s">
        <v>21</v>
      </c>
      <c r="H3208" s="20" t="s">
        <v>125</v>
      </c>
      <c r="I3208" s="115">
        <v>21.7</v>
      </c>
      <c r="J3208" s="740">
        <v>11.5</v>
      </c>
      <c r="K3208" s="741">
        <v>4</v>
      </c>
      <c r="L3208" s="100">
        <f>(I3208*J3208*K3208/1000)</f>
        <v>0.99819999999999998</v>
      </c>
      <c r="M3208" s="20"/>
      <c r="N3208" s="20"/>
      <c r="O3208" s="20"/>
      <c r="P3208" s="20"/>
      <c r="Q3208" s="155"/>
      <c r="R3208" s="155"/>
    </row>
    <row r="3209" spans="1:22" s="497" customFormat="1" ht="15.6">
      <c r="A3209" s="20"/>
      <c r="B3209" s="20"/>
      <c r="C3209" s="20"/>
      <c r="D3209" s="20"/>
      <c r="E3209" s="20"/>
      <c r="F3209" s="20"/>
      <c r="G3209" s="20"/>
      <c r="H3209" s="20"/>
      <c r="I3209" s="131"/>
      <c r="J3209" s="740"/>
      <c r="K3209" s="741">
        <f>SUM(K3205:K3208)</f>
        <v>34</v>
      </c>
      <c r="L3209" s="740">
        <f>SUM(L3205:L3208)</f>
        <v>6.6705800000000002</v>
      </c>
      <c r="M3209" s="20"/>
      <c r="N3209" s="20"/>
      <c r="O3209" s="20"/>
      <c r="P3209" s="20"/>
      <c r="Q3209" s="155"/>
      <c r="R3209" s="155"/>
    </row>
    <row r="3210" spans="1:22" s="497" customFormat="1" ht="15.6">
      <c r="A3210" s="20"/>
      <c r="B3210" s="20"/>
      <c r="C3210" s="20"/>
      <c r="D3210" s="20"/>
      <c r="E3210" s="20"/>
      <c r="F3210" s="20"/>
      <c r="G3210" s="20"/>
      <c r="H3210" s="20"/>
      <c r="I3210" s="131"/>
      <c r="J3210" s="740"/>
      <c r="K3210" s="741"/>
      <c r="L3210" s="740"/>
      <c r="M3210" s="20"/>
      <c r="N3210" s="20"/>
      <c r="O3210" s="20"/>
      <c r="P3210" s="20"/>
      <c r="Q3210" s="155"/>
      <c r="R3210" s="155"/>
    </row>
    <row r="3211" spans="1:22" s="497" customFormat="1" ht="15.6">
      <c r="A3211" s="20"/>
      <c r="B3211" s="20"/>
      <c r="C3211" s="20"/>
      <c r="D3211" s="20"/>
      <c r="E3211" s="20"/>
      <c r="F3211" s="20"/>
      <c r="G3211" s="20"/>
      <c r="H3211" s="20"/>
      <c r="I3211" s="131"/>
      <c r="J3211" s="740"/>
      <c r="K3211" s="741"/>
      <c r="L3211" s="740"/>
      <c r="M3211" s="20"/>
      <c r="N3211" s="20"/>
      <c r="O3211" s="20"/>
      <c r="P3211" s="20"/>
      <c r="Q3211" s="155"/>
      <c r="R3211" s="155"/>
    </row>
    <row r="3212" spans="1:22" s="497" customFormat="1" ht="15.6">
      <c r="A3212" s="20"/>
      <c r="B3212" s="20"/>
      <c r="C3212" s="20"/>
      <c r="D3212" s="20"/>
      <c r="E3212" s="20"/>
      <c r="F3212" s="20"/>
      <c r="G3212" s="20"/>
      <c r="H3212" s="20"/>
      <c r="I3212" s="131"/>
      <c r="J3212" s="20"/>
      <c r="K3212" s="211"/>
      <c r="L3212" s="131"/>
      <c r="M3212" s="20"/>
      <c r="N3212" s="20"/>
      <c r="O3212" s="20"/>
      <c r="P3212" s="20"/>
      <c r="Q3212" s="155"/>
      <c r="R3212" s="155"/>
    </row>
    <row r="3213" spans="1:22" s="497" customFormat="1" ht="15.6">
      <c r="A3213" s="21" t="s">
        <v>332</v>
      </c>
      <c r="B3213" s="21" t="s">
        <v>341</v>
      </c>
      <c r="C3213" s="21" t="s">
        <v>19</v>
      </c>
      <c r="D3213" s="21" t="s">
        <v>20</v>
      </c>
      <c r="E3213" s="246" t="s">
        <v>51</v>
      </c>
      <c r="F3213" s="22">
        <v>14</v>
      </c>
      <c r="G3213" s="20" t="s">
        <v>21</v>
      </c>
      <c r="H3213" s="143" t="s">
        <v>124</v>
      </c>
      <c r="I3213" s="115">
        <v>19.8</v>
      </c>
      <c r="J3213" s="740">
        <v>6.35</v>
      </c>
      <c r="K3213" s="741">
        <v>8</v>
      </c>
      <c r="L3213" s="100">
        <f t="shared" ref="L3213:L3221" si="564">(I3213*J3213*K3213/1000)</f>
        <v>1.0058400000000001</v>
      </c>
      <c r="M3213" s="20">
        <v>8</v>
      </c>
      <c r="N3213" s="23">
        <f t="shared" ref="N3213:N3214" si="565">J3213*M3213*I3213/1000</f>
        <v>1.0058400000000001</v>
      </c>
      <c r="O3213" s="20"/>
      <c r="P3213" s="20"/>
      <c r="Q3213" s="155"/>
      <c r="R3213" s="155"/>
      <c r="S3213" s="497">
        <v>1</v>
      </c>
      <c r="T3213" s="126">
        <f>J3213*S3213*I3213/1000</f>
        <v>0.12573000000000001</v>
      </c>
      <c r="U3213" s="497" t="s">
        <v>435</v>
      </c>
    </row>
    <row r="3214" spans="1:22" s="497" customFormat="1" ht="15.6">
      <c r="A3214" s="20"/>
      <c r="B3214" s="742" t="s">
        <v>52</v>
      </c>
      <c r="C3214" s="20"/>
      <c r="D3214" s="20"/>
      <c r="E3214" s="20"/>
      <c r="F3214" s="20"/>
      <c r="G3214" s="20" t="s">
        <v>21</v>
      </c>
      <c r="H3214" s="20" t="s">
        <v>124</v>
      </c>
      <c r="I3214" s="115">
        <v>19.8</v>
      </c>
      <c r="J3214" s="740">
        <v>9</v>
      </c>
      <c r="K3214" s="741">
        <v>1</v>
      </c>
      <c r="L3214" s="100">
        <f t="shared" si="564"/>
        <v>0.17820000000000003</v>
      </c>
      <c r="M3214" s="20">
        <v>1</v>
      </c>
      <c r="N3214" s="23">
        <f t="shared" si="565"/>
        <v>0.17820000000000003</v>
      </c>
      <c r="O3214" s="24">
        <v>7.5</v>
      </c>
      <c r="P3214" s="20"/>
      <c r="Q3214" s="155"/>
      <c r="R3214" s="155"/>
      <c r="U3214" s="497">
        <v>4</v>
      </c>
      <c r="V3214" s="126">
        <f>J3214*U3214*I3214/1000</f>
        <v>0.7128000000000001</v>
      </c>
    </row>
    <row r="3215" spans="1:22" s="497" customFormat="1" ht="15.6">
      <c r="A3215" s="20"/>
      <c r="B3215" s="20"/>
      <c r="C3215" s="20"/>
      <c r="D3215" s="20"/>
      <c r="E3215" s="20"/>
      <c r="F3215" s="20"/>
      <c r="G3215" s="20" t="s">
        <v>21</v>
      </c>
      <c r="H3215" s="20" t="s">
        <v>124</v>
      </c>
      <c r="I3215" s="115">
        <v>19.8</v>
      </c>
      <c r="J3215" s="740">
        <v>9</v>
      </c>
      <c r="K3215" s="741">
        <v>20</v>
      </c>
      <c r="L3215" s="100">
        <f t="shared" si="564"/>
        <v>3.5640000000000005</v>
      </c>
      <c r="M3215" s="20"/>
      <c r="N3215" s="20"/>
      <c r="O3215" s="24"/>
      <c r="P3215" s="20"/>
      <c r="Q3215" s="155"/>
      <c r="R3215" s="155"/>
    </row>
    <row r="3216" spans="1:22" s="497" customFormat="1" ht="15.6">
      <c r="A3216" s="20"/>
      <c r="B3216" s="20"/>
      <c r="C3216" s="20"/>
      <c r="D3216" s="20"/>
      <c r="E3216" s="20"/>
      <c r="F3216" s="20"/>
      <c r="G3216" s="20" t="s">
        <v>21</v>
      </c>
      <c r="H3216" s="20" t="s">
        <v>124</v>
      </c>
      <c r="I3216" s="115">
        <v>19.8</v>
      </c>
      <c r="J3216" s="740">
        <v>9.6999999999999993</v>
      </c>
      <c r="K3216" s="741">
        <v>12</v>
      </c>
      <c r="L3216" s="100">
        <f t="shared" si="564"/>
        <v>2.3047200000000001</v>
      </c>
      <c r="M3216" s="20"/>
      <c r="N3216" s="20"/>
      <c r="O3216" s="24"/>
      <c r="P3216" s="20"/>
      <c r="Q3216" s="155"/>
      <c r="R3216" s="155"/>
      <c r="U3216" s="497">
        <v>6</v>
      </c>
      <c r="V3216" s="126">
        <f t="shared" ref="V3216:V3221" si="566">J3216*U3216*I3216/1000</f>
        <v>1.1523599999999998</v>
      </c>
    </row>
    <row r="3217" spans="1:22" s="497" customFormat="1" ht="15.6">
      <c r="A3217" s="20"/>
      <c r="B3217" s="20"/>
      <c r="C3217" s="20"/>
      <c r="D3217" s="20"/>
      <c r="E3217" s="20"/>
      <c r="F3217" s="20"/>
      <c r="G3217" s="20" t="s">
        <v>21</v>
      </c>
      <c r="H3217" s="20" t="s">
        <v>124</v>
      </c>
      <c r="I3217" s="115">
        <v>19.8</v>
      </c>
      <c r="J3217" s="740">
        <v>10</v>
      </c>
      <c r="K3217" s="741">
        <v>38</v>
      </c>
      <c r="L3217" s="100">
        <f t="shared" si="564"/>
        <v>7.524</v>
      </c>
      <c r="M3217" s="20"/>
      <c r="N3217" s="20"/>
      <c r="O3217" s="24"/>
      <c r="P3217" s="20"/>
      <c r="Q3217" s="155"/>
      <c r="R3217" s="155"/>
      <c r="S3217" s="497">
        <v>3</v>
      </c>
      <c r="T3217" s="126">
        <f>J3217*S3217*I3217/1000</f>
        <v>0.59399999999999997</v>
      </c>
      <c r="U3217" s="497">
        <v>11</v>
      </c>
      <c r="V3217" s="126">
        <f t="shared" si="566"/>
        <v>2.1779999999999999</v>
      </c>
    </row>
    <row r="3218" spans="1:22" s="497" customFormat="1" ht="15.6">
      <c r="A3218" s="20"/>
      <c r="B3218" s="20"/>
      <c r="C3218" s="20"/>
      <c r="D3218" s="20"/>
      <c r="E3218" s="20"/>
      <c r="F3218" s="20"/>
      <c r="G3218" s="20" t="s">
        <v>21</v>
      </c>
      <c r="H3218" s="20" t="s">
        <v>124</v>
      </c>
      <c r="I3218" s="115">
        <v>19.8</v>
      </c>
      <c r="J3218" s="740">
        <v>11</v>
      </c>
      <c r="K3218" s="741">
        <v>3</v>
      </c>
      <c r="L3218" s="100">
        <f t="shared" si="564"/>
        <v>0.65340000000000009</v>
      </c>
      <c r="M3218" s="20"/>
      <c r="N3218" s="20"/>
      <c r="O3218" s="24">
        <v>10.5</v>
      </c>
      <c r="P3218" s="20"/>
      <c r="Q3218" s="155"/>
      <c r="R3218" s="155"/>
      <c r="U3218" s="497">
        <v>2</v>
      </c>
      <c r="V3218" s="126">
        <f t="shared" si="566"/>
        <v>0.43560000000000004</v>
      </c>
    </row>
    <row r="3219" spans="1:22" s="497" customFormat="1" ht="15.6">
      <c r="A3219" s="20"/>
      <c r="B3219" s="20"/>
      <c r="C3219" s="20"/>
      <c r="D3219" s="20"/>
      <c r="E3219" s="20"/>
      <c r="F3219" s="20"/>
      <c r="G3219" s="20" t="s">
        <v>21</v>
      </c>
      <c r="H3219" s="20" t="s">
        <v>124</v>
      </c>
      <c r="I3219" s="115">
        <v>19.8</v>
      </c>
      <c r="J3219" s="740">
        <v>11</v>
      </c>
      <c r="K3219" s="741">
        <v>47</v>
      </c>
      <c r="L3219" s="100">
        <f t="shared" si="564"/>
        <v>10.236600000000001</v>
      </c>
      <c r="M3219" s="20"/>
      <c r="N3219" s="20"/>
      <c r="O3219" s="24"/>
      <c r="P3219" s="20"/>
      <c r="Q3219" s="155"/>
      <c r="R3219" s="155"/>
      <c r="S3219" s="497">
        <f>11+9</f>
        <v>20</v>
      </c>
      <c r="T3219" s="126">
        <f t="shared" ref="T3219:T3220" si="567">J3219*S3219*I3219/1000</f>
        <v>4.3559999999999999</v>
      </c>
      <c r="U3219" s="497">
        <f>15+6</f>
        <v>21</v>
      </c>
      <c r="V3219" s="126">
        <f t="shared" si="566"/>
        <v>4.5738000000000003</v>
      </c>
    </row>
    <row r="3220" spans="1:22" s="497" customFormat="1" ht="15.6">
      <c r="A3220" s="20"/>
      <c r="B3220" s="20"/>
      <c r="C3220" s="20"/>
      <c r="D3220" s="20"/>
      <c r="E3220" s="20"/>
      <c r="F3220" s="20"/>
      <c r="G3220" s="20" t="s">
        <v>21</v>
      </c>
      <c r="H3220" s="20" t="s">
        <v>124</v>
      </c>
      <c r="I3220" s="115">
        <v>19.8</v>
      </c>
      <c r="J3220" s="740">
        <v>11.8</v>
      </c>
      <c r="K3220" s="741">
        <v>15</v>
      </c>
      <c r="L3220" s="100">
        <f t="shared" si="564"/>
        <v>3.5046000000000004</v>
      </c>
      <c r="M3220" s="20"/>
      <c r="N3220" s="20"/>
      <c r="O3220" s="24"/>
      <c r="P3220" s="20"/>
      <c r="Q3220" s="155"/>
      <c r="R3220" s="155"/>
      <c r="S3220" s="497">
        <v>11</v>
      </c>
      <c r="T3220" s="126">
        <f t="shared" si="567"/>
        <v>2.5700400000000005</v>
      </c>
      <c r="U3220" s="497">
        <v>2</v>
      </c>
      <c r="V3220" s="126">
        <f t="shared" si="566"/>
        <v>0.46728000000000003</v>
      </c>
    </row>
    <row r="3221" spans="1:22" s="497" customFormat="1" ht="15.6">
      <c r="A3221" s="20"/>
      <c r="B3221" s="20"/>
      <c r="C3221" s="20"/>
      <c r="D3221" s="20"/>
      <c r="E3221" s="20"/>
      <c r="F3221" s="20"/>
      <c r="G3221" s="20" t="s">
        <v>21</v>
      </c>
      <c r="H3221" s="20" t="s">
        <v>124</v>
      </c>
      <c r="I3221" s="115">
        <v>19.8</v>
      </c>
      <c r="J3221" s="740">
        <v>12</v>
      </c>
      <c r="K3221" s="741">
        <v>34</v>
      </c>
      <c r="L3221" s="100">
        <f t="shared" si="564"/>
        <v>8.0784000000000002</v>
      </c>
      <c r="M3221" s="20"/>
      <c r="N3221" s="20"/>
      <c r="O3221" s="24">
        <v>11</v>
      </c>
      <c r="P3221" s="20">
        <f>J3221*O3221*I3221/1000</f>
        <v>2.6135999999999999</v>
      </c>
      <c r="Q3221" s="155"/>
      <c r="R3221" s="155"/>
      <c r="U3221" s="497">
        <v>10</v>
      </c>
      <c r="V3221" s="126">
        <f t="shared" si="566"/>
        <v>2.3759999999999999</v>
      </c>
    </row>
    <row r="3222" spans="1:22" s="497" customFormat="1" ht="15.6">
      <c r="A3222" s="20"/>
      <c r="B3222" s="20"/>
      <c r="C3222" s="20"/>
      <c r="D3222" s="20"/>
      <c r="E3222" s="20"/>
      <c r="F3222" s="20"/>
      <c r="G3222" s="20"/>
      <c r="H3222" s="20"/>
      <c r="I3222" s="131"/>
      <c r="J3222" s="20"/>
      <c r="K3222" s="211">
        <f t="shared" ref="K3222" si="568">SUM(K3213:K3221)</f>
        <v>178</v>
      </c>
      <c r="L3222" s="124">
        <f>SUM(L3213:L3221)</f>
        <v>37.049759999999999</v>
      </c>
      <c r="M3222" s="211">
        <f t="shared" ref="M3222" si="569">SUM(M3213:M3221)</f>
        <v>9</v>
      </c>
      <c r="N3222" s="124">
        <f>SUM(N3213:N3221)</f>
        <v>1.18404</v>
      </c>
      <c r="O3222" s="24"/>
      <c r="P3222" s="20"/>
      <c r="Q3222" s="20"/>
      <c r="R3222" s="20"/>
      <c r="S3222" s="211">
        <f t="shared" ref="S3222:U3222" si="570">SUM(S3213:S3221)</f>
        <v>35</v>
      </c>
      <c r="T3222" s="124">
        <f>SUM(T3213:T3221)</f>
        <v>7.6457700000000006</v>
      </c>
      <c r="U3222" s="211">
        <f t="shared" si="570"/>
        <v>56</v>
      </c>
      <c r="V3222" s="124">
        <f>SUM(V3213:V3221)</f>
        <v>11.89584</v>
      </c>
    </row>
    <row r="3223" spans="1:22" s="497" customFormat="1" ht="15.6">
      <c r="A3223" s="20"/>
      <c r="B3223" s="20"/>
      <c r="C3223" s="20"/>
      <c r="D3223" s="20"/>
      <c r="E3223" s="20"/>
      <c r="F3223" s="20"/>
      <c r="G3223" s="20"/>
      <c r="H3223" s="20"/>
      <c r="I3223" s="131"/>
      <c r="J3223" s="20"/>
      <c r="K3223" s="211"/>
      <c r="L3223" s="131"/>
      <c r="M3223" s="20"/>
      <c r="N3223" s="20"/>
      <c r="O3223" s="24"/>
      <c r="P3223" s="20"/>
      <c r="Q3223" s="155"/>
      <c r="R3223" s="155"/>
    </row>
    <row r="3224" spans="1:22" s="497" customFormat="1" ht="15.6">
      <c r="A3224" s="20"/>
      <c r="B3224" s="20"/>
      <c r="C3224" s="20"/>
      <c r="D3224" s="20"/>
      <c r="E3224" s="20"/>
      <c r="F3224" s="20"/>
      <c r="G3224" s="20"/>
      <c r="H3224" s="20"/>
      <c r="I3224" s="131"/>
      <c r="J3224" s="20"/>
      <c r="K3224" s="211"/>
      <c r="L3224" s="131"/>
      <c r="M3224" s="20"/>
      <c r="N3224" s="20"/>
      <c r="O3224" s="20"/>
      <c r="P3224" s="20"/>
      <c r="Q3224" s="155"/>
      <c r="R3224" s="155"/>
    </row>
    <row r="3225" spans="1:22" s="497" customFormat="1" ht="15.6">
      <c r="A3225" s="20"/>
      <c r="B3225" s="20"/>
      <c r="C3225" s="20"/>
      <c r="D3225" s="20"/>
      <c r="E3225" s="20"/>
      <c r="F3225" s="20"/>
      <c r="G3225" s="20"/>
      <c r="H3225" s="20"/>
      <c r="I3225" s="131"/>
      <c r="J3225" s="20"/>
      <c r="K3225" s="211"/>
      <c r="L3225" s="131"/>
      <c r="M3225" s="20"/>
      <c r="N3225" s="20"/>
      <c r="O3225" s="20"/>
      <c r="P3225" s="20"/>
      <c r="Q3225" s="155"/>
      <c r="R3225" s="155"/>
    </row>
    <row r="3226" spans="1:22" s="497" customFormat="1" ht="15.6">
      <c r="A3226" s="20"/>
      <c r="B3226" s="20"/>
      <c r="C3226" s="20"/>
      <c r="D3226" s="20"/>
      <c r="E3226" s="20"/>
      <c r="F3226" s="20"/>
      <c r="G3226" s="20"/>
      <c r="H3226" s="20"/>
      <c r="I3226" s="131"/>
      <c r="J3226" s="20"/>
      <c r="K3226" s="211"/>
      <c r="L3226" s="131"/>
      <c r="M3226" s="20"/>
      <c r="N3226" s="20"/>
      <c r="O3226" s="20"/>
      <c r="P3226" s="20"/>
      <c r="Q3226" s="155"/>
      <c r="R3226" s="155"/>
    </row>
    <row r="3227" spans="1:22" s="497" customFormat="1" ht="15.6">
      <c r="A3227" s="21" t="s">
        <v>332</v>
      </c>
      <c r="B3227" s="21" t="s">
        <v>341</v>
      </c>
      <c r="C3227" s="21" t="s">
        <v>19</v>
      </c>
      <c r="D3227" s="21" t="s">
        <v>155</v>
      </c>
      <c r="E3227" s="21" t="s">
        <v>247</v>
      </c>
      <c r="F3227" s="22">
        <v>14</v>
      </c>
      <c r="G3227" s="20" t="s">
        <v>61</v>
      </c>
      <c r="H3227" s="143" t="s">
        <v>124</v>
      </c>
      <c r="I3227" s="115">
        <v>19.8</v>
      </c>
      <c r="J3227" s="740">
        <v>6.4</v>
      </c>
      <c r="K3227" s="741">
        <v>20</v>
      </c>
      <c r="L3227" s="739">
        <f>J3227*K3227*I3227/1000</f>
        <v>2.5344000000000002</v>
      </c>
      <c r="M3227" s="20"/>
      <c r="N3227" s="20"/>
      <c r="O3227" s="740">
        <v>6.35</v>
      </c>
      <c r="P3227" s="20"/>
      <c r="Q3227" s="155"/>
      <c r="R3227" s="155"/>
      <c r="S3227" s="497" t="s">
        <v>441</v>
      </c>
    </row>
    <row r="3228" spans="1:22" s="497" customFormat="1" ht="15.6">
      <c r="A3228" s="20"/>
      <c r="B3228" s="742" t="s">
        <v>52</v>
      </c>
      <c r="C3228" s="20"/>
      <c r="D3228" s="20"/>
      <c r="E3228" s="20"/>
      <c r="F3228" s="20"/>
      <c r="G3228" s="20" t="s">
        <v>61</v>
      </c>
      <c r="H3228" s="20" t="s">
        <v>124</v>
      </c>
      <c r="I3228" s="115">
        <v>19.8</v>
      </c>
      <c r="J3228" s="740">
        <v>6.4</v>
      </c>
      <c r="K3228" s="741">
        <v>5</v>
      </c>
      <c r="L3228" s="739">
        <f>J3228*K3228*I3228/1000</f>
        <v>0.63360000000000005</v>
      </c>
      <c r="M3228" s="20"/>
      <c r="N3228" s="20"/>
      <c r="O3228" s="20"/>
      <c r="P3228" s="20"/>
      <c r="Q3228" s="155"/>
      <c r="R3228" s="155"/>
    </row>
    <row r="3229" spans="1:22" s="497" customFormat="1" ht="15.6">
      <c r="A3229" s="20"/>
      <c r="B3229" s="20"/>
      <c r="C3229" s="20"/>
      <c r="D3229" s="20"/>
      <c r="E3229" s="20"/>
      <c r="F3229" s="20"/>
      <c r="G3229" s="20"/>
      <c r="H3229" s="20"/>
      <c r="I3229" s="115"/>
      <c r="J3229" s="23"/>
      <c r="K3229" s="25">
        <f t="shared" ref="K3229:M3229" si="571">SUM(K3227:K3228)</f>
        <v>25</v>
      </c>
      <c r="L3229" s="23">
        <f>SUM(L3227:L3228)</f>
        <v>3.1680000000000001</v>
      </c>
      <c r="M3229" s="25">
        <f t="shared" si="571"/>
        <v>0</v>
      </c>
      <c r="N3229" s="23">
        <f>SUM(N3227:N3228)</f>
        <v>0</v>
      </c>
      <c r="O3229" s="20"/>
      <c r="P3229" s="20"/>
      <c r="Q3229" s="155"/>
      <c r="R3229" s="155"/>
    </row>
    <row r="3230" spans="1:22" s="497" customFormat="1" ht="15.6">
      <c r="A3230" s="20"/>
      <c r="B3230" s="20"/>
      <c r="C3230" s="20"/>
      <c r="D3230" s="20"/>
      <c r="E3230" s="20"/>
      <c r="F3230" s="20"/>
      <c r="G3230" s="20"/>
      <c r="H3230" s="20"/>
      <c r="I3230" s="131"/>
      <c r="J3230" s="20"/>
      <c r="K3230" s="211"/>
      <c r="L3230" s="131"/>
      <c r="M3230" s="20"/>
      <c r="N3230" s="20"/>
      <c r="O3230" s="20"/>
      <c r="P3230" s="20"/>
      <c r="Q3230" s="155"/>
      <c r="R3230" s="155"/>
    </row>
    <row r="3231" spans="1:22" s="497" customFormat="1" ht="15.6">
      <c r="A3231" s="20"/>
      <c r="B3231" s="20"/>
      <c r="C3231" s="20"/>
      <c r="D3231" s="20"/>
      <c r="E3231" s="20"/>
      <c r="F3231" s="20"/>
      <c r="G3231" s="20"/>
      <c r="H3231" s="20"/>
      <c r="I3231" s="131"/>
      <c r="J3231" s="20"/>
      <c r="K3231" s="211"/>
      <c r="L3231" s="124">
        <f>+L3229+L3203+L3209+L3222+L3189+L3186+L3183</f>
        <v>69.868309999999994</v>
      </c>
      <c r="M3231" s="20"/>
      <c r="N3231" s="124">
        <f>+N3229+N3203+N3209+N3222+N3189+N3186+N3183</f>
        <v>5.1612900000000002</v>
      </c>
      <c r="O3231" s="20"/>
      <c r="P3231" s="20"/>
      <c r="Q3231" s="155"/>
      <c r="R3231" s="155"/>
    </row>
    <row r="3232" spans="1:22" s="497" customFormat="1" ht="15.6">
      <c r="A3232" s="20"/>
      <c r="B3232" s="20"/>
      <c r="C3232" s="20"/>
      <c r="D3232" s="20"/>
      <c r="E3232" s="20"/>
      <c r="F3232" s="20"/>
      <c r="G3232" s="20"/>
      <c r="H3232" s="20"/>
      <c r="I3232" s="131"/>
      <c r="J3232" s="20"/>
      <c r="K3232" s="211"/>
      <c r="L3232" s="131"/>
      <c r="M3232" s="20"/>
      <c r="N3232" s="20"/>
      <c r="O3232" s="20"/>
      <c r="P3232" s="20"/>
      <c r="Q3232" s="155"/>
      <c r="R3232" s="155"/>
    </row>
    <row r="3233" spans="1:18" s="497" customFormat="1" ht="15.6">
      <c r="A3233" s="20"/>
      <c r="B3233" s="20"/>
      <c r="C3233" s="20"/>
      <c r="D3233" s="20"/>
      <c r="E3233" s="20"/>
      <c r="F3233" s="20"/>
      <c r="G3233" s="20"/>
      <c r="H3233" s="20"/>
      <c r="I3233" s="131"/>
      <c r="J3233" s="20"/>
      <c r="K3233" s="211"/>
      <c r="L3233" s="131"/>
      <c r="M3233" s="20"/>
      <c r="N3233" s="20"/>
      <c r="O3233" s="20"/>
      <c r="P3233" s="20"/>
      <c r="Q3233" s="155"/>
      <c r="R3233" s="155"/>
    </row>
    <row r="3234" spans="1:18" ht="15.6">
      <c r="A3234" s="20"/>
      <c r="B3234" s="20"/>
      <c r="C3234" s="20"/>
      <c r="D3234" s="20"/>
      <c r="E3234" s="20"/>
      <c r="F3234" s="20"/>
      <c r="G3234" s="20"/>
      <c r="H3234" s="20"/>
      <c r="I3234" s="131"/>
      <c r="J3234" s="20"/>
      <c r="K3234" s="211"/>
      <c r="L3234" s="131"/>
      <c r="M3234" s="20"/>
      <c r="N3234" s="20"/>
      <c r="O3234" s="20"/>
      <c r="P3234" s="20"/>
      <c r="Q3234" s="155"/>
      <c r="R3234" s="155"/>
    </row>
    <row r="3235" spans="1:18" ht="15.6">
      <c r="A3235" s="20"/>
      <c r="B3235" s="20"/>
      <c r="C3235" s="20"/>
      <c r="D3235" s="20"/>
      <c r="E3235" s="20"/>
      <c r="F3235" s="20"/>
      <c r="G3235" s="20"/>
      <c r="H3235" s="20"/>
      <c r="I3235" s="131"/>
      <c r="J3235" s="20"/>
      <c r="K3235" s="211"/>
      <c r="L3235" s="124">
        <f>+L3177+L3173+L3155+L3231</f>
        <v>147.971823</v>
      </c>
      <c r="M3235" s="20"/>
      <c r="N3235" s="124">
        <f>+N3177+N3173+N3155+N3231</f>
        <v>11.179295</v>
      </c>
      <c r="O3235" s="20"/>
      <c r="P3235" s="20"/>
      <c r="Q3235" s="155"/>
      <c r="R3235" s="155"/>
    </row>
    <row r="3236" spans="1:18">
      <c r="A3236" s="10" t="s">
        <v>48</v>
      </c>
      <c r="B3236" s="10"/>
      <c r="C3236" s="11"/>
      <c r="D3236" s="11"/>
      <c r="E3236" s="11"/>
      <c r="F3236" s="92"/>
      <c r="G3236" s="11"/>
      <c r="H3236" s="92"/>
      <c r="I3236" s="13"/>
      <c r="J3236" s="11"/>
      <c r="K3236" s="202"/>
      <c r="L3236" s="2047" t="s">
        <v>0</v>
      </c>
      <c r="M3236" s="2047"/>
      <c r="N3236" s="2047"/>
      <c r="O3236" s="2048"/>
      <c r="P3236" s="2020"/>
      <c r="Q3236" s="142"/>
      <c r="R3236" s="142"/>
    </row>
    <row r="3237" spans="1:18">
      <c r="A3237" s="14" t="s">
        <v>1</v>
      </c>
      <c r="B3237" s="14"/>
      <c r="C3237" s="14"/>
      <c r="D3237" s="15" t="s">
        <v>2</v>
      </c>
      <c r="E3237" s="15"/>
      <c r="F3237" s="16"/>
      <c r="G3237" s="16"/>
      <c r="H3237" s="16"/>
      <c r="I3237" s="17"/>
      <c r="J3237" s="16"/>
      <c r="K3237" s="203" t="s">
        <v>3</v>
      </c>
      <c r="L3237" s="16"/>
      <c r="M3237" s="14"/>
      <c r="N3237" s="16"/>
      <c r="O3237" s="19"/>
      <c r="P3237" s="2020"/>
      <c r="Q3237" s="142"/>
      <c r="R3237" s="142"/>
    </row>
    <row r="3238" spans="1:18" ht="15.6">
      <c r="A3238" s="623" t="s">
        <v>22</v>
      </c>
      <c r="B3238" s="2021" t="s">
        <v>23</v>
      </c>
      <c r="C3238" s="2022"/>
      <c r="D3238" s="2023"/>
      <c r="E3238" s="623" t="s">
        <v>24</v>
      </c>
      <c r="F3238" s="2021" t="s">
        <v>25</v>
      </c>
      <c r="G3238" s="2023"/>
      <c r="H3238" s="2021" t="s">
        <v>26</v>
      </c>
      <c r="I3238" s="2022"/>
      <c r="J3238" s="2022"/>
      <c r="K3238" s="2023"/>
      <c r="L3238" s="2024" t="s">
        <v>27</v>
      </c>
      <c r="M3238" s="2024"/>
      <c r="N3238" s="2024"/>
      <c r="O3238" s="2021"/>
      <c r="P3238" s="2020"/>
      <c r="Q3238" s="142"/>
      <c r="R3238" s="142"/>
    </row>
    <row r="3239" spans="1:18" ht="15.6">
      <c r="A3239" s="38"/>
      <c r="B3239" s="2025"/>
      <c r="C3239" s="2026"/>
      <c r="D3239" s="2027"/>
      <c r="E3239" s="26"/>
      <c r="F3239" s="2025"/>
      <c r="G3239" s="2027"/>
      <c r="H3239" s="2025"/>
      <c r="I3239" s="2026"/>
      <c r="J3239" s="2026"/>
      <c r="K3239" s="2027"/>
      <c r="L3239" s="2025"/>
      <c r="M3239" s="2026"/>
      <c r="N3239" s="2026"/>
      <c r="O3239" s="2026"/>
      <c r="P3239" s="2020"/>
      <c r="Q3239" s="142"/>
      <c r="R3239" s="142"/>
    </row>
    <row r="3240" spans="1:18" ht="15.6">
      <c r="A3240" s="38"/>
      <c r="B3240" s="617"/>
      <c r="C3240" s="618"/>
      <c r="D3240" s="619"/>
      <c r="E3240" s="26"/>
      <c r="F3240" s="617"/>
      <c r="G3240" s="619"/>
      <c r="H3240" s="617"/>
      <c r="I3240" s="1856"/>
      <c r="J3240" s="618"/>
      <c r="K3240" s="204"/>
      <c r="L3240" s="617"/>
      <c r="M3240" s="618"/>
      <c r="N3240" s="618"/>
      <c r="O3240" s="618"/>
      <c r="P3240" s="2020"/>
      <c r="Q3240" s="142"/>
      <c r="R3240" s="142"/>
    </row>
    <row r="3241" spans="1:18" ht="15.6">
      <c r="A3241" s="38" t="s">
        <v>28</v>
      </c>
      <c r="B3241" s="2025" t="s">
        <v>139</v>
      </c>
      <c r="C3241" s="2026"/>
      <c r="D3241" s="2027"/>
      <c r="E3241" s="26">
        <f>+L3155-4.735+L3203</f>
        <v>69.506685000000004</v>
      </c>
      <c r="F3241" s="2025">
        <v>14</v>
      </c>
      <c r="G3241" s="2027"/>
      <c r="H3241" s="2025" t="s">
        <v>49</v>
      </c>
      <c r="I3241" s="2026"/>
      <c r="J3241" s="2026"/>
      <c r="K3241" s="2027"/>
      <c r="L3241" s="2025" t="s">
        <v>404</v>
      </c>
      <c r="M3241" s="2026"/>
      <c r="N3241" s="2026"/>
      <c r="O3241" s="2026"/>
      <c r="P3241" s="2020"/>
      <c r="Q3241" s="142"/>
      <c r="R3241" s="142"/>
    </row>
    <row r="3242" spans="1:18" s="497" customFormat="1" ht="15.6">
      <c r="A3242" s="38" t="s">
        <v>29</v>
      </c>
      <c r="B3242" s="2025" t="s">
        <v>140</v>
      </c>
      <c r="C3242" s="2026"/>
      <c r="D3242" s="2027"/>
      <c r="E3242" s="26">
        <f>+L3209</f>
        <v>6.6705800000000002</v>
      </c>
      <c r="F3242" s="2025">
        <v>14</v>
      </c>
      <c r="G3242" s="2027"/>
      <c r="H3242" s="2025" t="s">
        <v>49</v>
      </c>
      <c r="I3242" s="2026"/>
      <c r="J3242" s="2026"/>
      <c r="K3242" s="2027"/>
      <c r="L3242" s="2025" t="s">
        <v>404</v>
      </c>
      <c r="M3242" s="2026"/>
      <c r="N3242" s="2026"/>
      <c r="O3242" s="2026"/>
      <c r="P3242" s="2020"/>
      <c r="Q3242" s="142"/>
      <c r="R3242" s="142"/>
    </row>
    <row r="3243" spans="1:18" ht="15.6">
      <c r="A3243" s="38" t="s">
        <v>30</v>
      </c>
      <c r="B3243" s="2025" t="s">
        <v>141</v>
      </c>
      <c r="C3243" s="2026"/>
      <c r="D3243" s="2027"/>
      <c r="E3243" s="26">
        <f>+L3173+L3222-1.184</f>
        <v>57.447268000000008</v>
      </c>
      <c r="F3243" s="2025">
        <v>14</v>
      </c>
      <c r="G3243" s="2027"/>
      <c r="H3243" s="2025" t="s">
        <v>49</v>
      </c>
      <c r="I3243" s="2026"/>
      <c r="J3243" s="2026"/>
      <c r="K3243" s="2027"/>
      <c r="L3243" s="2025" t="s">
        <v>404</v>
      </c>
      <c r="M3243" s="2026"/>
      <c r="N3243" s="2026"/>
      <c r="O3243" s="2026"/>
      <c r="P3243" s="2020"/>
      <c r="Q3243" s="142"/>
      <c r="R3243" s="142"/>
    </row>
    <row r="3244" spans="1:18" s="497" customFormat="1" ht="15.6">
      <c r="A3244" s="38"/>
      <c r="B3244" s="736"/>
      <c r="C3244" s="738"/>
      <c r="D3244" s="737"/>
      <c r="E3244" s="26"/>
      <c r="F3244" s="736"/>
      <c r="G3244" s="737"/>
      <c r="H3244" s="736"/>
      <c r="I3244" s="1856"/>
      <c r="J3244" s="738"/>
      <c r="K3244" s="737"/>
      <c r="L3244" s="736"/>
      <c r="M3244" s="738"/>
      <c r="N3244" s="738"/>
      <c r="O3244" s="738"/>
      <c r="P3244" s="2020"/>
      <c r="Q3244" s="142"/>
      <c r="R3244" s="142"/>
    </row>
    <row r="3245" spans="1:18" s="497" customFormat="1" ht="15.6">
      <c r="A3245" s="38" t="s">
        <v>46</v>
      </c>
      <c r="B3245" s="2025" t="s">
        <v>419</v>
      </c>
      <c r="C3245" s="2026"/>
      <c r="D3245" s="2027"/>
      <c r="E3245" s="26">
        <f>+L3229</f>
        <v>3.1680000000000001</v>
      </c>
      <c r="F3245" s="2025">
        <v>14</v>
      </c>
      <c r="G3245" s="2027"/>
      <c r="H3245" s="2025" t="s">
        <v>155</v>
      </c>
      <c r="I3245" s="2026"/>
      <c r="J3245" s="2026"/>
      <c r="K3245" s="2027"/>
      <c r="L3245" s="2025" t="s">
        <v>253</v>
      </c>
      <c r="M3245" s="2026"/>
      <c r="N3245" s="2026"/>
      <c r="O3245" s="2026"/>
      <c r="P3245" s="2020"/>
      <c r="Q3245" s="142"/>
      <c r="R3245" s="142"/>
    </row>
    <row r="3246" spans="1:18" ht="15.6">
      <c r="A3246" s="38"/>
      <c r="B3246" s="2025"/>
      <c r="C3246" s="2026"/>
      <c r="D3246" s="2027"/>
      <c r="E3246" s="26"/>
      <c r="F3246" s="2025"/>
      <c r="G3246" s="2027"/>
      <c r="H3246" s="2025"/>
      <c r="I3246" s="2026"/>
      <c r="J3246" s="2026"/>
      <c r="K3246" s="2027"/>
      <c r="L3246" s="2025"/>
      <c r="M3246" s="2026"/>
      <c r="N3246" s="2026"/>
      <c r="O3246" s="2026"/>
      <c r="P3246" s="2020"/>
      <c r="Q3246" s="142"/>
      <c r="R3246" s="142"/>
    </row>
    <row r="3247" spans="1:18" ht="16.2" thickBot="1">
      <c r="A3247" s="38"/>
      <c r="B3247" s="617"/>
      <c r="C3247" s="618"/>
      <c r="D3247" s="618"/>
      <c r="E3247" s="26"/>
      <c r="F3247" s="618"/>
      <c r="G3247" s="619"/>
      <c r="H3247" s="617"/>
      <c r="I3247" s="1856"/>
      <c r="J3247" s="618"/>
      <c r="K3247" s="204"/>
      <c r="L3247" s="39"/>
      <c r="M3247" s="40"/>
      <c r="N3247" s="40"/>
      <c r="O3247" s="40"/>
      <c r="P3247" s="2020"/>
      <c r="Q3247" s="142"/>
      <c r="R3247" s="142"/>
    </row>
    <row r="3248" spans="1:18" ht="15.6">
      <c r="A3248" s="41"/>
      <c r="B3248" s="42"/>
      <c r="C3248" s="43"/>
      <c r="D3248" s="43"/>
      <c r="E3248" s="2028">
        <f>SUM(E3239:E3247)</f>
        <v>136.79253300000002</v>
      </c>
      <c r="F3248" s="44"/>
      <c r="G3248" s="45"/>
      <c r="H3248" s="46"/>
      <c r="I3248" s="1858"/>
      <c r="J3248" s="43"/>
      <c r="K3248" s="205"/>
      <c r="L3248" s="46"/>
      <c r="M3248" s="43"/>
      <c r="N3248" s="44"/>
      <c r="O3248" s="43"/>
      <c r="P3248" s="2020"/>
      <c r="Q3248" s="142"/>
      <c r="R3248" s="142"/>
    </row>
    <row r="3249" spans="1:18" ht="16.2" thickBot="1">
      <c r="A3249" s="47"/>
      <c r="B3249" s="48"/>
      <c r="C3249" s="49"/>
      <c r="D3249" s="49"/>
      <c r="E3249" s="2029"/>
      <c r="F3249" s="50"/>
      <c r="G3249" s="51"/>
      <c r="H3249" s="52"/>
      <c r="I3249" s="1860"/>
      <c r="J3249" s="49"/>
      <c r="K3249" s="206"/>
      <c r="L3249" s="52"/>
      <c r="M3249" s="49"/>
      <c r="N3249" s="50"/>
      <c r="O3249" s="49"/>
      <c r="P3249" s="2020"/>
      <c r="Q3249" s="142"/>
      <c r="R3249" s="142"/>
    </row>
    <row r="3250" spans="1:18" ht="15.6">
      <c r="A3250" s="53" t="s">
        <v>31</v>
      </c>
      <c r="B3250" s="43"/>
      <c r="C3250" s="43"/>
      <c r="D3250" s="43"/>
      <c r="E3250" s="43"/>
      <c r="F3250" s="44"/>
      <c r="G3250" s="43"/>
      <c r="H3250" s="44"/>
      <c r="I3250" s="1858"/>
      <c r="J3250" s="43"/>
      <c r="K3250" s="207"/>
      <c r="L3250" s="44"/>
      <c r="M3250" s="43"/>
      <c r="N3250" s="44"/>
      <c r="O3250" s="43"/>
      <c r="P3250" s="2020"/>
      <c r="Q3250" s="142"/>
      <c r="R3250" s="142"/>
    </row>
    <row r="3251" spans="1:18" ht="15.6">
      <c r="A3251" s="54"/>
      <c r="B3251" s="55"/>
      <c r="C3251" s="55"/>
      <c r="D3251" s="55"/>
      <c r="E3251" s="55"/>
      <c r="F3251" s="624"/>
      <c r="G3251" s="55"/>
      <c r="H3251" s="624"/>
      <c r="I3251" s="1859"/>
      <c r="J3251" s="55"/>
      <c r="K3251" s="208"/>
      <c r="L3251" s="624"/>
      <c r="M3251" s="55"/>
      <c r="N3251" s="624"/>
      <c r="O3251" s="55"/>
      <c r="P3251" s="2020"/>
      <c r="Q3251" s="142"/>
      <c r="R3251" s="142"/>
    </row>
    <row r="3252" spans="1:18" ht="16.2" thickBot="1">
      <c r="A3252" s="2030" t="s">
        <v>32</v>
      </c>
      <c r="B3252" s="2031"/>
      <c r="C3252" s="2032" t="s">
        <v>33</v>
      </c>
      <c r="D3252" s="2033"/>
      <c r="E3252" s="57" t="s">
        <v>34</v>
      </c>
      <c r="F3252" s="57" t="s">
        <v>35</v>
      </c>
      <c r="G3252" s="2034" t="s">
        <v>36</v>
      </c>
      <c r="H3252" s="2035"/>
      <c r="I3252" s="2035"/>
      <c r="J3252" s="2035"/>
      <c r="K3252" s="2035"/>
      <c r="L3252" s="2035"/>
      <c r="M3252" s="2035"/>
      <c r="N3252" s="2035"/>
      <c r="O3252" s="2035"/>
      <c r="P3252" s="2020"/>
      <c r="Q3252" s="142"/>
      <c r="R3252" s="142"/>
    </row>
    <row r="3253" spans="1:18" ht="15.6">
      <c r="A3253" s="2036"/>
      <c r="B3253" s="2023"/>
      <c r="C3253" s="2021"/>
      <c r="D3253" s="2023"/>
      <c r="E3253" s="623"/>
      <c r="F3253" s="620"/>
      <c r="G3253" s="2037"/>
      <c r="H3253" s="2038"/>
      <c r="I3253" s="2038"/>
      <c r="J3253" s="2038"/>
      <c r="K3253" s="2038"/>
      <c r="L3253" s="2038"/>
      <c r="M3253" s="2038"/>
      <c r="N3253" s="2038"/>
      <c r="O3253" s="2038"/>
      <c r="P3253" s="2020"/>
      <c r="Q3253" s="142"/>
      <c r="R3253" s="142"/>
    </row>
    <row r="3254" spans="1:18" ht="15.6">
      <c r="A3254" s="2043" t="s">
        <v>37</v>
      </c>
      <c r="B3254" s="2044"/>
      <c r="C3254" s="2021"/>
      <c r="D3254" s="2023"/>
      <c r="E3254" s="623"/>
      <c r="F3254" s="620"/>
      <c r="G3254" s="2039"/>
      <c r="H3254" s="2040"/>
      <c r="I3254" s="2040"/>
      <c r="J3254" s="2040"/>
      <c r="K3254" s="2040"/>
      <c r="L3254" s="2040"/>
      <c r="M3254" s="2040"/>
      <c r="N3254" s="2040"/>
      <c r="O3254" s="2040"/>
      <c r="P3254" s="2020"/>
      <c r="Q3254" s="142"/>
      <c r="R3254" s="142"/>
    </row>
    <row r="3255" spans="1:18" ht="15.6">
      <c r="A3255" s="2043" t="s">
        <v>38</v>
      </c>
      <c r="B3255" s="2044"/>
      <c r="C3255" s="2021"/>
      <c r="D3255" s="2023"/>
      <c r="E3255" s="623"/>
      <c r="F3255" s="620"/>
      <c r="G3255" s="2039"/>
      <c r="H3255" s="2040"/>
      <c r="I3255" s="2040"/>
      <c r="J3255" s="2040"/>
      <c r="K3255" s="2040"/>
      <c r="L3255" s="2040"/>
      <c r="M3255" s="2040"/>
      <c r="N3255" s="2040"/>
      <c r="O3255" s="2040"/>
      <c r="P3255" s="2020"/>
      <c r="Q3255" s="142"/>
      <c r="R3255" s="142"/>
    </row>
    <row r="3256" spans="1:18" ht="15.6">
      <c r="A3256" s="2043" t="s">
        <v>39</v>
      </c>
      <c r="B3256" s="2044"/>
      <c r="C3256" s="2021"/>
      <c r="D3256" s="2023"/>
      <c r="E3256" s="623"/>
      <c r="F3256" s="620"/>
      <c r="G3256" s="2039"/>
      <c r="H3256" s="2040"/>
      <c r="I3256" s="2040"/>
      <c r="J3256" s="2040"/>
      <c r="K3256" s="2040"/>
      <c r="L3256" s="2040"/>
      <c r="M3256" s="2040"/>
      <c r="N3256" s="2040"/>
      <c r="O3256" s="2040"/>
      <c r="P3256" s="2020"/>
      <c r="Q3256" s="142"/>
      <c r="R3256" s="142"/>
    </row>
    <row r="3257" spans="1:18" ht="15.6">
      <c r="A3257" s="2043" t="s">
        <v>40</v>
      </c>
      <c r="B3257" s="2044"/>
      <c r="C3257" s="2021"/>
      <c r="D3257" s="2023"/>
      <c r="E3257" s="623"/>
      <c r="F3257" s="620"/>
      <c r="G3257" s="2039"/>
      <c r="H3257" s="2040"/>
      <c r="I3257" s="2040"/>
      <c r="J3257" s="2040"/>
      <c r="K3257" s="2040"/>
      <c r="L3257" s="2040"/>
      <c r="M3257" s="2040"/>
      <c r="N3257" s="2040"/>
      <c r="O3257" s="2040"/>
      <c r="P3257" s="2020"/>
      <c r="Q3257" s="142"/>
      <c r="R3257" s="142"/>
    </row>
    <row r="3258" spans="1:18" ht="16.2" thickBot="1">
      <c r="A3258" s="2049" t="s">
        <v>41</v>
      </c>
      <c r="B3258" s="2050"/>
      <c r="C3258" s="2051"/>
      <c r="D3258" s="2052"/>
      <c r="E3258" s="58"/>
      <c r="F3258" s="621"/>
      <c r="G3258" s="2041"/>
      <c r="H3258" s="2042"/>
      <c r="I3258" s="2042"/>
      <c r="J3258" s="2042"/>
      <c r="K3258" s="2042"/>
      <c r="L3258" s="2042"/>
      <c r="M3258" s="2042"/>
      <c r="N3258" s="2042"/>
      <c r="O3258" s="2042"/>
      <c r="P3258" s="2020"/>
      <c r="Q3258" s="142"/>
      <c r="R3258" s="142"/>
    </row>
    <row r="3259" spans="1:18" ht="15.6">
      <c r="A3259" s="54"/>
      <c r="B3259" s="55"/>
      <c r="C3259" s="55"/>
      <c r="D3259" s="55"/>
      <c r="E3259" s="55"/>
      <c r="F3259" s="624"/>
      <c r="G3259" s="55"/>
      <c r="H3259" s="59"/>
      <c r="I3259" s="60"/>
      <c r="J3259" s="61"/>
      <c r="K3259" s="209"/>
      <c r="L3259" s="301"/>
      <c r="M3259" s="55"/>
      <c r="N3259" s="624"/>
      <c r="O3259" s="55"/>
      <c r="P3259" s="2020"/>
      <c r="Q3259" s="142"/>
      <c r="R3259" s="142"/>
    </row>
    <row r="3260" spans="1:18" ht="15.6">
      <c r="A3260" s="62" t="s">
        <v>42</v>
      </c>
      <c r="B3260" s="56"/>
      <c r="C3260" s="55"/>
      <c r="D3260" s="55"/>
      <c r="E3260" s="55"/>
      <c r="F3260" s="624"/>
      <c r="G3260" s="56"/>
      <c r="H3260" s="59"/>
      <c r="I3260" s="60"/>
      <c r="J3260" s="61"/>
      <c r="K3260" s="208"/>
      <c r="L3260" s="302"/>
      <c r="M3260" s="55"/>
      <c r="N3260" s="2045" t="s">
        <v>43</v>
      </c>
      <c r="O3260" s="2045"/>
      <c r="P3260" s="2020"/>
      <c r="Q3260" s="142"/>
      <c r="R3260" s="142"/>
    </row>
    <row r="3261" spans="1:18" ht="15.6">
      <c r="A3261" s="62"/>
      <c r="B3261" s="56"/>
      <c r="C3261" s="55"/>
      <c r="D3261" s="55"/>
      <c r="E3261" s="55"/>
      <c r="F3261" s="624"/>
      <c r="G3261" s="55"/>
      <c r="H3261" s="624"/>
      <c r="I3261" s="1859"/>
      <c r="J3261" s="55"/>
      <c r="K3261" s="208"/>
      <c r="L3261" s="624"/>
      <c r="M3261" s="55"/>
      <c r="N3261" s="624"/>
      <c r="O3261" s="56"/>
      <c r="P3261" s="2020"/>
      <c r="Q3261" s="142"/>
      <c r="R3261" s="142"/>
    </row>
    <row r="3262" spans="1:18" ht="15.6">
      <c r="A3262" s="62" t="s">
        <v>44</v>
      </c>
      <c r="B3262" s="56"/>
      <c r="C3262" s="55"/>
      <c r="D3262" s="55"/>
      <c r="E3262" s="55"/>
      <c r="F3262" s="624"/>
      <c r="G3262" s="55"/>
      <c r="H3262" s="624"/>
      <c r="I3262" s="1859"/>
      <c r="J3262" s="55"/>
      <c r="K3262" s="208"/>
      <c r="L3262" s="624"/>
      <c r="M3262" s="55"/>
      <c r="N3262" s="2045" t="s">
        <v>45</v>
      </c>
      <c r="O3262" s="2045"/>
      <c r="P3262" s="2020"/>
      <c r="Q3262" s="142"/>
      <c r="R3262" s="142"/>
    </row>
    <row r="3263" spans="1:18" ht="16.2" thickBot="1">
      <c r="A3263" s="48"/>
      <c r="B3263" s="49"/>
      <c r="C3263" s="49"/>
      <c r="D3263" s="49"/>
      <c r="E3263" s="49"/>
      <c r="F3263" s="50"/>
      <c r="G3263" s="49"/>
      <c r="H3263" s="50"/>
      <c r="I3263" s="1860"/>
      <c r="J3263" s="49"/>
      <c r="K3263" s="210"/>
      <c r="L3263" s="50"/>
      <c r="M3263" s="49"/>
      <c r="N3263" s="50"/>
      <c r="O3263" s="49"/>
      <c r="P3263" s="2020"/>
      <c r="Q3263" s="142"/>
      <c r="R3263" s="142"/>
    </row>
    <row r="3267" spans="1:21" ht="15.6">
      <c r="A3267" s="468" t="s">
        <v>48</v>
      </c>
      <c r="B3267" s="468"/>
      <c r="C3267" s="469"/>
      <c r="D3267" s="469"/>
      <c r="E3267" s="469"/>
      <c r="F3267" s="470"/>
      <c r="G3267" s="469"/>
      <c r="H3267" s="469"/>
      <c r="I3267" s="471"/>
      <c r="J3267" s="472"/>
      <c r="K3267" s="473"/>
      <c r="L3267" s="2046" t="s">
        <v>0</v>
      </c>
      <c r="M3267" s="2046"/>
      <c r="N3267" s="2046"/>
      <c r="O3267" s="2046"/>
      <c r="P3267" s="474"/>
      <c r="Q3267" s="474"/>
      <c r="R3267" s="474"/>
    </row>
    <row r="3268" spans="1:21" ht="15.6">
      <c r="A3268" s="27" t="s">
        <v>1</v>
      </c>
      <c r="B3268" s="27"/>
      <c r="C3268" s="27"/>
      <c r="D3268" s="28" t="s">
        <v>2</v>
      </c>
      <c r="E3268" s="28"/>
      <c r="F3268" s="29"/>
      <c r="G3268" s="29"/>
      <c r="H3268" s="29"/>
      <c r="I3268" s="30"/>
      <c r="J3268" s="639"/>
      <c r="K3268" s="197" t="s">
        <v>3</v>
      </c>
      <c r="L3268" s="639"/>
      <c r="M3268" s="27"/>
      <c r="N3268" s="29"/>
      <c r="O3268" s="27"/>
      <c r="P3268" s="475"/>
      <c r="Q3268" s="155"/>
      <c r="R3268" s="155"/>
    </row>
    <row r="3269" spans="1:21" ht="31.2">
      <c r="A3269" s="32" t="s">
        <v>4</v>
      </c>
      <c r="B3269" s="32" t="s">
        <v>5</v>
      </c>
      <c r="C3269" s="32" t="s">
        <v>6</v>
      </c>
      <c r="D3269" s="32" t="s">
        <v>7</v>
      </c>
      <c r="E3269" s="32" t="s">
        <v>8</v>
      </c>
      <c r="F3269" s="33" t="s">
        <v>9</v>
      </c>
      <c r="G3269" s="34" t="s">
        <v>10</v>
      </c>
      <c r="H3269" s="34" t="s">
        <v>11</v>
      </c>
      <c r="I3269" s="35" t="s">
        <v>12</v>
      </c>
      <c r="J3269" s="36" t="s">
        <v>13</v>
      </c>
      <c r="K3269" s="198" t="s">
        <v>14</v>
      </c>
      <c r="L3269" s="297" t="s">
        <v>15</v>
      </c>
      <c r="M3269" s="33" t="s">
        <v>16</v>
      </c>
      <c r="N3269" s="33" t="s">
        <v>17</v>
      </c>
      <c r="O3269" s="34" t="s">
        <v>18</v>
      </c>
      <c r="P3269" s="33" t="s">
        <v>192</v>
      </c>
      <c r="Q3269" s="1057"/>
      <c r="R3269" s="1057"/>
    </row>
    <row r="3270" spans="1:21" s="497" customFormat="1" ht="17.399999999999999">
      <c r="A3270" s="549"/>
      <c r="B3270" s="746"/>
      <c r="C3270" s="549"/>
      <c r="D3270" s="549"/>
      <c r="E3270" s="549"/>
      <c r="F3270" s="549"/>
      <c r="G3270" s="747"/>
      <c r="H3270" s="747"/>
      <c r="I3270" s="1880"/>
      <c r="J3270" s="748"/>
      <c r="K3270" s="750"/>
      <c r="L3270" s="748"/>
      <c r="M3270" s="549"/>
      <c r="N3270" s="549"/>
      <c r="O3270" s="549"/>
      <c r="P3270" s="549"/>
      <c r="Q3270" s="1059"/>
      <c r="R3270" s="1059"/>
    </row>
    <row r="3271" spans="1:21" ht="17.399999999999999">
      <c r="A3271" s="547" t="s">
        <v>332</v>
      </c>
      <c r="B3271" s="547" t="s">
        <v>381</v>
      </c>
      <c r="C3271" s="547" t="s">
        <v>19</v>
      </c>
      <c r="D3271" s="547" t="s">
        <v>20</v>
      </c>
      <c r="E3271" s="547" t="s">
        <v>47</v>
      </c>
      <c r="F3271" s="549">
        <v>10</v>
      </c>
      <c r="G3271" s="549" t="s">
        <v>21</v>
      </c>
      <c r="H3271" s="599" t="s">
        <v>131</v>
      </c>
      <c r="I3271" s="560">
        <v>7.34</v>
      </c>
      <c r="J3271" s="567">
        <v>7.5</v>
      </c>
      <c r="K3271" s="648">
        <v>36</v>
      </c>
      <c r="L3271" s="552">
        <f t="shared" ref="L3271:L3274" si="572">(I3271*J3271*K3271/1000)</f>
        <v>1.9818</v>
      </c>
      <c r="M3271" s="549"/>
      <c r="N3271" s="549"/>
      <c r="O3271" s="549"/>
      <c r="P3271" s="549"/>
      <c r="Q3271" s="1059"/>
      <c r="R3271" s="1059"/>
      <c r="S3271">
        <f>8+10+11+1</f>
        <v>30</v>
      </c>
      <c r="T3271" s="126">
        <f>J3271*S3271*I3271/1000</f>
        <v>1.6515</v>
      </c>
      <c r="U3271" s="497" t="s">
        <v>435</v>
      </c>
    </row>
    <row r="3272" spans="1:21" ht="17.399999999999999">
      <c r="A3272" s="549"/>
      <c r="B3272" s="559" t="s">
        <v>340</v>
      </c>
      <c r="C3272" s="549"/>
      <c r="D3272" s="549"/>
      <c r="E3272" s="549"/>
      <c r="F3272" s="549"/>
      <c r="G3272" s="549" t="s">
        <v>21</v>
      </c>
      <c r="H3272" s="549" t="s">
        <v>131</v>
      </c>
      <c r="I3272" s="560">
        <v>7.34</v>
      </c>
      <c r="J3272" s="567">
        <v>9.25</v>
      </c>
      <c r="K3272" s="648">
        <v>86</v>
      </c>
      <c r="L3272" s="552">
        <f t="shared" si="572"/>
        <v>5.8389699999999998</v>
      </c>
      <c r="M3272" s="549"/>
      <c r="N3272" s="549"/>
      <c r="O3272" s="549"/>
      <c r="P3272" s="549"/>
      <c r="Q3272" s="1059"/>
      <c r="R3272" s="1059"/>
      <c r="S3272">
        <f>23+20+11+1</f>
        <v>55</v>
      </c>
      <c r="T3272" s="126">
        <f t="shared" ref="T3272:T3274" si="573">J3272*S3272*I3272/1000</f>
        <v>3.7342249999999999</v>
      </c>
    </row>
    <row r="3273" spans="1:21" ht="17.399999999999999">
      <c r="A3273" s="549"/>
      <c r="B3273" s="549"/>
      <c r="C3273" s="549"/>
      <c r="D3273" s="549"/>
      <c r="E3273" s="549"/>
      <c r="F3273" s="549"/>
      <c r="G3273" s="549" t="s">
        <v>21</v>
      </c>
      <c r="H3273" s="549" t="s">
        <v>131</v>
      </c>
      <c r="I3273" s="560">
        <v>7.34</v>
      </c>
      <c r="J3273" s="567">
        <v>11.5</v>
      </c>
      <c r="K3273" s="648">
        <v>132</v>
      </c>
      <c r="L3273" s="552">
        <f t="shared" si="572"/>
        <v>11.142119999999998</v>
      </c>
      <c r="M3273" s="549"/>
      <c r="N3273" s="549"/>
      <c r="O3273" s="549"/>
      <c r="P3273" s="549"/>
      <c r="Q3273" s="1059"/>
      <c r="R3273" s="1059"/>
      <c r="S3273">
        <f>27+17+35+35+35-17</f>
        <v>132</v>
      </c>
      <c r="T3273" s="126">
        <f t="shared" si="573"/>
        <v>11.142119999999998</v>
      </c>
    </row>
    <row r="3274" spans="1:21" ht="17.399999999999999">
      <c r="A3274" s="549"/>
      <c r="B3274" s="549"/>
      <c r="C3274" s="549"/>
      <c r="D3274" s="549"/>
      <c r="E3274" s="549"/>
      <c r="F3274" s="549"/>
      <c r="G3274" s="549" t="s">
        <v>21</v>
      </c>
      <c r="H3274" s="549" t="s">
        <v>131</v>
      </c>
      <c r="I3274" s="560">
        <v>7.34</v>
      </c>
      <c r="J3274" s="567">
        <v>12</v>
      </c>
      <c r="K3274" s="648">
        <v>140</v>
      </c>
      <c r="L3274" s="552">
        <f t="shared" si="572"/>
        <v>12.331199999999999</v>
      </c>
      <c r="M3274" s="549"/>
      <c r="N3274" s="549"/>
      <c r="O3274" s="549"/>
      <c r="P3274" s="549"/>
      <c r="Q3274" s="1059"/>
      <c r="R3274" s="1059"/>
      <c r="S3274">
        <v>140</v>
      </c>
      <c r="T3274" s="126">
        <f t="shared" si="573"/>
        <v>12.331199999999999</v>
      </c>
    </row>
    <row r="3275" spans="1:21" ht="17.399999999999999">
      <c r="A3275" s="549"/>
      <c r="B3275" s="549"/>
      <c r="C3275" s="549"/>
      <c r="D3275" s="549"/>
      <c r="E3275" s="549"/>
      <c r="F3275" s="549"/>
      <c r="G3275" s="549"/>
      <c r="H3275" s="549"/>
      <c r="I3275" s="560"/>
      <c r="J3275" s="567"/>
      <c r="K3275" s="648">
        <f>SUM(K3271:K3274)</f>
        <v>394</v>
      </c>
      <c r="L3275" s="567">
        <f>SUM(L3271:L3274)</f>
        <v>31.294089999999997</v>
      </c>
      <c r="M3275" s="549"/>
      <c r="N3275" s="549"/>
      <c r="O3275" s="549"/>
      <c r="P3275" s="549"/>
      <c r="Q3275" s="549"/>
      <c r="R3275" s="549"/>
      <c r="S3275" s="648">
        <f>SUM(S3271:S3274)</f>
        <v>357</v>
      </c>
      <c r="T3275" s="567">
        <f>SUM(T3271:T3274)</f>
        <v>28.859044999999998</v>
      </c>
    </row>
    <row r="3276" spans="1:21" ht="17.399999999999999">
      <c r="A3276" s="549"/>
      <c r="B3276" s="549"/>
      <c r="C3276" s="549"/>
      <c r="D3276" s="549"/>
      <c r="E3276" s="549"/>
      <c r="F3276" s="549"/>
      <c r="G3276" s="549"/>
      <c r="H3276" s="549"/>
      <c r="I3276" s="560"/>
      <c r="J3276" s="549"/>
      <c r="K3276" s="561"/>
      <c r="L3276" s="560"/>
      <c r="M3276" s="549"/>
      <c r="N3276" s="549"/>
      <c r="O3276" s="549"/>
      <c r="P3276" s="549"/>
      <c r="Q3276" s="1059"/>
      <c r="R3276" s="1059"/>
    </row>
    <row r="3277" spans="1:21" ht="17.399999999999999">
      <c r="A3277" s="547" t="s">
        <v>174</v>
      </c>
      <c r="B3277" s="547" t="s">
        <v>408</v>
      </c>
      <c r="C3277" s="547" t="s">
        <v>19</v>
      </c>
      <c r="D3277" s="547" t="s">
        <v>20</v>
      </c>
      <c r="E3277" s="547" t="s">
        <v>47</v>
      </c>
      <c r="F3277" s="549">
        <v>10</v>
      </c>
      <c r="G3277" s="549" t="s">
        <v>21</v>
      </c>
      <c r="H3277" s="599" t="s">
        <v>131</v>
      </c>
      <c r="I3277" s="558">
        <v>7.34</v>
      </c>
      <c r="J3277" s="567">
        <v>8.6</v>
      </c>
      <c r="K3277" s="648">
        <v>37</v>
      </c>
      <c r="L3277" s="552">
        <f t="shared" ref="L3277:L3280" si="574">(I3277*J3277*K3277/1000)</f>
        <v>2.3355879999999996</v>
      </c>
      <c r="M3277" s="549"/>
      <c r="N3277" s="549"/>
      <c r="O3277" s="549"/>
      <c r="P3277" s="549"/>
      <c r="Q3277" s="1059"/>
      <c r="R3277" s="1059"/>
      <c r="S3277">
        <f>1+11+16</f>
        <v>28</v>
      </c>
      <c r="T3277" s="126">
        <f t="shared" ref="T3277:T3280" si="575">J3277*S3277*I3277/1000</f>
        <v>1.7674719999999997</v>
      </c>
      <c r="U3277" s="497" t="s">
        <v>435</v>
      </c>
    </row>
    <row r="3278" spans="1:21" ht="17.399999999999999">
      <c r="A3278" s="549"/>
      <c r="B3278" s="549" t="s">
        <v>334</v>
      </c>
      <c r="C3278" s="549"/>
      <c r="D3278" s="549"/>
      <c r="E3278" s="549"/>
      <c r="F3278" s="549"/>
      <c r="G3278" s="549" t="s">
        <v>21</v>
      </c>
      <c r="H3278" s="549" t="s">
        <v>131</v>
      </c>
      <c r="I3278" s="558">
        <v>7.34</v>
      </c>
      <c r="J3278" s="567">
        <v>10</v>
      </c>
      <c r="K3278" s="648">
        <v>95</v>
      </c>
      <c r="L3278" s="552">
        <f t="shared" si="574"/>
        <v>6.9730000000000008</v>
      </c>
      <c r="M3278" s="549"/>
      <c r="N3278" s="549"/>
      <c r="O3278" s="549"/>
      <c r="P3278" s="549"/>
      <c r="Q3278" s="1059"/>
      <c r="R3278" s="1059"/>
      <c r="S3278">
        <f>29+2+40</f>
        <v>71</v>
      </c>
      <c r="T3278" s="126">
        <f t="shared" si="575"/>
        <v>5.2113999999999994</v>
      </c>
    </row>
    <row r="3279" spans="1:21" ht="17.399999999999999">
      <c r="A3279" s="549"/>
      <c r="B3279" s="549"/>
      <c r="C3279" s="549"/>
      <c r="D3279" s="549"/>
      <c r="E3279" s="549"/>
      <c r="F3279" s="549"/>
      <c r="G3279" s="549" t="s">
        <v>21</v>
      </c>
      <c r="H3279" s="549" t="s">
        <v>131</v>
      </c>
      <c r="I3279" s="558">
        <v>7.34</v>
      </c>
      <c r="J3279" s="567">
        <v>11</v>
      </c>
      <c r="K3279" s="648">
        <v>121</v>
      </c>
      <c r="L3279" s="552">
        <f t="shared" si="574"/>
        <v>9.7695399999999992</v>
      </c>
      <c r="M3279" s="549"/>
      <c r="N3279" s="549"/>
      <c r="O3279" s="549"/>
      <c r="P3279" s="549"/>
      <c r="Q3279" s="1059"/>
      <c r="R3279" s="1059"/>
      <c r="S3279">
        <f>35+8+6+4+35+4</f>
        <v>92</v>
      </c>
      <c r="T3279" s="126">
        <f t="shared" si="575"/>
        <v>7.4280799999999996</v>
      </c>
    </row>
    <row r="3280" spans="1:21" ht="17.399999999999999">
      <c r="A3280" s="549"/>
      <c r="B3280" s="549"/>
      <c r="C3280" s="549"/>
      <c r="D3280" s="549"/>
      <c r="E3280" s="549"/>
      <c r="F3280" s="549"/>
      <c r="G3280" s="549" t="s">
        <v>21</v>
      </c>
      <c r="H3280" s="549" t="s">
        <v>131</v>
      </c>
      <c r="I3280" s="558">
        <v>7.34</v>
      </c>
      <c r="J3280" s="567">
        <v>11.5</v>
      </c>
      <c r="K3280" s="648">
        <v>134</v>
      </c>
      <c r="L3280" s="552">
        <f t="shared" si="574"/>
        <v>11.310939999999999</v>
      </c>
      <c r="M3280" s="549"/>
      <c r="N3280" s="549"/>
      <c r="O3280" s="549"/>
      <c r="P3280" s="549"/>
      <c r="Q3280" s="1059"/>
      <c r="R3280" s="1059"/>
      <c r="S3280">
        <f>22+35+17+35+35-10</f>
        <v>134</v>
      </c>
      <c r="T3280" s="126">
        <f t="shared" si="575"/>
        <v>11.31094</v>
      </c>
    </row>
    <row r="3281" spans="1:21" ht="17.399999999999999">
      <c r="A3281" s="549"/>
      <c r="B3281" s="549"/>
      <c r="C3281" s="549"/>
      <c r="D3281" s="549"/>
      <c r="E3281" s="549"/>
      <c r="F3281" s="549"/>
      <c r="G3281" s="549"/>
      <c r="H3281" s="650"/>
      <c r="I3281" s="558"/>
      <c r="J3281" s="567"/>
      <c r="K3281" s="648">
        <f t="shared" ref="K3281:L3281" si="576">SUM(K3277:K3280)</f>
        <v>387</v>
      </c>
      <c r="L3281" s="567">
        <f t="shared" si="576"/>
        <v>30.389067999999998</v>
      </c>
      <c r="M3281" s="549"/>
      <c r="N3281" s="549"/>
      <c r="O3281" s="549"/>
      <c r="P3281" s="549"/>
      <c r="Q3281" s="549"/>
      <c r="R3281" s="549"/>
      <c r="S3281" s="648">
        <f t="shared" ref="S3281:T3281" si="577">SUM(S3277:S3280)</f>
        <v>325</v>
      </c>
      <c r="T3281" s="567">
        <f t="shared" si="577"/>
        <v>25.717891999999999</v>
      </c>
    </row>
    <row r="3282" spans="1:21" ht="17.399999999999999">
      <c r="A3282" s="549"/>
      <c r="B3282" s="549"/>
      <c r="C3282" s="549"/>
      <c r="D3282" s="549"/>
      <c r="E3282" s="549"/>
      <c r="F3282" s="549"/>
      <c r="G3282" s="549"/>
      <c r="H3282" s="549"/>
      <c r="I3282" s="560"/>
      <c r="J3282" s="549"/>
      <c r="K3282" s="561"/>
      <c r="L3282" s="560"/>
      <c r="M3282" s="549"/>
      <c r="N3282" s="549"/>
      <c r="O3282" s="549"/>
      <c r="P3282" s="549"/>
      <c r="Q3282" s="1059"/>
      <c r="R3282" s="1059"/>
    </row>
    <row r="3283" spans="1:21" s="497" customFormat="1" ht="17.399999999999999">
      <c r="A3283" s="547" t="s">
        <v>332</v>
      </c>
      <c r="B3283" s="547" t="s">
        <v>341</v>
      </c>
      <c r="C3283" s="547" t="s">
        <v>19</v>
      </c>
      <c r="D3283" s="547" t="s">
        <v>20</v>
      </c>
      <c r="E3283" s="755" t="s">
        <v>420</v>
      </c>
      <c r="F3283" s="549">
        <v>10</v>
      </c>
      <c r="G3283" s="549" t="s">
        <v>21</v>
      </c>
      <c r="H3283" s="599" t="s">
        <v>131</v>
      </c>
      <c r="I3283" s="558">
        <v>7.34</v>
      </c>
      <c r="J3283" s="756">
        <v>10</v>
      </c>
      <c r="K3283" s="757">
        <v>13</v>
      </c>
      <c r="L3283" s="552">
        <f t="shared" ref="L3283:L3288" si="578">(I3283*J3283*K3283/1000)</f>
        <v>0.95420000000000005</v>
      </c>
      <c r="M3283" s="567"/>
      <c r="N3283" s="549"/>
      <c r="O3283" s="549"/>
      <c r="P3283" s="549"/>
      <c r="Q3283" s="1059"/>
      <c r="R3283" s="1059"/>
      <c r="S3283" s="497">
        <v>3</v>
      </c>
      <c r="T3283" s="126">
        <f t="shared" ref="T3283:T3288" si="579">J3283*S3283*I3283/1000</f>
        <v>0.22019999999999998</v>
      </c>
      <c r="U3283" s="497" t="s">
        <v>435</v>
      </c>
    </row>
    <row r="3284" spans="1:21" s="497" customFormat="1" ht="17.399999999999999">
      <c r="A3284" s="549"/>
      <c r="B3284" s="559" t="s">
        <v>52</v>
      </c>
      <c r="C3284" s="549"/>
      <c r="D3284" s="549"/>
      <c r="E3284" s="549"/>
      <c r="F3284" s="549"/>
      <c r="G3284" s="549" t="s">
        <v>21</v>
      </c>
      <c r="H3284" s="549" t="s">
        <v>131</v>
      </c>
      <c r="I3284" s="558">
        <v>7.34</v>
      </c>
      <c r="J3284" s="756">
        <v>10.5</v>
      </c>
      <c r="K3284" s="757">
        <v>15</v>
      </c>
      <c r="L3284" s="552">
        <f t="shared" si="578"/>
        <v>1.15605</v>
      </c>
      <c r="M3284" s="567"/>
      <c r="N3284" s="549"/>
      <c r="O3284" s="549"/>
      <c r="P3284" s="549"/>
      <c r="Q3284" s="1059"/>
      <c r="R3284" s="1059"/>
      <c r="S3284" s="497">
        <f>10+1</f>
        <v>11</v>
      </c>
      <c r="T3284" s="126">
        <f t="shared" si="579"/>
        <v>0.84777000000000002</v>
      </c>
    </row>
    <row r="3285" spans="1:21" s="497" customFormat="1" ht="17.399999999999999">
      <c r="A3285" s="549"/>
      <c r="B3285" s="549"/>
      <c r="C3285" s="549"/>
      <c r="D3285" s="549"/>
      <c r="E3285" s="549"/>
      <c r="F3285" s="549"/>
      <c r="G3285" s="549" t="s">
        <v>21</v>
      </c>
      <c r="H3285" s="549" t="s">
        <v>131</v>
      </c>
      <c r="I3285" s="558">
        <v>7.34</v>
      </c>
      <c r="J3285" s="756">
        <v>11</v>
      </c>
      <c r="K3285" s="757">
        <v>15</v>
      </c>
      <c r="L3285" s="552">
        <f t="shared" si="578"/>
        <v>1.2110999999999998</v>
      </c>
      <c r="M3285" s="567"/>
      <c r="N3285" s="549"/>
      <c r="O3285" s="549"/>
      <c r="P3285" s="549"/>
      <c r="Q3285" s="1059"/>
      <c r="R3285" s="1059"/>
      <c r="S3285" s="497">
        <v>7</v>
      </c>
      <c r="T3285" s="126">
        <f t="shared" si="579"/>
        <v>0.5651799999999999</v>
      </c>
    </row>
    <row r="3286" spans="1:21" s="497" customFormat="1" ht="17.399999999999999">
      <c r="A3286" s="549"/>
      <c r="B3286" s="549"/>
      <c r="C3286" s="549"/>
      <c r="D3286" s="549"/>
      <c r="E3286" s="549"/>
      <c r="F3286" s="549"/>
      <c r="G3286" s="549" t="s">
        <v>21</v>
      </c>
      <c r="H3286" s="549" t="s">
        <v>131</v>
      </c>
      <c r="I3286" s="558">
        <v>7.34</v>
      </c>
      <c r="J3286" s="756">
        <v>11.3</v>
      </c>
      <c r="K3286" s="757">
        <v>15</v>
      </c>
      <c r="L3286" s="552">
        <f t="shared" si="578"/>
        <v>1.2441300000000002</v>
      </c>
      <c r="M3286" s="567"/>
      <c r="N3286" s="549"/>
      <c r="O3286" s="549"/>
      <c r="P3286" s="549"/>
      <c r="Q3286" s="1059"/>
      <c r="R3286" s="1059"/>
      <c r="S3286" s="497">
        <v>9</v>
      </c>
      <c r="T3286" s="126">
        <f t="shared" si="579"/>
        <v>0.74647799999999997</v>
      </c>
    </row>
    <row r="3287" spans="1:21" s="497" customFormat="1" ht="17.399999999999999">
      <c r="A3287" s="549"/>
      <c r="B3287" s="549"/>
      <c r="C3287" s="549"/>
      <c r="D3287" s="549"/>
      <c r="E3287" s="549"/>
      <c r="F3287" s="549"/>
      <c r="G3287" s="549" t="s">
        <v>21</v>
      </c>
      <c r="H3287" s="549" t="s">
        <v>131</v>
      </c>
      <c r="I3287" s="558">
        <v>7.34</v>
      </c>
      <c r="J3287" s="756">
        <v>11.5</v>
      </c>
      <c r="K3287" s="757">
        <v>45</v>
      </c>
      <c r="L3287" s="552">
        <f t="shared" si="578"/>
        <v>3.7984499999999999</v>
      </c>
      <c r="M3287" s="567"/>
      <c r="N3287" s="549"/>
      <c r="O3287" s="549"/>
      <c r="P3287" s="549"/>
      <c r="Q3287" s="1059"/>
      <c r="R3287" s="1059"/>
      <c r="S3287" s="497">
        <v>45</v>
      </c>
      <c r="T3287" s="126">
        <f t="shared" si="579"/>
        <v>3.7984499999999999</v>
      </c>
    </row>
    <row r="3288" spans="1:21" s="497" customFormat="1" ht="17.399999999999999">
      <c r="A3288" s="549"/>
      <c r="B3288" s="746"/>
      <c r="C3288" s="549"/>
      <c r="D3288" s="549"/>
      <c r="E3288" s="549"/>
      <c r="F3288" s="549"/>
      <c r="G3288" s="549" t="s">
        <v>21</v>
      </c>
      <c r="H3288" s="549" t="s">
        <v>131</v>
      </c>
      <c r="I3288" s="558">
        <v>7.34</v>
      </c>
      <c r="J3288" s="756">
        <v>12</v>
      </c>
      <c r="K3288" s="757">
        <v>7</v>
      </c>
      <c r="L3288" s="552">
        <f t="shared" si="578"/>
        <v>0.61656</v>
      </c>
      <c r="M3288" s="567"/>
      <c r="N3288" s="549"/>
      <c r="O3288" s="549"/>
      <c r="P3288" s="549"/>
      <c r="Q3288" s="1059"/>
      <c r="R3288" s="1059"/>
      <c r="S3288" s="497">
        <v>7</v>
      </c>
      <c r="T3288" s="126">
        <f t="shared" si="579"/>
        <v>0.61656</v>
      </c>
    </row>
    <row r="3289" spans="1:21" s="497" customFormat="1" ht="17.399999999999999">
      <c r="A3289" s="549"/>
      <c r="B3289" s="746"/>
      <c r="C3289" s="549"/>
      <c r="D3289" s="549"/>
      <c r="E3289" s="549"/>
      <c r="F3289" s="549"/>
      <c r="G3289" s="747"/>
      <c r="H3289" s="747"/>
      <c r="I3289" s="1880"/>
      <c r="J3289" s="748"/>
      <c r="K3289" s="749">
        <f>SUM(K3283:K3288)</f>
        <v>110</v>
      </c>
      <c r="L3289" s="748">
        <f>SUM(L3283:L3288)</f>
        <v>8.9804899999999996</v>
      </c>
      <c r="M3289" s="549"/>
      <c r="N3289" s="549"/>
      <c r="O3289" s="549"/>
      <c r="P3289" s="549"/>
      <c r="Q3289" s="549"/>
      <c r="R3289" s="549"/>
      <c r="S3289" s="749">
        <f>SUM(S3283:S3288)</f>
        <v>82</v>
      </c>
      <c r="T3289" s="748">
        <f>SUM(T3283:T3288)</f>
        <v>6.794638</v>
      </c>
    </row>
    <row r="3290" spans="1:21" s="497" customFormat="1" ht="17.399999999999999">
      <c r="A3290" s="549"/>
      <c r="B3290" s="746"/>
      <c r="C3290" s="549"/>
      <c r="D3290" s="549"/>
      <c r="E3290" s="549"/>
      <c r="F3290" s="549"/>
      <c r="G3290" s="747"/>
      <c r="H3290" s="747"/>
      <c r="I3290" s="1880"/>
      <c r="J3290" s="748"/>
      <c r="K3290" s="749"/>
      <c r="L3290" s="748">
        <f>+L3289+L3281+L3275</f>
        <v>70.663647999999995</v>
      </c>
      <c r="M3290" s="549"/>
      <c r="N3290" s="549"/>
      <c r="O3290" s="549"/>
      <c r="P3290" s="549"/>
      <c r="Q3290" s="1059"/>
      <c r="R3290" s="1059"/>
      <c r="T3290" s="748">
        <f>+T3289+T3281+T3275</f>
        <v>61.371574999999993</v>
      </c>
    </row>
    <row r="3291" spans="1:21" s="497" customFormat="1" ht="17.399999999999999">
      <c r="A3291" s="549"/>
      <c r="B3291" s="746"/>
      <c r="C3291" s="549"/>
      <c r="D3291" s="549"/>
      <c r="E3291" s="549"/>
      <c r="F3291" s="549"/>
      <c r="G3291" s="747"/>
      <c r="H3291" s="747"/>
      <c r="I3291" s="1880"/>
      <c r="J3291" s="748"/>
      <c r="K3291" s="749"/>
      <c r="L3291" s="748"/>
      <c r="M3291" s="549"/>
      <c r="N3291" s="549"/>
      <c r="O3291" s="549"/>
      <c r="P3291" s="549"/>
      <c r="Q3291" s="1059"/>
      <c r="R3291" s="1059"/>
    </row>
    <row r="3292" spans="1:21" s="497" customFormat="1" ht="17.399999999999999">
      <c r="A3292" s="549"/>
      <c r="B3292" s="746"/>
      <c r="C3292" s="549"/>
      <c r="D3292" s="549"/>
      <c r="E3292" s="549"/>
      <c r="F3292" s="549"/>
      <c r="G3292" s="747"/>
      <c r="H3292" s="747"/>
      <c r="I3292" s="1880"/>
      <c r="J3292" s="748"/>
      <c r="K3292" s="749"/>
      <c r="L3292" s="748"/>
      <c r="M3292" s="549"/>
      <c r="N3292" s="549"/>
      <c r="O3292" s="549"/>
      <c r="P3292" s="549"/>
      <c r="Q3292" s="1059"/>
      <c r="R3292" s="1059"/>
    </row>
    <row r="3293" spans="1:21" s="497" customFormat="1" ht="17.399999999999999">
      <c r="A3293" s="547" t="s">
        <v>332</v>
      </c>
      <c r="B3293" s="21" t="s">
        <v>382</v>
      </c>
      <c r="C3293" s="547" t="s">
        <v>19</v>
      </c>
      <c r="D3293" s="547" t="s">
        <v>20</v>
      </c>
      <c r="E3293" s="547" t="s">
        <v>359</v>
      </c>
      <c r="F3293" s="549">
        <v>10</v>
      </c>
      <c r="G3293" s="549" t="s">
        <v>21</v>
      </c>
      <c r="H3293" s="599" t="s">
        <v>131</v>
      </c>
      <c r="I3293" s="560">
        <v>7.36</v>
      </c>
      <c r="J3293" s="567">
        <v>12</v>
      </c>
      <c r="K3293" s="648">
        <v>16</v>
      </c>
      <c r="L3293" s="552">
        <f>(I3293*J3293*K3293/1000)</f>
        <v>1.4131200000000002</v>
      </c>
      <c r="M3293" s="549"/>
      <c r="N3293" s="549"/>
      <c r="O3293" s="549"/>
      <c r="P3293" s="549"/>
      <c r="Q3293" s="1059"/>
      <c r="R3293" s="1059"/>
      <c r="S3293" s="497">
        <f>7+9</f>
        <v>16</v>
      </c>
      <c r="T3293" s="126">
        <f t="shared" ref="T3293" si="580">J3293*S3293*I3293/1000</f>
        <v>1.4131200000000002</v>
      </c>
      <c r="U3293" s="497" t="s">
        <v>435</v>
      </c>
    </row>
    <row r="3294" spans="1:21" s="497" customFormat="1" ht="17.399999999999999">
      <c r="A3294" s="549"/>
      <c r="B3294" s="21" t="s">
        <v>331</v>
      </c>
      <c r="C3294" s="549"/>
      <c r="D3294" s="549"/>
      <c r="E3294" s="549"/>
      <c r="F3294" s="549"/>
      <c r="G3294" s="549"/>
      <c r="H3294" s="549"/>
      <c r="I3294" s="560"/>
      <c r="J3294" s="567"/>
      <c r="K3294" s="648">
        <f t="shared" ref="K3294:L3294" si="581">SUM(K3293)</f>
        <v>16</v>
      </c>
      <c r="L3294" s="567">
        <f t="shared" si="581"/>
        <v>1.4131200000000002</v>
      </c>
      <c r="M3294" s="549"/>
      <c r="N3294" s="549"/>
      <c r="O3294" s="549"/>
      <c r="P3294" s="549"/>
      <c r="Q3294" s="549"/>
      <c r="R3294" s="549"/>
      <c r="S3294" s="648">
        <f t="shared" ref="S3294:T3294" si="582">SUM(S3293)</f>
        <v>16</v>
      </c>
      <c r="T3294" s="567">
        <f t="shared" si="582"/>
        <v>1.4131200000000002</v>
      </c>
    </row>
    <row r="3295" spans="1:21" s="497" customFormat="1" ht="17.399999999999999">
      <c r="A3295" s="549"/>
      <c r="B3295" s="549"/>
      <c r="C3295" s="549"/>
      <c r="D3295" s="549"/>
      <c r="E3295" s="549"/>
      <c r="F3295" s="549"/>
      <c r="G3295" s="549"/>
      <c r="H3295" s="549"/>
      <c r="I3295" s="560"/>
      <c r="J3295" s="549"/>
      <c r="K3295" s="561"/>
      <c r="L3295" s="560"/>
      <c r="M3295" s="549"/>
      <c r="N3295" s="549"/>
      <c r="O3295" s="549"/>
      <c r="P3295" s="549"/>
      <c r="Q3295" s="1059"/>
      <c r="R3295" s="1059"/>
    </row>
    <row r="3296" spans="1:21" ht="17.399999999999999">
      <c r="A3296" s="547" t="s">
        <v>395</v>
      </c>
      <c r="B3296" s="547" t="s">
        <v>385</v>
      </c>
      <c r="C3296" s="547" t="s">
        <v>19</v>
      </c>
      <c r="D3296" s="547" t="s">
        <v>49</v>
      </c>
      <c r="E3296" s="547" t="s">
        <v>359</v>
      </c>
      <c r="F3296" s="549">
        <v>10</v>
      </c>
      <c r="G3296" s="549" t="s">
        <v>21</v>
      </c>
      <c r="H3296" s="599" t="s">
        <v>131</v>
      </c>
      <c r="I3296" s="560">
        <v>7.36</v>
      </c>
      <c r="J3296" s="567">
        <v>10.5</v>
      </c>
      <c r="K3296" s="648">
        <v>12</v>
      </c>
      <c r="L3296" s="552">
        <f>(I3296*J3296*K3296/1000)</f>
        <v>0.92735999999999996</v>
      </c>
      <c r="M3296" s="549"/>
      <c r="N3296" s="549"/>
      <c r="O3296" s="549"/>
      <c r="P3296" s="549"/>
      <c r="Q3296" s="1059"/>
      <c r="R3296" s="1059"/>
      <c r="S3296">
        <v>8</v>
      </c>
      <c r="T3296" s="126">
        <f t="shared" ref="T3296:T3297" si="583">J3296*S3296*I3296/1000</f>
        <v>0.61824000000000001</v>
      </c>
      <c r="U3296" s="497" t="s">
        <v>435</v>
      </c>
    </row>
    <row r="3297" spans="1:21" ht="17.399999999999999">
      <c r="A3297" s="549"/>
      <c r="B3297" s="753" t="s">
        <v>333</v>
      </c>
      <c r="C3297" s="549"/>
      <c r="D3297" s="549"/>
      <c r="E3297" s="549"/>
      <c r="F3297" s="549"/>
      <c r="G3297" s="549" t="s">
        <v>21</v>
      </c>
      <c r="H3297" s="549" t="s">
        <v>131</v>
      </c>
      <c r="I3297" s="560">
        <v>7.36</v>
      </c>
      <c r="J3297" s="567">
        <v>12</v>
      </c>
      <c r="K3297" s="648">
        <v>5</v>
      </c>
      <c r="L3297" s="552">
        <f>(I3297*J3297*K3297/1000)</f>
        <v>0.44160000000000005</v>
      </c>
      <c r="M3297" s="549"/>
      <c r="N3297" s="549"/>
      <c r="O3297" s="549"/>
      <c r="P3297" s="549"/>
      <c r="Q3297" s="1059"/>
      <c r="R3297" s="1059"/>
      <c r="S3297">
        <v>5</v>
      </c>
      <c r="T3297" s="126">
        <f t="shared" si="583"/>
        <v>0.44160000000000005</v>
      </c>
    </row>
    <row r="3298" spans="1:21" ht="17.399999999999999">
      <c r="A3298" s="549"/>
      <c r="B3298" s="549"/>
      <c r="C3298" s="549"/>
      <c r="D3298" s="549"/>
      <c r="E3298" s="549"/>
      <c r="F3298" s="549"/>
      <c r="G3298" s="549"/>
      <c r="H3298" s="549"/>
      <c r="I3298" s="560"/>
      <c r="J3298" s="567"/>
      <c r="K3298" s="648">
        <f t="shared" ref="K3298:L3298" si="584">SUM(K3296:K3297)</f>
        <v>17</v>
      </c>
      <c r="L3298" s="567">
        <f t="shared" si="584"/>
        <v>1.36896</v>
      </c>
      <c r="M3298" s="549"/>
      <c r="N3298" s="549"/>
      <c r="O3298" s="549"/>
      <c r="P3298" s="549"/>
      <c r="Q3298" s="549"/>
      <c r="R3298" s="549"/>
      <c r="S3298" s="648">
        <f t="shared" ref="S3298:T3298" si="585">SUM(S3296:S3297)</f>
        <v>13</v>
      </c>
      <c r="T3298" s="567">
        <f t="shared" si="585"/>
        <v>1.0598400000000001</v>
      </c>
    </row>
    <row r="3299" spans="1:21" ht="17.399999999999999">
      <c r="A3299" s="549"/>
      <c r="B3299" s="549"/>
      <c r="C3299" s="549"/>
      <c r="D3299" s="549"/>
      <c r="E3299" s="549"/>
      <c r="F3299" s="549"/>
      <c r="G3299" s="549"/>
      <c r="H3299" s="549"/>
      <c r="I3299" s="560"/>
      <c r="J3299" s="549"/>
      <c r="K3299" s="561"/>
      <c r="L3299" s="560"/>
      <c r="M3299" s="549"/>
      <c r="N3299" s="549"/>
      <c r="O3299" s="549"/>
      <c r="P3299" s="549"/>
      <c r="Q3299" s="1059"/>
      <c r="R3299" s="1059"/>
    </row>
    <row r="3300" spans="1:21" ht="17.399999999999999">
      <c r="A3300" s="547" t="s">
        <v>395</v>
      </c>
      <c r="B3300" s="547" t="s">
        <v>396</v>
      </c>
      <c r="C3300" s="547" t="s">
        <v>19</v>
      </c>
      <c r="D3300" s="547" t="s">
        <v>49</v>
      </c>
      <c r="E3300" s="547" t="s">
        <v>359</v>
      </c>
      <c r="F3300" s="549">
        <v>10</v>
      </c>
      <c r="G3300" s="747" t="s">
        <v>21</v>
      </c>
      <c r="H3300" s="794" t="s">
        <v>131</v>
      </c>
      <c r="I3300" s="1880">
        <v>7.36</v>
      </c>
      <c r="J3300" s="748">
        <v>12</v>
      </c>
      <c r="K3300" s="750">
        <v>70</v>
      </c>
      <c r="L3300" s="552">
        <f>(I3300*J3300*K3300/1000)</f>
        <v>6.1824000000000003</v>
      </c>
      <c r="M3300" s="549"/>
      <c r="N3300" s="549"/>
      <c r="O3300" s="549"/>
      <c r="P3300" s="549"/>
      <c r="Q3300" s="1059"/>
      <c r="R3300" s="1059"/>
      <c r="S3300">
        <f>31+37+30-28</f>
        <v>70</v>
      </c>
      <c r="T3300" s="126">
        <f t="shared" ref="T3300" si="586">J3300*S3300*I3300/1000</f>
        <v>6.1824000000000003</v>
      </c>
      <c r="U3300" s="497" t="s">
        <v>435</v>
      </c>
    </row>
    <row r="3301" spans="1:21" ht="17.399999999999999">
      <c r="A3301" s="549"/>
      <c r="B3301" s="746" t="s">
        <v>277</v>
      </c>
      <c r="C3301" s="549"/>
      <c r="D3301" s="549"/>
      <c r="E3301" s="549"/>
      <c r="F3301" s="549"/>
      <c r="G3301" s="747"/>
      <c r="H3301" s="747"/>
      <c r="I3301" s="1880"/>
      <c r="J3301" s="748"/>
      <c r="K3301" s="750">
        <f t="shared" ref="K3301:L3301" si="587">SUM(K3300)</f>
        <v>70</v>
      </c>
      <c r="L3301" s="748">
        <f t="shared" si="587"/>
        <v>6.1824000000000003</v>
      </c>
      <c r="M3301" s="549"/>
      <c r="N3301" s="549"/>
      <c r="O3301" s="549"/>
      <c r="P3301" s="549"/>
      <c r="Q3301" s="549"/>
      <c r="R3301" s="549"/>
      <c r="S3301" s="750">
        <f t="shared" ref="S3301:T3301" si="588">SUM(S3300)</f>
        <v>70</v>
      </c>
      <c r="T3301" s="748">
        <f t="shared" si="588"/>
        <v>6.1824000000000003</v>
      </c>
    </row>
    <row r="3302" spans="1:21" s="497" customFormat="1" ht="17.399999999999999">
      <c r="A3302" s="549"/>
      <c r="B3302" s="746"/>
      <c r="C3302" s="549"/>
      <c r="D3302" s="549"/>
      <c r="E3302" s="549"/>
      <c r="F3302" s="549"/>
      <c r="G3302" s="747"/>
      <c r="H3302" s="747"/>
      <c r="I3302" s="1880"/>
      <c r="J3302" s="748"/>
      <c r="K3302" s="750"/>
      <c r="L3302" s="748"/>
      <c r="M3302" s="549"/>
      <c r="N3302" s="549"/>
      <c r="O3302" s="549"/>
      <c r="P3302" s="549"/>
      <c r="Q3302" s="1059"/>
      <c r="R3302" s="1059"/>
    </row>
    <row r="3303" spans="1:21" s="497" customFormat="1" ht="17.399999999999999">
      <c r="A3303" s="547" t="s">
        <v>332</v>
      </c>
      <c r="B3303" s="547" t="s">
        <v>341</v>
      </c>
      <c r="C3303" s="547" t="s">
        <v>19</v>
      </c>
      <c r="D3303" s="547" t="s">
        <v>49</v>
      </c>
      <c r="E3303" s="547" t="s">
        <v>359</v>
      </c>
      <c r="F3303" s="549">
        <v>10</v>
      </c>
      <c r="G3303" s="747" t="s">
        <v>21</v>
      </c>
      <c r="H3303" s="794" t="s">
        <v>131</v>
      </c>
      <c r="I3303" s="1880">
        <v>7.36</v>
      </c>
      <c r="J3303" s="748">
        <v>12</v>
      </c>
      <c r="K3303" s="750">
        <v>4</v>
      </c>
      <c r="L3303" s="552">
        <f>(I3303*J3303*K3303/1000)</f>
        <v>0.35328000000000004</v>
      </c>
      <c r="M3303" s="549"/>
      <c r="N3303" s="549"/>
      <c r="O3303" s="549"/>
      <c r="P3303" s="549"/>
      <c r="Q3303" s="1059"/>
      <c r="R3303" s="1059"/>
      <c r="S3303" s="497">
        <v>4</v>
      </c>
      <c r="T3303" s="126">
        <f t="shared" ref="T3303" si="589">J3303*S3303*I3303/1000</f>
        <v>0.35328000000000004</v>
      </c>
      <c r="U3303" s="497" t="s">
        <v>435</v>
      </c>
    </row>
    <row r="3304" spans="1:21" s="497" customFormat="1" ht="17.399999999999999">
      <c r="A3304" s="549"/>
      <c r="B3304" s="746" t="s">
        <v>331</v>
      </c>
      <c r="C3304" s="549"/>
      <c r="D3304" s="549"/>
      <c r="E3304" s="549"/>
      <c r="F3304" s="549"/>
      <c r="G3304" s="747"/>
      <c r="H3304" s="747"/>
      <c r="I3304" s="1880"/>
      <c r="J3304" s="748"/>
      <c r="K3304" s="750">
        <f t="shared" ref="K3304:L3304" si="590">SUM(K3303)</f>
        <v>4</v>
      </c>
      <c r="L3304" s="748">
        <f t="shared" si="590"/>
        <v>0.35328000000000004</v>
      </c>
      <c r="M3304" s="549"/>
      <c r="N3304" s="549"/>
      <c r="O3304" s="549"/>
      <c r="P3304" s="549"/>
      <c r="Q3304" s="549"/>
      <c r="R3304" s="549"/>
      <c r="S3304" s="750">
        <f t="shared" ref="S3304:T3304" si="591">SUM(S3303)</f>
        <v>4</v>
      </c>
      <c r="T3304" s="748">
        <f t="shared" si="591"/>
        <v>0.35328000000000004</v>
      </c>
    </row>
    <row r="3305" spans="1:21" s="497" customFormat="1" ht="17.399999999999999">
      <c r="A3305" s="549"/>
      <c r="B3305" s="746"/>
      <c r="C3305" s="549"/>
      <c r="D3305" s="549"/>
      <c r="E3305" s="549"/>
      <c r="F3305" s="549"/>
      <c r="G3305" s="747"/>
      <c r="H3305" s="747"/>
      <c r="I3305" s="1880"/>
      <c r="J3305" s="748"/>
      <c r="K3305" s="749"/>
      <c r="L3305" s="748"/>
      <c r="M3305" s="549"/>
      <c r="N3305" s="549"/>
      <c r="O3305" s="549"/>
      <c r="P3305" s="549"/>
      <c r="Q3305" s="1059"/>
      <c r="R3305" s="1059"/>
    </row>
    <row r="3306" spans="1:21" s="497" customFormat="1" ht="17.399999999999999">
      <c r="A3306" s="547" t="s">
        <v>395</v>
      </c>
      <c r="B3306" s="547" t="s">
        <v>341</v>
      </c>
      <c r="C3306" s="547" t="s">
        <v>19</v>
      </c>
      <c r="D3306" s="547" t="s">
        <v>49</v>
      </c>
      <c r="E3306" s="547" t="s">
        <v>359</v>
      </c>
      <c r="F3306" s="549">
        <v>10</v>
      </c>
      <c r="G3306" s="747" t="s">
        <v>21</v>
      </c>
      <c r="H3306" s="794" t="s">
        <v>131</v>
      </c>
      <c r="I3306" s="1880">
        <v>7.36</v>
      </c>
      <c r="J3306" s="756">
        <v>7</v>
      </c>
      <c r="K3306" s="757">
        <v>4</v>
      </c>
      <c r="L3306" s="552">
        <f t="shared" ref="L3306:L3309" si="592">(I3306*J3306*K3306/1000)</f>
        <v>0.20608000000000001</v>
      </c>
      <c r="M3306" s="549"/>
      <c r="N3306" s="549"/>
      <c r="O3306" s="756">
        <v>6.75</v>
      </c>
      <c r="P3306" s="549"/>
      <c r="Q3306" s="1059"/>
      <c r="R3306" s="1059"/>
      <c r="S3306" s="497">
        <f>1+3</f>
        <v>4</v>
      </c>
      <c r="T3306" s="126">
        <f t="shared" ref="T3306:T3309" si="593">J3306*S3306*I3306/1000</f>
        <v>0.20608000000000001</v>
      </c>
      <c r="U3306" s="497" t="s">
        <v>435</v>
      </c>
    </row>
    <row r="3307" spans="1:21" s="497" customFormat="1" ht="17.399999999999999">
      <c r="A3307" s="549"/>
      <c r="B3307" s="746" t="s">
        <v>277</v>
      </c>
      <c r="C3307" s="549"/>
      <c r="D3307" s="549"/>
      <c r="E3307" s="549"/>
      <c r="F3307" s="549"/>
      <c r="G3307" s="747" t="s">
        <v>21</v>
      </c>
      <c r="H3307" s="747" t="s">
        <v>131</v>
      </c>
      <c r="I3307" s="1880">
        <v>7.36</v>
      </c>
      <c r="J3307" s="756">
        <v>7</v>
      </c>
      <c r="K3307" s="757">
        <v>108</v>
      </c>
      <c r="L3307" s="552">
        <f t="shared" si="592"/>
        <v>5.5641600000000011</v>
      </c>
      <c r="M3307" s="549"/>
      <c r="N3307" s="549"/>
      <c r="O3307" s="549"/>
      <c r="P3307" s="549"/>
      <c r="Q3307" s="1059"/>
      <c r="R3307" s="1059"/>
      <c r="S3307" s="497">
        <f>15+37+37+27-8</f>
        <v>108</v>
      </c>
      <c r="T3307" s="126">
        <f t="shared" si="593"/>
        <v>5.5641600000000002</v>
      </c>
    </row>
    <row r="3308" spans="1:21" s="497" customFormat="1" ht="17.399999999999999">
      <c r="A3308" s="549"/>
      <c r="B3308" s="746"/>
      <c r="C3308" s="549"/>
      <c r="D3308" s="549"/>
      <c r="E3308" s="549"/>
      <c r="F3308" s="549"/>
      <c r="G3308" s="747" t="s">
        <v>21</v>
      </c>
      <c r="H3308" s="747" t="s">
        <v>131</v>
      </c>
      <c r="I3308" s="1880">
        <v>7.36</v>
      </c>
      <c r="J3308" s="756">
        <v>9.5</v>
      </c>
      <c r="K3308" s="757">
        <v>7</v>
      </c>
      <c r="L3308" s="552">
        <f t="shared" si="592"/>
        <v>0.48943999999999999</v>
      </c>
      <c r="M3308" s="549"/>
      <c r="N3308" s="549"/>
      <c r="O3308" s="549"/>
      <c r="P3308" s="549"/>
      <c r="Q3308" s="1059"/>
      <c r="R3308" s="1059"/>
      <c r="S3308" s="497">
        <v>3</v>
      </c>
      <c r="T3308" s="126">
        <f t="shared" si="593"/>
        <v>0.20976000000000003</v>
      </c>
    </row>
    <row r="3309" spans="1:21" s="497" customFormat="1" ht="17.399999999999999">
      <c r="A3309" s="549"/>
      <c r="B3309" s="746"/>
      <c r="C3309" s="549"/>
      <c r="D3309" s="549"/>
      <c r="E3309" s="549"/>
      <c r="F3309" s="549"/>
      <c r="G3309" s="747" t="s">
        <v>21</v>
      </c>
      <c r="H3309" s="747" t="s">
        <v>131</v>
      </c>
      <c r="I3309" s="1880">
        <v>7.36</v>
      </c>
      <c r="J3309" s="756">
        <v>12</v>
      </c>
      <c r="K3309" s="757">
        <v>20</v>
      </c>
      <c r="L3309" s="552">
        <f t="shared" si="592"/>
        <v>1.7664000000000002</v>
      </c>
      <c r="M3309" s="549"/>
      <c r="N3309" s="549"/>
      <c r="O3309" s="549"/>
      <c r="P3309" s="549"/>
      <c r="Q3309" s="1059"/>
      <c r="R3309" s="1059"/>
      <c r="S3309" s="497">
        <v>20</v>
      </c>
      <c r="T3309" s="126">
        <f t="shared" si="593"/>
        <v>1.7664000000000002</v>
      </c>
    </row>
    <row r="3310" spans="1:21" s="497" customFormat="1" ht="17.399999999999999">
      <c r="A3310" s="549"/>
      <c r="B3310" s="746"/>
      <c r="C3310" s="549"/>
      <c r="D3310" s="549"/>
      <c r="E3310" s="549"/>
      <c r="F3310" s="549"/>
      <c r="G3310" s="747"/>
      <c r="H3310" s="747"/>
      <c r="I3310" s="1880"/>
      <c r="J3310" s="748"/>
      <c r="K3310" s="749">
        <f t="shared" ref="K3310" si="594">SUM(K3306:K3309)</f>
        <v>139</v>
      </c>
      <c r="L3310" s="748">
        <f>SUM(L3306:L3309)</f>
        <v>8.0260800000000021</v>
      </c>
      <c r="M3310" s="549"/>
      <c r="N3310" s="549"/>
      <c r="O3310" s="549"/>
      <c r="P3310" s="549"/>
      <c r="Q3310" s="549"/>
      <c r="R3310" s="549"/>
      <c r="S3310" s="749">
        <f t="shared" ref="S3310" si="595">SUM(S3306:S3309)</f>
        <v>135</v>
      </c>
      <c r="T3310" s="748">
        <f>SUM(T3306:T3309)</f>
        <v>7.7464000000000004</v>
      </c>
    </row>
    <row r="3311" spans="1:21" s="497" customFormat="1" ht="17.399999999999999">
      <c r="A3311" s="549"/>
      <c r="B3311" s="746"/>
      <c r="C3311" s="549"/>
      <c r="D3311" s="549"/>
      <c r="E3311" s="549"/>
      <c r="F3311" s="549"/>
      <c r="G3311" s="747"/>
      <c r="H3311" s="747"/>
      <c r="I3311" s="1880"/>
      <c r="J3311" s="748"/>
      <c r="K3311" s="749"/>
      <c r="L3311" s="748"/>
      <c r="M3311" s="549"/>
      <c r="N3311" s="549"/>
      <c r="O3311" s="549"/>
      <c r="P3311" s="549"/>
      <c r="Q3311" s="1059"/>
      <c r="R3311" s="1059"/>
    </row>
    <row r="3312" spans="1:21" s="497" customFormat="1" ht="17.399999999999999">
      <c r="A3312" s="547" t="s">
        <v>332</v>
      </c>
      <c r="B3312" s="547" t="s">
        <v>341</v>
      </c>
      <c r="C3312" s="547" t="s">
        <v>19</v>
      </c>
      <c r="D3312" s="547" t="s">
        <v>20</v>
      </c>
      <c r="E3312" s="547" t="s">
        <v>175</v>
      </c>
      <c r="F3312" s="549">
        <v>10</v>
      </c>
      <c r="G3312" s="754" t="s">
        <v>21</v>
      </c>
      <c r="H3312" s="794" t="s">
        <v>131</v>
      </c>
      <c r="I3312" s="558">
        <v>7.34</v>
      </c>
      <c r="J3312" s="567">
        <v>10</v>
      </c>
      <c r="K3312" s="648">
        <v>1</v>
      </c>
      <c r="L3312" s="552">
        <f>(I3312*J3312*K3312/1000)</f>
        <v>7.3400000000000007E-2</v>
      </c>
      <c r="M3312" s="549"/>
      <c r="N3312" s="549"/>
      <c r="O3312" s="549"/>
      <c r="P3312" s="549"/>
      <c r="Q3312" s="1059"/>
      <c r="R3312" s="1059"/>
      <c r="U3312" s="759" t="s">
        <v>435</v>
      </c>
    </row>
    <row r="3313" spans="1:23" s="497" customFormat="1" ht="17.399999999999999">
      <c r="A3313" s="549"/>
      <c r="B3313" s="752" t="s">
        <v>421</v>
      </c>
      <c r="C3313" s="549"/>
      <c r="D3313" s="549"/>
      <c r="E3313" s="549"/>
      <c r="F3313" s="549"/>
      <c r="G3313" s="549"/>
      <c r="H3313" s="549"/>
      <c r="I3313" s="560"/>
      <c r="J3313" s="567"/>
      <c r="K3313" s="648">
        <f t="shared" ref="K3313" si="596">SUM(K3312)</f>
        <v>1</v>
      </c>
      <c r="L3313" s="567">
        <f>SUM(L3312)</f>
        <v>7.3400000000000007E-2</v>
      </c>
      <c r="M3313" s="549"/>
      <c r="N3313" s="549"/>
      <c r="O3313" s="549"/>
      <c r="P3313" s="549"/>
      <c r="Q3313" s="1059"/>
      <c r="R3313" s="1059"/>
    </row>
    <row r="3314" spans="1:23" s="497" customFormat="1" ht="17.399999999999999">
      <c r="A3314" s="549"/>
      <c r="B3314" s="752"/>
      <c r="C3314" s="549"/>
      <c r="D3314" s="549"/>
      <c r="E3314" s="549"/>
      <c r="F3314" s="549"/>
      <c r="G3314" s="549"/>
      <c r="H3314" s="549"/>
      <c r="I3314" s="560"/>
      <c r="J3314" s="567"/>
      <c r="K3314" s="648">
        <f>+K3313+K3310+K3304+K3301+K3298</f>
        <v>231</v>
      </c>
      <c r="L3314" s="567">
        <f>+L3313+L3310+L3304+L3301+L3298+L3294</f>
        <v>17.417240000000003</v>
      </c>
      <c r="M3314" s="549"/>
      <c r="N3314" s="549"/>
      <c r="O3314" s="549"/>
      <c r="P3314" s="549"/>
      <c r="Q3314" s="1059"/>
      <c r="R3314" s="1059"/>
      <c r="T3314" s="567">
        <f>+T3313+T3310+T3304+T3301+T3298+T3294</f>
        <v>16.755040000000001</v>
      </c>
    </row>
    <row r="3315" spans="1:23" s="497" customFormat="1" ht="17.399999999999999">
      <c r="A3315" s="549"/>
      <c r="B3315" s="752"/>
      <c r="C3315" s="549"/>
      <c r="D3315" s="549"/>
      <c r="E3315" s="549"/>
      <c r="F3315" s="549"/>
      <c r="G3315" s="549"/>
      <c r="H3315" s="549"/>
      <c r="I3315" s="560"/>
      <c r="J3315" s="567"/>
      <c r="K3315" s="648"/>
      <c r="L3315" s="567"/>
      <c r="M3315" s="549"/>
      <c r="N3315" s="549"/>
      <c r="O3315" s="549"/>
      <c r="P3315" s="549"/>
      <c r="Q3315" s="1059"/>
      <c r="R3315" s="1059"/>
    </row>
    <row r="3316" spans="1:23" ht="17.399999999999999">
      <c r="A3316" s="549"/>
      <c r="B3316" s="549"/>
      <c r="C3316" s="549"/>
      <c r="D3316" s="549"/>
      <c r="E3316" s="549"/>
      <c r="F3316" s="549"/>
      <c r="G3316" s="549"/>
      <c r="H3316" s="549"/>
      <c r="I3316" s="560"/>
      <c r="J3316" s="549"/>
      <c r="K3316" s="652"/>
      <c r="L3316" s="565"/>
      <c r="M3316" s="652"/>
      <c r="N3316" s="565"/>
      <c r="O3316" s="565"/>
      <c r="P3316" s="549"/>
      <c r="Q3316" s="1059"/>
      <c r="R3316" s="1059"/>
    </row>
    <row r="3317" spans="1:23" s="497" customFormat="1" ht="17.399999999999999">
      <c r="A3317" s="549"/>
      <c r="B3317" s="549"/>
      <c r="C3317" s="549"/>
      <c r="D3317" s="549"/>
      <c r="E3317" s="549"/>
      <c r="F3317" s="549"/>
      <c r="G3317" s="549"/>
      <c r="H3317" s="549"/>
      <c r="I3317" s="560"/>
      <c r="J3317" s="549"/>
      <c r="K3317" s="561"/>
      <c r="L3317" s="565"/>
      <c r="M3317" s="549"/>
      <c r="N3317" s="549"/>
      <c r="O3317" s="565"/>
      <c r="P3317" s="549"/>
      <c r="Q3317" s="1059"/>
      <c r="R3317" s="1059"/>
    </row>
    <row r="3318" spans="1:23" ht="17.399999999999999">
      <c r="A3318" s="549"/>
      <c r="B3318" s="549"/>
      <c r="C3318" s="549"/>
      <c r="D3318" s="549"/>
      <c r="E3318" s="549"/>
      <c r="F3318" s="549"/>
      <c r="G3318" s="549"/>
      <c r="H3318" s="549"/>
      <c r="I3318" s="560"/>
      <c r="J3318" s="549"/>
      <c r="K3318" s="561"/>
      <c r="L3318" s="560"/>
      <c r="M3318" s="549"/>
      <c r="N3318" s="549"/>
      <c r="O3318" s="549"/>
      <c r="P3318" s="549"/>
      <c r="Q3318" s="1059"/>
      <c r="R3318" s="1059"/>
      <c r="S3318" s="497" t="s">
        <v>440</v>
      </c>
    </row>
    <row r="3319" spans="1:23" ht="17.399999999999999">
      <c r="A3319" s="547" t="s">
        <v>332</v>
      </c>
      <c r="B3319" s="547" t="s">
        <v>381</v>
      </c>
      <c r="C3319" s="547" t="s">
        <v>19</v>
      </c>
      <c r="D3319" s="547" t="s">
        <v>20</v>
      </c>
      <c r="E3319" s="547" t="s">
        <v>47</v>
      </c>
      <c r="F3319" s="549">
        <v>10</v>
      </c>
      <c r="G3319" s="549" t="s">
        <v>21</v>
      </c>
      <c r="H3319" s="599" t="s">
        <v>130</v>
      </c>
      <c r="I3319" s="560">
        <v>6.17</v>
      </c>
      <c r="J3319" s="567">
        <v>10.5</v>
      </c>
      <c r="K3319" s="648">
        <v>65</v>
      </c>
      <c r="L3319" s="552">
        <f t="shared" ref="L3319:L3322" si="597">(I3319*J3319*K3319/1000)</f>
        <v>4.2110249999999994</v>
      </c>
      <c r="M3319" s="549"/>
      <c r="N3319" s="647">
        <f>J3319*M3319*I3319/1000</f>
        <v>0</v>
      </c>
      <c r="O3319" s="549"/>
      <c r="P3319" s="549"/>
      <c r="Q3319" s="1059"/>
      <c r="R3319" s="1059"/>
      <c r="S3319">
        <v>11</v>
      </c>
      <c r="T3319" s="126">
        <f t="shared" ref="T3319:T3322" si="598">J3319*S3319*I3319/1000</f>
        <v>0.71263500000000002</v>
      </c>
      <c r="U3319">
        <v>13</v>
      </c>
      <c r="V3319" s="126">
        <f>J3319*U3319*I3319/1000</f>
        <v>0.84220500000000009</v>
      </c>
    </row>
    <row r="3320" spans="1:23" ht="17.399999999999999">
      <c r="A3320" s="549"/>
      <c r="B3320" s="559" t="s">
        <v>340</v>
      </c>
      <c r="C3320" s="549"/>
      <c r="D3320" s="549"/>
      <c r="E3320" s="549"/>
      <c r="F3320" s="549"/>
      <c r="G3320" s="549" t="s">
        <v>21</v>
      </c>
      <c r="H3320" s="549" t="s">
        <v>130</v>
      </c>
      <c r="I3320" s="560">
        <v>6.17</v>
      </c>
      <c r="J3320" s="567">
        <v>10.85</v>
      </c>
      <c r="K3320" s="648">
        <v>96</v>
      </c>
      <c r="L3320" s="552">
        <f t="shared" si="597"/>
        <v>6.4266719999999991</v>
      </c>
      <c r="M3320" s="549">
        <v>1</v>
      </c>
      <c r="N3320" s="647">
        <f t="shared" ref="N3320:N3322" si="599">J3320*M3320*I3320/1000</f>
        <v>6.694449999999999E-2</v>
      </c>
      <c r="O3320" s="549"/>
      <c r="P3320" s="549"/>
      <c r="Q3320" s="1059"/>
      <c r="R3320" s="1059"/>
      <c r="S3320">
        <v>32</v>
      </c>
      <c r="T3320" s="126">
        <f t="shared" si="598"/>
        <v>2.1422239999999997</v>
      </c>
      <c r="U3320">
        <v>17</v>
      </c>
      <c r="V3320" s="126">
        <f t="shared" ref="V3320:V3321" si="600">J3320*U3320*I3320/1000</f>
        <v>1.1380564999999998</v>
      </c>
    </row>
    <row r="3321" spans="1:23" ht="17.399999999999999">
      <c r="A3321" s="549"/>
      <c r="B3321" s="549"/>
      <c r="C3321" s="549"/>
      <c r="D3321" s="549"/>
      <c r="E3321" s="549"/>
      <c r="F3321" s="549"/>
      <c r="G3321" s="549" t="s">
        <v>21</v>
      </c>
      <c r="H3321" s="549" t="s">
        <v>130</v>
      </c>
      <c r="I3321" s="560">
        <v>6.17</v>
      </c>
      <c r="J3321" s="567">
        <v>11.5</v>
      </c>
      <c r="K3321" s="648">
        <v>64</v>
      </c>
      <c r="L3321" s="552">
        <f t="shared" si="597"/>
        <v>4.5411200000000003</v>
      </c>
      <c r="M3321" s="549">
        <v>3</v>
      </c>
      <c r="N3321" s="647">
        <f t="shared" si="599"/>
        <v>0.212865</v>
      </c>
      <c r="O3321" s="549"/>
      <c r="P3321" s="549"/>
      <c r="Q3321" s="1059"/>
      <c r="R3321" s="1059"/>
      <c r="S3321">
        <v>25</v>
      </c>
      <c r="T3321" s="126">
        <f t="shared" si="598"/>
        <v>1.7738750000000001</v>
      </c>
      <c r="U3321">
        <v>5</v>
      </c>
      <c r="V3321" s="126">
        <f t="shared" si="600"/>
        <v>0.35477499999999995</v>
      </c>
    </row>
    <row r="3322" spans="1:23" ht="17.399999999999999">
      <c r="A3322" s="549"/>
      <c r="B3322" s="549"/>
      <c r="C3322" s="549"/>
      <c r="D3322" s="549"/>
      <c r="E3322" s="549"/>
      <c r="F3322" s="549"/>
      <c r="G3322" s="549" t="s">
        <v>21</v>
      </c>
      <c r="H3322" s="549" t="s">
        <v>130</v>
      </c>
      <c r="I3322" s="560">
        <v>6.17</v>
      </c>
      <c r="J3322" s="567">
        <v>12</v>
      </c>
      <c r="K3322" s="648">
        <v>28</v>
      </c>
      <c r="L3322" s="552">
        <f t="shared" si="597"/>
        <v>2.0731199999999999</v>
      </c>
      <c r="M3322" s="549">
        <v>4</v>
      </c>
      <c r="N3322" s="647">
        <f t="shared" si="599"/>
        <v>0.29615999999999998</v>
      </c>
      <c r="O3322" s="549"/>
      <c r="P3322" s="549"/>
      <c r="Q3322" s="1059"/>
      <c r="R3322" s="1059"/>
      <c r="S3322">
        <f>28-4</f>
        <v>24</v>
      </c>
      <c r="T3322" s="126">
        <f t="shared" si="598"/>
        <v>1.7769600000000001</v>
      </c>
    </row>
    <row r="3323" spans="1:23" ht="17.399999999999999">
      <c r="A3323" s="549"/>
      <c r="B3323" s="549"/>
      <c r="C3323" s="549"/>
      <c r="D3323" s="549"/>
      <c r="E3323" s="549"/>
      <c r="F3323" s="549"/>
      <c r="G3323" s="549"/>
      <c r="H3323" s="549"/>
      <c r="I3323" s="560"/>
      <c r="J3323" s="567"/>
      <c r="K3323" s="648">
        <f>SUM(K3319:K3322)</f>
        <v>253</v>
      </c>
      <c r="L3323" s="567">
        <f>SUM(L3319:L3322)</f>
        <v>17.251936999999998</v>
      </c>
      <c r="M3323" s="648">
        <f>SUM(M3319:M3322)</f>
        <v>8</v>
      </c>
      <c r="N3323" s="567">
        <f>SUM(N3319:N3322)</f>
        <v>0.57596950000000002</v>
      </c>
      <c r="O3323" s="549"/>
      <c r="P3323" s="549"/>
      <c r="Q3323" s="549"/>
      <c r="R3323" s="549"/>
      <c r="S3323" s="648">
        <f>SUM(S3319:S3322)</f>
        <v>92</v>
      </c>
      <c r="T3323" s="567">
        <f>SUM(T3319:T3322)</f>
        <v>6.4056939999999996</v>
      </c>
      <c r="U3323" s="648">
        <f>SUM(U3319:U3322)</f>
        <v>35</v>
      </c>
      <c r="V3323" s="567">
        <f>SUM(V3319:V3322)</f>
        <v>2.3350364999999997</v>
      </c>
    </row>
    <row r="3324" spans="1:23" s="497" customFormat="1" ht="17.399999999999999">
      <c r="A3324" s="549"/>
      <c r="B3324" s="549"/>
      <c r="C3324" s="549"/>
      <c r="D3324" s="549"/>
      <c r="E3324" s="549"/>
      <c r="F3324" s="549"/>
      <c r="G3324" s="549"/>
      <c r="H3324" s="549"/>
      <c r="I3324" s="560"/>
      <c r="J3324" s="567"/>
      <c r="K3324" s="648"/>
      <c r="L3324" s="567"/>
      <c r="M3324" s="549"/>
      <c r="N3324" s="549"/>
      <c r="O3324" s="549"/>
      <c r="P3324" s="549"/>
      <c r="Q3324" s="1059"/>
      <c r="R3324" s="1059"/>
    </row>
    <row r="3325" spans="1:23" ht="17.399999999999999">
      <c r="A3325" s="547" t="s">
        <v>332</v>
      </c>
      <c r="B3325" s="21" t="s">
        <v>382</v>
      </c>
      <c r="C3325" s="547" t="s">
        <v>19</v>
      </c>
      <c r="D3325" s="547" t="s">
        <v>20</v>
      </c>
      <c r="E3325" s="547" t="s">
        <v>359</v>
      </c>
      <c r="F3325" s="549">
        <v>10</v>
      </c>
      <c r="G3325" s="549" t="s">
        <v>21</v>
      </c>
      <c r="H3325" s="599" t="s">
        <v>130</v>
      </c>
      <c r="I3325" s="560">
        <v>6.17</v>
      </c>
      <c r="J3325" s="567">
        <v>12</v>
      </c>
      <c r="K3325" s="648">
        <v>17</v>
      </c>
      <c r="L3325" s="552">
        <f>(I3325*J3325*K3325/1000)</f>
        <v>1.2586799999999998</v>
      </c>
      <c r="M3325" s="549"/>
      <c r="N3325" s="549"/>
      <c r="O3325" s="549"/>
      <c r="P3325" s="549"/>
      <c r="Q3325" s="1059"/>
      <c r="R3325" s="1059"/>
      <c r="S3325">
        <f>6+4</f>
        <v>10</v>
      </c>
      <c r="T3325" s="126">
        <f t="shared" ref="T3325" si="601">J3325*S3325*I3325/1000</f>
        <v>0.74039999999999995</v>
      </c>
      <c r="U3325">
        <v>7</v>
      </c>
      <c r="V3325" s="126">
        <f t="shared" ref="V3325" si="602">J3325*U3325*I3325/1000</f>
        <v>0.51827999999999996</v>
      </c>
      <c r="W3325" s="497" t="s">
        <v>440</v>
      </c>
    </row>
    <row r="3326" spans="1:23" ht="17.399999999999999">
      <c r="A3326" s="549"/>
      <c r="B3326" s="21" t="s">
        <v>331</v>
      </c>
      <c r="C3326" s="549"/>
      <c r="D3326" s="549"/>
      <c r="E3326" s="549"/>
      <c r="F3326" s="549"/>
      <c r="G3326" s="549"/>
      <c r="H3326" s="549"/>
      <c r="I3326" s="560"/>
      <c r="J3326" s="567"/>
      <c r="K3326" s="648">
        <f t="shared" ref="K3326:L3326" si="603">SUM(K3325)</f>
        <v>17</v>
      </c>
      <c r="L3326" s="567">
        <f t="shared" si="603"/>
        <v>1.2586799999999998</v>
      </c>
      <c r="M3326" s="549"/>
      <c r="N3326" s="549"/>
      <c r="O3326" s="549"/>
      <c r="P3326" s="549"/>
      <c r="Q3326" s="549"/>
      <c r="R3326" s="549"/>
      <c r="S3326" s="648">
        <f t="shared" ref="S3326:V3326" si="604">SUM(S3325)</f>
        <v>10</v>
      </c>
      <c r="T3326" s="567">
        <f t="shared" si="604"/>
        <v>0.74039999999999995</v>
      </c>
      <c r="U3326" s="648">
        <f t="shared" si="604"/>
        <v>7</v>
      </c>
      <c r="V3326" s="567">
        <f t="shared" si="604"/>
        <v>0.51827999999999996</v>
      </c>
    </row>
    <row r="3327" spans="1:23" s="497" customFormat="1" ht="17.399999999999999">
      <c r="A3327" s="549"/>
      <c r="B3327" s="559"/>
      <c r="C3327" s="549"/>
      <c r="D3327" s="549"/>
      <c r="E3327" s="549"/>
      <c r="F3327" s="549"/>
      <c r="G3327" s="549"/>
      <c r="H3327" s="549"/>
      <c r="I3327" s="560"/>
      <c r="J3327" s="567"/>
      <c r="K3327" s="648"/>
      <c r="L3327" s="567"/>
      <c r="M3327" s="549"/>
      <c r="N3327" s="549"/>
      <c r="O3327" s="549"/>
      <c r="P3327" s="549"/>
      <c r="Q3327" s="1059"/>
      <c r="R3327" s="1059"/>
    </row>
    <row r="3328" spans="1:23" ht="17.399999999999999">
      <c r="A3328" s="547" t="s">
        <v>395</v>
      </c>
      <c r="B3328" s="547" t="s">
        <v>396</v>
      </c>
      <c r="C3328" s="547" t="s">
        <v>19</v>
      </c>
      <c r="D3328" s="547" t="s">
        <v>49</v>
      </c>
      <c r="E3328" s="547" t="s">
        <v>359</v>
      </c>
      <c r="F3328" s="549">
        <v>10</v>
      </c>
      <c r="G3328" s="747" t="s">
        <v>21</v>
      </c>
      <c r="H3328" s="794" t="s">
        <v>130</v>
      </c>
      <c r="I3328" s="1880">
        <v>6.17</v>
      </c>
      <c r="J3328" s="748">
        <v>12</v>
      </c>
      <c r="K3328" s="750">
        <v>44</v>
      </c>
      <c r="L3328" s="552">
        <f>(I3328*J3328*K3328/1000)</f>
        <v>3.2577599999999998</v>
      </c>
      <c r="M3328" s="549"/>
      <c r="N3328" s="549"/>
      <c r="O3328" s="549"/>
      <c r="P3328" s="549"/>
      <c r="Q3328" s="1059"/>
      <c r="R3328" s="1059"/>
      <c r="S3328" s="497" t="s">
        <v>441</v>
      </c>
    </row>
    <row r="3329" spans="1:22" ht="17.399999999999999">
      <c r="A3329" s="549"/>
      <c r="B3329" s="746" t="s">
        <v>277</v>
      </c>
      <c r="C3329" s="549"/>
      <c r="D3329" s="549"/>
      <c r="E3329" s="549"/>
      <c r="F3329" s="549"/>
      <c r="G3329" s="747"/>
      <c r="H3329" s="747"/>
      <c r="I3329" s="1880"/>
      <c r="J3329" s="748"/>
      <c r="K3329" s="750">
        <f t="shared" ref="K3329:L3329" si="605">SUM(K3328)</f>
        <v>44</v>
      </c>
      <c r="L3329" s="748">
        <f t="shared" si="605"/>
        <v>3.2577599999999998</v>
      </c>
      <c r="M3329" s="549"/>
      <c r="N3329" s="549"/>
      <c r="O3329" s="549"/>
      <c r="P3329" s="549"/>
      <c r="Q3329" s="1059"/>
      <c r="R3329" s="1059"/>
    </row>
    <row r="3330" spans="1:22" s="497" customFormat="1" ht="17.399999999999999">
      <c r="A3330" s="549"/>
      <c r="B3330" s="746"/>
      <c r="C3330" s="549"/>
      <c r="D3330" s="549"/>
      <c r="E3330" s="549"/>
      <c r="F3330" s="549"/>
      <c r="G3330" s="747"/>
      <c r="H3330" s="747"/>
      <c r="I3330" s="1880"/>
      <c r="J3330" s="748"/>
      <c r="K3330" s="750"/>
      <c r="L3330" s="748"/>
      <c r="M3330" s="549"/>
      <c r="N3330" s="549"/>
      <c r="O3330" s="549"/>
      <c r="P3330" s="549"/>
      <c r="Q3330" s="1059"/>
      <c r="R3330" s="1059"/>
      <c r="S3330" s="497" t="s">
        <v>441</v>
      </c>
    </row>
    <row r="3331" spans="1:22" s="497" customFormat="1" ht="17.399999999999999">
      <c r="A3331" s="547" t="s">
        <v>395</v>
      </c>
      <c r="B3331" s="547" t="s">
        <v>341</v>
      </c>
      <c r="C3331" s="547" t="s">
        <v>19</v>
      </c>
      <c r="D3331" s="547" t="s">
        <v>49</v>
      </c>
      <c r="E3331" s="547" t="s">
        <v>359</v>
      </c>
      <c r="F3331" s="549">
        <v>10</v>
      </c>
      <c r="G3331" s="747" t="s">
        <v>21</v>
      </c>
      <c r="H3331" s="794" t="s">
        <v>130</v>
      </c>
      <c r="I3331" s="1880">
        <v>6.17</v>
      </c>
      <c r="J3331" s="756">
        <v>7.25</v>
      </c>
      <c r="K3331" s="757">
        <v>40</v>
      </c>
      <c r="L3331" s="552">
        <f t="shared" ref="L3331:L3335" si="606">(I3331*J3331*K3331/1000)</f>
        <v>1.7893000000000001</v>
      </c>
      <c r="M3331" s="549">
        <v>2</v>
      </c>
      <c r="N3331" s="647">
        <f t="shared" ref="N3331:N3335" si="607">J3331*M3331*I3331/1000</f>
        <v>8.9465000000000003E-2</v>
      </c>
      <c r="O3331" s="549"/>
      <c r="P3331" s="549"/>
      <c r="Q3331" s="1059"/>
      <c r="R3331" s="1059"/>
      <c r="S3331" s="497">
        <v>16</v>
      </c>
      <c r="T3331" s="126">
        <f t="shared" ref="T3331:T3335" si="608">J3331*S3331*I3331/1000</f>
        <v>0.71572000000000002</v>
      </c>
      <c r="U3331" s="497">
        <v>5</v>
      </c>
      <c r="V3331" s="126">
        <f>J3331*U3331*I3331/1000</f>
        <v>0.22366249999999999</v>
      </c>
    </row>
    <row r="3332" spans="1:22" s="497" customFormat="1" ht="17.399999999999999">
      <c r="A3332" s="549"/>
      <c r="B3332" s="746" t="s">
        <v>277</v>
      </c>
      <c r="C3332" s="549"/>
      <c r="D3332" s="549"/>
      <c r="E3332" s="549"/>
      <c r="F3332" s="549"/>
      <c r="G3332" s="747" t="s">
        <v>21</v>
      </c>
      <c r="H3332" s="747" t="s">
        <v>130</v>
      </c>
      <c r="I3332" s="1880">
        <v>6.17</v>
      </c>
      <c r="J3332" s="756">
        <v>7.8</v>
      </c>
      <c r="K3332" s="757">
        <v>2</v>
      </c>
      <c r="L3332" s="552">
        <f t="shared" si="606"/>
        <v>9.625199999999999E-2</v>
      </c>
      <c r="M3332" s="549"/>
      <c r="N3332" s="647">
        <f t="shared" si="607"/>
        <v>0</v>
      </c>
      <c r="O3332" s="756">
        <v>7.75</v>
      </c>
      <c r="P3332" s="549"/>
      <c r="Q3332" s="1059"/>
      <c r="R3332" s="1059"/>
      <c r="S3332" s="497">
        <v>2</v>
      </c>
      <c r="T3332" s="126">
        <f t="shared" si="608"/>
        <v>9.625199999999999E-2</v>
      </c>
    </row>
    <row r="3333" spans="1:22" s="497" customFormat="1" ht="17.399999999999999">
      <c r="A3333" s="549"/>
      <c r="B3333" s="746"/>
      <c r="C3333" s="549"/>
      <c r="D3333" s="549"/>
      <c r="E3333" s="549"/>
      <c r="F3333" s="549"/>
      <c r="G3333" s="747" t="s">
        <v>21</v>
      </c>
      <c r="H3333" s="747" t="s">
        <v>130</v>
      </c>
      <c r="I3333" s="1880">
        <v>6.17</v>
      </c>
      <c r="J3333" s="756">
        <v>7.8</v>
      </c>
      <c r="K3333" s="757">
        <v>21</v>
      </c>
      <c r="L3333" s="552">
        <f t="shared" si="606"/>
        <v>1.0106459999999999</v>
      </c>
      <c r="M3333" s="549">
        <v>1</v>
      </c>
      <c r="N3333" s="647">
        <f t="shared" si="607"/>
        <v>4.8125999999999995E-2</v>
      </c>
      <c r="O3333" s="549"/>
      <c r="P3333" s="549"/>
      <c r="Q3333" s="1059"/>
      <c r="R3333" s="1059"/>
      <c r="S3333" s="497">
        <v>18</v>
      </c>
      <c r="T3333" s="126">
        <f t="shared" si="608"/>
        <v>0.86626800000000004</v>
      </c>
    </row>
    <row r="3334" spans="1:22" s="497" customFormat="1" ht="17.399999999999999">
      <c r="A3334" s="549"/>
      <c r="B3334" s="746"/>
      <c r="C3334" s="549"/>
      <c r="D3334" s="549"/>
      <c r="E3334" s="549"/>
      <c r="F3334" s="549"/>
      <c r="G3334" s="747" t="s">
        <v>21</v>
      </c>
      <c r="H3334" s="747" t="s">
        <v>130</v>
      </c>
      <c r="I3334" s="1880">
        <v>6.17</v>
      </c>
      <c r="J3334" s="756">
        <v>10</v>
      </c>
      <c r="K3334" s="757">
        <v>20</v>
      </c>
      <c r="L3334" s="552">
        <f t="shared" si="606"/>
        <v>1.234</v>
      </c>
      <c r="M3334" s="549">
        <f>3+2</f>
        <v>5</v>
      </c>
      <c r="N3334" s="647">
        <f t="shared" si="607"/>
        <v>0.3085</v>
      </c>
      <c r="O3334" s="549"/>
      <c r="P3334" s="549"/>
      <c r="Q3334" s="1059"/>
      <c r="R3334" s="1059"/>
      <c r="T3334" s="126">
        <f t="shared" si="608"/>
        <v>0</v>
      </c>
      <c r="U3334" s="497">
        <v>3</v>
      </c>
      <c r="V3334" s="126">
        <f>J3334*U3334*I3334/1000</f>
        <v>0.18509999999999999</v>
      </c>
    </row>
    <row r="3335" spans="1:22" s="497" customFormat="1" ht="17.399999999999999">
      <c r="A3335" s="549"/>
      <c r="B3335" s="746"/>
      <c r="C3335" s="549"/>
      <c r="D3335" s="549"/>
      <c r="E3335" s="549"/>
      <c r="F3335" s="549"/>
      <c r="G3335" s="747" t="s">
        <v>21</v>
      </c>
      <c r="H3335" s="747" t="s">
        <v>130</v>
      </c>
      <c r="I3335" s="1880">
        <v>6.17</v>
      </c>
      <c r="J3335" s="756">
        <v>12</v>
      </c>
      <c r="K3335" s="757">
        <v>60</v>
      </c>
      <c r="L3335" s="552">
        <f t="shared" si="606"/>
        <v>4.4423999999999992</v>
      </c>
      <c r="M3335" s="549">
        <v>5</v>
      </c>
      <c r="N3335" s="647">
        <f t="shared" si="607"/>
        <v>0.37019999999999997</v>
      </c>
      <c r="O3335" s="549"/>
      <c r="P3335" s="549"/>
      <c r="Q3335" s="1059"/>
      <c r="R3335" s="1059"/>
      <c r="S3335" s="497">
        <v>5</v>
      </c>
      <c r="T3335" s="126">
        <f t="shared" si="608"/>
        <v>0.37019999999999997</v>
      </c>
      <c r="U3335" s="497">
        <v>34</v>
      </c>
      <c r="V3335" s="126">
        <f>J3335*U3335*I3335/1000</f>
        <v>2.51736</v>
      </c>
    </row>
    <row r="3336" spans="1:22" s="497" customFormat="1" ht="17.399999999999999">
      <c r="A3336" s="549"/>
      <c r="B3336" s="746"/>
      <c r="C3336" s="549"/>
      <c r="D3336" s="549"/>
      <c r="E3336" s="549"/>
      <c r="F3336" s="549"/>
      <c r="G3336" s="747"/>
      <c r="H3336" s="747"/>
      <c r="I3336" s="1880"/>
      <c r="J3336" s="748"/>
      <c r="K3336" s="749">
        <f>SUM(K3331:K3335)</f>
        <v>143</v>
      </c>
      <c r="L3336" s="748">
        <f>SUM(L3331:L3335)</f>
        <v>8.5725979999999993</v>
      </c>
      <c r="M3336" s="749">
        <f>SUM(M3331:M3335)</f>
        <v>13</v>
      </c>
      <c r="N3336" s="748">
        <f>SUM(N3331:N3335)</f>
        <v>0.81629099999999999</v>
      </c>
      <c r="O3336" s="549"/>
      <c r="P3336" s="549"/>
      <c r="Q3336" s="549"/>
      <c r="R3336" s="549"/>
      <c r="S3336" s="749">
        <f>SUM(S3331:S3335)</f>
        <v>41</v>
      </c>
      <c r="T3336" s="748">
        <f>SUM(T3331:T3335)</f>
        <v>2.0484400000000003</v>
      </c>
      <c r="U3336" s="749">
        <f>SUM(U3331:U3335)</f>
        <v>42</v>
      </c>
      <c r="V3336" s="748">
        <f>SUM(V3331:V3335)</f>
        <v>2.9261225</v>
      </c>
    </row>
    <row r="3337" spans="1:22" s="497" customFormat="1" ht="17.399999999999999">
      <c r="A3337" s="549"/>
      <c r="B3337" s="746"/>
      <c r="C3337" s="549"/>
      <c r="D3337" s="549"/>
      <c r="E3337" s="549"/>
      <c r="F3337" s="549"/>
      <c r="G3337" s="747"/>
      <c r="H3337" s="747"/>
      <c r="I3337" s="1880"/>
      <c r="J3337" s="748"/>
      <c r="K3337" s="749">
        <f>SUM(K3319:K3336)/2</f>
        <v>457</v>
      </c>
      <c r="L3337" s="748">
        <f>SUM(L3319:L3336)/2</f>
        <v>30.340974999999993</v>
      </c>
      <c r="M3337" s="749">
        <f>SUM(M3319:M3336)/2</f>
        <v>21</v>
      </c>
      <c r="N3337" s="748">
        <f>SUM(N3319:N3336)/2</f>
        <v>1.3922604999999999</v>
      </c>
      <c r="O3337" s="549"/>
      <c r="P3337" s="549"/>
      <c r="Q3337" s="549"/>
      <c r="R3337" s="549"/>
      <c r="S3337" s="749">
        <f>SUM(S3319:S3336)/2</f>
        <v>143</v>
      </c>
      <c r="T3337" s="748">
        <f>SUM(T3319:T3336)/2</f>
        <v>9.1945339999999973</v>
      </c>
      <c r="U3337" s="749">
        <f>SUM(U3319:U3336)/2</f>
        <v>84</v>
      </c>
      <c r="V3337" s="748">
        <f>SUM(V3319:V3336)/2</f>
        <v>5.7794389999999991</v>
      </c>
    </row>
    <row r="3338" spans="1:22" s="497" customFormat="1" ht="17.399999999999999">
      <c r="A3338" s="549"/>
      <c r="B3338" s="746"/>
      <c r="C3338" s="549"/>
      <c r="D3338" s="549"/>
      <c r="E3338" s="549"/>
      <c r="F3338" s="549"/>
      <c r="G3338" s="747"/>
      <c r="H3338" s="747"/>
      <c r="I3338" s="1880"/>
      <c r="J3338" s="748"/>
      <c r="K3338" s="749"/>
      <c r="L3338" s="748"/>
      <c r="M3338" s="549"/>
      <c r="N3338" s="549"/>
      <c r="O3338" s="549"/>
      <c r="P3338" s="549"/>
      <c r="Q3338" s="1059"/>
      <c r="R3338" s="1059"/>
    </row>
    <row r="3339" spans="1:22" s="497" customFormat="1" ht="17.399999999999999">
      <c r="A3339" s="549"/>
      <c r="B3339" s="746"/>
      <c r="C3339" s="549"/>
      <c r="D3339" s="549"/>
      <c r="E3339" s="549"/>
      <c r="F3339" s="549"/>
      <c r="G3339" s="747"/>
      <c r="H3339" s="747"/>
      <c r="I3339" s="1880"/>
      <c r="J3339" s="748"/>
      <c r="K3339" s="749"/>
      <c r="L3339" s="748"/>
      <c r="M3339" s="549"/>
      <c r="N3339" s="549"/>
      <c r="O3339" s="549"/>
      <c r="P3339" s="549"/>
      <c r="Q3339" s="1059"/>
      <c r="R3339" s="1059"/>
    </row>
    <row r="3340" spans="1:22" s="497" customFormat="1" ht="17.399999999999999">
      <c r="A3340" s="549"/>
      <c r="B3340" s="746"/>
      <c r="C3340" s="549"/>
      <c r="D3340" s="549"/>
      <c r="E3340" s="549"/>
      <c r="F3340" s="549"/>
      <c r="G3340" s="747"/>
      <c r="H3340" s="747"/>
      <c r="I3340" s="1880"/>
      <c r="J3340" s="748"/>
      <c r="K3340" s="749"/>
      <c r="L3340" s="748"/>
      <c r="M3340" s="549"/>
      <c r="N3340" s="549"/>
      <c r="O3340" s="549"/>
      <c r="P3340" s="549"/>
      <c r="Q3340" s="1059"/>
      <c r="R3340" s="1059"/>
    </row>
    <row r="3341" spans="1:22" s="497" customFormat="1" ht="17.399999999999999">
      <c r="A3341" s="549"/>
      <c r="B3341" s="746"/>
      <c r="C3341" s="549"/>
      <c r="D3341" s="549"/>
      <c r="E3341" s="549"/>
      <c r="F3341" s="549"/>
      <c r="G3341" s="747"/>
      <c r="H3341" s="747"/>
      <c r="I3341" s="1880"/>
      <c r="J3341" s="748"/>
      <c r="K3341" s="749"/>
      <c r="L3341" s="748"/>
      <c r="M3341" s="549"/>
      <c r="N3341" s="549"/>
      <c r="O3341" s="549"/>
      <c r="P3341" s="549"/>
      <c r="Q3341" s="1059"/>
      <c r="R3341" s="1059"/>
    </row>
    <row r="3342" spans="1:22" s="497" customFormat="1" ht="17.399999999999999">
      <c r="A3342" s="547" t="s">
        <v>395</v>
      </c>
      <c r="B3342" s="547" t="s">
        <v>341</v>
      </c>
      <c r="C3342" s="547" t="s">
        <v>19</v>
      </c>
      <c r="D3342" s="547" t="s">
        <v>155</v>
      </c>
      <c r="E3342" s="547" t="s">
        <v>270</v>
      </c>
      <c r="F3342" s="549">
        <v>8</v>
      </c>
      <c r="G3342" s="747" t="s">
        <v>61</v>
      </c>
      <c r="H3342" s="794" t="s">
        <v>131</v>
      </c>
      <c r="I3342" s="1880">
        <v>7.36</v>
      </c>
      <c r="J3342" s="756">
        <v>7.25</v>
      </c>
      <c r="K3342" s="757">
        <v>16</v>
      </c>
      <c r="L3342" s="552">
        <f>(I3342*J3342*K3342/1000)</f>
        <v>0.85375999999999996</v>
      </c>
      <c r="M3342" s="549"/>
      <c r="N3342" s="549"/>
      <c r="O3342" s="549"/>
      <c r="P3342" s="549"/>
      <c r="Q3342" s="1059"/>
      <c r="R3342" s="1059"/>
      <c r="S3342" s="497" t="s">
        <v>441</v>
      </c>
    </row>
    <row r="3343" spans="1:22" s="497" customFormat="1" ht="17.399999999999999">
      <c r="A3343" s="549"/>
      <c r="B3343" s="746" t="s">
        <v>277</v>
      </c>
      <c r="C3343" s="549"/>
      <c r="D3343" s="549"/>
      <c r="E3343" s="549"/>
      <c r="F3343" s="549"/>
      <c r="G3343" s="747"/>
      <c r="H3343" s="747"/>
      <c r="I3343" s="1880"/>
      <c r="J3343" s="748"/>
      <c r="K3343" s="750">
        <f t="shared" ref="K3343:L3343" si="609">SUM(K3342)</f>
        <v>16</v>
      </c>
      <c r="L3343" s="748">
        <f t="shared" si="609"/>
        <v>0.85375999999999996</v>
      </c>
      <c r="M3343" s="549"/>
      <c r="N3343" s="549"/>
      <c r="O3343" s="549"/>
      <c r="P3343" s="549"/>
      <c r="Q3343" s="1059"/>
      <c r="R3343" s="1059"/>
    </row>
    <row r="3344" spans="1:22" s="497" customFormat="1" ht="17.399999999999999">
      <c r="A3344" s="549"/>
      <c r="B3344" s="746"/>
      <c r="C3344" s="549"/>
      <c r="D3344" s="549"/>
      <c r="E3344" s="549"/>
      <c r="F3344" s="549"/>
      <c r="G3344" s="747"/>
      <c r="H3344" s="747"/>
      <c r="I3344" s="1880"/>
      <c r="J3344" s="748"/>
      <c r="K3344" s="749"/>
      <c r="L3344" s="748"/>
      <c r="M3344" s="549"/>
      <c r="N3344" s="549"/>
      <c r="O3344" s="549"/>
      <c r="P3344" s="549"/>
      <c r="Q3344" s="1059"/>
      <c r="R3344" s="1059"/>
    </row>
    <row r="3345" spans="1:21" s="497" customFormat="1" ht="17.399999999999999">
      <c r="A3345" s="547" t="s">
        <v>395</v>
      </c>
      <c r="B3345" s="547" t="s">
        <v>341</v>
      </c>
      <c r="C3345" s="547" t="s">
        <v>19</v>
      </c>
      <c r="D3345" s="547" t="s">
        <v>155</v>
      </c>
      <c r="E3345" s="547" t="s">
        <v>247</v>
      </c>
      <c r="F3345" s="549">
        <v>10</v>
      </c>
      <c r="G3345" s="747" t="s">
        <v>61</v>
      </c>
      <c r="H3345" s="599" t="s">
        <v>131</v>
      </c>
      <c r="I3345" s="558">
        <v>7.34</v>
      </c>
      <c r="J3345" s="758">
        <v>12</v>
      </c>
      <c r="K3345" s="757">
        <v>42</v>
      </c>
      <c r="L3345" s="552">
        <f>(I3345*J3345*K3345/1000)</f>
        <v>3.69936</v>
      </c>
      <c r="M3345" s="549"/>
      <c r="N3345" s="549"/>
      <c r="O3345" s="549"/>
      <c r="P3345" s="549"/>
      <c r="Q3345" s="1059"/>
      <c r="R3345" s="1059"/>
      <c r="S3345" s="497" t="s">
        <v>441</v>
      </c>
    </row>
    <row r="3346" spans="1:21" s="497" customFormat="1" ht="17.399999999999999">
      <c r="A3346" s="549"/>
      <c r="B3346" s="746" t="s">
        <v>88</v>
      </c>
      <c r="C3346" s="549"/>
      <c r="D3346" s="549"/>
      <c r="E3346" s="549"/>
      <c r="F3346" s="549"/>
      <c r="G3346" s="747"/>
      <c r="H3346" s="747"/>
      <c r="I3346" s="1880"/>
      <c r="J3346" s="748"/>
      <c r="K3346" s="750">
        <f t="shared" ref="K3346:L3346" si="610">SUM(K3345)</f>
        <v>42</v>
      </c>
      <c r="L3346" s="748">
        <f t="shared" si="610"/>
        <v>3.69936</v>
      </c>
      <c r="M3346" s="549"/>
      <c r="N3346" s="549"/>
      <c r="O3346" s="549"/>
      <c r="P3346" s="549"/>
      <c r="Q3346" s="1059"/>
      <c r="R3346" s="1059"/>
    </row>
    <row r="3347" spans="1:21" s="497" customFormat="1" ht="17.399999999999999">
      <c r="A3347" s="549"/>
      <c r="B3347" s="746"/>
      <c r="C3347" s="549"/>
      <c r="D3347" s="549"/>
      <c r="E3347" s="549"/>
      <c r="F3347" s="549"/>
      <c r="G3347" s="747"/>
      <c r="H3347" s="747"/>
      <c r="I3347" s="1880"/>
      <c r="J3347" s="748"/>
      <c r="K3347" s="749"/>
      <c r="L3347" s="748"/>
      <c r="M3347" s="549"/>
      <c r="N3347" s="549"/>
      <c r="O3347" s="549"/>
      <c r="P3347" s="549"/>
      <c r="Q3347" s="1059"/>
      <c r="R3347" s="1059"/>
    </row>
    <row r="3348" spans="1:21" s="497" customFormat="1" ht="17.399999999999999">
      <c r="A3348" s="547" t="s">
        <v>332</v>
      </c>
      <c r="B3348" s="547" t="s">
        <v>341</v>
      </c>
      <c r="C3348" s="547" t="s">
        <v>19</v>
      </c>
      <c r="D3348" s="547" t="s">
        <v>155</v>
      </c>
      <c r="E3348" s="547" t="s">
        <v>90</v>
      </c>
      <c r="F3348" s="549">
        <v>10</v>
      </c>
      <c r="G3348" s="747" t="s">
        <v>61</v>
      </c>
      <c r="H3348" s="599" t="s">
        <v>131</v>
      </c>
      <c r="I3348" s="558">
        <v>7.34</v>
      </c>
      <c r="J3348" s="756">
        <v>7.2</v>
      </c>
      <c r="K3348" s="757">
        <v>296</v>
      </c>
      <c r="L3348" s="552">
        <f t="shared" ref="L3348:L3350" si="611">(I3348*J3348*K3348/1000)</f>
        <v>15.643008</v>
      </c>
      <c r="M3348" s="549">
        <v>12</v>
      </c>
      <c r="N3348" s="647">
        <f t="shared" ref="N3348:N3350" si="612">J3348*M3348*I3348/1000</f>
        <v>0.63417600000000007</v>
      </c>
      <c r="O3348" s="549"/>
      <c r="P3348" s="549"/>
      <c r="Q3348" s="1059"/>
      <c r="R3348" s="1059"/>
      <c r="S3348" s="497">
        <f>41+37+36+16</f>
        <v>130</v>
      </c>
      <c r="T3348" s="126">
        <f t="shared" ref="T3348:T3350" si="613">J3348*S3348*I3348/1000</f>
        <v>6.8702399999999999</v>
      </c>
      <c r="U3348" s="497" t="s">
        <v>441</v>
      </c>
    </row>
    <row r="3349" spans="1:21" s="497" customFormat="1" ht="17.399999999999999">
      <c r="A3349" s="549"/>
      <c r="B3349" s="751" t="s">
        <v>423</v>
      </c>
      <c r="C3349" s="549"/>
      <c r="D3349" s="549"/>
      <c r="E3349" s="549"/>
      <c r="F3349" s="549"/>
      <c r="G3349" s="747" t="s">
        <v>61</v>
      </c>
      <c r="H3349" s="549" t="s">
        <v>131</v>
      </c>
      <c r="I3349" s="558">
        <v>7.34</v>
      </c>
      <c r="J3349" s="756">
        <v>11.75</v>
      </c>
      <c r="K3349" s="757">
        <v>40</v>
      </c>
      <c r="L3349" s="552">
        <f t="shared" si="611"/>
        <v>3.4498000000000002</v>
      </c>
      <c r="M3349" s="549"/>
      <c r="N3349" s="647">
        <f t="shared" si="612"/>
        <v>0</v>
      </c>
      <c r="O3349" s="549"/>
      <c r="P3349" s="549"/>
      <c r="Q3349" s="1059"/>
      <c r="R3349" s="1059"/>
      <c r="S3349" s="497">
        <v>21</v>
      </c>
      <c r="T3349" s="126">
        <f t="shared" si="613"/>
        <v>1.811145</v>
      </c>
    </row>
    <row r="3350" spans="1:21" s="497" customFormat="1" ht="17.399999999999999">
      <c r="A3350" s="549"/>
      <c r="B3350" s="746"/>
      <c r="C3350" s="549"/>
      <c r="D3350" s="549"/>
      <c r="E3350" s="549"/>
      <c r="F3350" s="549"/>
      <c r="G3350" s="747" t="s">
        <v>61</v>
      </c>
      <c r="H3350" s="549" t="s">
        <v>131</v>
      </c>
      <c r="I3350" s="558">
        <v>7.34</v>
      </c>
      <c r="J3350" s="756">
        <v>12</v>
      </c>
      <c r="K3350" s="757">
        <v>4</v>
      </c>
      <c r="L3350" s="552">
        <f t="shared" si="611"/>
        <v>0.35231999999999997</v>
      </c>
      <c r="M3350" s="549"/>
      <c r="N3350" s="647">
        <f t="shared" si="612"/>
        <v>0</v>
      </c>
      <c r="O3350" s="549"/>
      <c r="P3350" s="549"/>
      <c r="Q3350" s="1059"/>
      <c r="R3350" s="1059"/>
      <c r="S3350" s="497">
        <v>1</v>
      </c>
      <c r="T3350" s="126">
        <f t="shared" si="613"/>
        <v>8.8079999999999992E-2</v>
      </c>
    </row>
    <row r="3351" spans="1:21" s="497" customFormat="1" ht="17.399999999999999">
      <c r="A3351" s="549"/>
      <c r="B3351" s="746"/>
      <c r="C3351" s="549"/>
      <c r="D3351" s="549"/>
      <c r="E3351" s="549"/>
      <c r="F3351" s="549"/>
      <c r="G3351" s="747"/>
      <c r="H3351" s="747"/>
      <c r="I3351" s="1880"/>
      <c r="J3351" s="748"/>
      <c r="K3351" s="749">
        <f>SUM(K3348:K3350)</f>
        <v>340</v>
      </c>
      <c r="L3351" s="748">
        <f>SUM(L3348:L3350)</f>
        <v>19.445128</v>
      </c>
      <c r="M3351" s="749">
        <f>SUM(M3348:M3350)</f>
        <v>12</v>
      </c>
      <c r="N3351" s="748">
        <f>SUM(N3348:N3350)</f>
        <v>0.63417600000000007</v>
      </c>
      <c r="O3351" s="549"/>
      <c r="P3351" s="549"/>
      <c r="Q3351" s="549"/>
      <c r="R3351" s="549"/>
      <c r="S3351" s="749">
        <f>SUM(S3348:S3350)</f>
        <v>152</v>
      </c>
      <c r="T3351" s="748">
        <f>SUM(T3348:T3350)</f>
        <v>8.7694650000000003</v>
      </c>
    </row>
    <row r="3352" spans="1:21" s="497" customFormat="1" ht="17.399999999999999">
      <c r="A3352" s="549"/>
      <c r="B3352" s="746"/>
      <c r="C3352" s="549"/>
      <c r="D3352" s="549"/>
      <c r="E3352" s="549"/>
      <c r="F3352" s="549"/>
      <c r="G3352" s="747"/>
      <c r="H3352" s="747"/>
      <c r="I3352" s="1880"/>
      <c r="J3352" s="748"/>
      <c r="K3352" s="749">
        <f>SUM(K3342:K3351)/2</f>
        <v>398</v>
      </c>
      <c r="L3352" s="748">
        <f>SUM(L3342:L3351)/2</f>
        <v>23.998248</v>
      </c>
      <c r="M3352" s="749">
        <f>SUM(M3342:M3351)/2</f>
        <v>12</v>
      </c>
      <c r="N3352" s="748">
        <f>SUM(N3342:N3351)/2</f>
        <v>0.63417600000000007</v>
      </c>
      <c r="O3352" s="549"/>
      <c r="P3352" s="549"/>
      <c r="Q3352" s="1059"/>
      <c r="R3352" s="1059"/>
    </row>
    <row r="3353" spans="1:21" s="497" customFormat="1" ht="17.399999999999999">
      <c r="A3353" s="549"/>
      <c r="B3353" s="746"/>
      <c r="C3353" s="549"/>
      <c r="D3353" s="549"/>
      <c r="E3353" s="549"/>
      <c r="F3353" s="549"/>
      <c r="G3353" s="747"/>
      <c r="H3353" s="747"/>
      <c r="I3353" s="1880"/>
      <c r="J3353" s="748"/>
      <c r="K3353" s="749"/>
      <c r="L3353" s="748"/>
      <c r="M3353" s="549"/>
      <c r="N3353" s="549"/>
      <c r="O3353" s="549"/>
      <c r="P3353" s="549"/>
      <c r="Q3353" s="1059"/>
      <c r="R3353" s="1059"/>
    </row>
    <row r="3354" spans="1:21" s="497" customFormat="1" ht="17.399999999999999">
      <c r="A3354" s="549"/>
      <c r="B3354" s="746"/>
      <c r="C3354" s="549"/>
      <c r="D3354" s="549"/>
      <c r="E3354" s="549"/>
      <c r="F3354" s="549"/>
      <c r="G3354" s="747"/>
      <c r="H3354" s="747"/>
      <c r="I3354" s="1880"/>
      <c r="J3354" s="748"/>
      <c r="K3354" s="749"/>
      <c r="L3354" s="748"/>
      <c r="M3354" s="549"/>
      <c r="N3354" s="549"/>
      <c r="O3354" s="549"/>
      <c r="P3354" s="549"/>
      <c r="Q3354" s="1059"/>
      <c r="R3354" s="1059"/>
    </row>
    <row r="3355" spans="1:21" s="497" customFormat="1" ht="17.399999999999999">
      <c r="A3355" s="547" t="s">
        <v>332</v>
      </c>
      <c r="B3355" s="547" t="s">
        <v>341</v>
      </c>
      <c r="C3355" s="547" t="s">
        <v>19</v>
      </c>
      <c r="D3355" s="547" t="s">
        <v>155</v>
      </c>
      <c r="E3355" s="547" t="s">
        <v>90</v>
      </c>
      <c r="F3355" s="549">
        <v>10</v>
      </c>
      <c r="G3355" s="747" t="s">
        <v>61</v>
      </c>
      <c r="H3355" s="599" t="s">
        <v>422</v>
      </c>
      <c r="I3355" s="558">
        <v>7.91</v>
      </c>
      <c r="J3355" s="756">
        <v>10</v>
      </c>
      <c r="K3355" s="757">
        <v>47</v>
      </c>
      <c r="L3355" s="552">
        <f>(I3355*J3355*K3355/1000)</f>
        <v>3.7176999999999998</v>
      </c>
      <c r="M3355" s="549"/>
      <c r="N3355" s="549"/>
      <c r="O3355" s="549"/>
      <c r="P3355" s="549"/>
      <c r="Q3355" s="1059"/>
      <c r="R3355" s="1059"/>
      <c r="S3355" s="497">
        <v>27</v>
      </c>
      <c r="T3355" s="126">
        <f t="shared" ref="T3355" si="614">J3355*S3355*I3355/1000</f>
        <v>2.1356999999999999</v>
      </c>
      <c r="U3355" s="497" t="s">
        <v>441</v>
      </c>
    </row>
    <row r="3356" spans="1:21" s="497" customFormat="1" ht="17.399999999999999">
      <c r="A3356" s="549"/>
      <c r="B3356" s="752" t="s">
        <v>421</v>
      </c>
      <c r="C3356" s="549"/>
      <c r="D3356" s="549"/>
      <c r="E3356" s="549"/>
      <c r="F3356" s="549"/>
      <c r="G3356" s="747" t="s">
        <v>61</v>
      </c>
      <c r="H3356" s="549" t="s">
        <v>422</v>
      </c>
      <c r="I3356" s="558">
        <v>7.91</v>
      </c>
      <c r="J3356" s="756">
        <v>10.5</v>
      </c>
      <c r="K3356" s="757">
        <v>9</v>
      </c>
      <c r="L3356" s="552">
        <f>(I3356*J3356*K3356/1000)</f>
        <v>0.74749500000000013</v>
      </c>
      <c r="M3356" s="549"/>
      <c r="N3356" s="549"/>
      <c r="O3356" s="549"/>
      <c r="P3356" s="549"/>
      <c r="Q3356" s="1059"/>
      <c r="R3356" s="1059"/>
    </row>
    <row r="3357" spans="1:21" s="497" customFormat="1" ht="17.399999999999999">
      <c r="A3357" s="549"/>
      <c r="B3357" s="746"/>
      <c r="C3357" s="549"/>
      <c r="D3357" s="549"/>
      <c r="E3357" s="549"/>
      <c r="F3357" s="549"/>
      <c r="G3357" s="747" t="s">
        <v>61</v>
      </c>
      <c r="H3357" s="549" t="s">
        <v>422</v>
      </c>
      <c r="I3357" s="558">
        <v>7.91</v>
      </c>
      <c r="J3357" s="756">
        <v>11</v>
      </c>
      <c r="K3357" s="757">
        <v>20</v>
      </c>
      <c r="L3357" s="552">
        <f>(I3357*J3357*K3357/1000)</f>
        <v>1.7402</v>
      </c>
      <c r="M3357" s="549"/>
      <c r="N3357" s="549"/>
      <c r="O3357" s="549"/>
      <c r="P3357" s="549"/>
      <c r="Q3357" s="1059"/>
      <c r="R3357" s="1059"/>
    </row>
    <row r="3358" spans="1:21" s="497" customFormat="1" ht="17.399999999999999">
      <c r="A3358" s="549"/>
      <c r="B3358" s="746"/>
      <c r="C3358" s="549"/>
      <c r="D3358" s="549"/>
      <c r="E3358" s="549"/>
      <c r="F3358" s="549"/>
      <c r="G3358" s="747" t="s">
        <v>61</v>
      </c>
      <c r="H3358" s="549" t="s">
        <v>422</v>
      </c>
      <c r="I3358" s="558">
        <v>7.91</v>
      </c>
      <c r="J3358" s="756">
        <v>12</v>
      </c>
      <c r="K3358" s="757">
        <v>5</v>
      </c>
      <c r="L3358" s="552">
        <f>(I3358*J3358*K3358/1000)</f>
        <v>0.47460000000000002</v>
      </c>
      <c r="M3358" s="549"/>
      <c r="N3358" s="549"/>
      <c r="O3358" s="549"/>
      <c r="P3358" s="549"/>
      <c r="Q3358" s="1059"/>
      <c r="R3358" s="1059"/>
    </row>
    <row r="3359" spans="1:21" s="497" customFormat="1" ht="17.399999999999999">
      <c r="A3359" s="549"/>
      <c r="B3359" s="746"/>
      <c r="C3359" s="549"/>
      <c r="D3359" s="549"/>
      <c r="E3359" s="549"/>
      <c r="F3359" s="549"/>
      <c r="G3359" s="747"/>
      <c r="H3359" s="747"/>
      <c r="I3359" s="1880"/>
      <c r="J3359" s="748"/>
      <c r="K3359" s="749">
        <f>SUM(K3355:K3358)</f>
        <v>81</v>
      </c>
      <c r="L3359" s="748">
        <f>SUM(L3355:L3358)</f>
        <v>6.679994999999999</v>
      </c>
      <c r="M3359" s="749">
        <f>SUM(M3355:M3358)</f>
        <v>0</v>
      </c>
      <c r="N3359" s="748">
        <f>SUM(N3355:N3358)</f>
        <v>0</v>
      </c>
      <c r="O3359" s="549"/>
      <c r="P3359" s="549"/>
      <c r="Q3359" s="549"/>
      <c r="R3359" s="549"/>
      <c r="S3359" s="749">
        <f>SUM(S3355:S3358)</f>
        <v>27</v>
      </c>
      <c r="T3359" s="748">
        <f>SUM(T3355:T3358)</f>
        <v>2.1356999999999999</v>
      </c>
    </row>
    <row r="3360" spans="1:21" s="497" customFormat="1" ht="17.399999999999999">
      <c r="A3360" s="549"/>
      <c r="B3360" s="746"/>
      <c r="C3360" s="549"/>
      <c r="D3360" s="549"/>
      <c r="E3360" s="549"/>
      <c r="F3360" s="549"/>
      <c r="G3360" s="747"/>
      <c r="H3360" s="747"/>
      <c r="I3360" s="1880"/>
      <c r="J3360" s="748"/>
      <c r="K3360" s="749"/>
      <c r="L3360" s="748"/>
      <c r="M3360" s="549"/>
      <c r="N3360" s="549"/>
      <c r="O3360" s="549"/>
      <c r="P3360" s="549"/>
      <c r="Q3360" s="1059"/>
      <c r="R3360" s="1059"/>
    </row>
    <row r="3361" spans="1:19" s="497" customFormat="1" ht="17.399999999999999">
      <c r="A3361" s="549"/>
      <c r="B3361" s="746"/>
      <c r="C3361" s="549"/>
      <c r="D3361" s="549"/>
      <c r="E3361" s="549"/>
      <c r="F3361" s="549"/>
      <c r="G3361" s="747"/>
      <c r="H3361" s="747"/>
      <c r="I3361" s="1880"/>
      <c r="J3361" s="748"/>
      <c r="K3361" s="749"/>
      <c r="L3361" s="748"/>
      <c r="M3361" s="549"/>
      <c r="N3361" s="549"/>
      <c r="O3361" s="549"/>
      <c r="P3361" s="549"/>
      <c r="Q3361" s="1059"/>
      <c r="R3361" s="1059"/>
    </row>
    <row r="3362" spans="1:19" s="497" customFormat="1" ht="17.399999999999999">
      <c r="A3362" s="547" t="s">
        <v>395</v>
      </c>
      <c r="B3362" s="547" t="s">
        <v>341</v>
      </c>
      <c r="C3362" s="547" t="s">
        <v>19</v>
      </c>
      <c r="D3362" s="547" t="s">
        <v>155</v>
      </c>
      <c r="E3362" s="547" t="s">
        <v>270</v>
      </c>
      <c r="F3362" s="549">
        <v>8</v>
      </c>
      <c r="G3362" s="747" t="s">
        <v>61</v>
      </c>
      <c r="H3362" s="794" t="s">
        <v>130</v>
      </c>
      <c r="I3362" s="1880">
        <v>6.17</v>
      </c>
      <c r="J3362" s="756">
        <v>11</v>
      </c>
      <c r="K3362" s="757">
        <v>3</v>
      </c>
      <c r="L3362" s="552">
        <f>(I3362*J3362*K3362/1000)</f>
        <v>0.20361000000000001</v>
      </c>
      <c r="M3362" s="549">
        <v>3</v>
      </c>
      <c r="N3362" s="567">
        <f t="shared" ref="N3362" si="615">J3362*M3362*I3362/1000</f>
        <v>0.20360999999999999</v>
      </c>
      <c r="O3362" s="549"/>
      <c r="P3362" s="549"/>
      <c r="Q3362" s="1059"/>
      <c r="R3362" s="1059"/>
      <c r="S3362" s="497" t="s">
        <v>441</v>
      </c>
    </row>
    <row r="3363" spans="1:19" s="497" customFormat="1" ht="17.399999999999999">
      <c r="A3363" s="549"/>
      <c r="B3363" s="746" t="s">
        <v>277</v>
      </c>
      <c r="C3363" s="549"/>
      <c r="D3363" s="549"/>
      <c r="E3363" s="549"/>
      <c r="F3363" s="549"/>
      <c r="G3363" s="747"/>
      <c r="H3363" s="747"/>
      <c r="I3363" s="1880"/>
      <c r="J3363" s="748"/>
      <c r="K3363" s="750">
        <f>SUM(K3362)</f>
        <v>3</v>
      </c>
      <c r="L3363" s="748">
        <f>SUM(L3362)</f>
        <v>0.20361000000000001</v>
      </c>
      <c r="M3363" s="750">
        <f>SUM(M3362)</f>
        <v>3</v>
      </c>
      <c r="N3363" s="748">
        <f t="shared" ref="N3363" si="616">SUM(N3362)</f>
        <v>0.20360999999999999</v>
      </c>
      <c r="O3363" s="549"/>
      <c r="P3363" s="549"/>
      <c r="Q3363" s="1059"/>
      <c r="R3363" s="1059"/>
    </row>
    <row r="3364" spans="1:19" s="497" customFormat="1" ht="17.399999999999999">
      <c r="A3364" s="549"/>
      <c r="B3364" s="746"/>
      <c r="C3364" s="549"/>
      <c r="D3364" s="549"/>
      <c r="E3364" s="549"/>
      <c r="F3364" s="549"/>
      <c r="G3364" s="747"/>
      <c r="H3364" s="747"/>
      <c r="I3364" s="1880"/>
      <c r="J3364" s="748"/>
      <c r="K3364" s="749"/>
      <c r="L3364" s="748"/>
      <c r="M3364" s="549"/>
      <c r="N3364" s="549"/>
      <c r="O3364" s="549"/>
      <c r="P3364" s="549"/>
      <c r="Q3364" s="1059"/>
      <c r="R3364" s="1059"/>
    </row>
    <row r="3365" spans="1:19" s="497" customFormat="1" ht="17.399999999999999">
      <c r="A3365" s="549"/>
      <c r="B3365" s="746"/>
      <c r="C3365" s="549"/>
      <c r="D3365" s="549"/>
      <c r="E3365" s="549"/>
      <c r="F3365" s="549"/>
      <c r="G3365" s="747"/>
      <c r="H3365" s="747"/>
      <c r="I3365" s="1880"/>
      <c r="J3365" s="748"/>
      <c r="K3365" s="749"/>
      <c r="L3365" s="748"/>
      <c r="M3365" s="549"/>
      <c r="N3365" s="549"/>
      <c r="O3365" s="549"/>
      <c r="P3365" s="549"/>
      <c r="Q3365" s="1059"/>
      <c r="R3365" s="1059"/>
    </row>
    <row r="3366" spans="1:19" s="497" customFormat="1" ht="15.6">
      <c r="A3366" s="20"/>
      <c r="B3366" s="20"/>
      <c r="C3366" s="20"/>
      <c r="D3366" s="20"/>
      <c r="E3366" s="20"/>
      <c r="F3366" s="20"/>
      <c r="G3366" s="20"/>
      <c r="H3366" s="20"/>
      <c r="I3366" s="131"/>
      <c r="J3366" s="20"/>
      <c r="K3366" s="211"/>
      <c r="L3366" s="124"/>
      <c r="M3366" s="20"/>
      <c r="N3366" s="20"/>
      <c r="O3366" s="20"/>
      <c r="P3366" s="20"/>
      <c r="Q3366" s="155"/>
      <c r="R3366" s="155"/>
    </row>
    <row r="3367" spans="1:19" ht="15.6">
      <c r="A3367" s="20"/>
      <c r="B3367" s="20"/>
      <c r="C3367" s="20"/>
      <c r="D3367" s="20"/>
      <c r="E3367" s="20"/>
      <c r="F3367" s="20"/>
      <c r="G3367" s="20"/>
      <c r="H3367" s="20"/>
      <c r="I3367" s="131"/>
      <c r="J3367" s="20"/>
      <c r="K3367" s="154">
        <f>+K3363+K3359+K3352+K3337+K3316</f>
        <v>939</v>
      </c>
      <c r="L3367" s="124">
        <f>+L3363+L3359+L3352+L3337+L3316+L3314+L3290</f>
        <v>149.30371600000001</v>
      </c>
      <c r="M3367" s="154">
        <f>+M3363+M3359+M3352+M3337+M3316</f>
        <v>36</v>
      </c>
      <c r="N3367" s="124">
        <f>+N3363+N3359+N3352+N3337+N3316+N3314+N3290</f>
        <v>2.2300464999999998</v>
      </c>
      <c r="O3367" s="20"/>
      <c r="P3367" s="20"/>
      <c r="Q3367" s="155"/>
      <c r="R3367" s="155"/>
    </row>
    <row r="3368" spans="1:19" s="497" customFormat="1">
      <c r="A3368" s="10" t="s">
        <v>48</v>
      </c>
      <c r="B3368" s="10"/>
      <c r="C3368" s="11"/>
      <c r="D3368" s="11"/>
      <c r="E3368" s="11"/>
      <c r="F3368" s="92"/>
      <c r="G3368" s="11"/>
      <c r="H3368" s="92"/>
      <c r="I3368" s="13"/>
      <c r="J3368" s="11"/>
      <c r="K3368" s="202"/>
      <c r="L3368" s="2047" t="s">
        <v>0</v>
      </c>
      <c r="M3368" s="2047"/>
      <c r="N3368" s="2047"/>
      <c r="O3368" s="2048"/>
      <c r="P3368" s="2020"/>
      <c r="Q3368" s="142"/>
      <c r="R3368" s="142"/>
    </row>
    <row r="3369" spans="1:19" s="497" customFormat="1">
      <c r="A3369" s="14" t="s">
        <v>1</v>
      </c>
      <c r="B3369" s="14"/>
      <c r="C3369" s="14"/>
      <c r="D3369" s="15" t="s">
        <v>2</v>
      </c>
      <c r="E3369" s="15"/>
      <c r="F3369" s="16"/>
      <c r="G3369" s="16"/>
      <c r="H3369" s="16"/>
      <c r="I3369" s="17"/>
      <c r="J3369" s="16"/>
      <c r="K3369" s="203" t="s">
        <v>3</v>
      </c>
      <c r="L3369" s="16"/>
      <c r="M3369" s="14"/>
      <c r="N3369" s="16"/>
      <c r="O3369" s="19"/>
      <c r="P3369" s="2020"/>
      <c r="Q3369" s="142"/>
      <c r="R3369" s="142"/>
    </row>
    <row r="3370" spans="1:19" s="497" customFormat="1" ht="15.6">
      <c r="A3370" s="634" t="s">
        <v>22</v>
      </c>
      <c r="B3370" s="2021" t="s">
        <v>23</v>
      </c>
      <c r="C3370" s="2022"/>
      <c r="D3370" s="2023"/>
      <c r="E3370" s="634" t="s">
        <v>24</v>
      </c>
      <c r="F3370" s="2021" t="s">
        <v>25</v>
      </c>
      <c r="G3370" s="2023"/>
      <c r="H3370" s="2021" t="s">
        <v>26</v>
      </c>
      <c r="I3370" s="2022"/>
      <c r="J3370" s="2022"/>
      <c r="K3370" s="2023"/>
      <c r="L3370" s="2024" t="s">
        <v>27</v>
      </c>
      <c r="M3370" s="2024"/>
      <c r="N3370" s="2024"/>
      <c r="O3370" s="2021"/>
      <c r="P3370" s="2020"/>
      <c r="Q3370" s="142"/>
      <c r="R3370" s="142"/>
    </row>
    <row r="3371" spans="1:19" s="497" customFormat="1" ht="15.6">
      <c r="A3371" s="38"/>
      <c r="B3371" s="2025"/>
      <c r="C3371" s="2026"/>
      <c r="D3371" s="2027"/>
      <c r="E3371" s="26"/>
      <c r="F3371" s="2025"/>
      <c r="G3371" s="2027"/>
      <c r="H3371" s="2025"/>
      <c r="I3371" s="2026"/>
      <c r="J3371" s="2026"/>
      <c r="K3371" s="2027"/>
      <c r="L3371" s="2025"/>
      <c r="M3371" s="2026"/>
      <c r="N3371" s="2026"/>
      <c r="O3371" s="2026"/>
      <c r="P3371" s="2020"/>
      <c r="Q3371" s="142"/>
      <c r="R3371" s="142"/>
    </row>
    <row r="3372" spans="1:19" s="497" customFormat="1" ht="15.6">
      <c r="A3372" s="38"/>
      <c r="B3372" s="635"/>
      <c r="C3372" s="636"/>
      <c r="D3372" s="637"/>
      <c r="E3372" s="26"/>
      <c r="F3372" s="635"/>
      <c r="G3372" s="637"/>
      <c r="H3372" s="635"/>
      <c r="I3372" s="1856"/>
      <c r="J3372" s="636"/>
      <c r="K3372" s="204"/>
      <c r="L3372" s="635"/>
      <c r="M3372" s="636"/>
      <c r="N3372" s="636"/>
      <c r="O3372" s="636"/>
      <c r="P3372" s="2020"/>
      <c r="Q3372" s="142"/>
      <c r="R3372" s="142"/>
    </row>
    <row r="3373" spans="1:19" s="497" customFormat="1" ht="15.6">
      <c r="A3373" s="38" t="s">
        <v>28</v>
      </c>
      <c r="B3373" s="2025" t="s">
        <v>198</v>
      </c>
      <c r="C3373" s="2026"/>
      <c r="D3373" s="2027"/>
      <c r="E3373" s="26">
        <f>+L3314+L3290</f>
        <v>88.080888000000002</v>
      </c>
      <c r="F3373" s="2025">
        <v>10</v>
      </c>
      <c r="G3373" s="2027"/>
      <c r="H3373" s="2025" t="s">
        <v>49</v>
      </c>
      <c r="I3373" s="2026"/>
      <c r="J3373" s="2026"/>
      <c r="K3373" s="2027"/>
      <c r="L3373" s="2025" t="s">
        <v>425</v>
      </c>
      <c r="M3373" s="2026"/>
      <c r="N3373" s="2026"/>
      <c r="O3373" s="2026"/>
      <c r="P3373" s="2020"/>
      <c r="Q3373" s="142"/>
      <c r="R3373" s="142"/>
    </row>
    <row r="3374" spans="1:19" s="497" customFormat="1" ht="15.6">
      <c r="A3374" s="38" t="s">
        <v>29</v>
      </c>
      <c r="B3374" s="2025" t="s">
        <v>199</v>
      </c>
      <c r="C3374" s="2026"/>
      <c r="D3374" s="2027"/>
      <c r="E3374" s="26">
        <f>+L3337-1.392</f>
        <v>28.948974999999994</v>
      </c>
      <c r="F3374" s="2025">
        <v>10</v>
      </c>
      <c r="G3374" s="2027"/>
      <c r="H3374" s="2025" t="s">
        <v>49</v>
      </c>
      <c r="I3374" s="2026"/>
      <c r="J3374" s="2026"/>
      <c r="K3374" s="2027"/>
      <c r="L3374" s="2025" t="s">
        <v>65</v>
      </c>
      <c r="M3374" s="2026"/>
      <c r="N3374" s="2026"/>
      <c r="O3374" s="2026"/>
      <c r="P3374" s="2020"/>
      <c r="Q3374" s="142"/>
      <c r="R3374" s="142"/>
    </row>
    <row r="3375" spans="1:19" s="497" customFormat="1" ht="15.6">
      <c r="A3375" s="38"/>
      <c r="B3375" s="2025"/>
      <c r="C3375" s="2026"/>
      <c r="D3375" s="2027"/>
      <c r="E3375" s="26"/>
      <c r="F3375" s="2025"/>
      <c r="G3375" s="2027"/>
      <c r="H3375" s="2025"/>
      <c r="I3375" s="2026"/>
      <c r="J3375" s="2026"/>
      <c r="K3375" s="2027"/>
      <c r="L3375" s="2025"/>
      <c r="M3375" s="2026"/>
      <c r="N3375" s="2026"/>
      <c r="O3375" s="2026"/>
      <c r="P3375" s="2020"/>
      <c r="Q3375" s="142"/>
      <c r="R3375" s="142"/>
    </row>
    <row r="3376" spans="1:19" s="497" customFormat="1" ht="15.6">
      <c r="A3376" s="38"/>
      <c r="B3376" s="743"/>
      <c r="C3376" s="744"/>
      <c r="D3376" s="744"/>
      <c r="E3376" s="26"/>
      <c r="F3376" s="744"/>
      <c r="G3376" s="745"/>
      <c r="H3376" s="743"/>
      <c r="I3376" s="1856"/>
      <c r="J3376" s="744"/>
      <c r="K3376" s="745"/>
      <c r="L3376" s="743"/>
      <c r="M3376" s="744"/>
      <c r="N3376" s="744"/>
      <c r="O3376" s="744"/>
      <c r="P3376" s="2020"/>
      <c r="Q3376" s="142"/>
      <c r="R3376" s="142"/>
    </row>
    <row r="3377" spans="1:18" s="497" customFormat="1" ht="17.399999999999999">
      <c r="A3377" s="670" t="s">
        <v>30</v>
      </c>
      <c r="B3377" s="1976" t="s">
        <v>318</v>
      </c>
      <c r="C3377" s="1976"/>
      <c r="D3377" s="1976"/>
      <c r="E3377" s="671">
        <f>+L3352-0.634</f>
        <v>23.364248</v>
      </c>
      <c r="F3377" s="1975">
        <v>10</v>
      </c>
      <c r="G3377" s="1977"/>
      <c r="H3377" s="1975" t="s">
        <v>155</v>
      </c>
      <c r="I3377" s="1976"/>
      <c r="J3377" s="1976"/>
      <c r="K3377" s="1977"/>
      <c r="L3377" s="1976" t="s">
        <v>64</v>
      </c>
      <c r="M3377" s="1976"/>
      <c r="N3377" s="1976"/>
      <c r="O3377" s="1976"/>
      <c r="P3377" s="2020"/>
      <c r="Q3377" s="142"/>
      <c r="R3377" s="142"/>
    </row>
    <row r="3378" spans="1:18" s="497" customFormat="1" ht="17.399999999999999">
      <c r="A3378" s="670" t="s">
        <v>46</v>
      </c>
      <c r="B3378" s="1976" t="s">
        <v>424</v>
      </c>
      <c r="C3378" s="1976"/>
      <c r="D3378" s="1976"/>
      <c r="E3378" s="671">
        <f>+L3359</f>
        <v>6.679994999999999</v>
      </c>
      <c r="F3378" s="1975">
        <v>10</v>
      </c>
      <c r="G3378" s="1977"/>
      <c r="H3378" s="1975" t="s">
        <v>155</v>
      </c>
      <c r="I3378" s="1976"/>
      <c r="J3378" s="1976"/>
      <c r="K3378" s="1977"/>
      <c r="L3378" s="1976" t="s">
        <v>64</v>
      </c>
      <c r="M3378" s="1976"/>
      <c r="N3378" s="1976"/>
      <c r="O3378" s="1976"/>
      <c r="P3378" s="2020"/>
      <c r="Q3378" s="142"/>
      <c r="R3378" s="142"/>
    </row>
    <row r="3379" spans="1:18" s="497" customFormat="1" ht="15.6">
      <c r="A3379" s="38"/>
      <c r="B3379" s="743"/>
      <c r="C3379" s="744"/>
      <c r="D3379" s="744"/>
      <c r="E3379" s="26"/>
      <c r="F3379" s="744"/>
      <c r="G3379" s="745"/>
      <c r="H3379" s="743"/>
      <c r="I3379" s="1856"/>
      <c r="J3379" s="744"/>
      <c r="K3379" s="745"/>
      <c r="L3379" s="743"/>
      <c r="M3379" s="744"/>
      <c r="N3379" s="744"/>
      <c r="O3379" s="744"/>
      <c r="P3379" s="2020"/>
      <c r="Q3379" s="142"/>
      <c r="R3379" s="142"/>
    </row>
    <row r="3380" spans="1:18" s="497" customFormat="1" ht="15.6">
      <c r="A3380" s="38"/>
      <c r="B3380" s="743"/>
      <c r="C3380" s="744"/>
      <c r="D3380" s="744"/>
      <c r="E3380" s="26"/>
      <c r="F3380" s="744"/>
      <c r="G3380" s="745"/>
      <c r="H3380" s="743"/>
      <c r="I3380" s="1856"/>
      <c r="J3380" s="744"/>
      <c r="K3380" s="745"/>
      <c r="L3380" s="743"/>
      <c r="M3380" s="744"/>
      <c r="N3380" s="744"/>
      <c r="O3380" s="744"/>
      <c r="P3380" s="2020"/>
      <c r="Q3380" s="142"/>
      <c r="R3380" s="142"/>
    </row>
    <row r="3381" spans="1:18" s="497" customFormat="1" ht="16.2" thickBot="1">
      <c r="A3381" s="38"/>
      <c r="B3381" s="635"/>
      <c r="C3381" s="636"/>
      <c r="D3381" s="636"/>
      <c r="E3381" s="26"/>
      <c r="F3381" s="636"/>
      <c r="G3381" s="637"/>
      <c r="H3381" s="635"/>
      <c r="I3381" s="1856"/>
      <c r="J3381" s="636"/>
      <c r="K3381" s="204"/>
      <c r="L3381" s="39"/>
      <c r="M3381" s="40"/>
      <c r="N3381" s="40"/>
      <c r="O3381" s="40"/>
      <c r="P3381" s="2020"/>
      <c r="Q3381" s="142"/>
      <c r="R3381" s="142"/>
    </row>
    <row r="3382" spans="1:18" s="497" customFormat="1" ht="15.6">
      <c r="A3382" s="41"/>
      <c r="B3382" s="42"/>
      <c r="C3382" s="43"/>
      <c r="D3382" s="43"/>
      <c r="E3382" s="2028">
        <f>SUM(E3371:E3381)</f>
        <v>147.07410599999997</v>
      </c>
      <c r="F3382" s="44"/>
      <c r="G3382" s="45"/>
      <c r="H3382" s="46"/>
      <c r="I3382" s="1858"/>
      <c r="J3382" s="43"/>
      <c r="K3382" s="205"/>
      <c r="L3382" s="46"/>
      <c r="M3382" s="43"/>
      <c r="N3382" s="44"/>
      <c r="O3382" s="43"/>
      <c r="P3382" s="2020"/>
      <c r="Q3382" s="142"/>
      <c r="R3382" s="142"/>
    </row>
    <row r="3383" spans="1:18" s="497" customFormat="1" ht="16.2" thickBot="1">
      <c r="A3383" s="47"/>
      <c r="B3383" s="48"/>
      <c r="C3383" s="49"/>
      <c r="D3383" s="49"/>
      <c r="E3383" s="2029"/>
      <c r="F3383" s="50"/>
      <c r="G3383" s="51"/>
      <c r="H3383" s="52"/>
      <c r="I3383" s="1860"/>
      <c r="J3383" s="49"/>
      <c r="K3383" s="206"/>
      <c r="L3383" s="52"/>
      <c r="M3383" s="49"/>
      <c r="N3383" s="50"/>
      <c r="O3383" s="49"/>
      <c r="P3383" s="2020"/>
      <c r="Q3383" s="142"/>
      <c r="R3383" s="142"/>
    </row>
    <row r="3384" spans="1:18" s="497" customFormat="1" ht="15.6">
      <c r="A3384" s="53" t="s">
        <v>31</v>
      </c>
      <c r="B3384" s="43"/>
      <c r="C3384" s="43"/>
      <c r="D3384" s="43"/>
      <c r="E3384" s="43"/>
      <c r="F3384" s="44"/>
      <c r="G3384" s="43"/>
      <c r="H3384" s="44"/>
      <c r="I3384" s="1858"/>
      <c r="J3384" s="43"/>
      <c r="K3384" s="207"/>
      <c r="L3384" s="44"/>
      <c r="M3384" s="43"/>
      <c r="N3384" s="44"/>
      <c r="O3384" s="43"/>
      <c r="P3384" s="2020"/>
      <c r="Q3384" s="142"/>
      <c r="R3384" s="142"/>
    </row>
    <row r="3385" spans="1:18" s="497" customFormat="1" ht="15.6">
      <c r="A3385" s="54"/>
      <c r="B3385" s="55"/>
      <c r="C3385" s="55"/>
      <c r="D3385" s="55"/>
      <c r="E3385" s="55"/>
      <c r="F3385" s="632"/>
      <c r="G3385" s="55"/>
      <c r="H3385" s="632"/>
      <c r="I3385" s="1859"/>
      <c r="J3385" s="55"/>
      <c r="K3385" s="208"/>
      <c r="L3385" s="632"/>
      <c r="M3385" s="55"/>
      <c r="N3385" s="632"/>
      <c r="O3385" s="55"/>
      <c r="P3385" s="2020"/>
      <c r="Q3385" s="142"/>
      <c r="R3385" s="142"/>
    </row>
    <row r="3386" spans="1:18" s="497" customFormat="1" ht="16.2" thickBot="1">
      <c r="A3386" s="2030" t="s">
        <v>32</v>
      </c>
      <c r="B3386" s="2031"/>
      <c r="C3386" s="2032" t="s">
        <v>33</v>
      </c>
      <c r="D3386" s="2033"/>
      <c r="E3386" s="57" t="s">
        <v>34</v>
      </c>
      <c r="F3386" s="57" t="s">
        <v>35</v>
      </c>
      <c r="G3386" s="2034" t="s">
        <v>36</v>
      </c>
      <c r="H3386" s="2035"/>
      <c r="I3386" s="2035"/>
      <c r="J3386" s="2035"/>
      <c r="K3386" s="2035"/>
      <c r="L3386" s="2035"/>
      <c r="M3386" s="2035"/>
      <c r="N3386" s="2035"/>
      <c r="O3386" s="2035"/>
      <c r="P3386" s="2020"/>
      <c r="Q3386" s="142"/>
      <c r="R3386" s="142"/>
    </row>
    <row r="3387" spans="1:18" s="497" customFormat="1" ht="15.6">
      <c r="A3387" s="2036"/>
      <c r="B3387" s="2023"/>
      <c r="C3387" s="2021"/>
      <c r="D3387" s="2023"/>
      <c r="E3387" s="634"/>
      <c r="F3387" s="633"/>
      <c r="G3387" s="2037"/>
      <c r="H3387" s="2038"/>
      <c r="I3387" s="2038"/>
      <c r="J3387" s="2038"/>
      <c r="K3387" s="2038"/>
      <c r="L3387" s="2038"/>
      <c r="M3387" s="2038"/>
      <c r="N3387" s="2038"/>
      <c r="O3387" s="2038"/>
      <c r="P3387" s="2020"/>
      <c r="Q3387" s="142"/>
      <c r="R3387" s="142"/>
    </row>
    <row r="3388" spans="1:18" s="497" customFormat="1" ht="15.6">
      <c r="A3388" s="2043" t="s">
        <v>37</v>
      </c>
      <c r="B3388" s="2044"/>
      <c r="C3388" s="2021"/>
      <c r="D3388" s="2023"/>
      <c r="E3388" s="634"/>
      <c r="F3388" s="633"/>
      <c r="G3388" s="2039"/>
      <c r="H3388" s="2040"/>
      <c r="I3388" s="2040"/>
      <c r="J3388" s="2040"/>
      <c r="K3388" s="2040"/>
      <c r="L3388" s="2040"/>
      <c r="M3388" s="2040"/>
      <c r="N3388" s="2040"/>
      <c r="O3388" s="2040"/>
      <c r="P3388" s="2020"/>
      <c r="Q3388" s="142"/>
      <c r="R3388" s="142"/>
    </row>
    <row r="3389" spans="1:18" s="497" customFormat="1" ht="15.6">
      <c r="A3389" s="2043" t="s">
        <v>38</v>
      </c>
      <c r="B3389" s="2044"/>
      <c r="C3389" s="2021"/>
      <c r="D3389" s="2023"/>
      <c r="E3389" s="634"/>
      <c r="F3389" s="633"/>
      <c r="G3389" s="2039"/>
      <c r="H3389" s="2040"/>
      <c r="I3389" s="2040"/>
      <c r="J3389" s="2040"/>
      <c r="K3389" s="2040"/>
      <c r="L3389" s="2040"/>
      <c r="M3389" s="2040"/>
      <c r="N3389" s="2040"/>
      <c r="O3389" s="2040"/>
      <c r="P3389" s="2020"/>
      <c r="Q3389" s="142"/>
      <c r="R3389" s="142"/>
    </row>
    <row r="3390" spans="1:18" s="497" customFormat="1" ht="15.6">
      <c r="A3390" s="2043" t="s">
        <v>39</v>
      </c>
      <c r="B3390" s="2044"/>
      <c r="C3390" s="2021"/>
      <c r="D3390" s="2023"/>
      <c r="E3390" s="634"/>
      <c r="F3390" s="633"/>
      <c r="G3390" s="2039"/>
      <c r="H3390" s="2040"/>
      <c r="I3390" s="2040"/>
      <c r="J3390" s="2040"/>
      <c r="K3390" s="2040"/>
      <c r="L3390" s="2040"/>
      <c r="M3390" s="2040"/>
      <c r="N3390" s="2040"/>
      <c r="O3390" s="2040"/>
      <c r="P3390" s="2020"/>
      <c r="Q3390" s="142"/>
      <c r="R3390" s="142"/>
    </row>
    <row r="3391" spans="1:18" s="497" customFormat="1" ht="15.6">
      <c r="A3391" s="2043" t="s">
        <v>40</v>
      </c>
      <c r="B3391" s="2044"/>
      <c r="C3391" s="2021"/>
      <c r="D3391" s="2023"/>
      <c r="E3391" s="634"/>
      <c r="F3391" s="633"/>
      <c r="G3391" s="2039"/>
      <c r="H3391" s="2040"/>
      <c r="I3391" s="2040"/>
      <c r="J3391" s="2040"/>
      <c r="K3391" s="2040"/>
      <c r="L3391" s="2040"/>
      <c r="M3391" s="2040"/>
      <c r="N3391" s="2040"/>
      <c r="O3391" s="2040"/>
      <c r="P3391" s="2020"/>
      <c r="Q3391" s="142"/>
      <c r="R3391" s="142"/>
    </row>
    <row r="3392" spans="1:18" s="497" customFormat="1" ht="16.2" thickBot="1">
      <c r="A3392" s="2049" t="s">
        <v>41</v>
      </c>
      <c r="B3392" s="2050"/>
      <c r="C3392" s="2051"/>
      <c r="D3392" s="2052"/>
      <c r="E3392" s="58"/>
      <c r="F3392" s="638"/>
      <c r="G3392" s="2041"/>
      <c r="H3392" s="2042"/>
      <c r="I3392" s="2042"/>
      <c r="J3392" s="2042"/>
      <c r="K3392" s="2042"/>
      <c r="L3392" s="2042"/>
      <c r="M3392" s="2042"/>
      <c r="N3392" s="2042"/>
      <c r="O3392" s="2042"/>
      <c r="P3392" s="2020"/>
      <c r="Q3392" s="142"/>
      <c r="R3392" s="142"/>
    </row>
    <row r="3393" spans="1:21" s="497" customFormat="1" ht="15.6">
      <c r="A3393" s="54"/>
      <c r="B3393" s="55"/>
      <c r="C3393" s="55"/>
      <c r="D3393" s="55"/>
      <c r="E3393" s="55"/>
      <c r="F3393" s="632"/>
      <c r="G3393" s="55"/>
      <c r="H3393" s="59"/>
      <c r="I3393" s="60"/>
      <c r="J3393" s="61"/>
      <c r="K3393" s="209"/>
      <c r="L3393" s="301"/>
      <c r="M3393" s="55"/>
      <c r="N3393" s="632"/>
      <c r="O3393" s="55"/>
      <c r="P3393" s="2020"/>
      <c r="Q3393" s="142"/>
      <c r="R3393" s="142"/>
    </row>
    <row r="3394" spans="1:21" s="497" customFormat="1" ht="15.6">
      <c r="A3394" s="62" t="s">
        <v>42</v>
      </c>
      <c r="B3394" s="56"/>
      <c r="C3394" s="55"/>
      <c r="D3394" s="55"/>
      <c r="E3394" s="55"/>
      <c r="F3394" s="632"/>
      <c r="G3394" s="56"/>
      <c r="H3394" s="59"/>
      <c r="I3394" s="60"/>
      <c r="J3394" s="61"/>
      <c r="K3394" s="208"/>
      <c r="L3394" s="302"/>
      <c r="M3394" s="55"/>
      <c r="N3394" s="2045" t="s">
        <v>43</v>
      </c>
      <c r="O3394" s="2045"/>
      <c r="P3394" s="2020"/>
      <c r="Q3394" s="142"/>
      <c r="R3394" s="142"/>
    </row>
    <row r="3395" spans="1:21" s="497" customFormat="1" ht="15.6">
      <c r="A3395" s="62"/>
      <c r="B3395" s="56"/>
      <c r="C3395" s="55"/>
      <c r="D3395" s="55"/>
      <c r="E3395" s="55"/>
      <c r="F3395" s="632"/>
      <c r="G3395" s="55"/>
      <c r="H3395" s="632"/>
      <c r="I3395" s="1859"/>
      <c r="J3395" s="55"/>
      <c r="K3395" s="208"/>
      <c r="L3395" s="632"/>
      <c r="M3395" s="55"/>
      <c r="N3395" s="632"/>
      <c r="O3395" s="56"/>
      <c r="P3395" s="2020"/>
      <c r="Q3395" s="142"/>
      <c r="R3395" s="142"/>
    </row>
    <row r="3396" spans="1:21" s="497" customFormat="1" ht="15.6">
      <c r="A3396" s="62" t="s">
        <v>44</v>
      </c>
      <c r="B3396" s="56"/>
      <c r="C3396" s="55"/>
      <c r="D3396" s="55"/>
      <c r="E3396" s="55"/>
      <c r="F3396" s="632"/>
      <c r="G3396" s="55"/>
      <c r="H3396" s="632"/>
      <c r="I3396" s="1859"/>
      <c r="J3396" s="55"/>
      <c r="K3396" s="208"/>
      <c r="L3396" s="632"/>
      <c r="M3396" s="55"/>
      <c r="N3396" s="2045" t="s">
        <v>45</v>
      </c>
      <c r="O3396" s="2045"/>
      <c r="P3396" s="2020"/>
      <c r="Q3396" s="142"/>
      <c r="R3396" s="142"/>
    </row>
    <row r="3397" spans="1:21" s="497" customFormat="1" ht="16.2" thickBot="1">
      <c r="A3397" s="48"/>
      <c r="B3397" s="49"/>
      <c r="C3397" s="49"/>
      <c r="D3397" s="49"/>
      <c r="E3397" s="49"/>
      <c r="F3397" s="50"/>
      <c r="G3397" s="49"/>
      <c r="H3397" s="50"/>
      <c r="I3397" s="1860"/>
      <c r="J3397" s="49"/>
      <c r="K3397" s="210"/>
      <c r="L3397" s="50"/>
      <c r="M3397" s="49"/>
      <c r="N3397" s="50"/>
      <c r="O3397" s="49"/>
      <c r="P3397" s="2020"/>
      <c r="Q3397" s="142"/>
      <c r="R3397" s="142"/>
    </row>
    <row r="3401" spans="1:21" ht="15.6">
      <c r="A3401" s="468" t="s">
        <v>48</v>
      </c>
      <c r="B3401" s="468"/>
      <c r="C3401" s="469"/>
      <c r="D3401" s="469"/>
      <c r="E3401" s="469"/>
      <c r="F3401" s="470"/>
      <c r="G3401" s="469"/>
      <c r="H3401" s="469"/>
      <c r="I3401" s="471"/>
      <c r="J3401" s="472"/>
      <c r="K3401" s="473"/>
      <c r="L3401" s="2046" t="s">
        <v>0</v>
      </c>
      <c r="M3401" s="2046"/>
      <c r="N3401" s="2046"/>
      <c r="O3401" s="2046"/>
      <c r="P3401" s="474"/>
      <c r="Q3401" s="474"/>
      <c r="R3401" s="474"/>
    </row>
    <row r="3402" spans="1:21" ht="15.6">
      <c r="A3402" s="27" t="s">
        <v>1</v>
      </c>
      <c r="B3402" s="27"/>
      <c r="C3402" s="27"/>
      <c r="D3402" s="28" t="s">
        <v>2</v>
      </c>
      <c r="E3402" s="28"/>
      <c r="F3402" s="29"/>
      <c r="G3402" s="29"/>
      <c r="H3402" s="29"/>
      <c r="I3402" s="30"/>
      <c r="J3402" s="639"/>
      <c r="K3402" s="197" t="s">
        <v>3</v>
      </c>
      <c r="L3402" s="639"/>
      <c r="M3402" s="27"/>
      <c r="N3402" s="29"/>
      <c r="O3402" s="27"/>
      <c r="P3402" s="475"/>
      <c r="Q3402" s="155"/>
      <c r="R3402" s="155"/>
    </row>
    <row r="3403" spans="1:21" ht="52.2">
      <c r="A3403" s="640" t="s">
        <v>4</v>
      </c>
      <c r="B3403" s="640" t="s">
        <v>5</v>
      </c>
      <c r="C3403" s="640" t="s">
        <v>6</v>
      </c>
      <c r="D3403" s="640" t="s">
        <v>7</v>
      </c>
      <c r="E3403" s="640" t="s">
        <v>8</v>
      </c>
      <c r="F3403" s="641" t="s">
        <v>9</v>
      </c>
      <c r="G3403" s="642" t="s">
        <v>10</v>
      </c>
      <c r="H3403" s="642" t="s">
        <v>11</v>
      </c>
      <c r="I3403" s="643" t="s">
        <v>12</v>
      </c>
      <c r="J3403" s="644" t="s">
        <v>13</v>
      </c>
      <c r="K3403" s="645" t="s">
        <v>14</v>
      </c>
      <c r="L3403" s="646" t="s">
        <v>15</v>
      </c>
      <c r="M3403" s="641" t="s">
        <v>16</v>
      </c>
      <c r="N3403" s="641" t="s">
        <v>17</v>
      </c>
      <c r="O3403" s="642" t="s">
        <v>18</v>
      </c>
      <c r="P3403" s="641" t="s">
        <v>192</v>
      </c>
      <c r="Q3403" s="1063"/>
      <c r="R3403" s="1063"/>
    </row>
    <row r="3404" spans="1:21" ht="17.399999999999999">
      <c r="A3404" s="547" t="s">
        <v>174</v>
      </c>
      <c r="B3404" s="547" t="s">
        <v>408</v>
      </c>
      <c r="C3404" s="547" t="s">
        <v>19</v>
      </c>
      <c r="D3404" s="547" t="s">
        <v>60</v>
      </c>
      <c r="E3404" s="547" t="s">
        <v>247</v>
      </c>
      <c r="F3404" s="549">
        <v>9</v>
      </c>
      <c r="G3404" s="549" t="s">
        <v>61</v>
      </c>
      <c r="H3404" s="599" t="s">
        <v>69</v>
      </c>
      <c r="I3404" s="558">
        <v>6.85</v>
      </c>
      <c r="J3404" s="567">
        <v>11.4</v>
      </c>
      <c r="K3404" s="648">
        <v>640</v>
      </c>
      <c r="L3404" s="552">
        <f>(I3404*J3404*K3404/1000)</f>
        <v>49.977600000000002</v>
      </c>
      <c r="M3404" s="549">
        <v>6</v>
      </c>
      <c r="N3404" s="565">
        <f>J3404*M3404*I3404/1000</f>
        <v>0.46854000000000001</v>
      </c>
      <c r="O3404" s="549"/>
      <c r="P3404" s="549"/>
      <c r="Q3404" s="1059"/>
      <c r="R3404" s="1059"/>
      <c r="S3404">
        <f>43+40+40+40+40+40+40+40+39+40+41+42+40+40+21</f>
        <v>586</v>
      </c>
      <c r="T3404" s="126">
        <f>J3404*S3404*I3404/1000</f>
        <v>45.760739999999998</v>
      </c>
      <c r="U3404" s="497" t="s">
        <v>440</v>
      </c>
    </row>
    <row r="3405" spans="1:21" ht="17.399999999999999">
      <c r="A3405" s="549"/>
      <c r="B3405" s="649" t="s">
        <v>244</v>
      </c>
      <c r="C3405" s="549"/>
      <c r="D3405" s="549"/>
      <c r="E3405" s="549"/>
      <c r="F3405" s="549"/>
      <c r="G3405" s="549"/>
      <c r="H3405" s="650"/>
      <c r="I3405" s="558"/>
      <c r="J3405" s="567"/>
      <c r="K3405" s="648">
        <f t="shared" ref="K3405:N3405" si="617">SUM(K3404)</f>
        <v>640</v>
      </c>
      <c r="L3405" s="567">
        <f t="shared" si="617"/>
        <v>49.977600000000002</v>
      </c>
      <c r="M3405" s="648">
        <f t="shared" si="617"/>
        <v>6</v>
      </c>
      <c r="N3405" s="565">
        <f t="shared" si="617"/>
        <v>0.46854000000000001</v>
      </c>
      <c r="O3405" s="549"/>
      <c r="P3405" s="549"/>
      <c r="Q3405" s="549"/>
      <c r="R3405" s="549"/>
      <c r="S3405" s="648">
        <f t="shared" ref="S3405" si="618">SUM(S3404)</f>
        <v>586</v>
      </c>
      <c r="T3405" s="565">
        <f>SUM(T3404)</f>
        <v>45.760739999999998</v>
      </c>
    </row>
    <row r="3406" spans="1:21" ht="17.399999999999999">
      <c r="A3406" s="549"/>
      <c r="B3406" s="549"/>
      <c r="C3406" s="549"/>
      <c r="D3406" s="549"/>
      <c r="E3406" s="549"/>
      <c r="F3406" s="549"/>
      <c r="G3406" s="549"/>
      <c r="H3406" s="549"/>
      <c r="I3406" s="560"/>
      <c r="J3406" s="549"/>
      <c r="K3406" s="561"/>
      <c r="L3406" s="560"/>
      <c r="M3406" s="549"/>
      <c r="N3406" s="565"/>
      <c r="O3406" s="549"/>
      <c r="P3406" s="549"/>
      <c r="Q3406" s="1059"/>
      <c r="R3406" s="1059"/>
    </row>
    <row r="3407" spans="1:21" s="497" customFormat="1" ht="17.399999999999999">
      <c r="A3407" s="549"/>
      <c r="B3407" s="549"/>
      <c r="C3407" s="549"/>
      <c r="D3407" s="549"/>
      <c r="E3407" s="549"/>
      <c r="F3407" s="549"/>
      <c r="G3407" s="549"/>
      <c r="H3407" s="549"/>
      <c r="I3407" s="560"/>
      <c r="J3407" s="549"/>
      <c r="K3407" s="561"/>
      <c r="L3407" s="560"/>
      <c r="M3407" s="549"/>
      <c r="N3407" s="565"/>
      <c r="O3407" s="549"/>
      <c r="P3407" s="549"/>
      <c r="Q3407" s="1059"/>
      <c r="R3407" s="1059"/>
    </row>
    <row r="3408" spans="1:21" ht="17.399999999999999">
      <c r="A3408" s="547" t="s">
        <v>174</v>
      </c>
      <c r="B3408" s="547" t="s">
        <v>408</v>
      </c>
      <c r="C3408" s="547" t="s">
        <v>19</v>
      </c>
      <c r="D3408" s="547" t="s">
        <v>60</v>
      </c>
      <c r="E3408" s="547" t="s">
        <v>323</v>
      </c>
      <c r="F3408" s="549">
        <v>9</v>
      </c>
      <c r="G3408" s="549" t="s">
        <v>61</v>
      </c>
      <c r="H3408" s="599" t="s">
        <v>70</v>
      </c>
      <c r="I3408" s="558">
        <v>5.76</v>
      </c>
      <c r="J3408" s="567">
        <v>10.5</v>
      </c>
      <c r="K3408" s="648">
        <v>112</v>
      </c>
      <c r="L3408" s="552">
        <f>(I3408*J3408*K3408/1000)</f>
        <v>6.7737599999999993</v>
      </c>
      <c r="M3408" s="549">
        <f>2+3+6</f>
        <v>11</v>
      </c>
      <c r="N3408" s="565">
        <f t="shared" ref="N3408:N3409" si="619">J3408*M3408*I3408/1000</f>
        <v>0.66527999999999998</v>
      </c>
      <c r="O3408" s="549"/>
      <c r="P3408" s="549"/>
      <c r="Q3408" s="1059"/>
      <c r="R3408" s="1059"/>
      <c r="S3408">
        <f>2+38</f>
        <v>40</v>
      </c>
      <c r="T3408" s="126">
        <f>J3408*S3408*I3408/1000</f>
        <v>2.4192</v>
      </c>
      <c r="U3408" s="497" t="s">
        <v>440</v>
      </c>
    </row>
    <row r="3409" spans="1:20" ht="17.399999999999999">
      <c r="A3409" s="549"/>
      <c r="B3409" s="651" t="s">
        <v>334</v>
      </c>
      <c r="C3409" s="549"/>
      <c r="D3409" s="549"/>
      <c r="E3409" s="549"/>
      <c r="F3409" s="549"/>
      <c r="G3409" s="599" t="s">
        <v>61</v>
      </c>
      <c r="H3409" s="599" t="s">
        <v>70</v>
      </c>
      <c r="I3409" s="1699">
        <v>5.76</v>
      </c>
      <c r="J3409" s="732">
        <v>11.9</v>
      </c>
      <c r="K3409" s="733">
        <v>171</v>
      </c>
      <c r="L3409" s="734">
        <f>(I3409*J3409*K3409/1000)</f>
        <v>11.721024</v>
      </c>
      <c r="M3409" s="549">
        <v>9</v>
      </c>
      <c r="N3409" s="565">
        <f t="shared" si="619"/>
        <v>0.61689600000000011</v>
      </c>
      <c r="O3409" s="549"/>
      <c r="P3409" s="549"/>
      <c r="Q3409" s="1059"/>
      <c r="R3409" s="1059"/>
      <c r="S3409">
        <f>35+36</f>
        <v>71</v>
      </c>
      <c r="T3409" s="126">
        <f>J3409*S3409*I3409/1000</f>
        <v>4.8666239999999998</v>
      </c>
    </row>
    <row r="3410" spans="1:20" ht="17.399999999999999">
      <c r="A3410" s="549"/>
      <c r="B3410" s="549"/>
      <c r="C3410" s="549"/>
      <c r="D3410" s="549"/>
      <c r="E3410" s="549"/>
      <c r="F3410" s="549"/>
      <c r="G3410" s="549"/>
      <c r="H3410" s="650"/>
      <c r="I3410" s="558"/>
      <c r="J3410" s="567"/>
      <c r="K3410" s="648">
        <f t="shared" ref="K3410:M3410" si="620">SUM(K3408:K3409)</f>
        <v>283</v>
      </c>
      <c r="L3410" s="567">
        <f>SUM(L3408:L3409)</f>
        <v>18.494783999999999</v>
      </c>
      <c r="M3410" s="648">
        <f t="shared" si="620"/>
        <v>20</v>
      </c>
      <c r="N3410" s="565">
        <f>SUM(N3408:N3409)</f>
        <v>1.2821760000000002</v>
      </c>
      <c r="O3410" s="549"/>
      <c r="P3410" s="549"/>
      <c r="Q3410" s="549"/>
      <c r="R3410" s="549"/>
      <c r="S3410" s="648">
        <f t="shared" ref="S3410" si="621">SUM(S3408:S3409)</f>
        <v>111</v>
      </c>
      <c r="T3410" s="565">
        <f>SUM(T3408:T3409)</f>
        <v>7.2858239999999999</v>
      </c>
    </row>
    <row r="3411" spans="1:20" s="497" customFormat="1" ht="17.399999999999999">
      <c r="A3411" s="549"/>
      <c r="B3411" s="549"/>
      <c r="C3411" s="549"/>
      <c r="D3411" s="549"/>
      <c r="E3411" s="549"/>
      <c r="F3411" s="549"/>
      <c r="G3411" s="549"/>
      <c r="H3411" s="650"/>
      <c r="I3411" s="558"/>
      <c r="J3411" s="567"/>
      <c r="K3411" s="648"/>
      <c r="L3411" s="567"/>
      <c r="M3411" s="549"/>
      <c r="N3411" s="565"/>
      <c r="O3411" s="549"/>
      <c r="P3411" s="549"/>
      <c r="Q3411" s="1059"/>
      <c r="R3411" s="1059"/>
    </row>
    <row r="3412" spans="1:20" s="497" customFormat="1" ht="17.399999999999999">
      <c r="A3412" s="549"/>
      <c r="B3412" s="549"/>
      <c r="C3412" s="549"/>
      <c r="D3412" s="549"/>
      <c r="E3412" s="549"/>
      <c r="F3412" s="549"/>
      <c r="G3412" s="549"/>
      <c r="H3412" s="650"/>
      <c r="I3412" s="558"/>
      <c r="J3412" s="567"/>
      <c r="K3412" s="648"/>
      <c r="L3412" s="567"/>
      <c r="M3412" s="549"/>
      <c r="N3412" s="565"/>
      <c r="O3412" s="549"/>
      <c r="P3412" s="549"/>
      <c r="Q3412" s="1059"/>
      <c r="R3412" s="1059"/>
    </row>
    <row r="3413" spans="1:20" ht="17.399999999999999">
      <c r="A3413" s="549"/>
      <c r="B3413" s="549"/>
      <c r="C3413" s="549"/>
      <c r="D3413" s="549"/>
      <c r="E3413" s="549"/>
      <c r="F3413" s="549"/>
      <c r="G3413" s="549"/>
      <c r="H3413" s="549"/>
      <c r="I3413" s="560"/>
      <c r="J3413" s="549"/>
      <c r="K3413" s="561"/>
      <c r="L3413" s="560"/>
      <c r="M3413" s="549"/>
      <c r="N3413" s="565"/>
      <c r="O3413" s="549"/>
      <c r="P3413" s="549"/>
      <c r="Q3413" s="1059"/>
      <c r="R3413" s="1059"/>
    </row>
    <row r="3414" spans="1:20" ht="17.399999999999999">
      <c r="A3414" s="547" t="s">
        <v>174</v>
      </c>
      <c r="B3414" s="547" t="s">
        <v>408</v>
      </c>
      <c r="C3414" s="547" t="s">
        <v>19</v>
      </c>
      <c r="D3414" s="547" t="s">
        <v>20</v>
      </c>
      <c r="E3414" s="547" t="s">
        <v>47</v>
      </c>
      <c r="F3414" s="549">
        <v>9</v>
      </c>
      <c r="G3414" s="549" t="s">
        <v>21</v>
      </c>
      <c r="H3414" s="599" t="s">
        <v>70</v>
      </c>
      <c r="I3414" s="558">
        <v>5.76</v>
      </c>
      <c r="J3414" s="567">
        <v>8.9</v>
      </c>
      <c r="K3414" s="648">
        <v>39</v>
      </c>
      <c r="L3414" s="552">
        <f t="shared" ref="L3414:L3416" si="622">(I3414*J3414*K3414/1000)</f>
        <v>1.999296</v>
      </c>
      <c r="M3414" s="549">
        <f>1+2</f>
        <v>3</v>
      </c>
      <c r="N3414" s="565">
        <f>J3414*M3414*I3414/1000</f>
        <v>0.15379200000000001</v>
      </c>
      <c r="O3414" s="549"/>
      <c r="P3414" s="549"/>
      <c r="Q3414" s="1059"/>
      <c r="R3414" s="1059"/>
      <c r="S3414" s="497" t="s">
        <v>441</v>
      </c>
    </row>
    <row r="3415" spans="1:20" ht="17.399999999999999">
      <c r="A3415" s="549"/>
      <c r="B3415" s="549" t="s">
        <v>334</v>
      </c>
      <c r="C3415" s="549"/>
      <c r="D3415" s="549"/>
      <c r="E3415" s="549"/>
      <c r="F3415" s="549"/>
      <c r="G3415" s="549" t="s">
        <v>21</v>
      </c>
      <c r="H3415" s="549" t="s">
        <v>70</v>
      </c>
      <c r="I3415" s="558">
        <v>5.76</v>
      </c>
      <c r="J3415" s="567">
        <v>10.5</v>
      </c>
      <c r="K3415" s="648">
        <v>66</v>
      </c>
      <c r="L3415" s="552">
        <f t="shared" si="622"/>
        <v>3.9916799999999997</v>
      </c>
      <c r="M3415" s="549"/>
      <c r="N3415" s="565">
        <f>J3415*M3415*I3415/1000</f>
        <v>0</v>
      </c>
      <c r="O3415" s="549"/>
      <c r="P3415" s="549"/>
      <c r="Q3415" s="1059"/>
      <c r="R3415" s="1059"/>
    </row>
    <row r="3416" spans="1:20" ht="17.399999999999999">
      <c r="A3416" s="549"/>
      <c r="B3416" s="549"/>
      <c r="C3416" s="549"/>
      <c r="D3416" s="549"/>
      <c r="E3416" s="549"/>
      <c r="F3416" s="549"/>
      <c r="G3416" s="599" t="s">
        <v>21</v>
      </c>
      <c r="H3416" s="599" t="s">
        <v>70</v>
      </c>
      <c r="I3416" s="1699">
        <v>5.76</v>
      </c>
      <c r="J3416" s="732">
        <v>11.9</v>
      </c>
      <c r="K3416" s="733">
        <v>120</v>
      </c>
      <c r="L3416" s="734">
        <f t="shared" si="622"/>
        <v>8.2252799999999997</v>
      </c>
      <c r="M3416" s="549">
        <v>13</v>
      </c>
      <c r="N3416" s="565">
        <f>J3416*M3416*I3416/1000</f>
        <v>0.89107200000000009</v>
      </c>
      <c r="O3416" s="549"/>
      <c r="P3416" s="549"/>
      <c r="Q3416" s="1059"/>
      <c r="R3416" s="1059"/>
    </row>
    <row r="3417" spans="1:20" ht="17.399999999999999">
      <c r="A3417" s="549"/>
      <c r="B3417" s="549"/>
      <c r="C3417" s="549"/>
      <c r="D3417" s="549"/>
      <c r="E3417" s="549"/>
      <c r="F3417" s="549"/>
      <c r="G3417" s="549"/>
      <c r="H3417" s="650"/>
      <c r="I3417" s="558"/>
      <c r="J3417" s="567"/>
      <c r="K3417" s="648">
        <f t="shared" ref="K3417:M3417" si="623">SUM(K3414:K3416)</f>
        <v>225</v>
      </c>
      <c r="L3417" s="567">
        <f t="shared" si="623"/>
        <v>14.216256</v>
      </c>
      <c r="M3417" s="648">
        <f t="shared" si="623"/>
        <v>16</v>
      </c>
      <c r="N3417" s="565">
        <f>SUM(N3414:N3416)</f>
        <v>1.044864</v>
      </c>
      <c r="O3417" s="549"/>
      <c r="P3417" s="549"/>
      <c r="Q3417" s="1059"/>
      <c r="R3417" s="1059"/>
    </row>
    <row r="3418" spans="1:20" s="497" customFormat="1" ht="17.399999999999999">
      <c r="A3418" s="549"/>
      <c r="B3418" s="549"/>
      <c r="C3418" s="549"/>
      <c r="D3418" s="549"/>
      <c r="E3418" s="549"/>
      <c r="F3418" s="549"/>
      <c r="G3418" s="549"/>
      <c r="H3418" s="650"/>
      <c r="I3418" s="558"/>
      <c r="J3418" s="567"/>
      <c r="K3418" s="648"/>
      <c r="L3418" s="567"/>
      <c r="M3418" s="549"/>
      <c r="N3418" s="565"/>
      <c r="O3418" s="549"/>
      <c r="P3418" s="549"/>
      <c r="Q3418" s="1059"/>
      <c r="R3418" s="1059"/>
    </row>
    <row r="3419" spans="1:20" s="497" customFormat="1" ht="17.399999999999999">
      <c r="A3419" s="549"/>
      <c r="B3419" s="549"/>
      <c r="C3419" s="549"/>
      <c r="D3419" s="549"/>
      <c r="E3419" s="549"/>
      <c r="F3419" s="549"/>
      <c r="G3419" s="549"/>
      <c r="H3419" s="650"/>
      <c r="I3419" s="558"/>
      <c r="J3419" s="567"/>
      <c r="K3419" s="648"/>
      <c r="L3419" s="567"/>
      <c r="M3419" s="549"/>
      <c r="N3419" s="565"/>
      <c r="O3419" s="549"/>
      <c r="P3419" s="549"/>
      <c r="Q3419" s="1059"/>
      <c r="R3419" s="1059"/>
    </row>
    <row r="3420" spans="1:20" s="497" customFormat="1" ht="17.399999999999999">
      <c r="A3420" s="549"/>
      <c r="B3420" s="549"/>
      <c r="C3420" s="549"/>
      <c r="D3420" s="549"/>
      <c r="E3420" s="549"/>
      <c r="F3420" s="549"/>
      <c r="G3420" s="549"/>
      <c r="H3420" s="650"/>
      <c r="I3420" s="558"/>
      <c r="J3420" s="567"/>
      <c r="K3420" s="648"/>
      <c r="L3420" s="567"/>
      <c r="M3420" s="549"/>
      <c r="N3420" s="565"/>
      <c r="O3420" s="549"/>
      <c r="P3420" s="549"/>
      <c r="Q3420" s="1059"/>
      <c r="R3420" s="1059"/>
    </row>
    <row r="3421" spans="1:20" ht="17.399999999999999">
      <c r="A3421" s="547" t="s">
        <v>174</v>
      </c>
      <c r="B3421" s="547" t="s">
        <v>408</v>
      </c>
      <c r="C3421" s="547" t="s">
        <v>19</v>
      </c>
      <c r="D3421" s="547" t="s">
        <v>20</v>
      </c>
      <c r="E3421" s="547" t="s">
        <v>47</v>
      </c>
      <c r="F3421" s="549">
        <v>9</v>
      </c>
      <c r="G3421" s="549" t="s">
        <v>21</v>
      </c>
      <c r="H3421" s="599" t="s">
        <v>69</v>
      </c>
      <c r="I3421" s="558">
        <v>6.85</v>
      </c>
      <c r="J3421" s="567">
        <v>10</v>
      </c>
      <c r="K3421" s="648">
        <v>117</v>
      </c>
      <c r="L3421" s="552">
        <f t="shared" ref="L3421:L3424" si="624">(I3421*J3421*K3421/1000)</f>
        <v>8.0145</v>
      </c>
      <c r="M3421" s="549"/>
      <c r="N3421" s="565"/>
      <c r="O3421" s="549"/>
      <c r="P3421" s="549"/>
      <c r="Q3421" s="1059"/>
      <c r="R3421" s="1059"/>
      <c r="S3421" s="497" t="s">
        <v>441</v>
      </c>
    </row>
    <row r="3422" spans="1:20" ht="17.399999999999999">
      <c r="A3422" s="549"/>
      <c r="B3422" s="549" t="s">
        <v>334</v>
      </c>
      <c r="C3422" s="549"/>
      <c r="D3422" s="549"/>
      <c r="E3422" s="549"/>
      <c r="F3422" s="549"/>
      <c r="G3422" s="549" t="s">
        <v>21</v>
      </c>
      <c r="H3422" s="549" t="s">
        <v>69</v>
      </c>
      <c r="I3422" s="558">
        <v>6.85</v>
      </c>
      <c r="J3422" s="567">
        <v>10.5</v>
      </c>
      <c r="K3422" s="648">
        <v>64</v>
      </c>
      <c r="L3422" s="552">
        <f t="shared" si="624"/>
        <v>4.6032000000000002</v>
      </c>
      <c r="M3422" s="549"/>
      <c r="N3422" s="565"/>
      <c r="O3422" s="549"/>
      <c r="P3422" s="549"/>
      <c r="Q3422" s="1059"/>
      <c r="R3422" s="1059"/>
    </row>
    <row r="3423" spans="1:20" ht="17.399999999999999">
      <c r="A3423" s="549"/>
      <c r="B3423" s="549"/>
      <c r="C3423" s="549"/>
      <c r="D3423" s="549"/>
      <c r="E3423" s="549"/>
      <c r="F3423" s="549"/>
      <c r="G3423" s="549" t="s">
        <v>21</v>
      </c>
      <c r="H3423" s="549" t="s">
        <v>69</v>
      </c>
      <c r="I3423" s="558">
        <v>6.85</v>
      </c>
      <c r="J3423" s="567">
        <v>11.5</v>
      </c>
      <c r="K3423" s="648">
        <v>278</v>
      </c>
      <c r="L3423" s="552">
        <f t="shared" si="624"/>
        <v>21.899449999999998</v>
      </c>
      <c r="M3423" s="549"/>
      <c r="N3423" s="565"/>
      <c r="O3423" s="549"/>
      <c r="P3423" s="549"/>
      <c r="Q3423" s="1059"/>
      <c r="R3423" s="1059"/>
    </row>
    <row r="3424" spans="1:20" ht="17.399999999999999">
      <c r="A3424" s="549"/>
      <c r="B3424" s="549"/>
      <c r="C3424" s="549"/>
      <c r="D3424" s="549"/>
      <c r="E3424" s="549"/>
      <c r="F3424" s="549"/>
      <c r="G3424" s="599" t="s">
        <v>21</v>
      </c>
      <c r="H3424" s="599" t="s">
        <v>69</v>
      </c>
      <c r="I3424" s="1699">
        <v>6.85</v>
      </c>
      <c r="J3424" s="732">
        <v>11.9</v>
      </c>
      <c r="K3424" s="733">
        <v>240</v>
      </c>
      <c r="L3424" s="734">
        <f t="shared" si="624"/>
        <v>19.563599999999997</v>
      </c>
      <c r="M3424" s="549"/>
      <c r="N3424" s="565"/>
      <c r="O3424" s="549"/>
      <c r="P3424" s="549"/>
      <c r="Q3424" s="1059"/>
      <c r="R3424" s="1059"/>
    </row>
    <row r="3425" spans="1:19" ht="17.399999999999999">
      <c r="A3425" s="549"/>
      <c r="B3425" s="549"/>
      <c r="C3425" s="549"/>
      <c r="D3425" s="549"/>
      <c r="E3425" s="549"/>
      <c r="F3425" s="549"/>
      <c r="G3425" s="549"/>
      <c r="H3425" s="650"/>
      <c r="I3425" s="558"/>
      <c r="J3425" s="567"/>
      <c r="K3425" s="648">
        <f t="shared" ref="K3425:N3425" si="625">SUM(K3421:K3424)</f>
        <v>699</v>
      </c>
      <c r="L3425" s="567">
        <f t="shared" si="625"/>
        <v>54.080749999999995</v>
      </c>
      <c r="M3425" s="648">
        <f t="shared" si="625"/>
        <v>0</v>
      </c>
      <c r="N3425" s="565">
        <f t="shared" si="625"/>
        <v>0</v>
      </c>
      <c r="O3425" s="549"/>
      <c r="P3425" s="549"/>
      <c r="Q3425" s="1059"/>
      <c r="R3425" s="1059"/>
    </row>
    <row r="3426" spans="1:19" ht="17.399999999999999">
      <c r="A3426" s="549"/>
      <c r="B3426" s="549"/>
      <c r="C3426" s="549"/>
      <c r="D3426" s="549"/>
      <c r="E3426" s="549"/>
      <c r="F3426" s="549"/>
      <c r="G3426" s="549"/>
      <c r="H3426" s="549"/>
      <c r="I3426" s="560"/>
      <c r="J3426" s="549"/>
      <c r="K3426" s="561"/>
      <c r="L3426" s="560"/>
      <c r="M3426" s="549"/>
      <c r="N3426" s="565"/>
      <c r="O3426" s="549"/>
      <c r="P3426" s="549"/>
      <c r="Q3426" s="1059"/>
      <c r="R3426" s="1059"/>
    </row>
    <row r="3427" spans="1:19" ht="17.399999999999999">
      <c r="A3427" s="547" t="s">
        <v>174</v>
      </c>
      <c r="B3427" s="547" t="s">
        <v>408</v>
      </c>
      <c r="C3427" s="547" t="s">
        <v>19</v>
      </c>
      <c r="D3427" s="547" t="s">
        <v>60</v>
      </c>
      <c r="E3427" s="547" t="s">
        <v>323</v>
      </c>
      <c r="F3427" s="549">
        <v>9</v>
      </c>
      <c r="G3427" s="549" t="s">
        <v>61</v>
      </c>
      <c r="H3427" s="599" t="s">
        <v>69</v>
      </c>
      <c r="I3427" s="558">
        <v>6.85</v>
      </c>
      <c r="J3427" s="567">
        <v>6.9</v>
      </c>
      <c r="K3427" s="648">
        <v>72</v>
      </c>
      <c r="L3427" s="552">
        <f>(I3427*J3427*K3427/1000)</f>
        <v>3.4030800000000001</v>
      </c>
      <c r="M3427" s="549"/>
      <c r="N3427" s="565"/>
      <c r="O3427" s="549"/>
      <c r="P3427" s="549"/>
      <c r="Q3427" s="1059"/>
      <c r="R3427" s="1059"/>
      <c r="S3427" s="497" t="s">
        <v>441</v>
      </c>
    </row>
    <row r="3428" spans="1:19" ht="17.399999999999999">
      <c r="A3428" s="549"/>
      <c r="B3428" s="651" t="s">
        <v>334</v>
      </c>
      <c r="C3428" s="549"/>
      <c r="D3428" s="549"/>
      <c r="E3428" s="549"/>
      <c r="F3428" s="549"/>
      <c r="G3428" s="549"/>
      <c r="H3428" s="650"/>
      <c r="I3428" s="558"/>
      <c r="J3428" s="567"/>
      <c r="K3428" s="648">
        <f t="shared" ref="K3428:N3428" si="626">SUM(K3427)</f>
        <v>72</v>
      </c>
      <c r="L3428" s="567">
        <f t="shared" si="626"/>
        <v>3.4030800000000001</v>
      </c>
      <c r="M3428" s="648">
        <f t="shared" si="626"/>
        <v>0</v>
      </c>
      <c r="N3428" s="565">
        <f t="shared" si="626"/>
        <v>0</v>
      </c>
      <c r="O3428" s="549"/>
      <c r="P3428" s="549"/>
      <c r="Q3428" s="1059"/>
      <c r="R3428" s="1059"/>
    </row>
    <row r="3429" spans="1:19" s="497" customFormat="1" ht="17.399999999999999">
      <c r="A3429" s="549"/>
      <c r="B3429" s="651"/>
      <c r="C3429" s="549"/>
      <c r="D3429" s="549"/>
      <c r="E3429" s="549"/>
      <c r="F3429" s="549"/>
      <c r="G3429" s="549"/>
      <c r="H3429" s="650"/>
      <c r="I3429" s="558"/>
      <c r="J3429" s="567"/>
      <c r="K3429" s="648"/>
      <c r="L3429" s="567"/>
      <c r="M3429" s="549"/>
      <c r="N3429" s="565"/>
      <c r="O3429" s="549"/>
      <c r="P3429" s="549"/>
      <c r="Q3429" s="1059"/>
      <c r="R3429" s="1059"/>
    </row>
    <row r="3430" spans="1:19" s="497" customFormat="1" ht="17.399999999999999">
      <c r="A3430" s="549"/>
      <c r="B3430" s="651"/>
      <c r="C3430" s="549"/>
      <c r="D3430" s="549"/>
      <c r="E3430" s="549"/>
      <c r="F3430" s="549"/>
      <c r="G3430" s="549"/>
      <c r="H3430" s="650"/>
      <c r="I3430" s="558"/>
      <c r="J3430" s="567"/>
      <c r="K3430" s="648"/>
      <c r="L3430" s="567"/>
      <c r="M3430" s="549"/>
      <c r="N3430" s="565"/>
      <c r="O3430" s="549"/>
      <c r="P3430" s="549"/>
      <c r="Q3430" s="1059"/>
      <c r="R3430" s="1059"/>
    </row>
    <row r="3431" spans="1:19" s="497" customFormat="1" ht="17.399999999999999">
      <c r="A3431" s="549"/>
      <c r="B3431" s="651"/>
      <c r="C3431" s="549"/>
      <c r="D3431" s="549"/>
      <c r="E3431" s="549"/>
      <c r="F3431" s="549"/>
      <c r="G3431" s="549"/>
      <c r="H3431" s="650"/>
      <c r="I3431" s="558"/>
      <c r="J3431" s="567"/>
      <c r="K3431" s="648"/>
      <c r="L3431" s="567"/>
      <c r="M3431" s="549"/>
      <c r="N3431" s="565"/>
      <c r="O3431" s="549"/>
      <c r="P3431" s="549"/>
      <c r="Q3431" s="1059"/>
      <c r="R3431" s="1059"/>
    </row>
    <row r="3432" spans="1:19" s="497" customFormat="1" ht="17.399999999999999">
      <c r="A3432" s="547" t="s">
        <v>411</v>
      </c>
      <c r="B3432" s="547" t="s">
        <v>341</v>
      </c>
      <c r="C3432" s="547" t="s">
        <v>19</v>
      </c>
      <c r="D3432" s="547" t="s">
        <v>20</v>
      </c>
      <c r="E3432" s="547" t="s">
        <v>359</v>
      </c>
      <c r="F3432" s="549">
        <v>9</v>
      </c>
      <c r="G3432" s="549" t="s">
        <v>21</v>
      </c>
      <c r="H3432" s="599" t="s">
        <v>69</v>
      </c>
      <c r="I3432" s="558">
        <v>6.86</v>
      </c>
      <c r="J3432" s="774">
        <v>7</v>
      </c>
      <c r="K3432" s="776">
        <v>13</v>
      </c>
      <c r="L3432" s="552">
        <f>(I3432*J3432*K3432/1000)</f>
        <v>0.62426000000000004</v>
      </c>
      <c r="M3432" s="549"/>
      <c r="N3432" s="565"/>
      <c r="O3432" s="549"/>
      <c r="P3432" s="549"/>
      <c r="Q3432" s="1059"/>
      <c r="R3432" s="1059"/>
      <c r="S3432" s="497" t="s">
        <v>441</v>
      </c>
    </row>
    <row r="3433" spans="1:19" s="497" customFormat="1" ht="17.399999999999999">
      <c r="A3433" s="549"/>
      <c r="B3433" s="651" t="s">
        <v>331</v>
      </c>
      <c r="C3433" s="549"/>
      <c r="D3433" s="549"/>
      <c r="E3433" s="549"/>
      <c r="F3433" s="549"/>
      <c r="G3433" s="549"/>
      <c r="H3433" s="650"/>
      <c r="I3433" s="558"/>
      <c r="J3433" s="567"/>
      <c r="K3433" s="564">
        <f t="shared" ref="K3433" si="627">SUM(K3432)</f>
        <v>13</v>
      </c>
      <c r="L3433" s="567">
        <f>SUM(L3432)</f>
        <v>0.62426000000000004</v>
      </c>
      <c r="M3433" s="549"/>
      <c r="N3433" s="565"/>
      <c r="O3433" s="549"/>
      <c r="P3433" s="549"/>
      <c r="Q3433" s="1059"/>
      <c r="R3433" s="1059"/>
    </row>
    <row r="3434" spans="1:19" s="497" customFormat="1" ht="17.399999999999999">
      <c r="A3434" s="549"/>
      <c r="B3434" s="651"/>
      <c r="C3434" s="549"/>
      <c r="D3434" s="549"/>
      <c r="E3434" s="549"/>
      <c r="F3434" s="549"/>
      <c r="G3434" s="549"/>
      <c r="H3434" s="650"/>
      <c r="I3434" s="558"/>
      <c r="J3434" s="567"/>
      <c r="K3434" s="564"/>
      <c r="L3434" s="567"/>
      <c r="M3434" s="549"/>
      <c r="N3434" s="565"/>
      <c r="O3434" s="549"/>
      <c r="P3434" s="549"/>
      <c r="Q3434" s="1059"/>
      <c r="R3434" s="1059"/>
    </row>
    <row r="3435" spans="1:19" s="497" customFormat="1" ht="17.399999999999999">
      <c r="A3435" s="547" t="s">
        <v>427</v>
      </c>
      <c r="B3435" s="547" t="s">
        <v>341</v>
      </c>
      <c r="C3435" s="547" t="s">
        <v>19</v>
      </c>
      <c r="D3435" s="547" t="s">
        <v>20</v>
      </c>
      <c r="E3435" s="547" t="s">
        <v>359</v>
      </c>
      <c r="F3435" s="549">
        <v>9</v>
      </c>
      <c r="G3435" s="549" t="s">
        <v>21</v>
      </c>
      <c r="H3435" s="599" t="s">
        <v>69</v>
      </c>
      <c r="I3435" s="558">
        <v>6.86</v>
      </c>
      <c r="J3435" s="773">
        <v>12</v>
      </c>
      <c r="K3435" s="776">
        <v>40</v>
      </c>
      <c r="L3435" s="552">
        <f>(I3435*J3435*K3435/1000)</f>
        <v>3.2928000000000002</v>
      </c>
      <c r="M3435" s="549"/>
      <c r="N3435" s="565"/>
      <c r="O3435" s="549"/>
      <c r="P3435" s="549"/>
      <c r="Q3435" s="1059"/>
      <c r="R3435" s="1059"/>
      <c r="S3435" s="497" t="s">
        <v>441</v>
      </c>
    </row>
    <row r="3436" spans="1:19" s="497" customFormat="1" ht="17.399999999999999">
      <c r="A3436" s="549"/>
      <c r="B3436" s="792" t="s">
        <v>277</v>
      </c>
      <c r="C3436" s="549"/>
      <c r="D3436" s="549"/>
      <c r="E3436" s="549"/>
      <c r="F3436" s="549"/>
      <c r="G3436" s="549" t="s">
        <v>21</v>
      </c>
      <c r="H3436" s="549" t="s">
        <v>69</v>
      </c>
      <c r="I3436" s="558">
        <v>6.86</v>
      </c>
      <c r="J3436" s="773">
        <v>10</v>
      </c>
      <c r="K3436" s="776">
        <v>2</v>
      </c>
      <c r="L3436" s="552">
        <f>(I3436*J3436*K3436/1000)</f>
        <v>0.13720000000000002</v>
      </c>
      <c r="M3436" s="549"/>
      <c r="N3436" s="565"/>
      <c r="O3436" s="549"/>
      <c r="P3436" s="549"/>
      <c r="Q3436" s="1059"/>
      <c r="R3436" s="1059"/>
    </row>
    <row r="3437" spans="1:19" s="497" customFormat="1" ht="17.399999999999999">
      <c r="A3437" s="549"/>
      <c r="B3437" s="651"/>
      <c r="C3437" s="549"/>
      <c r="D3437" s="549"/>
      <c r="E3437" s="549"/>
      <c r="F3437" s="549"/>
      <c r="G3437" s="549"/>
      <c r="H3437" s="650"/>
      <c r="I3437" s="558"/>
      <c r="J3437" s="567"/>
      <c r="K3437" s="564">
        <f>SUM(K3435:K3436)</f>
        <v>42</v>
      </c>
      <c r="L3437" s="567">
        <f>SUM(L3435:L3436)</f>
        <v>3.43</v>
      </c>
      <c r="M3437" s="549"/>
      <c r="N3437" s="565"/>
      <c r="O3437" s="549"/>
      <c r="P3437" s="549"/>
      <c r="Q3437" s="1059"/>
      <c r="R3437" s="1059"/>
    </row>
    <row r="3438" spans="1:19" s="497" customFormat="1" ht="17.399999999999999">
      <c r="A3438" s="549"/>
      <c r="B3438" s="651"/>
      <c r="C3438" s="549"/>
      <c r="D3438" s="549"/>
      <c r="E3438" s="549"/>
      <c r="F3438" s="549"/>
      <c r="G3438" s="549"/>
      <c r="H3438" s="650"/>
      <c r="I3438" s="558"/>
      <c r="J3438" s="567"/>
      <c r="K3438" s="564">
        <f>+K3437+K3433</f>
        <v>55</v>
      </c>
      <c r="L3438" s="567">
        <f>+L3437+L3433</f>
        <v>4.0542600000000002</v>
      </c>
      <c r="M3438" s="549"/>
      <c r="N3438" s="565"/>
      <c r="O3438" s="549"/>
      <c r="P3438" s="549"/>
      <c r="Q3438" s="1059"/>
      <c r="R3438" s="1059"/>
    </row>
    <row r="3439" spans="1:19" s="497" customFormat="1" ht="17.399999999999999">
      <c r="A3439" s="549"/>
      <c r="B3439" s="651"/>
      <c r="C3439" s="549"/>
      <c r="D3439" s="549"/>
      <c r="E3439" s="549"/>
      <c r="F3439" s="549"/>
      <c r="G3439" s="549"/>
      <c r="H3439" s="650"/>
      <c r="I3439" s="558"/>
      <c r="J3439" s="567"/>
      <c r="K3439" s="648"/>
      <c r="L3439" s="567"/>
      <c r="M3439" s="549"/>
      <c r="N3439" s="565"/>
      <c r="O3439" s="549"/>
      <c r="P3439" s="549"/>
      <c r="Q3439" s="1059"/>
      <c r="R3439" s="1059"/>
    </row>
    <row r="3440" spans="1:19" s="497" customFormat="1" ht="17.399999999999999">
      <c r="A3440" s="549"/>
      <c r="B3440" s="651"/>
      <c r="C3440" s="549"/>
      <c r="D3440" s="549"/>
      <c r="E3440" s="549"/>
      <c r="F3440" s="549"/>
      <c r="G3440" s="549"/>
      <c r="H3440" s="650"/>
      <c r="I3440" s="558"/>
      <c r="J3440" s="567"/>
      <c r="K3440" s="648"/>
      <c r="L3440" s="567"/>
      <c r="M3440" s="549"/>
      <c r="N3440" s="565"/>
      <c r="O3440" s="549"/>
      <c r="P3440" s="549"/>
      <c r="Q3440" s="1059"/>
      <c r="R3440" s="1059"/>
    </row>
    <row r="3441" spans="1:19" s="497" customFormat="1" ht="17.399999999999999">
      <c r="A3441" s="547" t="s">
        <v>411</v>
      </c>
      <c r="B3441" s="547" t="s">
        <v>341</v>
      </c>
      <c r="C3441" s="547" t="s">
        <v>19</v>
      </c>
      <c r="D3441" s="547" t="s">
        <v>20</v>
      </c>
      <c r="E3441" s="547" t="s">
        <v>57</v>
      </c>
      <c r="F3441" s="549">
        <v>9</v>
      </c>
      <c r="G3441" s="549" t="s">
        <v>21</v>
      </c>
      <c r="H3441" s="599" t="s">
        <v>70</v>
      </c>
      <c r="I3441" s="558">
        <v>5.76</v>
      </c>
      <c r="J3441" s="558">
        <v>7.2</v>
      </c>
      <c r="K3441" s="793">
        <v>52</v>
      </c>
      <c r="L3441" s="552">
        <f t="shared" ref="L3441:L3450" si="628">(I3441*J3441*K3441/1000)</f>
        <v>2.1565439999999998</v>
      </c>
      <c r="M3441" s="567"/>
      <c r="N3441" s="565"/>
      <c r="O3441" s="549"/>
      <c r="P3441" s="549"/>
      <c r="Q3441" s="1059"/>
      <c r="R3441" s="1059"/>
      <c r="S3441" s="497" t="s">
        <v>441</v>
      </c>
    </row>
    <row r="3442" spans="1:19" s="497" customFormat="1" ht="17.399999999999999">
      <c r="A3442" s="549"/>
      <c r="B3442" s="792" t="s">
        <v>423</v>
      </c>
      <c r="C3442" s="549"/>
      <c r="D3442" s="549"/>
      <c r="E3442" s="549"/>
      <c r="F3442" s="549"/>
      <c r="G3442" s="549" t="s">
        <v>21</v>
      </c>
      <c r="H3442" s="549" t="s">
        <v>70</v>
      </c>
      <c r="I3442" s="558">
        <v>5.76</v>
      </c>
      <c r="J3442" s="558">
        <v>9.5</v>
      </c>
      <c r="K3442" s="793">
        <v>80</v>
      </c>
      <c r="L3442" s="552">
        <f t="shared" si="628"/>
        <v>4.3776000000000002</v>
      </c>
      <c r="M3442" s="567"/>
      <c r="N3442" s="565"/>
      <c r="O3442" s="549"/>
      <c r="P3442" s="549"/>
      <c r="Q3442" s="1059"/>
      <c r="R3442" s="1059"/>
    </row>
    <row r="3443" spans="1:19" s="497" customFormat="1" ht="17.399999999999999">
      <c r="A3443" s="549"/>
      <c r="B3443" s="651"/>
      <c r="C3443" s="549"/>
      <c r="D3443" s="549"/>
      <c r="E3443" s="549"/>
      <c r="F3443" s="549"/>
      <c r="G3443" s="549" t="s">
        <v>21</v>
      </c>
      <c r="H3443" s="549" t="s">
        <v>70</v>
      </c>
      <c r="I3443" s="558">
        <v>5.76</v>
      </c>
      <c r="J3443" s="558">
        <v>10</v>
      </c>
      <c r="K3443" s="793">
        <v>145</v>
      </c>
      <c r="L3443" s="552">
        <f t="shared" si="628"/>
        <v>8.3520000000000003</v>
      </c>
      <c r="M3443" s="567"/>
      <c r="N3443" s="565"/>
      <c r="O3443" s="549"/>
      <c r="P3443" s="549"/>
      <c r="Q3443" s="1059"/>
      <c r="R3443" s="1059"/>
    </row>
    <row r="3444" spans="1:19" s="497" customFormat="1" ht="17.399999999999999">
      <c r="A3444" s="549"/>
      <c r="B3444" s="651"/>
      <c r="C3444" s="549"/>
      <c r="D3444" s="549"/>
      <c r="E3444" s="549"/>
      <c r="F3444" s="549"/>
      <c r="G3444" s="549" t="s">
        <v>21</v>
      </c>
      <c r="H3444" s="549" t="s">
        <v>70</v>
      </c>
      <c r="I3444" s="558">
        <v>5.76</v>
      </c>
      <c r="J3444" s="558">
        <v>10.5</v>
      </c>
      <c r="K3444" s="793">
        <v>124</v>
      </c>
      <c r="L3444" s="552">
        <f t="shared" si="628"/>
        <v>7.4995199999999995</v>
      </c>
      <c r="M3444" s="567"/>
      <c r="N3444" s="565"/>
      <c r="O3444" s="549"/>
      <c r="P3444" s="549"/>
      <c r="Q3444" s="1059"/>
      <c r="R3444" s="1059"/>
    </row>
    <row r="3445" spans="1:19" s="497" customFormat="1" ht="17.399999999999999">
      <c r="A3445" s="549"/>
      <c r="B3445" s="651"/>
      <c r="C3445" s="549"/>
      <c r="D3445" s="549"/>
      <c r="E3445" s="549"/>
      <c r="F3445" s="549"/>
      <c r="G3445" s="549" t="s">
        <v>21</v>
      </c>
      <c r="H3445" s="549" t="s">
        <v>70</v>
      </c>
      <c r="I3445" s="558">
        <v>5.76</v>
      </c>
      <c r="J3445" s="558">
        <v>10.6</v>
      </c>
      <c r="K3445" s="793">
        <v>26</v>
      </c>
      <c r="L3445" s="552">
        <f t="shared" si="628"/>
        <v>1.587456</v>
      </c>
      <c r="M3445" s="567"/>
      <c r="N3445" s="565"/>
      <c r="O3445" s="549"/>
      <c r="P3445" s="549"/>
      <c r="Q3445" s="1059"/>
      <c r="R3445" s="1059"/>
    </row>
    <row r="3446" spans="1:19" s="497" customFormat="1" ht="17.399999999999999">
      <c r="A3446" s="549"/>
      <c r="B3446" s="651"/>
      <c r="C3446" s="549"/>
      <c r="D3446" s="549"/>
      <c r="E3446" s="549"/>
      <c r="F3446" s="549"/>
      <c r="G3446" s="549" t="s">
        <v>21</v>
      </c>
      <c r="H3446" s="549" t="s">
        <v>70</v>
      </c>
      <c r="I3446" s="558">
        <v>5.76</v>
      </c>
      <c r="J3446" s="558">
        <v>11</v>
      </c>
      <c r="K3446" s="793">
        <v>14</v>
      </c>
      <c r="L3446" s="552">
        <f t="shared" si="628"/>
        <v>0.88703999999999994</v>
      </c>
      <c r="M3446" s="567"/>
      <c r="N3446" s="565"/>
      <c r="O3446" s="549"/>
      <c r="P3446" s="549"/>
      <c r="Q3446" s="1059"/>
      <c r="R3446" s="1059"/>
    </row>
    <row r="3447" spans="1:19" s="497" customFormat="1" ht="17.399999999999999">
      <c r="A3447" s="549"/>
      <c r="B3447" s="651"/>
      <c r="C3447" s="549"/>
      <c r="D3447" s="549"/>
      <c r="E3447" s="549"/>
      <c r="F3447" s="549"/>
      <c r="G3447" s="549" t="s">
        <v>21</v>
      </c>
      <c r="H3447" s="549" t="s">
        <v>70</v>
      </c>
      <c r="I3447" s="558">
        <v>5.76</v>
      </c>
      <c r="J3447" s="558">
        <v>11.2</v>
      </c>
      <c r="K3447" s="793">
        <v>34</v>
      </c>
      <c r="L3447" s="552">
        <f t="shared" si="628"/>
        <v>2.1934079999999998</v>
      </c>
      <c r="M3447" s="567"/>
      <c r="N3447" s="565"/>
      <c r="O3447" s="549"/>
      <c r="P3447" s="549"/>
      <c r="Q3447" s="1059"/>
      <c r="R3447" s="1059"/>
    </row>
    <row r="3448" spans="1:19" s="497" customFormat="1" ht="17.399999999999999">
      <c r="A3448" s="549"/>
      <c r="B3448" s="651"/>
      <c r="C3448" s="549"/>
      <c r="D3448" s="549"/>
      <c r="E3448" s="549"/>
      <c r="F3448" s="549"/>
      <c r="G3448" s="549" t="s">
        <v>21</v>
      </c>
      <c r="H3448" s="549" t="s">
        <v>70</v>
      </c>
      <c r="I3448" s="558">
        <v>5.76</v>
      </c>
      <c r="J3448" s="558">
        <v>11.5</v>
      </c>
      <c r="K3448" s="793">
        <v>107</v>
      </c>
      <c r="L3448" s="552">
        <f t="shared" si="628"/>
        <v>7.0876799999999998</v>
      </c>
      <c r="M3448" s="567"/>
      <c r="N3448" s="565"/>
      <c r="O3448" s="549"/>
      <c r="P3448" s="549"/>
      <c r="Q3448" s="1059"/>
      <c r="R3448" s="1059"/>
    </row>
    <row r="3449" spans="1:19" s="497" customFormat="1" ht="17.399999999999999">
      <c r="A3449" s="549"/>
      <c r="B3449" s="651"/>
      <c r="C3449" s="549"/>
      <c r="D3449" s="549"/>
      <c r="E3449" s="549"/>
      <c r="F3449" s="549"/>
      <c r="G3449" s="549" t="s">
        <v>21</v>
      </c>
      <c r="H3449" s="549" t="s">
        <v>70</v>
      </c>
      <c r="I3449" s="558">
        <v>5.76</v>
      </c>
      <c r="J3449" s="558">
        <v>11.7</v>
      </c>
      <c r="K3449" s="793">
        <v>45</v>
      </c>
      <c r="L3449" s="552">
        <f t="shared" si="628"/>
        <v>3.0326399999999998</v>
      </c>
      <c r="M3449" s="567"/>
      <c r="N3449" s="565"/>
      <c r="O3449" s="549"/>
      <c r="P3449" s="549"/>
      <c r="Q3449" s="1059"/>
      <c r="R3449" s="1059"/>
    </row>
    <row r="3450" spans="1:19" s="497" customFormat="1" ht="17.399999999999999">
      <c r="A3450" s="549"/>
      <c r="B3450" s="651"/>
      <c r="C3450" s="549"/>
      <c r="D3450" s="549"/>
      <c r="E3450" s="549"/>
      <c r="F3450" s="549"/>
      <c r="G3450" s="549" t="s">
        <v>21</v>
      </c>
      <c r="H3450" s="549" t="s">
        <v>70</v>
      </c>
      <c r="I3450" s="558">
        <v>5.76</v>
      </c>
      <c r="J3450" s="558">
        <v>12</v>
      </c>
      <c r="K3450" s="793">
        <v>47</v>
      </c>
      <c r="L3450" s="552">
        <f t="shared" si="628"/>
        <v>3.2486400000000004</v>
      </c>
      <c r="M3450" s="567"/>
      <c r="N3450" s="565"/>
      <c r="O3450" s="549"/>
      <c r="P3450" s="549"/>
      <c r="Q3450" s="1059"/>
      <c r="R3450" s="1059"/>
    </row>
    <row r="3451" spans="1:19" s="497" customFormat="1" ht="17.399999999999999">
      <c r="A3451" s="549"/>
      <c r="B3451" s="651"/>
      <c r="C3451" s="549"/>
      <c r="D3451" s="549"/>
      <c r="E3451" s="549"/>
      <c r="F3451" s="549"/>
      <c r="G3451" s="549"/>
      <c r="H3451" s="650"/>
      <c r="I3451" s="558"/>
      <c r="J3451" s="567"/>
      <c r="K3451" s="564">
        <f>SUM(K3441:K3450)</f>
        <v>674</v>
      </c>
      <c r="L3451" s="567">
        <f>SUM(L3441:L3450)</f>
        <v>40.422528</v>
      </c>
      <c r="M3451" s="549"/>
      <c r="N3451" s="565"/>
      <c r="O3451" s="549"/>
      <c r="P3451" s="549"/>
      <c r="Q3451" s="1059"/>
      <c r="R3451" s="1059"/>
    </row>
    <row r="3452" spans="1:19" s="497" customFormat="1" ht="17.399999999999999">
      <c r="A3452" s="549"/>
      <c r="B3452" s="651"/>
      <c r="C3452" s="549"/>
      <c r="D3452" s="549"/>
      <c r="E3452" s="549"/>
      <c r="F3452" s="549"/>
      <c r="G3452" s="549"/>
      <c r="H3452" s="650"/>
      <c r="I3452" s="558"/>
      <c r="J3452" s="567"/>
      <c r="K3452" s="648"/>
      <c r="L3452" s="567"/>
      <c r="M3452" s="549"/>
      <c r="N3452" s="565"/>
      <c r="O3452" s="549"/>
      <c r="P3452" s="549"/>
      <c r="Q3452" s="1059"/>
      <c r="R3452" s="1059"/>
    </row>
    <row r="3453" spans="1:19" s="497" customFormat="1" ht="17.399999999999999">
      <c r="A3453" s="547" t="s">
        <v>427</v>
      </c>
      <c r="B3453" s="547" t="s">
        <v>341</v>
      </c>
      <c r="C3453" s="547" t="s">
        <v>19</v>
      </c>
      <c r="D3453" s="547" t="s">
        <v>20</v>
      </c>
      <c r="E3453" s="547" t="s">
        <v>359</v>
      </c>
      <c r="F3453" s="549">
        <v>9</v>
      </c>
      <c r="G3453" s="549" t="s">
        <v>21</v>
      </c>
      <c r="H3453" s="599" t="s">
        <v>70</v>
      </c>
      <c r="I3453" s="562">
        <v>5.77</v>
      </c>
      <c r="J3453" s="566">
        <v>6.75</v>
      </c>
      <c r="K3453" s="563">
        <v>36</v>
      </c>
      <c r="L3453" s="552">
        <f t="shared" ref="L3453:L3457" si="629">(I3453*J3453*K3453/1000)</f>
        <v>1.40211</v>
      </c>
      <c r="M3453" s="549"/>
      <c r="N3453" s="565"/>
      <c r="O3453" s="549"/>
      <c r="P3453" s="549"/>
      <c r="Q3453" s="1059"/>
      <c r="R3453" s="1059"/>
      <c r="S3453" s="497" t="s">
        <v>441</v>
      </c>
    </row>
    <row r="3454" spans="1:19" s="497" customFormat="1" ht="17.399999999999999">
      <c r="A3454" s="549"/>
      <c r="B3454" s="792" t="s">
        <v>277</v>
      </c>
      <c r="C3454" s="549"/>
      <c r="D3454" s="549"/>
      <c r="E3454" s="549"/>
      <c r="F3454" s="549"/>
      <c r="G3454" s="549" t="s">
        <v>21</v>
      </c>
      <c r="H3454" s="549" t="s">
        <v>70</v>
      </c>
      <c r="I3454" s="562">
        <v>5.77</v>
      </c>
      <c r="J3454" s="566">
        <v>7</v>
      </c>
      <c r="K3454" s="563">
        <v>4</v>
      </c>
      <c r="L3454" s="552">
        <f t="shared" si="629"/>
        <v>0.16156000000000001</v>
      </c>
      <c r="M3454" s="549"/>
      <c r="N3454" s="565"/>
      <c r="O3454" s="549"/>
      <c r="P3454" s="549"/>
      <c r="Q3454" s="1059"/>
      <c r="R3454" s="1059"/>
    </row>
    <row r="3455" spans="1:19" s="497" customFormat="1" ht="17.399999999999999">
      <c r="A3455" s="549"/>
      <c r="B3455" s="651"/>
      <c r="C3455" s="549"/>
      <c r="D3455" s="549"/>
      <c r="E3455" s="549"/>
      <c r="F3455" s="549"/>
      <c r="G3455" s="549" t="s">
        <v>21</v>
      </c>
      <c r="H3455" s="549" t="s">
        <v>70</v>
      </c>
      <c r="I3455" s="562">
        <v>5.77</v>
      </c>
      <c r="J3455" s="566">
        <v>10</v>
      </c>
      <c r="K3455" s="563">
        <v>14</v>
      </c>
      <c r="L3455" s="552">
        <f t="shared" si="629"/>
        <v>0.80779999999999996</v>
      </c>
      <c r="M3455" s="549"/>
      <c r="N3455" s="565"/>
      <c r="O3455" s="549"/>
      <c r="P3455" s="549"/>
      <c r="Q3455" s="1059"/>
      <c r="R3455" s="1059"/>
    </row>
    <row r="3456" spans="1:19" s="497" customFormat="1" ht="17.399999999999999">
      <c r="A3456" s="549"/>
      <c r="B3456" s="651"/>
      <c r="C3456" s="549"/>
      <c r="D3456" s="549"/>
      <c r="E3456" s="549"/>
      <c r="F3456" s="549"/>
      <c r="G3456" s="549" t="s">
        <v>21</v>
      </c>
      <c r="H3456" s="549" t="s">
        <v>70</v>
      </c>
      <c r="I3456" s="562">
        <v>5.77</v>
      </c>
      <c r="J3456" s="566">
        <v>11</v>
      </c>
      <c r="K3456" s="563">
        <v>44</v>
      </c>
      <c r="L3456" s="552">
        <f t="shared" si="629"/>
        <v>2.7926799999999998</v>
      </c>
      <c r="M3456" s="549"/>
      <c r="N3456" s="565"/>
      <c r="O3456" s="549"/>
      <c r="P3456" s="549"/>
      <c r="Q3456" s="1059"/>
      <c r="R3456" s="1059"/>
    </row>
    <row r="3457" spans="1:19" s="497" customFormat="1" ht="17.399999999999999">
      <c r="A3457" s="549"/>
      <c r="B3457" s="651"/>
      <c r="C3457" s="549"/>
      <c r="D3457" s="549"/>
      <c r="E3457" s="549"/>
      <c r="F3457" s="549"/>
      <c r="G3457" s="549" t="s">
        <v>21</v>
      </c>
      <c r="H3457" s="549" t="s">
        <v>70</v>
      </c>
      <c r="I3457" s="562">
        <v>5.77</v>
      </c>
      <c r="J3457" s="566">
        <v>12</v>
      </c>
      <c r="K3457" s="563">
        <v>6</v>
      </c>
      <c r="L3457" s="552">
        <f t="shared" si="629"/>
        <v>0.41543999999999992</v>
      </c>
      <c r="M3457" s="549"/>
      <c r="N3457" s="565"/>
      <c r="O3457" s="549"/>
      <c r="P3457" s="549"/>
      <c r="Q3457" s="1059"/>
      <c r="R3457" s="1059"/>
    </row>
    <row r="3458" spans="1:19" s="497" customFormat="1" ht="17.399999999999999">
      <c r="A3458" s="549"/>
      <c r="B3458" s="651"/>
      <c r="C3458" s="549"/>
      <c r="D3458" s="549"/>
      <c r="E3458" s="549"/>
      <c r="F3458" s="549"/>
      <c r="G3458" s="549"/>
      <c r="H3458" s="650"/>
      <c r="I3458" s="558"/>
      <c r="J3458" s="567"/>
      <c r="K3458" s="564">
        <f>SUM(K3453:K3457)</f>
        <v>104</v>
      </c>
      <c r="L3458" s="567">
        <f>SUM(L3453:L3457)</f>
        <v>5.5795899999999996</v>
      </c>
      <c r="M3458" s="549"/>
      <c r="N3458" s="565"/>
      <c r="O3458" s="549"/>
      <c r="P3458" s="549"/>
      <c r="Q3458" s="1059"/>
      <c r="R3458" s="1059"/>
    </row>
    <row r="3459" spans="1:19" s="497" customFormat="1" ht="17.399999999999999">
      <c r="A3459" s="549"/>
      <c r="B3459" s="651"/>
      <c r="C3459" s="549"/>
      <c r="D3459" s="549"/>
      <c r="E3459" s="549"/>
      <c r="F3459" s="549"/>
      <c r="G3459" s="549"/>
      <c r="H3459" s="650"/>
      <c r="I3459" s="558"/>
      <c r="J3459" s="567"/>
      <c r="K3459" s="564">
        <f>+K3458+K3451</f>
        <v>778</v>
      </c>
      <c r="L3459" s="567">
        <f>+L3458+L3451</f>
        <v>46.002117999999996</v>
      </c>
      <c r="M3459" s="549"/>
      <c r="N3459" s="565"/>
      <c r="O3459" s="549"/>
      <c r="P3459" s="549"/>
      <c r="Q3459" s="1059"/>
      <c r="R3459" s="1059"/>
    </row>
    <row r="3460" spans="1:19" s="497" customFormat="1" ht="17.399999999999999">
      <c r="A3460" s="549"/>
      <c r="B3460" s="651"/>
      <c r="C3460" s="549"/>
      <c r="D3460" s="549"/>
      <c r="E3460" s="549"/>
      <c r="F3460" s="549"/>
      <c r="G3460" s="549"/>
      <c r="H3460" s="650"/>
      <c r="I3460" s="558"/>
      <c r="J3460" s="567"/>
      <c r="K3460" s="564"/>
      <c r="L3460" s="567"/>
      <c r="M3460" s="549"/>
      <c r="N3460" s="565"/>
      <c r="O3460" s="549"/>
      <c r="P3460" s="549"/>
      <c r="Q3460" s="1059"/>
      <c r="R3460" s="1059"/>
    </row>
    <row r="3461" spans="1:19" s="497" customFormat="1" ht="17.399999999999999">
      <c r="A3461" s="549"/>
      <c r="B3461" s="651"/>
      <c r="C3461" s="549"/>
      <c r="D3461" s="549"/>
      <c r="E3461" s="549"/>
      <c r="F3461" s="549"/>
      <c r="G3461" s="549"/>
      <c r="H3461" s="650"/>
      <c r="I3461" s="558"/>
      <c r="J3461" s="567"/>
      <c r="K3461" s="648"/>
      <c r="L3461" s="567"/>
      <c r="M3461" s="549"/>
      <c r="N3461" s="565"/>
      <c r="O3461" s="549"/>
      <c r="P3461" s="549"/>
      <c r="Q3461" s="1059"/>
      <c r="R3461" s="1059"/>
    </row>
    <row r="3462" spans="1:19" s="497" customFormat="1" ht="17.399999999999999">
      <c r="A3462" s="547" t="s">
        <v>411</v>
      </c>
      <c r="B3462" s="547" t="s">
        <v>341</v>
      </c>
      <c r="C3462" s="547" t="s">
        <v>19</v>
      </c>
      <c r="D3462" s="547" t="s">
        <v>60</v>
      </c>
      <c r="E3462" s="792" t="s">
        <v>284</v>
      </c>
      <c r="F3462" s="549">
        <v>9</v>
      </c>
      <c r="G3462" s="549" t="s">
        <v>61</v>
      </c>
      <c r="H3462" s="599" t="s">
        <v>70</v>
      </c>
      <c r="I3462" s="558">
        <v>5.76</v>
      </c>
      <c r="J3462" s="568">
        <v>8.8000000000000007</v>
      </c>
      <c r="K3462" s="793">
        <v>18</v>
      </c>
      <c r="L3462" s="552">
        <f t="shared" ref="L3462:L3468" si="630">(I3462*J3462*K3462/1000)</f>
        <v>0.91238399999999997</v>
      </c>
      <c r="M3462" s="567"/>
      <c r="N3462" s="565"/>
      <c r="O3462" s="549"/>
      <c r="P3462" s="549"/>
      <c r="Q3462" s="1059"/>
      <c r="R3462" s="1059"/>
      <c r="S3462" s="497" t="s">
        <v>441</v>
      </c>
    </row>
    <row r="3463" spans="1:19" s="497" customFormat="1" ht="17.399999999999999">
      <c r="A3463" s="549"/>
      <c r="B3463" s="792" t="s">
        <v>423</v>
      </c>
      <c r="C3463" s="549"/>
      <c r="D3463" s="549"/>
      <c r="E3463" s="549"/>
      <c r="F3463" s="549"/>
      <c r="G3463" s="550" t="s">
        <v>61</v>
      </c>
      <c r="H3463" s="550" t="s">
        <v>70</v>
      </c>
      <c r="I3463" s="551">
        <v>5.76</v>
      </c>
      <c r="J3463" s="568">
        <v>9</v>
      </c>
      <c r="K3463" s="793">
        <v>2</v>
      </c>
      <c r="L3463" s="552">
        <f t="shared" si="630"/>
        <v>0.10367999999999999</v>
      </c>
      <c r="M3463" s="567"/>
      <c r="N3463" s="565"/>
      <c r="O3463" s="549"/>
      <c r="P3463" s="549"/>
      <c r="Q3463" s="1059"/>
      <c r="R3463" s="1059"/>
    </row>
    <row r="3464" spans="1:19" s="497" customFormat="1" ht="17.399999999999999">
      <c r="A3464" s="549"/>
      <c r="B3464" s="549"/>
      <c r="C3464" s="549"/>
      <c r="D3464" s="549"/>
      <c r="E3464" s="549"/>
      <c r="F3464" s="549"/>
      <c r="G3464" s="550" t="s">
        <v>61</v>
      </c>
      <c r="H3464" s="550" t="s">
        <v>70</v>
      </c>
      <c r="I3464" s="551">
        <v>5.76</v>
      </c>
      <c r="J3464" s="568">
        <v>10</v>
      </c>
      <c r="K3464" s="793">
        <v>7</v>
      </c>
      <c r="L3464" s="552">
        <f t="shared" si="630"/>
        <v>0.40319999999999995</v>
      </c>
      <c r="M3464" s="567"/>
      <c r="N3464" s="565"/>
      <c r="O3464" s="549"/>
      <c r="P3464" s="549"/>
      <c r="Q3464" s="1059"/>
      <c r="R3464" s="1059"/>
    </row>
    <row r="3465" spans="1:19" s="497" customFormat="1" ht="17.399999999999999">
      <c r="A3465" s="549"/>
      <c r="B3465" s="651"/>
      <c r="C3465" s="549"/>
      <c r="D3465" s="549"/>
      <c r="E3465" s="549"/>
      <c r="F3465" s="549"/>
      <c r="G3465" s="550" t="s">
        <v>61</v>
      </c>
      <c r="H3465" s="550" t="s">
        <v>70</v>
      </c>
      <c r="I3465" s="551">
        <v>5.76</v>
      </c>
      <c r="J3465" s="568">
        <v>10.5</v>
      </c>
      <c r="K3465" s="793">
        <v>5</v>
      </c>
      <c r="L3465" s="552">
        <f t="shared" si="630"/>
        <v>0.3024</v>
      </c>
      <c r="M3465" s="567"/>
      <c r="N3465" s="565"/>
      <c r="O3465" s="549"/>
      <c r="P3465" s="549"/>
      <c r="Q3465" s="1059"/>
      <c r="R3465" s="1059"/>
    </row>
    <row r="3466" spans="1:19" s="497" customFormat="1" ht="17.399999999999999">
      <c r="A3466" s="549"/>
      <c r="B3466" s="651"/>
      <c r="C3466" s="549"/>
      <c r="D3466" s="549"/>
      <c r="E3466" s="549"/>
      <c r="F3466" s="549"/>
      <c r="G3466" s="550" t="s">
        <v>61</v>
      </c>
      <c r="H3466" s="550" t="s">
        <v>70</v>
      </c>
      <c r="I3466" s="551">
        <v>5.76</v>
      </c>
      <c r="J3466" s="568">
        <v>11.5</v>
      </c>
      <c r="K3466" s="793">
        <v>48</v>
      </c>
      <c r="L3466" s="552">
        <f t="shared" si="630"/>
        <v>3.1795199999999997</v>
      </c>
      <c r="M3466" s="567"/>
      <c r="N3466" s="565"/>
      <c r="O3466" s="549"/>
      <c r="P3466" s="549"/>
      <c r="Q3466" s="1059"/>
      <c r="R3466" s="1059"/>
    </row>
    <row r="3467" spans="1:19" s="497" customFormat="1" ht="17.399999999999999">
      <c r="A3467" s="549"/>
      <c r="B3467" s="651"/>
      <c r="C3467" s="549"/>
      <c r="D3467" s="549"/>
      <c r="E3467" s="549"/>
      <c r="F3467" s="549"/>
      <c r="G3467" s="550" t="s">
        <v>61</v>
      </c>
      <c r="H3467" s="550" t="s">
        <v>70</v>
      </c>
      <c r="I3467" s="551">
        <v>5.76</v>
      </c>
      <c r="J3467" s="568">
        <v>11.7</v>
      </c>
      <c r="K3467" s="793">
        <v>13</v>
      </c>
      <c r="L3467" s="552">
        <f t="shared" si="630"/>
        <v>0.87609599999999999</v>
      </c>
      <c r="M3467" s="567"/>
      <c r="N3467" s="565"/>
      <c r="O3467" s="549"/>
      <c r="P3467" s="549"/>
      <c r="Q3467" s="1059"/>
      <c r="R3467" s="1059"/>
    </row>
    <row r="3468" spans="1:19" s="497" customFormat="1" ht="17.399999999999999">
      <c r="A3468" s="549"/>
      <c r="B3468" s="651"/>
      <c r="C3468" s="549"/>
      <c r="D3468" s="549"/>
      <c r="E3468" s="549"/>
      <c r="F3468" s="549"/>
      <c r="G3468" s="550" t="s">
        <v>61</v>
      </c>
      <c r="H3468" s="550" t="s">
        <v>70</v>
      </c>
      <c r="I3468" s="551">
        <v>5.76</v>
      </c>
      <c r="J3468" s="568">
        <v>12</v>
      </c>
      <c r="K3468" s="793">
        <v>7</v>
      </c>
      <c r="L3468" s="552">
        <f t="shared" si="630"/>
        <v>0.48384000000000005</v>
      </c>
      <c r="M3468" s="567"/>
      <c r="N3468" s="565"/>
      <c r="O3468" s="549"/>
      <c r="P3468" s="549"/>
      <c r="Q3468" s="1059"/>
      <c r="R3468" s="1059"/>
    </row>
    <row r="3469" spans="1:19" s="497" customFormat="1" ht="17.399999999999999">
      <c r="A3469" s="549"/>
      <c r="B3469" s="651"/>
      <c r="C3469" s="549"/>
      <c r="D3469" s="549"/>
      <c r="E3469" s="549"/>
      <c r="F3469" s="549"/>
      <c r="G3469" s="549"/>
      <c r="H3469" s="650"/>
      <c r="I3469" s="558"/>
      <c r="J3469" s="567"/>
      <c r="K3469" s="564">
        <f>SUM(K3462:K3468)</f>
        <v>100</v>
      </c>
      <c r="L3469" s="567">
        <f>SUM(L3462:L3468)</f>
        <v>6.2611199999999991</v>
      </c>
      <c r="M3469" s="549"/>
      <c r="N3469" s="565"/>
      <c r="O3469" s="549"/>
      <c r="P3469" s="549"/>
      <c r="Q3469" s="1059"/>
      <c r="R3469" s="1059"/>
    </row>
    <row r="3470" spans="1:19" s="497" customFormat="1" ht="17.399999999999999">
      <c r="A3470" s="549"/>
      <c r="B3470" s="651"/>
      <c r="C3470" s="549"/>
      <c r="D3470" s="549"/>
      <c r="E3470" s="549"/>
      <c r="F3470" s="549"/>
      <c r="G3470" s="549"/>
      <c r="H3470" s="650"/>
      <c r="I3470" s="558"/>
      <c r="J3470" s="567"/>
      <c r="K3470" s="648"/>
      <c r="L3470" s="567"/>
      <c r="M3470" s="549"/>
      <c r="N3470" s="565"/>
      <c r="O3470" s="549"/>
      <c r="P3470" s="549"/>
      <c r="Q3470" s="1059"/>
      <c r="R3470" s="1059"/>
    </row>
    <row r="3471" spans="1:19" s="497" customFormat="1" ht="17.399999999999999">
      <c r="A3471" s="547" t="s">
        <v>411</v>
      </c>
      <c r="B3471" s="547" t="s">
        <v>341</v>
      </c>
      <c r="C3471" s="547" t="s">
        <v>19</v>
      </c>
      <c r="D3471" s="547" t="s">
        <v>60</v>
      </c>
      <c r="E3471" s="792" t="s">
        <v>62</v>
      </c>
      <c r="F3471" s="549">
        <v>9</v>
      </c>
      <c r="G3471" s="549" t="s">
        <v>61</v>
      </c>
      <c r="H3471" s="599" t="s">
        <v>70</v>
      </c>
      <c r="I3471" s="558">
        <v>5.76</v>
      </c>
      <c r="J3471" s="773">
        <v>10</v>
      </c>
      <c r="K3471" s="776">
        <v>1</v>
      </c>
      <c r="L3471" s="552">
        <f t="shared" ref="L3471:L3473" si="631">(I3471*J3471*K3471/1000)</f>
        <v>5.7599999999999991E-2</v>
      </c>
      <c r="M3471" s="549"/>
      <c r="N3471" s="565"/>
      <c r="O3471" s="549"/>
      <c r="P3471" s="549"/>
      <c r="Q3471" s="1059"/>
      <c r="R3471" s="1059"/>
      <c r="S3471" s="497" t="s">
        <v>441</v>
      </c>
    </row>
    <row r="3472" spans="1:19" s="497" customFormat="1" ht="17.399999999999999">
      <c r="A3472" s="549"/>
      <c r="B3472" s="792" t="s">
        <v>52</v>
      </c>
      <c r="C3472" s="549"/>
      <c r="D3472" s="549"/>
      <c r="E3472" s="549"/>
      <c r="F3472" s="549"/>
      <c r="G3472" s="550" t="s">
        <v>61</v>
      </c>
      <c r="H3472" s="550" t="s">
        <v>70</v>
      </c>
      <c r="I3472" s="551">
        <v>5.76</v>
      </c>
      <c r="J3472" s="773">
        <v>11.5</v>
      </c>
      <c r="K3472" s="776">
        <v>8</v>
      </c>
      <c r="L3472" s="552">
        <f t="shared" si="631"/>
        <v>0.52991999999999995</v>
      </c>
      <c r="M3472" s="549"/>
      <c r="N3472" s="565"/>
      <c r="O3472" s="549"/>
      <c r="P3472" s="549"/>
      <c r="Q3472" s="1059"/>
      <c r="R3472" s="1059"/>
    </row>
    <row r="3473" spans="1:19" s="497" customFormat="1" ht="17.399999999999999">
      <c r="A3473" s="549"/>
      <c r="B3473" s="549"/>
      <c r="C3473" s="549"/>
      <c r="D3473" s="549"/>
      <c r="E3473" s="549"/>
      <c r="F3473" s="549"/>
      <c r="G3473" s="550" t="s">
        <v>61</v>
      </c>
      <c r="H3473" s="550" t="s">
        <v>70</v>
      </c>
      <c r="I3473" s="551">
        <v>5.76</v>
      </c>
      <c r="J3473" s="773">
        <v>12</v>
      </c>
      <c r="K3473" s="776">
        <v>1</v>
      </c>
      <c r="L3473" s="552">
        <f t="shared" si="631"/>
        <v>6.9120000000000001E-2</v>
      </c>
      <c r="M3473" s="549"/>
      <c r="N3473" s="565"/>
      <c r="O3473" s="549"/>
      <c r="P3473" s="549"/>
      <c r="Q3473" s="1059"/>
      <c r="R3473" s="1059"/>
    </row>
    <row r="3474" spans="1:19" s="497" customFormat="1" ht="17.399999999999999">
      <c r="A3474" s="549"/>
      <c r="B3474" s="651"/>
      <c r="C3474" s="549"/>
      <c r="D3474" s="549"/>
      <c r="E3474" s="549"/>
      <c r="F3474" s="549"/>
      <c r="G3474" s="549"/>
      <c r="H3474" s="650"/>
      <c r="I3474" s="558"/>
      <c r="J3474" s="567"/>
      <c r="K3474" s="564">
        <f>SUM(K3471:K3473)</f>
        <v>10</v>
      </c>
      <c r="L3474" s="567">
        <f>SUM(L3471:L3473)</f>
        <v>0.65663999999999989</v>
      </c>
      <c r="M3474" s="549"/>
      <c r="N3474" s="565"/>
      <c r="O3474" s="549"/>
      <c r="P3474" s="549"/>
      <c r="Q3474" s="1059"/>
      <c r="R3474" s="1059"/>
    </row>
    <row r="3475" spans="1:19" s="497" customFormat="1" ht="17.399999999999999">
      <c r="A3475" s="549"/>
      <c r="B3475" s="651"/>
      <c r="C3475" s="549"/>
      <c r="D3475" s="549"/>
      <c r="E3475" s="549"/>
      <c r="F3475" s="549"/>
      <c r="G3475" s="549"/>
      <c r="H3475" s="650"/>
      <c r="I3475" s="558"/>
      <c r="J3475" s="567"/>
      <c r="K3475" s="648"/>
      <c r="L3475" s="567"/>
      <c r="M3475" s="549"/>
      <c r="N3475" s="565"/>
      <c r="O3475" s="549"/>
      <c r="P3475" s="549"/>
      <c r="Q3475" s="1059"/>
      <c r="R3475" s="1059"/>
    </row>
    <row r="3476" spans="1:19" s="497" customFormat="1" ht="17.399999999999999">
      <c r="A3476" s="547" t="s">
        <v>427</v>
      </c>
      <c r="B3476" s="547" t="s">
        <v>341</v>
      </c>
      <c r="C3476" s="547" t="s">
        <v>19</v>
      </c>
      <c r="D3476" s="547" t="s">
        <v>60</v>
      </c>
      <c r="E3476" s="792" t="s">
        <v>62</v>
      </c>
      <c r="F3476" s="549">
        <v>9</v>
      </c>
      <c r="G3476" s="549" t="s">
        <v>61</v>
      </c>
      <c r="H3476" s="599" t="s">
        <v>70</v>
      </c>
      <c r="I3476" s="558">
        <v>5.76</v>
      </c>
      <c r="J3476" s="774">
        <v>12</v>
      </c>
      <c r="K3476" s="776">
        <v>40</v>
      </c>
      <c r="L3476" s="552">
        <f t="shared" ref="L3476" si="632">(I3476*J3476*K3476/1000)</f>
        <v>2.7648000000000001</v>
      </c>
      <c r="M3476" s="549"/>
      <c r="N3476" s="565"/>
      <c r="O3476" s="549"/>
      <c r="P3476" s="549"/>
      <c r="Q3476" s="1059"/>
      <c r="R3476" s="1059"/>
      <c r="S3476" s="497" t="s">
        <v>441</v>
      </c>
    </row>
    <row r="3477" spans="1:19" s="497" customFormat="1" ht="17.399999999999999">
      <c r="A3477" s="549"/>
      <c r="B3477" s="792" t="s">
        <v>88</v>
      </c>
      <c r="C3477" s="549"/>
      <c r="D3477" s="549"/>
      <c r="E3477" s="549"/>
      <c r="F3477" s="549"/>
      <c r="G3477" s="549"/>
      <c r="H3477" s="650"/>
      <c r="I3477" s="558"/>
      <c r="J3477" s="567"/>
      <c r="K3477" s="564">
        <f>SUM(K3476:K3476)</f>
        <v>40</v>
      </c>
      <c r="L3477" s="567">
        <f>SUM(L3476:L3476)</f>
        <v>2.7648000000000001</v>
      </c>
      <c r="M3477" s="549"/>
      <c r="N3477" s="565"/>
      <c r="O3477" s="549"/>
      <c r="P3477" s="549"/>
      <c r="Q3477" s="1059"/>
      <c r="R3477" s="1059"/>
    </row>
    <row r="3478" spans="1:19" s="497" customFormat="1" ht="17.399999999999999">
      <c r="A3478" s="549"/>
      <c r="B3478" s="651"/>
      <c r="C3478" s="549"/>
      <c r="D3478" s="549"/>
      <c r="E3478" s="549"/>
      <c r="F3478" s="549"/>
      <c r="G3478" s="549"/>
      <c r="H3478" s="650"/>
      <c r="I3478" s="558"/>
      <c r="J3478" s="567"/>
      <c r="K3478" s="648"/>
      <c r="L3478" s="567"/>
      <c r="M3478" s="549"/>
      <c r="N3478" s="565"/>
      <c r="O3478" s="549"/>
      <c r="P3478" s="549"/>
      <c r="Q3478" s="1059"/>
      <c r="R3478" s="1059"/>
    </row>
    <row r="3479" spans="1:19" s="497" customFormat="1" ht="17.399999999999999">
      <c r="A3479" s="547" t="s">
        <v>427</v>
      </c>
      <c r="B3479" s="547" t="s">
        <v>341</v>
      </c>
      <c r="C3479" s="547" t="s">
        <v>19</v>
      </c>
      <c r="D3479" s="547" t="s">
        <v>60</v>
      </c>
      <c r="E3479" s="547" t="s">
        <v>270</v>
      </c>
      <c r="F3479" s="549">
        <v>7</v>
      </c>
      <c r="G3479" s="549" t="s">
        <v>61</v>
      </c>
      <c r="H3479" s="599" t="s">
        <v>70</v>
      </c>
      <c r="I3479" s="562">
        <v>5.77</v>
      </c>
      <c r="J3479" s="773">
        <v>11.5</v>
      </c>
      <c r="K3479" s="776">
        <v>7</v>
      </c>
      <c r="L3479" s="552">
        <f>(I3479*J3479*K3479/1000)</f>
        <v>0.46448499999999993</v>
      </c>
      <c r="M3479" s="549"/>
      <c r="N3479" s="565"/>
      <c r="O3479" s="549"/>
      <c r="P3479" s="549"/>
      <c r="Q3479" s="1059"/>
      <c r="R3479" s="1059"/>
      <c r="S3479" s="497" t="s">
        <v>441</v>
      </c>
    </row>
    <row r="3480" spans="1:19" s="497" customFormat="1" ht="17.399999999999999">
      <c r="A3480" s="549"/>
      <c r="B3480" s="792" t="s">
        <v>277</v>
      </c>
      <c r="C3480" s="549"/>
      <c r="D3480" s="549"/>
      <c r="E3480" s="549"/>
      <c r="F3480" s="549"/>
      <c r="G3480" s="549"/>
      <c r="H3480" s="549"/>
      <c r="I3480" s="562"/>
      <c r="J3480" s="566"/>
      <c r="K3480" s="563">
        <f>SUM(K3479)</f>
        <v>7</v>
      </c>
      <c r="L3480" s="552">
        <f>SUM(L3479)</f>
        <v>0.46448499999999993</v>
      </c>
      <c r="M3480" s="549"/>
      <c r="N3480" s="565"/>
      <c r="O3480" s="549"/>
      <c r="P3480" s="549"/>
      <c r="Q3480" s="1059"/>
      <c r="R3480" s="1059"/>
    </row>
    <row r="3481" spans="1:19" s="497" customFormat="1" ht="17.399999999999999">
      <c r="A3481" s="549"/>
      <c r="B3481" s="651"/>
      <c r="C3481" s="549"/>
      <c r="D3481" s="549"/>
      <c r="E3481" s="549"/>
      <c r="F3481" s="549"/>
      <c r="G3481" s="549"/>
      <c r="H3481" s="650"/>
      <c r="I3481" s="558"/>
      <c r="J3481" s="567"/>
      <c r="K3481" s="648"/>
      <c r="L3481" s="567"/>
      <c r="M3481" s="549"/>
      <c r="N3481" s="565"/>
      <c r="O3481" s="549"/>
      <c r="P3481" s="549"/>
      <c r="Q3481" s="1059"/>
      <c r="R3481" s="1059"/>
    </row>
    <row r="3482" spans="1:19" s="497" customFormat="1" ht="17.399999999999999">
      <c r="A3482" s="547" t="s">
        <v>411</v>
      </c>
      <c r="B3482" s="547" t="s">
        <v>341</v>
      </c>
      <c r="C3482" s="547" t="s">
        <v>19</v>
      </c>
      <c r="D3482" s="547" t="s">
        <v>60</v>
      </c>
      <c r="E3482" s="547" t="s">
        <v>270</v>
      </c>
      <c r="F3482" s="549">
        <v>7</v>
      </c>
      <c r="G3482" s="549" t="s">
        <v>61</v>
      </c>
      <c r="H3482" s="599" t="s">
        <v>70</v>
      </c>
      <c r="I3482" s="562">
        <v>5.77</v>
      </c>
      <c r="J3482" s="773">
        <v>12</v>
      </c>
      <c r="K3482" s="776">
        <v>18</v>
      </c>
      <c r="L3482" s="552">
        <f t="shared" ref="L3482:L3483" si="633">(I3482*J3482*K3482/1000)</f>
        <v>1.2463199999999999</v>
      </c>
      <c r="M3482" s="549"/>
      <c r="N3482" s="565"/>
      <c r="O3482" s="549"/>
      <c r="P3482" s="549"/>
      <c r="Q3482" s="1059"/>
      <c r="R3482" s="1059"/>
      <c r="S3482" s="497" t="s">
        <v>441</v>
      </c>
    </row>
    <row r="3483" spans="1:19" s="497" customFormat="1" ht="17.399999999999999">
      <c r="A3483" s="549"/>
      <c r="B3483" s="792" t="s">
        <v>331</v>
      </c>
      <c r="C3483" s="549"/>
      <c r="D3483" s="549"/>
      <c r="E3483" s="549"/>
      <c r="F3483" s="549"/>
      <c r="G3483" s="549" t="s">
        <v>61</v>
      </c>
      <c r="H3483" s="549" t="s">
        <v>70</v>
      </c>
      <c r="I3483" s="562">
        <v>5.77</v>
      </c>
      <c r="J3483" s="773">
        <v>6.75</v>
      </c>
      <c r="K3483" s="776">
        <v>2</v>
      </c>
      <c r="L3483" s="552">
        <f t="shared" si="633"/>
        <v>7.7894999999999992E-2</v>
      </c>
      <c r="M3483" s="549"/>
      <c r="N3483" s="565"/>
      <c r="O3483" s="549"/>
      <c r="P3483" s="549"/>
      <c r="Q3483" s="1059"/>
      <c r="R3483" s="1059"/>
    </row>
    <row r="3484" spans="1:19" s="497" customFormat="1" ht="17.399999999999999">
      <c r="A3484" s="549"/>
      <c r="B3484" s="651"/>
      <c r="C3484" s="549"/>
      <c r="D3484" s="549"/>
      <c r="E3484" s="549"/>
      <c r="F3484" s="549"/>
      <c r="G3484" s="549"/>
      <c r="H3484" s="549"/>
      <c r="I3484" s="562"/>
      <c r="J3484" s="773"/>
      <c r="K3484" s="776">
        <f>SUM(K3482:K3483)</f>
        <v>20</v>
      </c>
      <c r="L3484" s="791">
        <f>SUM(L3482:L3483)</f>
        <v>1.3242149999999999</v>
      </c>
      <c r="M3484" s="549"/>
      <c r="N3484" s="565"/>
      <c r="O3484" s="549"/>
      <c r="P3484" s="549"/>
      <c r="Q3484" s="1059"/>
      <c r="R3484" s="1059"/>
    </row>
    <row r="3485" spans="1:19" s="497" customFormat="1" ht="17.399999999999999">
      <c r="A3485" s="549"/>
      <c r="B3485" s="651"/>
      <c r="C3485" s="549"/>
      <c r="D3485" s="549"/>
      <c r="E3485" s="549"/>
      <c r="F3485" s="549"/>
      <c r="G3485" s="549"/>
      <c r="H3485" s="549"/>
      <c r="I3485" s="562"/>
      <c r="J3485" s="773"/>
      <c r="K3485" s="776">
        <f>SUM(K3462:K3484)/2</f>
        <v>177</v>
      </c>
      <c r="L3485" s="791">
        <f>SUM(L3462:L3484)/2</f>
        <v>11.471260000000001</v>
      </c>
      <c r="M3485" s="549"/>
      <c r="N3485" s="565"/>
      <c r="O3485" s="549"/>
      <c r="P3485" s="549"/>
      <c r="Q3485" s="1059"/>
      <c r="R3485" s="1059"/>
    </row>
    <row r="3486" spans="1:19" s="497" customFormat="1" ht="17.399999999999999">
      <c r="A3486" s="549"/>
      <c r="B3486" s="651"/>
      <c r="C3486" s="549"/>
      <c r="D3486" s="549"/>
      <c r="E3486" s="549"/>
      <c r="F3486" s="549"/>
      <c r="G3486" s="549"/>
      <c r="H3486" s="549"/>
      <c r="I3486" s="562"/>
      <c r="J3486" s="773"/>
      <c r="K3486" s="776"/>
      <c r="L3486" s="791"/>
      <c r="M3486" s="549"/>
      <c r="N3486" s="565"/>
      <c r="O3486" s="549"/>
      <c r="P3486" s="549"/>
      <c r="Q3486" s="1059"/>
      <c r="R3486" s="1059"/>
    </row>
    <row r="3487" spans="1:19" s="497" customFormat="1" ht="17.399999999999999">
      <c r="A3487" s="549"/>
      <c r="B3487" s="651"/>
      <c r="C3487" s="549"/>
      <c r="D3487" s="549"/>
      <c r="E3487" s="549"/>
      <c r="F3487" s="549"/>
      <c r="G3487" s="549"/>
      <c r="H3487" s="650"/>
      <c r="I3487" s="558"/>
      <c r="J3487" s="567"/>
      <c r="K3487" s="648"/>
      <c r="L3487" s="567"/>
      <c r="M3487" s="549"/>
      <c r="N3487" s="565"/>
      <c r="O3487" s="549"/>
      <c r="P3487" s="549"/>
      <c r="Q3487" s="1059"/>
      <c r="R3487" s="1059"/>
    </row>
    <row r="3488" spans="1:19" s="497" customFormat="1" ht="17.399999999999999">
      <c r="A3488" s="547" t="s">
        <v>411</v>
      </c>
      <c r="B3488" s="547" t="s">
        <v>341</v>
      </c>
      <c r="C3488" s="547" t="s">
        <v>19</v>
      </c>
      <c r="D3488" s="547" t="s">
        <v>60</v>
      </c>
      <c r="E3488" s="792" t="s">
        <v>284</v>
      </c>
      <c r="F3488" s="549">
        <v>9</v>
      </c>
      <c r="G3488" s="549" t="s">
        <v>61</v>
      </c>
      <c r="H3488" s="599" t="s">
        <v>69</v>
      </c>
      <c r="I3488" s="558">
        <v>6.85</v>
      </c>
      <c r="J3488" s="773">
        <v>11.5</v>
      </c>
      <c r="K3488" s="776">
        <v>2</v>
      </c>
      <c r="L3488" s="552">
        <f t="shared" ref="L3488:L3490" si="634">(I3488*J3488*K3488/1000)</f>
        <v>0.15755</v>
      </c>
      <c r="M3488" s="549"/>
      <c r="N3488" s="565"/>
      <c r="O3488" s="549"/>
      <c r="P3488" s="549"/>
      <c r="Q3488" s="1059"/>
      <c r="R3488" s="1059"/>
      <c r="S3488" s="497" t="s">
        <v>441</v>
      </c>
    </row>
    <row r="3489" spans="1:19" s="497" customFormat="1" ht="17.399999999999999">
      <c r="A3489" s="549"/>
      <c r="B3489" s="792" t="s">
        <v>423</v>
      </c>
      <c r="C3489" s="549"/>
      <c r="D3489" s="549"/>
      <c r="E3489" s="549"/>
      <c r="F3489" s="549"/>
      <c r="G3489" s="550" t="s">
        <v>61</v>
      </c>
      <c r="H3489" s="549" t="s">
        <v>69</v>
      </c>
      <c r="I3489" s="558">
        <v>6.85</v>
      </c>
      <c r="J3489" s="773">
        <v>12</v>
      </c>
      <c r="K3489" s="776">
        <v>2</v>
      </c>
      <c r="L3489" s="552">
        <f t="shared" si="634"/>
        <v>0.16439999999999999</v>
      </c>
      <c r="M3489" s="549"/>
      <c r="N3489" s="565"/>
      <c r="O3489" s="549"/>
      <c r="P3489" s="549"/>
      <c r="Q3489" s="1059"/>
      <c r="R3489" s="1059"/>
    </row>
    <row r="3490" spans="1:19" s="497" customFormat="1" ht="17.399999999999999">
      <c r="A3490" s="549"/>
      <c r="B3490" s="549"/>
      <c r="C3490" s="549"/>
      <c r="D3490" s="549"/>
      <c r="E3490" s="549"/>
      <c r="F3490" s="549"/>
      <c r="G3490" s="550" t="s">
        <v>61</v>
      </c>
      <c r="H3490" s="549" t="s">
        <v>69</v>
      </c>
      <c r="I3490" s="558">
        <v>6.85</v>
      </c>
      <c r="J3490" s="773">
        <v>9.1</v>
      </c>
      <c r="K3490" s="776">
        <v>25</v>
      </c>
      <c r="L3490" s="552">
        <f t="shared" si="634"/>
        <v>1.5583749999999998</v>
      </c>
      <c r="M3490" s="549"/>
      <c r="N3490" s="565"/>
      <c r="O3490" s="549"/>
      <c r="P3490" s="549"/>
      <c r="Q3490" s="1059"/>
      <c r="R3490" s="1059"/>
    </row>
    <row r="3491" spans="1:19" s="497" customFormat="1" ht="17.399999999999999">
      <c r="A3491" s="549"/>
      <c r="B3491" s="651"/>
      <c r="C3491" s="549"/>
      <c r="D3491" s="549"/>
      <c r="E3491" s="549"/>
      <c r="F3491" s="549"/>
      <c r="G3491" s="549"/>
      <c r="H3491" s="650"/>
      <c r="I3491" s="558"/>
      <c r="J3491" s="567"/>
      <c r="K3491" s="564">
        <f>SUM(K3488:K3490)</f>
        <v>29</v>
      </c>
      <c r="L3491" s="567">
        <f>SUM(L3488:L3490)</f>
        <v>1.8803249999999998</v>
      </c>
      <c r="M3491" s="549"/>
      <c r="N3491" s="565"/>
      <c r="O3491" s="549"/>
      <c r="P3491" s="549"/>
      <c r="Q3491" s="1059"/>
      <c r="R3491" s="1059"/>
    </row>
    <row r="3492" spans="1:19" s="497" customFormat="1" ht="17.399999999999999">
      <c r="A3492" s="549"/>
      <c r="B3492" s="651"/>
      <c r="C3492" s="549"/>
      <c r="D3492" s="549"/>
      <c r="E3492" s="549"/>
      <c r="F3492" s="549"/>
      <c r="G3492" s="549"/>
      <c r="H3492" s="650"/>
      <c r="I3492" s="558"/>
      <c r="J3492" s="567"/>
      <c r="K3492" s="564"/>
      <c r="L3492" s="567"/>
      <c r="M3492" s="549"/>
      <c r="N3492" s="565"/>
      <c r="O3492" s="549"/>
      <c r="P3492" s="549"/>
      <c r="Q3492" s="1059"/>
      <c r="R3492" s="1059"/>
    </row>
    <row r="3493" spans="1:19" s="497" customFormat="1" ht="17.399999999999999">
      <c r="A3493" s="547" t="s">
        <v>427</v>
      </c>
      <c r="B3493" s="547" t="s">
        <v>341</v>
      </c>
      <c r="C3493" s="547" t="s">
        <v>19</v>
      </c>
      <c r="D3493" s="547" t="s">
        <v>60</v>
      </c>
      <c r="E3493" s="792" t="s">
        <v>62</v>
      </c>
      <c r="F3493" s="549">
        <v>9</v>
      </c>
      <c r="G3493" s="549" t="s">
        <v>61</v>
      </c>
      <c r="H3493" s="599" t="s">
        <v>69</v>
      </c>
      <c r="I3493" s="558">
        <v>6.85</v>
      </c>
      <c r="J3493" s="774">
        <v>12</v>
      </c>
      <c r="K3493" s="776">
        <v>46</v>
      </c>
      <c r="L3493" s="552">
        <f>(I3493*J3493*K3493/1000)</f>
        <v>3.7811999999999992</v>
      </c>
      <c r="M3493" s="549"/>
      <c r="N3493" s="565"/>
      <c r="O3493" s="549"/>
      <c r="P3493" s="549"/>
      <c r="Q3493" s="1059"/>
      <c r="R3493" s="1059"/>
      <c r="S3493" s="497" t="s">
        <v>441</v>
      </c>
    </row>
    <row r="3494" spans="1:19" s="497" customFormat="1" ht="17.399999999999999">
      <c r="A3494" s="549"/>
      <c r="B3494" s="792" t="s">
        <v>88</v>
      </c>
      <c r="C3494" s="549"/>
      <c r="D3494" s="549"/>
      <c r="E3494" s="549"/>
      <c r="F3494" s="549"/>
      <c r="G3494" s="549"/>
      <c r="H3494" s="650"/>
      <c r="I3494" s="558"/>
      <c r="J3494" s="567"/>
      <c r="K3494" s="564">
        <f>SUM(K3493:K3493)</f>
        <v>46</v>
      </c>
      <c r="L3494" s="567">
        <f>SUM(L3493:L3493)</f>
        <v>3.7811999999999992</v>
      </c>
      <c r="M3494" s="549"/>
      <c r="N3494" s="565"/>
      <c r="O3494" s="549"/>
      <c r="P3494" s="549"/>
      <c r="Q3494" s="1059"/>
      <c r="R3494" s="1059"/>
    </row>
    <row r="3495" spans="1:19" s="497" customFormat="1" ht="17.399999999999999">
      <c r="A3495" s="549"/>
      <c r="B3495" s="792"/>
      <c r="C3495" s="549"/>
      <c r="D3495" s="549"/>
      <c r="E3495" s="549"/>
      <c r="F3495" s="549"/>
      <c r="G3495" s="549"/>
      <c r="H3495" s="650"/>
      <c r="I3495" s="558"/>
      <c r="J3495" s="567"/>
      <c r="K3495" s="564"/>
      <c r="L3495" s="567"/>
      <c r="M3495" s="549"/>
      <c r="N3495" s="565"/>
      <c r="O3495" s="549"/>
      <c r="P3495" s="549"/>
      <c r="Q3495" s="1059"/>
      <c r="R3495" s="1059"/>
    </row>
    <row r="3496" spans="1:19" s="497" customFormat="1" ht="17.399999999999999">
      <c r="A3496" s="547" t="s">
        <v>427</v>
      </c>
      <c r="B3496" s="547" t="s">
        <v>341</v>
      </c>
      <c r="C3496" s="547" t="s">
        <v>19</v>
      </c>
      <c r="D3496" s="547" t="s">
        <v>60</v>
      </c>
      <c r="E3496" s="547" t="s">
        <v>270</v>
      </c>
      <c r="F3496" s="549">
        <v>7</v>
      </c>
      <c r="G3496" s="549" t="s">
        <v>61</v>
      </c>
      <c r="H3496" s="599" t="s">
        <v>69</v>
      </c>
      <c r="I3496" s="562">
        <v>6.86</v>
      </c>
      <c r="J3496" s="774">
        <v>7</v>
      </c>
      <c r="K3496" s="776">
        <v>46</v>
      </c>
      <c r="L3496" s="552">
        <f>(I3496*J3496*K3496/1000)</f>
        <v>2.20892</v>
      </c>
      <c r="M3496" s="549"/>
      <c r="N3496" s="565"/>
      <c r="O3496" s="549"/>
      <c r="P3496" s="549"/>
      <c r="Q3496" s="1059"/>
      <c r="R3496" s="1059"/>
      <c r="S3496" s="759" t="s">
        <v>441</v>
      </c>
    </row>
    <row r="3497" spans="1:19" s="497" customFormat="1" ht="17.399999999999999">
      <c r="A3497" s="549"/>
      <c r="B3497" s="792" t="s">
        <v>277</v>
      </c>
      <c r="C3497" s="549"/>
      <c r="D3497" s="549"/>
      <c r="E3497" s="549"/>
      <c r="F3497" s="549"/>
      <c r="G3497" s="549"/>
      <c r="H3497" s="549"/>
      <c r="I3497" s="562"/>
      <c r="J3497" s="566"/>
      <c r="K3497" s="563">
        <f>SUM(K3496)</f>
        <v>46</v>
      </c>
      <c r="L3497" s="552">
        <f>SUM(L3496)</f>
        <v>2.20892</v>
      </c>
      <c r="M3497" s="549"/>
      <c r="N3497" s="565"/>
      <c r="O3497" s="549"/>
      <c r="P3497" s="549"/>
      <c r="Q3497" s="1059"/>
      <c r="R3497" s="1059"/>
    </row>
    <row r="3498" spans="1:19" s="497" customFormat="1" ht="17.399999999999999">
      <c r="A3498" s="549"/>
      <c r="B3498" s="792"/>
      <c r="C3498" s="549"/>
      <c r="D3498" s="549"/>
      <c r="E3498" s="549"/>
      <c r="F3498" s="549"/>
      <c r="G3498" s="549"/>
      <c r="H3498" s="650"/>
      <c r="I3498" s="558"/>
      <c r="J3498" s="567"/>
      <c r="K3498" s="564">
        <f>+K3497+K3494+K3491</f>
        <v>121</v>
      </c>
      <c r="L3498" s="567">
        <f>+L3497+L3494+L3491</f>
        <v>7.8704449999999992</v>
      </c>
      <c r="M3498" s="549"/>
      <c r="N3498" s="565"/>
      <c r="O3498" s="549"/>
      <c r="P3498" s="549"/>
      <c r="Q3498" s="1059"/>
      <c r="R3498" s="1059"/>
    </row>
    <row r="3499" spans="1:19" s="497" customFormat="1" ht="17.399999999999999">
      <c r="A3499" s="549"/>
      <c r="B3499" s="792"/>
      <c r="C3499" s="549"/>
      <c r="D3499" s="549"/>
      <c r="E3499" s="549"/>
      <c r="F3499" s="549"/>
      <c r="G3499" s="549"/>
      <c r="H3499" s="650"/>
      <c r="I3499" s="558"/>
      <c r="J3499" s="567"/>
      <c r="K3499" s="564"/>
      <c r="L3499" s="567"/>
      <c r="M3499" s="549"/>
      <c r="N3499" s="565"/>
      <c r="O3499" s="549"/>
      <c r="P3499" s="549"/>
      <c r="Q3499" s="1059"/>
      <c r="R3499" s="1059"/>
    </row>
    <row r="3500" spans="1:19" s="497" customFormat="1" ht="17.399999999999999">
      <c r="A3500" s="549"/>
      <c r="B3500" s="792"/>
      <c r="C3500" s="549"/>
      <c r="D3500" s="549"/>
      <c r="E3500" s="549"/>
      <c r="F3500" s="549"/>
      <c r="G3500" s="549"/>
      <c r="H3500" s="650"/>
      <c r="I3500" s="558"/>
      <c r="J3500" s="567"/>
      <c r="K3500" s="564"/>
      <c r="L3500" s="567">
        <f>+L3498+L3485+L3459+L3438</f>
        <v>69.398083</v>
      </c>
      <c r="M3500" s="549"/>
      <c r="N3500" s="565"/>
      <c r="O3500" s="549"/>
      <c r="P3500" s="549"/>
      <c r="Q3500" s="1059"/>
      <c r="R3500" s="1059"/>
    </row>
    <row r="3501" spans="1:19" s="497" customFormat="1" ht="17.399999999999999">
      <c r="A3501" s="549"/>
      <c r="B3501" s="790"/>
      <c r="C3501" s="549"/>
      <c r="D3501" s="549"/>
      <c r="E3501" s="549"/>
      <c r="F3501" s="549"/>
      <c r="G3501" s="549"/>
      <c r="H3501" s="650"/>
      <c r="I3501" s="558"/>
      <c r="J3501" s="567"/>
      <c r="K3501" s="564"/>
      <c r="L3501" s="567"/>
      <c r="M3501" s="549"/>
      <c r="N3501" s="565"/>
      <c r="O3501" s="549"/>
      <c r="P3501" s="549"/>
      <c r="Q3501" s="1059"/>
      <c r="R3501" s="1059"/>
    </row>
    <row r="3502" spans="1:19" s="497" customFormat="1" ht="17.399999999999999">
      <c r="A3502" s="549"/>
      <c r="B3502" s="651"/>
      <c r="C3502" s="549"/>
      <c r="D3502" s="549"/>
      <c r="E3502" s="549"/>
      <c r="F3502" s="549"/>
      <c r="G3502" s="549"/>
      <c r="H3502" s="650"/>
      <c r="I3502" s="558"/>
      <c r="J3502" s="567"/>
      <c r="K3502" s="648"/>
      <c r="L3502" s="567"/>
      <c r="M3502" s="549"/>
      <c r="N3502" s="565"/>
      <c r="O3502" s="549"/>
      <c r="P3502" s="549"/>
      <c r="Q3502" s="1059"/>
      <c r="R3502" s="1059"/>
    </row>
    <row r="3503" spans="1:19" ht="17.399999999999999">
      <c r="A3503" s="549"/>
      <c r="B3503" s="549"/>
      <c r="C3503" s="549"/>
      <c r="D3503" s="549"/>
      <c r="E3503" s="549"/>
      <c r="F3503" s="549"/>
      <c r="G3503" s="549"/>
      <c r="H3503" s="549"/>
      <c r="I3503" s="560"/>
      <c r="J3503" s="549"/>
      <c r="K3503" s="652">
        <f>+K3428+K3425+K3417+K3410+K3405</f>
        <v>1919</v>
      </c>
      <c r="L3503" s="568">
        <f>+L3428+L3425+L3417+L3410+L3405</f>
        <v>140.17247</v>
      </c>
      <c r="M3503" s="652">
        <f>+M3428+M3425+M3417+M3410+M3405</f>
        <v>42</v>
      </c>
      <c r="N3503" s="565">
        <f>+N3428+N3425+N3417+N3410+N3405</f>
        <v>2.7955800000000002</v>
      </c>
      <c r="O3503" s="549"/>
      <c r="P3503" s="549"/>
      <c r="Q3503" s="1059"/>
      <c r="R3503" s="1059"/>
    </row>
    <row r="3504" spans="1:19" s="497" customFormat="1" ht="18">
      <c r="A3504" s="653" t="s">
        <v>48</v>
      </c>
      <c r="B3504" s="653"/>
      <c r="C3504" s="654"/>
      <c r="D3504" s="654"/>
      <c r="E3504" s="654"/>
      <c r="F3504" s="655"/>
      <c r="G3504" s="654"/>
      <c r="H3504" s="655"/>
      <c r="I3504" s="656"/>
      <c r="J3504" s="654"/>
      <c r="K3504" s="657"/>
      <c r="L3504" s="2003" t="s">
        <v>0</v>
      </c>
      <c r="M3504" s="2003"/>
      <c r="N3504" s="2003"/>
      <c r="O3504" s="2004"/>
      <c r="P3504" s="2010"/>
      <c r="Q3504" s="1064"/>
      <c r="R3504" s="1064"/>
    </row>
    <row r="3505" spans="1:18" s="497" customFormat="1" ht="18">
      <c r="A3505" s="658" t="s">
        <v>1</v>
      </c>
      <c r="B3505" s="658"/>
      <c r="C3505" s="658"/>
      <c r="D3505" s="659" t="s">
        <v>2</v>
      </c>
      <c r="E3505" s="659"/>
      <c r="F3505" s="660"/>
      <c r="G3505" s="660"/>
      <c r="H3505" s="660"/>
      <c r="I3505" s="661"/>
      <c r="J3505" s="660"/>
      <c r="K3505" s="662" t="s">
        <v>3</v>
      </c>
      <c r="L3505" s="660"/>
      <c r="M3505" s="658"/>
      <c r="N3505" s="660"/>
      <c r="O3505" s="663"/>
      <c r="P3505" s="2010"/>
      <c r="Q3505" s="1064"/>
      <c r="R3505" s="1064"/>
    </row>
    <row r="3506" spans="1:18" s="497" customFormat="1" ht="18">
      <c r="A3506" s="655" t="s">
        <v>22</v>
      </c>
      <c r="B3506" s="1990" t="s">
        <v>23</v>
      </c>
      <c r="C3506" s="2005"/>
      <c r="D3506" s="1989"/>
      <c r="E3506" s="655" t="s">
        <v>24</v>
      </c>
      <c r="F3506" s="1990" t="s">
        <v>25</v>
      </c>
      <c r="G3506" s="1989"/>
      <c r="H3506" s="1990" t="s">
        <v>26</v>
      </c>
      <c r="I3506" s="2005"/>
      <c r="J3506" s="2005"/>
      <c r="K3506" s="1989"/>
      <c r="L3506" s="2006" t="s">
        <v>27</v>
      </c>
      <c r="M3506" s="2006"/>
      <c r="N3506" s="2006"/>
      <c r="O3506" s="1990"/>
      <c r="P3506" s="2010"/>
      <c r="Q3506" s="1064"/>
      <c r="R3506" s="1064"/>
    </row>
    <row r="3507" spans="1:18" s="497" customFormat="1" ht="18">
      <c r="A3507" s="664"/>
      <c r="B3507" s="1975"/>
      <c r="C3507" s="1976"/>
      <c r="D3507" s="1977"/>
      <c r="E3507" s="665"/>
      <c r="F3507" s="1975"/>
      <c r="G3507" s="1977"/>
      <c r="H3507" s="1975"/>
      <c r="I3507" s="1976"/>
      <c r="J3507" s="1976"/>
      <c r="K3507" s="1977"/>
      <c r="L3507" s="1975"/>
      <c r="M3507" s="1976"/>
      <c r="N3507" s="1976"/>
      <c r="O3507" s="1976"/>
      <c r="P3507" s="2010"/>
      <c r="Q3507" s="1064"/>
      <c r="R3507" s="1064"/>
    </row>
    <row r="3508" spans="1:18" s="497" customFormat="1" ht="18">
      <c r="A3508" s="664"/>
      <c r="B3508" s="666"/>
      <c r="C3508" s="667"/>
      <c r="D3508" s="668"/>
      <c r="E3508" s="665"/>
      <c r="F3508" s="666"/>
      <c r="G3508" s="668"/>
      <c r="H3508" s="666"/>
      <c r="I3508" s="1842"/>
      <c r="J3508" s="667"/>
      <c r="K3508" s="669"/>
      <c r="L3508" s="666"/>
      <c r="M3508" s="667"/>
      <c r="N3508" s="667"/>
      <c r="O3508" s="667"/>
      <c r="P3508" s="2010"/>
      <c r="Q3508" s="1064"/>
      <c r="R3508" s="1064"/>
    </row>
    <row r="3509" spans="1:18" s="497" customFormat="1" ht="18">
      <c r="A3509" s="670" t="s">
        <v>28</v>
      </c>
      <c r="B3509" s="1976" t="s">
        <v>72</v>
      </c>
      <c r="C3509" s="1976"/>
      <c r="D3509" s="1976"/>
      <c r="E3509" s="671">
        <f>+L3405-0.469</f>
        <v>49.508600000000001</v>
      </c>
      <c r="F3509" s="1975">
        <v>9</v>
      </c>
      <c r="G3509" s="1977"/>
      <c r="H3509" s="1975" t="s">
        <v>155</v>
      </c>
      <c r="I3509" s="1976"/>
      <c r="J3509" s="1976"/>
      <c r="K3509" s="1977"/>
      <c r="L3509" s="1976" t="s">
        <v>64</v>
      </c>
      <c r="M3509" s="1976"/>
      <c r="N3509" s="1976"/>
      <c r="O3509" s="1976"/>
      <c r="P3509" s="2010"/>
      <c r="Q3509" s="1064"/>
      <c r="R3509" s="1064"/>
    </row>
    <row r="3510" spans="1:18" s="497" customFormat="1" ht="18">
      <c r="A3510" s="670" t="s">
        <v>29</v>
      </c>
      <c r="B3510" s="1976" t="s">
        <v>342</v>
      </c>
      <c r="C3510" s="1976"/>
      <c r="D3510" s="1976"/>
      <c r="E3510" s="671">
        <f>+L3410-1.282</f>
        <v>17.212783999999999</v>
      </c>
      <c r="F3510" s="1975">
        <v>9</v>
      </c>
      <c r="G3510" s="1977"/>
      <c r="H3510" s="1975" t="s">
        <v>155</v>
      </c>
      <c r="I3510" s="1976"/>
      <c r="J3510" s="1976"/>
      <c r="K3510" s="1977"/>
      <c r="L3510" s="1976" t="s">
        <v>64</v>
      </c>
      <c r="M3510" s="1976"/>
      <c r="N3510" s="1976"/>
      <c r="O3510" s="1976"/>
      <c r="P3510" s="2010"/>
      <c r="Q3510" s="1064"/>
      <c r="R3510" s="1064"/>
    </row>
    <row r="3511" spans="1:18" s="497" customFormat="1" ht="18">
      <c r="A3511" s="664"/>
      <c r="B3511" s="666"/>
      <c r="C3511" s="667"/>
      <c r="D3511" s="668"/>
      <c r="E3511" s="665"/>
      <c r="F3511" s="666"/>
      <c r="G3511" s="668"/>
      <c r="H3511" s="666"/>
      <c r="I3511" s="1842"/>
      <c r="J3511" s="667"/>
      <c r="K3511" s="669"/>
      <c r="L3511" s="666"/>
      <c r="M3511" s="667"/>
      <c r="N3511" s="667"/>
      <c r="O3511" s="667"/>
      <c r="P3511" s="2010"/>
      <c r="Q3511" s="1064"/>
      <c r="R3511" s="1064"/>
    </row>
    <row r="3512" spans="1:18" s="497" customFormat="1" ht="18">
      <c r="A3512" s="664" t="s">
        <v>30</v>
      </c>
      <c r="B3512" s="1975" t="s">
        <v>78</v>
      </c>
      <c r="C3512" s="1976"/>
      <c r="D3512" s="1977"/>
      <c r="E3512" s="665">
        <f>+L3417-1.045</f>
        <v>13.171256</v>
      </c>
      <c r="F3512" s="1975">
        <v>9</v>
      </c>
      <c r="G3512" s="1977"/>
      <c r="H3512" s="1975" t="s">
        <v>49</v>
      </c>
      <c r="I3512" s="1976"/>
      <c r="J3512" s="1976"/>
      <c r="K3512" s="1977"/>
      <c r="L3512" s="1975" t="s">
        <v>65</v>
      </c>
      <c r="M3512" s="1976"/>
      <c r="N3512" s="1976"/>
      <c r="O3512" s="1976"/>
      <c r="P3512" s="2010"/>
      <c r="Q3512" s="1064"/>
      <c r="R3512" s="1064"/>
    </row>
    <row r="3513" spans="1:18" s="497" customFormat="1" ht="18">
      <c r="A3513" s="664"/>
      <c r="B3513" s="666"/>
      <c r="C3513" s="667"/>
      <c r="D3513" s="668"/>
      <c r="E3513" s="665"/>
      <c r="F3513" s="666"/>
      <c r="G3513" s="668"/>
      <c r="H3513" s="666"/>
      <c r="I3513" s="1842"/>
      <c r="J3513" s="667"/>
      <c r="K3513" s="668"/>
      <c r="L3513" s="666"/>
      <c r="M3513" s="667"/>
      <c r="N3513" s="667"/>
      <c r="O3513" s="667"/>
      <c r="P3513" s="2010"/>
      <c r="Q3513" s="1064"/>
      <c r="R3513" s="1064"/>
    </row>
    <row r="3514" spans="1:18" s="497" customFormat="1" ht="18">
      <c r="A3514" s="664" t="s">
        <v>46</v>
      </c>
      <c r="B3514" s="1975" t="s">
        <v>71</v>
      </c>
      <c r="C3514" s="1976"/>
      <c r="D3514" s="1977"/>
      <c r="E3514" s="665">
        <f>+L3425+4.02</f>
        <v>58.100749999999991</v>
      </c>
      <c r="F3514" s="1975">
        <v>9</v>
      </c>
      <c r="G3514" s="1977"/>
      <c r="H3514" s="1975" t="s">
        <v>49</v>
      </c>
      <c r="I3514" s="1976"/>
      <c r="J3514" s="1976"/>
      <c r="K3514" s="1977"/>
      <c r="L3514" s="1975" t="s">
        <v>433</v>
      </c>
      <c r="M3514" s="1976"/>
      <c r="N3514" s="1976"/>
      <c r="O3514" s="1976"/>
      <c r="P3514" s="2010"/>
      <c r="Q3514" s="1064"/>
      <c r="R3514" s="1064"/>
    </row>
    <row r="3515" spans="1:18" s="497" customFormat="1" ht="18">
      <c r="A3515" s="664" t="s">
        <v>58</v>
      </c>
      <c r="B3515" s="1975" t="s">
        <v>78</v>
      </c>
      <c r="C3515" s="1976"/>
      <c r="D3515" s="1977"/>
      <c r="E3515" s="665">
        <v>45.93</v>
      </c>
      <c r="F3515" s="1975">
        <v>9</v>
      </c>
      <c r="G3515" s="1977"/>
      <c r="H3515" s="1975" t="s">
        <v>49</v>
      </c>
      <c r="I3515" s="1976"/>
      <c r="J3515" s="1976"/>
      <c r="K3515" s="1977"/>
      <c r="L3515" s="1975" t="s">
        <v>65</v>
      </c>
      <c r="M3515" s="1976"/>
      <c r="N3515" s="1976"/>
      <c r="O3515" s="1976"/>
      <c r="P3515" s="2010"/>
      <c r="Q3515" s="1064"/>
      <c r="R3515" s="1064"/>
    </row>
    <row r="3516" spans="1:18" s="497" customFormat="1" ht="18">
      <c r="A3516" s="670"/>
      <c r="B3516" s="785"/>
      <c r="C3516" s="785"/>
      <c r="D3516" s="785"/>
      <c r="E3516" s="671"/>
      <c r="F3516" s="783"/>
      <c r="G3516" s="784"/>
      <c r="H3516" s="783"/>
      <c r="I3516" s="1842"/>
      <c r="J3516" s="785"/>
      <c r="K3516" s="784"/>
      <c r="L3516" s="785"/>
      <c r="M3516" s="785"/>
      <c r="N3516" s="785"/>
      <c r="O3516" s="785"/>
      <c r="P3516" s="2010"/>
      <c r="Q3516" s="1064"/>
      <c r="R3516" s="1064"/>
    </row>
    <row r="3517" spans="1:18" s="497" customFormat="1" ht="18">
      <c r="A3517" s="670" t="s">
        <v>163</v>
      </c>
      <c r="B3517" s="1976" t="s">
        <v>342</v>
      </c>
      <c r="C3517" s="1976"/>
      <c r="D3517" s="1976"/>
      <c r="E3517" s="671">
        <v>11.45</v>
      </c>
      <c r="F3517" s="1975">
        <v>9</v>
      </c>
      <c r="G3517" s="1977"/>
      <c r="H3517" s="1975" t="s">
        <v>155</v>
      </c>
      <c r="I3517" s="1976"/>
      <c r="J3517" s="1976"/>
      <c r="K3517" s="1977"/>
      <c r="L3517" s="1976" t="s">
        <v>64</v>
      </c>
      <c r="M3517" s="1976"/>
      <c r="N3517" s="1976"/>
      <c r="O3517" s="1976"/>
      <c r="P3517" s="2010"/>
      <c r="Q3517" s="1064"/>
      <c r="R3517" s="1064"/>
    </row>
    <row r="3518" spans="1:18" s="497" customFormat="1" ht="18">
      <c r="A3518" s="670"/>
      <c r="B3518" s="785"/>
      <c r="C3518" s="785"/>
      <c r="D3518" s="785"/>
      <c r="E3518" s="671"/>
      <c r="F3518" s="783"/>
      <c r="G3518" s="784"/>
      <c r="H3518" s="783"/>
      <c r="I3518" s="1842"/>
      <c r="J3518" s="785"/>
      <c r="K3518" s="784"/>
      <c r="L3518" s="785"/>
      <c r="M3518" s="785"/>
      <c r="N3518" s="785"/>
      <c r="O3518" s="785"/>
      <c r="P3518" s="2010"/>
      <c r="Q3518" s="1064"/>
      <c r="R3518" s="1064"/>
    </row>
    <row r="3519" spans="1:18" s="497" customFormat="1" ht="18">
      <c r="A3519" s="670" t="s">
        <v>302</v>
      </c>
      <c r="B3519" s="1976" t="s">
        <v>72</v>
      </c>
      <c r="C3519" s="1976"/>
      <c r="D3519" s="1976"/>
      <c r="E3519" s="671">
        <f>+L3428+7.87</f>
        <v>11.27308</v>
      </c>
      <c r="F3519" s="1975">
        <v>9</v>
      </c>
      <c r="G3519" s="1977"/>
      <c r="H3519" s="1975" t="s">
        <v>155</v>
      </c>
      <c r="I3519" s="1976"/>
      <c r="J3519" s="1976"/>
      <c r="K3519" s="1977"/>
      <c r="L3519" s="1976" t="s">
        <v>343</v>
      </c>
      <c r="M3519" s="1976"/>
      <c r="N3519" s="1976"/>
      <c r="O3519" s="1976"/>
      <c r="P3519" s="2010"/>
      <c r="Q3519" s="1064"/>
      <c r="R3519" s="1064"/>
    </row>
    <row r="3520" spans="1:18" s="497" customFormat="1" ht="18">
      <c r="A3520" s="664"/>
      <c r="B3520" s="666"/>
      <c r="C3520" s="667"/>
      <c r="D3520" s="668"/>
      <c r="E3520" s="665"/>
      <c r="F3520" s="666"/>
      <c r="G3520" s="668"/>
      <c r="H3520" s="666"/>
      <c r="I3520" s="1842"/>
      <c r="J3520" s="667"/>
      <c r="K3520" s="668"/>
      <c r="L3520" s="666"/>
      <c r="M3520" s="667"/>
      <c r="N3520" s="667"/>
      <c r="O3520" s="667"/>
      <c r="P3520" s="2010"/>
      <c r="Q3520" s="1064"/>
      <c r="R3520" s="1064"/>
    </row>
    <row r="3521" spans="1:18" s="497" customFormat="1" ht="18">
      <c r="A3521" s="664"/>
      <c r="B3521" s="1975"/>
      <c r="C3521" s="1976"/>
      <c r="D3521" s="1977"/>
      <c r="E3521" s="665"/>
      <c r="F3521" s="1975"/>
      <c r="G3521" s="1977"/>
      <c r="H3521" s="1975"/>
      <c r="I3521" s="1976"/>
      <c r="J3521" s="1976"/>
      <c r="K3521" s="1977"/>
      <c r="L3521" s="1975"/>
      <c r="M3521" s="1976"/>
      <c r="N3521" s="1976"/>
      <c r="O3521" s="1976"/>
      <c r="P3521" s="2010"/>
      <c r="Q3521" s="1064"/>
      <c r="R3521" s="1064"/>
    </row>
    <row r="3522" spans="1:18" s="497" customFormat="1" ht="18.600000000000001" thickBot="1">
      <c r="A3522" s="664"/>
      <c r="B3522" s="666"/>
      <c r="C3522" s="667"/>
      <c r="D3522" s="667"/>
      <c r="E3522" s="665"/>
      <c r="F3522" s="667"/>
      <c r="G3522" s="668"/>
      <c r="H3522" s="666"/>
      <c r="I3522" s="1842"/>
      <c r="J3522" s="667"/>
      <c r="K3522" s="669"/>
      <c r="L3522" s="672"/>
      <c r="M3522" s="673"/>
      <c r="N3522" s="673"/>
      <c r="O3522" s="673"/>
      <c r="P3522" s="2010"/>
      <c r="Q3522" s="1064"/>
      <c r="R3522" s="1064"/>
    </row>
    <row r="3523" spans="1:18" s="497" customFormat="1" ht="18">
      <c r="A3523" s="674"/>
      <c r="B3523" s="675"/>
      <c r="C3523" s="676"/>
      <c r="D3523" s="676"/>
      <c r="E3523" s="1980">
        <f>SUM(E3507:E3522)</f>
        <v>206.64646999999997</v>
      </c>
      <c r="F3523" s="677"/>
      <c r="G3523" s="678"/>
      <c r="H3523" s="679"/>
      <c r="I3523" s="1848"/>
      <c r="J3523" s="676"/>
      <c r="K3523" s="680"/>
      <c r="L3523" s="679"/>
      <c r="M3523" s="676"/>
      <c r="N3523" s="677"/>
      <c r="O3523" s="676"/>
      <c r="P3523" s="2010"/>
      <c r="Q3523" s="1064"/>
      <c r="R3523" s="1064"/>
    </row>
    <row r="3524" spans="1:18" s="497" customFormat="1" ht="18.600000000000001" thickBot="1">
      <c r="A3524" s="681"/>
      <c r="B3524" s="682"/>
      <c r="C3524" s="683"/>
      <c r="D3524" s="683"/>
      <c r="E3524" s="1981"/>
      <c r="F3524" s="684"/>
      <c r="G3524" s="685"/>
      <c r="H3524" s="686"/>
      <c r="I3524" s="1850"/>
      <c r="J3524" s="683"/>
      <c r="K3524" s="687"/>
      <c r="L3524" s="686"/>
      <c r="M3524" s="683"/>
      <c r="N3524" s="684"/>
      <c r="O3524" s="683"/>
      <c r="P3524" s="2010"/>
      <c r="Q3524" s="1064"/>
      <c r="R3524" s="1064"/>
    </row>
    <row r="3525" spans="1:18" s="497" customFormat="1" ht="18">
      <c r="A3525" s="688" t="s">
        <v>31</v>
      </c>
      <c r="B3525" s="676"/>
      <c r="C3525" s="676"/>
      <c r="D3525" s="676"/>
      <c r="E3525" s="676"/>
      <c r="F3525" s="677"/>
      <c r="G3525" s="676"/>
      <c r="H3525" s="677"/>
      <c r="I3525" s="1848"/>
      <c r="J3525" s="676"/>
      <c r="K3525" s="689"/>
      <c r="L3525" s="677"/>
      <c r="M3525" s="676"/>
      <c r="N3525" s="677"/>
      <c r="O3525" s="676"/>
      <c r="P3525" s="2010"/>
      <c r="Q3525" s="1064"/>
      <c r="R3525" s="1064"/>
    </row>
    <row r="3526" spans="1:18" s="497" customFormat="1" ht="18">
      <c r="A3526" s="690"/>
      <c r="B3526" s="691"/>
      <c r="C3526" s="691"/>
      <c r="D3526" s="691"/>
      <c r="E3526" s="691"/>
      <c r="F3526" s="692"/>
      <c r="G3526" s="691"/>
      <c r="H3526" s="692"/>
      <c r="I3526" s="1849"/>
      <c r="J3526" s="691"/>
      <c r="K3526" s="693"/>
      <c r="L3526" s="692"/>
      <c r="M3526" s="691"/>
      <c r="N3526" s="692"/>
      <c r="O3526" s="691"/>
      <c r="P3526" s="2010"/>
      <c r="Q3526" s="1064"/>
      <c r="R3526" s="1064"/>
    </row>
    <row r="3527" spans="1:18" s="497" customFormat="1" ht="18.600000000000001" thickBot="1">
      <c r="A3527" s="1982" t="s">
        <v>32</v>
      </c>
      <c r="B3527" s="1983"/>
      <c r="C3527" s="1984" t="s">
        <v>33</v>
      </c>
      <c r="D3527" s="1985"/>
      <c r="E3527" s="694" t="s">
        <v>34</v>
      </c>
      <c r="F3527" s="694" t="s">
        <v>35</v>
      </c>
      <c r="G3527" s="1986" t="s">
        <v>36</v>
      </c>
      <c r="H3527" s="1987"/>
      <c r="I3527" s="1987"/>
      <c r="J3527" s="1987"/>
      <c r="K3527" s="1987"/>
      <c r="L3527" s="1987"/>
      <c r="M3527" s="1987"/>
      <c r="N3527" s="1987"/>
      <c r="O3527" s="1987"/>
      <c r="P3527" s="2010"/>
      <c r="Q3527" s="1064"/>
      <c r="R3527" s="1064"/>
    </row>
    <row r="3528" spans="1:18" s="497" customFormat="1" ht="18">
      <c r="A3528" s="1988"/>
      <c r="B3528" s="1989"/>
      <c r="C3528" s="1990"/>
      <c r="D3528" s="1989"/>
      <c r="E3528" s="655"/>
      <c r="F3528" s="695"/>
      <c r="G3528" s="1991"/>
      <c r="H3528" s="1992"/>
      <c r="I3528" s="1992"/>
      <c r="J3528" s="1992"/>
      <c r="K3528" s="1992"/>
      <c r="L3528" s="1992"/>
      <c r="M3528" s="1992"/>
      <c r="N3528" s="1992"/>
      <c r="O3528" s="1992"/>
      <c r="P3528" s="2010"/>
      <c r="Q3528" s="1064"/>
      <c r="R3528" s="1064"/>
    </row>
    <row r="3529" spans="1:18" s="497" customFormat="1" ht="18">
      <c r="A3529" s="1997" t="s">
        <v>37</v>
      </c>
      <c r="B3529" s="1998"/>
      <c r="C3529" s="1990"/>
      <c r="D3529" s="1989"/>
      <c r="E3529" s="655"/>
      <c r="F3529" s="695"/>
      <c r="G3529" s="1993"/>
      <c r="H3529" s="1994"/>
      <c r="I3529" s="1994"/>
      <c r="J3529" s="1994"/>
      <c r="K3529" s="1994"/>
      <c r="L3529" s="1994"/>
      <c r="M3529" s="1994"/>
      <c r="N3529" s="1994"/>
      <c r="O3529" s="1994"/>
      <c r="P3529" s="2010"/>
      <c r="Q3529" s="1064"/>
      <c r="R3529" s="1064"/>
    </row>
    <row r="3530" spans="1:18" s="497" customFormat="1" ht="18">
      <c r="A3530" s="1997" t="s">
        <v>38</v>
      </c>
      <c r="B3530" s="1998"/>
      <c r="C3530" s="1990"/>
      <c r="D3530" s="1989"/>
      <c r="E3530" s="655"/>
      <c r="F3530" s="695"/>
      <c r="G3530" s="1993"/>
      <c r="H3530" s="1994"/>
      <c r="I3530" s="1994"/>
      <c r="J3530" s="1994"/>
      <c r="K3530" s="1994"/>
      <c r="L3530" s="1994"/>
      <c r="M3530" s="1994"/>
      <c r="N3530" s="1994"/>
      <c r="O3530" s="1994"/>
      <c r="P3530" s="2010"/>
      <c r="Q3530" s="1064"/>
      <c r="R3530" s="1064"/>
    </row>
    <row r="3531" spans="1:18" s="497" customFormat="1" ht="18">
      <c r="A3531" s="1997" t="s">
        <v>39</v>
      </c>
      <c r="B3531" s="1998"/>
      <c r="C3531" s="1990"/>
      <c r="D3531" s="1989"/>
      <c r="E3531" s="655"/>
      <c r="F3531" s="695"/>
      <c r="G3531" s="1993"/>
      <c r="H3531" s="1994"/>
      <c r="I3531" s="1994"/>
      <c r="J3531" s="1994"/>
      <c r="K3531" s="1994"/>
      <c r="L3531" s="1994"/>
      <c r="M3531" s="1994"/>
      <c r="N3531" s="1994"/>
      <c r="O3531" s="1994"/>
      <c r="P3531" s="2010"/>
      <c r="Q3531" s="1064"/>
      <c r="R3531" s="1064"/>
    </row>
    <row r="3532" spans="1:18" s="497" customFormat="1" ht="18">
      <c r="A3532" s="1997" t="s">
        <v>40</v>
      </c>
      <c r="B3532" s="1998"/>
      <c r="C3532" s="1990"/>
      <c r="D3532" s="1989"/>
      <c r="E3532" s="655"/>
      <c r="F3532" s="695"/>
      <c r="G3532" s="1993"/>
      <c r="H3532" s="1994"/>
      <c r="I3532" s="1994"/>
      <c r="J3532" s="1994"/>
      <c r="K3532" s="1994"/>
      <c r="L3532" s="1994"/>
      <c r="M3532" s="1994"/>
      <c r="N3532" s="1994"/>
      <c r="O3532" s="1994"/>
      <c r="P3532" s="2010"/>
      <c r="Q3532" s="1064"/>
      <c r="R3532" s="1064"/>
    </row>
    <row r="3533" spans="1:18" s="497" customFormat="1" ht="18.600000000000001" thickBot="1">
      <c r="A3533" s="1999" t="s">
        <v>41</v>
      </c>
      <c r="B3533" s="2000"/>
      <c r="C3533" s="2001"/>
      <c r="D3533" s="2002"/>
      <c r="E3533" s="696"/>
      <c r="F3533" s="697"/>
      <c r="G3533" s="1995"/>
      <c r="H3533" s="1996"/>
      <c r="I3533" s="1996"/>
      <c r="J3533" s="1996"/>
      <c r="K3533" s="1996"/>
      <c r="L3533" s="1996"/>
      <c r="M3533" s="1996"/>
      <c r="N3533" s="1996"/>
      <c r="O3533" s="1996"/>
      <c r="P3533" s="2010"/>
      <c r="Q3533" s="1064"/>
      <c r="R3533" s="1064"/>
    </row>
    <row r="3534" spans="1:18" s="497" customFormat="1" ht="18">
      <c r="A3534" s="690"/>
      <c r="B3534" s="691"/>
      <c r="C3534" s="691"/>
      <c r="D3534" s="691"/>
      <c r="E3534" s="691"/>
      <c r="F3534" s="692"/>
      <c r="G3534" s="691"/>
      <c r="H3534" s="698"/>
      <c r="I3534" s="699"/>
      <c r="J3534" s="700"/>
      <c r="K3534" s="701"/>
      <c r="L3534" s="702"/>
      <c r="M3534" s="691"/>
      <c r="N3534" s="692"/>
      <c r="O3534" s="691"/>
      <c r="P3534" s="2010"/>
      <c r="Q3534" s="1064"/>
      <c r="R3534" s="1064"/>
    </row>
    <row r="3535" spans="1:18" s="497" customFormat="1" ht="18">
      <c r="A3535" s="703" t="s">
        <v>42</v>
      </c>
      <c r="B3535" s="704"/>
      <c r="C3535" s="691"/>
      <c r="D3535" s="691"/>
      <c r="E3535" s="691"/>
      <c r="F3535" s="692"/>
      <c r="G3535" s="704"/>
      <c r="H3535" s="698"/>
      <c r="I3535" s="699"/>
      <c r="J3535" s="700"/>
      <c r="K3535" s="693"/>
      <c r="L3535" s="705"/>
      <c r="M3535" s="691"/>
      <c r="N3535" s="1979" t="s">
        <v>43</v>
      </c>
      <c r="O3535" s="1979"/>
      <c r="P3535" s="2010"/>
      <c r="Q3535" s="1064"/>
      <c r="R3535" s="1064"/>
    </row>
    <row r="3536" spans="1:18" s="497" customFormat="1" ht="18">
      <c r="A3536" s="703"/>
      <c r="B3536" s="704"/>
      <c r="C3536" s="691"/>
      <c r="D3536" s="691"/>
      <c r="E3536" s="691"/>
      <c r="F3536" s="692"/>
      <c r="G3536" s="691"/>
      <c r="H3536" s="692"/>
      <c r="I3536" s="1849"/>
      <c r="J3536" s="691"/>
      <c r="K3536" s="693"/>
      <c r="L3536" s="692"/>
      <c r="M3536" s="691"/>
      <c r="N3536" s="692"/>
      <c r="O3536" s="704"/>
      <c r="P3536" s="2010"/>
      <c r="Q3536" s="1064"/>
      <c r="R3536" s="1064"/>
    </row>
    <row r="3537" spans="1:23" s="497" customFormat="1" ht="18">
      <c r="A3537" s="703" t="s">
        <v>44</v>
      </c>
      <c r="B3537" s="704"/>
      <c r="C3537" s="691"/>
      <c r="D3537" s="691"/>
      <c r="E3537" s="691"/>
      <c r="F3537" s="692"/>
      <c r="G3537" s="691"/>
      <c r="H3537" s="692"/>
      <c r="I3537" s="1849"/>
      <c r="J3537" s="691"/>
      <c r="K3537" s="693"/>
      <c r="L3537" s="692"/>
      <c r="M3537" s="691"/>
      <c r="N3537" s="1979" t="s">
        <v>45</v>
      </c>
      <c r="O3537" s="1979"/>
      <c r="P3537" s="2010"/>
      <c r="Q3537" s="1064"/>
      <c r="R3537" s="1064"/>
    </row>
    <row r="3538" spans="1:23" s="497" customFormat="1" ht="18.600000000000001" thickBot="1">
      <c r="A3538" s="682"/>
      <c r="B3538" s="683"/>
      <c r="C3538" s="683"/>
      <c r="D3538" s="683"/>
      <c r="E3538" s="683"/>
      <c r="F3538" s="684"/>
      <c r="G3538" s="683"/>
      <c r="H3538" s="684"/>
      <c r="I3538" s="1850"/>
      <c r="J3538" s="683"/>
      <c r="K3538" s="706"/>
      <c r="L3538" s="684"/>
      <c r="M3538" s="683"/>
      <c r="N3538" s="684"/>
      <c r="O3538" s="683"/>
      <c r="P3538" s="2010"/>
      <c r="Q3538" s="1064"/>
      <c r="R3538" s="1064"/>
    </row>
    <row r="3541" spans="1:23" ht="17.399999999999999">
      <c r="A3541" s="711" t="s">
        <v>48</v>
      </c>
      <c r="B3541" s="711"/>
      <c r="C3541" s="712"/>
      <c r="D3541" s="712"/>
      <c r="E3541" s="712"/>
      <c r="F3541" s="713"/>
      <c r="G3541" s="712"/>
      <c r="H3541" s="712"/>
      <c r="I3541" s="714"/>
      <c r="J3541" s="715"/>
      <c r="K3541" s="716"/>
      <c r="L3541" s="1978" t="s">
        <v>0</v>
      </c>
      <c r="M3541" s="1978"/>
      <c r="N3541" s="1978"/>
      <c r="O3541" s="1978"/>
      <c r="P3541" s="717"/>
      <c r="Q3541" s="717"/>
      <c r="R3541" s="717"/>
    </row>
    <row r="3542" spans="1:23" ht="17.399999999999999">
      <c r="A3542" s="718" t="s">
        <v>1</v>
      </c>
      <c r="B3542" s="718"/>
      <c r="C3542" s="718"/>
      <c r="D3542" s="719" t="s">
        <v>2</v>
      </c>
      <c r="E3542" s="719"/>
      <c r="F3542" s="720"/>
      <c r="G3542" s="720"/>
      <c r="H3542" s="720"/>
      <c r="I3542" s="721"/>
      <c r="J3542" s="722"/>
      <c r="K3542" s="723" t="s">
        <v>3</v>
      </c>
      <c r="L3542" s="722"/>
      <c r="M3542" s="718"/>
      <c r="N3542" s="720"/>
      <c r="O3542" s="718"/>
      <c r="P3542" s="724"/>
      <c r="Q3542" s="1059"/>
      <c r="R3542" s="1059"/>
    </row>
    <row r="3543" spans="1:23" ht="52.2">
      <c r="A3543" s="640" t="s">
        <v>4</v>
      </c>
      <c r="B3543" s="640" t="s">
        <v>5</v>
      </c>
      <c r="C3543" s="640" t="s">
        <v>6</v>
      </c>
      <c r="D3543" s="640" t="s">
        <v>7</v>
      </c>
      <c r="E3543" s="640" t="s">
        <v>8</v>
      </c>
      <c r="F3543" s="641" t="s">
        <v>9</v>
      </c>
      <c r="G3543" s="642" t="s">
        <v>10</v>
      </c>
      <c r="H3543" s="642" t="s">
        <v>11</v>
      </c>
      <c r="I3543" s="643" t="s">
        <v>12</v>
      </c>
      <c r="J3543" s="644" t="s">
        <v>13</v>
      </c>
      <c r="K3543" s="645" t="s">
        <v>14</v>
      </c>
      <c r="L3543" s="646" t="s">
        <v>15</v>
      </c>
      <c r="M3543" s="641" t="s">
        <v>16</v>
      </c>
      <c r="N3543" s="641" t="s">
        <v>17</v>
      </c>
      <c r="O3543" s="642" t="s">
        <v>18</v>
      </c>
      <c r="P3543" s="641" t="s">
        <v>192</v>
      </c>
      <c r="Q3543" s="1063"/>
      <c r="R3543" s="1063"/>
    </row>
    <row r="3544" spans="1:23" ht="17.399999999999999">
      <c r="A3544" s="547" t="s">
        <v>174</v>
      </c>
      <c r="B3544" s="547" t="s">
        <v>408</v>
      </c>
      <c r="C3544" s="547" t="s">
        <v>19</v>
      </c>
      <c r="D3544" s="547" t="s">
        <v>60</v>
      </c>
      <c r="E3544" s="547" t="s">
        <v>323</v>
      </c>
      <c r="F3544" s="548">
        <v>11</v>
      </c>
      <c r="G3544" s="550" t="s">
        <v>61</v>
      </c>
      <c r="H3544" s="599" t="s">
        <v>53</v>
      </c>
      <c r="I3544" s="551">
        <v>8.3000000000000007</v>
      </c>
      <c r="J3544" s="765">
        <v>10</v>
      </c>
      <c r="K3544" s="766">
        <v>6</v>
      </c>
      <c r="L3544" s="725">
        <f>(I3544*J3544*K3544/1000)</f>
        <v>0.498</v>
      </c>
      <c r="M3544" s="550">
        <v>6</v>
      </c>
      <c r="N3544" s="763">
        <f>J3544*M3544*I3544/1000</f>
        <v>0.49800000000000005</v>
      </c>
      <c r="O3544" s="550"/>
      <c r="P3544" s="550"/>
      <c r="Q3544" s="1065"/>
      <c r="R3544" s="1065"/>
      <c r="S3544" s="497" t="s">
        <v>503</v>
      </c>
    </row>
    <row r="3545" spans="1:23" ht="17.399999999999999">
      <c r="A3545" s="550"/>
      <c r="B3545" s="767" t="s">
        <v>334</v>
      </c>
      <c r="C3545" s="550"/>
      <c r="D3545" s="550"/>
      <c r="E3545" s="550"/>
      <c r="F3545" s="548"/>
      <c r="G3545" s="550"/>
      <c r="H3545" s="768"/>
      <c r="I3545" s="551"/>
      <c r="J3545" s="765"/>
      <c r="K3545" s="766">
        <f t="shared" ref="K3545:M3545" si="635">SUM(K3544)</f>
        <v>6</v>
      </c>
      <c r="L3545" s="763">
        <f t="shared" si="635"/>
        <v>0.498</v>
      </c>
      <c r="M3545" s="766">
        <f t="shared" si="635"/>
        <v>6</v>
      </c>
      <c r="N3545" s="763">
        <f>SUM(N3544)</f>
        <v>0.49800000000000005</v>
      </c>
      <c r="O3545" s="550"/>
      <c r="P3545" s="550"/>
      <c r="Q3545" s="1065"/>
      <c r="R3545" s="1065"/>
    </row>
    <row r="3546" spans="1:23" s="497" customFormat="1" ht="17.399999999999999">
      <c r="A3546" s="550"/>
      <c r="B3546" s="767"/>
      <c r="C3546" s="550"/>
      <c r="D3546" s="550"/>
      <c r="E3546" s="550"/>
      <c r="F3546" s="548"/>
      <c r="G3546" s="550"/>
      <c r="H3546" s="768"/>
      <c r="I3546" s="551"/>
      <c r="J3546" s="765"/>
      <c r="K3546" s="766"/>
      <c r="L3546" s="763"/>
      <c r="M3546" s="550"/>
      <c r="N3546" s="769"/>
      <c r="O3546" s="550"/>
      <c r="P3546" s="550"/>
      <c r="Q3546" s="1065"/>
      <c r="R3546" s="1065"/>
    </row>
    <row r="3547" spans="1:23" s="497" customFormat="1" ht="17.399999999999999">
      <c r="A3547" s="547" t="s">
        <v>411</v>
      </c>
      <c r="B3547" s="547" t="s">
        <v>341</v>
      </c>
      <c r="C3547" s="547" t="s">
        <v>19</v>
      </c>
      <c r="D3547" s="547" t="s">
        <v>60</v>
      </c>
      <c r="E3547" s="547" t="s">
        <v>247</v>
      </c>
      <c r="F3547" s="548">
        <v>11</v>
      </c>
      <c r="G3547" s="550" t="s">
        <v>61</v>
      </c>
      <c r="H3547" s="599" t="s">
        <v>53</v>
      </c>
      <c r="I3547" s="551">
        <v>8.3000000000000007</v>
      </c>
      <c r="J3547" s="777">
        <v>12</v>
      </c>
      <c r="K3547" s="778">
        <v>4</v>
      </c>
      <c r="L3547" s="725">
        <f t="shared" ref="L3547" si="636">(I3547*J3547*K3547/1000)</f>
        <v>0.39840000000000003</v>
      </c>
      <c r="M3547" s="550"/>
      <c r="N3547" s="550"/>
      <c r="O3547" s="550"/>
      <c r="P3547" s="550"/>
      <c r="Q3547" s="1065"/>
      <c r="R3547" s="1065"/>
      <c r="S3547" s="497">
        <v>4</v>
      </c>
      <c r="T3547" s="126">
        <f>J3547*S3547*I3547/1000</f>
        <v>0.39840000000000003</v>
      </c>
      <c r="U3547" s="497" t="s">
        <v>503</v>
      </c>
    </row>
    <row r="3548" spans="1:23" s="497" customFormat="1" ht="17.399999999999999">
      <c r="A3548" s="550"/>
      <c r="B3548" s="779" t="s">
        <v>52</v>
      </c>
      <c r="C3548" s="550"/>
      <c r="D3548" s="550"/>
      <c r="E3548" s="550"/>
      <c r="F3548" s="548"/>
      <c r="G3548" s="550"/>
      <c r="H3548" s="768"/>
      <c r="I3548" s="551"/>
      <c r="J3548" s="765"/>
      <c r="K3548" s="766">
        <f>SUM(K3547:K3547)</f>
        <v>4</v>
      </c>
      <c r="L3548" s="763">
        <f>SUM(L3547:L3547)</f>
        <v>0.39840000000000003</v>
      </c>
      <c r="M3548" s="550"/>
      <c r="N3548" s="550"/>
      <c r="O3548" s="550"/>
      <c r="P3548" s="550"/>
      <c r="Q3548" s="550"/>
      <c r="R3548" s="550"/>
      <c r="S3548" s="766">
        <f>SUM(S3547:S3547)</f>
        <v>4</v>
      </c>
      <c r="T3548" s="763">
        <f>SUM(T3547:T3547)</f>
        <v>0.39840000000000003</v>
      </c>
    </row>
    <row r="3549" spans="1:23" s="497" customFormat="1" ht="17.399999999999999">
      <c r="A3549" s="550"/>
      <c r="B3549" s="550"/>
      <c r="C3549" s="550"/>
      <c r="D3549" s="550"/>
      <c r="E3549" s="550"/>
      <c r="F3549" s="548"/>
      <c r="G3549" s="550"/>
      <c r="H3549" s="550"/>
      <c r="I3549" s="1865"/>
      <c r="J3549" s="550"/>
      <c r="K3549" s="770"/>
      <c r="L3549" s="763"/>
      <c r="M3549" s="550"/>
      <c r="N3549" s="550"/>
      <c r="O3549" s="550"/>
      <c r="P3549" s="497" t="s">
        <v>503</v>
      </c>
      <c r="U3549" s="497">
        <v>9.5</v>
      </c>
      <c r="V3549" s="497">
        <v>6</v>
      </c>
      <c r="W3549" s="432">
        <f t="shared" ref="W3549:W3555" si="637">U3549*V3549*8.3</f>
        <v>473.1</v>
      </c>
    </row>
    <row r="3550" spans="1:23" ht="17.399999999999999">
      <c r="A3550" s="547" t="s">
        <v>174</v>
      </c>
      <c r="B3550" s="547" t="s">
        <v>408</v>
      </c>
      <c r="C3550" s="547" t="s">
        <v>19</v>
      </c>
      <c r="D3550" s="547" t="s">
        <v>60</v>
      </c>
      <c r="E3550" s="547" t="s">
        <v>247</v>
      </c>
      <c r="F3550" s="548">
        <v>11</v>
      </c>
      <c r="G3550" s="550" t="s">
        <v>61</v>
      </c>
      <c r="H3550" s="599" t="s">
        <v>53</v>
      </c>
      <c r="I3550" s="551">
        <v>8.3000000000000007</v>
      </c>
      <c r="J3550" s="765">
        <v>7.6</v>
      </c>
      <c r="K3550" s="766">
        <v>660</v>
      </c>
      <c r="L3550" s="725">
        <f t="shared" ref="L3550:L3551" si="638">(I3550*J3550*K3550/1000)</f>
        <v>41.632800000000003</v>
      </c>
      <c r="M3550" s="550">
        <f>14+1</f>
        <v>15</v>
      </c>
      <c r="N3550" s="763">
        <f>J3550*M3550*I3550/1000</f>
        <v>0.94620000000000004</v>
      </c>
      <c r="O3550" s="550"/>
      <c r="P3550" s="550"/>
      <c r="Q3550" s="1065"/>
      <c r="R3550" s="1065"/>
      <c r="S3550">
        <f>32+32+33+32+32+32+32+30+32+32+32+32+31+30+33+32+32+32+12+2+28+32+5</f>
        <v>652</v>
      </c>
      <c r="T3550" s="126">
        <f>J3550*S3550*I3550/1000</f>
        <v>41.128160000000001</v>
      </c>
      <c r="U3550">
        <v>6.9</v>
      </c>
      <c r="V3550">
        <v>5</v>
      </c>
      <c r="W3550" s="432">
        <f t="shared" si="637"/>
        <v>286.35000000000002</v>
      </c>
    </row>
    <row r="3551" spans="1:23" ht="17.399999999999999">
      <c r="A3551" s="550"/>
      <c r="B3551" s="771" t="s">
        <v>244</v>
      </c>
      <c r="C3551" s="550"/>
      <c r="D3551" s="550"/>
      <c r="E3551" s="550"/>
      <c r="F3551" s="548"/>
      <c r="G3551" s="550" t="s">
        <v>61</v>
      </c>
      <c r="H3551" s="550" t="s">
        <v>53</v>
      </c>
      <c r="I3551" s="551">
        <v>8.3000000000000007</v>
      </c>
      <c r="J3551" s="765">
        <v>11.5</v>
      </c>
      <c r="K3551" s="766">
        <v>40</v>
      </c>
      <c r="L3551" s="725">
        <f t="shared" si="638"/>
        <v>3.8180000000000001</v>
      </c>
      <c r="M3551" s="550">
        <v>6</v>
      </c>
      <c r="N3551" s="763">
        <f t="shared" ref="N3551" si="639">J3551*M3551*I3551/1000</f>
        <v>0.5727000000000001</v>
      </c>
      <c r="O3551" s="550"/>
      <c r="P3551" s="550"/>
      <c r="Q3551" s="1065"/>
      <c r="R3551" s="1065"/>
      <c r="S3551">
        <f>7+5</f>
        <v>12</v>
      </c>
      <c r="T3551" s="126">
        <f>J3551*S3551*I3551/1000</f>
        <v>1.1454000000000002</v>
      </c>
      <c r="U3551">
        <v>6.7</v>
      </c>
      <c r="V3551">
        <v>3</v>
      </c>
      <c r="W3551" s="432">
        <f t="shared" si="637"/>
        <v>166.83</v>
      </c>
    </row>
    <row r="3552" spans="1:23" ht="17.399999999999999">
      <c r="A3552" s="550"/>
      <c r="B3552" s="550"/>
      <c r="C3552" s="550"/>
      <c r="D3552" s="550"/>
      <c r="E3552" s="550"/>
      <c r="F3552" s="548"/>
      <c r="G3552" s="550"/>
      <c r="H3552" s="768"/>
      <c r="I3552" s="551"/>
      <c r="J3552" s="765"/>
      <c r="K3552" s="766">
        <f t="shared" ref="K3552:M3552" si="640">SUM(K3550:K3551)</f>
        <v>700</v>
      </c>
      <c r="L3552" s="763">
        <f>SUM(L3550:L3551)</f>
        <v>45.450800000000001</v>
      </c>
      <c r="M3552" s="766">
        <f t="shared" si="640"/>
        <v>21</v>
      </c>
      <c r="N3552" s="763">
        <f>SUM(N3550:N3551)</f>
        <v>1.5189000000000001</v>
      </c>
      <c r="O3552" s="550"/>
      <c r="P3552" s="550"/>
      <c r="Q3552" s="550"/>
      <c r="R3552" s="550"/>
      <c r="S3552" s="766">
        <f t="shared" ref="S3552" si="641">SUM(S3550:S3551)</f>
        <v>664</v>
      </c>
      <c r="T3552" s="763">
        <f>SUM(T3550:T3551)</f>
        <v>42.273560000000003</v>
      </c>
      <c r="U3552">
        <v>6.5</v>
      </c>
      <c r="V3552">
        <v>5</v>
      </c>
      <c r="W3552" s="432">
        <f t="shared" si="637"/>
        <v>269.75</v>
      </c>
    </row>
    <row r="3553" spans="1:23" s="497" customFormat="1" ht="17.399999999999999">
      <c r="A3553" s="550"/>
      <c r="B3553" s="550"/>
      <c r="C3553" s="550"/>
      <c r="D3553" s="550"/>
      <c r="E3553" s="550"/>
      <c r="F3553" s="548"/>
      <c r="G3553" s="550"/>
      <c r="H3553" s="768"/>
      <c r="I3553" s="551"/>
      <c r="J3553" s="765"/>
      <c r="K3553" s="766"/>
      <c r="L3553" s="763"/>
      <c r="M3553" s="766"/>
      <c r="N3553" s="763"/>
      <c r="O3553" s="550"/>
      <c r="P3553" s="550"/>
      <c r="Q3553" s="1065"/>
      <c r="R3553" s="1065"/>
      <c r="U3553" s="497">
        <v>6.3</v>
      </c>
      <c r="V3553" s="497">
        <v>1</v>
      </c>
      <c r="W3553" s="432">
        <f t="shared" si="637"/>
        <v>52.290000000000006</v>
      </c>
    </row>
    <row r="3554" spans="1:23" s="497" customFormat="1" ht="17.399999999999999">
      <c r="A3554" s="547" t="s">
        <v>427</v>
      </c>
      <c r="B3554" s="547" t="s">
        <v>341</v>
      </c>
      <c r="C3554" s="547" t="s">
        <v>19</v>
      </c>
      <c r="D3554" s="547" t="s">
        <v>60</v>
      </c>
      <c r="E3554" s="547" t="s">
        <v>247</v>
      </c>
      <c r="F3554" s="548">
        <v>11</v>
      </c>
      <c r="G3554" s="550" t="s">
        <v>61</v>
      </c>
      <c r="H3554" s="599" t="s">
        <v>53</v>
      </c>
      <c r="I3554" s="551">
        <v>8.3000000000000007</v>
      </c>
      <c r="J3554" s="777">
        <v>12</v>
      </c>
      <c r="K3554" s="778">
        <v>78</v>
      </c>
      <c r="L3554" s="725">
        <f t="shared" ref="L3554" si="642">(I3554*J3554*K3554/1000)</f>
        <v>7.7688000000000015</v>
      </c>
      <c r="M3554" s="550"/>
      <c r="N3554" s="550"/>
      <c r="O3554" s="550"/>
      <c r="P3554" s="550"/>
      <c r="Q3554" s="1065"/>
      <c r="R3554" s="1065"/>
      <c r="S3554" s="497">
        <f>30+32+4+16-4</f>
        <v>78</v>
      </c>
      <c r="T3554" s="126">
        <f>J3554*S3554*I3554/1000</f>
        <v>7.7688000000000015</v>
      </c>
      <c r="U3554" s="497">
        <v>11</v>
      </c>
      <c r="V3554" s="497">
        <v>7</v>
      </c>
      <c r="W3554" s="432">
        <f t="shared" si="637"/>
        <v>639.1</v>
      </c>
    </row>
    <row r="3555" spans="1:23" s="497" customFormat="1" ht="17.399999999999999">
      <c r="A3555" s="550"/>
      <c r="B3555" s="752" t="s">
        <v>88</v>
      </c>
      <c r="C3555" s="550"/>
      <c r="D3555" s="550"/>
      <c r="E3555" s="550"/>
      <c r="F3555" s="548"/>
      <c r="G3555" s="550"/>
      <c r="H3555" s="768"/>
      <c r="I3555" s="551"/>
      <c r="J3555" s="765"/>
      <c r="K3555" s="766">
        <f>SUM(K3554:K3554)</f>
        <v>78</v>
      </c>
      <c r="L3555" s="763">
        <f>SUM(L3554:L3554)</f>
        <v>7.7688000000000015</v>
      </c>
      <c r="M3555" s="550"/>
      <c r="N3555" s="550"/>
      <c r="O3555" s="550"/>
      <c r="P3555" s="550"/>
      <c r="Q3555" s="550"/>
      <c r="R3555" s="550"/>
      <c r="S3555" s="766">
        <f>SUM(S3554:S3554)</f>
        <v>78</v>
      </c>
      <c r="T3555" s="763">
        <f>SUM(T3554:T3554)</f>
        <v>7.7688000000000015</v>
      </c>
      <c r="U3555" s="497">
        <v>10</v>
      </c>
      <c r="V3555" s="497">
        <v>4</v>
      </c>
      <c r="W3555" s="432">
        <f t="shared" si="637"/>
        <v>332</v>
      </c>
    </row>
    <row r="3556" spans="1:23" s="497" customFormat="1" ht="17.399999999999999">
      <c r="A3556" s="550"/>
      <c r="B3556" s="550"/>
      <c r="C3556" s="550"/>
      <c r="D3556" s="550"/>
      <c r="E3556" s="550"/>
      <c r="F3556" s="548"/>
      <c r="G3556" s="550"/>
      <c r="H3556" s="550"/>
      <c r="I3556" s="1865"/>
      <c r="J3556" s="550"/>
      <c r="K3556" s="770"/>
      <c r="L3556" s="763"/>
      <c r="M3556" s="550"/>
      <c r="N3556" s="550"/>
      <c r="O3556" s="550"/>
      <c r="P3556" s="497" t="s">
        <v>503</v>
      </c>
      <c r="U3556" s="432">
        <v>9</v>
      </c>
      <c r="V3556" s="497">
        <v>1</v>
      </c>
      <c r="W3556" s="432">
        <f>U3556*V3556*8.3</f>
        <v>74.7</v>
      </c>
    </row>
    <row r="3557" spans="1:23" s="497" customFormat="1" ht="17.399999999999999">
      <c r="A3557" s="547" t="s">
        <v>411</v>
      </c>
      <c r="B3557" s="547" t="s">
        <v>341</v>
      </c>
      <c r="C3557" s="547" t="s">
        <v>19</v>
      </c>
      <c r="D3557" s="547" t="s">
        <v>60</v>
      </c>
      <c r="E3557" s="547" t="s">
        <v>90</v>
      </c>
      <c r="F3557" s="548">
        <v>11</v>
      </c>
      <c r="G3557" s="550" t="s">
        <v>61</v>
      </c>
      <c r="H3557" s="599" t="s">
        <v>53</v>
      </c>
      <c r="I3557" s="551">
        <v>8.3000000000000007</v>
      </c>
      <c r="J3557" s="777">
        <v>7.2</v>
      </c>
      <c r="K3557" s="778">
        <v>1</v>
      </c>
      <c r="L3557" s="725">
        <f t="shared" ref="L3557:L3563" si="643">(I3557*J3557*K3557/1000)</f>
        <v>5.9760000000000008E-2</v>
      </c>
      <c r="M3557" s="550"/>
      <c r="N3557" s="550"/>
      <c r="O3557" s="777">
        <v>6</v>
      </c>
      <c r="P3557" s="550"/>
      <c r="Q3557" s="1065"/>
      <c r="R3557" s="1065"/>
      <c r="T3557" s="126">
        <f t="shared" ref="T3557:T3563" si="644">J3557*S3557*I3557/1000</f>
        <v>0</v>
      </c>
      <c r="U3557" s="432">
        <v>10.5</v>
      </c>
      <c r="V3557" s="497">
        <v>1</v>
      </c>
      <c r="W3557" s="432">
        <f t="shared" ref="W3557:W3563" si="645">U3557*V3557*8.3</f>
        <v>87.15</v>
      </c>
    </row>
    <row r="3558" spans="1:23" s="497" customFormat="1" ht="17.399999999999999">
      <c r="A3558" s="550"/>
      <c r="B3558" s="779" t="s">
        <v>423</v>
      </c>
      <c r="C3558" s="550"/>
      <c r="D3558" s="550"/>
      <c r="E3558" s="550"/>
      <c r="F3558" s="548"/>
      <c r="G3558" s="550" t="s">
        <v>61</v>
      </c>
      <c r="H3558" s="550" t="s">
        <v>53</v>
      </c>
      <c r="I3558" s="551">
        <v>8.3000000000000007</v>
      </c>
      <c r="J3558" s="777">
        <v>7.2</v>
      </c>
      <c r="K3558" s="778">
        <v>292</v>
      </c>
      <c r="L3558" s="725">
        <f t="shared" si="643"/>
        <v>17.449920000000002</v>
      </c>
      <c r="M3558" s="550"/>
      <c r="N3558" s="550"/>
      <c r="O3558" s="550"/>
      <c r="P3558" s="550"/>
      <c r="Q3558" s="1065"/>
      <c r="R3558" s="1065"/>
      <c r="S3558" s="497">
        <f>32+29+33+32+32+13+32+32+13</f>
        <v>248</v>
      </c>
      <c r="T3558" s="126">
        <f t="shared" si="644"/>
        <v>14.820480000000003</v>
      </c>
      <c r="U3558" s="432">
        <v>11</v>
      </c>
      <c r="V3558" s="497">
        <v>7</v>
      </c>
      <c r="W3558" s="432">
        <f t="shared" si="645"/>
        <v>639.1</v>
      </c>
    </row>
    <row r="3559" spans="1:23" s="497" customFormat="1" ht="17.399999999999999">
      <c r="A3559" s="550"/>
      <c r="B3559" s="550"/>
      <c r="C3559" s="550"/>
      <c r="D3559" s="550"/>
      <c r="E3559" s="550"/>
      <c r="F3559" s="548"/>
      <c r="G3559" s="550" t="s">
        <v>61</v>
      </c>
      <c r="H3559" s="550" t="s">
        <v>53</v>
      </c>
      <c r="I3559" s="551">
        <v>8.3000000000000007</v>
      </c>
      <c r="J3559" s="777">
        <v>10</v>
      </c>
      <c r="K3559" s="778">
        <v>41</v>
      </c>
      <c r="L3559" s="725">
        <f t="shared" si="643"/>
        <v>3.403</v>
      </c>
      <c r="M3559" s="550"/>
      <c r="N3559" s="550"/>
      <c r="O3559" s="550"/>
      <c r="P3559" s="550"/>
      <c r="Q3559" s="1065"/>
      <c r="R3559" s="1065"/>
      <c r="S3559" s="497">
        <f>19+22</f>
        <v>41</v>
      </c>
      <c r="T3559" s="126">
        <f t="shared" si="644"/>
        <v>3.4030000000000005</v>
      </c>
      <c r="U3559" s="433">
        <v>11.2</v>
      </c>
      <c r="V3559" s="497">
        <f>10+3</f>
        <v>13</v>
      </c>
      <c r="W3559" s="432">
        <f t="shared" si="645"/>
        <v>1208.48</v>
      </c>
    </row>
    <row r="3560" spans="1:23" s="497" customFormat="1" ht="17.399999999999999">
      <c r="A3560" s="550"/>
      <c r="B3560" s="550"/>
      <c r="C3560" s="550"/>
      <c r="D3560" s="550"/>
      <c r="E3560" s="550"/>
      <c r="F3560" s="548"/>
      <c r="G3560" s="550" t="s">
        <v>61</v>
      </c>
      <c r="H3560" s="550" t="s">
        <v>53</v>
      </c>
      <c r="I3560" s="551">
        <v>8.3000000000000007</v>
      </c>
      <c r="J3560" s="777">
        <v>11.5</v>
      </c>
      <c r="K3560" s="778">
        <v>20</v>
      </c>
      <c r="L3560" s="725">
        <f t="shared" si="643"/>
        <v>1.909</v>
      </c>
      <c r="M3560" s="550"/>
      <c r="N3560" s="550"/>
      <c r="O3560" s="550"/>
      <c r="P3560" s="550"/>
      <c r="Q3560" s="1065"/>
      <c r="R3560" s="1065"/>
      <c r="S3560" s="497">
        <v>20</v>
      </c>
      <c r="T3560" s="126">
        <f t="shared" si="644"/>
        <v>1.9090000000000003</v>
      </c>
      <c r="U3560" s="433">
        <v>11.3</v>
      </c>
      <c r="V3560" s="497">
        <v>1</v>
      </c>
      <c r="W3560" s="432">
        <f t="shared" si="645"/>
        <v>93.79000000000002</v>
      </c>
    </row>
    <row r="3561" spans="1:23" s="497" customFormat="1" ht="17.399999999999999">
      <c r="A3561" s="550"/>
      <c r="B3561" s="550"/>
      <c r="C3561" s="550"/>
      <c r="D3561" s="550"/>
      <c r="E3561" s="550"/>
      <c r="F3561" s="548"/>
      <c r="G3561" s="550" t="s">
        <v>61</v>
      </c>
      <c r="H3561" s="550" t="s">
        <v>53</v>
      </c>
      <c r="I3561" s="551">
        <v>8.3000000000000007</v>
      </c>
      <c r="J3561" s="777">
        <v>11.6</v>
      </c>
      <c r="K3561" s="778">
        <v>310</v>
      </c>
      <c r="L3561" s="725">
        <f t="shared" si="643"/>
        <v>29.846799999999998</v>
      </c>
      <c r="M3561" s="550"/>
      <c r="N3561" s="550"/>
      <c r="O3561" s="550"/>
      <c r="P3561" s="550"/>
      <c r="Q3561" s="1065"/>
      <c r="R3561" s="1065"/>
      <c r="S3561" s="497">
        <f>30+30+33+30+31+33+27+30+14+32+3</f>
        <v>293</v>
      </c>
      <c r="T3561" s="126">
        <f t="shared" si="644"/>
        <v>28.210039999999999</v>
      </c>
      <c r="U3561" s="433">
        <v>11.4</v>
      </c>
      <c r="V3561" s="497">
        <f>2+1</f>
        <v>3</v>
      </c>
      <c r="W3561" s="432">
        <f t="shared" si="645"/>
        <v>283.86000000000007</v>
      </c>
    </row>
    <row r="3562" spans="1:23" s="497" customFormat="1" ht="17.399999999999999">
      <c r="A3562" s="550"/>
      <c r="B3562" s="550"/>
      <c r="C3562" s="550"/>
      <c r="D3562" s="550"/>
      <c r="E3562" s="550"/>
      <c r="F3562" s="548"/>
      <c r="G3562" s="550" t="s">
        <v>61</v>
      </c>
      <c r="H3562" s="550" t="s">
        <v>53</v>
      </c>
      <c r="I3562" s="551">
        <v>8.3000000000000007</v>
      </c>
      <c r="J3562" s="777">
        <v>11.7</v>
      </c>
      <c r="K3562" s="778">
        <v>48</v>
      </c>
      <c r="L3562" s="725">
        <f t="shared" si="643"/>
        <v>4.6612799999999996</v>
      </c>
      <c r="M3562" s="550"/>
      <c r="N3562" s="550"/>
      <c r="O3562" s="550"/>
      <c r="P3562" s="550"/>
      <c r="Q3562" s="1065"/>
      <c r="R3562" s="1065"/>
      <c r="S3562" s="497">
        <f>29+19</f>
        <v>48</v>
      </c>
      <c r="T3562" s="126">
        <f t="shared" si="644"/>
        <v>4.6612799999999996</v>
      </c>
      <c r="U3562" s="433">
        <v>9.4</v>
      </c>
      <c r="V3562" s="497">
        <v>1</v>
      </c>
      <c r="W3562" s="432">
        <f t="shared" si="645"/>
        <v>78.02000000000001</v>
      </c>
    </row>
    <row r="3563" spans="1:23" s="497" customFormat="1" ht="17.399999999999999">
      <c r="A3563" s="550"/>
      <c r="B3563" s="550"/>
      <c r="C3563" s="550"/>
      <c r="D3563" s="550"/>
      <c r="E3563" s="550"/>
      <c r="F3563" s="548"/>
      <c r="G3563" s="550" t="s">
        <v>61</v>
      </c>
      <c r="H3563" s="550" t="s">
        <v>53</v>
      </c>
      <c r="I3563" s="551">
        <v>8.3000000000000007</v>
      </c>
      <c r="J3563" s="777">
        <v>12</v>
      </c>
      <c r="K3563" s="778">
        <v>4</v>
      </c>
      <c r="L3563" s="725">
        <f t="shared" si="643"/>
        <v>0.39840000000000003</v>
      </c>
      <c r="M3563" s="550"/>
      <c r="N3563" s="550"/>
      <c r="O3563" s="550"/>
      <c r="P3563" s="550"/>
      <c r="Q3563" s="1065"/>
      <c r="R3563" s="1065"/>
      <c r="S3563" s="497">
        <f>2+2</f>
        <v>4</v>
      </c>
      <c r="T3563" s="126">
        <f t="shared" si="644"/>
        <v>0.39840000000000003</v>
      </c>
      <c r="U3563" s="433">
        <v>12</v>
      </c>
      <c r="V3563" s="497">
        <v>4</v>
      </c>
      <c r="W3563" s="432">
        <f t="shared" si="645"/>
        <v>398.40000000000003</v>
      </c>
    </row>
    <row r="3564" spans="1:23" s="497" customFormat="1" ht="17.399999999999999">
      <c r="A3564" s="550"/>
      <c r="B3564" s="550"/>
      <c r="C3564" s="550"/>
      <c r="D3564" s="550"/>
      <c r="E3564" s="550"/>
      <c r="F3564" s="548"/>
      <c r="G3564" s="550"/>
      <c r="H3564" s="550"/>
      <c r="I3564" s="1865"/>
      <c r="J3564" s="550"/>
      <c r="K3564" s="770">
        <f>SUM(K3557:K3563)</f>
        <v>716</v>
      </c>
      <c r="L3564" s="763">
        <f>SUM(L3557:L3563)</f>
        <v>57.728160000000003</v>
      </c>
      <c r="M3564" s="550"/>
      <c r="N3564" s="550"/>
      <c r="O3564" s="550"/>
      <c r="P3564" s="550"/>
      <c r="Q3564" s="550"/>
      <c r="R3564" s="550"/>
      <c r="S3564" s="770">
        <f>SUM(S3557:S3563)</f>
        <v>654</v>
      </c>
      <c r="T3564" s="763">
        <f>SUM(T3557:T3563)</f>
        <v>53.402200000000001</v>
      </c>
      <c r="W3564" s="823">
        <f>SUM(W3549:W3563)/1000</f>
        <v>5.0829199999999997</v>
      </c>
    </row>
    <row r="3565" spans="1:23" s="497" customFormat="1" ht="17.399999999999999">
      <c r="A3565" s="550"/>
      <c r="B3565" s="550"/>
      <c r="C3565" s="550"/>
      <c r="D3565" s="550"/>
      <c r="E3565" s="550"/>
      <c r="F3565" s="548"/>
      <c r="G3565" s="550"/>
      <c r="H3565" s="550"/>
      <c r="I3565" s="1865"/>
      <c r="J3565" s="550"/>
      <c r="K3565" s="770"/>
      <c r="L3565" s="763"/>
      <c r="M3565" s="550"/>
      <c r="N3565" s="550"/>
      <c r="O3565" s="550"/>
      <c r="P3565" s="550"/>
      <c r="Q3565" s="1065"/>
      <c r="R3565" s="1065"/>
    </row>
    <row r="3566" spans="1:23" s="497" customFormat="1" ht="17.399999999999999">
      <c r="A3566" s="547" t="s">
        <v>427</v>
      </c>
      <c r="B3566" s="547" t="s">
        <v>341</v>
      </c>
      <c r="C3566" s="547" t="s">
        <v>19</v>
      </c>
      <c r="D3566" s="547" t="s">
        <v>60</v>
      </c>
      <c r="E3566" s="547" t="s">
        <v>270</v>
      </c>
      <c r="F3566" s="548">
        <v>8.5</v>
      </c>
      <c r="G3566" s="550" t="s">
        <v>61</v>
      </c>
      <c r="H3566" s="599" t="s">
        <v>53</v>
      </c>
      <c r="I3566" s="551">
        <v>8.32</v>
      </c>
      <c r="J3566" s="777">
        <v>11.75</v>
      </c>
      <c r="K3566" s="778">
        <v>67</v>
      </c>
      <c r="L3566" s="725">
        <f t="shared" ref="L3566" si="646">(I3566*J3566*K3566/1000)</f>
        <v>6.5499200000000002</v>
      </c>
      <c r="M3566" s="550"/>
      <c r="N3566" s="550"/>
      <c r="O3566" s="550"/>
      <c r="P3566" s="550"/>
      <c r="Q3566" s="1065"/>
      <c r="R3566" s="1065"/>
      <c r="S3566" s="497">
        <f>27+25+13</f>
        <v>65</v>
      </c>
      <c r="T3566" s="126">
        <f>J3566*S3566*I3566/1000</f>
        <v>6.3544000000000009</v>
      </c>
      <c r="U3566" s="497" t="s">
        <v>503</v>
      </c>
    </row>
    <row r="3567" spans="1:23" s="497" customFormat="1" ht="17.399999999999999">
      <c r="A3567" s="550"/>
      <c r="B3567" s="779" t="s">
        <v>277</v>
      </c>
      <c r="C3567" s="550"/>
      <c r="D3567" s="550"/>
      <c r="E3567" s="550"/>
      <c r="F3567" s="548"/>
      <c r="G3567" s="550"/>
      <c r="H3567" s="768"/>
      <c r="I3567" s="551"/>
      <c r="J3567" s="765"/>
      <c r="K3567" s="766">
        <f>SUM(K3566:K3566)</f>
        <v>67</v>
      </c>
      <c r="L3567" s="763">
        <f>SUM(L3566:L3566)</f>
        <v>6.5499200000000002</v>
      </c>
      <c r="M3567" s="550"/>
      <c r="N3567" s="550"/>
      <c r="O3567" s="550"/>
      <c r="P3567" s="550"/>
      <c r="Q3567" s="550"/>
      <c r="R3567" s="550"/>
      <c r="S3567" s="766">
        <f>SUM(S3566:S3566)</f>
        <v>65</v>
      </c>
      <c r="T3567" s="763">
        <f>SUM(T3566:T3566)</f>
        <v>6.3544000000000009</v>
      </c>
    </row>
    <row r="3568" spans="1:23" s="497" customFormat="1" ht="17.399999999999999">
      <c r="A3568" s="550"/>
      <c r="B3568" s="550"/>
      <c r="C3568" s="550"/>
      <c r="D3568" s="550"/>
      <c r="E3568" s="550"/>
      <c r="F3568" s="548"/>
      <c r="G3568" s="550"/>
      <c r="H3568" s="550"/>
      <c r="I3568" s="1865"/>
      <c r="J3568" s="550"/>
      <c r="K3568" s="770"/>
      <c r="L3568" s="763"/>
      <c r="M3568" s="550"/>
      <c r="N3568" s="550"/>
      <c r="O3568" s="550"/>
      <c r="P3568" s="550"/>
      <c r="Q3568" s="1065"/>
      <c r="R3568" s="1065"/>
    </row>
    <row r="3569" spans="1:21" s="497" customFormat="1" ht="17.399999999999999">
      <c r="A3569" s="547" t="s">
        <v>411</v>
      </c>
      <c r="B3569" s="547" t="s">
        <v>341</v>
      </c>
      <c r="C3569" s="547" t="s">
        <v>19</v>
      </c>
      <c r="D3569" s="547" t="s">
        <v>60</v>
      </c>
      <c r="E3569" s="547" t="s">
        <v>270</v>
      </c>
      <c r="F3569" s="548">
        <v>8.5</v>
      </c>
      <c r="G3569" s="550" t="s">
        <v>61</v>
      </c>
      <c r="H3569" s="599" t="s">
        <v>53</v>
      </c>
      <c r="I3569" s="551">
        <v>8.32</v>
      </c>
      <c r="J3569" s="777">
        <v>12</v>
      </c>
      <c r="K3569" s="778">
        <v>8</v>
      </c>
      <c r="L3569" s="725">
        <f>(I3569*J3569*K3569/1000)</f>
        <v>0.79871999999999999</v>
      </c>
      <c r="M3569" s="550"/>
      <c r="N3569" s="550"/>
      <c r="O3569" s="550"/>
      <c r="P3569" s="550"/>
      <c r="Q3569" s="1065"/>
      <c r="R3569" s="1065"/>
      <c r="S3569" s="497">
        <v>8</v>
      </c>
      <c r="T3569" s="126">
        <f>J3569*S3569*I3569/1000</f>
        <v>0.79871999999999999</v>
      </c>
      <c r="U3569" s="497" t="s">
        <v>503</v>
      </c>
    </row>
    <row r="3570" spans="1:21" s="497" customFormat="1" ht="17.399999999999999">
      <c r="A3570" s="550"/>
      <c r="B3570" s="779" t="s">
        <v>331</v>
      </c>
      <c r="C3570" s="550"/>
      <c r="D3570" s="550"/>
      <c r="E3570" s="550"/>
      <c r="F3570" s="548"/>
      <c r="G3570" s="550"/>
      <c r="H3570" s="768"/>
      <c r="I3570" s="551"/>
      <c r="J3570" s="765"/>
      <c r="K3570" s="766">
        <f>SUM(K3569:K3569)</f>
        <v>8</v>
      </c>
      <c r="L3570" s="763">
        <f>SUM(L3569:L3569)</f>
        <v>0.79871999999999999</v>
      </c>
      <c r="M3570" s="550"/>
      <c r="N3570" s="550"/>
      <c r="O3570" s="550"/>
      <c r="P3570" s="550"/>
      <c r="Q3570" s="550"/>
      <c r="R3570" s="550"/>
      <c r="S3570" s="766">
        <f>SUM(S3569:S3569)</f>
        <v>8</v>
      </c>
      <c r="T3570" s="763">
        <f>SUM(T3569:T3569)</f>
        <v>0.79871999999999999</v>
      </c>
    </row>
    <row r="3571" spans="1:21" s="497" customFormat="1" ht="17.399999999999999">
      <c r="A3571" s="550"/>
      <c r="B3571" s="550"/>
      <c r="C3571" s="550"/>
      <c r="D3571" s="550"/>
      <c r="E3571" s="550"/>
      <c r="F3571" s="548"/>
      <c r="G3571" s="550"/>
      <c r="H3571" s="768"/>
      <c r="I3571" s="551"/>
      <c r="J3571" s="765"/>
      <c r="K3571" s="770">
        <f>SUM(K3544:K3570)/2</f>
        <v>1579</v>
      </c>
      <c r="L3571" s="763">
        <f>SUM(L3544:L3570)/2</f>
        <v>119.19280000000001</v>
      </c>
      <c r="M3571" s="770">
        <f>SUM(M3544:M3570)/2</f>
        <v>27</v>
      </c>
      <c r="N3571" s="763">
        <f>SUM(N3544:N3570)/2</f>
        <v>2.0169000000000001</v>
      </c>
      <c r="O3571" s="550"/>
      <c r="P3571" s="550"/>
      <c r="Q3571" s="550"/>
      <c r="R3571" s="550"/>
      <c r="S3571" s="770">
        <f>SUM(S3544:S3570)/2</f>
        <v>1473</v>
      </c>
      <c r="T3571" s="763">
        <f>SUM(T3544:T3570)/2</f>
        <v>110.99608000000001</v>
      </c>
    </row>
    <row r="3572" spans="1:21" s="497" customFormat="1" ht="17.399999999999999">
      <c r="A3572" s="550"/>
      <c r="B3572" s="550"/>
      <c r="C3572" s="550"/>
      <c r="D3572" s="550"/>
      <c r="E3572" s="550"/>
      <c r="F3572" s="548"/>
      <c r="G3572" s="550"/>
      <c r="H3572" s="768"/>
      <c r="I3572" s="551"/>
      <c r="J3572" s="765"/>
      <c r="K3572" s="770"/>
      <c r="L3572" s="763"/>
      <c r="M3572" s="770"/>
      <c r="N3572" s="763"/>
      <c r="O3572" s="550"/>
      <c r="P3572" s="550"/>
      <c r="Q3572" s="1065"/>
      <c r="R3572" s="1065"/>
    </row>
    <row r="3573" spans="1:21" s="497" customFormat="1" ht="17.399999999999999">
      <c r="A3573" s="550"/>
      <c r="B3573" s="550"/>
      <c r="C3573" s="550"/>
      <c r="D3573" s="550"/>
      <c r="E3573" s="550"/>
      <c r="F3573" s="548"/>
      <c r="G3573" s="550"/>
      <c r="H3573" s="768"/>
      <c r="I3573" s="551"/>
      <c r="J3573" s="765"/>
      <c r="K3573" s="766"/>
      <c r="L3573" s="763"/>
      <c r="M3573" s="550"/>
      <c r="N3573" s="769"/>
      <c r="O3573" s="550"/>
      <c r="P3573" s="550"/>
      <c r="Q3573" s="1065"/>
      <c r="R3573" s="1065"/>
    </row>
    <row r="3574" spans="1:21" ht="17.399999999999999">
      <c r="A3574" s="547" t="s">
        <v>174</v>
      </c>
      <c r="B3574" s="547" t="s">
        <v>408</v>
      </c>
      <c r="C3574" s="547" t="s">
        <v>19</v>
      </c>
      <c r="D3574" s="547" t="s">
        <v>60</v>
      </c>
      <c r="E3574" s="547" t="s">
        <v>247</v>
      </c>
      <c r="F3574" s="548">
        <v>11</v>
      </c>
      <c r="G3574" s="550" t="s">
        <v>61</v>
      </c>
      <c r="H3574" s="599" t="s">
        <v>54</v>
      </c>
      <c r="I3574" s="551">
        <v>9.61</v>
      </c>
      <c r="J3574" s="765">
        <v>9</v>
      </c>
      <c r="K3574" s="766">
        <v>42</v>
      </c>
      <c r="L3574" s="725">
        <f>(I3574*J3574*K3574/1000)</f>
        <v>3.6325799999999999</v>
      </c>
      <c r="M3574" s="550">
        <v>9</v>
      </c>
      <c r="N3574" s="763">
        <f>J3574*M3574*I3574/1000</f>
        <v>0.77840999999999994</v>
      </c>
      <c r="O3574" s="550"/>
      <c r="P3574" s="550"/>
      <c r="Q3574" s="1065"/>
      <c r="R3574" s="1065"/>
      <c r="S3574">
        <f>27+8+1</f>
        <v>36</v>
      </c>
      <c r="T3574" s="126">
        <f>J3574*S3574*I3574/1000</f>
        <v>3.1136399999999997</v>
      </c>
      <c r="U3574" s="497" t="s">
        <v>503</v>
      </c>
    </row>
    <row r="3575" spans="1:21" ht="17.399999999999999">
      <c r="A3575" s="550"/>
      <c r="B3575" s="771" t="s">
        <v>244</v>
      </c>
      <c r="C3575" s="550"/>
      <c r="D3575" s="550"/>
      <c r="E3575" s="550"/>
      <c r="F3575" s="548"/>
      <c r="G3575" s="550"/>
      <c r="H3575" s="768"/>
      <c r="I3575" s="551"/>
      <c r="J3575" s="765"/>
      <c r="K3575" s="766">
        <f t="shared" ref="K3575:M3575" si="647">SUM(K3574)</f>
        <v>42</v>
      </c>
      <c r="L3575" s="763">
        <f t="shared" si="647"/>
        <v>3.6325799999999999</v>
      </c>
      <c r="M3575" s="766">
        <f t="shared" si="647"/>
        <v>9</v>
      </c>
      <c r="N3575" s="763">
        <f>SUM(N3574)</f>
        <v>0.77840999999999994</v>
      </c>
      <c r="O3575" s="550"/>
      <c r="P3575" s="550"/>
      <c r="Q3575" s="550"/>
      <c r="R3575" s="550"/>
      <c r="S3575" s="766">
        <f t="shared" ref="S3575" si="648">SUM(S3574)</f>
        <v>36</v>
      </c>
      <c r="T3575" s="763">
        <f>SUM(T3574)</f>
        <v>3.1136399999999997</v>
      </c>
    </row>
    <row r="3576" spans="1:21" s="497" customFormat="1" ht="17.399999999999999">
      <c r="A3576" s="550"/>
      <c r="B3576" s="771"/>
      <c r="C3576" s="550"/>
      <c r="D3576" s="550"/>
      <c r="E3576" s="550"/>
      <c r="F3576" s="548"/>
      <c r="G3576" s="550"/>
      <c r="H3576" s="768"/>
      <c r="I3576" s="551"/>
      <c r="J3576" s="765"/>
      <c r="K3576" s="766"/>
      <c r="L3576" s="763"/>
      <c r="M3576" s="766"/>
      <c r="N3576" s="763"/>
      <c r="O3576" s="550"/>
      <c r="P3576" s="550"/>
      <c r="Q3576" s="1065"/>
      <c r="R3576" s="1065"/>
    </row>
    <row r="3577" spans="1:21" s="497" customFormat="1" ht="17.399999999999999">
      <c r="A3577" s="547" t="s">
        <v>411</v>
      </c>
      <c r="B3577" s="547" t="s">
        <v>341</v>
      </c>
      <c r="C3577" s="547" t="s">
        <v>19</v>
      </c>
      <c r="D3577" s="547" t="s">
        <v>60</v>
      </c>
      <c r="E3577" s="547" t="s">
        <v>90</v>
      </c>
      <c r="F3577" s="548">
        <v>11</v>
      </c>
      <c r="G3577" s="550" t="s">
        <v>61</v>
      </c>
      <c r="H3577" s="599" t="s">
        <v>54</v>
      </c>
      <c r="I3577" s="551">
        <v>9.61</v>
      </c>
      <c r="J3577" s="777">
        <v>12</v>
      </c>
      <c r="K3577" s="778">
        <v>1</v>
      </c>
      <c r="L3577" s="725">
        <f t="shared" ref="L3577:L3578" si="649">(I3577*J3577*K3577/1000)</f>
        <v>0.11531999999999999</v>
      </c>
      <c r="M3577" s="550"/>
      <c r="N3577" s="550"/>
      <c r="O3577" s="777">
        <v>11.5</v>
      </c>
      <c r="P3577" s="550"/>
      <c r="Q3577" s="1065"/>
      <c r="R3577" s="1065"/>
      <c r="S3577" s="497">
        <v>1</v>
      </c>
      <c r="T3577" s="126">
        <f t="shared" ref="T3577:T3578" si="650">J3577*S3577*I3577/1000</f>
        <v>0.11531999999999999</v>
      </c>
      <c r="U3577" s="497" t="s">
        <v>503</v>
      </c>
    </row>
    <row r="3578" spans="1:21" s="497" customFormat="1" ht="17.399999999999999">
      <c r="A3578" s="550"/>
      <c r="B3578" s="779" t="s">
        <v>423</v>
      </c>
      <c r="C3578" s="550"/>
      <c r="D3578" s="550"/>
      <c r="E3578" s="550"/>
      <c r="F3578" s="548"/>
      <c r="G3578" s="550" t="s">
        <v>61</v>
      </c>
      <c r="H3578" s="550" t="s">
        <v>54</v>
      </c>
      <c r="I3578" s="551">
        <v>9.61</v>
      </c>
      <c r="J3578" s="777">
        <v>12</v>
      </c>
      <c r="K3578" s="778">
        <v>6</v>
      </c>
      <c r="L3578" s="725">
        <f t="shared" si="649"/>
        <v>0.69191999999999998</v>
      </c>
      <c r="M3578" s="550"/>
      <c r="N3578" s="550"/>
      <c r="O3578" s="550"/>
      <c r="P3578" s="550"/>
      <c r="Q3578" s="1065"/>
      <c r="R3578" s="1065"/>
      <c r="S3578" s="497">
        <f>6+2</f>
        <v>8</v>
      </c>
      <c r="T3578" s="126">
        <f t="shared" si="650"/>
        <v>0.92255999999999994</v>
      </c>
    </row>
    <row r="3579" spans="1:21" s="497" customFormat="1" ht="17.399999999999999">
      <c r="A3579" s="550"/>
      <c r="B3579" s="550"/>
      <c r="C3579" s="550"/>
      <c r="D3579" s="550"/>
      <c r="E3579" s="550"/>
      <c r="F3579" s="548"/>
      <c r="G3579" s="550"/>
      <c r="H3579" s="550"/>
      <c r="I3579" s="1865"/>
      <c r="J3579" s="550"/>
      <c r="K3579" s="770">
        <f>SUM(K3577:K3578)</f>
        <v>7</v>
      </c>
      <c r="L3579" s="763">
        <f>SUM(L3577:L3578)</f>
        <v>0.80723999999999996</v>
      </c>
      <c r="M3579" s="550"/>
      <c r="N3579" s="550"/>
      <c r="O3579" s="550"/>
      <c r="P3579" s="550"/>
      <c r="Q3579" s="550"/>
      <c r="R3579" s="550"/>
      <c r="S3579" s="770">
        <f>SUM(S3577:S3578)</f>
        <v>9</v>
      </c>
      <c r="T3579" s="763">
        <f>SUM(T3577:T3578)</f>
        <v>1.0378799999999999</v>
      </c>
    </row>
    <row r="3580" spans="1:21" s="497" customFormat="1" ht="17.399999999999999">
      <c r="A3580" s="550"/>
      <c r="B3580" s="550"/>
      <c r="C3580" s="550"/>
      <c r="D3580" s="550"/>
      <c r="E3580" s="550"/>
      <c r="F3580" s="548"/>
      <c r="G3580" s="550"/>
      <c r="H3580" s="550"/>
      <c r="I3580" s="1865"/>
      <c r="J3580" s="550"/>
      <c r="K3580" s="770">
        <f>SUM(K3574:K3579)/2</f>
        <v>49</v>
      </c>
      <c r="L3580" s="763">
        <f>SUM(L3574:L3579)/2</f>
        <v>4.4398200000000001</v>
      </c>
      <c r="M3580" s="770">
        <f>SUM(M3574:M3579)/2</f>
        <v>9</v>
      </c>
      <c r="N3580" s="763">
        <f>SUM(N3574:N3579)/2</f>
        <v>0.77840999999999994</v>
      </c>
      <c r="O3580" s="550"/>
      <c r="P3580" s="550"/>
      <c r="Q3580" s="550"/>
      <c r="R3580" s="550"/>
      <c r="S3580" s="770">
        <f>SUM(S3574:S3579)/2</f>
        <v>45</v>
      </c>
      <c r="T3580" s="763">
        <f>SUM(T3574:T3579)/2</f>
        <v>4.1515199999999997</v>
      </c>
    </row>
    <row r="3581" spans="1:21" s="497" customFormat="1" ht="17.399999999999999">
      <c r="A3581" s="550"/>
      <c r="B3581" s="550"/>
      <c r="C3581" s="550"/>
      <c r="D3581" s="550"/>
      <c r="E3581" s="550"/>
      <c r="F3581" s="548"/>
      <c r="G3581" s="550"/>
      <c r="H3581" s="550"/>
      <c r="I3581" s="1865"/>
      <c r="J3581" s="550"/>
      <c r="K3581" s="770"/>
      <c r="L3581" s="763"/>
      <c r="M3581" s="550"/>
      <c r="N3581" s="550"/>
      <c r="O3581" s="550"/>
      <c r="P3581" s="550"/>
      <c r="Q3581" s="1065"/>
      <c r="R3581" s="1065"/>
    </row>
    <row r="3582" spans="1:21" s="497" customFormat="1" ht="17.399999999999999">
      <c r="A3582" s="550"/>
      <c r="B3582" s="550"/>
      <c r="C3582" s="550"/>
      <c r="D3582" s="550"/>
      <c r="E3582" s="550"/>
      <c r="F3582" s="548"/>
      <c r="G3582" s="550"/>
      <c r="H3582" s="550"/>
      <c r="I3582" s="1865"/>
      <c r="J3582" s="550"/>
      <c r="K3582" s="770"/>
      <c r="L3582" s="763"/>
      <c r="M3582" s="550"/>
      <c r="N3582" s="550"/>
      <c r="O3582" s="550"/>
      <c r="P3582" s="550"/>
      <c r="Q3582" s="1065"/>
      <c r="R3582" s="1065"/>
    </row>
    <row r="3583" spans="1:21" s="497" customFormat="1" ht="17.399999999999999">
      <c r="A3583" s="547" t="s">
        <v>427</v>
      </c>
      <c r="B3583" s="547" t="s">
        <v>341</v>
      </c>
      <c r="C3583" s="547" t="s">
        <v>19</v>
      </c>
      <c r="D3583" s="547" t="s">
        <v>60</v>
      </c>
      <c r="E3583" s="547" t="s">
        <v>270</v>
      </c>
      <c r="F3583" s="548">
        <v>8.5</v>
      </c>
      <c r="G3583" s="550" t="s">
        <v>61</v>
      </c>
      <c r="H3583" s="599" t="s">
        <v>91</v>
      </c>
      <c r="I3583" s="551">
        <v>6.97</v>
      </c>
      <c r="J3583" s="777">
        <v>6.25</v>
      </c>
      <c r="K3583" s="778">
        <v>46</v>
      </c>
      <c r="L3583" s="725">
        <f t="shared" ref="L3583:L3585" si="651">(I3583*J3583*K3583/1000)</f>
        <v>2.0038749999999999</v>
      </c>
      <c r="M3583" s="550"/>
      <c r="N3583" s="550"/>
      <c r="O3583" s="550"/>
      <c r="P3583" s="550"/>
      <c r="Q3583" s="1065"/>
      <c r="R3583" s="1065"/>
      <c r="S3583" s="497" t="s">
        <v>505</v>
      </c>
    </row>
    <row r="3584" spans="1:21" s="497" customFormat="1" ht="17.399999999999999">
      <c r="A3584" s="550"/>
      <c r="B3584" s="779" t="s">
        <v>277</v>
      </c>
      <c r="C3584" s="550"/>
      <c r="D3584" s="550"/>
      <c r="E3584" s="550"/>
      <c r="F3584" s="548"/>
      <c r="G3584" s="550" t="s">
        <v>61</v>
      </c>
      <c r="H3584" s="550" t="s">
        <v>91</v>
      </c>
      <c r="I3584" s="551">
        <v>6.97</v>
      </c>
      <c r="J3584" s="777">
        <v>7</v>
      </c>
      <c r="K3584" s="778">
        <v>15</v>
      </c>
      <c r="L3584" s="725">
        <f t="shared" si="651"/>
        <v>0.73185</v>
      </c>
      <c r="M3584" s="550"/>
      <c r="N3584" s="550"/>
      <c r="O3584" s="550"/>
      <c r="P3584" s="550"/>
      <c r="Q3584" s="1065"/>
      <c r="R3584" s="1065"/>
    </row>
    <row r="3585" spans="1:19" s="497" customFormat="1" ht="17.399999999999999">
      <c r="A3585" s="550"/>
      <c r="B3585" s="550"/>
      <c r="C3585" s="550"/>
      <c r="D3585" s="550"/>
      <c r="E3585" s="550"/>
      <c r="F3585" s="548"/>
      <c r="G3585" s="550" t="s">
        <v>61</v>
      </c>
      <c r="H3585" s="550" t="s">
        <v>91</v>
      </c>
      <c r="I3585" s="551">
        <v>6.97</v>
      </c>
      <c r="J3585" s="777">
        <v>11</v>
      </c>
      <c r="K3585" s="778">
        <v>17</v>
      </c>
      <c r="L3585" s="725">
        <f t="shared" si="651"/>
        <v>1.30339</v>
      </c>
      <c r="M3585" s="550">
        <v>4</v>
      </c>
      <c r="N3585" s="763">
        <f>J3585*M3585*I3585/1000</f>
        <v>0.30668000000000001</v>
      </c>
      <c r="O3585" s="550"/>
      <c r="P3585" s="550"/>
      <c r="Q3585" s="1065"/>
      <c r="R3585" s="1065"/>
    </row>
    <row r="3586" spans="1:19" s="497" customFormat="1" ht="17.399999999999999">
      <c r="A3586" s="550"/>
      <c r="B3586" s="550"/>
      <c r="C3586" s="550"/>
      <c r="D3586" s="550"/>
      <c r="E3586" s="550"/>
      <c r="F3586" s="548"/>
      <c r="G3586" s="550"/>
      <c r="H3586" s="550"/>
      <c r="I3586" s="1865"/>
      <c r="J3586" s="550"/>
      <c r="K3586" s="770">
        <f t="shared" ref="K3586" si="652">SUM(K3583:K3585)</f>
        <v>78</v>
      </c>
      <c r="L3586" s="763">
        <f>SUM(L3583:L3585)</f>
        <v>4.0391149999999998</v>
      </c>
      <c r="M3586" s="770">
        <f t="shared" ref="M3586" si="653">SUM(M3583:M3585)</f>
        <v>4</v>
      </c>
      <c r="N3586" s="763">
        <f>SUM(N3583:N3585)</f>
        <v>0.30668000000000001</v>
      </c>
      <c r="O3586" s="550"/>
      <c r="P3586" s="550"/>
      <c r="Q3586" s="1065"/>
      <c r="R3586" s="1065"/>
    </row>
    <row r="3587" spans="1:19" s="497" customFormat="1" ht="17.399999999999999">
      <c r="A3587" s="550"/>
      <c r="B3587" s="550"/>
      <c r="C3587" s="550"/>
      <c r="D3587" s="550"/>
      <c r="E3587" s="550"/>
      <c r="F3587" s="548"/>
      <c r="G3587" s="550"/>
      <c r="H3587" s="550"/>
      <c r="I3587" s="1865"/>
      <c r="J3587" s="550"/>
      <c r="K3587" s="770"/>
      <c r="L3587" s="763"/>
      <c r="M3587" s="550"/>
      <c r="N3587" s="550"/>
      <c r="O3587" s="550"/>
      <c r="P3587" s="550"/>
      <c r="Q3587" s="1065"/>
      <c r="R3587" s="1065"/>
    </row>
    <row r="3588" spans="1:19" ht="17.399999999999999">
      <c r="A3588" s="550"/>
      <c r="B3588" s="550"/>
      <c r="C3588" s="550"/>
      <c r="D3588" s="550"/>
      <c r="E3588" s="550"/>
      <c r="F3588" s="548"/>
      <c r="G3588" s="550"/>
      <c r="H3588" s="550"/>
      <c r="I3588" s="1865"/>
      <c r="J3588" s="550"/>
      <c r="K3588" s="772"/>
      <c r="L3588" s="548"/>
      <c r="M3588" s="550"/>
      <c r="N3588" s="550"/>
      <c r="O3588" s="550"/>
      <c r="P3588" s="550"/>
      <c r="Q3588" s="1065"/>
      <c r="R3588" s="1065"/>
    </row>
    <row r="3589" spans="1:19" ht="17.399999999999999">
      <c r="A3589" s="547" t="s">
        <v>174</v>
      </c>
      <c r="B3589" s="547" t="s">
        <v>408</v>
      </c>
      <c r="C3589" s="547" t="s">
        <v>19</v>
      </c>
      <c r="D3589" s="547" t="s">
        <v>20</v>
      </c>
      <c r="E3589" s="547" t="s">
        <v>47</v>
      </c>
      <c r="F3589" s="548">
        <v>11</v>
      </c>
      <c r="G3589" s="550" t="s">
        <v>21</v>
      </c>
      <c r="H3589" s="599" t="s">
        <v>53</v>
      </c>
      <c r="I3589" s="551">
        <v>8.3000000000000007</v>
      </c>
      <c r="J3589" s="765">
        <v>10</v>
      </c>
      <c r="K3589" s="766">
        <v>80</v>
      </c>
      <c r="L3589" s="725">
        <f>(I3589*J3589*K3589/1000)</f>
        <v>6.64</v>
      </c>
      <c r="M3589" s="550"/>
      <c r="N3589" s="550"/>
      <c r="O3589" s="550"/>
      <c r="P3589" s="550"/>
      <c r="Q3589" s="1065"/>
      <c r="R3589" s="1065"/>
      <c r="S3589" s="497" t="s">
        <v>505</v>
      </c>
    </row>
    <row r="3590" spans="1:19" ht="17.399999999999999">
      <c r="A3590" s="550"/>
      <c r="B3590" s="550" t="s">
        <v>334</v>
      </c>
      <c r="C3590" s="550"/>
      <c r="D3590" s="550"/>
      <c r="E3590" s="550"/>
      <c r="F3590" s="548"/>
      <c r="G3590" s="550" t="s">
        <v>21</v>
      </c>
      <c r="H3590" s="550" t="s">
        <v>53</v>
      </c>
      <c r="I3590" s="551">
        <v>8.3000000000000007</v>
      </c>
      <c r="J3590" s="765">
        <v>11</v>
      </c>
      <c r="K3590" s="766">
        <v>123</v>
      </c>
      <c r="L3590" s="725">
        <f>(I3590*J3590*K3590/1000)</f>
        <v>11.229900000000001</v>
      </c>
      <c r="M3590" s="550"/>
      <c r="N3590" s="550"/>
      <c r="O3590" s="550"/>
      <c r="P3590" s="550"/>
      <c r="Q3590" s="1065"/>
      <c r="R3590" s="1065"/>
    </row>
    <row r="3591" spans="1:19" ht="17.399999999999999">
      <c r="A3591" s="550"/>
      <c r="B3591" s="550"/>
      <c r="C3591" s="550"/>
      <c r="D3591" s="550"/>
      <c r="E3591" s="550"/>
      <c r="F3591" s="548"/>
      <c r="G3591" s="550" t="s">
        <v>21</v>
      </c>
      <c r="H3591" s="550" t="s">
        <v>53</v>
      </c>
      <c r="I3591" s="551">
        <v>8.3000000000000007</v>
      </c>
      <c r="J3591" s="765">
        <v>11.5</v>
      </c>
      <c r="K3591" s="766">
        <v>87</v>
      </c>
      <c r="L3591" s="725">
        <f>(I3591*J3591*K3591/1000)</f>
        <v>8.3041499999999999</v>
      </c>
      <c r="M3591" s="550"/>
      <c r="N3591" s="550"/>
      <c r="O3591" s="550"/>
      <c r="P3591" s="550"/>
      <c r="Q3591" s="1065"/>
      <c r="R3591" s="1065"/>
    </row>
    <row r="3592" spans="1:19" ht="17.399999999999999">
      <c r="A3592" s="550"/>
      <c r="B3592" s="550"/>
      <c r="C3592" s="550"/>
      <c r="D3592" s="550"/>
      <c r="E3592" s="550"/>
      <c r="F3592" s="548"/>
      <c r="G3592" s="550"/>
      <c r="H3592" s="768"/>
      <c r="I3592" s="551"/>
      <c r="J3592" s="765"/>
      <c r="K3592" s="766">
        <f t="shared" ref="K3592" si="654">SUM(K3589:K3591)</f>
        <v>290</v>
      </c>
      <c r="L3592" s="763">
        <f>SUM(L3589:L3591)</f>
        <v>26.174050000000001</v>
      </c>
      <c r="M3592" s="550"/>
      <c r="N3592" s="550"/>
      <c r="O3592" s="550"/>
      <c r="P3592" s="550"/>
      <c r="Q3592" s="1065"/>
      <c r="R3592" s="1065"/>
    </row>
    <row r="3593" spans="1:19" s="497" customFormat="1" ht="17.399999999999999">
      <c r="A3593" s="550"/>
      <c r="B3593" s="550"/>
      <c r="C3593" s="550"/>
      <c r="D3593" s="550"/>
      <c r="E3593" s="550"/>
      <c r="F3593" s="548"/>
      <c r="G3593" s="550"/>
      <c r="H3593" s="768"/>
      <c r="I3593" s="551"/>
      <c r="J3593" s="765"/>
      <c r="K3593" s="766"/>
      <c r="L3593" s="763"/>
      <c r="M3593" s="550"/>
      <c r="N3593" s="550"/>
      <c r="O3593" s="550"/>
      <c r="P3593" s="550"/>
      <c r="Q3593" s="1065"/>
      <c r="R3593" s="1065"/>
    </row>
    <row r="3594" spans="1:19" s="497" customFormat="1" ht="17.399999999999999">
      <c r="A3594" s="547" t="s">
        <v>411</v>
      </c>
      <c r="B3594" s="780" t="s">
        <v>410</v>
      </c>
      <c r="C3594" s="547" t="s">
        <v>19</v>
      </c>
      <c r="D3594" s="547" t="s">
        <v>20</v>
      </c>
      <c r="E3594" s="547" t="s">
        <v>47</v>
      </c>
      <c r="F3594" s="548">
        <v>11</v>
      </c>
      <c r="G3594" s="550" t="s">
        <v>21</v>
      </c>
      <c r="H3594" s="828" t="s">
        <v>53</v>
      </c>
      <c r="I3594" s="773">
        <v>8.3000000000000007</v>
      </c>
      <c r="J3594" s="774">
        <v>10</v>
      </c>
      <c r="K3594" s="775">
        <v>7</v>
      </c>
      <c r="L3594" s="552">
        <f>(I3594*J3594*K3594/1000)</f>
        <v>0.58099999999999996</v>
      </c>
      <c r="M3594" s="548"/>
      <c r="N3594" s="709"/>
      <c r="O3594" s="550"/>
      <c r="P3594" s="550"/>
      <c r="Q3594" s="1065"/>
      <c r="R3594" s="1065"/>
    </row>
    <row r="3595" spans="1:19" s="497" customFormat="1" ht="17.399999999999999">
      <c r="A3595" s="550"/>
      <c r="B3595" s="781" t="s">
        <v>412</v>
      </c>
      <c r="C3595" s="550"/>
      <c r="D3595" s="550"/>
      <c r="E3595" s="550"/>
      <c r="F3595" s="548"/>
      <c r="G3595" s="550" t="s">
        <v>21</v>
      </c>
      <c r="H3595" s="550" t="s">
        <v>53</v>
      </c>
      <c r="I3595" s="773">
        <v>8.3000000000000007</v>
      </c>
      <c r="J3595" s="774">
        <v>10.35</v>
      </c>
      <c r="K3595" s="775">
        <v>16</v>
      </c>
      <c r="L3595" s="552">
        <f>(I3595*J3595*K3595/1000)</f>
        <v>1.3744799999999999</v>
      </c>
      <c r="M3595" s="548"/>
      <c r="N3595" s="709"/>
      <c r="O3595" s="550"/>
      <c r="P3595" s="550"/>
      <c r="Q3595" s="1065"/>
      <c r="R3595" s="1065"/>
    </row>
    <row r="3596" spans="1:19" s="497" customFormat="1" ht="17.399999999999999">
      <c r="A3596" s="550"/>
      <c r="B3596" s="550"/>
      <c r="C3596" s="550"/>
      <c r="D3596" s="550"/>
      <c r="E3596" s="550"/>
      <c r="F3596" s="548"/>
      <c r="G3596" s="550"/>
      <c r="H3596" s="550"/>
      <c r="I3596" s="773"/>
      <c r="J3596" s="774"/>
      <c r="K3596" s="775">
        <f t="shared" ref="K3596" si="655">SUM(K3594:K3595)</f>
        <v>23</v>
      </c>
      <c r="L3596" s="552">
        <f>SUM(L3594:L3595)</f>
        <v>1.9554799999999999</v>
      </c>
      <c r="M3596" s="548"/>
      <c r="N3596" s="709"/>
      <c r="O3596" s="550"/>
      <c r="P3596" s="550"/>
      <c r="Q3596" s="1065"/>
      <c r="R3596" s="1065"/>
    </row>
    <row r="3597" spans="1:19" s="497" customFormat="1" ht="17.399999999999999">
      <c r="A3597" s="550"/>
      <c r="B3597" s="550"/>
      <c r="C3597" s="550"/>
      <c r="D3597" s="550"/>
      <c r="E3597" s="550"/>
      <c r="F3597" s="548"/>
      <c r="G3597" s="550"/>
      <c r="H3597" s="550"/>
      <c r="I3597" s="773"/>
      <c r="J3597" s="774"/>
      <c r="K3597" s="776"/>
      <c r="L3597" s="552"/>
      <c r="M3597" s="548"/>
      <c r="N3597" s="709"/>
      <c r="O3597" s="550"/>
      <c r="P3597" s="550"/>
      <c r="Q3597" s="1065"/>
      <c r="R3597" s="1065"/>
    </row>
    <row r="3598" spans="1:19" ht="17.399999999999999">
      <c r="A3598" s="547" t="s">
        <v>174</v>
      </c>
      <c r="B3598" s="547" t="s">
        <v>408</v>
      </c>
      <c r="C3598" s="547" t="s">
        <v>19</v>
      </c>
      <c r="D3598" s="547" t="s">
        <v>20</v>
      </c>
      <c r="E3598" s="547" t="s">
        <v>57</v>
      </c>
      <c r="F3598" s="548">
        <v>11</v>
      </c>
      <c r="G3598" s="550" t="s">
        <v>21</v>
      </c>
      <c r="H3598" s="599" t="s">
        <v>53</v>
      </c>
      <c r="I3598" s="551">
        <v>8.3000000000000007</v>
      </c>
      <c r="J3598" s="765">
        <v>9.3000000000000007</v>
      </c>
      <c r="K3598" s="766">
        <v>20</v>
      </c>
      <c r="L3598" s="725">
        <f>(I3598*J3598*K3598/1000)</f>
        <v>1.5438000000000003</v>
      </c>
      <c r="M3598" s="550"/>
      <c r="N3598" s="550"/>
      <c r="O3598" s="550"/>
      <c r="P3598" s="550"/>
      <c r="Q3598" s="1065"/>
      <c r="R3598" s="1065"/>
      <c r="S3598" s="497" t="s">
        <v>505</v>
      </c>
    </row>
    <row r="3599" spans="1:19" ht="17.399999999999999">
      <c r="A3599" s="550"/>
      <c r="B3599" s="550" t="s">
        <v>409</v>
      </c>
      <c r="C3599" s="550"/>
      <c r="D3599" s="550"/>
      <c r="E3599" s="550"/>
      <c r="F3599" s="548"/>
      <c r="G3599" s="550" t="s">
        <v>21</v>
      </c>
      <c r="H3599" s="550" t="s">
        <v>53</v>
      </c>
      <c r="I3599" s="551">
        <v>8.3000000000000007</v>
      </c>
      <c r="J3599" s="765">
        <v>11</v>
      </c>
      <c r="K3599" s="766">
        <v>4</v>
      </c>
      <c r="L3599" s="725">
        <f>(I3599*J3599*K3599/1000)</f>
        <v>0.36520000000000002</v>
      </c>
      <c r="M3599" s="550"/>
      <c r="N3599" s="550"/>
      <c r="O3599" s="550"/>
      <c r="P3599" s="550"/>
      <c r="Q3599" s="1065"/>
      <c r="R3599" s="1065"/>
    </row>
    <row r="3600" spans="1:19" ht="17.399999999999999">
      <c r="A3600" s="550"/>
      <c r="B3600" s="550"/>
      <c r="C3600" s="550"/>
      <c r="D3600" s="550"/>
      <c r="E3600" s="550"/>
      <c r="F3600" s="548"/>
      <c r="G3600" s="550" t="s">
        <v>21</v>
      </c>
      <c r="H3600" s="550" t="s">
        <v>53</v>
      </c>
      <c r="I3600" s="551">
        <v>8.3000000000000007</v>
      </c>
      <c r="J3600" s="765">
        <v>11</v>
      </c>
      <c r="K3600" s="766">
        <v>8</v>
      </c>
      <c r="L3600" s="725">
        <f>(I3600*J3600*K3600/1000)</f>
        <v>0.73040000000000005</v>
      </c>
      <c r="M3600" s="550"/>
      <c r="N3600" s="550"/>
      <c r="O3600" s="550"/>
      <c r="P3600" s="550"/>
      <c r="Q3600" s="1065"/>
      <c r="R3600" s="1065"/>
    </row>
    <row r="3601" spans="1:19" ht="17.399999999999999">
      <c r="A3601" s="550"/>
      <c r="B3601" s="550"/>
      <c r="C3601" s="550"/>
      <c r="D3601" s="550"/>
      <c r="E3601" s="550"/>
      <c r="F3601" s="548"/>
      <c r="G3601" s="550"/>
      <c r="H3601" s="768"/>
      <c r="I3601" s="551"/>
      <c r="J3601" s="765"/>
      <c r="K3601" s="766">
        <f>SUM(K3598:K3600)</f>
        <v>32</v>
      </c>
      <c r="L3601" s="763">
        <f>SUM(L3598:L3600)</f>
        <v>2.6394000000000002</v>
      </c>
      <c r="M3601" s="550"/>
      <c r="N3601" s="550"/>
      <c r="O3601" s="550"/>
      <c r="P3601" s="550"/>
      <c r="Q3601" s="1065"/>
      <c r="R3601" s="1065"/>
    </row>
    <row r="3602" spans="1:19" ht="17.399999999999999">
      <c r="A3602" s="550"/>
      <c r="B3602" s="550"/>
      <c r="C3602" s="550"/>
      <c r="D3602" s="550"/>
      <c r="E3602" s="550"/>
      <c r="F3602" s="548"/>
      <c r="G3602" s="550"/>
      <c r="H3602" s="550"/>
      <c r="I3602" s="1865"/>
      <c r="J3602" s="550"/>
      <c r="K3602" s="770">
        <f>SUM(K3589:K3601)/2</f>
        <v>345</v>
      </c>
      <c r="L3602" s="763">
        <f>SUM(L3589:L3601)/2</f>
        <v>30.768930000000005</v>
      </c>
      <c r="M3602" s="770">
        <f>SUM(M3589:M3601)/2</f>
        <v>0</v>
      </c>
      <c r="N3602" s="763">
        <f>SUM(N3589:N3601)/2</f>
        <v>0</v>
      </c>
      <c r="O3602" s="550"/>
      <c r="P3602" s="550"/>
      <c r="Q3602" s="1065"/>
      <c r="R3602" s="1065"/>
    </row>
    <row r="3603" spans="1:19" s="497" customFormat="1" ht="17.399999999999999">
      <c r="A3603" s="550"/>
      <c r="B3603" s="550"/>
      <c r="C3603" s="550"/>
      <c r="D3603" s="550"/>
      <c r="E3603" s="550"/>
      <c r="F3603" s="548"/>
      <c r="G3603" s="550"/>
      <c r="H3603" s="550"/>
      <c r="I3603" s="1865"/>
      <c r="J3603" s="550"/>
      <c r="K3603" s="770"/>
      <c r="L3603" s="763"/>
      <c r="M3603" s="550"/>
      <c r="N3603" s="550"/>
      <c r="O3603" s="550"/>
      <c r="P3603" s="550"/>
      <c r="Q3603" s="1065"/>
      <c r="R3603" s="1065"/>
    </row>
    <row r="3604" spans="1:19" s="497" customFormat="1" ht="17.399999999999999">
      <c r="A3604" s="547" t="s">
        <v>411</v>
      </c>
      <c r="B3604" s="547" t="s">
        <v>341</v>
      </c>
      <c r="C3604" s="547" t="s">
        <v>19</v>
      </c>
      <c r="D3604" s="547" t="s">
        <v>20</v>
      </c>
      <c r="E3604" s="780" t="s">
        <v>420</v>
      </c>
      <c r="F3604" s="548">
        <v>11</v>
      </c>
      <c r="G3604" s="550" t="s">
        <v>21</v>
      </c>
      <c r="H3604" s="829" t="s">
        <v>53</v>
      </c>
      <c r="I3604" s="551">
        <v>8.3000000000000007</v>
      </c>
      <c r="J3604" s="777">
        <v>9.5</v>
      </c>
      <c r="K3604" s="778">
        <v>56</v>
      </c>
      <c r="L3604" s="725">
        <f t="shared" ref="L3604:L3609" si="656">(I3604*J3604*K3604/1000)</f>
        <v>4.4156000000000004</v>
      </c>
      <c r="M3604" s="550"/>
      <c r="N3604" s="550"/>
      <c r="O3604" s="550"/>
      <c r="P3604" s="550"/>
      <c r="Q3604" s="1065"/>
      <c r="R3604" s="1065"/>
      <c r="S3604" s="497" t="s">
        <v>506</v>
      </c>
    </row>
    <row r="3605" spans="1:19" s="497" customFormat="1" ht="17.399999999999999">
      <c r="A3605" s="550"/>
      <c r="B3605" s="779" t="s">
        <v>52</v>
      </c>
      <c r="C3605" s="550"/>
      <c r="D3605" s="550"/>
      <c r="E3605" s="550"/>
      <c r="F3605" s="548"/>
      <c r="G3605" s="550" t="s">
        <v>21</v>
      </c>
      <c r="H3605" s="550" t="s">
        <v>53</v>
      </c>
      <c r="I3605" s="551">
        <v>8.3000000000000007</v>
      </c>
      <c r="J3605" s="777">
        <v>10</v>
      </c>
      <c r="K3605" s="778">
        <v>20</v>
      </c>
      <c r="L3605" s="725">
        <f t="shared" si="656"/>
        <v>1.66</v>
      </c>
      <c r="M3605" s="550">
        <v>1</v>
      </c>
      <c r="N3605" s="763">
        <f t="shared" ref="N3605:N3609" si="657">J3605*M3605*I3605/1000</f>
        <v>8.3000000000000004E-2</v>
      </c>
      <c r="O3605" s="550"/>
      <c r="P3605" s="550"/>
      <c r="Q3605" s="1065"/>
      <c r="R3605" s="1065"/>
    </row>
    <row r="3606" spans="1:19" s="497" customFormat="1" ht="17.399999999999999">
      <c r="A3606" s="550"/>
      <c r="B3606" s="550"/>
      <c r="C3606" s="550"/>
      <c r="D3606" s="550"/>
      <c r="E3606" s="550"/>
      <c r="F3606" s="548"/>
      <c r="G3606" s="550" t="s">
        <v>21</v>
      </c>
      <c r="H3606" s="550" t="s">
        <v>53</v>
      </c>
      <c r="I3606" s="551">
        <v>8.3000000000000007</v>
      </c>
      <c r="J3606" s="777">
        <v>10.5</v>
      </c>
      <c r="K3606" s="778">
        <v>18</v>
      </c>
      <c r="L3606" s="725">
        <f t="shared" si="656"/>
        <v>1.5687</v>
      </c>
      <c r="M3606" s="550"/>
      <c r="N3606" s="763">
        <f t="shared" si="657"/>
        <v>0</v>
      </c>
      <c r="O3606" s="550"/>
      <c r="P3606" s="550"/>
      <c r="Q3606" s="1065"/>
      <c r="R3606" s="1065"/>
    </row>
    <row r="3607" spans="1:19" s="497" customFormat="1" ht="17.399999999999999">
      <c r="A3607" s="550"/>
      <c r="B3607" s="550"/>
      <c r="C3607" s="550"/>
      <c r="D3607" s="550"/>
      <c r="E3607" s="550"/>
      <c r="F3607" s="548"/>
      <c r="G3607" s="550" t="s">
        <v>21</v>
      </c>
      <c r="H3607" s="550" t="s">
        <v>53</v>
      </c>
      <c r="I3607" s="551">
        <v>8.3000000000000007</v>
      </c>
      <c r="J3607" s="777">
        <v>11</v>
      </c>
      <c r="K3607" s="778">
        <v>33</v>
      </c>
      <c r="L3607" s="725">
        <f t="shared" si="656"/>
        <v>3.0129000000000006</v>
      </c>
      <c r="M3607" s="550"/>
      <c r="N3607" s="763">
        <f t="shared" si="657"/>
        <v>0</v>
      </c>
      <c r="O3607" s="550"/>
      <c r="P3607" s="550"/>
      <c r="Q3607" s="1065"/>
      <c r="R3607" s="1065"/>
    </row>
    <row r="3608" spans="1:19" s="497" customFormat="1" ht="17.399999999999999">
      <c r="A3608" s="550"/>
      <c r="B3608" s="550"/>
      <c r="C3608" s="550"/>
      <c r="D3608" s="550"/>
      <c r="E3608" s="550"/>
      <c r="F3608" s="548"/>
      <c r="G3608" s="550" t="s">
        <v>21</v>
      </c>
      <c r="H3608" s="550" t="s">
        <v>53</v>
      </c>
      <c r="I3608" s="551">
        <v>8.3000000000000007</v>
      </c>
      <c r="J3608" s="777">
        <v>11.3</v>
      </c>
      <c r="K3608" s="778">
        <v>15</v>
      </c>
      <c r="L3608" s="725">
        <f t="shared" si="656"/>
        <v>1.4068500000000004</v>
      </c>
      <c r="M3608" s="550">
        <v>5</v>
      </c>
      <c r="N3608" s="763">
        <f t="shared" si="657"/>
        <v>0.46895000000000003</v>
      </c>
      <c r="O3608" s="550"/>
      <c r="P3608" s="550"/>
      <c r="Q3608" s="1065"/>
      <c r="R3608" s="1065"/>
    </row>
    <row r="3609" spans="1:19" s="497" customFormat="1" ht="17.399999999999999">
      <c r="A3609" s="550"/>
      <c r="B3609" s="550"/>
      <c r="C3609" s="550"/>
      <c r="D3609" s="550"/>
      <c r="E3609" s="550"/>
      <c r="F3609" s="548"/>
      <c r="G3609" s="550" t="s">
        <v>21</v>
      </c>
      <c r="H3609" s="550" t="s">
        <v>53</v>
      </c>
      <c r="I3609" s="551">
        <v>8.3000000000000007</v>
      </c>
      <c r="J3609" s="777">
        <v>12</v>
      </c>
      <c r="K3609" s="778">
        <v>46</v>
      </c>
      <c r="L3609" s="725">
        <f t="shared" si="656"/>
        <v>4.5816000000000008</v>
      </c>
      <c r="M3609" s="550"/>
      <c r="N3609" s="763">
        <f t="shared" si="657"/>
        <v>0</v>
      </c>
      <c r="O3609" s="550"/>
      <c r="P3609" s="550"/>
      <c r="Q3609" s="1065"/>
      <c r="R3609" s="1065"/>
    </row>
    <row r="3610" spans="1:19" s="497" customFormat="1" ht="17.399999999999999">
      <c r="A3610" s="550"/>
      <c r="B3610" s="550"/>
      <c r="C3610" s="550"/>
      <c r="D3610" s="550"/>
      <c r="E3610" s="550"/>
      <c r="F3610" s="548"/>
      <c r="G3610" s="550"/>
      <c r="H3610" s="550"/>
      <c r="I3610" s="1865"/>
      <c r="J3610" s="550"/>
      <c r="K3610" s="770">
        <f t="shared" ref="K3610" si="658">SUM(K3604:K3609)</f>
        <v>188</v>
      </c>
      <c r="L3610" s="763">
        <f>SUM(L3604:L3609)</f>
        <v>16.645650000000003</v>
      </c>
      <c r="M3610" s="770">
        <f t="shared" ref="M3610" si="659">SUM(M3604:M3609)</f>
        <v>6</v>
      </c>
      <c r="N3610" s="763">
        <f>SUM(N3604:N3609)</f>
        <v>0.55195000000000005</v>
      </c>
      <c r="O3610" s="550"/>
      <c r="P3610" s="550"/>
      <c r="Q3610" s="1065"/>
      <c r="R3610" s="1065"/>
    </row>
    <row r="3611" spans="1:19" s="497" customFormat="1" ht="17.399999999999999">
      <c r="A3611" s="550"/>
      <c r="B3611" s="550"/>
      <c r="C3611" s="550"/>
      <c r="D3611" s="550"/>
      <c r="E3611" s="550"/>
      <c r="F3611" s="548"/>
      <c r="G3611" s="550"/>
      <c r="H3611" s="550"/>
      <c r="I3611" s="1865"/>
      <c r="J3611" s="550"/>
      <c r="K3611" s="770"/>
      <c r="L3611" s="763"/>
      <c r="M3611" s="550"/>
      <c r="N3611" s="550"/>
      <c r="O3611" s="550"/>
      <c r="P3611" s="550"/>
      <c r="Q3611" s="1065"/>
      <c r="R3611" s="1065"/>
    </row>
    <row r="3612" spans="1:19" s="497" customFormat="1" ht="17.399999999999999">
      <c r="A3612" s="550"/>
      <c r="B3612" s="550"/>
      <c r="C3612" s="550"/>
      <c r="D3612" s="550"/>
      <c r="E3612" s="550"/>
      <c r="F3612" s="548"/>
      <c r="G3612" s="550"/>
      <c r="H3612" s="550"/>
      <c r="I3612" s="1865"/>
      <c r="J3612" s="550"/>
      <c r="K3612" s="770"/>
      <c r="L3612" s="763"/>
      <c r="M3612" s="550"/>
      <c r="N3612" s="550"/>
      <c r="O3612" s="550"/>
      <c r="P3612" s="550"/>
      <c r="Q3612" s="1065"/>
      <c r="R3612" s="1065"/>
    </row>
    <row r="3613" spans="1:19" ht="17.399999999999999">
      <c r="A3613" s="547" t="s">
        <v>174</v>
      </c>
      <c r="B3613" s="547" t="s">
        <v>408</v>
      </c>
      <c r="C3613" s="547" t="s">
        <v>19</v>
      </c>
      <c r="D3613" s="547" t="s">
        <v>20</v>
      </c>
      <c r="E3613" s="547" t="s">
        <v>47</v>
      </c>
      <c r="F3613" s="548">
        <v>11</v>
      </c>
      <c r="G3613" s="550" t="s">
        <v>21</v>
      </c>
      <c r="H3613" s="829" t="s">
        <v>54</v>
      </c>
      <c r="I3613" s="551">
        <v>9.61</v>
      </c>
      <c r="J3613" s="765">
        <v>9.1999999999999993</v>
      </c>
      <c r="K3613" s="766">
        <v>72</v>
      </c>
      <c r="L3613" s="725">
        <f t="shared" ref="L3613:L3614" si="660">(I3613*J3613*K3613/1000)</f>
        <v>6.3656639999999998</v>
      </c>
      <c r="M3613" s="550">
        <v>3</v>
      </c>
      <c r="N3613" s="763">
        <f t="shared" ref="N3613:N3614" si="661">J3613*M3613*I3613/1000</f>
        <v>0.26523599999999997</v>
      </c>
      <c r="O3613" s="550"/>
      <c r="P3613" s="550"/>
      <c r="Q3613" s="1065"/>
      <c r="R3613" s="1065"/>
      <c r="S3613" s="497" t="s">
        <v>506</v>
      </c>
    </row>
    <row r="3614" spans="1:19" ht="17.399999999999999">
      <c r="A3614" s="550"/>
      <c r="B3614" s="550" t="s">
        <v>334</v>
      </c>
      <c r="C3614" s="550"/>
      <c r="D3614" s="550"/>
      <c r="E3614" s="550"/>
      <c r="F3614" s="548"/>
      <c r="G3614" s="550" t="s">
        <v>21</v>
      </c>
      <c r="H3614" s="550" t="s">
        <v>54</v>
      </c>
      <c r="I3614" s="551">
        <v>9.61</v>
      </c>
      <c r="J3614" s="765">
        <v>11.5</v>
      </c>
      <c r="K3614" s="766">
        <v>84</v>
      </c>
      <c r="L3614" s="725">
        <f t="shared" si="660"/>
        <v>9.2832599999999985</v>
      </c>
      <c r="M3614" s="550">
        <v>1</v>
      </c>
      <c r="N3614" s="763">
        <f t="shared" si="661"/>
        <v>0.11051499999999999</v>
      </c>
      <c r="O3614" s="550"/>
      <c r="P3614" s="550"/>
      <c r="Q3614" s="1065"/>
      <c r="R3614" s="1065"/>
    </row>
    <row r="3615" spans="1:19" ht="17.399999999999999">
      <c r="A3615" s="550"/>
      <c r="B3615" s="550"/>
      <c r="C3615" s="550"/>
      <c r="D3615" s="550"/>
      <c r="E3615" s="550"/>
      <c r="F3615" s="548"/>
      <c r="G3615" s="550"/>
      <c r="H3615" s="768"/>
      <c r="I3615" s="551"/>
      <c r="J3615" s="765"/>
      <c r="K3615" s="766">
        <f t="shared" ref="K3615:N3615" si="662">SUM(K3613:K3614)</f>
        <v>156</v>
      </c>
      <c r="L3615" s="763">
        <f t="shared" si="662"/>
        <v>15.648923999999997</v>
      </c>
      <c r="M3615" s="766">
        <f t="shared" si="662"/>
        <v>4</v>
      </c>
      <c r="N3615" s="763">
        <f t="shared" si="662"/>
        <v>0.37575099999999995</v>
      </c>
      <c r="O3615" s="550"/>
      <c r="P3615" s="550"/>
      <c r="Q3615" s="1065"/>
      <c r="R3615" s="1065"/>
    </row>
    <row r="3616" spans="1:19" s="497" customFormat="1" ht="17.399999999999999">
      <c r="A3616" s="550"/>
      <c r="B3616" s="550"/>
      <c r="C3616" s="550"/>
      <c r="D3616" s="550"/>
      <c r="E3616" s="550"/>
      <c r="F3616" s="548"/>
      <c r="G3616" s="550"/>
      <c r="H3616" s="768"/>
      <c r="I3616" s="551"/>
      <c r="J3616" s="765"/>
      <c r="K3616" s="766"/>
      <c r="L3616" s="763"/>
      <c r="M3616" s="550"/>
      <c r="N3616" s="550"/>
      <c r="O3616" s="550"/>
      <c r="P3616" s="550"/>
      <c r="Q3616" s="1065"/>
      <c r="R3616" s="1065"/>
    </row>
    <row r="3617" spans="1:19" s="497" customFormat="1" ht="17.399999999999999">
      <c r="A3617" s="547" t="s">
        <v>411</v>
      </c>
      <c r="B3617" s="547" t="s">
        <v>341</v>
      </c>
      <c r="C3617" s="547" t="s">
        <v>19</v>
      </c>
      <c r="D3617" s="547" t="s">
        <v>20</v>
      </c>
      <c r="E3617" s="547" t="s">
        <v>175</v>
      </c>
      <c r="F3617" s="548">
        <v>11</v>
      </c>
      <c r="G3617" s="550" t="s">
        <v>21</v>
      </c>
      <c r="H3617" s="829" t="s">
        <v>54</v>
      </c>
      <c r="I3617" s="551">
        <v>9.61</v>
      </c>
      <c r="J3617" s="777">
        <v>7.3</v>
      </c>
      <c r="K3617" s="778">
        <v>4</v>
      </c>
      <c r="L3617" s="725">
        <f t="shared" ref="L3617:L3621" si="663">(I3617*J3617*K3617/1000)</f>
        <v>0.28061199999999997</v>
      </c>
      <c r="M3617" s="550">
        <v>4</v>
      </c>
      <c r="N3617" s="763">
        <f t="shared" ref="N3617:N3621" si="664">J3617*M3617*I3617/1000</f>
        <v>0.28061199999999997</v>
      </c>
      <c r="O3617" s="777"/>
      <c r="P3617" s="550"/>
      <c r="Q3617" s="1065"/>
      <c r="R3617" s="1065"/>
      <c r="S3617" s="497" t="s">
        <v>506</v>
      </c>
    </row>
    <row r="3618" spans="1:19" s="497" customFormat="1" ht="17.399999999999999">
      <c r="A3618" s="550"/>
      <c r="B3618" s="779" t="s">
        <v>421</v>
      </c>
      <c r="C3618" s="550"/>
      <c r="D3618" s="550"/>
      <c r="E3618" s="550"/>
      <c r="F3618" s="548"/>
      <c r="G3618" s="550" t="s">
        <v>21</v>
      </c>
      <c r="H3618" s="550" t="s">
        <v>54</v>
      </c>
      <c r="I3618" s="551">
        <v>9.61</v>
      </c>
      <c r="J3618" s="777">
        <v>10</v>
      </c>
      <c r="K3618" s="778">
        <v>1</v>
      </c>
      <c r="L3618" s="725">
        <f t="shared" si="663"/>
        <v>9.6099999999999991E-2</v>
      </c>
      <c r="M3618" s="550">
        <v>1</v>
      </c>
      <c r="N3618" s="763">
        <f t="shared" si="664"/>
        <v>9.6099999999999991E-2</v>
      </c>
      <c r="O3618" s="777"/>
      <c r="P3618" s="550"/>
      <c r="Q3618" s="1065"/>
      <c r="R3618" s="1065"/>
    </row>
    <row r="3619" spans="1:19" s="497" customFormat="1" ht="17.399999999999999">
      <c r="A3619" s="550"/>
      <c r="B3619" s="550"/>
      <c r="C3619" s="550"/>
      <c r="D3619" s="550"/>
      <c r="E3619" s="550"/>
      <c r="F3619" s="548"/>
      <c r="G3619" s="550" t="s">
        <v>21</v>
      </c>
      <c r="H3619" s="550" t="s">
        <v>54</v>
      </c>
      <c r="I3619" s="551">
        <v>9.61</v>
      </c>
      <c r="J3619" s="777">
        <v>11</v>
      </c>
      <c r="K3619" s="778">
        <v>12</v>
      </c>
      <c r="L3619" s="725">
        <f t="shared" si="663"/>
        <v>1.2685200000000001</v>
      </c>
      <c r="M3619" s="550">
        <v>1</v>
      </c>
      <c r="N3619" s="763">
        <f t="shared" si="664"/>
        <v>0.10571</v>
      </c>
      <c r="O3619" s="550"/>
      <c r="P3619" s="550"/>
      <c r="Q3619" s="1065"/>
      <c r="R3619" s="1065"/>
    </row>
    <row r="3620" spans="1:19" s="497" customFormat="1" ht="17.399999999999999">
      <c r="A3620" s="550"/>
      <c r="B3620" s="550"/>
      <c r="C3620" s="550"/>
      <c r="D3620" s="550"/>
      <c r="E3620" s="550"/>
      <c r="F3620" s="548"/>
      <c r="G3620" s="550" t="s">
        <v>21</v>
      </c>
      <c r="H3620" s="550" t="s">
        <v>54</v>
      </c>
      <c r="I3620" s="551">
        <v>9.61</v>
      </c>
      <c r="J3620" s="777">
        <v>11.5</v>
      </c>
      <c r="K3620" s="778">
        <v>32</v>
      </c>
      <c r="L3620" s="725">
        <f t="shared" si="663"/>
        <v>3.5364799999999996</v>
      </c>
      <c r="M3620" s="550">
        <v>1</v>
      </c>
      <c r="N3620" s="763">
        <f t="shared" si="664"/>
        <v>0.11051499999999999</v>
      </c>
      <c r="O3620" s="550"/>
      <c r="P3620" s="550"/>
      <c r="Q3620" s="1065"/>
      <c r="R3620" s="1065"/>
    </row>
    <row r="3621" spans="1:19" s="497" customFormat="1" ht="17.399999999999999">
      <c r="A3621" s="550"/>
      <c r="B3621" s="550"/>
      <c r="C3621" s="550"/>
      <c r="D3621" s="550"/>
      <c r="E3621" s="550"/>
      <c r="F3621" s="548"/>
      <c r="G3621" s="550" t="s">
        <v>21</v>
      </c>
      <c r="H3621" s="550" t="s">
        <v>54</v>
      </c>
      <c r="I3621" s="551">
        <v>9.61</v>
      </c>
      <c r="J3621" s="777">
        <v>12</v>
      </c>
      <c r="K3621" s="778">
        <v>4</v>
      </c>
      <c r="L3621" s="725">
        <f t="shared" si="663"/>
        <v>0.46127999999999997</v>
      </c>
      <c r="M3621" s="550">
        <v>1</v>
      </c>
      <c r="N3621" s="763">
        <f t="shared" si="664"/>
        <v>0.11531999999999999</v>
      </c>
      <c r="O3621" s="550"/>
      <c r="P3621" s="550"/>
      <c r="Q3621" s="1065"/>
      <c r="R3621" s="1065"/>
    </row>
    <row r="3622" spans="1:19" s="497" customFormat="1" ht="17.399999999999999">
      <c r="A3622" s="550"/>
      <c r="B3622" s="550"/>
      <c r="C3622" s="550"/>
      <c r="D3622" s="550"/>
      <c r="E3622" s="550"/>
      <c r="F3622" s="548"/>
      <c r="G3622" s="550"/>
      <c r="H3622" s="550"/>
      <c r="I3622" s="1865"/>
      <c r="J3622" s="550"/>
      <c r="K3622" s="770">
        <f>SUM(K3617:K3621)</f>
        <v>53</v>
      </c>
      <c r="L3622" s="763">
        <f>SUM(L3617:L3621)</f>
        <v>5.6429919999999996</v>
      </c>
      <c r="M3622" s="770">
        <f>SUM(M3617:M3621)</f>
        <v>8</v>
      </c>
      <c r="N3622" s="763">
        <f>SUM(N3617:N3621)</f>
        <v>0.70825699999999991</v>
      </c>
      <c r="O3622" s="550"/>
      <c r="P3622" s="550"/>
      <c r="Q3622" s="1065"/>
      <c r="R3622" s="1065"/>
    </row>
    <row r="3623" spans="1:19" s="497" customFormat="1" ht="17.399999999999999">
      <c r="A3623" s="550"/>
      <c r="B3623" s="550"/>
      <c r="C3623" s="550"/>
      <c r="D3623" s="550"/>
      <c r="E3623" s="550"/>
      <c r="F3623" s="548"/>
      <c r="G3623" s="550"/>
      <c r="H3623" s="550"/>
      <c r="I3623" s="1865"/>
      <c r="J3623" s="550"/>
      <c r="K3623" s="770">
        <f>SUM(K3613:K3622)/2</f>
        <v>209</v>
      </c>
      <c r="L3623" s="763">
        <f>SUM(L3613:L3622)/2</f>
        <v>21.291915999999997</v>
      </c>
      <c r="M3623" s="770">
        <f>SUM(M3613:M3622)/2</f>
        <v>12</v>
      </c>
      <c r="N3623" s="763">
        <f>SUM(N3613:N3622)/2</f>
        <v>1.0840079999999999</v>
      </c>
      <c r="O3623" s="550"/>
      <c r="P3623" s="550"/>
      <c r="Q3623" s="1065"/>
      <c r="R3623" s="1065"/>
    </row>
    <row r="3624" spans="1:19" s="497" customFormat="1" ht="17.399999999999999">
      <c r="A3624" s="550"/>
      <c r="B3624" s="550"/>
      <c r="C3624" s="550"/>
      <c r="D3624" s="550"/>
      <c r="E3624" s="550"/>
      <c r="F3624" s="548"/>
      <c r="G3624" s="550"/>
      <c r="H3624" s="550"/>
      <c r="I3624" s="1865"/>
      <c r="J3624" s="550"/>
      <c r="K3624" s="770"/>
      <c r="L3624" s="763"/>
      <c r="M3624" s="550"/>
      <c r="N3624" s="550"/>
      <c r="O3624" s="550"/>
      <c r="P3624" s="550"/>
      <c r="Q3624" s="1065"/>
      <c r="R3624" s="1065"/>
    </row>
    <row r="3625" spans="1:19" s="497" customFormat="1" ht="17.399999999999999">
      <c r="A3625" s="550"/>
      <c r="B3625" s="550"/>
      <c r="C3625" s="550"/>
      <c r="D3625" s="550"/>
      <c r="E3625" s="550"/>
      <c r="F3625" s="548"/>
      <c r="G3625" s="550"/>
      <c r="H3625" s="768"/>
      <c r="I3625" s="551"/>
      <c r="J3625" s="765"/>
      <c r="K3625" s="766"/>
      <c r="L3625" s="763"/>
      <c r="M3625" s="550"/>
      <c r="N3625" s="550"/>
      <c r="O3625" s="550"/>
      <c r="P3625" s="550"/>
      <c r="Q3625" s="1065"/>
      <c r="R3625" s="1065"/>
    </row>
    <row r="3626" spans="1:19" s="497" customFormat="1" ht="17.399999999999999">
      <c r="A3626" s="547" t="s">
        <v>411</v>
      </c>
      <c r="B3626" s="547" t="s">
        <v>341</v>
      </c>
      <c r="C3626" s="547" t="s">
        <v>19</v>
      </c>
      <c r="D3626" s="547" t="s">
        <v>20</v>
      </c>
      <c r="E3626" s="755" t="s">
        <v>420</v>
      </c>
      <c r="F3626" s="548">
        <v>11</v>
      </c>
      <c r="G3626" s="550" t="s">
        <v>21</v>
      </c>
      <c r="H3626" s="829" t="s">
        <v>54</v>
      </c>
      <c r="I3626" s="551">
        <v>9.61</v>
      </c>
      <c r="J3626" s="777">
        <v>8.5</v>
      </c>
      <c r="K3626" s="778">
        <v>23</v>
      </c>
      <c r="L3626" s="552">
        <f t="shared" ref="L3626:L3631" si="665">J3626*K3626*I3626/1000</f>
        <v>1.878755</v>
      </c>
      <c r="M3626" s="550"/>
      <c r="N3626" s="550"/>
      <c r="O3626" s="550"/>
      <c r="P3626" s="550"/>
      <c r="Q3626" s="1065"/>
      <c r="R3626" s="1065"/>
      <c r="S3626" s="497" t="s">
        <v>506</v>
      </c>
    </row>
    <row r="3627" spans="1:19" s="497" customFormat="1" ht="17.399999999999999">
      <c r="A3627" s="550"/>
      <c r="B3627" s="779" t="s">
        <v>52</v>
      </c>
      <c r="C3627" s="550"/>
      <c r="D3627" s="550"/>
      <c r="E3627" s="550"/>
      <c r="F3627" s="548"/>
      <c r="G3627" s="550" t="s">
        <v>21</v>
      </c>
      <c r="H3627" s="550" t="s">
        <v>54</v>
      </c>
      <c r="I3627" s="551">
        <v>9.61</v>
      </c>
      <c r="J3627" s="777">
        <v>10</v>
      </c>
      <c r="K3627" s="778">
        <v>13</v>
      </c>
      <c r="L3627" s="552">
        <f t="shared" si="665"/>
        <v>1.2492999999999999</v>
      </c>
      <c r="M3627" s="550"/>
      <c r="N3627" s="550"/>
      <c r="O3627" s="550"/>
      <c r="P3627" s="550"/>
      <c r="Q3627" s="1065"/>
      <c r="R3627" s="1065"/>
    </row>
    <row r="3628" spans="1:19" s="497" customFormat="1" ht="17.399999999999999">
      <c r="A3628" s="550"/>
      <c r="B3628" s="550"/>
      <c r="C3628" s="550"/>
      <c r="D3628" s="550"/>
      <c r="E3628" s="550"/>
      <c r="F3628" s="548"/>
      <c r="G3628" s="550" t="s">
        <v>21</v>
      </c>
      <c r="H3628" s="550" t="s">
        <v>54</v>
      </c>
      <c r="I3628" s="551">
        <v>9.61</v>
      </c>
      <c r="J3628" s="777">
        <v>10.5</v>
      </c>
      <c r="K3628" s="778">
        <v>12</v>
      </c>
      <c r="L3628" s="552">
        <f t="shared" si="665"/>
        <v>1.2108599999999998</v>
      </c>
      <c r="M3628" s="550"/>
      <c r="N3628" s="550"/>
      <c r="O3628" s="550"/>
      <c r="P3628" s="550"/>
      <c r="Q3628" s="1065"/>
      <c r="R3628" s="1065"/>
    </row>
    <row r="3629" spans="1:19" s="497" customFormat="1" ht="17.399999999999999">
      <c r="A3629" s="550"/>
      <c r="B3629" s="550"/>
      <c r="C3629" s="550"/>
      <c r="D3629" s="550"/>
      <c r="E3629" s="550"/>
      <c r="F3629" s="548"/>
      <c r="G3629" s="550" t="s">
        <v>21</v>
      </c>
      <c r="H3629" s="550" t="s">
        <v>54</v>
      </c>
      <c r="I3629" s="551">
        <v>9.61</v>
      </c>
      <c r="J3629" s="777">
        <v>11.5</v>
      </c>
      <c r="K3629" s="778">
        <v>2</v>
      </c>
      <c r="L3629" s="552">
        <f t="shared" si="665"/>
        <v>0.22102999999999998</v>
      </c>
      <c r="M3629" s="550"/>
      <c r="N3629" s="550"/>
      <c r="O3629" s="777">
        <v>11</v>
      </c>
      <c r="P3629" s="550"/>
      <c r="Q3629" s="1065"/>
      <c r="R3629" s="1065"/>
    </row>
    <row r="3630" spans="1:19" s="497" customFormat="1" ht="17.399999999999999">
      <c r="A3630" s="550"/>
      <c r="B3630" s="550"/>
      <c r="C3630" s="550"/>
      <c r="D3630" s="550"/>
      <c r="E3630" s="550"/>
      <c r="F3630" s="548"/>
      <c r="G3630" s="550" t="s">
        <v>21</v>
      </c>
      <c r="H3630" s="550" t="s">
        <v>54</v>
      </c>
      <c r="I3630" s="551">
        <v>9.61</v>
      </c>
      <c r="J3630" s="777">
        <v>11.5</v>
      </c>
      <c r="K3630" s="778">
        <v>12</v>
      </c>
      <c r="L3630" s="552">
        <f t="shared" si="665"/>
        <v>1.3261799999999999</v>
      </c>
      <c r="M3630" s="550"/>
      <c r="N3630" s="550"/>
      <c r="O3630" s="550"/>
      <c r="P3630" s="550"/>
      <c r="Q3630" s="1065"/>
      <c r="R3630" s="1065"/>
    </row>
    <row r="3631" spans="1:19" s="497" customFormat="1" ht="17.399999999999999">
      <c r="A3631" s="550"/>
      <c r="B3631" s="550"/>
      <c r="C3631" s="550"/>
      <c r="D3631" s="550"/>
      <c r="E3631" s="550"/>
      <c r="F3631" s="548"/>
      <c r="G3631" s="550" t="s">
        <v>21</v>
      </c>
      <c r="H3631" s="550" t="s">
        <v>54</v>
      </c>
      <c r="I3631" s="551">
        <v>9.61</v>
      </c>
      <c r="J3631" s="777">
        <v>12</v>
      </c>
      <c r="K3631" s="778">
        <v>3</v>
      </c>
      <c r="L3631" s="552">
        <f t="shared" si="665"/>
        <v>0.34595999999999999</v>
      </c>
      <c r="M3631" s="550"/>
      <c r="N3631" s="550"/>
      <c r="O3631" s="550"/>
      <c r="P3631" s="550"/>
      <c r="Q3631" s="1065"/>
      <c r="R3631" s="1065"/>
    </row>
    <row r="3632" spans="1:19" s="497" customFormat="1" ht="17.399999999999999">
      <c r="A3632" s="550"/>
      <c r="B3632" s="550"/>
      <c r="C3632" s="550"/>
      <c r="D3632" s="550"/>
      <c r="E3632" s="550"/>
      <c r="F3632" s="548"/>
      <c r="G3632" s="550"/>
      <c r="H3632" s="550"/>
      <c r="I3632" s="1865"/>
      <c r="J3632" s="550"/>
      <c r="K3632" s="770">
        <f t="shared" ref="K3632" si="666">SUM(K3626:K3631)</f>
        <v>65</v>
      </c>
      <c r="L3632" s="763">
        <f>SUM(L3626:L3631)</f>
        <v>6.2320849999999997</v>
      </c>
      <c r="M3632" s="550"/>
      <c r="N3632" s="550"/>
      <c r="O3632" s="550"/>
      <c r="P3632" s="550"/>
      <c r="Q3632" s="1065"/>
      <c r="R3632" s="1065"/>
    </row>
    <row r="3633" spans="1:19" s="497" customFormat="1" ht="17.399999999999999">
      <c r="A3633" s="550"/>
      <c r="B3633" s="550"/>
      <c r="C3633" s="550"/>
      <c r="D3633" s="550"/>
      <c r="E3633" s="550"/>
      <c r="F3633" s="548"/>
      <c r="G3633" s="550"/>
      <c r="H3633" s="550"/>
      <c r="I3633" s="1865"/>
      <c r="J3633" s="550"/>
      <c r="K3633" s="770"/>
      <c r="L3633" s="763"/>
      <c r="M3633" s="550"/>
      <c r="N3633" s="550"/>
      <c r="O3633" s="550"/>
      <c r="P3633" s="550"/>
      <c r="Q3633" s="1065"/>
      <c r="R3633" s="1065"/>
    </row>
    <row r="3634" spans="1:19" ht="17.399999999999999">
      <c r="A3634" s="547" t="s">
        <v>174</v>
      </c>
      <c r="B3634" s="547" t="s">
        <v>408</v>
      </c>
      <c r="C3634" s="547" t="s">
        <v>19</v>
      </c>
      <c r="D3634" s="547" t="s">
        <v>20</v>
      </c>
      <c r="E3634" s="547" t="s">
        <v>47</v>
      </c>
      <c r="F3634" s="548">
        <v>11</v>
      </c>
      <c r="G3634" s="550" t="s">
        <v>21</v>
      </c>
      <c r="H3634" s="829" t="s">
        <v>366</v>
      </c>
      <c r="I3634" s="551">
        <v>10.9</v>
      </c>
      <c r="J3634" s="765">
        <v>10</v>
      </c>
      <c r="K3634" s="766">
        <v>17</v>
      </c>
      <c r="L3634" s="725">
        <f>(I3634*J3634*K3634/1000)</f>
        <v>1.853</v>
      </c>
      <c r="M3634" s="550"/>
      <c r="N3634" s="550"/>
      <c r="O3634" s="550"/>
      <c r="P3634" s="550"/>
      <c r="Q3634" s="1065"/>
      <c r="R3634" s="1065"/>
      <c r="S3634" s="497" t="s">
        <v>506</v>
      </c>
    </row>
    <row r="3635" spans="1:19" ht="17.399999999999999">
      <c r="A3635" s="550"/>
      <c r="B3635" s="550" t="s">
        <v>334</v>
      </c>
      <c r="C3635" s="550"/>
      <c r="D3635" s="550"/>
      <c r="E3635" s="550"/>
      <c r="F3635" s="548"/>
      <c r="G3635" s="550"/>
      <c r="H3635" s="768"/>
      <c r="I3635" s="551"/>
      <c r="J3635" s="765"/>
      <c r="K3635" s="766">
        <f t="shared" ref="K3635:L3635" si="667">SUM(K3634)</f>
        <v>17</v>
      </c>
      <c r="L3635" s="763">
        <f t="shared" si="667"/>
        <v>1.853</v>
      </c>
      <c r="M3635" s="550"/>
      <c r="N3635" s="550"/>
      <c r="O3635" s="550"/>
      <c r="P3635" s="550"/>
      <c r="Q3635" s="1065"/>
      <c r="R3635" s="1065"/>
    </row>
    <row r="3636" spans="1:19" s="497" customFormat="1" ht="17.399999999999999">
      <c r="A3636" s="550"/>
      <c r="B3636" s="550"/>
      <c r="C3636" s="550"/>
      <c r="D3636" s="550"/>
      <c r="E3636" s="550"/>
      <c r="F3636" s="548"/>
      <c r="G3636" s="550"/>
      <c r="H3636" s="768"/>
      <c r="I3636" s="551"/>
      <c r="J3636" s="765"/>
      <c r="K3636" s="766"/>
      <c r="L3636" s="763"/>
      <c r="M3636" s="550"/>
      <c r="N3636" s="550"/>
      <c r="O3636" s="550"/>
      <c r="P3636" s="550"/>
      <c r="Q3636" s="1065"/>
      <c r="R3636" s="1065"/>
    </row>
    <row r="3637" spans="1:19" s="497" customFormat="1" ht="17.399999999999999">
      <c r="A3637" s="550"/>
      <c r="B3637" s="550"/>
      <c r="C3637" s="550"/>
      <c r="D3637" s="550"/>
      <c r="E3637" s="550"/>
      <c r="F3637" s="548"/>
      <c r="G3637" s="550"/>
      <c r="H3637" s="768"/>
      <c r="I3637" s="551"/>
      <c r="J3637" s="765"/>
      <c r="K3637" s="766"/>
      <c r="L3637" s="763"/>
      <c r="M3637" s="550"/>
      <c r="N3637" s="550"/>
      <c r="O3637" s="550"/>
      <c r="P3637" s="550"/>
      <c r="Q3637" s="1065"/>
      <c r="R3637" s="1065"/>
    </row>
    <row r="3638" spans="1:19" s="497" customFormat="1" ht="17.399999999999999">
      <c r="A3638" s="547" t="s">
        <v>411</v>
      </c>
      <c r="B3638" s="547" t="s">
        <v>341</v>
      </c>
      <c r="C3638" s="547" t="s">
        <v>19</v>
      </c>
      <c r="D3638" s="547" t="s">
        <v>20</v>
      </c>
      <c r="E3638" s="547" t="s">
        <v>359</v>
      </c>
      <c r="F3638" s="548">
        <v>11</v>
      </c>
      <c r="G3638" s="550" t="s">
        <v>21</v>
      </c>
      <c r="H3638" s="599" t="s">
        <v>91</v>
      </c>
      <c r="I3638" s="551">
        <v>6.97</v>
      </c>
      <c r="J3638" s="791">
        <v>10</v>
      </c>
      <c r="K3638" s="776">
        <v>8</v>
      </c>
      <c r="L3638" s="725">
        <f t="shared" ref="L3638" si="668">(I3638*J3638*K3638/1000)</f>
        <v>0.55759999999999998</v>
      </c>
      <c r="M3638" s="550"/>
      <c r="N3638" s="550"/>
      <c r="O3638" s="550"/>
      <c r="P3638" s="550"/>
      <c r="Q3638" s="1065"/>
      <c r="R3638" s="1065"/>
      <c r="S3638" s="497" t="s">
        <v>505</v>
      </c>
    </row>
    <row r="3639" spans="1:19" s="497" customFormat="1" ht="17.399999999999999">
      <c r="A3639" s="550"/>
      <c r="B3639" s="792" t="s">
        <v>331</v>
      </c>
      <c r="C3639" s="550"/>
      <c r="D3639" s="550"/>
      <c r="E3639" s="550"/>
      <c r="F3639" s="548"/>
      <c r="G3639" s="550"/>
      <c r="H3639" s="550"/>
      <c r="I3639" s="1865"/>
      <c r="J3639" s="550"/>
      <c r="K3639" s="802">
        <f>SUM(K3638:K3638)</f>
        <v>8</v>
      </c>
      <c r="L3639" s="763">
        <f>SUM(L3638:L3638)</f>
        <v>0.55759999999999998</v>
      </c>
      <c r="M3639" s="550"/>
      <c r="N3639" s="550"/>
      <c r="O3639" s="550"/>
      <c r="P3639" s="550"/>
      <c r="Q3639" s="1065"/>
      <c r="R3639" s="1065"/>
    </row>
    <row r="3640" spans="1:19" s="497" customFormat="1" ht="17.399999999999999">
      <c r="A3640" s="550"/>
      <c r="B3640" s="550"/>
      <c r="C3640" s="550"/>
      <c r="D3640" s="550"/>
      <c r="E3640" s="550"/>
      <c r="F3640" s="548"/>
      <c r="G3640" s="550"/>
      <c r="H3640" s="768"/>
      <c r="I3640" s="551"/>
      <c r="J3640" s="765"/>
      <c r="K3640" s="802"/>
      <c r="L3640" s="763"/>
      <c r="M3640" s="550"/>
      <c r="N3640" s="550"/>
      <c r="O3640" s="550"/>
      <c r="P3640" s="550"/>
      <c r="Q3640" s="1065"/>
      <c r="R3640" s="1065"/>
    </row>
    <row r="3641" spans="1:19" s="497" customFormat="1" ht="17.399999999999999">
      <c r="A3641" s="547" t="s">
        <v>427</v>
      </c>
      <c r="B3641" s="547" t="s">
        <v>341</v>
      </c>
      <c r="C3641" s="547" t="s">
        <v>19</v>
      </c>
      <c r="D3641" s="547" t="s">
        <v>20</v>
      </c>
      <c r="E3641" s="547" t="s">
        <v>359</v>
      </c>
      <c r="F3641" s="548">
        <v>11</v>
      </c>
      <c r="G3641" s="550" t="s">
        <v>21</v>
      </c>
      <c r="H3641" s="599" t="s">
        <v>91</v>
      </c>
      <c r="I3641" s="551">
        <v>6.97</v>
      </c>
      <c r="J3641" s="791">
        <v>7</v>
      </c>
      <c r="K3641" s="776">
        <v>23</v>
      </c>
      <c r="L3641" s="725">
        <f t="shared" ref="L3641:L3647" si="669">(I3641*J3641*K3641/1000)</f>
        <v>1.1221700000000001</v>
      </c>
      <c r="M3641" s="765"/>
      <c r="N3641" s="550"/>
      <c r="O3641" s="550"/>
      <c r="P3641" s="550"/>
      <c r="Q3641" s="1065"/>
      <c r="R3641" s="1065"/>
      <c r="S3641" s="497" t="s">
        <v>505</v>
      </c>
    </row>
    <row r="3642" spans="1:19" s="497" customFormat="1" ht="17.399999999999999">
      <c r="A3642" s="550"/>
      <c r="B3642" s="792" t="s">
        <v>277</v>
      </c>
      <c r="C3642" s="550"/>
      <c r="D3642" s="550"/>
      <c r="E3642" s="550"/>
      <c r="F3642" s="548"/>
      <c r="G3642" s="550" t="s">
        <v>21</v>
      </c>
      <c r="H3642" s="550" t="s">
        <v>91</v>
      </c>
      <c r="I3642" s="551">
        <v>6.97</v>
      </c>
      <c r="J3642" s="791">
        <v>7.75</v>
      </c>
      <c r="K3642" s="776">
        <v>12</v>
      </c>
      <c r="L3642" s="725">
        <f t="shared" si="669"/>
        <v>0.64821000000000006</v>
      </c>
      <c r="M3642" s="765"/>
      <c r="N3642" s="550"/>
      <c r="O3642" s="550"/>
      <c r="P3642" s="550"/>
      <c r="Q3642" s="1065"/>
      <c r="R3642" s="1065"/>
    </row>
    <row r="3643" spans="1:19" s="497" customFormat="1" ht="17.399999999999999">
      <c r="A3643" s="550"/>
      <c r="B3643" s="550"/>
      <c r="C3643" s="550"/>
      <c r="D3643" s="550"/>
      <c r="E3643" s="550"/>
      <c r="F3643" s="548"/>
      <c r="G3643" s="550" t="s">
        <v>21</v>
      </c>
      <c r="H3643" s="550" t="s">
        <v>91</v>
      </c>
      <c r="I3643" s="551">
        <v>6.97</v>
      </c>
      <c r="J3643" s="791">
        <v>8</v>
      </c>
      <c r="K3643" s="776">
        <v>32</v>
      </c>
      <c r="L3643" s="725">
        <f t="shared" si="669"/>
        <v>1.7843199999999999</v>
      </c>
      <c r="M3643" s="765"/>
      <c r="N3643" s="550"/>
      <c r="O3643" s="550"/>
      <c r="P3643" s="550"/>
      <c r="Q3643" s="1065"/>
      <c r="R3643" s="1065"/>
    </row>
    <row r="3644" spans="1:19" s="497" customFormat="1" ht="17.399999999999999">
      <c r="A3644" s="550"/>
      <c r="B3644" s="550"/>
      <c r="C3644" s="550"/>
      <c r="D3644" s="550"/>
      <c r="E3644" s="550"/>
      <c r="F3644" s="548"/>
      <c r="G3644" s="550" t="s">
        <v>21</v>
      </c>
      <c r="H3644" s="550" t="s">
        <v>91</v>
      </c>
      <c r="I3644" s="551">
        <v>6.97</v>
      </c>
      <c r="J3644" s="791">
        <v>9.75</v>
      </c>
      <c r="K3644" s="776">
        <v>2</v>
      </c>
      <c r="L3644" s="725">
        <f t="shared" si="669"/>
        <v>0.13591499999999998</v>
      </c>
      <c r="M3644" s="765"/>
      <c r="N3644" s="550"/>
      <c r="O3644" s="550"/>
      <c r="P3644" s="550"/>
      <c r="Q3644" s="1065"/>
      <c r="R3644" s="1065"/>
    </row>
    <row r="3645" spans="1:19" s="497" customFormat="1" ht="17.399999999999999">
      <c r="A3645" s="550"/>
      <c r="B3645" s="550"/>
      <c r="C3645" s="550"/>
      <c r="D3645" s="550"/>
      <c r="E3645" s="550"/>
      <c r="F3645" s="548"/>
      <c r="G3645" s="550" t="s">
        <v>21</v>
      </c>
      <c r="H3645" s="550" t="s">
        <v>91</v>
      </c>
      <c r="I3645" s="551">
        <v>6.97</v>
      </c>
      <c r="J3645" s="791">
        <v>10</v>
      </c>
      <c r="K3645" s="776">
        <v>4</v>
      </c>
      <c r="L3645" s="725">
        <f t="shared" si="669"/>
        <v>0.27879999999999999</v>
      </c>
      <c r="M3645" s="765"/>
      <c r="N3645" s="550"/>
      <c r="O3645" s="550"/>
      <c r="P3645" s="550"/>
      <c r="Q3645" s="1065"/>
      <c r="R3645" s="1065"/>
    </row>
    <row r="3646" spans="1:19" s="497" customFormat="1" ht="17.399999999999999">
      <c r="A3646" s="550"/>
      <c r="B3646" s="550"/>
      <c r="C3646" s="550"/>
      <c r="D3646" s="550"/>
      <c r="E3646" s="550"/>
      <c r="F3646" s="548"/>
      <c r="G3646" s="550" t="s">
        <v>21</v>
      </c>
      <c r="H3646" s="550" t="s">
        <v>91</v>
      </c>
      <c r="I3646" s="551">
        <v>6.97</v>
      </c>
      <c r="J3646" s="791">
        <v>11.5</v>
      </c>
      <c r="K3646" s="776">
        <v>27</v>
      </c>
      <c r="L3646" s="725">
        <f t="shared" si="669"/>
        <v>2.1641849999999998</v>
      </c>
      <c r="M3646" s="765"/>
      <c r="N3646" s="550"/>
      <c r="O3646" s="550"/>
      <c r="P3646" s="550"/>
      <c r="Q3646" s="1065"/>
      <c r="R3646" s="1065"/>
    </row>
    <row r="3647" spans="1:19" s="497" customFormat="1" ht="17.399999999999999">
      <c r="A3647" s="550"/>
      <c r="B3647" s="550"/>
      <c r="C3647" s="550"/>
      <c r="D3647" s="550"/>
      <c r="E3647" s="550"/>
      <c r="F3647" s="548"/>
      <c r="G3647" s="550" t="s">
        <v>21</v>
      </c>
      <c r="H3647" s="550" t="s">
        <v>91</v>
      </c>
      <c r="I3647" s="551">
        <v>6.97</v>
      </c>
      <c r="J3647" s="791">
        <v>12</v>
      </c>
      <c r="K3647" s="776">
        <v>20</v>
      </c>
      <c r="L3647" s="725">
        <f t="shared" si="669"/>
        <v>1.6728000000000001</v>
      </c>
      <c r="M3647" s="765"/>
      <c r="N3647" s="550"/>
      <c r="O3647" s="550"/>
      <c r="P3647" s="550"/>
      <c r="Q3647" s="1065"/>
      <c r="R3647" s="1065"/>
    </row>
    <row r="3648" spans="1:19" s="497" customFormat="1" ht="17.399999999999999">
      <c r="A3648" s="550"/>
      <c r="B3648" s="550"/>
      <c r="C3648" s="550"/>
      <c r="D3648" s="550"/>
      <c r="E3648" s="550"/>
      <c r="F3648" s="548"/>
      <c r="G3648" s="550"/>
      <c r="H3648" s="768"/>
      <c r="I3648" s="551"/>
      <c r="J3648" s="765"/>
      <c r="K3648" s="802">
        <f>SUM(K3641:K3647)</f>
        <v>120</v>
      </c>
      <c r="L3648" s="763">
        <f>SUM(L3641:L3647)</f>
        <v>7.8064</v>
      </c>
      <c r="M3648" s="550"/>
      <c r="N3648" s="550"/>
      <c r="O3648" s="550"/>
      <c r="P3648" s="550"/>
      <c r="Q3648" s="1065"/>
      <c r="R3648" s="1065"/>
    </row>
    <row r="3649" spans="1:19" s="497" customFormat="1" ht="17.399999999999999">
      <c r="A3649" s="550"/>
      <c r="B3649" s="550"/>
      <c r="C3649" s="550"/>
      <c r="D3649" s="550"/>
      <c r="E3649" s="550"/>
      <c r="F3649" s="548"/>
      <c r="G3649" s="550"/>
      <c r="H3649" s="768"/>
      <c r="I3649" s="551"/>
      <c r="J3649" s="765"/>
      <c r="K3649" s="802">
        <f>+K3648+K3639</f>
        <v>128</v>
      </c>
      <c r="L3649" s="763">
        <f>+L3648+L3639</f>
        <v>8.3640000000000008</v>
      </c>
      <c r="M3649" s="550"/>
      <c r="N3649" s="550"/>
      <c r="O3649" s="550"/>
      <c r="P3649" s="550"/>
      <c r="Q3649" s="1065"/>
      <c r="R3649" s="1065"/>
    </row>
    <row r="3650" spans="1:19" s="497" customFormat="1" ht="17.399999999999999">
      <c r="A3650" s="550"/>
      <c r="B3650" s="550"/>
      <c r="C3650" s="550"/>
      <c r="D3650" s="550"/>
      <c r="E3650" s="550"/>
      <c r="F3650" s="548"/>
      <c r="G3650" s="550"/>
      <c r="H3650" s="768"/>
      <c r="I3650" s="551"/>
      <c r="J3650" s="765"/>
      <c r="K3650" s="802"/>
      <c r="L3650" s="763"/>
      <c r="M3650" s="550"/>
      <c r="N3650" s="550"/>
      <c r="O3650" s="550"/>
      <c r="P3650" s="550"/>
      <c r="Q3650" s="1065"/>
      <c r="R3650" s="1065"/>
    </row>
    <row r="3651" spans="1:19" s="497" customFormat="1" ht="17.399999999999999">
      <c r="A3651" s="550"/>
      <c r="B3651" s="550"/>
      <c r="C3651" s="550"/>
      <c r="D3651" s="550"/>
      <c r="E3651" s="550"/>
      <c r="F3651" s="548"/>
      <c r="G3651" s="550"/>
      <c r="H3651" s="768"/>
      <c r="I3651" s="551"/>
      <c r="J3651" s="765"/>
      <c r="K3651" s="766"/>
      <c r="L3651" s="763"/>
      <c r="M3651" s="550"/>
      <c r="N3651" s="550"/>
      <c r="O3651" s="550"/>
      <c r="P3651" s="550"/>
      <c r="Q3651" s="1065"/>
      <c r="R3651" s="1065"/>
    </row>
    <row r="3652" spans="1:19" s="497" customFormat="1" ht="17.399999999999999">
      <c r="A3652" s="547" t="s">
        <v>411</v>
      </c>
      <c r="B3652" s="547" t="s">
        <v>341</v>
      </c>
      <c r="C3652" s="547" t="s">
        <v>19</v>
      </c>
      <c r="D3652" s="547" t="s">
        <v>20</v>
      </c>
      <c r="E3652" s="547" t="s">
        <v>359</v>
      </c>
      <c r="F3652" s="548">
        <v>11</v>
      </c>
      <c r="G3652" s="550" t="s">
        <v>21</v>
      </c>
      <c r="H3652" s="599" t="s">
        <v>53</v>
      </c>
      <c r="I3652" s="551">
        <v>8.32</v>
      </c>
      <c r="J3652" s="773">
        <v>10.5</v>
      </c>
      <c r="K3652" s="776">
        <v>13</v>
      </c>
      <c r="L3652" s="725">
        <f>(I3652*J3652*K3652/1000)</f>
        <v>1.13568</v>
      </c>
      <c r="M3652" s="549"/>
      <c r="N3652" s="550"/>
      <c r="O3652" s="550"/>
      <c r="P3652" s="550"/>
      <c r="Q3652" s="1065"/>
      <c r="R3652" s="1065"/>
      <c r="S3652" s="497" t="s">
        <v>505</v>
      </c>
    </row>
    <row r="3653" spans="1:19" s="497" customFormat="1" ht="17.399999999999999">
      <c r="A3653" s="550"/>
      <c r="B3653" s="792" t="s">
        <v>331</v>
      </c>
      <c r="C3653" s="550"/>
      <c r="D3653" s="550"/>
      <c r="E3653" s="550"/>
      <c r="F3653" s="548"/>
      <c r="G3653" s="550" t="s">
        <v>21</v>
      </c>
      <c r="H3653" s="550" t="s">
        <v>53</v>
      </c>
      <c r="I3653" s="551">
        <v>8.32</v>
      </c>
      <c r="J3653" s="773">
        <v>12</v>
      </c>
      <c r="K3653" s="776">
        <v>8</v>
      </c>
      <c r="L3653" s="725">
        <f>(I3653*J3653*K3653/1000)</f>
        <v>0.79871999999999999</v>
      </c>
      <c r="M3653" s="766"/>
      <c r="N3653" s="550"/>
      <c r="O3653" s="550"/>
      <c r="P3653" s="550"/>
      <c r="Q3653" s="1065"/>
      <c r="R3653" s="1065"/>
    </row>
    <row r="3654" spans="1:19" s="497" customFormat="1" ht="17.399999999999999">
      <c r="A3654" s="550"/>
      <c r="B3654" s="550"/>
      <c r="C3654" s="550"/>
      <c r="D3654" s="550"/>
      <c r="E3654" s="550"/>
      <c r="F3654" s="548"/>
      <c r="G3654" s="550"/>
      <c r="H3654" s="768"/>
      <c r="I3654" s="551"/>
      <c r="J3654" s="765"/>
      <c r="K3654" s="802">
        <f>SUM(K3652:K3653)</f>
        <v>21</v>
      </c>
      <c r="L3654" s="763">
        <f>SUM(L3652:L3653)</f>
        <v>1.9344000000000001</v>
      </c>
      <c r="M3654" s="708"/>
      <c r="N3654" s="763"/>
      <c r="O3654" s="550"/>
      <c r="P3654" s="550"/>
      <c r="Q3654" s="1065"/>
      <c r="R3654" s="1065"/>
    </row>
    <row r="3655" spans="1:19" s="497" customFormat="1" ht="17.399999999999999">
      <c r="A3655" s="550"/>
      <c r="B3655" s="550"/>
      <c r="C3655" s="550"/>
      <c r="D3655" s="550"/>
      <c r="E3655" s="550"/>
      <c r="F3655" s="548"/>
      <c r="G3655" s="550"/>
      <c r="H3655" s="768"/>
      <c r="I3655" s="551"/>
      <c r="J3655" s="765"/>
      <c r="K3655" s="766"/>
      <c r="L3655" s="725"/>
      <c r="M3655" s="766"/>
      <c r="N3655" s="550"/>
      <c r="O3655" s="550"/>
      <c r="P3655" s="550"/>
      <c r="Q3655" s="1065"/>
      <c r="R3655" s="1065"/>
    </row>
    <row r="3656" spans="1:19" s="497" customFormat="1" ht="17.399999999999999">
      <c r="A3656" s="547" t="s">
        <v>427</v>
      </c>
      <c r="B3656" s="547" t="s">
        <v>341</v>
      </c>
      <c r="C3656" s="547" t="s">
        <v>19</v>
      </c>
      <c r="D3656" s="547" t="s">
        <v>20</v>
      </c>
      <c r="E3656" s="547" t="s">
        <v>359</v>
      </c>
      <c r="F3656" s="548">
        <v>11</v>
      </c>
      <c r="G3656" s="550" t="s">
        <v>21</v>
      </c>
      <c r="H3656" s="599" t="s">
        <v>53</v>
      </c>
      <c r="I3656" s="551">
        <v>8.32</v>
      </c>
      <c r="J3656" s="774">
        <v>6.75</v>
      </c>
      <c r="K3656" s="776">
        <v>5</v>
      </c>
      <c r="L3656" s="725">
        <f>(I3656*J3656*K3656/1000)</f>
        <v>0.28079999999999999</v>
      </c>
      <c r="M3656" s="766">
        <v>5</v>
      </c>
      <c r="N3656" s="763">
        <f t="shared" ref="N3656:N3659" si="670">J3656*M3656*I3656/1000</f>
        <v>0.28079999999999999</v>
      </c>
      <c r="O3656" s="550"/>
      <c r="P3656" s="550"/>
      <c r="Q3656" s="1065"/>
      <c r="R3656" s="1065"/>
      <c r="S3656" s="497" t="s">
        <v>505</v>
      </c>
    </row>
    <row r="3657" spans="1:19" s="497" customFormat="1" ht="17.399999999999999">
      <c r="A3657" s="550"/>
      <c r="B3657" s="792" t="s">
        <v>277</v>
      </c>
      <c r="C3657" s="550"/>
      <c r="D3657" s="550"/>
      <c r="E3657" s="550"/>
      <c r="F3657" s="548"/>
      <c r="G3657" s="550" t="s">
        <v>21</v>
      </c>
      <c r="H3657" s="550" t="s">
        <v>53</v>
      </c>
      <c r="I3657" s="551">
        <v>8.32</v>
      </c>
      <c r="J3657" s="774">
        <v>7.75</v>
      </c>
      <c r="K3657" s="776">
        <v>50</v>
      </c>
      <c r="L3657" s="725">
        <f>(I3657*J3657*K3657/1000)</f>
        <v>3.2240000000000002</v>
      </c>
      <c r="M3657" s="766">
        <v>3</v>
      </c>
      <c r="N3657" s="763">
        <f t="shared" si="670"/>
        <v>0.19344</v>
      </c>
      <c r="O3657" s="550"/>
      <c r="P3657" s="550"/>
      <c r="Q3657" s="1065"/>
      <c r="R3657" s="1065"/>
    </row>
    <row r="3658" spans="1:19" s="497" customFormat="1" ht="17.399999999999999">
      <c r="A3658" s="550"/>
      <c r="B3658" s="550"/>
      <c r="C3658" s="550"/>
      <c r="D3658" s="550"/>
      <c r="E3658" s="550"/>
      <c r="F3658" s="548"/>
      <c r="G3658" s="550" t="s">
        <v>21</v>
      </c>
      <c r="H3658" s="550" t="s">
        <v>53</v>
      </c>
      <c r="I3658" s="551">
        <v>8.32</v>
      </c>
      <c r="J3658" s="774">
        <v>10</v>
      </c>
      <c r="K3658" s="776">
        <v>4</v>
      </c>
      <c r="L3658" s="725">
        <f>(I3658*J3658*K3658/1000)</f>
        <v>0.33279999999999998</v>
      </c>
      <c r="M3658" s="766">
        <v>3</v>
      </c>
      <c r="N3658" s="763">
        <f t="shared" si="670"/>
        <v>0.24960000000000002</v>
      </c>
      <c r="O3658" s="550"/>
      <c r="P3658" s="550"/>
      <c r="Q3658" s="1065"/>
      <c r="R3658" s="1065"/>
    </row>
    <row r="3659" spans="1:19" s="497" customFormat="1" ht="17.399999999999999">
      <c r="A3659" s="550"/>
      <c r="B3659" s="550"/>
      <c r="C3659" s="550"/>
      <c r="D3659" s="550"/>
      <c r="E3659" s="550"/>
      <c r="F3659" s="548"/>
      <c r="G3659" s="550" t="s">
        <v>21</v>
      </c>
      <c r="H3659" s="550" t="s">
        <v>53</v>
      </c>
      <c r="I3659" s="551">
        <v>8.32</v>
      </c>
      <c r="J3659" s="774">
        <v>12</v>
      </c>
      <c r="K3659" s="776">
        <v>100</v>
      </c>
      <c r="L3659" s="725">
        <f>(I3659*J3659*K3659/1000)</f>
        <v>9.984</v>
      </c>
      <c r="M3659" s="766"/>
      <c r="N3659" s="763">
        <f t="shared" si="670"/>
        <v>0</v>
      </c>
      <c r="O3659" s="550"/>
      <c r="P3659" s="550"/>
      <c r="Q3659" s="1065"/>
      <c r="R3659" s="1065"/>
    </row>
    <row r="3660" spans="1:19" s="497" customFormat="1" ht="17.399999999999999">
      <c r="A3660" s="550"/>
      <c r="B3660" s="550"/>
      <c r="C3660" s="550"/>
      <c r="D3660" s="550"/>
      <c r="E3660" s="550"/>
      <c r="F3660" s="548"/>
      <c r="G3660" s="550"/>
      <c r="H3660" s="768"/>
      <c r="I3660" s="551"/>
      <c r="J3660" s="765"/>
      <c r="K3660" s="802">
        <f>SUM(K3656:K3659)</f>
        <v>159</v>
      </c>
      <c r="L3660" s="763">
        <f>SUM(L3656:L3659)</f>
        <v>13.8216</v>
      </c>
      <c r="M3660" s="708">
        <f>SUM(M3656:M3659)</f>
        <v>11</v>
      </c>
      <c r="N3660" s="763">
        <f>SUM(N3656:N3659)</f>
        <v>0.72384000000000004</v>
      </c>
      <c r="O3660" s="550"/>
      <c r="P3660" s="550"/>
      <c r="Q3660" s="1065"/>
      <c r="R3660" s="1065"/>
    </row>
    <row r="3661" spans="1:19" s="497" customFormat="1" ht="17.399999999999999">
      <c r="A3661" s="550"/>
      <c r="B3661" s="550"/>
      <c r="C3661" s="550"/>
      <c r="D3661" s="550"/>
      <c r="E3661" s="550"/>
      <c r="F3661" s="548"/>
      <c r="G3661" s="550"/>
      <c r="H3661" s="768"/>
      <c r="I3661" s="551"/>
      <c r="J3661" s="765"/>
      <c r="K3661" s="802">
        <f>+K3660+K3654</f>
        <v>180</v>
      </c>
      <c r="L3661" s="763">
        <f>+L3660+L3654</f>
        <v>15.756</v>
      </c>
      <c r="M3661" s="708">
        <f>+M3660+M3654</f>
        <v>11</v>
      </c>
      <c r="N3661" s="763">
        <f>+N3660+N3654</f>
        <v>0.72384000000000004</v>
      </c>
      <c r="O3661" s="550"/>
      <c r="P3661" s="550"/>
      <c r="Q3661" s="1065"/>
      <c r="R3661" s="1065"/>
    </row>
    <row r="3662" spans="1:19" s="497" customFormat="1" ht="17.399999999999999">
      <c r="A3662" s="550"/>
      <c r="B3662" s="550"/>
      <c r="C3662" s="550"/>
      <c r="D3662" s="550"/>
      <c r="E3662" s="550"/>
      <c r="F3662" s="548"/>
      <c r="G3662" s="550"/>
      <c r="H3662" s="768"/>
      <c r="I3662" s="551"/>
      <c r="J3662" s="765"/>
      <c r="K3662" s="770"/>
      <c r="L3662" s="763"/>
      <c r="M3662" s="772"/>
      <c r="N3662" s="550"/>
      <c r="O3662" s="550"/>
      <c r="P3662" s="550"/>
      <c r="Q3662" s="1065"/>
      <c r="R3662" s="1065"/>
    </row>
    <row r="3663" spans="1:19" s="497" customFormat="1" ht="17.399999999999999">
      <c r="A3663" s="550"/>
      <c r="B3663" s="550"/>
      <c r="C3663" s="550"/>
      <c r="D3663" s="550"/>
      <c r="E3663" s="550"/>
      <c r="F3663" s="548"/>
      <c r="G3663" s="550"/>
      <c r="H3663" s="768"/>
      <c r="I3663" s="551"/>
      <c r="J3663" s="765"/>
      <c r="K3663" s="766"/>
      <c r="L3663" s="763"/>
      <c r="M3663" s="772"/>
      <c r="N3663" s="550"/>
      <c r="O3663" s="550"/>
      <c r="P3663" s="550"/>
      <c r="Q3663" s="1065"/>
      <c r="R3663" s="1065"/>
    </row>
    <row r="3664" spans="1:19" s="497" customFormat="1" ht="17.399999999999999">
      <c r="A3664" s="547" t="s">
        <v>427</v>
      </c>
      <c r="B3664" s="547" t="s">
        <v>341</v>
      </c>
      <c r="C3664" s="547" t="s">
        <v>19</v>
      </c>
      <c r="D3664" s="547" t="s">
        <v>20</v>
      </c>
      <c r="E3664" s="547" t="s">
        <v>359</v>
      </c>
      <c r="F3664" s="548">
        <v>11</v>
      </c>
      <c r="G3664" s="550" t="s">
        <v>21</v>
      </c>
      <c r="H3664" s="599" t="s">
        <v>54</v>
      </c>
      <c r="I3664" s="551">
        <v>9.61</v>
      </c>
      <c r="J3664" s="774">
        <v>10.5</v>
      </c>
      <c r="K3664" s="776">
        <v>27</v>
      </c>
      <c r="L3664" s="725">
        <f t="shared" ref="L3664:L3666" si="671">(I3664*J3664*K3664/1000)</f>
        <v>2.7244350000000002</v>
      </c>
      <c r="M3664" s="772">
        <v>9</v>
      </c>
      <c r="N3664" s="763">
        <f t="shared" ref="N3664:N3666" si="672">J3664*M3664*I3664/1000</f>
        <v>0.90814499999999998</v>
      </c>
      <c r="O3664" s="550"/>
      <c r="P3664" s="550"/>
      <c r="Q3664" s="1065"/>
      <c r="R3664" s="1065"/>
      <c r="S3664" s="497" t="s">
        <v>505</v>
      </c>
    </row>
    <row r="3665" spans="1:19" s="497" customFormat="1" ht="17.399999999999999">
      <c r="A3665" s="550"/>
      <c r="B3665" s="792" t="s">
        <v>277</v>
      </c>
      <c r="C3665" s="550"/>
      <c r="D3665" s="550"/>
      <c r="E3665" s="550"/>
      <c r="F3665" s="548"/>
      <c r="G3665" s="550" t="s">
        <v>21</v>
      </c>
      <c r="H3665" s="550" t="s">
        <v>54</v>
      </c>
      <c r="I3665" s="551">
        <v>9.61</v>
      </c>
      <c r="J3665" s="774">
        <v>12</v>
      </c>
      <c r="K3665" s="776">
        <v>18</v>
      </c>
      <c r="L3665" s="725">
        <f t="shared" si="671"/>
        <v>2.0757599999999998</v>
      </c>
      <c r="M3665" s="772">
        <v>4</v>
      </c>
      <c r="N3665" s="763">
        <f t="shared" si="672"/>
        <v>0.46127999999999997</v>
      </c>
      <c r="O3665" s="550"/>
      <c r="P3665" s="550"/>
      <c r="Q3665" s="1065"/>
      <c r="R3665" s="1065"/>
    </row>
    <row r="3666" spans="1:19" s="497" customFormat="1" ht="17.399999999999999">
      <c r="A3666" s="550"/>
      <c r="B3666" s="550"/>
      <c r="C3666" s="550"/>
      <c r="D3666" s="550"/>
      <c r="E3666" s="550"/>
      <c r="F3666" s="548"/>
      <c r="G3666" s="550" t="s">
        <v>21</v>
      </c>
      <c r="H3666" s="550" t="s">
        <v>54</v>
      </c>
      <c r="I3666" s="551">
        <v>9.61</v>
      </c>
      <c r="J3666" s="774">
        <v>6.5</v>
      </c>
      <c r="K3666" s="776">
        <v>8</v>
      </c>
      <c r="L3666" s="725">
        <f t="shared" si="671"/>
        <v>0.49972</v>
      </c>
      <c r="M3666" s="772">
        <v>8</v>
      </c>
      <c r="N3666" s="763">
        <f t="shared" si="672"/>
        <v>0.49972</v>
      </c>
      <c r="O3666" s="550"/>
      <c r="P3666" s="550"/>
      <c r="Q3666" s="1065"/>
      <c r="R3666" s="1065"/>
    </row>
    <row r="3667" spans="1:19" s="497" customFormat="1" ht="17.399999999999999">
      <c r="A3667" s="550"/>
      <c r="B3667" s="550"/>
      <c r="C3667" s="550"/>
      <c r="D3667" s="550"/>
      <c r="E3667" s="550"/>
      <c r="F3667" s="548"/>
      <c r="G3667" s="550"/>
      <c r="H3667" s="768"/>
      <c r="I3667" s="551"/>
      <c r="J3667" s="765"/>
      <c r="K3667" s="802">
        <f>SUM(K3664:K3666)</f>
        <v>53</v>
      </c>
      <c r="L3667" s="763">
        <f>SUM(L3664:L3666)</f>
        <v>5.2999150000000004</v>
      </c>
      <c r="M3667" s="708">
        <f>SUM(M3664:M3666)</f>
        <v>21</v>
      </c>
      <c r="N3667" s="763">
        <f>SUM(N3664:N3666)</f>
        <v>1.8691449999999998</v>
      </c>
      <c r="O3667" s="550"/>
      <c r="P3667" s="550"/>
      <c r="Q3667" s="1065"/>
      <c r="R3667" s="1065"/>
    </row>
    <row r="3668" spans="1:19" s="497" customFormat="1" ht="17.399999999999999">
      <c r="A3668" s="550"/>
      <c r="B3668" s="550"/>
      <c r="C3668" s="550"/>
      <c r="D3668" s="550"/>
      <c r="E3668" s="550"/>
      <c r="F3668" s="548"/>
      <c r="G3668" s="550"/>
      <c r="H3668" s="768"/>
      <c r="I3668" s="551"/>
      <c r="J3668" s="765"/>
      <c r="K3668" s="766"/>
      <c r="L3668" s="763"/>
      <c r="M3668" s="550"/>
      <c r="N3668" s="550"/>
      <c r="O3668" s="550"/>
      <c r="P3668" s="550"/>
      <c r="Q3668" s="1065"/>
      <c r="R3668" s="1065"/>
    </row>
    <row r="3669" spans="1:19" s="497" customFormat="1" ht="17.399999999999999">
      <c r="A3669" s="550"/>
      <c r="B3669" s="550"/>
      <c r="C3669" s="550"/>
      <c r="D3669" s="550"/>
      <c r="E3669" s="550"/>
      <c r="F3669" s="548"/>
      <c r="G3669" s="550"/>
      <c r="H3669" s="768"/>
      <c r="I3669" s="551"/>
      <c r="J3669" s="765"/>
      <c r="K3669" s="766"/>
      <c r="L3669" s="763">
        <f>+L3667+L3661+L3649</f>
        <v>29.419915</v>
      </c>
      <c r="M3669" s="550"/>
      <c r="N3669" s="763">
        <f>+N3667+N3661+N3649</f>
        <v>2.5929849999999997</v>
      </c>
      <c r="O3669" s="550"/>
      <c r="P3669" s="550"/>
      <c r="Q3669" s="1065"/>
      <c r="R3669" s="1065"/>
    </row>
    <row r="3670" spans="1:19" s="497" customFormat="1" ht="17.399999999999999">
      <c r="A3670" s="550"/>
      <c r="B3670" s="550"/>
      <c r="C3670" s="550"/>
      <c r="D3670" s="550"/>
      <c r="E3670" s="550"/>
      <c r="F3670" s="548"/>
      <c r="G3670" s="550"/>
      <c r="H3670" s="768"/>
      <c r="I3670" s="551"/>
      <c r="J3670" s="765"/>
      <c r="K3670" s="766"/>
      <c r="L3670" s="763"/>
      <c r="M3670" s="550"/>
      <c r="N3670" s="550"/>
      <c r="O3670" s="550"/>
      <c r="P3670" s="550"/>
      <c r="Q3670" s="1065"/>
      <c r="R3670" s="1065"/>
    </row>
    <row r="3671" spans="1:19" s="497" customFormat="1" ht="17.399999999999999">
      <c r="A3671" s="550"/>
      <c r="B3671" s="550"/>
      <c r="C3671" s="550"/>
      <c r="D3671" s="550"/>
      <c r="E3671" s="550"/>
      <c r="F3671" s="548"/>
      <c r="G3671" s="550"/>
      <c r="H3671" s="768"/>
      <c r="I3671" s="551"/>
      <c r="J3671" s="765"/>
      <c r="K3671" s="766"/>
      <c r="L3671" s="763"/>
      <c r="M3671" s="550"/>
      <c r="N3671" s="550"/>
      <c r="O3671" s="550"/>
      <c r="P3671" s="550"/>
      <c r="Q3671" s="1065"/>
      <c r="R3671" s="1065"/>
    </row>
    <row r="3672" spans="1:19" s="497" customFormat="1" ht="17.399999999999999">
      <c r="A3672" s="550"/>
      <c r="B3672" s="550"/>
      <c r="C3672" s="550"/>
      <c r="D3672" s="550"/>
      <c r="E3672" s="550"/>
      <c r="F3672" s="548"/>
      <c r="G3672" s="550"/>
      <c r="H3672" s="768"/>
      <c r="I3672" s="551"/>
      <c r="J3672" s="765"/>
      <c r="K3672" s="766"/>
      <c r="L3672" s="763"/>
      <c r="M3672" s="550"/>
      <c r="N3672" s="550"/>
      <c r="O3672" s="550"/>
      <c r="P3672" s="550"/>
      <c r="Q3672" s="1065"/>
      <c r="R3672" s="1065"/>
    </row>
    <row r="3673" spans="1:19" s="497" customFormat="1" ht="17.399999999999999">
      <c r="A3673" s="547" t="s">
        <v>411</v>
      </c>
      <c r="B3673" s="547" t="s">
        <v>438</v>
      </c>
      <c r="C3673" s="547" t="s">
        <v>19</v>
      </c>
      <c r="D3673" s="547" t="s">
        <v>20</v>
      </c>
      <c r="E3673" s="547" t="s">
        <v>47</v>
      </c>
      <c r="F3673" s="548">
        <v>11</v>
      </c>
      <c r="G3673" s="550" t="s">
        <v>21</v>
      </c>
      <c r="H3673" s="829" t="s">
        <v>91</v>
      </c>
      <c r="I3673" s="551">
        <v>6.97</v>
      </c>
      <c r="J3673" s="765">
        <v>12</v>
      </c>
      <c r="K3673" s="770">
        <v>3</v>
      </c>
      <c r="L3673" s="725">
        <f>(I3673*J3673*K3673/1000)</f>
        <v>0.25092000000000003</v>
      </c>
      <c r="M3673" s="550"/>
      <c r="N3673" s="550"/>
      <c r="O3673" s="550"/>
      <c r="P3673" s="550"/>
      <c r="Q3673" s="1065"/>
      <c r="R3673" s="1065"/>
      <c r="S3673" s="497" t="s">
        <v>506</v>
      </c>
    </row>
    <row r="3674" spans="1:19" s="497" customFormat="1" ht="17.399999999999999">
      <c r="A3674" s="550"/>
      <c r="B3674" s="753" t="s">
        <v>439</v>
      </c>
      <c r="C3674" s="550"/>
      <c r="D3674" s="550"/>
      <c r="E3674" s="550"/>
      <c r="F3674" s="548"/>
      <c r="G3674" s="550"/>
      <c r="H3674" s="768"/>
      <c r="I3674" s="551"/>
      <c r="J3674" s="765"/>
      <c r="K3674" s="770">
        <f>SUM(K3673:K3673)</f>
        <v>3</v>
      </c>
      <c r="L3674" s="763">
        <f>SUM(L3673:L3673)</f>
        <v>0.25092000000000003</v>
      </c>
      <c r="M3674" s="550"/>
      <c r="N3674" s="550"/>
      <c r="O3674" s="550"/>
      <c r="P3674" s="550"/>
      <c r="Q3674" s="1065"/>
      <c r="R3674" s="1065"/>
    </row>
    <row r="3675" spans="1:19" s="497" customFormat="1" ht="17.399999999999999">
      <c r="A3675" s="550"/>
      <c r="B3675" s="550"/>
      <c r="C3675" s="550"/>
      <c r="D3675" s="550"/>
      <c r="E3675" s="550"/>
      <c r="F3675" s="548"/>
      <c r="G3675" s="550"/>
      <c r="H3675" s="768"/>
      <c r="I3675" s="551"/>
      <c r="J3675" s="765"/>
      <c r="K3675" s="770"/>
      <c r="L3675" s="763"/>
      <c r="M3675" s="550"/>
      <c r="N3675" s="550"/>
      <c r="O3675" s="550"/>
      <c r="P3675" s="550"/>
      <c r="Q3675" s="1065"/>
      <c r="R3675" s="1065"/>
    </row>
    <row r="3676" spans="1:19" s="497" customFormat="1" ht="17.399999999999999">
      <c r="A3676" s="547" t="s">
        <v>411</v>
      </c>
      <c r="B3676" s="547" t="s">
        <v>438</v>
      </c>
      <c r="C3676" s="547" t="s">
        <v>19</v>
      </c>
      <c r="D3676" s="547" t="s">
        <v>20</v>
      </c>
      <c r="E3676" s="547" t="s">
        <v>47</v>
      </c>
      <c r="F3676" s="548">
        <v>11</v>
      </c>
      <c r="G3676" s="550" t="s">
        <v>21</v>
      </c>
      <c r="H3676" s="599" t="s">
        <v>53</v>
      </c>
      <c r="I3676" s="562">
        <v>8.3000000000000007</v>
      </c>
      <c r="J3676" s="566">
        <v>10</v>
      </c>
      <c r="K3676" s="804">
        <v>35</v>
      </c>
      <c r="L3676" s="725">
        <f t="shared" ref="L3676:L3681" si="673">(I3676*J3676*K3676/1000)</f>
        <v>2.9049999999999998</v>
      </c>
      <c r="M3676" s="550"/>
      <c r="N3676" s="550"/>
      <c r="O3676" s="550"/>
      <c r="P3676" s="550"/>
      <c r="Q3676" s="1065"/>
      <c r="R3676" s="1065"/>
      <c r="S3676" s="497" t="s">
        <v>505</v>
      </c>
    </row>
    <row r="3677" spans="1:19" s="497" customFormat="1" ht="17.399999999999999">
      <c r="A3677" s="550"/>
      <c r="B3677" s="559" t="s">
        <v>439</v>
      </c>
      <c r="C3677" s="550"/>
      <c r="D3677" s="550"/>
      <c r="E3677" s="550"/>
      <c r="F3677" s="548"/>
      <c r="G3677" s="550" t="s">
        <v>21</v>
      </c>
      <c r="H3677" s="550" t="s">
        <v>53</v>
      </c>
      <c r="I3677" s="562">
        <v>8.3000000000000007</v>
      </c>
      <c r="J3677" s="566">
        <v>10.3</v>
      </c>
      <c r="K3677" s="804">
        <v>15</v>
      </c>
      <c r="L3677" s="725">
        <f t="shared" si="673"/>
        <v>1.2823500000000001</v>
      </c>
      <c r="M3677" s="550"/>
      <c r="N3677" s="550"/>
      <c r="O3677" s="550"/>
      <c r="P3677" s="550"/>
      <c r="Q3677" s="1065"/>
      <c r="R3677" s="1065"/>
    </row>
    <row r="3678" spans="1:19" s="497" customFormat="1" ht="17.399999999999999">
      <c r="A3678" s="550"/>
      <c r="B3678" s="550"/>
      <c r="C3678" s="550"/>
      <c r="D3678" s="550"/>
      <c r="E3678" s="550"/>
      <c r="F3678" s="548"/>
      <c r="G3678" s="550" t="s">
        <v>21</v>
      </c>
      <c r="H3678" s="550" t="s">
        <v>53</v>
      </c>
      <c r="I3678" s="562">
        <v>8.3000000000000007</v>
      </c>
      <c r="J3678" s="566">
        <v>10.5</v>
      </c>
      <c r="K3678" s="804">
        <v>32</v>
      </c>
      <c r="L3678" s="725">
        <f t="shared" si="673"/>
        <v>2.7888000000000002</v>
      </c>
      <c r="M3678" s="550"/>
      <c r="N3678" s="550"/>
      <c r="O3678" s="550"/>
      <c r="P3678" s="550"/>
      <c r="Q3678" s="1065"/>
      <c r="R3678" s="1065"/>
    </row>
    <row r="3679" spans="1:19" s="497" customFormat="1" ht="17.399999999999999">
      <c r="A3679" s="550"/>
      <c r="B3679" s="550"/>
      <c r="C3679" s="550"/>
      <c r="D3679" s="550"/>
      <c r="E3679" s="550"/>
      <c r="F3679" s="548"/>
      <c r="G3679" s="550" t="s">
        <v>21</v>
      </c>
      <c r="H3679" s="550" t="s">
        <v>53</v>
      </c>
      <c r="I3679" s="562">
        <v>8.3000000000000007</v>
      </c>
      <c r="J3679" s="566">
        <v>10.8</v>
      </c>
      <c r="K3679" s="804">
        <v>128</v>
      </c>
      <c r="L3679" s="725">
        <f t="shared" si="673"/>
        <v>11.473920000000001</v>
      </c>
      <c r="M3679" s="550"/>
      <c r="N3679" s="550"/>
      <c r="O3679" s="550"/>
      <c r="P3679" s="550"/>
      <c r="Q3679" s="1065"/>
      <c r="R3679" s="1065"/>
    </row>
    <row r="3680" spans="1:19" s="497" customFormat="1" ht="17.399999999999999">
      <c r="A3680" s="550"/>
      <c r="B3680" s="550"/>
      <c r="C3680" s="550"/>
      <c r="D3680" s="550"/>
      <c r="E3680" s="550"/>
      <c r="F3680" s="548"/>
      <c r="G3680" s="550" t="s">
        <v>21</v>
      </c>
      <c r="H3680" s="550" t="s">
        <v>53</v>
      </c>
      <c r="I3680" s="562">
        <v>8.3000000000000007</v>
      </c>
      <c r="J3680" s="566">
        <v>11</v>
      </c>
      <c r="K3680" s="804">
        <v>346</v>
      </c>
      <c r="L3680" s="725">
        <f t="shared" si="673"/>
        <v>31.589800000000004</v>
      </c>
      <c r="M3680" s="550"/>
      <c r="N3680" s="550"/>
      <c r="O3680" s="550"/>
      <c r="P3680" s="550"/>
      <c r="Q3680" s="1065"/>
      <c r="R3680" s="1065"/>
    </row>
    <row r="3681" spans="1:19" s="497" customFormat="1" ht="17.399999999999999">
      <c r="A3681" s="550"/>
      <c r="B3681" s="550"/>
      <c r="C3681" s="550"/>
      <c r="D3681" s="550"/>
      <c r="E3681" s="550"/>
      <c r="F3681" s="548"/>
      <c r="G3681" s="550" t="s">
        <v>21</v>
      </c>
      <c r="H3681" s="550" t="s">
        <v>53</v>
      </c>
      <c r="I3681" s="562">
        <v>8.3000000000000007</v>
      </c>
      <c r="J3681" s="566">
        <v>12</v>
      </c>
      <c r="K3681" s="804">
        <v>41</v>
      </c>
      <c r="L3681" s="725">
        <f t="shared" si="673"/>
        <v>4.0836000000000006</v>
      </c>
      <c r="M3681" s="550"/>
      <c r="N3681" s="550"/>
      <c r="O3681" s="550"/>
      <c r="P3681" s="550"/>
      <c r="Q3681" s="1065"/>
      <c r="R3681" s="1065"/>
    </row>
    <row r="3682" spans="1:19" s="497" customFormat="1" ht="17.399999999999999">
      <c r="A3682" s="550"/>
      <c r="B3682" s="550"/>
      <c r="C3682" s="550"/>
      <c r="D3682" s="550"/>
      <c r="E3682" s="550"/>
      <c r="F3682" s="548"/>
      <c r="G3682" s="550"/>
      <c r="H3682" s="768"/>
      <c r="I3682" s="551"/>
      <c r="J3682" s="765"/>
      <c r="K3682" s="770">
        <f>SUM(K3676:K3681)</f>
        <v>597</v>
      </c>
      <c r="L3682" s="763">
        <f>SUM(L3676:L3681)</f>
        <v>54.123470000000012</v>
      </c>
      <c r="M3682" s="550"/>
      <c r="N3682" s="550"/>
      <c r="O3682" s="550"/>
      <c r="P3682" s="550"/>
      <c r="Q3682" s="1065"/>
      <c r="R3682" s="1065"/>
    </row>
    <row r="3683" spans="1:19" s="497" customFormat="1" ht="17.399999999999999">
      <c r="A3683" s="550"/>
      <c r="B3683" s="550"/>
      <c r="C3683" s="550"/>
      <c r="D3683" s="550"/>
      <c r="E3683" s="550"/>
      <c r="F3683" s="548"/>
      <c r="G3683" s="550"/>
      <c r="H3683" s="768"/>
      <c r="I3683" s="551"/>
      <c r="J3683" s="765"/>
      <c r="K3683" s="770"/>
      <c r="L3683" s="763"/>
      <c r="M3683" s="550"/>
      <c r="N3683" s="550"/>
      <c r="O3683" s="550"/>
      <c r="P3683" s="550"/>
      <c r="Q3683" s="1065"/>
      <c r="R3683" s="1065"/>
    </row>
    <row r="3684" spans="1:19" s="497" customFormat="1" ht="17.399999999999999">
      <c r="A3684" s="547" t="s">
        <v>411</v>
      </c>
      <c r="B3684" s="547" t="s">
        <v>438</v>
      </c>
      <c r="C3684" s="547" t="s">
        <v>19</v>
      </c>
      <c r="D3684" s="547" t="s">
        <v>20</v>
      </c>
      <c r="E3684" s="547" t="s">
        <v>47</v>
      </c>
      <c r="F3684" s="548">
        <v>11</v>
      </c>
      <c r="G3684" s="550" t="s">
        <v>21</v>
      </c>
      <c r="H3684" s="829" t="s">
        <v>54</v>
      </c>
      <c r="I3684" s="551">
        <v>9.61</v>
      </c>
      <c r="J3684" s="566">
        <v>7.2</v>
      </c>
      <c r="K3684" s="804">
        <v>32</v>
      </c>
      <c r="L3684" s="725">
        <f t="shared" ref="L3684:L3688" si="674">(I3684*J3684*K3684/1000)</f>
        <v>2.2141439999999997</v>
      </c>
      <c r="M3684" s="550"/>
      <c r="N3684" s="550"/>
      <c r="O3684" s="550"/>
      <c r="P3684" s="550"/>
      <c r="Q3684" s="1065"/>
      <c r="R3684" s="1065"/>
      <c r="S3684" s="497" t="s">
        <v>506</v>
      </c>
    </row>
    <row r="3685" spans="1:19" s="497" customFormat="1" ht="17.399999999999999">
      <c r="A3685" s="550"/>
      <c r="B3685" s="559" t="s">
        <v>439</v>
      </c>
      <c r="C3685" s="550"/>
      <c r="D3685" s="550"/>
      <c r="E3685" s="550"/>
      <c r="F3685" s="548"/>
      <c r="G3685" s="550" t="s">
        <v>21</v>
      </c>
      <c r="H3685" s="550" t="s">
        <v>54</v>
      </c>
      <c r="I3685" s="551">
        <v>9.61</v>
      </c>
      <c r="J3685" s="566">
        <v>8.75</v>
      </c>
      <c r="K3685" s="804">
        <v>2</v>
      </c>
      <c r="L3685" s="725">
        <f t="shared" si="674"/>
        <v>0.16817499999999999</v>
      </c>
      <c r="M3685" s="550"/>
      <c r="N3685" s="550"/>
      <c r="O3685" s="550"/>
      <c r="P3685" s="550"/>
      <c r="Q3685" s="1065"/>
      <c r="R3685" s="1065"/>
    </row>
    <row r="3686" spans="1:19" s="497" customFormat="1" ht="17.399999999999999">
      <c r="A3686" s="550"/>
      <c r="B3686" s="550"/>
      <c r="C3686" s="550"/>
      <c r="D3686" s="550"/>
      <c r="E3686" s="550"/>
      <c r="F3686" s="548"/>
      <c r="G3686" s="550" t="s">
        <v>21</v>
      </c>
      <c r="H3686" s="550" t="s">
        <v>54</v>
      </c>
      <c r="I3686" s="551">
        <v>9.61</v>
      </c>
      <c r="J3686" s="566">
        <v>10</v>
      </c>
      <c r="K3686" s="804">
        <v>7</v>
      </c>
      <c r="L3686" s="725">
        <f t="shared" si="674"/>
        <v>0.67269999999999996</v>
      </c>
      <c r="M3686" s="550"/>
      <c r="N3686" s="550"/>
      <c r="O3686" s="550"/>
      <c r="P3686" s="550"/>
      <c r="Q3686" s="1065"/>
      <c r="R3686" s="1065"/>
    </row>
    <row r="3687" spans="1:19" s="497" customFormat="1" ht="17.399999999999999">
      <c r="A3687" s="550"/>
      <c r="B3687" s="550"/>
      <c r="C3687" s="550"/>
      <c r="D3687" s="550"/>
      <c r="E3687" s="550"/>
      <c r="F3687" s="548"/>
      <c r="G3687" s="550" t="s">
        <v>21</v>
      </c>
      <c r="H3687" s="550" t="s">
        <v>54</v>
      </c>
      <c r="I3687" s="551">
        <v>9.61</v>
      </c>
      <c r="J3687" s="566">
        <v>11</v>
      </c>
      <c r="K3687" s="804">
        <v>119</v>
      </c>
      <c r="L3687" s="725">
        <f t="shared" si="674"/>
        <v>12.57949</v>
      </c>
      <c r="M3687" s="550"/>
      <c r="N3687" s="550"/>
      <c r="O3687" s="550"/>
      <c r="P3687" s="550"/>
      <c r="Q3687" s="1065"/>
      <c r="R3687" s="1065"/>
    </row>
    <row r="3688" spans="1:19" s="497" customFormat="1" ht="17.399999999999999">
      <c r="A3688" s="550"/>
      <c r="B3688" s="550"/>
      <c r="C3688" s="550"/>
      <c r="D3688" s="550"/>
      <c r="E3688" s="550"/>
      <c r="F3688" s="548"/>
      <c r="G3688" s="550" t="s">
        <v>21</v>
      </c>
      <c r="H3688" s="550" t="s">
        <v>54</v>
      </c>
      <c r="I3688" s="551">
        <v>9.61</v>
      </c>
      <c r="J3688" s="566">
        <v>12</v>
      </c>
      <c r="K3688" s="804">
        <v>20</v>
      </c>
      <c r="L3688" s="725">
        <f t="shared" si="674"/>
        <v>2.3063999999999996</v>
      </c>
      <c r="M3688" s="550"/>
      <c r="N3688" s="550"/>
      <c r="O3688" s="550"/>
      <c r="P3688" s="550"/>
      <c r="Q3688" s="1065"/>
      <c r="R3688" s="1065"/>
    </row>
    <row r="3689" spans="1:19" s="497" customFormat="1" ht="17.399999999999999">
      <c r="A3689" s="550"/>
      <c r="B3689" s="550"/>
      <c r="C3689" s="550"/>
      <c r="D3689" s="550"/>
      <c r="E3689" s="550"/>
      <c r="F3689" s="548"/>
      <c r="G3689" s="550"/>
      <c r="H3689" s="550"/>
      <c r="I3689" s="558"/>
      <c r="J3689" s="549"/>
      <c r="K3689" s="727">
        <f>SUM(K3684:K3688)</f>
        <v>180</v>
      </c>
      <c r="L3689" s="567">
        <f>SUM(L3684:L3688)</f>
        <v>17.940908999999998</v>
      </c>
      <c r="M3689" s="550"/>
      <c r="N3689" s="550"/>
      <c r="O3689" s="550"/>
      <c r="P3689" s="550"/>
      <c r="Q3689" s="1065"/>
      <c r="R3689" s="1065"/>
    </row>
    <row r="3690" spans="1:19" s="497" customFormat="1" ht="17.399999999999999">
      <c r="A3690" s="550"/>
      <c r="B3690" s="550"/>
      <c r="C3690" s="550"/>
      <c r="D3690" s="550"/>
      <c r="E3690" s="550"/>
      <c r="F3690" s="548"/>
      <c r="G3690" s="550"/>
      <c r="H3690" s="768"/>
      <c r="I3690" s="551"/>
      <c r="J3690" s="765"/>
      <c r="K3690" s="770"/>
      <c r="L3690" s="763"/>
      <c r="M3690" s="550"/>
      <c r="N3690" s="550"/>
      <c r="O3690" s="550"/>
      <c r="P3690" s="550"/>
      <c r="Q3690" s="1065"/>
      <c r="R3690" s="1065"/>
    </row>
    <row r="3691" spans="1:19" s="497" customFormat="1" ht="17.399999999999999">
      <c r="A3691" s="547" t="s">
        <v>411</v>
      </c>
      <c r="B3691" s="547" t="s">
        <v>438</v>
      </c>
      <c r="C3691" s="547" t="s">
        <v>19</v>
      </c>
      <c r="D3691" s="547" t="s">
        <v>20</v>
      </c>
      <c r="E3691" s="547" t="s">
        <v>47</v>
      </c>
      <c r="F3691" s="548">
        <v>11</v>
      </c>
      <c r="G3691" s="550" t="s">
        <v>21</v>
      </c>
      <c r="H3691" s="829" t="s">
        <v>366</v>
      </c>
      <c r="I3691" s="562">
        <v>10.9</v>
      </c>
      <c r="J3691" s="566">
        <v>11.35</v>
      </c>
      <c r="K3691" s="804">
        <v>19</v>
      </c>
      <c r="L3691" s="803">
        <f>J3691*K3691*I3691/1000</f>
        <v>2.3505850000000001</v>
      </c>
      <c r="M3691" s="550"/>
      <c r="N3691" s="550"/>
      <c r="O3691" s="550"/>
      <c r="P3691" s="550"/>
      <c r="Q3691" s="1065"/>
      <c r="R3691" s="1065"/>
      <c r="S3691" s="497" t="s">
        <v>506</v>
      </c>
    </row>
    <row r="3692" spans="1:19" s="497" customFormat="1" ht="17.399999999999999">
      <c r="A3692" s="550"/>
      <c r="B3692" s="559" t="s">
        <v>439</v>
      </c>
      <c r="C3692" s="550"/>
      <c r="D3692" s="550"/>
      <c r="E3692" s="550"/>
      <c r="F3692" s="548"/>
      <c r="G3692" s="550"/>
      <c r="H3692" s="550"/>
      <c r="I3692" s="551"/>
      <c r="J3692" s="566"/>
      <c r="K3692" s="804">
        <f t="shared" ref="K3692" si="675">SUM(K3691)</f>
        <v>19</v>
      </c>
      <c r="L3692" s="552">
        <f>SUM(L3691)</f>
        <v>2.3505850000000001</v>
      </c>
      <c r="M3692" s="550"/>
      <c r="N3692" s="550"/>
      <c r="O3692" s="550"/>
      <c r="P3692" s="550"/>
      <c r="Q3692" s="1065"/>
      <c r="R3692" s="1065"/>
    </row>
    <row r="3693" spans="1:19" s="497" customFormat="1" ht="17.399999999999999">
      <c r="A3693" s="550"/>
      <c r="B3693" s="550"/>
      <c r="C3693" s="550"/>
      <c r="D3693" s="550"/>
      <c r="E3693" s="550"/>
      <c r="F3693" s="548"/>
      <c r="G3693" s="550"/>
      <c r="H3693" s="768"/>
      <c r="I3693" s="551"/>
      <c r="J3693" s="765"/>
      <c r="K3693" s="766"/>
      <c r="L3693" s="763"/>
      <c r="M3693" s="550"/>
      <c r="N3693" s="550"/>
      <c r="O3693" s="550"/>
      <c r="P3693" s="550"/>
      <c r="Q3693" s="1065"/>
      <c r="R3693" s="1065"/>
    </row>
    <row r="3694" spans="1:19" s="497" customFormat="1" ht="17.399999999999999">
      <c r="A3694" s="550"/>
      <c r="B3694" s="550"/>
      <c r="C3694" s="550"/>
      <c r="D3694" s="550"/>
      <c r="E3694" s="550"/>
      <c r="F3694" s="548"/>
      <c r="G3694" s="550"/>
      <c r="H3694" s="768"/>
      <c r="I3694" s="551"/>
      <c r="J3694" s="765"/>
      <c r="K3694" s="766"/>
      <c r="L3694" s="763">
        <f>+L3692+L3689+L3682+L3674</f>
        <v>74.665884000000005</v>
      </c>
      <c r="M3694" s="550"/>
      <c r="N3694" s="550"/>
      <c r="O3694" s="550"/>
      <c r="P3694" s="550"/>
      <c r="Q3694" s="1065"/>
      <c r="R3694" s="1065"/>
    </row>
    <row r="3695" spans="1:19" s="497" customFormat="1" ht="17.399999999999999">
      <c r="A3695" s="550"/>
      <c r="B3695" s="550"/>
      <c r="C3695" s="550"/>
      <c r="D3695" s="550"/>
      <c r="E3695" s="550"/>
      <c r="F3695" s="548"/>
      <c r="G3695" s="550"/>
      <c r="H3695" s="768"/>
      <c r="I3695" s="551"/>
      <c r="J3695" s="765"/>
      <c r="K3695" s="766"/>
      <c r="L3695" s="763"/>
      <c r="M3695" s="550"/>
      <c r="N3695" s="550"/>
      <c r="O3695" s="550"/>
      <c r="P3695" s="550"/>
      <c r="Q3695" s="1065"/>
      <c r="R3695" s="1065"/>
    </row>
    <row r="3696" spans="1:19" ht="17.399999999999999">
      <c r="A3696" s="550"/>
      <c r="B3696" s="550"/>
      <c r="C3696" s="550"/>
      <c r="D3696" s="550"/>
      <c r="E3696" s="550"/>
      <c r="F3696" s="550"/>
      <c r="G3696" s="550"/>
      <c r="H3696" s="550"/>
      <c r="I3696" s="1865"/>
      <c r="J3696" s="550"/>
      <c r="K3696" s="772"/>
      <c r="L3696" s="769"/>
      <c r="M3696" s="550"/>
      <c r="N3696" s="769"/>
      <c r="O3696" s="550"/>
      <c r="P3696" s="550"/>
      <c r="Q3696" s="1065"/>
      <c r="R3696" s="1065"/>
    </row>
    <row r="3697" spans="1:18" ht="17.399999999999999">
      <c r="A3697" s="550"/>
      <c r="B3697" s="550"/>
      <c r="C3697" s="550"/>
      <c r="D3697" s="550"/>
      <c r="E3697" s="550"/>
      <c r="F3697" s="550"/>
      <c r="G3697" s="550"/>
      <c r="H3697" s="550"/>
      <c r="I3697" s="1865"/>
      <c r="J3697" s="550"/>
      <c r="K3697" s="770">
        <f>+K3610+K3632+K3635+K3623+K3602+K3586+K3580+K3571</f>
        <v>2530</v>
      </c>
      <c r="L3697" s="763">
        <f>+L3610+L3632+L3635+L3623+L3602+L3586+L3580+L3571+L3694+L3670+L3669</f>
        <v>308.54911500000003</v>
      </c>
      <c r="M3697" s="770">
        <f>+M3610+M3632+M3635+M3623+M3602+M3586+M3580+M3571</f>
        <v>58</v>
      </c>
      <c r="N3697" s="763">
        <f>+N3610+N3632+N3635+N3623+N3602+N3586+N3580+N3571+N3694+N3670+N3669</f>
        <v>7.3309329999999999</v>
      </c>
      <c r="O3697" s="550"/>
      <c r="P3697" s="550"/>
      <c r="Q3697" s="1065"/>
      <c r="R3697" s="1065"/>
    </row>
    <row r="3698" spans="1:18" ht="18">
      <c r="A3698" s="653" t="s">
        <v>48</v>
      </c>
      <c r="B3698" s="653"/>
      <c r="C3698" s="654"/>
      <c r="D3698" s="654"/>
      <c r="E3698" s="654"/>
      <c r="F3698" s="655"/>
      <c r="G3698" s="654"/>
      <c r="H3698" s="655"/>
      <c r="I3698" s="656"/>
      <c r="J3698" s="654"/>
      <c r="K3698" s="657"/>
      <c r="L3698" s="2003" t="s">
        <v>0</v>
      </c>
      <c r="M3698" s="2003"/>
      <c r="N3698" s="2003"/>
      <c r="O3698" s="2004"/>
      <c r="P3698" s="2010"/>
      <c r="Q3698" s="1064"/>
      <c r="R3698" s="1064"/>
    </row>
    <row r="3699" spans="1:18" ht="18">
      <c r="A3699" s="658" t="s">
        <v>1</v>
      </c>
      <c r="B3699" s="658"/>
      <c r="C3699" s="658"/>
      <c r="D3699" s="659" t="s">
        <v>2</v>
      </c>
      <c r="E3699" s="659"/>
      <c r="F3699" s="660"/>
      <c r="G3699" s="660"/>
      <c r="H3699" s="660"/>
      <c r="I3699" s="661"/>
      <c r="J3699" s="660"/>
      <c r="K3699" s="662" t="s">
        <v>3</v>
      </c>
      <c r="L3699" s="660"/>
      <c r="M3699" s="658"/>
      <c r="N3699" s="660"/>
      <c r="O3699" s="663"/>
      <c r="P3699" s="2010"/>
      <c r="Q3699" s="1064"/>
      <c r="R3699" s="1064"/>
    </row>
    <row r="3700" spans="1:18" ht="18">
      <c r="A3700" s="655" t="s">
        <v>22</v>
      </c>
      <c r="B3700" s="1990" t="s">
        <v>23</v>
      </c>
      <c r="C3700" s="2005"/>
      <c r="D3700" s="1989"/>
      <c r="E3700" s="655" t="s">
        <v>24</v>
      </c>
      <c r="F3700" s="1990" t="s">
        <v>25</v>
      </c>
      <c r="G3700" s="1989"/>
      <c r="H3700" s="1990" t="s">
        <v>26</v>
      </c>
      <c r="I3700" s="2005"/>
      <c r="J3700" s="2005"/>
      <c r="K3700" s="1989"/>
      <c r="L3700" s="2006" t="s">
        <v>27</v>
      </c>
      <c r="M3700" s="2006"/>
      <c r="N3700" s="2006"/>
      <c r="O3700" s="1990"/>
      <c r="P3700" s="2010"/>
      <c r="Q3700" s="1064"/>
      <c r="R3700" s="1064"/>
    </row>
    <row r="3701" spans="1:18" ht="18">
      <c r="A3701" s="664"/>
      <c r="B3701" s="1975"/>
      <c r="C3701" s="1976"/>
      <c r="D3701" s="1977"/>
      <c r="E3701" s="665"/>
      <c r="F3701" s="1975"/>
      <c r="G3701" s="1977"/>
      <c r="H3701" s="1975"/>
      <c r="I3701" s="1976"/>
      <c r="J3701" s="1976"/>
      <c r="K3701" s="1977"/>
      <c r="L3701" s="1975"/>
      <c r="M3701" s="1976"/>
      <c r="N3701" s="1976"/>
      <c r="O3701" s="1976"/>
      <c r="P3701" s="2010"/>
      <c r="Q3701" s="1064"/>
      <c r="R3701" s="1064"/>
    </row>
    <row r="3702" spans="1:18" ht="18">
      <c r="A3702" s="664"/>
      <c r="B3702" s="666"/>
      <c r="C3702" s="667"/>
      <c r="D3702" s="668"/>
      <c r="E3702" s="665"/>
      <c r="F3702" s="666"/>
      <c r="G3702" s="668"/>
      <c r="H3702" s="666"/>
      <c r="I3702" s="1842"/>
      <c r="J3702" s="667"/>
      <c r="K3702" s="669"/>
      <c r="L3702" s="666"/>
      <c r="M3702" s="667"/>
      <c r="N3702" s="667"/>
      <c r="O3702" s="667"/>
      <c r="P3702" s="2010"/>
      <c r="Q3702" s="1064"/>
      <c r="R3702" s="1064"/>
    </row>
    <row r="3703" spans="1:18" ht="18">
      <c r="A3703" s="670" t="s">
        <v>28</v>
      </c>
      <c r="B3703" s="1976" t="s">
        <v>348</v>
      </c>
      <c r="C3703" s="1976"/>
      <c r="D3703" s="1976"/>
      <c r="E3703" s="671">
        <f>+L3571-2.017</f>
        <v>117.17580000000001</v>
      </c>
      <c r="F3703" s="1975">
        <v>11</v>
      </c>
      <c r="G3703" s="1977"/>
      <c r="H3703" s="1975" t="s">
        <v>155</v>
      </c>
      <c r="I3703" s="1976"/>
      <c r="J3703" s="1976"/>
      <c r="K3703" s="1977"/>
      <c r="L3703" s="1976" t="s">
        <v>64</v>
      </c>
      <c r="M3703" s="1976"/>
      <c r="N3703" s="1976"/>
      <c r="O3703" s="1976"/>
      <c r="P3703" s="2010"/>
      <c r="Q3703" s="1064"/>
      <c r="R3703" s="1064"/>
    </row>
    <row r="3704" spans="1:18" ht="18">
      <c r="A3704" s="670" t="s">
        <v>29</v>
      </c>
      <c r="B3704" s="1976" t="s">
        <v>378</v>
      </c>
      <c r="C3704" s="1976"/>
      <c r="D3704" s="1976"/>
      <c r="E3704" s="671">
        <f>+L3580-0.778</f>
        <v>3.6618200000000001</v>
      </c>
      <c r="F3704" s="1975">
        <v>11</v>
      </c>
      <c r="G3704" s="1977"/>
      <c r="H3704" s="1975" t="s">
        <v>155</v>
      </c>
      <c r="I3704" s="1976"/>
      <c r="J3704" s="1976"/>
      <c r="K3704" s="1977"/>
      <c r="L3704" s="1976" t="s">
        <v>64</v>
      </c>
      <c r="M3704" s="1976"/>
      <c r="N3704" s="1976"/>
      <c r="O3704" s="1976"/>
      <c r="P3704" s="2010"/>
      <c r="Q3704" s="1064"/>
      <c r="R3704" s="1064"/>
    </row>
    <row r="3705" spans="1:18" s="497" customFormat="1" ht="18">
      <c r="A3705" s="670" t="s">
        <v>30</v>
      </c>
      <c r="B3705" s="1976" t="s">
        <v>376</v>
      </c>
      <c r="C3705" s="1976"/>
      <c r="D3705" s="1976"/>
      <c r="E3705" s="671">
        <f>+L3586-0.307</f>
        <v>3.7321149999999998</v>
      </c>
      <c r="F3705" s="1975">
        <v>11</v>
      </c>
      <c r="G3705" s="1977"/>
      <c r="H3705" s="1975" t="s">
        <v>155</v>
      </c>
      <c r="I3705" s="1976"/>
      <c r="J3705" s="1976"/>
      <c r="K3705" s="1977"/>
      <c r="L3705" s="1976" t="s">
        <v>64</v>
      </c>
      <c r="M3705" s="1976"/>
      <c r="N3705" s="1976"/>
      <c r="O3705" s="1976"/>
      <c r="P3705" s="2010"/>
      <c r="Q3705" s="1064"/>
      <c r="R3705" s="1064"/>
    </row>
    <row r="3706" spans="1:18" ht="18">
      <c r="A3706" s="664"/>
      <c r="B3706" s="666"/>
      <c r="C3706" s="667"/>
      <c r="D3706" s="668"/>
      <c r="E3706" s="665"/>
      <c r="F3706" s="666"/>
      <c r="G3706" s="668"/>
      <c r="H3706" s="666"/>
      <c r="I3706" s="1842"/>
      <c r="J3706" s="667"/>
      <c r="K3706" s="669"/>
      <c r="L3706" s="666"/>
      <c r="M3706" s="667"/>
      <c r="N3706" s="667"/>
      <c r="O3706" s="667"/>
      <c r="P3706" s="2010"/>
      <c r="Q3706" s="1064"/>
      <c r="R3706" s="1064"/>
    </row>
    <row r="3707" spans="1:18" s="497" customFormat="1" ht="18">
      <c r="A3707" s="664" t="s">
        <v>46</v>
      </c>
      <c r="B3707" s="1975" t="s">
        <v>79</v>
      </c>
      <c r="C3707" s="1976"/>
      <c r="D3707" s="1977"/>
      <c r="E3707" s="665">
        <v>8.36</v>
      </c>
      <c r="F3707" s="1975">
        <v>11</v>
      </c>
      <c r="G3707" s="1977"/>
      <c r="H3707" s="1975" t="s">
        <v>49</v>
      </c>
      <c r="I3707" s="1976"/>
      <c r="J3707" s="1976"/>
      <c r="K3707" s="1977"/>
      <c r="L3707" s="1976" t="s">
        <v>65</v>
      </c>
      <c r="M3707" s="1976"/>
      <c r="N3707" s="1976"/>
      <c r="O3707" s="1976"/>
      <c r="P3707" s="2010"/>
      <c r="Q3707" s="1064"/>
      <c r="R3707" s="1064"/>
    </row>
    <row r="3708" spans="1:18" s="497" customFormat="1" ht="18">
      <c r="A3708" s="664" t="s">
        <v>58</v>
      </c>
      <c r="B3708" s="1975" t="s">
        <v>55</v>
      </c>
      <c r="C3708" s="1976"/>
      <c r="D3708" s="1977"/>
      <c r="E3708" s="665">
        <f>15.53-0.724</f>
        <v>14.805999999999999</v>
      </c>
      <c r="F3708" s="1975">
        <v>11</v>
      </c>
      <c r="G3708" s="1977"/>
      <c r="H3708" s="1975" t="s">
        <v>49</v>
      </c>
      <c r="I3708" s="1976"/>
      <c r="J3708" s="1976"/>
      <c r="K3708" s="1977"/>
      <c r="L3708" s="1976" t="s">
        <v>65</v>
      </c>
      <c r="M3708" s="1976"/>
      <c r="N3708" s="1976"/>
      <c r="O3708" s="1976"/>
      <c r="P3708" s="2010"/>
      <c r="Q3708" s="1064"/>
      <c r="R3708" s="1064"/>
    </row>
    <row r="3709" spans="1:18" s="497" customFormat="1" ht="18">
      <c r="A3709" s="664" t="s">
        <v>163</v>
      </c>
      <c r="B3709" s="1975" t="s">
        <v>56</v>
      </c>
      <c r="C3709" s="1976"/>
      <c r="D3709" s="1977"/>
      <c r="E3709" s="665">
        <f>5.3-1.869</f>
        <v>3.431</v>
      </c>
      <c r="F3709" s="1975">
        <v>11</v>
      </c>
      <c r="G3709" s="1977"/>
      <c r="H3709" s="1975" t="s">
        <v>49</v>
      </c>
      <c r="I3709" s="1976"/>
      <c r="J3709" s="1976"/>
      <c r="K3709" s="1977"/>
      <c r="L3709" s="1976" t="s">
        <v>65</v>
      </c>
      <c r="M3709" s="1976"/>
      <c r="N3709" s="1976"/>
      <c r="O3709" s="1976"/>
      <c r="P3709" s="2010"/>
      <c r="Q3709" s="1064"/>
      <c r="R3709" s="1064"/>
    </row>
    <row r="3710" spans="1:18" s="497" customFormat="1" ht="18">
      <c r="A3710" s="664"/>
      <c r="B3710" s="788"/>
      <c r="C3710" s="787"/>
      <c r="D3710" s="789"/>
      <c r="E3710" s="665"/>
      <c r="F3710" s="788"/>
      <c r="G3710" s="789"/>
      <c r="H3710" s="788"/>
      <c r="I3710" s="1842"/>
      <c r="J3710" s="787"/>
      <c r="K3710" s="669"/>
      <c r="L3710" s="788"/>
      <c r="M3710" s="787"/>
      <c r="N3710" s="787"/>
      <c r="O3710" s="787"/>
      <c r="P3710" s="2010"/>
      <c r="Q3710" s="1064"/>
      <c r="R3710" s="1064"/>
    </row>
    <row r="3711" spans="1:18" s="497" customFormat="1" ht="18">
      <c r="A3711" s="664"/>
      <c r="B3711" s="666"/>
      <c r="C3711" s="667"/>
      <c r="D3711" s="668"/>
      <c r="E3711" s="665"/>
      <c r="F3711" s="666"/>
      <c r="G3711" s="668"/>
      <c r="H3711" s="666"/>
      <c r="I3711" s="1842"/>
      <c r="J3711" s="667"/>
      <c r="K3711" s="669"/>
      <c r="L3711" s="666"/>
      <c r="M3711" s="667"/>
      <c r="N3711" s="667"/>
      <c r="O3711" s="667"/>
      <c r="P3711" s="2010"/>
      <c r="Q3711" s="1064"/>
      <c r="R3711" s="1064"/>
    </row>
    <row r="3712" spans="1:18" ht="18">
      <c r="A3712" s="664" t="s">
        <v>302</v>
      </c>
      <c r="B3712" s="1975" t="s">
        <v>55</v>
      </c>
      <c r="C3712" s="1976"/>
      <c r="D3712" s="1977"/>
      <c r="E3712" s="665">
        <f>+L3602+L3610-0.552+54.12</f>
        <v>100.98258000000001</v>
      </c>
      <c r="F3712" s="1975">
        <v>11</v>
      </c>
      <c r="G3712" s="1977"/>
      <c r="H3712" s="1975" t="s">
        <v>49</v>
      </c>
      <c r="I3712" s="1976"/>
      <c r="J3712" s="1976"/>
      <c r="K3712" s="1977"/>
      <c r="L3712" s="1975" t="s">
        <v>428</v>
      </c>
      <c r="M3712" s="1976"/>
      <c r="N3712" s="1976"/>
      <c r="O3712" s="1976"/>
      <c r="P3712" s="2010"/>
      <c r="Q3712" s="1064"/>
      <c r="R3712" s="1064"/>
    </row>
    <row r="3713" spans="1:18" ht="18">
      <c r="A3713" s="664" t="s">
        <v>380</v>
      </c>
      <c r="B3713" s="1975" t="s">
        <v>56</v>
      </c>
      <c r="C3713" s="1976"/>
      <c r="D3713" s="1977"/>
      <c r="E3713" s="665">
        <f>+L3623+L3632-1.084+17.94</f>
        <v>44.380001</v>
      </c>
      <c r="F3713" s="1975">
        <v>11</v>
      </c>
      <c r="G3713" s="1977"/>
      <c r="H3713" s="1975" t="s">
        <v>49</v>
      </c>
      <c r="I3713" s="1976"/>
      <c r="J3713" s="1976"/>
      <c r="K3713" s="1977"/>
      <c r="L3713" s="1975" t="s">
        <v>429</v>
      </c>
      <c r="M3713" s="1976"/>
      <c r="N3713" s="1976"/>
      <c r="O3713" s="1976"/>
      <c r="P3713" s="2010"/>
      <c r="Q3713" s="1064"/>
      <c r="R3713" s="1064"/>
    </row>
    <row r="3714" spans="1:18" ht="18">
      <c r="A3714" s="670" t="s">
        <v>434</v>
      </c>
      <c r="B3714" s="1975" t="s">
        <v>413</v>
      </c>
      <c r="C3714" s="1976"/>
      <c r="D3714" s="1977"/>
      <c r="E3714" s="671">
        <f>+L3635+2.35</f>
        <v>4.2030000000000003</v>
      </c>
      <c r="F3714" s="1975">
        <v>11</v>
      </c>
      <c r="G3714" s="1977"/>
      <c r="H3714" s="1975" t="s">
        <v>49</v>
      </c>
      <c r="I3714" s="1976"/>
      <c r="J3714" s="1976"/>
      <c r="K3714" s="1977"/>
      <c r="L3714" s="1975" t="s">
        <v>430</v>
      </c>
      <c r="M3714" s="1976"/>
      <c r="N3714" s="1976"/>
      <c r="O3714" s="1976"/>
      <c r="P3714" s="2010"/>
      <c r="Q3714" s="1064"/>
      <c r="R3714" s="1064"/>
    </row>
    <row r="3715" spans="1:18" s="497" customFormat="1" ht="18">
      <c r="A3715" s="670"/>
      <c r="B3715" s="760"/>
      <c r="C3715" s="761"/>
      <c r="D3715" s="762"/>
      <c r="E3715" s="671"/>
      <c r="F3715" s="760"/>
      <c r="G3715" s="762"/>
      <c r="H3715" s="760"/>
      <c r="I3715" s="1842"/>
      <c r="J3715" s="761"/>
      <c r="K3715" s="762"/>
      <c r="L3715" s="760"/>
      <c r="M3715" s="761"/>
      <c r="N3715" s="761"/>
      <c r="O3715" s="761"/>
      <c r="P3715" s="2010"/>
      <c r="Q3715" s="1064"/>
      <c r="R3715" s="1064"/>
    </row>
    <row r="3716" spans="1:18" ht="18.600000000000001" thickBot="1">
      <c r="A3716" s="664"/>
      <c r="B3716" s="666"/>
      <c r="C3716" s="667"/>
      <c r="D3716" s="667"/>
      <c r="E3716" s="665"/>
      <c r="F3716" s="667"/>
      <c r="G3716" s="668"/>
      <c r="H3716" s="666"/>
      <c r="I3716" s="1842"/>
      <c r="J3716" s="667"/>
      <c r="K3716" s="669"/>
      <c r="L3716" s="672"/>
      <c r="M3716" s="673"/>
      <c r="N3716" s="673"/>
      <c r="O3716" s="673"/>
      <c r="P3716" s="2010"/>
      <c r="Q3716" s="1064"/>
      <c r="R3716" s="1064"/>
    </row>
    <row r="3717" spans="1:18" ht="18">
      <c r="A3717" s="674"/>
      <c r="B3717" s="675"/>
      <c r="C3717" s="676"/>
      <c r="D3717" s="676"/>
      <c r="E3717" s="1980">
        <f>SUM(E3701:E3716)</f>
        <v>300.73231600000003</v>
      </c>
      <c r="F3717" s="677"/>
      <c r="G3717" s="678"/>
      <c r="H3717" s="679"/>
      <c r="I3717" s="1848"/>
      <c r="J3717" s="676"/>
      <c r="K3717" s="680"/>
      <c r="L3717" s="679"/>
      <c r="M3717" s="676"/>
      <c r="N3717" s="677"/>
      <c r="O3717" s="676"/>
      <c r="P3717" s="2010"/>
      <c r="Q3717" s="1064"/>
      <c r="R3717" s="1064"/>
    </row>
    <row r="3718" spans="1:18" ht="18.600000000000001" thickBot="1">
      <c r="A3718" s="681"/>
      <c r="B3718" s="682"/>
      <c r="C3718" s="683"/>
      <c r="D3718" s="683"/>
      <c r="E3718" s="1981"/>
      <c r="F3718" s="684"/>
      <c r="G3718" s="685"/>
      <c r="H3718" s="686"/>
      <c r="I3718" s="1850"/>
      <c r="J3718" s="683"/>
      <c r="K3718" s="687"/>
      <c r="L3718" s="686"/>
      <c r="M3718" s="683"/>
      <c r="N3718" s="684"/>
      <c r="O3718" s="683"/>
      <c r="P3718" s="2010"/>
      <c r="Q3718" s="1064"/>
      <c r="R3718" s="1064"/>
    </row>
    <row r="3719" spans="1:18" ht="18">
      <c r="A3719" s="688" t="s">
        <v>31</v>
      </c>
      <c r="B3719" s="676"/>
      <c r="C3719" s="676"/>
      <c r="D3719" s="676"/>
      <c r="E3719" s="676"/>
      <c r="F3719" s="677"/>
      <c r="G3719" s="676"/>
      <c r="H3719" s="677"/>
      <c r="I3719" s="1848"/>
      <c r="J3719" s="676"/>
      <c r="K3719" s="689"/>
      <c r="L3719" s="677"/>
      <c r="M3719" s="676"/>
      <c r="N3719" s="677"/>
      <c r="O3719" s="676"/>
      <c r="P3719" s="2010"/>
      <c r="Q3719" s="1064"/>
      <c r="R3719" s="1064"/>
    </row>
    <row r="3720" spans="1:18" ht="18">
      <c r="A3720" s="690"/>
      <c r="B3720" s="691"/>
      <c r="C3720" s="691"/>
      <c r="D3720" s="691"/>
      <c r="E3720" s="691"/>
      <c r="F3720" s="692"/>
      <c r="G3720" s="691"/>
      <c r="H3720" s="692"/>
      <c r="I3720" s="1849"/>
      <c r="J3720" s="691"/>
      <c r="K3720" s="693"/>
      <c r="L3720" s="692"/>
      <c r="M3720" s="691"/>
      <c r="N3720" s="692"/>
      <c r="O3720" s="691"/>
      <c r="P3720" s="2010"/>
      <c r="Q3720" s="1064"/>
      <c r="R3720" s="1064"/>
    </row>
    <row r="3721" spans="1:18" ht="18.600000000000001" thickBot="1">
      <c r="A3721" s="1982" t="s">
        <v>32</v>
      </c>
      <c r="B3721" s="1983"/>
      <c r="C3721" s="1984" t="s">
        <v>33</v>
      </c>
      <c r="D3721" s="1985"/>
      <c r="E3721" s="694" t="s">
        <v>34</v>
      </c>
      <c r="F3721" s="694" t="s">
        <v>35</v>
      </c>
      <c r="G3721" s="1986" t="s">
        <v>36</v>
      </c>
      <c r="H3721" s="1987"/>
      <c r="I3721" s="1987"/>
      <c r="J3721" s="1987"/>
      <c r="K3721" s="1987"/>
      <c r="L3721" s="1987"/>
      <c r="M3721" s="1987"/>
      <c r="N3721" s="1987"/>
      <c r="O3721" s="1987"/>
      <c r="P3721" s="2010"/>
      <c r="Q3721" s="1064"/>
      <c r="R3721" s="1064"/>
    </row>
    <row r="3722" spans="1:18" ht="18">
      <c r="A3722" s="1988"/>
      <c r="B3722" s="1989"/>
      <c r="C3722" s="1990"/>
      <c r="D3722" s="1989"/>
      <c r="E3722" s="655"/>
      <c r="F3722" s="695"/>
      <c r="G3722" s="1991"/>
      <c r="H3722" s="1992"/>
      <c r="I3722" s="1992"/>
      <c r="J3722" s="1992"/>
      <c r="K3722" s="1992"/>
      <c r="L3722" s="1992"/>
      <c r="M3722" s="1992"/>
      <c r="N3722" s="1992"/>
      <c r="O3722" s="1992"/>
      <c r="P3722" s="2010"/>
      <c r="Q3722" s="1064"/>
      <c r="R3722" s="1064"/>
    </row>
    <row r="3723" spans="1:18" ht="18">
      <c r="A3723" s="1997" t="s">
        <v>37</v>
      </c>
      <c r="B3723" s="1998"/>
      <c r="C3723" s="1990"/>
      <c r="D3723" s="1989"/>
      <c r="E3723" s="655"/>
      <c r="F3723" s="695"/>
      <c r="G3723" s="1993"/>
      <c r="H3723" s="1994"/>
      <c r="I3723" s="1994"/>
      <c r="J3723" s="1994"/>
      <c r="K3723" s="1994"/>
      <c r="L3723" s="1994"/>
      <c r="M3723" s="1994"/>
      <c r="N3723" s="1994"/>
      <c r="O3723" s="1994"/>
      <c r="P3723" s="2010"/>
      <c r="Q3723" s="1064"/>
      <c r="R3723" s="1064"/>
    </row>
    <row r="3724" spans="1:18" ht="18">
      <c r="A3724" s="1997" t="s">
        <v>38</v>
      </c>
      <c r="B3724" s="1998"/>
      <c r="C3724" s="1990"/>
      <c r="D3724" s="1989"/>
      <c r="E3724" s="655"/>
      <c r="F3724" s="695"/>
      <c r="G3724" s="1993"/>
      <c r="H3724" s="1994"/>
      <c r="I3724" s="1994"/>
      <c r="J3724" s="1994"/>
      <c r="K3724" s="1994"/>
      <c r="L3724" s="1994"/>
      <c r="M3724" s="1994"/>
      <c r="N3724" s="1994"/>
      <c r="O3724" s="1994"/>
      <c r="P3724" s="2010"/>
      <c r="Q3724" s="1064"/>
      <c r="R3724" s="1064"/>
    </row>
    <row r="3725" spans="1:18" ht="18">
      <c r="A3725" s="1997" t="s">
        <v>39</v>
      </c>
      <c r="B3725" s="1998"/>
      <c r="C3725" s="1990"/>
      <c r="D3725" s="1989"/>
      <c r="E3725" s="655"/>
      <c r="F3725" s="695"/>
      <c r="G3725" s="1993"/>
      <c r="H3725" s="1994"/>
      <c r="I3725" s="1994"/>
      <c r="J3725" s="1994"/>
      <c r="K3725" s="1994"/>
      <c r="L3725" s="1994"/>
      <c r="M3725" s="1994"/>
      <c r="N3725" s="1994"/>
      <c r="O3725" s="1994"/>
      <c r="P3725" s="2010"/>
      <c r="Q3725" s="1064"/>
      <c r="R3725" s="1064"/>
    </row>
    <row r="3726" spans="1:18" ht="18">
      <c r="A3726" s="1997" t="s">
        <v>40</v>
      </c>
      <c r="B3726" s="1998"/>
      <c r="C3726" s="1990"/>
      <c r="D3726" s="1989"/>
      <c r="E3726" s="655"/>
      <c r="F3726" s="695"/>
      <c r="G3726" s="1993"/>
      <c r="H3726" s="1994"/>
      <c r="I3726" s="1994"/>
      <c r="J3726" s="1994"/>
      <c r="K3726" s="1994"/>
      <c r="L3726" s="1994"/>
      <c r="M3726" s="1994"/>
      <c r="N3726" s="1994"/>
      <c r="O3726" s="1994"/>
      <c r="P3726" s="2010"/>
      <c r="Q3726" s="1064"/>
      <c r="R3726" s="1064"/>
    </row>
    <row r="3727" spans="1:18" ht="18.600000000000001" thickBot="1">
      <c r="A3727" s="1999" t="s">
        <v>41</v>
      </c>
      <c r="B3727" s="2000"/>
      <c r="C3727" s="2001"/>
      <c r="D3727" s="2002"/>
      <c r="E3727" s="696"/>
      <c r="F3727" s="697"/>
      <c r="G3727" s="1995"/>
      <c r="H3727" s="1996"/>
      <c r="I3727" s="1996"/>
      <c r="J3727" s="1996"/>
      <c r="K3727" s="1996"/>
      <c r="L3727" s="1996"/>
      <c r="M3727" s="1996"/>
      <c r="N3727" s="1996"/>
      <c r="O3727" s="1996"/>
      <c r="P3727" s="2010"/>
      <c r="Q3727" s="1064"/>
      <c r="R3727" s="1064"/>
    </row>
    <row r="3728" spans="1:18" ht="18">
      <c r="A3728" s="690"/>
      <c r="B3728" s="691"/>
      <c r="C3728" s="691"/>
      <c r="D3728" s="691"/>
      <c r="E3728" s="691"/>
      <c r="F3728" s="692"/>
      <c r="G3728" s="691"/>
      <c r="H3728" s="698"/>
      <c r="I3728" s="699"/>
      <c r="J3728" s="700"/>
      <c r="K3728" s="701"/>
      <c r="L3728" s="702"/>
      <c r="M3728" s="691"/>
      <c r="N3728" s="692"/>
      <c r="O3728" s="691"/>
      <c r="P3728" s="2010"/>
      <c r="Q3728" s="1064"/>
      <c r="R3728" s="1064"/>
    </row>
    <row r="3729" spans="1:18" ht="18">
      <c r="A3729" s="703" t="s">
        <v>42</v>
      </c>
      <c r="B3729" s="704"/>
      <c r="C3729" s="691"/>
      <c r="D3729" s="691"/>
      <c r="E3729" s="691"/>
      <c r="F3729" s="692"/>
      <c r="G3729" s="704"/>
      <c r="H3729" s="698"/>
      <c r="I3729" s="699"/>
      <c r="J3729" s="700"/>
      <c r="K3729" s="693"/>
      <c r="L3729" s="705"/>
      <c r="M3729" s="691"/>
      <c r="N3729" s="1979" t="s">
        <v>43</v>
      </c>
      <c r="O3729" s="1979"/>
      <c r="P3729" s="2010"/>
      <c r="Q3729" s="1064"/>
      <c r="R3729" s="1064"/>
    </row>
    <row r="3730" spans="1:18" ht="18">
      <c r="A3730" s="703"/>
      <c r="B3730" s="704"/>
      <c r="C3730" s="691"/>
      <c r="D3730" s="691"/>
      <c r="E3730" s="691"/>
      <c r="F3730" s="692"/>
      <c r="G3730" s="691"/>
      <c r="H3730" s="692"/>
      <c r="I3730" s="1849"/>
      <c r="J3730" s="691"/>
      <c r="K3730" s="693"/>
      <c r="L3730" s="692"/>
      <c r="M3730" s="691"/>
      <c r="N3730" s="692"/>
      <c r="O3730" s="704"/>
      <c r="P3730" s="2010"/>
      <c r="Q3730" s="1064"/>
      <c r="R3730" s="1064"/>
    </row>
    <row r="3731" spans="1:18" ht="18">
      <c r="A3731" s="703" t="s">
        <v>44</v>
      </c>
      <c r="B3731" s="704"/>
      <c r="C3731" s="691"/>
      <c r="D3731" s="691"/>
      <c r="E3731" s="691"/>
      <c r="F3731" s="692"/>
      <c r="G3731" s="691"/>
      <c r="H3731" s="692"/>
      <c r="I3731" s="1849"/>
      <c r="J3731" s="691"/>
      <c r="K3731" s="693"/>
      <c r="L3731" s="692"/>
      <c r="M3731" s="691"/>
      <c r="N3731" s="1979" t="s">
        <v>45</v>
      </c>
      <c r="O3731" s="1979"/>
      <c r="P3731" s="2010"/>
      <c r="Q3731" s="1064"/>
      <c r="R3731" s="1064"/>
    </row>
    <row r="3732" spans="1:18" ht="18.600000000000001" thickBot="1">
      <c r="A3732" s="682"/>
      <c r="B3732" s="683"/>
      <c r="C3732" s="683"/>
      <c r="D3732" s="683"/>
      <c r="E3732" s="683"/>
      <c r="F3732" s="684"/>
      <c r="G3732" s="683"/>
      <c r="H3732" s="684"/>
      <c r="I3732" s="1850"/>
      <c r="J3732" s="683"/>
      <c r="K3732" s="706"/>
      <c r="L3732" s="684"/>
      <c r="M3732" s="683"/>
      <c r="N3732" s="684"/>
      <c r="O3732" s="683"/>
      <c r="P3732" s="2010"/>
      <c r="Q3732" s="1064"/>
      <c r="R3732" s="1064"/>
    </row>
    <row r="3735" spans="1:18" ht="18">
      <c r="A3735" s="653" t="s">
        <v>48</v>
      </c>
      <c r="B3735" s="653"/>
      <c r="C3735" s="654"/>
      <c r="D3735" s="654"/>
      <c r="E3735" s="654"/>
      <c r="F3735" s="801"/>
      <c r="G3735" s="654"/>
      <c r="H3735" s="801"/>
      <c r="I3735" s="656"/>
      <c r="J3735" s="654"/>
      <c r="K3735" s="657"/>
      <c r="L3735" s="2003" t="s">
        <v>0</v>
      </c>
      <c r="M3735" s="2003"/>
      <c r="N3735" s="2003"/>
      <c r="O3735" s="2004"/>
      <c r="P3735" s="2010"/>
      <c r="Q3735" s="1064"/>
      <c r="R3735" s="1064"/>
    </row>
    <row r="3736" spans="1:18" ht="18">
      <c r="A3736" s="658" t="s">
        <v>1</v>
      </c>
      <c r="B3736" s="658"/>
      <c r="C3736" s="658"/>
      <c r="D3736" s="659" t="s">
        <v>2</v>
      </c>
      <c r="E3736" s="659"/>
      <c r="F3736" s="660"/>
      <c r="G3736" s="660"/>
      <c r="H3736" s="660"/>
      <c r="I3736" s="661"/>
      <c r="J3736" s="660"/>
      <c r="K3736" s="662" t="s">
        <v>3</v>
      </c>
      <c r="L3736" s="660"/>
      <c r="M3736" s="658"/>
      <c r="N3736" s="660"/>
      <c r="O3736" s="663"/>
      <c r="P3736" s="2010"/>
      <c r="Q3736" s="1064"/>
      <c r="R3736" s="1064"/>
    </row>
    <row r="3737" spans="1:18" ht="18">
      <c r="A3737" s="801" t="s">
        <v>22</v>
      </c>
      <c r="B3737" s="1990" t="s">
        <v>23</v>
      </c>
      <c r="C3737" s="2005"/>
      <c r="D3737" s="1989"/>
      <c r="E3737" s="801" t="s">
        <v>24</v>
      </c>
      <c r="F3737" s="1990" t="s">
        <v>25</v>
      </c>
      <c r="G3737" s="1989"/>
      <c r="H3737" s="1990" t="s">
        <v>26</v>
      </c>
      <c r="I3737" s="2005"/>
      <c r="J3737" s="2005"/>
      <c r="K3737" s="1989"/>
      <c r="L3737" s="2006" t="s">
        <v>27</v>
      </c>
      <c r="M3737" s="2006"/>
      <c r="N3737" s="2006"/>
      <c r="O3737" s="1990"/>
      <c r="P3737" s="2010"/>
      <c r="Q3737" s="1064"/>
      <c r="R3737" s="1064"/>
    </row>
    <row r="3738" spans="1:18" ht="18">
      <c r="A3738" s="664"/>
      <c r="B3738" s="1975"/>
      <c r="C3738" s="1976"/>
      <c r="D3738" s="1977"/>
      <c r="E3738" s="665"/>
      <c r="F3738" s="1975"/>
      <c r="G3738" s="1977"/>
      <c r="H3738" s="1975"/>
      <c r="I3738" s="1976"/>
      <c r="J3738" s="1976"/>
      <c r="K3738" s="1977"/>
      <c r="L3738" s="1975"/>
      <c r="M3738" s="1976"/>
      <c r="N3738" s="1976"/>
      <c r="O3738" s="1976"/>
      <c r="P3738" s="2010"/>
      <c r="Q3738" s="1064"/>
      <c r="R3738" s="1064"/>
    </row>
    <row r="3739" spans="1:18" ht="18">
      <c r="A3739" s="664" t="s">
        <v>28</v>
      </c>
      <c r="B3739" s="1975" t="s">
        <v>159</v>
      </c>
      <c r="C3739" s="1976"/>
      <c r="D3739" s="1977"/>
      <c r="E3739" s="665">
        <f>48.07+7.92</f>
        <v>55.99</v>
      </c>
      <c r="F3739" s="1975">
        <v>12</v>
      </c>
      <c r="G3739" s="1977"/>
      <c r="H3739" s="1975" t="s">
        <v>49</v>
      </c>
      <c r="I3739" s="1976"/>
      <c r="J3739" s="1976"/>
      <c r="K3739" s="1977"/>
      <c r="L3739" s="1976" t="s">
        <v>436</v>
      </c>
      <c r="M3739" s="1976"/>
      <c r="N3739" s="1976"/>
      <c r="O3739" s="1976"/>
      <c r="P3739" s="2010"/>
      <c r="Q3739" s="1064"/>
      <c r="R3739" s="1064"/>
    </row>
    <row r="3740" spans="1:18" ht="18">
      <c r="A3740" s="664" t="s">
        <v>29</v>
      </c>
      <c r="B3740" s="1975" t="s">
        <v>138</v>
      </c>
      <c r="C3740" s="1976"/>
      <c r="D3740" s="1977"/>
      <c r="E3740" s="665">
        <f>30.34+45.24</f>
        <v>75.58</v>
      </c>
      <c r="F3740" s="1975">
        <v>12</v>
      </c>
      <c r="G3740" s="1977"/>
      <c r="H3740" s="1975" t="s">
        <v>49</v>
      </c>
      <c r="I3740" s="1976"/>
      <c r="J3740" s="1976"/>
      <c r="K3740" s="1977"/>
      <c r="L3740" s="1976" t="s">
        <v>436</v>
      </c>
      <c r="M3740" s="1976"/>
      <c r="N3740" s="1976"/>
      <c r="O3740" s="1976"/>
      <c r="P3740" s="2010"/>
      <c r="Q3740" s="1064"/>
      <c r="R3740" s="1064"/>
    </row>
    <row r="3741" spans="1:18" ht="18">
      <c r="A3741" s="664" t="s">
        <v>30</v>
      </c>
      <c r="B3741" s="1975" t="s">
        <v>137</v>
      </c>
      <c r="C3741" s="1976"/>
      <c r="D3741" s="1977"/>
      <c r="E3741" s="665">
        <v>43.98</v>
      </c>
      <c r="F3741" s="1975">
        <v>12</v>
      </c>
      <c r="G3741" s="1977"/>
      <c r="H3741" s="1975" t="s">
        <v>49</v>
      </c>
      <c r="I3741" s="1976"/>
      <c r="J3741" s="1976"/>
      <c r="K3741" s="1977"/>
      <c r="L3741" s="1976" t="s">
        <v>436</v>
      </c>
      <c r="M3741" s="1976"/>
      <c r="N3741" s="1976"/>
      <c r="O3741" s="1976"/>
      <c r="P3741" s="2010"/>
      <c r="Q3741" s="1064"/>
      <c r="R3741" s="1064"/>
    </row>
    <row r="3742" spans="1:18" ht="18">
      <c r="A3742" s="664" t="s">
        <v>46</v>
      </c>
      <c r="B3742" s="1975" t="s">
        <v>136</v>
      </c>
      <c r="C3742" s="1976"/>
      <c r="D3742" s="1977"/>
      <c r="E3742" s="665">
        <v>41.63</v>
      </c>
      <c r="F3742" s="1975">
        <v>12</v>
      </c>
      <c r="G3742" s="1977"/>
      <c r="H3742" s="1975" t="s">
        <v>49</v>
      </c>
      <c r="I3742" s="1976"/>
      <c r="J3742" s="1976"/>
      <c r="K3742" s="1977"/>
      <c r="L3742" s="1976" t="s">
        <v>436</v>
      </c>
      <c r="M3742" s="1976"/>
      <c r="N3742" s="1976"/>
      <c r="O3742" s="1976"/>
      <c r="P3742" s="2010"/>
      <c r="Q3742" s="1064"/>
      <c r="R3742" s="1064"/>
    </row>
    <row r="3743" spans="1:18" ht="18">
      <c r="A3743" s="664"/>
      <c r="B3743" s="1975"/>
      <c r="C3743" s="1976"/>
      <c r="D3743" s="1977"/>
      <c r="E3743" s="665"/>
      <c r="F3743" s="1975"/>
      <c r="G3743" s="1977"/>
      <c r="H3743" s="1975"/>
      <c r="I3743" s="1976"/>
      <c r="J3743" s="1976"/>
      <c r="K3743" s="1977"/>
      <c r="L3743" s="1976"/>
      <c r="M3743" s="1976"/>
      <c r="N3743" s="1976"/>
      <c r="O3743" s="1976"/>
      <c r="P3743" s="2010"/>
      <c r="Q3743" s="1064"/>
      <c r="R3743" s="1064"/>
    </row>
    <row r="3744" spans="1:18" s="497" customFormat="1" ht="18">
      <c r="A3744" s="670" t="s">
        <v>58</v>
      </c>
      <c r="B3744" s="1976" t="s">
        <v>397</v>
      </c>
      <c r="C3744" s="1976"/>
      <c r="D3744" s="1976"/>
      <c r="E3744" s="671">
        <v>4.7699999999999996</v>
      </c>
      <c r="F3744" s="1975">
        <v>12</v>
      </c>
      <c r="G3744" s="1977"/>
      <c r="H3744" s="1975" t="s">
        <v>155</v>
      </c>
      <c r="I3744" s="1976"/>
      <c r="J3744" s="1976"/>
      <c r="K3744" s="1977"/>
      <c r="L3744" s="1976" t="s">
        <v>437</v>
      </c>
      <c r="M3744" s="1976"/>
      <c r="N3744" s="1976"/>
      <c r="O3744" s="1976"/>
      <c r="P3744" s="2010"/>
      <c r="Q3744" s="1064"/>
      <c r="R3744" s="1064"/>
    </row>
    <row r="3745" spans="1:18" s="497" customFormat="1" ht="18">
      <c r="A3745" s="670" t="s">
        <v>163</v>
      </c>
      <c r="B3745" s="1976" t="s">
        <v>398</v>
      </c>
      <c r="C3745" s="1976"/>
      <c r="D3745" s="1976"/>
      <c r="E3745" s="671">
        <v>4.7</v>
      </c>
      <c r="F3745" s="1975">
        <v>12</v>
      </c>
      <c r="G3745" s="1977"/>
      <c r="H3745" s="1975" t="s">
        <v>155</v>
      </c>
      <c r="I3745" s="1976"/>
      <c r="J3745" s="1976"/>
      <c r="K3745" s="1977"/>
      <c r="L3745" s="1976" t="s">
        <v>437</v>
      </c>
      <c r="M3745" s="1976"/>
      <c r="N3745" s="1976"/>
      <c r="O3745" s="1976"/>
      <c r="P3745" s="2010"/>
      <c r="Q3745" s="1064"/>
      <c r="R3745" s="1064"/>
    </row>
    <row r="3746" spans="1:18" ht="18">
      <c r="A3746" s="670" t="s">
        <v>302</v>
      </c>
      <c r="B3746" s="1976" t="s">
        <v>399</v>
      </c>
      <c r="C3746" s="1976"/>
      <c r="D3746" s="1976"/>
      <c r="E3746" s="671">
        <v>13.76</v>
      </c>
      <c r="F3746" s="1975">
        <v>12</v>
      </c>
      <c r="G3746" s="1977"/>
      <c r="H3746" s="1975" t="s">
        <v>155</v>
      </c>
      <c r="I3746" s="1976"/>
      <c r="J3746" s="1976"/>
      <c r="K3746" s="1977"/>
      <c r="L3746" s="1976" t="s">
        <v>437</v>
      </c>
      <c r="M3746" s="1976"/>
      <c r="N3746" s="1976"/>
      <c r="O3746" s="1976"/>
      <c r="P3746" s="2010"/>
      <c r="Q3746" s="1064"/>
      <c r="R3746" s="1064"/>
    </row>
    <row r="3747" spans="1:18" ht="18">
      <c r="A3747" s="664"/>
      <c r="B3747" s="1975"/>
      <c r="C3747" s="1976"/>
      <c r="D3747" s="1977"/>
      <c r="E3747" s="665"/>
      <c r="F3747" s="1975"/>
      <c r="G3747" s="1977"/>
      <c r="H3747" s="1975"/>
      <c r="I3747" s="1976"/>
      <c r="J3747" s="1976"/>
      <c r="K3747" s="1977"/>
      <c r="L3747" s="1975"/>
      <c r="M3747" s="1976"/>
      <c r="N3747" s="1976"/>
      <c r="O3747" s="1976"/>
      <c r="P3747" s="2010"/>
      <c r="Q3747" s="1064"/>
      <c r="R3747" s="1064"/>
    </row>
    <row r="3748" spans="1:18" ht="18.600000000000001" thickBot="1">
      <c r="A3748" s="664"/>
      <c r="B3748" s="795"/>
      <c r="C3748" s="796"/>
      <c r="D3748" s="796"/>
      <c r="E3748" s="665"/>
      <c r="F3748" s="796"/>
      <c r="G3748" s="797"/>
      <c r="H3748" s="795"/>
      <c r="I3748" s="1842"/>
      <c r="J3748" s="796"/>
      <c r="K3748" s="669"/>
      <c r="L3748" s="672"/>
      <c r="M3748" s="673"/>
      <c r="N3748" s="673"/>
      <c r="O3748" s="673"/>
      <c r="P3748" s="2010"/>
      <c r="Q3748" s="1064"/>
      <c r="R3748" s="1064"/>
    </row>
    <row r="3749" spans="1:18" ht="18">
      <c r="A3749" s="674"/>
      <c r="B3749" s="675"/>
      <c r="C3749" s="676"/>
      <c r="D3749" s="676"/>
      <c r="E3749" s="1980">
        <f>SUM(E3738:E3748)</f>
        <v>240.40999999999997</v>
      </c>
      <c r="F3749" s="677"/>
      <c r="G3749" s="678"/>
      <c r="H3749" s="679"/>
      <c r="I3749" s="1848"/>
      <c r="J3749" s="676"/>
      <c r="K3749" s="680"/>
      <c r="L3749" s="679"/>
      <c r="M3749" s="676"/>
      <c r="N3749" s="677"/>
      <c r="O3749" s="676"/>
      <c r="P3749" s="2010"/>
      <c r="Q3749" s="1064"/>
      <c r="R3749" s="1064"/>
    </row>
    <row r="3750" spans="1:18" ht="18.600000000000001" thickBot="1">
      <c r="A3750" s="681"/>
      <c r="B3750" s="682"/>
      <c r="C3750" s="683"/>
      <c r="D3750" s="683"/>
      <c r="E3750" s="1981"/>
      <c r="F3750" s="684"/>
      <c r="G3750" s="685"/>
      <c r="H3750" s="686"/>
      <c r="I3750" s="1850"/>
      <c r="J3750" s="683"/>
      <c r="K3750" s="687"/>
      <c r="L3750" s="686"/>
      <c r="M3750" s="683"/>
      <c r="N3750" s="684"/>
      <c r="O3750" s="683"/>
      <c r="P3750" s="2010"/>
      <c r="Q3750" s="1064"/>
      <c r="R3750" s="1064"/>
    </row>
    <row r="3751" spans="1:18" ht="18">
      <c r="A3751" s="688" t="s">
        <v>31</v>
      </c>
      <c r="B3751" s="676"/>
      <c r="C3751" s="676"/>
      <c r="D3751" s="676"/>
      <c r="E3751" s="676"/>
      <c r="F3751" s="677"/>
      <c r="G3751" s="676"/>
      <c r="H3751" s="677"/>
      <c r="I3751" s="1848"/>
      <c r="J3751" s="676"/>
      <c r="K3751" s="689"/>
      <c r="L3751" s="677"/>
      <c r="M3751" s="676"/>
      <c r="N3751" s="677"/>
      <c r="O3751" s="676"/>
      <c r="P3751" s="2010"/>
      <c r="Q3751" s="1064"/>
      <c r="R3751" s="1064"/>
    </row>
    <row r="3752" spans="1:18" ht="18">
      <c r="A3752" s="690"/>
      <c r="B3752" s="691"/>
      <c r="C3752" s="691"/>
      <c r="D3752" s="691"/>
      <c r="E3752" s="691"/>
      <c r="F3752" s="798"/>
      <c r="G3752" s="691"/>
      <c r="H3752" s="798"/>
      <c r="I3752" s="1849"/>
      <c r="J3752" s="691"/>
      <c r="K3752" s="693"/>
      <c r="L3752" s="798"/>
      <c r="M3752" s="691"/>
      <c r="N3752" s="798"/>
      <c r="O3752" s="691"/>
      <c r="P3752" s="2010"/>
      <c r="Q3752" s="1064"/>
      <c r="R3752" s="1064"/>
    </row>
    <row r="3753" spans="1:18" ht="18.600000000000001" thickBot="1">
      <c r="A3753" s="1982" t="s">
        <v>32</v>
      </c>
      <c r="B3753" s="1983"/>
      <c r="C3753" s="1984" t="s">
        <v>33</v>
      </c>
      <c r="D3753" s="1985"/>
      <c r="E3753" s="694" t="s">
        <v>34</v>
      </c>
      <c r="F3753" s="694" t="s">
        <v>35</v>
      </c>
      <c r="G3753" s="1986" t="s">
        <v>36</v>
      </c>
      <c r="H3753" s="1987"/>
      <c r="I3753" s="1987"/>
      <c r="J3753" s="1987"/>
      <c r="K3753" s="1987"/>
      <c r="L3753" s="1987"/>
      <c r="M3753" s="1987"/>
      <c r="N3753" s="1987"/>
      <c r="O3753" s="1987"/>
      <c r="P3753" s="2010"/>
      <c r="Q3753" s="1064"/>
      <c r="R3753" s="1064"/>
    </row>
    <row r="3754" spans="1:18" ht="18">
      <c r="A3754" s="1988"/>
      <c r="B3754" s="1989"/>
      <c r="C3754" s="1990"/>
      <c r="D3754" s="1989"/>
      <c r="E3754" s="801"/>
      <c r="F3754" s="799"/>
      <c r="G3754" s="1991"/>
      <c r="H3754" s="1992"/>
      <c r="I3754" s="1992"/>
      <c r="J3754" s="1992"/>
      <c r="K3754" s="1992"/>
      <c r="L3754" s="1992"/>
      <c r="M3754" s="1992"/>
      <c r="N3754" s="1992"/>
      <c r="O3754" s="1992"/>
      <c r="P3754" s="2010"/>
      <c r="Q3754" s="1064"/>
      <c r="R3754" s="1064"/>
    </row>
    <row r="3755" spans="1:18" ht="18">
      <c r="A3755" s="1997" t="s">
        <v>37</v>
      </c>
      <c r="B3755" s="1998"/>
      <c r="C3755" s="1990"/>
      <c r="D3755" s="1989"/>
      <c r="E3755" s="801"/>
      <c r="F3755" s="799"/>
      <c r="G3755" s="1993"/>
      <c r="H3755" s="1994"/>
      <c r="I3755" s="1994"/>
      <c r="J3755" s="1994"/>
      <c r="K3755" s="1994"/>
      <c r="L3755" s="1994"/>
      <c r="M3755" s="1994"/>
      <c r="N3755" s="1994"/>
      <c r="O3755" s="1994"/>
      <c r="P3755" s="2010"/>
      <c r="Q3755" s="1064"/>
      <c r="R3755" s="1064"/>
    </row>
    <row r="3756" spans="1:18" ht="18">
      <c r="A3756" s="1997" t="s">
        <v>38</v>
      </c>
      <c r="B3756" s="1998"/>
      <c r="C3756" s="1990"/>
      <c r="D3756" s="1989"/>
      <c r="E3756" s="801"/>
      <c r="F3756" s="799"/>
      <c r="G3756" s="1993"/>
      <c r="H3756" s="1994"/>
      <c r="I3756" s="1994"/>
      <c r="J3756" s="1994"/>
      <c r="K3756" s="1994"/>
      <c r="L3756" s="1994"/>
      <c r="M3756" s="1994"/>
      <c r="N3756" s="1994"/>
      <c r="O3756" s="1994"/>
      <c r="P3756" s="2010"/>
      <c r="Q3756" s="1064"/>
      <c r="R3756" s="1064"/>
    </row>
    <row r="3757" spans="1:18" ht="18">
      <c r="A3757" s="1997" t="s">
        <v>39</v>
      </c>
      <c r="B3757" s="1998"/>
      <c r="C3757" s="1990"/>
      <c r="D3757" s="1989"/>
      <c r="E3757" s="801"/>
      <c r="F3757" s="799"/>
      <c r="G3757" s="1993"/>
      <c r="H3757" s="1994"/>
      <c r="I3757" s="1994"/>
      <c r="J3757" s="1994"/>
      <c r="K3757" s="1994"/>
      <c r="L3757" s="1994"/>
      <c r="M3757" s="1994"/>
      <c r="N3757" s="1994"/>
      <c r="O3757" s="1994"/>
      <c r="P3757" s="2010"/>
      <c r="Q3757" s="1064"/>
      <c r="R3757" s="1064"/>
    </row>
    <row r="3758" spans="1:18" ht="18">
      <c r="A3758" s="1997" t="s">
        <v>40</v>
      </c>
      <c r="B3758" s="1998"/>
      <c r="C3758" s="1990"/>
      <c r="D3758" s="1989"/>
      <c r="E3758" s="801"/>
      <c r="F3758" s="799"/>
      <c r="G3758" s="1993"/>
      <c r="H3758" s="1994"/>
      <c r="I3758" s="1994"/>
      <c r="J3758" s="1994"/>
      <c r="K3758" s="1994"/>
      <c r="L3758" s="1994"/>
      <c r="M3758" s="1994"/>
      <c r="N3758" s="1994"/>
      <c r="O3758" s="1994"/>
      <c r="P3758" s="2010"/>
      <c r="Q3758" s="1064"/>
      <c r="R3758" s="1064"/>
    </row>
    <row r="3759" spans="1:18" ht="18.600000000000001" thickBot="1">
      <c r="A3759" s="1999" t="s">
        <v>41</v>
      </c>
      <c r="B3759" s="2000"/>
      <c r="C3759" s="2001"/>
      <c r="D3759" s="2002"/>
      <c r="E3759" s="696"/>
      <c r="F3759" s="800"/>
      <c r="G3759" s="1995"/>
      <c r="H3759" s="1996"/>
      <c r="I3759" s="1996"/>
      <c r="J3759" s="1996"/>
      <c r="K3759" s="1996"/>
      <c r="L3759" s="1996"/>
      <c r="M3759" s="1996"/>
      <c r="N3759" s="1996"/>
      <c r="O3759" s="1996"/>
      <c r="P3759" s="2010"/>
      <c r="Q3759" s="1064"/>
      <c r="R3759" s="1064"/>
    </row>
    <row r="3760" spans="1:18" ht="18">
      <c r="A3760" s="690"/>
      <c r="B3760" s="691"/>
      <c r="C3760" s="691"/>
      <c r="D3760" s="691"/>
      <c r="E3760" s="691"/>
      <c r="F3760" s="798"/>
      <c r="G3760" s="691"/>
      <c r="H3760" s="698"/>
      <c r="I3760" s="699"/>
      <c r="J3760" s="700"/>
      <c r="K3760" s="701"/>
      <c r="L3760" s="702"/>
      <c r="M3760" s="691"/>
      <c r="N3760" s="798"/>
      <c r="O3760" s="691"/>
      <c r="P3760" s="2010"/>
      <c r="Q3760" s="1064"/>
      <c r="R3760" s="1064"/>
    </row>
    <row r="3761" spans="1:19" ht="18">
      <c r="A3761" s="703" t="s">
        <v>42</v>
      </c>
      <c r="B3761" s="704"/>
      <c r="C3761" s="691"/>
      <c r="D3761" s="691"/>
      <c r="E3761" s="691"/>
      <c r="F3761" s="798"/>
      <c r="G3761" s="704"/>
      <c r="H3761" s="698"/>
      <c r="I3761" s="699"/>
      <c r="J3761" s="700"/>
      <c r="K3761" s="693"/>
      <c r="L3761" s="705"/>
      <c r="M3761" s="691"/>
      <c r="N3761" s="1979" t="s">
        <v>43</v>
      </c>
      <c r="O3761" s="1979"/>
      <c r="P3761" s="2010"/>
      <c r="Q3761" s="1064"/>
      <c r="R3761" s="1064"/>
    </row>
    <row r="3762" spans="1:19" ht="18">
      <c r="A3762" s="703"/>
      <c r="B3762" s="704"/>
      <c r="C3762" s="691"/>
      <c r="D3762" s="691"/>
      <c r="E3762" s="691"/>
      <c r="F3762" s="798"/>
      <c r="G3762" s="691"/>
      <c r="H3762" s="798"/>
      <c r="I3762" s="1849"/>
      <c r="J3762" s="691"/>
      <c r="K3762" s="693"/>
      <c r="L3762" s="798"/>
      <c r="M3762" s="691"/>
      <c r="N3762" s="798"/>
      <c r="O3762" s="704"/>
      <c r="P3762" s="2010"/>
      <c r="Q3762" s="1064"/>
      <c r="R3762" s="1064"/>
    </row>
    <row r="3763" spans="1:19" ht="18">
      <c r="A3763" s="703" t="s">
        <v>44</v>
      </c>
      <c r="B3763" s="704"/>
      <c r="C3763" s="691"/>
      <c r="D3763" s="691"/>
      <c r="E3763" s="691"/>
      <c r="F3763" s="798"/>
      <c r="G3763" s="691"/>
      <c r="H3763" s="798"/>
      <c r="I3763" s="1849"/>
      <c r="J3763" s="691"/>
      <c r="K3763" s="693"/>
      <c r="L3763" s="798"/>
      <c r="M3763" s="691"/>
      <c r="N3763" s="1979" t="s">
        <v>45</v>
      </c>
      <c r="O3763" s="1979"/>
      <c r="P3763" s="2010"/>
      <c r="Q3763" s="1064"/>
      <c r="R3763" s="1064"/>
    </row>
    <row r="3764" spans="1:19" ht="18.600000000000001" thickBot="1">
      <c r="A3764" s="682"/>
      <c r="B3764" s="683"/>
      <c r="C3764" s="683"/>
      <c r="D3764" s="683"/>
      <c r="E3764" s="683"/>
      <c r="F3764" s="684"/>
      <c r="G3764" s="683"/>
      <c r="H3764" s="684"/>
      <c r="I3764" s="1850"/>
      <c r="J3764" s="683"/>
      <c r="K3764" s="706"/>
      <c r="L3764" s="684"/>
      <c r="M3764" s="683"/>
      <c r="N3764" s="684"/>
      <c r="O3764" s="683"/>
      <c r="P3764" s="2010"/>
      <c r="Q3764" s="1064"/>
      <c r="R3764" s="1064"/>
    </row>
    <row r="3768" spans="1:19" ht="17.399999999999999">
      <c r="A3768" s="711" t="s">
        <v>48</v>
      </c>
      <c r="B3768" s="711"/>
      <c r="C3768" s="712"/>
      <c r="D3768" s="712"/>
      <c r="E3768" s="712"/>
      <c r="F3768" s="713"/>
      <c r="G3768" s="712"/>
      <c r="H3768" s="712"/>
      <c r="I3768" s="714"/>
      <c r="J3768" s="715"/>
      <c r="K3768" s="716"/>
      <c r="L3768" s="1978" t="s">
        <v>0</v>
      </c>
      <c r="M3768" s="1978"/>
      <c r="N3768" s="1978"/>
      <c r="O3768" s="1978"/>
      <c r="P3768" s="717"/>
      <c r="Q3768" s="717"/>
      <c r="R3768" s="717"/>
    </row>
    <row r="3769" spans="1:19" ht="17.399999999999999">
      <c r="A3769" s="718" t="s">
        <v>1</v>
      </c>
      <c r="B3769" s="718"/>
      <c r="C3769" s="718"/>
      <c r="D3769" s="719" t="s">
        <v>2</v>
      </c>
      <c r="E3769" s="719"/>
      <c r="F3769" s="720"/>
      <c r="G3769" s="720"/>
      <c r="H3769" s="720"/>
      <c r="I3769" s="721"/>
      <c r="J3769" s="812"/>
      <c r="K3769" s="723" t="s">
        <v>3</v>
      </c>
      <c r="L3769" s="812"/>
      <c r="M3769" s="718"/>
      <c r="N3769" s="720"/>
      <c r="O3769" s="718"/>
      <c r="P3769" s="724"/>
      <c r="Q3769" s="1059"/>
      <c r="R3769" s="1059"/>
    </row>
    <row r="3770" spans="1:19" ht="52.2">
      <c r="A3770" s="640" t="s">
        <v>4</v>
      </c>
      <c r="B3770" s="640" t="s">
        <v>5</v>
      </c>
      <c r="C3770" s="640" t="s">
        <v>6</v>
      </c>
      <c r="D3770" s="640" t="s">
        <v>7</v>
      </c>
      <c r="E3770" s="640" t="s">
        <v>8</v>
      </c>
      <c r="F3770" s="641" t="s">
        <v>9</v>
      </c>
      <c r="G3770" s="642" t="s">
        <v>10</v>
      </c>
      <c r="H3770" s="642" t="s">
        <v>11</v>
      </c>
      <c r="I3770" s="833" t="s">
        <v>534</v>
      </c>
      <c r="J3770" s="644" t="s">
        <v>13</v>
      </c>
      <c r="K3770" s="645" t="s">
        <v>14</v>
      </c>
      <c r="L3770" s="646" t="s">
        <v>15</v>
      </c>
      <c r="M3770" s="641" t="s">
        <v>16</v>
      </c>
      <c r="N3770" s="641" t="s">
        <v>17</v>
      </c>
      <c r="O3770" s="641" t="s">
        <v>18</v>
      </c>
      <c r="P3770" s="641" t="s">
        <v>192</v>
      </c>
      <c r="Q3770" s="1063"/>
      <c r="R3770" s="1063"/>
    </row>
    <row r="3771" spans="1:19" ht="17.399999999999999">
      <c r="A3771" s="547" t="s">
        <v>445</v>
      </c>
      <c r="B3771" s="547" t="s">
        <v>465</v>
      </c>
      <c r="C3771" s="547" t="s">
        <v>19</v>
      </c>
      <c r="D3771" s="547" t="s">
        <v>20</v>
      </c>
      <c r="E3771" s="560" t="s">
        <v>464</v>
      </c>
      <c r="F3771" s="548">
        <v>12</v>
      </c>
      <c r="G3771" s="549" t="s">
        <v>21</v>
      </c>
      <c r="H3771" s="599" t="s">
        <v>133</v>
      </c>
      <c r="I3771" s="558">
        <v>15</v>
      </c>
      <c r="J3771" s="567">
        <v>8.1999999999999993</v>
      </c>
      <c r="K3771" s="652">
        <v>2</v>
      </c>
      <c r="L3771" s="552">
        <f t="shared" ref="L3771:L3776" si="676">(I3771*J3771*K3771/1000)</f>
        <v>0.24599999999999997</v>
      </c>
      <c r="M3771" s="549"/>
      <c r="N3771" s="567"/>
      <c r="O3771" s="567">
        <v>6.6</v>
      </c>
      <c r="P3771" s="549"/>
      <c r="Q3771" s="1059"/>
      <c r="R3771" s="1059"/>
      <c r="S3771" s="497" t="s">
        <v>528</v>
      </c>
    </row>
    <row r="3772" spans="1:19" ht="17.399999999999999">
      <c r="A3772" s="550"/>
      <c r="B3772" s="549" t="s">
        <v>439</v>
      </c>
      <c r="C3772" s="550"/>
      <c r="D3772" s="550"/>
      <c r="E3772" s="548"/>
      <c r="F3772" s="548"/>
      <c r="G3772" s="549" t="s">
        <v>21</v>
      </c>
      <c r="H3772" s="549" t="s">
        <v>133</v>
      </c>
      <c r="I3772" s="558">
        <v>15</v>
      </c>
      <c r="J3772" s="567">
        <v>8.1999999999999993</v>
      </c>
      <c r="K3772" s="652">
        <v>59</v>
      </c>
      <c r="L3772" s="552">
        <f t="shared" si="676"/>
        <v>7.2569999999999988</v>
      </c>
      <c r="M3772" s="549"/>
      <c r="N3772" s="549"/>
      <c r="O3772" s="549"/>
      <c r="P3772" s="549"/>
      <c r="Q3772" s="1059"/>
      <c r="R3772" s="1059"/>
    </row>
    <row r="3773" spans="1:19" ht="17.399999999999999">
      <c r="A3773" s="549"/>
      <c r="B3773" s="549"/>
      <c r="C3773" s="549"/>
      <c r="D3773" s="549"/>
      <c r="E3773" s="560"/>
      <c r="F3773" s="549"/>
      <c r="G3773" s="549" t="s">
        <v>21</v>
      </c>
      <c r="H3773" s="549" t="s">
        <v>133</v>
      </c>
      <c r="I3773" s="558">
        <v>15</v>
      </c>
      <c r="J3773" s="567">
        <v>9.6999999999999993</v>
      </c>
      <c r="K3773" s="652">
        <v>29</v>
      </c>
      <c r="L3773" s="552">
        <f t="shared" si="676"/>
        <v>4.2195</v>
      </c>
      <c r="M3773" s="549"/>
      <c r="N3773" s="549"/>
      <c r="O3773" s="549"/>
      <c r="P3773" s="549"/>
      <c r="Q3773" s="1059"/>
      <c r="R3773" s="1059"/>
    </row>
    <row r="3774" spans="1:19" ht="17.399999999999999">
      <c r="A3774" s="549"/>
      <c r="B3774" s="549"/>
      <c r="C3774" s="549"/>
      <c r="D3774" s="549"/>
      <c r="E3774" s="560"/>
      <c r="F3774" s="549"/>
      <c r="G3774" s="549" t="s">
        <v>21</v>
      </c>
      <c r="H3774" s="549" t="s">
        <v>133</v>
      </c>
      <c r="I3774" s="558">
        <v>15</v>
      </c>
      <c r="J3774" s="567">
        <v>10.7</v>
      </c>
      <c r="K3774" s="652">
        <v>58</v>
      </c>
      <c r="L3774" s="552">
        <f t="shared" si="676"/>
        <v>9.3089999999999993</v>
      </c>
      <c r="M3774" s="549"/>
      <c r="N3774" s="549"/>
      <c r="O3774" s="549"/>
      <c r="P3774" s="549"/>
      <c r="Q3774" s="1059"/>
      <c r="R3774" s="1059"/>
    </row>
    <row r="3775" spans="1:19" ht="17.399999999999999">
      <c r="A3775" s="549"/>
      <c r="B3775" s="549"/>
      <c r="C3775" s="549"/>
      <c r="D3775" s="549"/>
      <c r="E3775" s="560"/>
      <c r="F3775" s="549"/>
      <c r="G3775" s="549" t="s">
        <v>21</v>
      </c>
      <c r="H3775" s="549" t="s">
        <v>133</v>
      </c>
      <c r="I3775" s="558">
        <v>15</v>
      </c>
      <c r="J3775" s="567">
        <v>11.1</v>
      </c>
      <c r="K3775" s="652">
        <v>32</v>
      </c>
      <c r="L3775" s="552">
        <f t="shared" si="676"/>
        <v>5.3280000000000003</v>
      </c>
      <c r="M3775" s="549"/>
      <c r="N3775" s="549"/>
      <c r="O3775" s="549"/>
      <c r="P3775" s="549"/>
      <c r="Q3775" s="1059"/>
      <c r="R3775" s="1059"/>
    </row>
    <row r="3776" spans="1:19" ht="17.399999999999999">
      <c r="A3776" s="549"/>
      <c r="B3776" s="549"/>
      <c r="C3776" s="549"/>
      <c r="D3776" s="549"/>
      <c r="E3776" s="560"/>
      <c r="F3776" s="549"/>
      <c r="G3776" s="549" t="s">
        <v>21</v>
      </c>
      <c r="H3776" s="549" t="s">
        <v>133</v>
      </c>
      <c r="I3776" s="558">
        <v>15</v>
      </c>
      <c r="J3776" s="567">
        <v>11.7</v>
      </c>
      <c r="K3776" s="652">
        <v>124</v>
      </c>
      <c r="L3776" s="552">
        <f t="shared" si="676"/>
        <v>21.762</v>
      </c>
      <c r="M3776" s="549"/>
      <c r="N3776" s="549"/>
      <c r="O3776" s="549"/>
      <c r="P3776" s="549"/>
      <c r="Q3776" s="1059"/>
      <c r="R3776" s="1059"/>
    </row>
    <row r="3777" spans="1:19" ht="17.399999999999999">
      <c r="A3777" s="549"/>
      <c r="B3777" s="549"/>
      <c r="C3777" s="549"/>
      <c r="D3777" s="549"/>
      <c r="E3777" s="560"/>
      <c r="F3777" s="549"/>
      <c r="G3777" s="549"/>
      <c r="H3777" s="549"/>
      <c r="I3777" s="558"/>
      <c r="J3777" s="567"/>
      <c r="K3777" s="652">
        <f>SUM(K3771:K3776)</f>
        <v>304</v>
      </c>
      <c r="L3777" s="565">
        <f>SUM(L3771:L3776)</f>
        <v>48.121499999999997</v>
      </c>
      <c r="M3777" s="549"/>
      <c r="N3777" s="549"/>
      <c r="O3777" s="549"/>
      <c r="P3777" s="549"/>
      <c r="Q3777" s="1059"/>
      <c r="R3777" s="1059"/>
    </row>
    <row r="3778" spans="1:19" ht="17.399999999999999">
      <c r="A3778" s="549"/>
      <c r="B3778" s="549"/>
      <c r="C3778" s="549"/>
      <c r="D3778" s="549"/>
      <c r="E3778" s="560"/>
      <c r="F3778" s="549"/>
      <c r="G3778" s="549"/>
      <c r="H3778" s="549"/>
      <c r="I3778" s="558"/>
      <c r="J3778" s="567"/>
      <c r="K3778" s="652"/>
      <c r="L3778" s="565"/>
      <c r="M3778" s="549"/>
      <c r="N3778" s="549"/>
      <c r="O3778" s="549"/>
      <c r="P3778" s="549"/>
      <c r="Q3778" s="1059"/>
      <c r="R3778" s="1059"/>
    </row>
    <row r="3779" spans="1:19" ht="17.399999999999999">
      <c r="A3779" s="547" t="s">
        <v>174</v>
      </c>
      <c r="B3779" s="547" t="s">
        <v>442</v>
      </c>
      <c r="C3779" s="547" t="s">
        <v>19</v>
      </c>
      <c r="D3779" s="547" t="s">
        <v>20</v>
      </c>
      <c r="E3779" s="547" t="s">
        <v>57</v>
      </c>
      <c r="F3779" s="548">
        <v>12</v>
      </c>
      <c r="G3779" s="550" t="s">
        <v>21</v>
      </c>
      <c r="H3779" s="599" t="s">
        <v>133</v>
      </c>
      <c r="I3779" s="551">
        <v>15</v>
      </c>
      <c r="J3779" s="567">
        <v>8.9</v>
      </c>
      <c r="K3779" s="652">
        <v>14</v>
      </c>
      <c r="L3779" s="552">
        <f>(I3779*J3779*K3779/1000)</f>
        <v>1.869</v>
      </c>
      <c r="M3779" s="550"/>
      <c r="N3779" s="550"/>
      <c r="O3779" s="550"/>
      <c r="P3779" s="550"/>
      <c r="Q3779" s="1065"/>
      <c r="R3779" s="1065"/>
      <c r="S3779" s="497" t="s">
        <v>528</v>
      </c>
    </row>
    <row r="3780" spans="1:19" ht="17.399999999999999">
      <c r="A3780" s="550"/>
      <c r="B3780" s="549" t="s">
        <v>443</v>
      </c>
      <c r="C3780" s="550"/>
      <c r="D3780" s="550"/>
      <c r="E3780" s="548"/>
      <c r="F3780" s="548"/>
      <c r="G3780" s="550"/>
      <c r="H3780" s="768"/>
      <c r="I3780" s="551"/>
      <c r="J3780" s="765"/>
      <c r="K3780" s="708">
        <f>SUM(K3779:K3779)</f>
        <v>14</v>
      </c>
      <c r="L3780" s="709">
        <f>SUM(L3779:L3779)</f>
        <v>1.869</v>
      </c>
      <c r="M3780" s="550"/>
      <c r="N3780" s="550"/>
      <c r="O3780" s="550"/>
      <c r="P3780" s="550"/>
      <c r="Q3780" s="1065"/>
      <c r="R3780" s="1065"/>
    </row>
    <row r="3781" spans="1:19" ht="17.399999999999999">
      <c r="A3781" s="549"/>
      <c r="B3781" s="549"/>
      <c r="C3781" s="549"/>
      <c r="D3781" s="549"/>
      <c r="E3781" s="560"/>
      <c r="F3781" s="549"/>
      <c r="G3781" s="549"/>
      <c r="H3781" s="549"/>
      <c r="I3781" s="558"/>
      <c r="J3781" s="567"/>
      <c r="K3781" s="652"/>
      <c r="L3781" s="565"/>
      <c r="M3781" s="549"/>
      <c r="N3781" s="549"/>
      <c r="O3781" s="549"/>
      <c r="P3781" s="549"/>
      <c r="Q3781" s="1059"/>
      <c r="R3781" s="1059"/>
    </row>
    <row r="3782" spans="1:19" ht="17.399999999999999">
      <c r="A3782" s="547" t="s">
        <v>174</v>
      </c>
      <c r="B3782" s="547" t="s">
        <v>442</v>
      </c>
      <c r="C3782" s="547" t="s">
        <v>19</v>
      </c>
      <c r="D3782" s="547" t="s">
        <v>20</v>
      </c>
      <c r="E3782" s="547" t="s">
        <v>175</v>
      </c>
      <c r="F3782" s="548">
        <v>12</v>
      </c>
      <c r="G3782" s="550" t="s">
        <v>21</v>
      </c>
      <c r="H3782" s="599" t="s">
        <v>133</v>
      </c>
      <c r="I3782" s="551">
        <v>15</v>
      </c>
      <c r="J3782" s="567">
        <v>6.9</v>
      </c>
      <c r="K3782" s="652">
        <v>48</v>
      </c>
      <c r="L3782" s="552">
        <f>(I3782*J3782*K3782/1000)</f>
        <v>4.968</v>
      </c>
      <c r="M3782" s="550"/>
      <c r="N3782" s="550"/>
      <c r="O3782" s="550"/>
      <c r="P3782" s="550"/>
      <c r="Q3782" s="1065"/>
      <c r="R3782" s="1065"/>
      <c r="S3782" s="497" t="s">
        <v>528</v>
      </c>
    </row>
    <row r="3783" spans="1:19" ht="17.399999999999999">
      <c r="A3783" s="550"/>
      <c r="B3783" s="549" t="s">
        <v>443</v>
      </c>
      <c r="C3783" s="550"/>
      <c r="D3783" s="550"/>
      <c r="E3783" s="548"/>
      <c r="F3783" s="548"/>
      <c r="G3783" s="549" t="s">
        <v>21</v>
      </c>
      <c r="H3783" s="549" t="s">
        <v>133</v>
      </c>
      <c r="I3783" s="558">
        <v>15</v>
      </c>
      <c r="J3783" s="567">
        <v>11.95</v>
      </c>
      <c r="K3783" s="652">
        <v>6</v>
      </c>
      <c r="L3783" s="552">
        <f>(I3783*J3783*K3783/1000)</f>
        <v>1.0754999999999999</v>
      </c>
      <c r="M3783" s="550"/>
      <c r="N3783" s="550"/>
      <c r="O3783" s="550"/>
      <c r="P3783" s="550"/>
      <c r="Q3783" s="1065"/>
      <c r="R3783" s="1065"/>
    </row>
    <row r="3784" spans="1:19" ht="17.399999999999999">
      <c r="A3784" s="549"/>
      <c r="B3784" s="549"/>
      <c r="C3784" s="549"/>
      <c r="D3784" s="549"/>
      <c r="E3784" s="560"/>
      <c r="F3784" s="549"/>
      <c r="G3784" s="549"/>
      <c r="H3784" s="549"/>
      <c r="I3784" s="558"/>
      <c r="J3784" s="567"/>
      <c r="K3784" s="652">
        <f>SUM(K3782:K3783)</f>
        <v>54</v>
      </c>
      <c r="L3784" s="565">
        <f>SUM(L3782:L3783)</f>
        <v>6.0434999999999999</v>
      </c>
      <c r="M3784" s="549"/>
      <c r="N3784" s="549"/>
      <c r="O3784" s="549"/>
      <c r="P3784" s="549"/>
      <c r="Q3784" s="1059"/>
      <c r="R3784" s="1059"/>
    </row>
    <row r="3785" spans="1:19" s="497" customFormat="1" ht="17.399999999999999">
      <c r="A3785" s="549"/>
      <c r="B3785" s="549"/>
      <c r="C3785" s="549"/>
      <c r="D3785" s="549"/>
      <c r="E3785" s="560"/>
      <c r="F3785" s="549"/>
      <c r="G3785" s="549"/>
      <c r="H3785" s="549"/>
      <c r="I3785" s="558"/>
      <c r="J3785" s="567"/>
      <c r="K3785" s="652"/>
      <c r="L3785" s="565"/>
      <c r="M3785" s="549"/>
      <c r="N3785" s="549"/>
      <c r="O3785" s="549"/>
      <c r="P3785" s="549"/>
      <c r="Q3785" s="1059"/>
      <c r="R3785" s="1059"/>
    </row>
    <row r="3786" spans="1:19" s="497" customFormat="1" ht="17.399999999999999">
      <c r="A3786" s="547" t="s">
        <v>445</v>
      </c>
      <c r="B3786" s="547" t="s">
        <v>479</v>
      </c>
      <c r="C3786" s="547" t="s">
        <v>19</v>
      </c>
      <c r="D3786" s="547" t="s">
        <v>20</v>
      </c>
      <c r="E3786" s="547" t="s">
        <v>478</v>
      </c>
      <c r="F3786" s="548">
        <v>12</v>
      </c>
      <c r="G3786" s="549" t="s">
        <v>21</v>
      </c>
      <c r="H3786" s="599" t="s">
        <v>133</v>
      </c>
      <c r="I3786" s="558">
        <v>15</v>
      </c>
      <c r="J3786" s="567">
        <v>11.3</v>
      </c>
      <c r="K3786" s="648">
        <v>11</v>
      </c>
      <c r="L3786" s="552">
        <f>(I3786*J3786*K3786/1000)</f>
        <v>1.8645</v>
      </c>
      <c r="M3786" s="549">
        <v>3</v>
      </c>
      <c r="N3786" s="567">
        <f>J3786*M3786*I3786/1000</f>
        <v>0.50850000000000006</v>
      </c>
      <c r="O3786" s="549"/>
      <c r="P3786" s="549"/>
      <c r="Q3786" s="1059"/>
      <c r="R3786" s="1059"/>
      <c r="S3786" s="497" t="s">
        <v>528</v>
      </c>
    </row>
    <row r="3787" spans="1:19" s="497" customFormat="1" ht="17.399999999999999">
      <c r="A3787" s="547"/>
      <c r="B3787" s="549" t="s">
        <v>423</v>
      </c>
      <c r="C3787" s="547"/>
      <c r="D3787" s="547"/>
      <c r="E3787" s="547"/>
      <c r="F3787" s="548"/>
      <c r="G3787" s="549" t="s">
        <v>21</v>
      </c>
      <c r="H3787" s="549" t="s">
        <v>133</v>
      </c>
      <c r="I3787" s="558">
        <v>15</v>
      </c>
      <c r="J3787" s="567">
        <v>12</v>
      </c>
      <c r="K3787" s="648">
        <v>7</v>
      </c>
      <c r="L3787" s="552">
        <f>(I3787*J3787*K3787/1000)</f>
        <v>1.26</v>
      </c>
      <c r="M3787" s="549"/>
      <c r="N3787" s="549"/>
      <c r="O3787" s="549"/>
      <c r="P3787" s="549"/>
      <c r="Q3787" s="1059"/>
      <c r="R3787" s="1059"/>
    </row>
    <row r="3788" spans="1:19" s="497" customFormat="1" ht="17.399999999999999">
      <c r="A3788" s="550"/>
      <c r="B3788" s="792"/>
      <c r="C3788" s="550"/>
      <c r="D3788" s="550"/>
      <c r="E3788" s="548"/>
      <c r="F3788" s="548"/>
      <c r="G3788" s="549"/>
      <c r="H3788" s="549"/>
      <c r="I3788" s="558"/>
      <c r="J3788" s="567"/>
      <c r="K3788" s="727">
        <f>SUM(K3786:K3787)</f>
        <v>18</v>
      </c>
      <c r="L3788" s="565">
        <f>SUM(L3786:L3787)</f>
        <v>3.1245000000000003</v>
      </c>
      <c r="M3788" s="727">
        <f>SUM(M3786:M3787)</f>
        <v>3</v>
      </c>
      <c r="N3788" s="565">
        <f>SUM(N3786:N3787)</f>
        <v>0.50850000000000006</v>
      </c>
      <c r="O3788" s="549"/>
      <c r="P3788" s="549"/>
      <c r="Q3788" s="1059"/>
      <c r="R3788" s="1059"/>
    </row>
    <row r="3789" spans="1:19" s="497" customFormat="1" ht="17.399999999999999">
      <c r="A3789" s="550"/>
      <c r="B3789" s="792"/>
      <c r="C3789" s="550"/>
      <c r="D3789" s="550"/>
      <c r="E3789" s="548"/>
      <c r="F3789" s="548"/>
      <c r="G3789" s="549"/>
      <c r="H3789" s="549"/>
      <c r="I3789" s="558"/>
      <c r="J3789" s="567"/>
      <c r="K3789" s="652"/>
      <c r="L3789" s="565"/>
      <c r="M3789" s="549"/>
      <c r="N3789" s="549"/>
      <c r="O3789" s="549"/>
      <c r="P3789" s="549"/>
      <c r="Q3789" s="1059"/>
      <c r="R3789" s="1059"/>
    </row>
    <row r="3790" spans="1:19" s="497" customFormat="1" ht="17.399999999999999">
      <c r="A3790" s="547" t="s">
        <v>445</v>
      </c>
      <c r="B3790" s="547" t="s">
        <v>480</v>
      </c>
      <c r="C3790" s="547" t="s">
        <v>19</v>
      </c>
      <c r="D3790" s="547" t="s">
        <v>20</v>
      </c>
      <c r="E3790" s="560" t="s">
        <v>464</v>
      </c>
      <c r="F3790" s="548">
        <v>12</v>
      </c>
      <c r="G3790" s="549" t="s">
        <v>21</v>
      </c>
      <c r="H3790" s="599" t="s">
        <v>133</v>
      </c>
      <c r="I3790" s="558">
        <v>15</v>
      </c>
      <c r="J3790" s="567">
        <v>6.6</v>
      </c>
      <c r="K3790" s="648">
        <v>38</v>
      </c>
      <c r="L3790" s="552">
        <f>(I3790*J3790*K3790/1000)</f>
        <v>3.762</v>
      </c>
      <c r="M3790" s="549"/>
      <c r="N3790" s="549"/>
      <c r="O3790" s="549"/>
      <c r="P3790" s="549"/>
      <c r="Q3790" s="1059"/>
      <c r="R3790" s="1059"/>
      <c r="S3790" s="497" t="s">
        <v>528</v>
      </c>
    </row>
    <row r="3791" spans="1:19" s="497" customFormat="1" ht="17.399999999999999">
      <c r="A3791" s="547"/>
      <c r="B3791" s="549" t="s">
        <v>439</v>
      </c>
      <c r="C3791" s="547"/>
      <c r="D3791" s="547"/>
      <c r="E3791" s="547"/>
      <c r="F3791" s="548"/>
      <c r="G3791" s="549" t="s">
        <v>21</v>
      </c>
      <c r="H3791" s="549" t="s">
        <v>133</v>
      </c>
      <c r="I3791" s="558">
        <v>15</v>
      </c>
      <c r="J3791" s="567">
        <v>8.1999999999999993</v>
      </c>
      <c r="K3791" s="648">
        <v>28</v>
      </c>
      <c r="L3791" s="552">
        <f>(I3791*J3791*K3791/1000)</f>
        <v>3.4439999999999995</v>
      </c>
      <c r="M3791" s="549"/>
      <c r="N3791" s="549"/>
      <c r="O3791" s="549"/>
      <c r="P3791" s="549"/>
      <c r="Q3791" s="1059"/>
      <c r="R3791" s="1059"/>
    </row>
    <row r="3792" spans="1:19" s="497" customFormat="1" ht="17.399999999999999">
      <c r="A3792" s="550"/>
      <c r="B3792" s="792"/>
      <c r="C3792" s="550"/>
      <c r="D3792" s="550"/>
      <c r="E3792" s="548"/>
      <c r="F3792" s="548"/>
      <c r="G3792" s="549" t="s">
        <v>21</v>
      </c>
      <c r="H3792" s="549" t="s">
        <v>133</v>
      </c>
      <c r="I3792" s="558">
        <v>15</v>
      </c>
      <c r="J3792" s="567">
        <v>8.6999999999999993</v>
      </c>
      <c r="K3792" s="648">
        <v>24</v>
      </c>
      <c r="L3792" s="552">
        <f>(I3792*J3792*K3792/1000)</f>
        <v>3.1320000000000001</v>
      </c>
      <c r="M3792" s="549"/>
      <c r="N3792" s="549"/>
      <c r="O3792" s="549"/>
      <c r="P3792" s="549"/>
      <c r="Q3792" s="1059"/>
      <c r="R3792" s="1059"/>
    </row>
    <row r="3793" spans="1:23" s="497" customFormat="1" ht="17.399999999999999">
      <c r="A3793" s="550"/>
      <c r="B3793" s="792"/>
      <c r="C3793" s="550"/>
      <c r="D3793" s="550"/>
      <c r="E3793" s="548"/>
      <c r="F3793" s="548"/>
      <c r="G3793" s="549" t="s">
        <v>21</v>
      </c>
      <c r="H3793" s="549" t="s">
        <v>133</v>
      </c>
      <c r="I3793" s="558">
        <v>15</v>
      </c>
      <c r="J3793" s="567">
        <v>11.1</v>
      </c>
      <c r="K3793" s="648">
        <v>8</v>
      </c>
      <c r="L3793" s="552">
        <f>(I3793*J3793*K3793/1000)</f>
        <v>1.3320000000000001</v>
      </c>
      <c r="M3793" s="549"/>
      <c r="N3793" s="549"/>
      <c r="O3793" s="549"/>
      <c r="P3793" s="549"/>
      <c r="Q3793" s="1059"/>
      <c r="R3793" s="1059"/>
    </row>
    <row r="3794" spans="1:23" s="497" customFormat="1" ht="17.399999999999999">
      <c r="A3794" s="550"/>
      <c r="B3794" s="792"/>
      <c r="C3794" s="550"/>
      <c r="D3794" s="550"/>
      <c r="E3794" s="548"/>
      <c r="F3794" s="548"/>
      <c r="G3794" s="549" t="s">
        <v>21</v>
      </c>
      <c r="H3794" s="549" t="s">
        <v>133</v>
      </c>
      <c r="I3794" s="558">
        <v>15</v>
      </c>
      <c r="J3794" s="567">
        <v>12</v>
      </c>
      <c r="K3794" s="648">
        <v>29</v>
      </c>
      <c r="L3794" s="552">
        <f>(I3794*J3794*K3794/1000)</f>
        <v>5.22</v>
      </c>
      <c r="M3794" s="549"/>
      <c r="N3794" s="549"/>
      <c r="O3794" s="549"/>
      <c r="P3794" s="549"/>
      <c r="Q3794" s="1059"/>
      <c r="R3794" s="1059"/>
    </row>
    <row r="3795" spans="1:23" s="497" customFormat="1" ht="17.399999999999999">
      <c r="A3795" s="550"/>
      <c r="B3795" s="792"/>
      <c r="C3795" s="550"/>
      <c r="D3795" s="550"/>
      <c r="E3795" s="548"/>
      <c r="F3795" s="548"/>
      <c r="G3795" s="549"/>
      <c r="H3795" s="549"/>
      <c r="I3795" s="560"/>
      <c r="J3795" s="567"/>
      <c r="K3795" s="727">
        <f>SUM(K3790:K3794)</f>
        <v>127</v>
      </c>
      <c r="L3795" s="565">
        <f>SUM(L3790:L3794)</f>
        <v>16.89</v>
      </c>
      <c r="M3795" s="549"/>
      <c r="N3795" s="549"/>
      <c r="O3795" s="549"/>
      <c r="P3795" s="549"/>
      <c r="Q3795" s="1059"/>
      <c r="R3795" s="1059"/>
    </row>
    <row r="3796" spans="1:23" s="497" customFormat="1" ht="17.399999999999999">
      <c r="A3796" s="550"/>
      <c r="B3796" s="792"/>
      <c r="C3796" s="550"/>
      <c r="D3796" s="550"/>
      <c r="E3796" s="548"/>
      <c r="F3796" s="548"/>
      <c r="G3796" s="549"/>
      <c r="H3796" s="549"/>
      <c r="I3796" s="560"/>
      <c r="J3796" s="567"/>
      <c r="K3796" s="727"/>
      <c r="L3796" s="565"/>
      <c r="M3796" s="549"/>
      <c r="N3796" s="549"/>
      <c r="O3796" s="549"/>
      <c r="P3796" s="549"/>
      <c r="Q3796" s="1059"/>
      <c r="R3796" s="1059"/>
    </row>
    <row r="3797" spans="1:23" ht="17.399999999999999">
      <c r="A3797" s="547" t="s">
        <v>451</v>
      </c>
      <c r="B3797" s="547" t="s">
        <v>454</v>
      </c>
      <c r="C3797" s="547" t="s">
        <v>19</v>
      </c>
      <c r="D3797" s="547" t="s">
        <v>20</v>
      </c>
      <c r="E3797" s="547" t="s">
        <v>359</v>
      </c>
      <c r="F3797" s="548">
        <v>12</v>
      </c>
      <c r="G3797" s="549" t="s">
        <v>21</v>
      </c>
      <c r="H3797" s="599" t="s">
        <v>133</v>
      </c>
      <c r="I3797" s="558">
        <v>15.04</v>
      </c>
      <c r="J3797" s="567">
        <v>12</v>
      </c>
      <c r="K3797" s="652">
        <v>4</v>
      </c>
      <c r="L3797" s="552">
        <f>(I3797*J3797*K3797/1000)</f>
        <v>0.72192000000000001</v>
      </c>
      <c r="M3797" s="549"/>
      <c r="N3797" s="549"/>
      <c r="O3797" s="567">
        <v>11.8</v>
      </c>
      <c r="P3797" s="549"/>
      <c r="Q3797" s="1059"/>
      <c r="R3797" s="1059"/>
      <c r="S3797" s="497" t="s">
        <v>528</v>
      </c>
    </row>
    <row r="3798" spans="1:23" ht="17.399999999999999">
      <c r="A3798" s="550"/>
      <c r="B3798" s="549" t="s">
        <v>333</v>
      </c>
      <c r="C3798" s="550"/>
      <c r="D3798" s="550"/>
      <c r="E3798" s="548"/>
      <c r="F3798" s="548"/>
      <c r="G3798" s="549"/>
      <c r="H3798" s="549"/>
      <c r="I3798" s="558"/>
      <c r="J3798" s="567"/>
      <c r="K3798" s="652">
        <f>SUM(K3797:K3797)</f>
        <v>4</v>
      </c>
      <c r="L3798" s="565">
        <f>SUM(L3797:L3797)</f>
        <v>0.72192000000000001</v>
      </c>
      <c r="M3798" s="549"/>
      <c r="N3798" s="549"/>
      <c r="O3798" s="549"/>
      <c r="P3798" s="549"/>
      <c r="Q3798" s="1059"/>
      <c r="R3798" s="1059"/>
    </row>
    <row r="3799" spans="1:23" s="497" customFormat="1" ht="17.399999999999999">
      <c r="A3799" s="550"/>
      <c r="B3799" s="549"/>
      <c r="C3799" s="550"/>
      <c r="D3799" s="550"/>
      <c r="E3799" s="548"/>
      <c r="F3799" s="548"/>
      <c r="G3799" s="549"/>
      <c r="H3799" s="549"/>
      <c r="I3799" s="558"/>
      <c r="J3799" s="567"/>
      <c r="K3799" s="727">
        <f>SUM(K3771:K3798)/2</f>
        <v>521</v>
      </c>
      <c r="L3799" s="565">
        <f>SUM(L3771:L3798)/2</f>
        <v>76.770420000000001</v>
      </c>
      <c r="M3799" s="727">
        <f>SUM(M3771:M3798)/2</f>
        <v>3</v>
      </c>
      <c r="N3799" s="565">
        <f>SUM(N3771:N3798)/2</f>
        <v>0.50850000000000006</v>
      </c>
      <c r="O3799" s="549"/>
      <c r="P3799" s="549"/>
      <c r="Q3799" s="1059"/>
      <c r="R3799" s="1059"/>
    </row>
    <row r="3800" spans="1:23" s="497" customFormat="1" ht="17.399999999999999">
      <c r="A3800" s="550"/>
      <c r="B3800" s="549"/>
      <c r="C3800" s="550"/>
      <c r="D3800" s="550"/>
      <c r="E3800" s="548"/>
      <c r="F3800" s="548"/>
      <c r="G3800" s="549"/>
      <c r="H3800" s="550"/>
      <c r="I3800" s="558"/>
      <c r="J3800" s="567"/>
      <c r="K3800" s="652"/>
      <c r="L3800" s="565"/>
      <c r="M3800" s="549"/>
      <c r="N3800" s="549"/>
      <c r="O3800" s="549"/>
      <c r="P3800" s="549"/>
      <c r="Q3800" s="1059"/>
      <c r="R3800" s="1059"/>
    </row>
    <row r="3801" spans="1:23" s="497" customFormat="1" ht="17.399999999999999">
      <c r="A3801" s="550"/>
      <c r="B3801" s="549"/>
      <c r="C3801" s="550"/>
      <c r="D3801" s="550"/>
      <c r="E3801" s="548"/>
      <c r="F3801" s="548"/>
      <c r="G3801" s="549"/>
      <c r="H3801" s="550"/>
      <c r="I3801" s="558"/>
      <c r="J3801" s="567"/>
      <c r="K3801" s="652"/>
      <c r="L3801" s="565"/>
      <c r="M3801" s="549"/>
      <c r="N3801" s="549"/>
      <c r="O3801" s="549"/>
      <c r="P3801" s="549"/>
      <c r="Q3801" s="1059"/>
      <c r="R3801" s="1059"/>
    </row>
    <row r="3802" spans="1:23" ht="17.399999999999999">
      <c r="A3802" s="547" t="s">
        <v>174</v>
      </c>
      <c r="B3802" s="547" t="s">
        <v>442</v>
      </c>
      <c r="C3802" s="547" t="s">
        <v>19</v>
      </c>
      <c r="D3802" s="547" t="s">
        <v>20</v>
      </c>
      <c r="E3802" s="547" t="s">
        <v>57</v>
      </c>
      <c r="F3802" s="548">
        <v>12</v>
      </c>
      <c r="G3802" s="550" t="s">
        <v>21</v>
      </c>
      <c r="H3802" s="599" t="s">
        <v>134</v>
      </c>
      <c r="I3802" s="551">
        <v>12.2</v>
      </c>
      <c r="J3802" s="567">
        <v>6.3</v>
      </c>
      <c r="K3802" s="652">
        <v>341</v>
      </c>
      <c r="L3802" s="552">
        <f>(I3802*J3802*K3802/1000)</f>
        <v>26.209259999999997</v>
      </c>
      <c r="M3802" s="550"/>
      <c r="N3802" s="550"/>
      <c r="O3802" s="550"/>
      <c r="P3802" s="550"/>
      <c r="Q3802" s="1065"/>
      <c r="R3802" s="1065"/>
      <c r="S3802">
        <f>1+23+23+21+25</f>
        <v>93</v>
      </c>
      <c r="T3802" s="126">
        <f>J3802*S3802*I3802/1000</f>
        <v>7.1479799999999996</v>
      </c>
      <c r="U3802" s="759">
        <f>25+21+2</f>
        <v>48</v>
      </c>
      <c r="V3802" s="126">
        <f>J3802*U3802*I3802/1000</f>
        <v>3.6892799999999992</v>
      </c>
      <c r="W3802" s="497" t="s">
        <v>529</v>
      </c>
    </row>
    <row r="3803" spans="1:23" ht="17.399999999999999">
      <c r="A3803" s="550"/>
      <c r="B3803" s="549" t="s">
        <v>443</v>
      </c>
      <c r="C3803" s="550"/>
      <c r="D3803" s="550"/>
      <c r="E3803" s="548"/>
      <c r="F3803" s="548"/>
      <c r="G3803" s="550" t="s">
        <v>21</v>
      </c>
      <c r="H3803" s="550" t="s">
        <v>134</v>
      </c>
      <c r="I3803" s="551">
        <v>12.2</v>
      </c>
      <c r="J3803" s="567">
        <v>9</v>
      </c>
      <c r="K3803" s="652">
        <v>34</v>
      </c>
      <c r="L3803" s="552">
        <f>(I3803*J3803*K3803/1000)</f>
        <v>3.7331999999999996</v>
      </c>
      <c r="M3803" s="550"/>
      <c r="N3803" s="550"/>
      <c r="O3803" s="550"/>
      <c r="P3803" s="550"/>
      <c r="Q3803" s="1065"/>
      <c r="R3803" s="1065"/>
      <c r="W3803" s="497" t="s">
        <v>545</v>
      </c>
    </row>
    <row r="3804" spans="1:23" ht="17.399999999999999">
      <c r="A3804" s="549"/>
      <c r="B3804" s="549"/>
      <c r="C3804" s="549"/>
      <c r="D3804" s="549"/>
      <c r="E3804" s="560"/>
      <c r="F3804" s="549"/>
      <c r="G3804" s="549"/>
      <c r="H3804" s="550"/>
      <c r="I3804" s="558"/>
      <c r="J3804" s="567"/>
      <c r="K3804" s="652">
        <f>SUM(K3802:K3803)</f>
        <v>375</v>
      </c>
      <c r="L3804" s="565">
        <f>SUM(L3802:L3803)</f>
        <v>29.942459999999997</v>
      </c>
      <c r="M3804" s="549"/>
      <c r="N3804" s="549"/>
      <c r="O3804" s="549"/>
      <c r="P3804" s="549"/>
      <c r="Q3804" s="549"/>
      <c r="R3804" s="549"/>
      <c r="S3804" s="652">
        <f>SUM(S3802:S3803)</f>
        <v>93</v>
      </c>
      <c r="T3804" s="565">
        <f>SUM(T3802:T3803)</f>
        <v>7.1479799999999996</v>
      </c>
      <c r="U3804" s="652">
        <f>SUM(U3802:U3803)</f>
        <v>48</v>
      </c>
      <c r="V3804" s="565">
        <f>SUM(V3802:V3803)</f>
        <v>3.6892799999999992</v>
      </c>
    </row>
    <row r="3805" spans="1:23" ht="17.399999999999999">
      <c r="A3805" s="549"/>
      <c r="B3805" s="549"/>
      <c r="C3805" s="549"/>
      <c r="D3805" s="549"/>
      <c r="E3805" s="560"/>
      <c r="F3805" s="549"/>
      <c r="G3805" s="549"/>
      <c r="H3805" s="550"/>
      <c r="I3805" s="558"/>
      <c r="J3805" s="567"/>
      <c r="K3805" s="652"/>
      <c r="L3805" s="565"/>
      <c r="M3805" s="549"/>
      <c r="N3805" s="549"/>
      <c r="O3805" s="549"/>
      <c r="P3805" s="549"/>
      <c r="Q3805" s="1059"/>
      <c r="R3805" s="1059"/>
    </row>
    <row r="3806" spans="1:23" ht="17.399999999999999">
      <c r="A3806" s="547" t="s">
        <v>174</v>
      </c>
      <c r="B3806" s="547" t="s">
        <v>442</v>
      </c>
      <c r="C3806" s="547" t="s">
        <v>19</v>
      </c>
      <c r="D3806" s="547" t="s">
        <v>20</v>
      </c>
      <c r="E3806" s="547" t="s">
        <v>175</v>
      </c>
      <c r="F3806" s="548">
        <v>12</v>
      </c>
      <c r="G3806" s="550" t="s">
        <v>21</v>
      </c>
      <c r="H3806" s="599" t="s">
        <v>134</v>
      </c>
      <c r="I3806" s="551">
        <v>12.2</v>
      </c>
      <c r="J3806" s="567">
        <v>8.4</v>
      </c>
      <c r="K3806" s="652">
        <v>32</v>
      </c>
      <c r="L3806" s="552">
        <f>(I3806*J3806*K3806/1000)</f>
        <v>3.2793600000000001</v>
      </c>
      <c r="M3806" s="550"/>
      <c r="N3806" s="550"/>
      <c r="O3806" s="550"/>
      <c r="P3806" s="550"/>
      <c r="Q3806" s="1065"/>
      <c r="R3806" s="1065"/>
      <c r="T3806" s="126">
        <f t="shared" ref="T3806:T3808" si="677">J3806*S3806*I3806/1000</f>
        <v>0</v>
      </c>
      <c r="W3806" s="497" t="s">
        <v>530</v>
      </c>
    </row>
    <row r="3807" spans="1:23" ht="17.399999999999999">
      <c r="A3807" s="550"/>
      <c r="B3807" s="549" t="s">
        <v>443</v>
      </c>
      <c r="C3807" s="550"/>
      <c r="D3807" s="550"/>
      <c r="E3807" s="548"/>
      <c r="F3807" s="548"/>
      <c r="G3807" s="550" t="s">
        <v>21</v>
      </c>
      <c r="H3807" s="550" t="s">
        <v>134</v>
      </c>
      <c r="I3807" s="551">
        <v>12.2</v>
      </c>
      <c r="J3807" s="567">
        <v>10.5</v>
      </c>
      <c r="K3807" s="652">
        <v>27</v>
      </c>
      <c r="L3807" s="552">
        <f>(I3807*J3807*K3807/1000)</f>
        <v>3.4586999999999999</v>
      </c>
      <c r="M3807" s="550"/>
      <c r="N3807" s="550"/>
      <c r="O3807" s="550"/>
      <c r="P3807" s="550"/>
      <c r="Q3807" s="1065"/>
      <c r="R3807" s="1065"/>
      <c r="S3807">
        <f>20+1+2</f>
        <v>23</v>
      </c>
      <c r="T3807" s="126">
        <f t="shared" si="677"/>
        <v>2.9462999999999999</v>
      </c>
      <c r="W3807" s="497" t="s">
        <v>546</v>
      </c>
    </row>
    <row r="3808" spans="1:23" ht="17.399999999999999">
      <c r="A3808" s="549"/>
      <c r="B3808" s="549"/>
      <c r="C3808" s="549"/>
      <c r="D3808" s="549"/>
      <c r="E3808" s="560"/>
      <c r="F3808" s="549"/>
      <c r="G3808" s="550" t="s">
        <v>21</v>
      </c>
      <c r="H3808" s="550" t="s">
        <v>134</v>
      </c>
      <c r="I3808" s="551">
        <v>12.2</v>
      </c>
      <c r="J3808" s="567">
        <v>11.95</v>
      </c>
      <c r="K3808" s="652">
        <v>60</v>
      </c>
      <c r="L3808" s="552">
        <f>(I3808*J3808*K3808/1000)</f>
        <v>8.747399999999999</v>
      </c>
      <c r="M3808" s="549"/>
      <c r="N3808" s="549"/>
      <c r="O3808" s="549"/>
      <c r="P3808" s="549"/>
      <c r="Q3808" s="1059"/>
      <c r="R3808" s="1059"/>
      <c r="S3808">
        <f>18+2+20+2</f>
        <v>42</v>
      </c>
      <c r="T3808" s="126">
        <f t="shared" si="677"/>
        <v>6.1231799999999996</v>
      </c>
      <c r="U3808">
        <f>18</f>
        <v>18</v>
      </c>
      <c r="V3808" s="126">
        <f>J3808*U3808*I3808/1000</f>
        <v>2.6242199999999998</v>
      </c>
    </row>
    <row r="3809" spans="1:23" ht="17.399999999999999">
      <c r="A3809" s="549"/>
      <c r="B3809" s="549"/>
      <c r="C3809" s="549"/>
      <c r="D3809" s="549"/>
      <c r="E3809" s="560"/>
      <c r="F3809" s="549"/>
      <c r="G3809" s="549"/>
      <c r="H3809" s="549"/>
      <c r="I3809" s="558"/>
      <c r="J3809" s="567"/>
      <c r="K3809" s="652">
        <f>SUM(K3806:K3808)</f>
        <v>119</v>
      </c>
      <c r="L3809" s="565">
        <f>SUM(L3806:L3808)</f>
        <v>15.48546</v>
      </c>
      <c r="M3809" s="549"/>
      <c r="N3809" s="549"/>
      <c r="O3809" s="549"/>
      <c r="P3809" s="549"/>
      <c r="Q3809" s="549"/>
      <c r="R3809" s="549"/>
      <c r="S3809" s="652">
        <f>SUM(S3806:S3808)</f>
        <v>65</v>
      </c>
      <c r="T3809" s="565">
        <f>SUM(T3806:T3808)</f>
        <v>9.0694799999999987</v>
      </c>
      <c r="U3809" s="652">
        <f>SUM(U3806:U3808)</f>
        <v>18</v>
      </c>
      <c r="V3809" s="565">
        <f>SUM(V3806:V3808)</f>
        <v>2.6242199999999998</v>
      </c>
    </row>
    <row r="3810" spans="1:23" ht="17.399999999999999">
      <c r="A3810" s="549"/>
      <c r="B3810" s="549"/>
      <c r="C3810" s="549"/>
      <c r="D3810" s="549"/>
      <c r="E3810" s="560"/>
      <c r="F3810" s="549"/>
      <c r="G3810" s="549"/>
      <c r="H3810" s="549"/>
      <c r="I3810" s="558"/>
      <c r="J3810" s="567"/>
      <c r="K3810" s="652"/>
      <c r="L3810" s="565"/>
      <c r="M3810" s="549"/>
      <c r="N3810" s="549"/>
      <c r="O3810" s="549"/>
      <c r="P3810" s="549"/>
      <c r="Q3810" s="1059"/>
      <c r="R3810" s="1059"/>
    </row>
    <row r="3811" spans="1:23" s="497" customFormat="1" ht="17.399999999999999">
      <c r="A3811" s="550"/>
      <c r="B3811" s="549"/>
      <c r="C3811" s="550"/>
      <c r="D3811" s="550"/>
      <c r="E3811" s="548"/>
      <c r="F3811" s="548"/>
      <c r="G3811" s="549"/>
      <c r="H3811" s="549"/>
      <c r="I3811" s="558"/>
      <c r="J3811" s="567"/>
      <c r="K3811" s="652"/>
      <c r="L3811" s="565"/>
      <c r="M3811" s="549"/>
      <c r="N3811" s="549"/>
      <c r="O3811" s="549"/>
      <c r="P3811" s="549"/>
      <c r="Q3811" s="1059"/>
      <c r="R3811" s="1059"/>
    </row>
    <row r="3812" spans="1:23" ht="17.399999999999999">
      <c r="A3812" s="547" t="s">
        <v>445</v>
      </c>
      <c r="B3812" s="547" t="s">
        <v>463</v>
      </c>
      <c r="C3812" s="547" t="s">
        <v>19</v>
      </c>
      <c r="D3812" s="547" t="s">
        <v>20</v>
      </c>
      <c r="E3812" s="547" t="s">
        <v>175</v>
      </c>
      <c r="F3812" s="548">
        <v>12</v>
      </c>
      <c r="G3812" s="549" t="s">
        <v>21</v>
      </c>
      <c r="H3812" s="599" t="s">
        <v>134</v>
      </c>
      <c r="I3812" s="558">
        <v>12.2</v>
      </c>
      <c r="J3812" s="567">
        <v>6.5</v>
      </c>
      <c r="K3812" s="652">
        <v>3</v>
      </c>
      <c r="L3812" s="552">
        <f>(I3812*J3812*K3812/1000)</f>
        <v>0.23789999999999997</v>
      </c>
      <c r="M3812" s="549"/>
      <c r="N3812" s="549"/>
      <c r="O3812" s="567">
        <v>6</v>
      </c>
      <c r="P3812" s="549"/>
      <c r="Q3812" s="1059"/>
      <c r="R3812" s="1059"/>
      <c r="S3812" s="497" t="s">
        <v>531</v>
      </c>
      <c r="U3812" s="759">
        <v>6</v>
      </c>
      <c r="V3812" s="126">
        <f t="shared" ref="V3812" si="678">J3812*U3812*I3812/1000</f>
        <v>0.47579999999999995</v>
      </c>
    </row>
    <row r="3813" spans="1:23" ht="17.399999999999999">
      <c r="A3813" s="550"/>
      <c r="B3813" s="549" t="s">
        <v>421</v>
      </c>
      <c r="C3813" s="550"/>
      <c r="D3813" s="550"/>
      <c r="E3813" s="548"/>
      <c r="F3813" s="548"/>
      <c r="G3813" s="549"/>
      <c r="H3813" s="549"/>
      <c r="I3813" s="558"/>
      <c r="J3813" s="567"/>
      <c r="K3813" s="652">
        <f>SUM(K3812)</f>
        <v>3</v>
      </c>
      <c r="L3813" s="565">
        <f>SUM(L3812)</f>
        <v>0.23789999999999997</v>
      </c>
      <c r="M3813" s="549"/>
      <c r="N3813" s="549"/>
      <c r="O3813" s="549"/>
      <c r="P3813" s="549"/>
      <c r="Q3813" s="1059"/>
      <c r="R3813" s="1059"/>
      <c r="U3813" s="652">
        <f>SUM(U3812)</f>
        <v>6</v>
      </c>
      <c r="V3813" s="565">
        <f>SUM(V3812)</f>
        <v>0.47579999999999995</v>
      </c>
    </row>
    <row r="3814" spans="1:23" s="497" customFormat="1" ht="17.399999999999999">
      <c r="A3814" s="550"/>
      <c r="B3814" s="549"/>
      <c r="C3814" s="550"/>
      <c r="D3814" s="550"/>
      <c r="E3814" s="548"/>
      <c r="F3814" s="548"/>
      <c r="G3814" s="549"/>
      <c r="H3814" s="549"/>
      <c r="I3814" s="558"/>
      <c r="J3814" s="567"/>
      <c r="K3814" s="652"/>
      <c r="L3814" s="565"/>
      <c r="M3814" s="549"/>
      <c r="N3814" s="549"/>
      <c r="O3814" s="549"/>
      <c r="P3814" s="549"/>
      <c r="Q3814" s="1059"/>
      <c r="R3814" s="1059"/>
    </row>
    <row r="3815" spans="1:23" ht="17.399999999999999">
      <c r="A3815" s="547" t="s">
        <v>445</v>
      </c>
      <c r="B3815" s="547" t="s">
        <v>465</v>
      </c>
      <c r="C3815" s="547" t="s">
        <v>19</v>
      </c>
      <c r="D3815" s="547" t="s">
        <v>20</v>
      </c>
      <c r="E3815" s="560" t="s">
        <v>464</v>
      </c>
      <c r="F3815" s="548">
        <v>12</v>
      </c>
      <c r="G3815" s="549" t="s">
        <v>21</v>
      </c>
      <c r="H3815" s="599" t="s">
        <v>134</v>
      </c>
      <c r="I3815" s="558">
        <v>12.2</v>
      </c>
      <c r="J3815" s="567">
        <v>6.5</v>
      </c>
      <c r="K3815" s="652">
        <v>122</v>
      </c>
      <c r="L3815" s="552">
        <f t="shared" ref="L3815:L3818" si="679">(I3815*J3815*K3815/1000)</f>
        <v>9.6745999999999999</v>
      </c>
      <c r="M3815" s="549"/>
      <c r="N3815" s="549"/>
      <c r="O3815" s="549"/>
      <c r="P3815" s="549"/>
      <c r="Q3815" s="1059"/>
      <c r="R3815" s="1059"/>
      <c r="S3815" s="497">
        <f>25+25</f>
        <v>50</v>
      </c>
      <c r="T3815" s="126">
        <f t="shared" ref="T3815:T3818" si="680">J3815*S3815*I3815/1000</f>
        <v>3.9649999999999994</v>
      </c>
      <c r="U3815" s="759">
        <f>25+25+21</f>
        <v>71</v>
      </c>
      <c r="V3815" s="126">
        <f t="shared" ref="V3815:V3816" si="681">J3815*U3815*I3815/1000</f>
        <v>5.6302999999999992</v>
      </c>
      <c r="W3815" s="497" t="s">
        <v>533</v>
      </c>
    </row>
    <row r="3816" spans="1:23" ht="17.399999999999999">
      <c r="A3816" s="550"/>
      <c r="B3816" s="549" t="s">
        <v>439</v>
      </c>
      <c r="C3816" s="550"/>
      <c r="D3816" s="550"/>
      <c r="E3816" s="548"/>
      <c r="F3816" s="548"/>
      <c r="G3816" s="549" t="s">
        <v>21</v>
      </c>
      <c r="H3816" s="549" t="s">
        <v>134</v>
      </c>
      <c r="I3816" s="558">
        <v>12.2</v>
      </c>
      <c r="J3816" s="567">
        <v>7</v>
      </c>
      <c r="K3816" s="652">
        <v>120</v>
      </c>
      <c r="L3816" s="552">
        <f t="shared" si="679"/>
        <v>10.247999999999998</v>
      </c>
      <c r="M3816" s="549"/>
      <c r="N3816" s="549"/>
      <c r="O3816" s="549"/>
      <c r="P3816" s="549"/>
      <c r="Q3816" s="1059"/>
      <c r="R3816" s="1059"/>
      <c r="S3816">
        <f>20+23+6+71</f>
        <v>120</v>
      </c>
      <c r="T3816" s="126">
        <f t="shared" si="680"/>
        <v>10.247999999999999</v>
      </c>
      <c r="V3816" s="126">
        <f t="shared" si="681"/>
        <v>0</v>
      </c>
      <c r="W3816" s="497" t="s">
        <v>547</v>
      </c>
    </row>
    <row r="3817" spans="1:23" ht="17.399999999999999">
      <c r="A3817" s="549"/>
      <c r="B3817" s="549"/>
      <c r="C3817" s="549"/>
      <c r="D3817" s="549"/>
      <c r="E3817" s="560"/>
      <c r="F3817" s="549"/>
      <c r="G3817" s="549" t="s">
        <v>21</v>
      </c>
      <c r="H3817" s="549" t="s">
        <v>134</v>
      </c>
      <c r="I3817" s="558">
        <v>12.2</v>
      </c>
      <c r="J3817" s="567">
        <v>8.5</v>
      </c>
      <c r="K3817" s="652">
        <v>35</v>
      </c>
      <c r="L3817" s="552">
        <f t="shared" si="679"/>
        <v>3.6294999999999997</v>
      </c>
      <c r="M3817" s="549"/>
      <c r="N3817" s="549"/>
      <c r="O3817" s="549"/>
      <c r="P3817" s="549"/>
      <c r="Q3817" s="1059"/>
      <c r="R3817" s="1059"/>
      <c r="S3817">
        <v>1</v>
      </c>
      <c r="T3817" s="126">
        <f t="shared" si="680"/>
        <v>0.10369999999999999</v>
      </c>
    </row>
    <row r="3818" spans="1:23" ht="17.399999999999999">
      <c r="A3818" s="549"/>
      <c r="B3818" s="549"/>
      <c r="C3818" s="549"/>
      <c r="D3818" s="549"/>
      <c r="E3818" s="560"/>
      <c r="F3818" s="549"/>
      <c r="G3818" s="549" t="s">
        <v>21</v>
      </c>
      <c r="H3818" s="549" t="s">
        <v>134</v>
      </c>
      <c r="I3818" s="558">
        <v>12.2</v>
      </c>
      <c r="J3818" s="567">
        <v>12</v>
      </c>
      <c r="K3818" s="652">
        <v>7</v>
      </c>
      <c r="L3818" s="552">
        <f t="shared" si="679"/>
        <v>1.0247999999999997</v>
      </c>
      <c r="M3818" s="549"/>
      <c r="N3818" s="549"/>
      <c r="O3818" s="549"/>
      <c r="P3818" s="549"/>
      <c r="Q3818" s="1059"/>
      <c r="R3818" s="1059"/>
      <c r="S3818">
        <v>7</v>
      </c>
      <c r="T3818" s="126">
        <f t="shared" si="680"/>
        <v>1.0247999999999999</v>
      </c>
    </row>
    <row r="3819" spans="1:23" ht="17.399999999999999">
      <c r="A3819" s="549"/>
      <c r="B3819" s="549"/>
      <c r="C3819" s="549"/>
      <c r="D3819" s="549"/>
      <c r="E3819" s="560"/>
      <c r="F3819" s="549"/>
      <c r="G3819" s="549"/>
      <c r="H3819" s="549"/>
      <c r="I3819" s="558"/>
      <c r="J3819" s="567"/>
      <c r="K3819" s="652">
        <f t="shared" ref="K3819" si="682">SUM(K3815:K3818)</f>
        <v>284</v>
      </c>
      <c r="L3819" s="565">
        <f>SUM(L3815:L3818)</f>
        <v>24.576899999999995</v>
      </c>
      <c r="M3819" s="549"/>
      <c r="N3819" s="549"/>
      <c r="O3819" s="549"/>
      <c r="P3819" s="549"/>
      <c r="Q3819" s="549"/>
      <c r="R3819" s="549"/>
      <c r="S3819" s="652">
        <f t="shared" ref="S3819:U3819" si="683">SUM(S3815:S3818)</f>
        <v>178</v>
      </c>
      <c r="T3819" s="565">
        <f>SUM(T3815:T3818)</f>
        <v>15.3415</v>
      </c>
      <c r="U3819" s="652">
        <f t="shared" si="683"/>
        <v>71</v>
      </c>
      <c r="V3819" s="565">
        <f>SUM(V3815:V3818)</f>
        <v>5.6302999999999992</v>
      </c>
    </row>
    <row r="3820" spans="1:23" ht="17.399999999999999">
      <c r="A3820" s="549"/>
      <c r="B3820" s="549"/>
      <c r="C3820" s="549"/>
      <c r="D3820" s="549"/>
      <c r="E3820" s="560"/>
      <c r="F3820" s="549"/>
      <c r="G3820" s="549"/>
      <c r="H3820" s="549"/>
      <c r="I3820" s="558"/>
      <c r="J3820" s="567"/>
      <c r="K3820" s="652"/>
      <c r="L3820" s="565"/>
      <c r="M3820" s="549"/>
      <c r="N3820" s="549"/>
      <c r="O3820" s="549"/>
      <c r="P3820" s="549"/>
      <c r="Q3820" s="1059"/>
      <c r="R3820" s="1059"/>
    </row>
    <row r="3821" spans="1:23" s="497" customFormat="1" ht="17.399999999999999">
      <c r="A3821" s="547" t="s">
        <v>445</v>
      </c>
      <c r="B3821" s="547" t="s">
        <v>479</v>
      </c>
      <c r="C3821" s="547" t="s">
        <v>19</v>
      </c>
      <c r="D3821" s="547" t="s">
        <v>20</v>
      </c>
      <c r="E3821" s="547" t="s">
        <v>478</v>
      </c>
      <c r="F3821" s="548">
        <v>12</v>
      </c>
      <c r="G3821" s="549" t="s">
        <v>21</v>
      </c>
      <c r="H3821" s="599" t="s">
        <v>134</v>
      </c>
      <c r="I3821" s="824">
        <v>12.2</v>
      </c>
      <c r="J3821" s="567">
        <v>6.9</v>
      </c>
      <c r="K3821" s="648">
        <v>13</v>
      </c>
      <c r="L3821" s="552">
        <f t="shared" ref="L3821:L3825" si="684">(I3821*J3821*K3821/1000)</f>
        <v>1.0943399999999999</v>
      </c>
      <c r="M3821" s="549"/>
      <c r="N3821" s="549"/>
      <c r="O3821" s="549"/>
      <c r="P3821" s="549"/>
      <c r="Q3821" s="1059"/>
      <c r="R3821" s="1059"/>
      <c r="T3821" s="126">
        <f t="shared" ref="T3821:T3825" si="685">J3821*S3821*I3821/1000</f>
        <v>0</v>
      </c>
      <c r="U3821" s="759">
        <v>11</v>
      </c>
      <c r="V3821" s="126">
        <f t="shared" ref="V3821:V3822" si="686">J3821*U3821*I3821/1000</f>
        <v>0.92598000000000003</v>
      </c>
      <c r="W3821" s="497" t="s">
        <v>532</v>
      </c>
    </row>
    <row r="3822" spans="1:23" s="497" customFormat="1" ht="17.399999999999999">
      <c r="A3822" s="547"/>
      <c r="B3822" s="549" t="s">
        <v>423</v>
      </c>
      <c r="C3822" s="547"/>
      <c r="D3822" s="547"/>
      <c r="E3822" s="547"/>
      <c r="F3822" s="548"/>
      <c r="G3822" s="549" t="s">
        <v>21</v>
      </c>
      <c r="H3822" s="549" t="s">
        <v>134</v>
      </c>
      <c r="I3822" s="824">
        <v>12.2</v>
      </c>
      <c r="J3822" s="567">
        <v>9</v>
      </c>
      <c r="K3822" s="648">
        <v>84</v>
      </c>
      <c r="L3822" s="552">
        <f t="shared" si="684"/>
        <v>9.2231999999999985</v>
      </c>
      <c r="M3822" s="549"/>
      <c r="N3822" s="549"/>
      <c r="O3822" s="549"/>
      <c r="P3822" s="549"/>
      <c r="Q3822" s="1059"/>
      <c r="R3822" s="1059"/>
      <c r="S3822" s="497">
        <f>20+14+3+4</f>
        <v>41</v>
      </c>
      <c r="T3822" s="126">
        <f t="shared" si="685"/>
        <v>4.5018000000000002</v>
      </c>
      <c r="U3822" s="497">
        <v>6</v>
      </c>
      <c r="V3822" s="126">
        <f t="shared" si="686"/>
        <v>0.65879999999999994</v>
      </c>
      <c r="W3822" s="497" t="s">
        <v>548</v>
      </c>
    </row>
    <row r="3823" spans="1:23" s="497" customFormat="1" ht="17.399999999999999">
      <c r="A3823" s="550"/>
      <c r="B3823" s="792"/>
      <c r="C3823" s="550"/>
      <c r="D3823" s="550"/>
      <c r="E3823" s="548"/>
      <c r="F3823" s="548"/>
      <c r="G3823" s="549" t="s">
        <v>21</v>
      </c>
      <c r="H3823" s="549" t="s">
        <v>134</v>
      </c>
      <c r="I3823" s="824">
        <v>12.2</v>
      </c>
      <c r="J3823" s="567">
        <v>9.9</v>
      </c>
      <c r="K3823" s="648">
        <v>37</v>
      </c>
      <c r="L3823" s="552">
        <f t="shared" si="684"/>
        <v>4.4688599999999994</v>
      </c>
      <c r="M3823" s="549"/>
      <c r="N3823" s="549"/>
      <c r="O3823" s="549"/>
      <c r="P3823" s="549"/>
      <c r="Q3823" s="1059"/>
      <c r="R3823" s="1059"/>
      <c r="S3823" s="497">
        <f>1+2</f>
        <v>3</v>
      </c>
      <c r="T3823" s="126">
        <f t="shared" si="685"/>
        <v>0.36234000000000005</v>
      </c>
    </row>
    <row r="3824" spans="1:23" s="497" customFormat="1" ht="17.399999999999999">
      <c r="A3824" s="550"/>
      <c r="B3824" s="792"/>
      <c r="C3824" s="550"/>
      <c r="D3824" s="550"/>
      <c r="E3824" s="548"/>
      <c r="F3824" s="548"/>
      <c r="G3824" s="549" t="s">
        <v>21</v>
      </c>
      <c r="H3824" s="549" t="s">
        <v>134</v>
      </c>
      <c r="I3824" s="824">
        <v>12.2</v>
      </c>
      <c r="J3824" s="567">
        <v>11.5</v>
      </c>
      <c r="K3824" s="648">
        <v>148</v>
      </c>
      <c r="L3824" s="552">
        <f t="shared" si="684"/>
        <v>20.764399999999998</v>
      </c>
      <c r="M3824" s="549"/>
      <c r="N3824" s="549"/>
      <c r="O3824" s="549"/>
      <c r="P3824" s="549"/>
      <c r="Q3824" s="1059"/>
      <c r="R3824" s="1059"/>
      <c r="S3824" s="497">
        <f>20+20+9+21+20+20+15+13</f>
        <v>138</v>
      </c>
      <c r="T3824" s="126">
        <f t="shared" si="685"/>
        <v>19.361399999999996</v>
      </c>
      <c r="U3824" s="497">
        <f>18-8</f>
        <v>10</v>
      </c>
      <c r="V3824" s="126">
        <f t="shared" ref="V3824:V3825" si="687">J3824*U3824*I3824/1000</f>
        <v>1.403</v>
      </c>
    </row>
    <row r="3825" spans="1:23" s="497" customFormat="1" ht="17.399999999999999">
      <c r="A3825" s="550"/>
      <c r="B3825" s="792"/>
      <c r="C3825" s="550"/>
      <c r="D3825" s="550"/>
      <c r="E3825" s="548"/>
      <c r="F3825" s="548"/>
      <c r="G3825" s="549" t="s">
        <v>21</v>
      </c>
      <c r="H3825" s="549" t="s">
        <v>134</v>
      </c>
      <c r="I3825" s="824">
        <v>12.2</v>
      </c>
      <c r="J3825" s="567">
        <v>11.7</v>
      </c>
      <c r="K3825" s="648">
        <v>66</v>
      </c>
      <c r="L3825" s="552">
        <f t="shared" si="684"/>
        <v>9.4208399999999983</v>
      </c>
      <c r="M3825" s="549"/>
      <c r="N3825" s="549"/>
      <c r="O3825" s="549"/>
      <c r="P3825" s="549"/>
      <c r="Q3825" s="1059"/>
      <c r="R3825" s="1059"/>
      <c r="S3825" s="497">
        <f>20+12+15</f>
        <v>47</v>
      </c>
      <c r="T3825" s="126">
        <f t="shared" si="685"/>
        <v>6.70878</v>
      </c>
      <c r="U3825" s="497">
        <v>19</v>
      </c>
      <c r="V3825" s="126">
        <f t="shared" si="687"/>
        <v>2.7120599999999997</v>
      </c>
    </row>
    <row r="3826" spans="1:23" s="497" customFormat="1" ht="17.399999999999999">
      <c r="A3826" s="550"/>
      <c r="B3826" s="792"/>
      <c r="C3826" s="550"/>
      <c r="D3826" s="550"/>
      <c r="E3826" s="548"/>
      <c r="F3826" s="548"/>
      <c r="G3826" s="549"/>
      <c r="H3826" s="549"/>
      <c r="I3826" s="558"/>
      <c r="J3826" s="567"/>
      <c r="K3826" s="727">
        <f>SUM(K3821:K3825)</f>
        <v>348</v>
      </c>
      <c r="L3826" s="565">
        <f>SUM(L3821:L3825)</f>
        <v>44.971639999999994</v>
      </c>
      <c r="M3826" s="549"/>
      <c r="N3826" s="549"/>
      <c r="O3826" s="549"/>
      <c r="P3826" s="549"/>
      <c r="Q3826" s="549"/>
      <c r="R3826" s="549"/>
      <c r="S3826" s="727">
        <f>SUM(S3821:S3825)</f>
        <v>229</v>
      </c>
      <c r="T3826" s="565">
        <f>SUM(T3821:T3825)</f>
        <v>30.934319999999996</v>
      </c>
      <c r="U3826" s="727">
        <f>SUM(U3821:U3825)</f>
        <v>46</v>
      </c>
      <c r="V3826" s="565">
        <f>SUM(V3821:V3825)</f>
        <v>5.69984</v>
      </c>
    </row>
    <row r="3827" spans="1:23" s="497" customFormat="1" ht="17.399999999999999">
      <c r="A3827" s="550"/>
      <c r="B3827" s="792"/>
      <c r="C3827" s="550"/>
      <c r="D3827" s="550"/>
      <c r="E3827" s="548"/>
      <c r="F3827" s="548"/>
      <c r="G3827" s="549"/>
      <c r="H3827" s="549"/>
      <c r="I3827" s="558"/>
      <c r="J3827" s="567"/>
      <c r="K3827" s="652"/>
      <c r="L3827" s="565"/>
      <c r="M3827" s="549"/>
      <c r="N3827" s="549"/>
      <c r="O3827" s="549"/>
      <c r="P3827" s="549"/>
      <c r="Q3827" s="1059"/>
      <c r="R3827" s="1059"/>
    </row>
    <row r="3828" spans="1:23" ht="17.399999999999999">
      <c r="A3828" s="547" t="s">
        <v>458</v>
      </c>
      <c r="B3828" s="547" t="s">
        <v>459</v>
      </c>
      <c r="C3828" s="547" t="s">
        <v>19</v>
      </c>
      <c r="D3828" s="547" t="s">
        <v>20</v>
      </c>
      <c r="E3828" s="547" t="s">
        <v>359</v>
      </c>
      <c r="F3828" s="548">
        <v>12</v>
      </c>
      <c r="G3828" s="549" t="s">
        <v>21</v>
      </c>
      <c r="H3828" s="599" t="s">
        <v>134</v>
      </c>
      <c r="I3828" s="558">
        <v>12.18</v>
      </c>
      <c r="J3828" s="567">
        <v>10.35</v>
      </c>
      <c r="K3828" s="652">
        <v>8</v>
      </c>
      <c r="L3828" s="552">
        <f>(I3828*J3828*K3828/1000)</f>
        <v>1.0085039999999998</v>
      </c>
      <c r="M3828" s="549"/>
      <c r="N3828" s="549"/>
      <c r="O3828" s="549"/>
      <c r="P3828" s="549"/>
      <c r="Q3828" s="1059"/>
      <c r="R3828" s="1059"/>
      <c r="S3828">
        <v>8</v>
      </c>
      <c r="T3828" s="126">
        <f>J3828*S3828*I3828/1000</f>
        <v>1.0085039999999998</v>
      </c>
      <c r="W3828" s="497" t="s">
        <v>528</v>
      </c>
    </row>
    <row r="3829" spans="1:23" ht="17.399999999999999">
      <c r="A3829" s="550"/>
      <c r="B3829" s="549" t="s">
        <v>277</v>
      </c>
      <c r="C3829" s="550"/>
      <c r="D3829" s="550"/>
      <c r="E3829" s="548"/>
      <c r="F3829" s="548"/>
      <c r="G3829" s="549"/>
      <c r="H3829" s="549"/>
      <c r="I3829" s="558"/>
      <c r="J3829" s="567"/>
      <c r="K3829" s="652">
        <f t="shared" ref="K3829:L3829" si="688">SUM(K3828)</f>
        <v>8</v>
      </c>
      <c r="L3829" s="565">
        <f t="shared" si="688"/>
        <v>1.0085039999999998</v>
      </c>
      <c r="M3829" s="549"/>
      <c r="N3829" s="549"/>
      <c r="O3829" s="549"/>
      <c r="P3829" s="549"/>
      <c r="Q3829" s="549"/>
      <c r="R3829" s="549"/>
      <c r="S3829" s="652">
        <f t="shared" ref="S3829:T3829" si="689">SUM(S3828)</f>
        <v>8</v>
      </c>
      <c r="T3829" s="565">
        <f t="shared" si="689"/>
        <v>1.0085039999999998</v>
      </c>
    </row>
    <row r="3830" spans="1:23" s="497" customFormat="1" ht="17.399999999999999">
      <c r="A3830" s="550"/>
      <c r="B3830" s="549"/>
      <c r="C3830" s="550"/>
      <c r="D3830" s="550"/>
      <c r="E3830" s="548"/>
      <c r="F3830" s="548"/>
      <c r="G3830" s="549"/>
      <c r="H3830" s="549"/>
      <c r="I3830" s="558"/>
      <c r="J3830" s="567"/>
      <c r="K3830" s="652"/>
      <c r="L3830" s="565"/>
      <c r="M3830" s="549"/>
      <c r="N3830" s="549"/>
      <c r="O3830" s="549"/>
      <c r="P3830" s="549"/>
      <c r="Q3830" s="1059"/>
      <c r="R3830" s="1059"/>
    </row>
    <row r="3831" spans="1:23" ht="17.399999999999999">
      <c r="A3831" s="547" t="s">
        <v>451</v>
      </c>
      <c r="B3831" s="547" t="s">
        <v>468</v>
      </c>
      <c r="C3831" s="547" t="s">
        <v>19</v>
      </c>
      <c r="D3831" s="547" t="s">
        <v>20</v>
      </c>
      <c r="E3831" s="547" t="s">
        <v>359</v>
      </c>
      <c r="F3831" s="548">
        <v>12</v>
      </c>
      <c r="G3831" s="549" t="s">
        <v>21</v>
      </c>
      <c r="H3831" s="599" t="s">
        <v>134</v>
      </c>
      <c r="I3831" s="558">
        <v>12.18</v>
      </c>
      <c r="J3831" s="567">
        <v>10</v>
      </c>
      <c r="K3831" s="652">
        <v>37</v>
      </c>
      <c r="L3831" s="552">
        <f>(I3831*J3831*K3831/1000)</f>
        <v>4.5065999999999997</v>
      </c>
      <c r="M3831" s="549"/>
      <c r="N3831" s="549"/>
      <c r="O3831" s="549"/>
      <c r="P3831" s="549"/>
      <c r="Q3831" s="1059"/>
      <c r="R3831" s="1059"/>
      <c r="S3831">
        <f>19+12+4</f>
        <v>35</v>
      </c>
      <c r="T3831" s="126">
        <f t="shared" ref="T3831:T3832" si="690">J3831*S3831*I3831/1000</f>
        <v>4.2629999999999999</v>
      </c>
      <c r="U3831">
        <v>2</v>
      </c>
      <c r="V3831" s="126">
        <f>J3831*U3831*I3831/1000</f>
        <v>0.24359999999999998</v>
      </c>
      <c r="W3831" s="497" t="s">
        <v>528</v>
      </c>
    </row>
    <row r="3832" spans="1:23" ht="17.399999999999999">
      <c r="A3832" s="547"/>
      <c r="B3832" s="549" t="s">
        <v>277</v>
      </c>
      <c r="C3832" s="547"/>
      <c r="D3832" s="547"/>
      <c r="E3832" s="547"/>
      <c r="F3832" s="548"/>
      <c r="G3832" s="549" t="s">
        <v>21</v>
      </c>
      <c r="H3832" s="549" t="s">
        <v>134</v>
      </c>
      <c r="I3832" s="558">
        <v>12.18</v>
      </c>
      <c r="J3832" s="567">
        <v>11</v>
      </c>
      <c r="K3832" s="652">
        <v>8</v>
      </c>
      <c r="L3832" s="552">
        <f>(I3832*J3832*K3832/1000)</f>
        <v>1.0718399999999999</v>
      </c>
      <c r="M3832" s="549"/>
      <c r="N3832" s="549"/>
      <c r="O3832" s="549"/>
      <c r="P3832" s="549"/>
      <c r="Q3832" s="1059"/>
      <c r="R3832" s="1059"/>
      <c r="S3832">
        <v>8</v>
      </c>
      <c r="T3832" s="126">
        <f t="shared" si="690"/>
        <v>1.0718399999999999</v>
      </c>
    </row>
    <row r="3833" spans="1:23" ht="17.399999999999999">
      <c r="A3833" s="549"/>
      <c r="B3833" s="549"/>
      <c r="C3833" s="549"/>
      <c r="D3833" s="549"/>
      <c r="E3833" s="560"/>
      <c r="F3833" s="549"/>
      <c r="G3833" s="549"/>
      <c r="H3833" s="549"/>
      <c r="I3833" s="558"/>
      <c r="J3833" s="567"/>
      <c r="K3833" s="652">
        <f>SUM(K3831:K3832)</f>
        <v>45</v>
      </c>
      <c r="L3833" s="565">
        <f>SUM(L3831:L3832)</f>
        <v>5.5784399999999996</v>
      </c>
      <c r="M3833" s="549"/>
      <c r="N3833" s="549"/>
      <c r="O3833" s="549"/>
      <c r="P3833" s="549"/>
      <c r="Q3833" s="549"/>
      <c r="R3833" s="549"/>
      <c r="S3833" s="652">
        <f>SUM(S3831:S3832)</f>
        <v>43</v>
      </c>
      <c r="T3833" s="565">
        <f>SUM(T3831:T3832)</f>
        <v>5.3348399999999998</v>
      </c>
      <c r="U3833" s="652">
        <f>SUM(U3831:U3832)</f>
        <v>2</v>
      </c>
      <c r="V3833" s="565">
        <f>SUM(V3831:V3832)</f>
        <v>0.24359999999999998</v>
      </c>
    </row>
    <row r="3834" spans="1:23" s="497" customFormat="1" ht="17.399999999999999">
      <c r="A3834" s="549"/>
      <c r="B3834" s="549"/>
      <c r="C3834" s="549"/>
      <c r="D3834" s="549"/>
      <c r="E3834" s="560"/>
      <c r="F3834" s="549"/>
      <c r="G3834" s="549"/>
      <c r="H3834" s="549"/>
      <c r="I3834" s="558"/>
      <c r="J3834" s="567"/>
      <c r="K3834" s="727">
        <f>SUM(K3802:K3833)/2</f>
        <v>1182</v>
      </c>
      <c r="L3834" s="565">
        <f>SUM(L3802:L3833)/2</f>
        <v>121.80130399999996</v>
      </c>
      <c r="M3834" s="549"/>
      <c r="N3834" s="549"/>
      <c r="O3834" s="549"/>
      <c r="P3834" s="549"/>
      <c r="Q3834" s="1059"/>
      <c r="R3834" s="1059"/>
      <c r="T3834" s="565">
        <f>SUM(T3802:T3833)/2</f>
        <v>68.836624</v>
      </c>
      <c r="V3834" s="565">
        <f>SUM(V3802:V3833)/2</f>
        <v>18.363039999999998</v>
      </c>
    </row>
    <row r="3835" spans="1:23" s="497" customFormat="1" ht="17.399999999999999">
      <c r="A3835" s="549"/>
      <c r="B3835" s="549"/>
      <c r="C3835" s="549"/>
      <c r="D3835" s="549"/>
      <c r="E3835" s="560"/>
      <c r="F3835" s="549"/>
      <c r="G3835" s="549"/>
      <c r="H3835" s="549"/>
      <c r="I3835" s="558"/>
      <c r="J3835" s="567"/>
      <c r="K3835" s="652"/>
      <c r="L3835" s="565"/>
      <c r="M3835" s="549"/>
      <c r="N3835" s="549"/>
      <c r="O3835" s="549"/>
      <c r="P3835" s="549"/>
      <c r="Q3835" s="1059"/>
      <c r="R3835" s="1059"/>
    </row>
    <row r="3836" spans="1:23" s="497" customFormat="1" ht="17.399999999999999">
      <c r="A3836" s="549"/>
      <c r="B3836" s="549"/>
      <c r="C3836" s="549"/>
      <c r="D3836" s="549"/>
      <c r="E3836" s="560"/>
      <c r="F3836" s="549"/>
      <c r="G3836" s="549"/>
      <c r="H3836" s="549"/>
      <c r="I3836" s="558"/>
      <c r="J3836" s="567"/>
      <c r="K3836" s="652"/>
      <c r="L3836" s="565"/>
      <c r="M3836" s="549"/>
      <c r="N3836" s="549"/>
      <c r="O3836" s="549"/>
      <c r="P3836" s="549"/>
      <c r="Q3836" s="1059"/>
      <c r="R3836" s="1059"/>
    </row>
    <row r="3837" spans="1:23" ht="17.399999999999999">
      <c r="A3837" s="549"/>
      <c r="B3837" s="549"/>
      <c r="C3837" s="549"/>
      <c r="D3837" s="549"/>
      <c r="E3837" s="560"/>
      <c r="F3837" s="549"/>
      <c r="G3837" s="549"/>
      <c r="H3837" s="549"/>
      <c r="I3837" s="558"/>
      <c r="J3837" s="567"/>
      <c r="K3837" s="652"/>
      <c r="L3837" s="565"/>
      <c r="M3837" s="549"/>
      <c r="N3837" s="549"/>
      <c r="O3837" s="549"/>
      <c r="P3837" s="549"/>
      <c r="Q3837" s="1059"/>
      <c r="R3837" s="1059"/>
    </row>
    <row r="3838" spans="1:23" ht="17.399999999999999">
      <c r="A3838" s="547" t="s">
        <v>445</v>
      </c>
      <c r="B3838" s="547" t="s">
        <v>462</v>
      </c>
      <c r="C3838" s="547" t="s">
        <v>19</v>
      </c>
      <c r="D3838" s="547" t="s">
        <v>20</v>
      </c>
      <c r="E3838" s="547" t="s">
        <v>359</v>
      </c>
      <c r="F3838" s="548">
        <v>12</v>
      </c>
      <c r="G3838" s="549" t="s">
        <v>21</v>
      </c>
      <c r="H3838" s="599" t="s">
        <v>119</v>
      </c>
      <c r="I3838" s="558">
        <v>10.73</v>
      </c>
      <c r="J3838" s="567">
        <v>12</v>
      </c>
      <c r="K3838" s="652">
        <v>5</v>
      </c>
      <c r="L3838" s="552">
        <f>(I3838*J3838*K3838/1000)</f>
        <v>0.64379999999999993</v>
      </c>
      <c r="M3838" s="549"/>
      <c r="N3838" s="549"/>
      <c r="O3838" s="549"/>
      <c r="P3838" s="549"/>
      <c r="Q3838" s="1059"/>
      <c r="R3838" s="1059"/>
      <c r="S3838" s="497" t="s">
        <v>550</v>
      </c>
    </row>
    <row r="3839" spans="1:23" ht="17.399999999999999">
      <c r="A3839" s="550"/>
      <c r="B3839" s="549" t="s">
        <v>331</v>
      </c>
      <c r="C3839" s="550"/>
      <c r="D3839" s="550"/>
      <c r="E3839" s="548"/>
      <c r="F3839" s="548"/>
      <c r="G3839" s="549"/>
      <c r="H3839" s="549"/>
      <c r="I3839" s="558"/>
      <c r="J3839" s="567"/>
      <c r="K3839" s="652">
        <f t="shared" ref="K3839" si="691">SUM(K3838)</f>
        <v>5</v>
      </c>
      <c r="L3839" s="565">
        <f>SUM(L3838)</f>
        <v>0.64379999999999993</v>
      </c>
      <c r="M3839" s="549"/>
      <c r="N3839" s="549"/>
      <c r="O3839" s="549"/>
      <c r="P3839" s="549"/>
      <c r="Q3839" s="1059"/>
      <c r="R3839" s="1059"/>
    </row>
    <row r="3840" spans="1:23" ht="17.399999999999999">
      <c r="A3840" s="549"/>
      <c r="B3840" s="549"/>
      <c r="C3840" s="549"/>
      <c r="D3840" s="549"/>
      <c r="E3840" s="560"/>
      <c r="F3840" s="549"/>
      <c r="G3840" s="549"/>
      <c r="H3840" s="549"/>
      <c r="I3840" s="558"/>
      <c r="J3840" s="567"/>
      <c r="K3840" s="652"/>
      <c r="L3840" s="565"/>
      <c r="M3840" s="549"/>
      <c r="N3840" s="549"/>
      <c r="O3840" s="549"/>
      <c r="P3840" s="549"/>
      <c r="Q3840" s="1059"/>
      <c r="R3840" s="1059"/>
    </row>
    <row r="3841" spans="1:21" ht="17.399999999999999">
      <c r="A3841" s="547" t="s">
        <v>451</v>
      </c>
      <c r="B3841" s="547" t="s">
        <v>452</v>
      </c>
      <c r="C3841" s="547" t="s">
        <v>19</v>
      </c>
      <c r="D3841" s="547" t="s">
        <v>20</v>
      </c>
      <c r="E3841" s="547" t="s">
        <v>359</v>
      </c>
      <c r="F3841" s="548">
        <v>12</v>
      </c>
      <c r="G3841" s="549" t="s">
        <v>21</v>
      </c>
      <c r="H3841" s="599" t="s">
        <v>119</v>
      </c>
      <c r="I3841" s="558">
        <v>10.73</v>
      </c>
      <c r="J3841" s="567">
        <v>6.3</v>
      </c>
      <c r="K3841" s="652">
        <v>12</v>
      </c>
      <c r="L3841" s="552">
        <f t="shared" ref="L3841:L3845" si="692">(I3841*J3841*K3841/1000)</f>
        <v>0.81118800000000013</v>
      </c>
      <c r="M3841" s="549"/>
      <c r="N3841" s="549"/>
      <c r="O3841" s="549"/>
      <c r="P3841" s="549"/>
      <c r="Q3841" s="1059"/>
      <c r="R3841" s="1059"/>
      <c r="S3841" s="497" t="s">
        <v>550</v>
      </c>
    </row>
    <row r="3842" spans="1:21" ht="17.399999999999999">
      <c r="A3842" s="550"/>
      <c r="B3842" s="549" t="s">
        <v>453</v>
      </c>
      <c r="C3842" s="550"/>
      <c r="D3842" s="550"/>
      <c r="E3842" s="548"/>
      <c r="F3842" s="548"/>
      <c r="G3842" s="549" t="s">
        <v>21</v>
      </c>
      <c r="H3842" s="549" t="s">
        <v>119</v>
      </c>
      <c r="I3842" s="558">
        <v>10.73</v>
      </c>
      <c r="J3842" s="567">
        <v>6.9</v>
      </c>
      <c r="K3842" s="652">
        <v>6</v>
      </c>
      <c r="L3842" s="552">
        <f t="shared" si="692"/>
        <v>0.44422200000000006</v>
      </c>
      <c r="M3842" s="549"/>
      <c r="N3842" s="549"/>
      <c r="O3842" s="549"/>
      <c r="P3842" s="549"/>
      <c r="Q3842" s="1059"/>
      <c r="R3842" s="1059"/>
    </row>
    <row r="3843" spans="1:21" ht="17.399999999999999">
      <c r="A3843" s="549"/>
      <c r="B3843" s="549"/>
      <c r="C3843" s="549"/>
      <c r="D3843" s="549"/>
      <c r="E3843" s="560"/>
      <c r="F3843" s="549"/>
      <c r="G3843" s="549" t="s">
        <v>21</v>
      </c>
      <c r="H3843" s="549" t="s">
        <v>119</v>
      </c>
      <c r="I3843" s="558">
        <v>10.73</v>
      </c>
      <c r="J3843" s="567">
        <v>9.5</v>
      </c>
      <c r="K3843" s="652">
        <v>4</v>
      </c>
      <c r="L3843" s="552">
        <f t="shared" si="692"/>
        <v>0.40773999999999999</v>
      </c>
      <c r="M3843" s="549"/>
      <c r="N3843" s="549"/>
      <c r="O3843" s="567">
        <v>9.4</v>
      </c>
      <c r="P3843" s="549"/>
      <c r="Q3843" s="1059"/>
      <c r="R3843" s="1059"/>
      <c r="S3843">
        <v>4</v>
      </c>
      <c r="T3843" s="126">
        <f t="shared" ref="T3843:T3845" si="693">J3843*S3843*I3843/1000</f>
        <v>0.40773999999999999</v>
      </c>
    </row>
    <row r="3844" spans="1:21" ht="17.399999999999999">
      <c r="A3844" s="549"/>
      <c r="B3844" s="549"/>
      <c r="C3844" s="549"/>
      <c r="D3844" s="549"/>
      <c r="E3844" s="560"/>
      <c r="F3844" s="549"/>
      <c r="G3844" s="549" t="s">
        <v>21</v>
      </c>
      <c r="H3844" s="549" t="s">
        <v>119</v>
      </c>
      <c r="I3844" s="558">
        <v>10.73</v>
      </c>
      <c r="J3844" s="567">
        <v>9.5</v>
      </c>
      <c r="K3844" s="652">
        <v>4</v>
      </c>
      <c r="L3844" s="552">
        <f t="shared" si="692"/>
        <v>0.40773999999999999</v>
      </c>
      <c r="M3844" s="549"/>
      <c r="N3844" s="549"/>
      <c r="O3844" s="549"/>
      <c r="P3844" s="549"/>
      <c r="Q3844" s="1059"/>
      <c r="R3844" s="1059"/>
      <c r="T3844" s="126">
        <f t="shared" si="693"/>
        <v>0</v>
      </c>
    </row>
    <row r="3845" spans="1:21" ht="17.399999999999999">
      <c r="A3845" s="549"/>
      <c r="B3845" s="549"/>
      <c r="C3845" s="549"/>
      <c r="D3845" s="549"/>
      <c r="E3845" s="560"/>
      <c r="F3845" s="549"/>
      <c r="G3845" s="549" t="s">
        <v>21</v>
      </c>
      <c r="H3845" s="549" t="s">
        <v>119</v>
      </c>
      <c r="I3845" s="558">
        <v>10.73</v>
      </c>
      <c r="J3845" s="567">
        <v>11.5</v>
      </c>
      <c r="K3845" s="652">
        <v>9</v>
      </c>
      <c r="L3845" s="552">
        <f t="shared" si="692"/>
        <v>1.110555</v>
      </c>
      <c r="M3845" s="549"/>
      <c r="N3845" s="549"/>
      <c r="O3845" s="549"/>
      <c r="P3845" s="549"/>
      <c r="Q3845" s="1059"/>
      <c r="R3845" s="1059"/>
      <c r="S3845">
        <v>9</v>
      </c>
      <c r="T3845" s="126">
        <f t="shared" si="693"/>
        <v>1.110555</v>
      </c>
    </row>
    <row r="3846" spans="1:21" ht="17.399999999999999">
      <c r="A3846" s="549"/>
      <c r="B3846" s="549"/>
      <c r="C3846" s="549"/>
      <c r="D3846" s="549"/>
      <c r="E3846" s="560"/>
      <c r="F3846" s="549"/>
      <c r="G3846" s="549"/>
      <c r="H3846" s="549"/>
      <c r="I3846" s="558"/>
      <c r="J3846" s="567"/>
      <c r="K3846" s="652">
        <f t="shared" ref="K3846:L3846" si="694">SUM(K3841:K3845)</f>
        <v>35</v>
      </c>
      <c r="L3846" s="565">
        <f t="shared" si="694"/>
        <v>3.1814450000000001</v>
      </c>
      <c r="M3846" s="549"/>
      <c r="N3846" s="549"/>
      <c r="O3846" s="549"/>
      <c r="P3846" s="549"/>
      <c r="Q3846" s="549"/>
      <c r="R3846" s="549"/>
      <c r="S3846" s="652">
        <f t="shared" ref="S3846" si="695">SUM(S3841:S3845)</f>
        <v>13</v>
      </c>
      <c r="T3846" s="565">
        <f>SUM(T3841:T3845)</f>
        <v>1.518295</v>
      </c>
    </row>
    <row r="3847" spans="1:21" s="497" customFormat="1" ht="17.399999999999999">
      <c r="A3847" s="549"/>
      <c r="B3847" s="549"/>
      <c r="C3847" s="549"/>
      <c r="D3847" s="549"/>
      <c r="E3847" s="560"/>
      <c r="F3847" s="549"/>
      <c r="G3847" s="549"/>
      <c r="H3847" s="549"/>
      <c r="I3847" s="558"/>
      <c r="J3847" s="567"/>
      <c r="K3847" s="652"/>
      <c r="L3847" s="565"/>
      <c r="M3847" s="549"/>
      <c r="N3847" s="549"/>
      <c r="O3847" s="549"/>
      <c r="P3847" s="549"/>
      <c r="Q3847" s="1059"/>
      <c r="R3847" s="1059"/>
    </row>
    <row r="3848" spans="1:21" ht="17.399999999999999">
      <c r="A3848" s="547" t="s">
        <v>458</v>
      </c>
      <c r="B3848" s="547" t="s">
        <v>459</v>
      </c>
      <c r="C3848" s="547" t="s">
        <v>19</v>
      </c>
      <c r="D3848" s="547" t="s">
        <v>20</v>
      </c>
      <c r="E3848" s="547" t="s">
        <v>359</v>
      </c>
      <c r="F3848" s="548">
        <v>12</v>
      </c>
      <c r="G3848" s="549" t="s">
        <v>21</v>
      </c>
      <c r="H3848" s="599" t="s">
        <v>119</v>
      </c>
      <c r="I3848" s="558">
        <v>10.73</v>
      </c>
      <c r="J3848" s="567">
        <v>7.4</v>
      </c>
      <c r="K3848" s="652">
        <v>4</v>
      </c>
      <c r="L3848" s="552">
        <f>(I3848*J3848*K3848/1000)</f>
        <v>0.317608</v>
      </c>
      <c r="M3848" s="549"/>
      <c r="N3848" s="549"/>
      <c r="O3848" s="549"/>
      <c r="P3848" s="549"/>
      <c r="Q3848" s="1059"/>
      <c r="R3848" s="1059"/>
      <c r="S3848" s="497" t="s">
        <v>550</v>
      </c>
    </row>
    <row r="3849" spans="1:21" ht="17.399999999999999">
      <c r="A3849" s="550"/>
      <c r="B3849" s="549" t="s">
        <v>277</v>
      </c>
      <c r="C3849" s="550"/>
      <c r="D3849" s="550"/>
      <c r="E3849" s="548"/>
      <c r="F3849" s="548"/>
      <c r="G3849" s="549"/>
      <c r="H3849" s="549"/>
      <c r="I3849" s="558"/>
      <c r="J3849" s="567"/>
      <c r="K3849" s="652">
        <f t="shared" ref="K3849:L3849" si="696">SUM(K3848)</f>
        <v>4</v>
      </c>
      <c r="L3849" s="565">
        <f t="shared" si="696"/>
        <v>0.317608</v>
      </c>
      <c r="M3849" s="549"/>
      <c r="N3849" s="549"/>
      <c r="O3849" s="549"/>
      <c r="P3849" s="549"/>
      <c r="Q3849" s="1059"/>
      <c r="R3849" s="1059"/>
    </row>
    <row r="3850" spans="1:21" s="497" customFormat="1" ht="17.399999999999999">
      <c r="A3850" s="550"/>
      <c r="B3850" s="549"/>
      <c r="C3850" s="550"/>
      <c r="D3850" s="550"/>
      <c r="E3850" s="548"/>
      <c r="F3850" s="548"/>
      <c r="G3850" s="549"/>
      <c r="H3850" s="549"/>
      <c r="I3850" s="558"/>
      <c r="J3850" s="567"/>
      <c r="K3850" s="652"/>
      <c r="L3850" s="565"/>
      <c r="M3850" s="549"/>
      <c r="N3850" s="549"/>
      <c r="O3850" s="549"/>
      <c r="P3850" s="549"/>
      <c r="Q3850" s="1059"/>
      <c r="R3850" s="1059"/>
    </row>
    <row r="3851" spans="1:21" ht="17.399999999999999">
      <c r="A3851" s="547" t="s">
        <v>451</v>
      </c>
      <c r="B3851" s="547" t="s">
        <v>468</v>
      </c>
      <c r="C3851" s="547" t="s">
        <v>19</v>
      </c>
      <c r="D3851" s="547" t="s">
        <v>20</v>
      </c>
      <c r="E3851" s="547" t="s">
        <v>359</v>
      </c>
      <c r="F3851" s="548">
        <v>12</v>
      </c>
      <c r="G3851" s="549" t="s">
        <v>21</v>
      </c>
      <c r="H3851" s="599" t="s">
        <v>119</v>
      </c>
      <c r="I3851" s="558">
        <v>10.73</v>
      </c>
      <c r="J3851" s="567">
        <v>10</v>
      </c>
      <c r="K3851" s="652">
        <v>72</v>
      </c>
      <c r="L3851" s="552">
        <f>(I3851*J3851*K3851/1000)</f>
        <v>7.7256</v>
      </c>
      <c r="M3851" s="549"/>
      <c r="N3851" s="549"/>
      <c r="O3851" s="549"/>
      <c r="P3851" s="549"/>
      <c r="Q3851" s="1059"/>
      <c r="R3851" s="1059"/>
      <c r="S3851">
        <f>21+20+20</f>
        <v>61</v>
      </c>
      <c r="T3851" s="126">
        <f t="shared" ref="T3851:T3853" si="697">J3851*S3851*I3851/1000</f>
        <v>6.5453000000000001</v>
      </c>
      <c r="U3851" s="497" t="s">
        <v>550</v>
      </c>
    </row>
    <row r="3852" spans="1:21" ht="17.399999999999999">
      <c r="A3852" s="547"/>
      <c r="B3852" s="549" t="s">
        <v>277</v>
      </c>
      <c r="C3852" s="547"/>
      <c r="D3852" s="547"/>
      <c r="E3852" s="547"/>
      <c r="F3852" s="548"/>
      <c r="G3852" s="549" t="s">
        <v>21</v>
      </c>
      <c r="H3852" s="549" t="s">
        <v>119</v>
      </c>
      <c r="I3852" s="558">
        <v>10.73</v>
      </c>
      <c r="J3852" s="567">
        <v>11</v>
      </c>
      <c r="K3852" s="652">
        <v>29</v>
      </c>
      <c r="L3852" s="552">
        <f>(I3852*J3852*K3852/1000)</f>
        <v>3.4228700000000001</v>
      </c>
      <c r="M3852" s="549"/>
      <c r="N3852" s="549"/>
      <c r="O3852" s="549"/>
      <c r="P3852" s="549"/>
      <c r="Q3852" s="1059"/>
      <c r="R3852" s="1059"/>
      <c r="S3852">
        <v>3</v>
      </c>
      <c r="T3852" s="126">
        <f t="shared" si="697"/>
        <v>0.35409000000000002</v>
      </c>
    </row>
    <row r="3853" spans="1:21" ht="17.399999999999999">
      <c r="A3853" s="549"/>
      <c r="B3853" s="549"/>
      <c r="C3853" s="549"/>
      <c r="D3853" s="549"/>
      <c r="E3853" s="560"/>
      <c r="F3853" s="549"/>
      <c r="G3853" s="549" t="s">
        <v>21</v>
      </c>
      <c r="H3853" s="549" t="s">
        <v>119</v>
      </c>
      <c r="I3853" s="558">
        <v>10.73</v>
      </c>
      <c r="J3853" s="567">
        <v>12</v>
      </c>
      <c r="K3853" s="652">
        <v>30</v>
      </c>
      <c r="L3853" s="552">
        <f>(I3853*J3853*K3853/1000)</f>
        <v>3.8627999999999996</v>
      </c>
      <c r="M3853" s="549"/>
      <c r="N3853" s="549"/>
      <c r="O3853" s="549"/>
      <c r="P3853" s="549"/>
      <c r="Q3853" s="1059"/>
      <c r="R3853" s="1059"/>
      <c r="S3853">
        <v>3</v>
      </c>
      <c r="T3853" s="126">
        <f t="shared" si="697"/>
        <v>0.38628000000000001</v>
      </c>
    </row>
    <row r="3854" spans="1:21" s="497" customFormat="1" ht="17.399999999999999">
      <c r="A3854" s="549"/>
      <c r="B3854" s="549"/>
      <c r="C3854" s="549"/>
      <c r="D3854" s="549"/>
      <c r="E3854" s="560"/>
      <c r="F3854" s="549"/>
      <c r="G3854" s="549"/>
      <c r="H3854" s="549"/>
      <c r="I3854" s="558"/>
      <c r="J3854" s="567"/>
      <c r="K3854" s="652">
        <f>SUM(K3851:K3853)</f>
        <v>131</v>
      </c>
      <c r="L3854" s="565">
        <f>SUM(L3851:L3853)</f>
        <v>15.01127</v>
      </c>
      <c r="M3854" s="549"/>
      <c r="N3854" s="549"/>
      <c r="O3854" s="549"/>
      <c r="P3854" s="549"/>
      <c r="Q3854" s="549"/>
      <c r="R3854" s="549"/>
      <c r="S3854" s="652">
        <f>SUM(S3851:S3853)</f>
        <v>67</v>
      </c>
      <c r="T3854" s="565">
        <f>SUM(T3851:T3853)</f>
        <v>7.2856700000000005</v>
      </c>
    </row>
    <row r="3855" spans="1:21" s="497" customFormat="1" ht="17.399999999999999">
      <c r="A3855" s="549"/>
      <c r="B3855" s="549"/>
      <c r="C3855" s="549"/>
      <c r="D3855" s="549"/>
      <c r="E3855" s="560"/>
      <c r="F3855" s="549"/>
      <c r="G3855" s="549"/>
      <c r="H3855" s="549"/>
      <c r="I3855" s="558"/>
      <c r="J3855" s="567"/>
      <c r="K3855" s="652"/>
      <c r="L3855" s="565"/>
      <c r="M3855" s="549"/>
      <c r="N3855" s="549"/>
      <c r="O3855" s="549"/>
      <c r="P3855" s="549"/>
      <c r="Q3855" s="1059"/>
      <c r="R3855" s="1059"/>
    </row>
    <row r="3856" spans="1:21" ht="17.399999999999999">
      <c r="A3856" s="547" t="s">
        <v>445</v>
      </c>
      <c r="B3856" s="547" t="s">
        <v>463</v>
      </c>
      <c r="C3856" s="547" t="s">
        <v>19</v>
      </c>
      <c r="D3856" s="547" t="s">
        <v>20</v>
      </c>
      <c r="E3856" s="547" t="s">
        <v>175</v>
      </c>
      <c r="F3856" s="548">
        <v>12</v>
      </c>
      <c r="G3856" s="549" t="s">
        <v>21</v>
      </c>
      <c r="H3856" s="599" t="s">
        <v>119</v>
      </c>
      <c r="I3856" s="558">
        <v>10.7</v>
      </c>
      <c r="J3856" s="567">
        <v>7.7</v>
      </c>
      <c r="K3856" s="652">
        <v>9</v>
      </c>
      <c r="L3856" s="552">
        <f>(I3856*J3856*K3856/1000)</f>
        <v>0.74151</v>
      </c>
      <c r="M3856" s="549"/>
      <c r="N3856" s="549"/>
      <c r="O3856" s="567">
        <v>7</v>
      </c>
      <c r="P3856" s="549"/>
      <c r="Q3856" s="1059"/>
      <c r="R3856" s="1059"/>
      <c r="S3856" s="497" t="s">
        <v>550</v>
      </c>
    </row>
    <row r="3857" spans="1:21" s="497" customFormat="1" ht="17.399999999999999">
      <c r="A3857" s="547"/>
      <c r="B3857" s="549" t="s">
        <v>421</v>
      </c>
      <c r="C3857" s="547"/>
      <c r="D3857" s="547"/>
      <c r="E3857" s="547"/>
      <c r="F3857" s="548"/>
      <c r="G3857" s="549"/>
      <c r="H3857" s="549"/>
      <c r="I3857" s="558"/>
      <c r="J3857" s="567"/>
      <c r="K3857" s="652">
        <f t="shared" ref="K3857" si="698">SUM(K3856)</f>
        <v>9</v>
      </c>
      <c r="L3857" s="552">
        <f>SUM(L3856)</f>
        <v>0.74151</v>
      </c>
      <c r="M3857" s="549"/>
      <c r="N3857" s="549"/>
      <c r="O3857" s="549"/>
      <c r="P3857" s="549"/>
      <c r="Q3857" s="1059"/>
      <c r="R3857" s="1059"/>
    </row>
    <row r="3858" spans="1:21" ht="17.399999999999999">
      <c r="A3858" s="550"/>
      <c r="B3858" s="549"/>
      <c r="C3858" s="550"/>
      <c r="D3858" s="550"/>
      <c r="E3858" s="548"/>
      <c r="F3858" s="548"/>
      <c r="G3858" s="549"/>
      <c r="H3858" s="549"/>
      <c r="I3858" s="558"/>
      <c r="J3858" s="567"/>
      <c r="K3858" s="652"/>
      <c r="L3858" s="565"/>
      <c r="M3858" s="549"/>
      <c r="N3858" s="549"/>
      <c r="O3858" s="549"/>
      <c r="P3858" s="549"/>
      <c r="Q3858" s="1059"/>
      <c r="R3858" s="1059"/>
    </row>
    <row r="3859" spans="1:21" s="497" customFormat="1" ht="17.399999999999999">
      <c r="A3859" s="547" t="s">
        <v>59</v>
      </c>
      <c r="B3859" s="547" t="s">
        <v>481</v>
      </c>
      <c r="C3859" s="547" t="s">
        <v>19</v>
      </c>
      <c r="D3859" s="547" t="s">
        <v>20</v>
      </c>
      <c r="E3859" s="560" t="s">
        <v>464</v>
      </c>
      <c r="F3859" s="548">
        <v>12</v>
      </c>
      <c r="G3859" s="549" t="s">
        <v>21</v>
      </c>
      <c r="H3859" s="550" t="s">
        <v>119</v>
      </c>
      <c r="I3859" s="558">
        <v>10.7</v>
      </c>
      <c r="J3859" s="567">
        <v>11.9</v>
      </c>
      <c r="K3859" s="652">
        <v>8</v>
      </c>
      <c r="L3859" s="552">
        <f>(I3859*J3859*K3859/1000)</f>
        <v>1.01864</v>
      </c>
      <c r="M3859" s="549"/>
      <c r="N3859" s="549"/>
      <c r="O3859" s="549"/>
      <c r="P3859" s="549"/>
      <c r="Q3859" s="1059"/>
      <c r="R3859" s="1059"/>
      <c r="S3859" s="497">
        <v>6</v>
      </c>
      <c r="T3859" s="126">
        <f t="shared" ref="T3859" si="699">J3859*S3859*I3859/1000</f>
        <v>0.76397999999999999</v>
      </c>
    </row>
    <row r="3860" spans="1:21" s="497" customFormat="1" ht="17.399999999999999">
      <c r="A3860" s="547"/>
      <c r="B3860" s="754" t="s">
        <v>482</v>
      </c>
      <c r="C3860" s="547"/>
      <c r="D3860" s="547"/>
      <c r="E3860" s="547"/>
      <c r="F3860" s="548"/>
      <c r="G3860" s="549"/>
      <c r="H3860" s="549"/>
      <c r="I3860" s="558"/>
      <c r="J3860" s="567"/>
      <c r="K3860" s="652">
        <f t="shared" ref="K3860" si="700">SUM(K3859)</f>
        <v>8</v>
      </c>
      <c r="L3860" s="552">
        <f>SUM(L3859)</f>
        <v>1.01864</v>
      </c>
      <c r="M3860" s="549"/>
      <c r="N3860" s="549"/>
      <c r="O3860" s="549"/>
      <c r="P3860" s="549"/>
      <c r="Q3860" s="549"/>
      <c r="R3860" s="549"/>
      <c r="S3860" s="652">
        <f t="shared" ref="S3860" si="701">SUM(S3859)</f>
        <v>6</v>
      </c>
      <c r="T3860" s="552">
        <f>SUM(T3859)</f>
        <v>0.76397999999999999</v>
      </c>
    </row>
    <row r="3861" spans="1:21" s="497" customFormat="1" ht="17.399999999999999">
      <c r="A3861" s="550"/>
      <c r="B3861" s="549"/>
      <c r="C3861" s="550"/>
      <c r="D3861" s="550"/>
      <c r="E3861" s="548"/>
      <c r="F3861" s="548"/>
      <c r="G3861" s="549"/>
      <c r="H3861" s="549"/>
      <c r="I3861" s="558"/>
      <c r="J3861" s="567"/>
      <c r="K3861" s="652"/>
      <c r="L3861" s="565"/>
      <c r="M3861" s="549"/>
      <c r="N3861" s="549"/>
      <c r="O3861" s="549"/>
      <c r="P3861" s="549"/>
      <c r="Q3861" s="1059"/>
      <c r="R3861" s="1059"/>
    </row>
    <row r="3862" spans="1:21" ht="17.399999999999999">
      <c r="A3862" s="547" t="s">
        <v>445</v>
      </c>
      <c r="B3862" s="547" t="s">
        <v>465</v>
      </c>
      <c r="C3862" s="547" t="s">
        <v>19</v>
      </c>
      <c r="D3862" s="547" t="s">
        <v>20</v>
      </c>
      <c r="E3862" s="560" t="s">
        <v>464</v>
      </c>
      <c r="F3862" s="548">
        <v>12</v>
      </c>
      <c r="G3862" s="549" t="s">
        <v>21</v>
      </c>
      <c r="H3862" s="599" t="s">
        <v>119</v>
      </c>
      <c r="I3862" s="558">
        <v>10.7</v>
      </c>
      <c r="J3862" s="567">
        <v>7.7</v>
      </c>
      <c r="K3862" s="652">
        <v>16</v>
      </c>
      <c r="L3862" s="552">
        <f t="shared" ref="L3862:L3872" si="702">(I3862*J3862*K3862/1000)</f>
        <v>1.3182400000000001</v>
      </c>
      <c r="M3862" s="549"/>
      <c r="N3862" s="549"/>
      <c r="O3862" s="567">
        <v>7.4</v>
      </c>
      <c r="P3862" s="549"/>
      <c r="Q3862" s="1059"/>
      <c r="R3862" s="1059"/>
      <c r="S3862">
        <v>12</v>
      </c>
      <c r="T3862" s="126">
        <f>J3862*S3862*I3862/1000</f>
        <v>0.98868</v>
      </c>
      <c r="U3862" s="497" t="s">
        <v>549</v>
      </c>
    </row>
    <row r="3863" spans="1:21" ht="17.399999999999999">
      <c r="A3863" s="550"/>
      <c r="B3863" s="549" t="s">
        <v>439</v>
      </c>
      <c r="C3863" s="550"/>
      <c r="D3863" s="550"/>
      <c r="E3863" s="548"/>
      <c r="F3863" s="548"/>
      <c r="G3863" s="549" t="s">
        <v>21</v>
      </c>
      <c r="H3863" s="549" t="s">
        <v>119</v>
      </c>
      <c r="I3863" s="558">
        <v>10.7</v>
      </c>
      <c r="J3863" s="567">
        <v>7.7</v>
      </c>
      <c r="K3863" s="652">
        <v>52</v>
      </c>
      <c r="L3863" s="552">
        <f t="shared" si="702"/>
        <v>4.2842799999999999</v>
      </c>
      <c r="M3863" s="549"/>
      <c r="N3863" s="549"/>
      <c r="O3863" s="549"/>
      <c r="P3863" s="549"/>
      <c r="Q3863" s="1059"/>
      <c r="R3863" s="1059"/>
      <c r="S3863">
        <v>20</v>
      </c>
      <c r="T3863" s="126">
        <f>J3863*S3863*I3863/1000</f>
        <v>1.6477999999999999</v>
      </c>
    </row>
    <row r="3864" spans="1:21" ht="17.399999999999999">
      <c r="A3864" s="549"/>
      <c r="B3864" s="549"/>
      <c r="C3864" s="549"/>
      <c r="D3864" s="549"/>
      <c r="E3864" s="560"/>
      <c r="F3864" s="549"/>
      <c r="G3864" s="549" t="s">
        <v>21</v>
      </c>
      <c r="H3864" s="549" t="s">
        <v>119</v>
      </c>
      <c r="I3864" s="558">
        <v>10.7</v>
      </c>
      <c r="J3864" s="567">
        <v>8</v>
      </c>
      <c r="K3864" s="652">
        <v>15</v>
      </c>
      <c r="L3864" s="552">
        <f t="shared" si="702"/>
        <v>1.284</v>
      </c>
      <c r="M3864" s="549"/>
      <c r="N3864" s="549"/>
      <c r="O3864" s="549"/>
      <c r="P3864" s="549"/>
      <c r="Q3864" s="1059"/>
      <c r="R3864" s="1059"/>
      <c r="S3864">
        <v>4</v>
      </c>
      <c r="T3864" s="126">
        <f>J3864*S3864*I3864/1000</f>
        <v>0.34239999999999998</v>
      </c>
    </row>
    <row r="3865" spans="1:21" ht="17.399999999999999">
      <c r="A3865" s="549"/>
      <c r="B3865" s="549"/>
      <c r="C3865" s="549"/>
      <c r="D3865" s="549"/>
      <c r="E3865" s="560"/>
      <c r="F3865" s="549"/>
      <c r="G3865" s="549" t="s">
        <v>21</v>
      </c>
      <c r="H3865" s="549" t="s">
        <v>119</v>
      </c>
      <c r="I3865" s="558">
        <v>10.7</v>
      </c>
      <c r="J3865" s="567">
        <v>8.9</v>
      </c>
      <c r="K3865" s="652">
        <v>31</v>
      </c>
      <c r="L3865" s="552">
        <f t="shared" si="702"/>
        <v>2.9521299999999999</v>
      </c>
      <c r="M3865" s="549"/>
      <c r="N3865" s="549"/>
      <c r="O3865" s="549"/>
      <c r="P3865" s="549"/>
      <c r="Q3865" s="1059"/>
      <c r="R3865" s="1059"/>
      <c r="S3865">
        <v>21</v>
      </c>
      <c r="T3865" s="126">
        <f>J3865*S3865*I3865/1000</f>
        <v>1.99983</v>
      </c>
    </row>
    <row r="3866" spans="1:21" ht="17.399999999999999">
      <c r="A3866" s="549"/>
      <c r="B3866" s="549"/>
      <c r="C3866" s="549"/>
      <c r="D3866" s="549"/>
      <c r="E3866" s="560"/>
      <c r="F3866" s="549"/>
      <c r="G3866" s="549" t="s">
        <v>21</v>
      </c>
      <c r="H3866" s="549" t="s">
        <v>119</v>
      </c>
      <c r="I3866" s="558">
        <v>10.7</v>
      </c>
      <c r="J3866" s="567">
        <v>9.85</v>
      </c>
      <c r="K3866" s="652">
        <v>61</v>
      </c>
      <c r="L3866" s="552">
        <f t="shared" si="702"/>
        <v>6.4290949999999993</v>
      </c>
      <c r="M3866" s="549"/>
      <c r="N3866" s="549"/>
      <c r="O3866" s="549"/>
      <c r="P3866" s="549"/>
      <c r="Q3866" s="1059"/>
      <c r="R3866" s="1059"/>
    </row>
    <row r="3867" spans="1:21" ht="17.399999999999999">
      <c r="A3867" s="549"/>
      <c r="B3867" s="549"/>
      <c r="C3867" s="549"/>
      <c r="D3867" s="549"/>
      <c r="E3867" s="560"/>
      <c r="F3867" s="549"/>
      <c r="G3867" s="549" t="s">
        <v>21</v>
      </c>
      <c r="H3867" s="549" t="s">
        <v>119</v>
      </c>
      <c r="I3867" s="558">
        <v>10.7</v>
      </c>
      <c r="J3867" s="567">
        <v>10</v>
      </c>
      <c r="K3867" s="652">
        <v>28</v>
      </c>
      <c r="L3867" s="552">
        <f t="shared" si="702"/>
        <v>2.996</v>
      </c>
      <c r="M3867" s="549"/>
      <c r="N3867" s="549"/>
      <c r="O3867" s="549"/>
      <c r="P3867" s="549"/>
      <c r="Q3867" s="1059"/>
      <c r="R3867" s="1059"/>
      <c r="S3867">
        <v>28</v>
      </c>
      <c r="T3867" s="126">
        <f t="shared" ref="T3867:T3872" si="703">J3867*S3867*I3867/1000</f>
        <v>2.996</v>
      </c>
    </row>
    <row r="3868" spans="1:21" ht="17.399999999999999">
      <c r="A3868" s="549"/>
      <c r="B3868" s="549"/>
      <c r="C3868" s="549"/>
      <c r="D3868" s="549"/>
      <c r="E3868" s="560"/>
      <c r="F3868" s="549"/>
      <c r="G3868" s="549" t="s">
        <v>21</v>
      </c>
      <c r="H3868" s="549" t="s">
        <v>119</v>
      </c>
      <c r="I3868" s="558">
        <v>10.7</v>
      </c>
      <c r="J3868" s="567">
        <v>10.8</v>
      </c>
      <c r="K3868" s="652">
        <v>15</v>
      </c>
      <c r="L3868" s="552">
        <f t="shared" si="702"/>
        <v>1.7334000000000001</v>
      </c>
      <c r="M3868" s="549"/>
      <c r="N3868" s="549"/>
      <c r="O3868" s="549"/>
      <c r="P3868" s="549"/>
      <c r="Q3868" s="1059"/>
      <c r="R3868" s="1059"/>
      <c r="S3868">
        <v>8</v>
      </c>
      <c r="T3868" s="126">
        <f t="shared" si="703"/>
        <v>0.92447999999999997</v>
      </c>
    </row>
    <row r="3869" spans="1:21" ht="17.399999999999999">
      <c r="A3869" s="549"/>
      <c r="B3869" s="549"/>
      <c r="C3869" s="549"/>
      <c r="D3869" s="549"/>
      <c r="E3869" s="560"/>
      <c r="F3869" s="549"/>
      <c r="G3869" s="549" t="s">
        <v>21</v>
      </c>
      <c r="H3869" s="549" t="s">
        <v>119</v>
      </c>
      <c r="I3869" s="558">
        <v>10.7</v>
      </c>
      <c r="J3869" s="567">
        <v>11</v>
      </c>
      <c r="K3869" s="652">
        <v>23</v>
      </c>
      <c r="L3869" s="552">
        <f t="shared" si="702"/>
        <v>2.7071000000000001</v>
      </c>
      <c r="M3869" s="549"/>
      <c r="N3869" s="549"/>
      <c r="O3869" s="549"/>
      <c r="P3869" s="549"/>
      <c r="Q3869" s="1059"/>
      <c r="R3869" s="1059"/>
      <c r="S3869">
        <f>19+4</f>
        <v>23</v>
      </c>
      <c r="T3869" s="126">
        <f t="shared" si="703"/>
        <v>2.7071000000000001</v>
      </c>
    </row>
    <row r="3870" spans="1:21" ht="17.399999999999999">
      <c r="A3870" s="549"/>
      <c r="B3870" s="549"/>
      <c r="C3870" s="549"/>
      <c r="D3870" s="549"/>
      <c r="E3870" s="560"/>
      <c r="F3870" s="549"/>
      <c r="G3870" s="549" t="s">
        <v>21</v>
      </c>
      <c r="H3870" s="549" t="s">
        <v>119</v>
      </c>
      <c r="I3870" s="558">
        <v>10.7</v>
      </c>
      <c r="J3870" s="567">
        <v>11.2</v>
      </c>
      <c r="K3870" s="652">
        <v>22</v>
      </c>
      <c r="L3870" s="552">
        <f t="shared" si="702"/>
        <v>2.6364799999999997</v>
      </c>
      <c r="M3870" s="549"/>
      <c r="N3870" s="549"/>
      <c r="O3870" s="549"/>
      <c r="P3870" s="549"/>
      <c r="Q3870" s="1059"/>
      <c r="R3870" s="1059"/>
      <c r="S3870">
        <v>22</v>
      </c>
      <c r="T3870" s="126">
        <f t="shared" si="703"/>
        <v>2.6364799999999997</v>
      </c>
    </row>
    <row r="3871" spans="1:21" ht="17.399999999999999">
      <c r="A3871" s="549"/>
      <c r="B3871" s="549"/>
      <c r="C3871" s="549"/>
      <c r="D3871" s="549"/>
      <c r="E3871" s="560"/>
      <c r="F3871" s="549"/>
      <c r="G3871" s="549" t="s">
        <v>21</v>
      </c>
      <c r="H3871" s="549" t="s">
        <v>119</v>
      </c>
      <c r="I3871" s="558">
        <v>10.7</v>
      </c>
      <c r="J3871" s="567">
        <v>12</v>
      </c>
      <c r="K3871" s="652">
        <v>2</v>
      </c>
      <c r="L3871" s="552">
        <f t="shared" si="702"/>
        <v>0.25679999999999997</v>
      </c>
      <c r="M3871" s="549"/>
      <c r="N3871" s="549"/>
      <c r="O3871" s="567">
        <v>11.7</v>
      </c>
      <c r="P3871" s="549"/>
      <c r="Q3871" s="1059"/>
      <c r="R3871" s="1059"/>
      <c r="S3871">
        <v>2</v>
      </c>
      <c r="T3871" s="126">
        <f t="shared" si="703"/>
        <v>0.25679999999999997</v>
      </c>
    </row>
    <row r="3872" spans="1:21" ht="17.399999999999999">
      <c r="A3872" s="549"/>
      <c r="B3872" s="549"/>
      <c r="C3872" s="549"/>
      <c r="D3872" s="549"/>
      <c r="E3872" s="560"/>
      <c r="F3872" s="549"/>
      <c r="G3872" s="549" t="s">
        <v>21</v>
      </c>
      <c r="H3872" s="549" t="s">
        <v>119</v>
      </c>
      <c r="I3872" s="558">
        <v>10.7</v>
      </c>
      <c r="J3872" s="567">
        <v>12</v>
      </c>
      <c r="K3872" s="652">
        <v>9</v>
      </c>
      <c r="L3872" s="552">
        <f t="shared" si="702"/>
        <v>1.1556</v>
      </c>
      <c r="M3872" s="549"/>
      <c r="N3872" s="549"/>
      <c r="O3872" s="549"/>
      <c r="P3872" s="549"/>
      <c r="Q3872" s="1059"/>
      <c r="R3872" s="1059"/>
      <c r="S3872">
        <v>9</v>
      </c>
      <c r="T3872" s="126">
        <f t="shared" si="703"/>
        <v>1.1556</v>
      </c>
    </row>
    <row r="3873" spans="1:21" ht="17.399999999999999">
      <c r="A3873" s="549"/>
      <c r="B3873" s="549"/>
      <c r="C3873" s="549"/>
      <c r="D3873" s="549"/>
      <c r="E3873" s="560"/>
      <c r="F3873" s="549"/>
      <c r="G3873" s="549"/>
      <c r="H3873" s="549"/>
      <c r="I3873" s="558"/>
      <c r="J3873" s="567"/>
      <c r="K3873" s="652">
        <f t="shared" ref="K3873" si="704">SUM(K3862:K3872)</f>
        <v>274</v>
      </c>
      <c r="L3873" s="565">
        <f>SUM(L3862:L3872)</f>
        <v>27.753124999999994</v>
      </c>
      <c r="M3873" s="549"/>
      <c r="N3873" s="549"/>
      <c r="O3873" s="549"/>
      <c r="P3873" s="549"/>
      <c r="Q3873" s="549"/>
      <c r="R3873" s="549"/>
      <c r="S3873" s="652">
        <f t="shared" ref="S3873" si="705">SUM(S3862:S3872)</f>
        <v>149</v>
      </c>
      <c r="T3873" s="565">
        <f>SUM(T3862:T3872)</f>
        <v>15.65517</v>
      </c>
    </row>
    <row r="3874" spans="1:21" s="497" customFormat="1" ht="17.399999999999999">
      <c r="A3874" s="549"/>
      <c r="B3874" s="549"/>
      <c r="C3874" s="549"/>
      <c r="D3874" s="549"/>
      <c r="E3874" s="560"/>
      <c r="F3874" s="549"/>
      <c r="G3874" s="549"/>
      <c r="H3874" s="549"/>
      <c r="I3874" s="558"/>
      <c r="J3874" s="567"/>
      <c r="K3874" s="652"/>
      <c r="L3874" s="565"/>
      <c r="M3874" s="549"/>
      <c r="N3874" s="549"/>
      <c r="O3874" s="549"/>
      <c r="P3874" s="549"/>
      <c r="Q3874" s="1059"/>
      <c r="R3874" s="1059"/>
    </row>
    <row r="3875" spans="1:21" s="497" customFormat="1" ht="17.399999999999999">
      <c r="A3875" s="547" t="s">
        <v>445</v>
      </c>
      <c r="B3875" s="547" t="s">
        <v>479</v>
      </c>
      <c r="C3875" s="547" t="s">
        <v>19</v>
      </c>
      <c r="D3875" s="547" t="s">
        <v>20</v>
      </c>
      <c r="E3875" s="547" t="s">
        <v>478</v>
      </c>
      <c r="F3875" s="548">
        <v>12</v>
      </c>
      <c r="G3875" s="549" t="s">
        <v>21</v>
      </c>
      <c r="H3875" s="599" t="s">
        <v>119</v>
      </c>
      <c r="I3875" s="1094">
        <v>10.7</v>
      </c>
      <c r="J3875" s="567">
        <v>10.5</v>
      </c>
      <c r="K3875" s="648">
        <v>40</v>
      </c>
      <c r="L3875" s="552">
        <f t="shared" ref="L3875:L3877" si="706">(I3875*J3875*K3875/1000)</f>
        <v>4.4939999999999998</v>
      </c>
      <c r="M3875" s="549"/>
      <c r="N3875" s="549"/>
      <c r="O3875" s="549"/>
      <c r="P3875" s="549"/>
      <c r="Q3875" s="1059"/>
      <c r="R3875" s="1059"/>
      <c r="S3875" s="497">
        <v>23</v>
      </c>
      <c r="T3875" s="126">
        <f t="shared" ref="T3875:T3877" si="707">J3875*S3875*I3875/1000</f>
        <v>2.5840499999999995</v>
      </c>
      <c r="U3875" s="497" t="s">
        <v>549</v>
      </c>
    </row>
    <row r="3876" spans="1:21" s="497" customFormat="1" ht="17.399999999999999">
      <c r="A3876" s="547"/>
      <c r="B3876" s="549" t="s">
        <v>423</v>
      </c>
      <c r="C3876" s="547"/>
      <c r="D3876" s="547"/>
      <c r="E3876" s="547"/>
      <c r="F3876" s="548"/>
      <c r="G3876" s="549" t="s">
        <v>21</v>
      </c>
      <c r="H3876" s="549" t="s">
        <v>119</v>
      </c>
      <c r="I3876" s="1094">
        <v>10.7</v>
      </c>
      <c r="J3876" s="567">
        <v>11.2</v>
      </c>
      <c r="K3876" s="648">
        <v>68</v>
      </c>
      <c r="L3876" s="552">
        <f t="shared" si="706"/>
        <v>8.1491199999999981</v>
      </c>
      <c r="M3876" s="549"/>
      <c r="N3876" s="549"/>
      <c r="O3876" s="549"/>
      <c r="P3876" s="549"/>
      <c r="Q3876" s="1059"/>
      <c r="R3876" s="1059"/>
      <c r="S3876" s="497">
        <f>18+22</f>
        <v>40</v>
      </c>
      <c r="T3876" s="126">
        <f t="shared" si="707"/>
        <v>4.7935999999999996</v>
      </c>
    </row>
    <row r="3877" spans="1:21" s="497" customFormat="1" ht="17.399999999999999">
      <c r="A3877" s="550"/>
      <c r="B3877" s="792"/>
      <c r="C3877" s="550"/>
      <c r="D3877" s="550"/>
      <c r="E3877" s="548"/>
      <c r="F3877" s="548"/>
      <c r="G3877" s="549" t="s">
        <v>21</v>
      </c>
      <c r="H3877" s="549" t="s">
        <v>119</v>
      </c>
      <c r="I3877" s="1094">
        <v>10.7</v>
      </c>
      <c r="J3877" s="567">
        <v>12</v>
      </c>
      <c r="K3877" s="648">
        <v>40</v>
      </c>
      <c r="L3877" s="552">
        <f t="shared" si="706"/>
        <v>5.1359999999999992</v>
      </c>
      <c r="M3877" s="549"/>
      <c r="N3877" s="549"/>
      <c r="O3877" s="549"/>
      <c r="P3877" s="549"/>
      <c r="Q3877" s="1059"/>
      <c r="R3877" s="1059"/>
      <c r="S3877" s="497">
        <f>20+20</f>
        <v>40</v>
      </c>
      <c r="T3877" s="126">
        <f t="shared" si="707"/>
        <v>5.1360000000000001</v>
      </c>
    </row>
    <row r="3878" spans="1:21" s="497" customFormat="1" ht="17.399999999999999">
      <c r="A3878" s="550"/>
      <c r="B3878" s="792"/>
      <c r="C3878" s="550"/>
      <c r="D3878" s="550"/>
      <c r="E3878" s="548"/>
      <c r="F3878" s="548"/>
      <c r="G3878" s="549"/>
      <c r="H3878" s="549"/>
      <c r="I3878" s="558"/>
      <c r="J3878" s="567"/>
      <c r="K3878" s="727">
        <f>SUM(K3875:K3877)</f>
        <v>148</v>
      </c>
      <c r="L3878" s="565">
        <f>SUM(L3875:L3877)</f>
        <v>17.779119999999999</v>
      </c>
      <c r="M3878" s="549"/>
      <c r="N3878" s="549"/>
      <c r="O3878" s="549"/>
      <c r="P3878" s="549"/>
      <c r="Q3878" s="549"/>
      <c r="R3878" s="549"/>
      <c r="S3878" s="727">
        <f>SUM(S3875:S3877)</f>
        <v>103</v>
      </c>
      <c r="T3878" s="565">
        <f>SUM(T3875:T3877)</f>
        <v>12.513649999999998</v>
      </c>
    </row>
    <row r="3879" spans="1:21" s="497" customFormat="1" ht="17.399999999999999">
      <c r="A3879" s="550"/>
      <c r="B3879" s="792"/>
      <c r="C3879" s="550"/>
      <c r="D3879" s="550"/>
      <c r="E3879" s="548"/>
      <c r="F3879" s="548"/>
      <c r="G3879" s="549"/>
      <c r="H3879" s="549"/>
      <c r="I3879" s="558"/>
      <c r="J3879" s="567"/>
      <c r="K3879" s="727"/>
      <c r="L3879" s="565"/>
      <c r="M3879" s="549"/>
      <c r="N3879" s="549"/>
      <c r="O3879" s="549"/>
      <c r="P3879" s="549"/>
      <c r="Q3879" s="549"/>
      <c r="R3879" s="549"/>
      <c r="S3879" s="727"/>
      <c r="T3879" s="565"/>
    </row>
    <row r="3880" spans="1:21" s="497" customFormat="1" ht="17.399999999999999">
      <c r="A3880" s="547" t="s">
        <v>451</v>
      </c>
      <c r="B3880" s="547" t="s">
        <v>543</v>
      </c>
      <c r="C3880" s="547" t="s">
        <v>19</v>
      </c>
      <c r="D3880" s="547" t="s">
        <v>20</v>
      </c>
      <c r="E3880" s="560" t="s">
        <v>464</v>
      </c>
      <c r="F3880" s="548">
        <v>12</v>
      </c>
      <c r="G3880" s="112" t="s">
        <v>21</v>
      </c>
      <c r="H3880" s="855" t="s">
        <v>119</v>
      </c>
      <c r="I3880" s="449">
        <v>10.7</v>
      </c>
      <c r="J3880" s="434">
        <v>12</v>
      </c>
      <c r="K3880" s="435">
        <v>2</v>
      </c>
      <c r="L3880" s="436">
        <f>(I3880*J3880*K3880/1000)</f>
        <v>0.25679999999999997</v>
      </c>
      <c r="M3880" s="549"/>
      <c r="N3880" s="549"/>
      <c r="O3880" s="549"/>
      <c r="P3880" s="549"/>
      <c r="Q3880" s="549"/>
      <c r="R3880" s="549"/>
      <c r="S3880" s="727"/>
      <c r="T3880" s="565"/>
      <c r="U3880" s="497" t="s">
        <v>550</v>
      </c>
    </row>
    <row r="3881" spans="1:21" s="497" customFormat="1" ht="17.399999999999999">
      <c r="A3881" s="550"/>
      <c r="B3881" s="549" t="s">
        <v>439</v>
      </c>
      <c r="C3881" s="550"/>
      <c r="D3881" s="550"/>
      <c r="E3881" s="548"/>
      <c r="F3881" s="548"/>
      <c r="G3881" s="149"/>
      <c r="H3881" s="149"/>
      <c r="I3881" s="450"/>
      <c r="J3881" s="133"/>
      <c r="K3881" s="140">
        <f t="shared" ref="K3881:L3881" si="708">SUM(K3880)</f>
        <v>2</v>
      </c>
      <c r="L3881" s="133">
        <f t="shared" si="708"/>
        <v>0.25679999999999997</v>
      </c>
      <c r="M3881" s="549"/>
      <c r="N3881" s="549"/>
      <c r="O3881" s="549"/>
      <c r="P3881" s="549"/>
      <c r="Q3881" s="549"/>
      <c r="R3881" s="549"/>
      <c r="S3881" s="727"/>
      <c r="T3881" s="565"/>
    </row>
    <row r="3882" spans="1:21" s="497" customFormat="1" ht="17.399999999999999">
      <c r="A3882" s="549"/>
      <c r="B3882" s="549"/>
      <c r="C3882" s="549"/>
      <c r="D3882" s="549"/>
      <c r="E3882" s="560"/>
      <c r="F3882" s="549"/>
      <c r="G3882" s="549"/>
      <c r="H3882" s="549"/>
      <c r="I3882" s="558"/>
      <c r="J3882" s="567"/>
      <c r="K3882" s="652">
        <f>SUM(K3838:K3881)/2</f>
        <v>616</v>
      </c>
      <c r="L3882" s="565">
        <f>SUM(L3838:L3881)/2</f>
        <v>66.703317999999996</v>
      </c>
      <c r="M3882" s="549"/>
      <c r="N3882" s="549"/>
      <c r="O3882" s="549"/>
      <c r="P3882" s="549"/>
      <c r="Q3882" s="549"/>
      <c r="R3882" s="549"/>
      <c r="S3882" s="727">
        <f>SUM(S3838:S3878)/2</f>
        <v>338</v>
      </c>
      <c r="T3882" s="565">
        <f>SUM(T3838:T3878)/2</f>
        <v>37.736764999999991</v>
      </c>
    </row>
    <row r="3883" spans="1:21" s="497" customFormat="1" ht="17.399999999999999">
      <c r="A3883" s="549"/>
      <c r="B3883" s="549"/>
      <c r="C3883" s="549"/>
      <c r="D3883" s="549"/>
      <c r="E3883" s="560"/>
      <c r="F3883" s="549"/>
      <c r="G3883" s="549"/>
      <c r="H3883" s="549"/>
      <c r="I3883" s="558"/>
      <c r="J3883" s="567"/>
      <c r="K3883" s="652"/>
      <c r="L3883" s="565"/>
      <c r="M3883" s="549"/>
      <c r="N3883" s="549"/>
      <c r="O3883" s="549"/>
      <c r="P3883" s="549"/>
      <c r="Q3883" s="1059"/>
      <c r="R3883" s="1059"/>
    </row>
    <row r="3884" spans="1:21" s="497" customFormat="1" ht="17.399999999999999">
      <c r="A3884" s="549"/>
      <c r="B3884" s="549"/>
      <c r="C3884" s="549"/>
      <c r="D3884" s="549"/>
      <c r="E3884" s="560"/>
      <c r="F3884" s="549"/>
      <c r="G3884" s="549"/>
      <c r="H3884" s="549"/>
      <c r="I3884" s="558"/>
      <c r="J3884" s="567"/>
      <c r="K3884" s="652"/>
      <c r="L3884" s="565"/>
      <c r="M3884" s="549"/>
      <c r="N3884" s="549"/>
      <c r="O3884" s="549"/>
      <c r="P3884" s="549"/>
      <c r="Q3884" s="1059"/>
      <c r="R3884" s="1059"/>
    </row>
    <row r="3885" spans="1:21" ht="17.399999999999999">
      <c r="A3885" s="547" t="s">
        <v>451</v>
      </c>
      <c r="B3885" s="547" t="s">
        <v>468</v>
      </c>
      <c r="C3885" s="547" t="s">
        <v>19</v>
      </c>
      <c r="D3885" s="547" t="s">
        <v>20</v>
      </c>
      <c r="E3885" s="547" t="s">
        <v>359</v>
      </c>
      <c r="F3885" s="548">
        <v>12</v>
      </c>
      <c r="G3885" s="549" t="s">
        <v>21</v>
      </c>
      <c r="H3885" s="599" t="s">
        <v>118</v>
      </c>
      <c r="I3885" s="558">
        <v>9.26</v>
      </c>
      <c r="J3885" s="567">
        <v>9.5</v>
      </c>
      <c r="K3885" s="652">
        <v>16</v>
      </c>
      <c r="L3885" s="552">
        <f t="shared" ref="L3885:L3886" si="709">(I3885*J3885*K3885/1000)</f>
        <v>1.4075199999999999</v>
      </c>
      <c r="M3885" s="549"/>
      <c r="N3885" s="549"/>
      <c r="O3885" s="549"/>
      <c r="P3885" s="549"/>
      <c r="Q3885" s="1059"/>
      <c r="R3885" s="1059"/>
      <c r="S3885" s="497" t="s">
        <v>550</v>
      </c>
    </row>
    <row r="3886" spans="1:21" ht="17.399999999999999">
      <c r="A3886" s="547"/>
      <c r="B3886" s="549" t="s">
        <v>277</v>
      </c>
      <c r="C3886" s="547"/>
      <c r="D3886" s="547"/>
      <c r="E3886" s="547"/>
      <c r="F3886" s="548"/>
      <c r="G3886" s="549" t="s">
        <v>21</v>
      </c>
      <c r="H3886" s="549" t="s">
        <v>118</v>
      </c>
      <c r="I3886" s="558">
        <v>9.26</v>
      </c>
      <c r="J3886" s="567">
        <v>12</v>
      </c>
      <c r="K3886" s="652">
        <v>26</v>
      </c>
      <c r="L3886" s="552">
        <f t="shared" si="709"/>
        <v>2.8891199999999997</v>
      </c>
      <c r="M3886" s="549"/>
      <c r="N3886" s="549"/>
      <c r="O3886" s="549"/>
      <c r="P3886" s="549"/>
      <c r="Q3886" s="1059"/>
      <c r="R3886" s="1059"/>
    </row>
    <row r="3887" spans="1:21" s="497" customFormat="1" ht="17.399999999999999">
      <c r="A3887" s="547"/>
      <c r="B3887" s="549"/>
      <c r="C3887" s="547"/>
      <c r="D3887" s="547"/>
      <c r="E3887" s="547"/>
      <c r="F3887" s="548"/>
      <c r="G3887" s="549"/>
      <c r="H3887" s="549"/>
      <c r="I3887" s="558"/>
      <c r="J3887" s="567"/>
      <c r="K3887" s="652">
        <f>SUM(K3885:K3886)</f>
        <v>42</v>
      </c>
      <c r="L3887" s="565">
        <f>SUM(L3885:L3886)</f>
        <v>4.29664</v>
      </c>
      <c r="M3887" s="549"/>
      <c r="N3887" s="549"/>
      <c r="O3887" s="549"/>
      <c r="P3887" s="549"/>
      <c r="Q3887" s="1059"/>
      <c r="R3887" s="1059"/>
    </row>
    <row r="3888" spans="1:21" s="497" customFormat="1" ht="17.399999999999999">
      <c r="A3888" s="547"/>
      <c r="B3888" s="549"/>
      <c r="C3888" s="547"/>
      <c r="D3888" s="547"/>
      <c r="E3888" s="547"/>
      <c r="F3888" s="548"/>
      <c r="G3888" s="549"/>
      <c r="H3888" s="549"/>
      <c r="I3888" s="558"/>
      <c r="J3888" s="567"/>
      <c r="K3888" s="652"/>
      <c r="L3888" s="565"/>
      <c r="M3888" s="549"/>
      <c r="N3888" s="549"/>
      <c r="O3888" s="549"/>
      <c r="P3888" s="549"/>
      <c r="Q3888" s="1059"/>
      <c r="R3888" s="1059"/>
    </row>
    <row r="3889" spans="1:19" ht="17.399999999999999">
      <c r="A3889" s="547" t="s">
        <v>445</v>
      </c>
      <c r="B3889" s="547" t="s">
        <v>465</v>
      </c>
      <c r="C3889" s="547" t="s">
        <v>19</v>
      </c>
      <c r="D3889" s="547" t="s">
        <v>20</v>
      </c>
      <c r="E3889" s="560" t="s">
        <v>464</v>
      </c>
      <c r="F3889" s="548">
        <v>12</v>
      </c>
      <c r="G3889" s="549" t="s">
        <v>21</v>
      </c>
      <c r="H3889" s="599" t="s">
        <v>118</v>
      </c>
      <c r="I3889" s="558">
        <v>9.26</v>
      </c>
      <c r="J3889" s="567">
        <v>6.7</v>
      </c>
      <c r="K3889" s="652">
        <v>27</v>
      </c>
      <c r="L3889" s="552">
        <f t="shared" ref="L3889:L3897" si="710">(I3889*J3889*K3889/1000)</f>
        <v>1.6751340000000001</v>
      </c>
      <c r="M3889" s="549"/>
      <c r="N3889" s="549"/>
      <c r="O3889" s="549"/>
      <c r="P3889" s="549"/>
      <c r="Q3889" s="1059"/>
      <c r="R3889" s="1059"/>
      <c r="S3889" s="497" t="s">
        <v>550</v>
      </c>
    </row>
    <row r="3890" spans="1:19" ht="17.399999999999999">
      <c r="A3890" s="550"/>
      <c r="B3890" s="549" t="s">
        <v>439</v>
      </c>
      <c r="C3890" s="550"/>
      <c r="D3890" s="550"/>
      <c r="E3890" s="548"/>
      <c r="F3890" s="548"/>
      <c r="G3890" s="549" t="s">
        <v>21</v>
      </c>
      <c r="H3890" s="549" t="s">
        <v>118</v>
      </c>
      <c r="I3890" s="558">
        <v>9.26</v>
      </c>
      <c r="J3890" s="567">
        <v>9.1</v>
      </c>
      <c r="K3890" s="652">
        <v>84</v>
      </c>
      <c r="L3890" s="552">
        <f t="shared" si="710"/>
        <v>7.0783439999999995</v>
      </c>
      <c r="M3890" s="549"/>
      <c r="N3890" s="549"/>
      <c r="O3890" s="549"/>
      <c r="P3890" s="549"/>
      <c r="Q3890" s="1059"/>
      <c r="R3890" s="1059"/>
    </row>
    <row r="3891" spans="1:19" ht="17.399999999999999">
      <c r="A3891" s="549"/>
      <c r="B3891" s="549"/>
      <c r="C3891" s="549"/>
      <c r="D3891" s="549"/>
      <c r="E3891" s="560"/>
      <c r="F3891" s="549"/>
      <c r="G3891" s="549" t="s">
        <v>21</v>
      </c>
      <c r="H3891" s="549" t="s">
        <v>118</v>
      </c>
      <c r="I3891" s="558">
        <v>9.26</v>
      </c>
      <c r="J3891" s="567">
        <v>9.3000000000000007</v>
      </c>
      <c r="K3891" s="652">
        <v>22</v>
      </c>
      <c r="L3891" s="552">
        <f t="shared" si="710"/>
        <v>1.8945960000000002</v>
      </c>
      <c r="M3891" s="549"/>
      <c r="N3891" s="549"/>
      <c r="O3891" s="549"/>
      <c r="P3891" s="549"/>
      <c r="Q3891" s="1059"/>
      <c r="R3891" s="1059"/>
    </row>
    <row r="3892" spans="1:19" ht="17.399999999999999">
      <c r="A3892" s="549"/>
      <c r="B3892" s="549"/>
      <c r="C3892" s="549"/>
      <c r="D3892" s="549"/>
      <c r="E3892" s="560"/>
      <c r="F3892" s="549"/>
      <c r="G3892" s="549" t="s">
        <v>21</v>
      </c>
      <c r="H3892" s="549" t="s">
        <v>118</v>
      </c>
      <c r="I3892" s="558">
        <v>9.26</v>
      </c>
      <c r="J3892" s="567">
        <v>10.4</v>
      </c>
      <c r="K3892" s="652">
        <v>12</v>
      </c>
      <c r="L3892" s="552">
        <f t="shared" si="710"/>
        <v>1.1556480000000002</v>
      </c>
      <c r="M3892" s="549"/>
      <c r="N3892" s="549"/>
      <c r="O3892" s="567">
        <v>10.3</v>
      </c>
      <c r="P3892" s="549"/>
      <c r="Q3892" s="1059"/>
      <c r="R3892" s="1059"/>
    </row>
    <row r="3893" spans="1:19" ht="17.399999999999999">
      <c r="A3893" s="549"/>
      <c r="B3893" s="549"/>
      <c r="C3893" s="549"/>
      <c r="D3893" s="549"/>
      <c r="E3893" s="560"/>
      <c r="F3893" s="549"/>
      <c r="G3893" s="549" t="s">
        <v>21</v>
      </c>
      <c r="H3893" s="549" t="s">
        <v>118</v>
      </c>
      <c r="I3893" s="558">
        <v>9.26</v>
      </c>
      <c r="J3893" s="567">
        <v>10.4</v>
      </c>
      <c r="K3893" s="652">
        <v>43</v>
      </c>
      <c r="L3893" s="552">
        <f t="shared" si="710"/>
        <v>4.1410720000000003</v>
      </c>
      <c r="M3893" s="549"/>
      <c r="N3893" s="549"/>
      <c r="O3893" s="549"/>
      <c r="P3893" s="549"/>
      <c r="Q3893" s="1059"/>
      <c r="R3893" s="1059"/>
    </row>
    <row r="3894" spans="1:19" ht="17.399999999999999">
      <c r="A3894" s="549"/>
      <c r="B3894" s="549"/>
      <c r="C3894" s="549"/>
      <c r="D3894" s="549"/>
      <c r="E3894" s="560"/>
      <c r="F3894" s="549"/>
      <c r="G3894" s="549" t="s">
        <v>21</v>
      </c>
      <c r="H3894" s="549" t="s">
        <v>118</v>
      </c>
      <c r="I3894" s="558">
        <v>9.26</v>
      </c>
      <c r="J3894" s="567">
        <v>11</v>
      </c>
      <c r="K3894" s="652">
        <v>24</v>
      </c>
      <c r="L3894" s="552">
        <f t="shared" si="710"/>
        <v>2.4446399999999997</v>
      </c>
      <c r="M3894" s="549"/>
      <c r="N3894" s="549"/>
      <c r="O3894" s="549"/>
      <c r="P3894" s="549"/>
      <c r="Q3894" s="1059"/>
      <c r="R3894" s="1059"/>
    </row>
    <row r="3895" spans="1:19" ht="17.399999999999999">
      <c r="A3895" s="549"/>
      <c r="B3895" s="549"/>
      <c r="C3895" s="549"/>
      <c r="D3895" s="549"/>
      <c r="E3895" s="560"/>
      <c r="F3895" s="549"/>
      <c r="G3895" s="549" t="s">
        <v>21</v>
      </c>
      <c r="H3895" s="549" t="s">
        <v>118</v>
      </c>
      <c r="I3895" s="558">
        <v>9.26</v>
      </c>
      <c r="J3895" s="567">
        <v>11.5</v>
      </c>
      <c r="K3895" s="652">
        <v>31</v>
      </c>
      <c r="L3895" s="552">
        <f t="shared" si="710"/>
        <v>3.3011900000000001</v>
      </c>
      <c r="M3895" s="549"/>
      <c r="N3895" s="549"/>
      <c r="O3895" s="549"/>
      <c r="P3895" s="549"/>
      <c r="Q3895" s="1059"/>
      <c r="R3895" s="1059"/>
    </row>
    <row r="3896" spans="1:19" ht="17.399999999999999">
      <c r="A3896" s="549"/>
      <c r="B3896" s="549"/>
      <c r="C3896" s="549"/>
      <c r="D3896" s="549"/>
      <c r="E3896" s="560"/>
      <c r="F3896" s="549"/>
      <c r="G3896" s="549" t="s">
        <v>21</v>
      </c>
      <c r="H3896" s="549" t="s">
        <v>118</v>
      </c>
      <c r="I3896" s="558">
        <v>9.26</v>
      </c>
      <c r="J3896" s="567">
        <v>11.6</v>
      </c>
      <c r="K3896" s="652">
        <v>86</v>
      </c>
      <c r="L3896" s="552">
        <f t="shared" si="710"/>
        <v>9.2377760000000002</v>
      </c>
      <c r="M3896" s="549"/>
      <c r="N3896" s="549"/>
      <c r="O3896" s="549"/>
      <c r="P3896" s="549"/>
      <c r="Q3896" s="1059"/>
      <c r="R3896" s="1059"/>
    </row>
    <row r="3897" spans="1:19" ht="17.399999999999999">
      <c r="A3897" s="549"/>
      <c r="B3897" s="549"/>
      <c r="C3897" s="549"/>
      <c r="D3897" s="549"/>
      <c r="E3897" s="560"/>
      <c r="F3897" s="549"/>
      <c r="G3897" s="549" t="s">
        <v>21</v>
      </c>
      <c r="H3897" s="549" t="s">
        <v>118</v>
      </c>
      <c r="I3897" s="558">
        <v>9.26</v>
      </c>
      <c r="J3897" s="567">
        <v>12</v>
      </c>
      <c r="K3897" s="652">
        <v>58</v>
      </c>
      <c r="L3897" s="552">
        <f t="shared" si="710"/>
        <v>6.44496</v>
      </c>
      <c r="M3897" s="549"/>
      <c r="N3897" s="549"/>
      <c r="O3897" s="549"/>
      <c r="P3897" s="549"/>
      <c r="Q3897" s="1059"/>
      <c r="R3897" s="1059"/>
    </row>
    <row r="3898" spans="1:19" ht="17.399999999999999">
      <c r="A3898" s="549"/>
      <c r="B3898" s="549"/>
      <c r="C3898" s="549"/>
      <c r="D3898" s="549"/>
      <c r="E3898" s="560"/>
      <c r="F3898" s="549"/>
      <c r="G3898" s="549"/>
      <c r="H3898" s="549"/>
      <c r="I3898" s="558"/>
      <c r="J3898" s="567"/>
      <c r="K3898" s="652">
        <f>SUM(K3889:K3897)</f>
        <v>387</v>
      </c>
      <c r="L3898" s="565">
        <f>SUM(L3889:L3897)</f>
        <v>37.373359999999998</v>
      </c>
      <c r="M3898" s="549"/>
      <c r="N3898" s="549"/>
      <c r="O3898" s="549"/>
      <c r="P3898" s="549"/>
      <c r="Q3898" s="1059"/>
      <c r="R3898" s="1059"/>
    </row>
    <row r="3899" spans="1:19" ht="17.399999999999999">
      <c r="A3899" s="549"/>
      <c r="B3899" s="549"/>
      <c r="C3899" s="549"/>
      <c r="D3899" s="549"/>
      <c r="E3899" s="560"/>
      <c r="F3899" s="549"/>
      <c r="G3899" s="549"/>
      <c r="H3899" s="549"/>
      <c r="I3899" s="558"/>
      <c r="J3899" s="567"/>
      <c r="K3899" s="652"/>
      <c r="L3899" s="565"/>
      <c r="M3899" s="549"/>
      <c r="N3899" s="549"/>
      <c r="O3899" s="549"/>
      <c r="P3899" s="549"/>
      <c r="Q3899" s="1059"/>
      <c r="R3899" s="1059"/>
    </row>
    <row r="3900" spans="1:19" s="497" customFormat="1" ht="17.399999999999999">
      <c r="A3900" s="547" t="s">
        <v>445</v>
      </c>
      <c r="B3900" s="547" t="s">
        <v>480</v>
      </c>
      <c r="C3900" s="547" t="s">
        <v>19</v>
      </c>
      <c r="D3900" s="547" t="s">
        <v>20</v>
      </c>
      <c r="E3900" s="560" t="s">
        <v>464</v>
      </c>
      <c r="F3900" s="548">
        <v>12</v>
      </c>
      <c r="G3900" s="549" t="s">
        <v>21</v>
      </c>
      <c r="H3900" s="599" t="s">
        <v>118</v>
      </c>
      <c r="I3900" s="560">
        <v>9.26</v>
      </c>
      <c r="J3900" s="567">
        <v>6.7</v>
      </c>
      <c r="K3900" s="648">
        <v>8</v>
      </c>
      <c r="L3900" s="552">
        <f t="shared" ref="L3900:L3909" si="711">(I3900*J3900*K3900/1000)</f>
        <v>0.496336</v>
      </c>
      <c r="M3900" s="549"/>
      <c r="N3900" s="549"/>
      <c r="O3900" s="549"/>
      <c r="P3900" s="549"/>
      <c r="Q3900" s="1059"/>
      <c r="R3900" s="1059"/>
      <c r="S3900" s="497" t="s">
        <v>550</v>
      </c>
    </row>
    <row r="3901" spans="1:19" s="497" customFormat="1" ht="17.399999999999999">
      <c r="A3901" s="547"/>
      <c r="B3901" s="549" t="s">
        <v>439</v>
      </c>
      <c r="C3901" s="547"/>
      <c r="D3901" s="547"/>
      <c r="E3901" s="547"/>
      <c r="F3901" s="548"/>
      <c r="G3901" s="549" t="s">
        <v>21</v>
      </c>
      <c r="H3901" s="549" t="s">
        <v>118</v>
      </c>
      <c r="I3901" s="560">
        <v>9.26</v>
      </c>
      <c r="J3901" s="567">
        <v>9.1</v>
      </c>
      <c r="K3901" s="648">
        <v>17</v>
      </c>
      <c r="L3901" s="552">
        <f t="shared" si="711"/>
        <v>1.4325219999999999</v>
      </c>
      <c r="M3901" s="549"/>
      <c r="N3901" s="549"/>
      <c r="O3901" s="549"/>
      <c r="P3901" s="549"/>
      <c r="Q3901" s="1059"/>
      <c r="R3901" s="1059"/>
    </row>
    <row r="3902" spans="1:19" s="497" customFormat="1" ht="17.399999999999999">
      <c r="A3902" s="550"/>
      <c r="B3902" s="792"/>
      <c r="C3902" s="550"/>
      <c r="D3902" s="550"/>
      <c r="E3902" s="548"/>
      <c r="F3902" s="548"/>
      <c r="G3902" s="549" t="s">
        <v>21</v>
      </c>
      <c r="H3902" s="549" t="s">
        <v>118</v>
      </c>
      <c r="I3902" s="560">
        <v>9.26</v>
      </c>
      <c r="J3902" s="567">
        <v>9.3000000000000007</v>
      </c>
      <c r="K3902" s="648">
        <v>22</v>
      </c>
      <c r="L3902" s="552">
        <f t="shared" si="711"/>
        <v>1.8945960000000002</v>
      </c>
      <c r="M3902" s="549"/>
      <c r="N3902" s="549"/>
      <c r="O3902" s="549"/>
      <c r="P3902" s="549"/>
      <c r="Q3902" s="1059"/>
      <c r="R3902" s="1059"/>
    </row>
    <row r="3903" spans="1:19" s="497" customFormat="1" ht="17.399999999999999">
      <c r="A3903" s="550"/>
      <c r="B3903" s="792"/>
      <c r="C3903" s="550"/>
      <c r="D3903" s="550"/>
      <c r="E3903" s="548"/>
      <c r="F3903" s="548"/>
      <c r="G3903" s="549" t="s">
        <v>21</v>
      </c>
      <c r="H3903" s="549" t="s">
        <v>118</v>
      </c>
      <c r="I3903" s="560">
        <v>9.26</v>
      </c>
      <c r="J3903" s="567">
        <v>9.6</v>
      </c>
      <c r="K3903" s="648">
        <v>31</v>
      </c>
      <c r="L3903" s="552">
        <f t="shared" si="711"/>
        <v>2.755776</v>
      </c>
      <c r="M3903" s="549"/>
      <c r="N3903" s="549"/>
      <c r="O3903" s="549"/>
      <c r="P3903" s="549"/>
      <c r="Q3903" s="1059"/>
      <c r="R3903" s="1059"/>
    </row>
    <row r="3904" spans="1:19" s="497" customFormat="1" ht="17.399999999999999">
      <c r="A3904" s="550"/>
      <c r="B3904" s="792"/>
      <c r="C3904" s="550"/>
      <c r="D3904" s="550"/>
      <c r="E3904" s="548"/>
      <c r="F3904" s="548"/>
      <c r="G3904" s="549" t="s">
        <v>21</v>
      </c>
      <c r="H3904" s="549" t="s">
        <v>118</v>
      </c>
      <c r="I3904" s="560">
        <v>9.26</v>
      </c>
      <c r="J3904" s="567">
        <v>10.3</v>
      </c>
      <c r="K3904" s="648">
        <v>97</v>
      </c>
      <c r="L3904" s="552">
        <f t="shared" si="711"/>
        <v>9.2516659999999984</v>
      </c>
      <c r="M3904" s="549"/>
      <c r="N3904" s="549"/>
      <c r="O3904" s="549"/>
      <c r="P3904" s="549"/>
      <c r="Q3904" s="1059"/>
      <c r="R3904" s="1059"/>
    </row>
    <row r="3905" spans="1:19" s="497" customFormat="1" ht="17.399999999999999">
      <c r="A3905" s="550"/>
      <c r="B3905" s="792"/>
      <c r="C3905" s="550"/>
      <c r="D3905" s="550"/>
      <c r="E3905" s="548"/>
      <c r="F3905" s="548"/>
      <c r="G3905" s="549" t="s">
        <v>21</v>
      </c>
      <c r="H3905" s="549" t="s">
        <v>118</v>
      </c>
      <c r="I3905" s="560">
        <v>9.26</v>
      </c>
      <c r="J3905" s="567">
        <v>10.7</v>
      </c>
      <c r="K3905" s="648">
        <v>44</v>
      </c>
      <c r="L3905" s="552">
        <f t="shared" si="711"/>
        <v>4.3596080000000006</v>
      </c>
      <c r="M3905" s="549"/>
      <c r="N3905" s="549"/>
      <c r="O3905" s="549"/>
      <c r="P3905" s="549"/>
      <c r="Q3905" s="1059"/>
      <c r="R3905" s="1059"/>
    </row>
    <row r="3906" spans="1:19" s="497" customFormat="1" ht="17.399999999999999">
      <c r="A3906" s="550"/>
      <c r="B3906" s="792"/>
      <c r="C3906" s="550"/>
      <c r="D3906" s="550"/>
      <c r="E3906" s="548"/>
      <c r="F3906" s="548"/>
      <c r="G3906" s="549" t="s">
        <v>21</v>
      </c>
      <c r="H3906" s="549" t="s">
        <v>118</v>
      </c>
      <c r="I3906" s="560">
        <v>9.26</v>
      </c>
      <c r="J3906" s="567">
        <v>11</v>
      </c>
      <c r="K3906" s="648">
        <v>56</v>
      </c>
      <c r="L3906" s="552">
        <f t="shared" si="711"/>
        <v>5.7041599999999999</v>
      </c>
      <c r="M3906" s="549"/>
      <c r="N3906" s="549"/>
      <c r="O3906" s="549"/>
      <c r="P3906" s="549"/>
      <c r="Q3906" s="1059"/>
      <c r="R3906" s="1059"/>
    </row>
    <row r="3907" spans="1:19" s="497" customFormat="1" ht="17.399999999999999">
      <c r="A3907" s="550"/>
      <c r="B3907" s="792"/>
      <c r="C3907" s="550"/>
      <c r="D3907" s="550"/>
      <c r="E3907" s="548"/>
      <c r="F3907" s="548"/>
      <c r="G3907" s="549" t="s">
        <v>21</v>
      </c>
      <c r="H3907" s="549" t="s">
        <v>118</v>
      </c>
      <c r="I3907" s="560">
        <v>9.26</v>
      </c>
      <c r="J3907" s="567">
        <v>11.8</v>
      </c>
      <c r="K3907" s="648">
        <v>4</v>
      </c>
      <c r="L3907" s="552">
        <f t="shared" si="711"/>
        <v>0.43707200000000002</v>
      </c>
      <c r="M3907" s="549"/>
      <c r="N3907" s="549"/>
      <c r="O3907" s="567">
        <v>11.5</v>
      </c>
      <c r="P3907" s="549"/>
      <c r="Q3907" s="1059"/>
      <c r="R3907" s="1059"/>
    </row>
    <row r="3908" spans="1:19" s="497" customFormat="1" ht="17.399999999999999">
      <c r="A3908" s="550"/>
      <c r="B3908" s="792"/>
      <c r="C3908" s="550"/>
      <c r="D3908" s="550"/>
      <c r="E3908" s="548"/>
      <c r="F3908" s="548"/>
      <c r="G3908" s="549" t="s">
        <v>21</v>
      </c>
      <c r="H3908" s="549" t="s">
        <v>118</v>
      </c>
      <c r="I3908" s="560">
        <v>9.26</v>
      </c>
      <c r="J3908" s="567">
        <v>11.8</v>
      </c>
      <c r="K3908" s="648">
        <v>23</v>
      </c>
      <c r="L3908" s="552">
        <f t="shared" si="711"/>
        <v>2.5131640000000002</v>
      </c>
      <c r="M3908" s="549"/>
      <c r="N3908" s="549"/>
      <c r="O3908" s="549"/>
      <c r="P3908" s="549"/>
      <c r="Q3908" s="1059"/>
      <c r="R3908" s="1059"/>
    </row>
    <row r="3909" spans="1:19" s="497" customFormat="1" ht="17.399999999999999">
      <c r="A3909" s="550"/>
      <c r="B3909" s="792"/>
      <c r="C3909" s="550"/>
      <c r="D3909" s="550"/>
      <c r="E3909" s="548"/>
      <c r="F3909" s="548"/>
      <c r="G3909" s="549" t="s">
        <v>21</v>
      </c>
      <c r="H3909" s="549" t="s">
        <v>118</v>
      </c>
      <c r="I3909" s="560">
        <v>9.26</v>
      </c>
      <c r="J3909" s="567">
        <v>12</v>
      </c>
      <c r="K3909" s="648">
        <v>16</v>
      </c>
      <c r="L3909" s="552">
        <f t="shared" si="711"/>
        <v>1.7779200000000002</v>
      </c>
      <c r="M3909" s="549"/>
      <c r="N3909" s="549"/>
      <c r="O3909" s="549"/>
      <c r="P3909" s="549"/>
      <c r="Q3909" s="1059"/>
      <c r="R3909" s="1059"/>
    </row>
    <row r="3910" spans="1:19" s="497" customFormat="1" ht="17.399999999999999">
      <c r="A3910" s="550"/>
      <c r="B3910" s="792"/>
      <c r="C3910" s="550"/>
      <c r="D3910" s="550"/>
      <c r="E3910" s="548"/>
      <c r="F3910" s="548"/>
      <c r="G3910" s="549"/>
      <c r="H3910" s="549"/>
      <c r="I3910" s="558"/>
      <c r="J3910" s="567"/>
      <c r="K3910" s="727">
        <f>SUM(K3900:K3909)</f>
        <v>318</v>
      </c>
      <c r="L3910" s="565">
        <f>SUM(L3900:L3909)</f>
        <v>30.622820000000001</v>
      </c>
      <c r="M3910" s="549"/>
      <c r="N3910" s="549"/>
      <c r="O3910" s="549"/>
      <c r="P3910" s="549"/>
      <c r="Q3910" s="1059"/>
      <c r="R3910" s="1059"/>
    </row>
    <row r="3911" spans="1:19" s="497" customFormat="1" ht="17.399999999999999">
      <c r="A3911" s="550"/>
      <c r="B3911" s="792"/>
      <c r="C3911" s="550"/>
      <c r="D3911" s="550"/>
      <c r="E3911" s="548"/>
      <c r="F3911" s="548"/>
      <c r="G3911" s="549"/>
      <c r="H3911" s="549"/>
      <c r="I3911" s="558"/>
      <c r="J3911" s="567"/>
      <c r="K3911" s="727"/>
      <c r="L3911" s="565"/>
      <c r="M3911" s="549"/>
      <c r="N3911" s="549"/>
      <c r="O3911" s="549"/>
      <c r="P3911" s="549"/>
      <c r="Q3911" s="1059"/>
      <c r="R3911" s="1059"/>
    </row>
    <row r="3912" spans="1:19" ht="17.399999999999999">
      <c r="A3912" s="547" t="s">
        <v>451</v>
      </c>
      <c r="B3912" s="547" t="s">
        <v>452</v>
      </c>
      <c r="C3912" s="547" t="s">
        <v>19</v>
      </c>
      <c r="D3912" s="547" t="s">
        <v>20</v>
      </c>
      <c r="E3912" s="547" t="s">
        <v>359</v>
      </c>
      <c r="F3912" s="548">
        <v>12</v>
      </c>
      <c r="G3912" s="549" t="s">
        <v>21</v>
      </c>
      <c r="H3912" s="599" t="s">
        <v>118</v>
      </c>
      <c r="I3912" s="558">
        <v>9.26</v>
      </c>
      <c r="J3912" s="567">
        <v>8.3000000000000007</v>
      </c>
      <c r="K3912" s="652">
        <v>16</v>
      </c>
      <c r="L3912" s="552">
        <f t="shared" ref="L3912:L3917" si="712">(I3912*J3912*K3912/1000)</f>
        <v>1.2297280000000002</v>
      </c>
      <c r="M3912" s="549"/>
      <c r="N3912" s="549"/>
      <c r="O3912" s="549"/>
      <c r="P3912" s="549"/>
      <c r="Q3912" s="1059"/>
      <c r="R3912" s="1059"/>
      <c r="S3912" s="497" t="s">
        <v>550</v>
      </c>
    </row>
    <row r="3913" spans="1:19" ht="17.399999999999999">
      <c r="A3913" s="550"/>
      <c r="B3913" s="549" t="s">
        <v>453</v>
      </c>
      <c r="C3913" s="550"/>
      <c r="D3913" s="550"/>
      <c r="E3913" s="548"/>
      <c r="F3913" s="548"/>
      <c r="G3913" s="549" t="s">
        <v>21</v>
      </c>
      <c r="H3913" s="549" t="s">
        <v>118</v>
      </c>
      <c r="I3913" s="558">
        <v>9.26</v>
      </c>
      <c r="J3913" s="567">
        <v>10</v>
      </c>
      <c r="K3913" s="652">
        <v>14</v>
      </c>
      <c r="L3913" s="552">
        <f t="shared" si="712"/>
        <v>1.2963999999999998</v>
      </c>
      <c r="M3913" s="549"/>
      <c r="N3913" s="549"/>
      <c r="O3913" s="549"/>
      <c r="P3913" s="549"/>
      <c r="Q3913" s="1059"/>
      <c r="R3913" s="1059"/>
    </row>
    <row r="3914" spans="1:19" ht="17.399999999999999">
      <c r="A3914" s="549"/>
      <c r="B3914" s="549"/>
      <c r="C3914" s="549"/>
      <c r="D3914" s="549"/>
      <c r="E3914" s="560"/>
      <c r="F3914" s="549"/>
      <c r="G3914" s="549" t="s">
        <v>21</v>
      </c>
      <c r="H3914" s="549" t="s">
        <v>118</v>
      </c>
      <c r="I3914" s="558">
        <v>9.26</v>
      </c>
      <c r="J3914" s="567">
        <v>10.7</v>
      </c>
      <c r="K3914" s="652">
        <v>6</v>
      </c>
      <c r="L3914" s="552">
        <f t="shared" si="712"/>
        <v>0.59449199999999991</v>
      </c>
      <c r="M3914" s="549"/>
      <c r="N3914" s="549"/>
      <c r="O3914" s="567">
        <v>10.5</v>
      </c>
      <c r="P3914" s="549"/>
      <c r="Q3914" s="1059"/>
      <c r="R3914" s="1059"/>
    </row>
    <row r="3915" spans="1:19" ht="17.399999999999999">
      <c r="A3915" s="549"/>
      <c r="B3915" s="549"/>
      <c r="C3915" s="549"/>
      <c r="D3915" s="549"/>
      <c r="E3915" s="560"/>
      <c r="F3915" s="549"/>
      <c r="G3915" s="549" t="s">
        <v>21</v>
      </c>
      <c r="H3915" s="549" t="s">
        <v>118</v>
      </c>
      <c r="I3915" s="558">
        <v>9.26</v>
      </c>
      <c r="J3915" s="567">
        <v>11</v>
      </c>
      <c r="K3915" s="652">
        <v>3</v>
      </c>
      <c r="L3915" s="552">
        <f t="shared" si="712"/>
        <v>0.30557999999999996</v>
      </c>
      <c r="M3915" s="549"/>
      <c r="N3915" s="549"/>
      <c r="O3915" s="549"/>
      <c r="P3915" s="549"/>
      <c r="Q3915" s="1059"/>
      <c r="R3915" s="1059"/>
    </row>
    <row r="3916" spans="1:19" ht="17.399999999999999">
      <c r="A3916" s="549"/>
      <c r="B3916" s="549"/>
      <c r="C3916" s="549"/>
      <c r="D3916" s="549"/>
      <c r="E3916" s="560"/>
      <c r="F3916" s="549"/>
      <c r="G3916" s="549" t="s">
        <v>21</v>
      </c>
      <c r="H3916" s="549" t="s">
        <v>118</v>
      </c>
      <c r="I3916" s="558">
        <v>9.26</v>
      </c>
      <c r="J3916" s="567">
        <v>11.5</v>
      </c>
      <c r="K3916" s="652">
        <v>12</v>
      </c>
      <c r="L3916" s="552">
        <f>(I3916*J3916*K3916/1000)</f>
        <v>1.2778799999999999</v>
      </c>
      <c r="M3916" s="549"/>
      <c r="N3916" s="549"/>
      <c r="O3916" s="549"/>
      <c r="P3916" s="549"/>
      <c r="Q3916" s="1059"/>
      <c r="R3916" s="1059"/>
    </row>
    <row r="3917" spans="1:19" ht="17.399999999999999">
      <c r="A3917" s="549"/>
      <c r="B3917" s="549"/>
      <c r="C3917" s="549"/>
      <c r="D3917" s="549"/>
      <c r="E3917" s="560"/>
      <c r="F3917" s="549"/>
      <c r="G3917" s="549" t="s">
        <v>21</v>
      </c>
      <c r="H3917" s="549" t="s">
        <v>118</v>
      </c>
      <c r="I3917" s="558">
        <v>9.26</v>
      </c>
      <c r="J3917" s="567">
        <v>12</v>
      </c>
      <c r="K3917" s="652">
        <v>30</v>
      </c>
      <c r="L3917" s="552">
        <f t="shared" si="712"/>
        <v>3.3336000000000006</v>
      </c>
      <c r="M3917" s="549"/>
      <c r="N3917" s="549"/>
      <c r="O3917" s="549"/>
      <c r="P3917" s="549"/>
      <c r="Q3917" s="1059"/>
      <c r="R3917" s="1059"/>
    </row>
    <row r="3918" spans="1:19" ht="17.399999999999999">
      <c r="A3918" s="549"/>
      <c r="B3918" s="549"/>
      <c r="C3918" s="549"/>
      <c r="D3918" s="549"/>
      <c r="E3918" s="560"/>
      <c r="F3918" s="549"/>
      <c r="G3918" s="549"/>
      <c r="H3918" s="549"/>
      <c r="I3918" s="558"/>
      <c r="J3918" s="567"/>
      <c r="K3918" s="652">
        <f t="shared" ref="K3918" si="713">SUM(K3912:K3917)</f>
        <v>81</v>
      </c>
      <c r="L3918" s="565">
        <f>SUM(L3912:L3917)</f>
        <v>8.0376799999999999</v>
      </c>
      <c r="M3918" s="549"/>
      <c r="N3918" s="549"/>
      <c r="O3918" s="549"/>
      <c r="P3918" s="549"/>
      <c r="Q3918" s="1059"/>
      <c r="R3918" s="1059"/>
    </row>
    <row r="3919" spans="1:19" ht="17.399999999999999">
      <c r="A3919" s="549"/>
      <c r="B3919" s="549"/>
      <c r="C3919" s="549"/>
      <c r="D3919" s="549"/>
      <c r="E3919" s="560"/>
      <c r="F3919" s="549"/>
      <c r="G3919" s="549"/>
      <c r="H3919" s="549"/>
      <c r="I3919" s="558"/>
      <c r="J3919" s="567"/>
      <c r="K3919" s="652"/>
      <c r="L3919" s="565"/>
      <c r="M3919" s="549"/>
      <c r="N3919" s="549"/>
      <c r="O3919" s="549"/>
      <c r="P3919" s="549"/>
      <c r="Q3919" s="1059"/>
      <c r="R3919" s="1059"/>
    </row>
    <row r="3920" spans="1:19" ht="17.399999999999999">
      <c r="A3920" s="547" t="s">
        <v>458</v>
      </c>
      <c r="B3920" s="547" t="s">
        <v>459</v>
      </c>
      <c r="C3920" s="547" t="s">
        <v>19</v>
      </c>
      <c r="D3920" s="547" t="s">
        <v>20</v>
      </c>
      <c r="E3920" s="547" t="s">
        <v>359</v>
      </c>
      <c r="F3920" s="548">
        <v>12</v>
      </c>
      <c r="G3920" s="549" t="s">
        <v>21</v>
      </c>
      <c r="H3920" s="599" t="s">
        <v>118</v>
      </c>
      <c r="I3920" s="558">
        <v>9.26</v>
      </c>
      <c r="J3920" s="567">
        <v>10</v>
      </c>
      <c r="K3920" s="652">
        <v>5</v>
      </c>
      <c r="L3920" s="552">
        <f>(I3920*J3920*K3920/1000)</f>
        <v>0.46300000000000002</v>
      </c>
      <c r="M3920" s="549"/>
      <c r="N3920" s="549"/>
      <c r="O3920" s="549"/>
      <c r="P3920" s="549"/>
      <c r="Q3920" s="1059"/>
      <c r="R3920" s="1059"/>
    </row>
    <row r="3921" spans="1:19" ht="17.399999999999999">
      <c r="A3921" s="550"/>
      <c r="B3921" s="549" t="s">
        <v>277</v>
      </c>
      <c r="C3921" s="550"/>
      <c r="D3921" s="550"/>
      <c r="E3921" s="548"/>
      <c r="F3921" s="548"/>
      <c r="G3921" s="549"/>
      <c r="H3921" s="549"/>
      <c r="I3921" s="558"/>
      <c r="J3921" s="567"/>
      <c r="K3921" s="652">
        <f t="shared" ref="K3921" si="714">SUM(K3920)</f>
        <v>5</v>
      </c>
      <c r="L3921" s="565">
        <f>SUM(L3920)</f>
        <v>0.46300000000000002</v>
      </c>
      <c r="M3921" s="549"/>
      <c r="N3921" s="549"/>
      <c r="O3921" s="549"/>
      <c r="P3921" s="549"/>
      <c r="Q3921" s="1059"/>
      <c r="R3921" s="1059"/>
    </row>
    <row r="3922" spans="1:19" s="497" customFormat="1" ht="17.399999999999999">
      <c r="A3922" s="550"/>
      <c r="B3922" s="549"/>
      <c r="C3922" s="550"/>
      <c r="D3922" s="550"/>
      <c r="E3922" s="548"/>
      <c r="F3922" s="548"/>
      <c r="G3922" s="549"/>
      <c r="H3922" s="549"/>
      <c r="I3922" s="558"/>
      <c r="J3922" s="567"/>
      <c r="K3922" s="652"/>
      <c r="L3922" s="565">
        <f>SUM(L3885:L3921)/2</f>
        <v>80.793499999999995</v>
      </c>
      <c r="M3922" s="549"/>
      <c r="N3922" s="549"/>
      <c r="O3922" s="549"/>
      <c r="P3922" s="549"/>
      <c r="Q3922" s="1059"/>
      <c r="R3922" s="1059"/>
    </row>
    <row r="3923" spans="1:19" s="497" customFormat="1" ht="17.399999999999999">
      <c r="A3923" s="550"/>
      <c r="B3923" s="549"/>
      <c r="C3923" s="550"/>
      <c r="D3923" s="550"/>
      <c r="E3923" s="548"/>
      <c r="F3923" s="548"/>
      <c r="G3923" s="549"/>
      <c r="H3923" s="549"/>
      <c r="I3923" s="558"/>
      <c r="J3923" s="567"/>
      <c r="K3923" s="652"/>
      <c r="L3923" s="565"/>
      <c r="M3923" s="549"/>
      <c r="N3923" s="549"/>
      <c r="O3923" s="549"/>
      <c r="P3923" s="549"/>
      <c r="Q3923" s="1059"/>
      <c r="R3923" s="1059"/>
    </row>
    <row r="3924" spans="1:19" ht="17.399999999999999">
      <c r="A3924" s="549"/>
      <c r="B3924" s="549"/>
      <c r="C3924" s="549"/>
      <c r="D3924" s="549"/>
      <c r="E3924" s="560"/>
      <c r="F3924" s="549"/>
      <c r="G3924" s="549"/>
      <c r="H3924" s="549"/>
      <c r="I3924" s="558"/>
      <c r="J3924" s="567"/>
      <c r="K3924" s="652"/>
      <c r="L3924" s="565"/>
      <c r="M3924" s="549"/>
      <c r="N3924" s="549"/>
      <c r="O3924" s="549"/>
      <c r="P3924" s="549"/>
      <c r="Q3924" s="1059"/>
      <c r="R3924" s="1059"/>
    </row>
    <row r="3925" spans="1:19" ht="17.399999999999999">
      <c r="A3925" s="547" t="s">
        <v>451</v>
      </c>
      <c r="B3925" s="547" t="s">
        <v>452</v>
      </c>
      <c r="C3925" s="547" t="s">
        <v>19</v>
      </c>
      <c r="D3925" s="547" t="s">
        <v>60</v>
      </c>
      <c r="E3925" s="547" t="s">
        <v>270</v>
      </c>
      <c r="F3925" s="548">
        <v>8.5</v>
      </c>
      <c r="G3925" s="549" t="s">
        <v>61</v>
      </c>
      <c r="H3925" s="599" t="s">
        <v>118</v>
      </c>
      <c r="I3925" s="558">
        <v>9.26</v>
      </c>
      <c r="J3925" s="567">
        <v>12</v>
      </c>
      <c r="K3925" s="652">
        <v>3</v>
      </c>
      <c r="L3925" s="552">
        <f>(I3925*J3925*K3925/1000)</f>
        <v>0.33335999999999999</v>
      </c>
      <c r="M3925" s="599">
        <v>3</v>
      </c>
      <c r="N3925" s="567">
        <f>J3925*M3925*I3925/1000</f>
        <v>0.33335999999999999</v>
      </c>
      <c r="O3925" s="549"/>
      <c r="P3925" s="549"/>
      <c r="Q3925" s="1059"/>
      <c r="R3925" s="1059"/>
      <c r="S3925" s="497" t="s">
        <v>550</v>
      </c>
    </row>
    <row r="3926" spans="1:19" ht="17.399999999999999">
      <c r="A3926" s="550"/>
      <c r="B3926" s="549" t="s">
        <v>453</v>
      </c>
      <c r="C3926" s="550"/>
      <c r="D3926" s="550"/>
      <c r="E3926" s="548"/>
      <c r="F3926" s="548"/>
      <c r="G3926" s="549"/>
      <c r="H3926" s="549"/>
      <c r="I3926" s="558"/>
      <c r="J3926" s="567"/>
      <c r="K3926" s="652">
        <f t="shared" ref="K3926:N3926" si="715">SUM(K3925)</f>
        <v>3</v>
      </c>
      <c r="L3926" s="565">
        <f t="shared" si="715"/>
        <v>0.33335999999999999</v>
      </c>
      <c r="M3926" s="652">
        <f t="shared" si="715"/>
        <v>3</v>
      </c>
      <c r="N3926" s="565">
        <f t="shared" si="715"/>
        <v>0.33335999999999999</v>
      </c>
      <c r="O3926" s="549"/>
      <c r="P3926" s="549"/>
      <c r="Q3926" s="1059"/>
      <c r="R3926" s="1059"/>
    </row>
    <row r="3927" spans="1:19" ht="17.399999999999999">
      <c r="A3927" s="550"/>
      <c r="B3927" s="792"/>
      <c r="C3927" s="550"/>
      <c r="D3927" s="550"/>
      <c r="E3927" s="548"/>
      <c r="F3927" s="548"/>
      <c r="G3927" s="549"/>
      <c r="H3927" s="549"/>
      <c r="I3927" s="558"/>
      <c r="J3927" s="567"/>
      <c r="K3927" s="652"/>
      <c r="L3927" s="565"/>
      <c r="M3927" s="549"/>
      <c r="N3927" s="549"/>
      <c r="O3927" s="549"/>
      <c r="P3927" s="549"/>
      <c r="Q3927" s="1059"/>
      <c r="R3927" s="1059"/>
    </row>
    <row r="3928" spans="1:19" ht="17.399999999999999">
      <c r="A3928" s="547" t="s">
        <v>451</v>
      </c>
      <c r="B3928" s="547" t="s">
        <v>454</v>
      </c>
      <c r="C3928" s="547" t="s">
        <v>19</v>
      </c>
      <c r="D3928" s="547" t="s">
        <v>60</v>
      </c>
      <c r="E3928" s="547" t="s">
        <v>270</v>
      </c>
      <c r="F3928" s="548">
        <v>8.5</v>
      </c>
      <c r="G3928" s="549" t="s">
        <v>61</v>
      </c>
      <c r="H3928" s="599" t="s">
        <v>118</v>
      </c>
      <c r="I3928" s="558">
        <v>9.26</v>
      </c>
      <c r="J3928" s="567">
        <v>9</v>
      </c>
      <c r="K3928" s="652">
        <v>4</v>
      </c>
      <c r="L3928" s="552">
        <f t="shared" ref="L3928" si="716">(I3928*J3928*K3928/1000)</f>
        <v>0.33335999999999999</v>
      </c>
      <c r="M3928" s="599">
        <v>4</v>
      </c>
      <c r="N3928" s="567">
        <f>J3928*M3928*I3928/1000</f>
        <v>0.33335999999999999</v>
      </c>
      <c r="O3928" s="549"/>
      <c r="P3928" s="549"/>
      <c r="Q3928" s="1059"/>
      <c r="R3928" s="1059"/>
      <c r="S3928" s="497" t="s">
        <v>550</v>
      </c>
    </row>
    <row r="3929" spans="1:19" ht="17.399999999999999">
      <c r="A3929" s="550"/>
      <c r="B3929" s="549" t="s">
        <v>333</v>
      </c>
      <c r="C3929" s="550"/>
      <c r="D3929" s="550"/>
      <c r="E3929" s="548"/>
      <c r="F3929" s="548"/>
      <c r="G3929" s="549"/>
      <c r="H3929" s="549"/>
      <c r="I3929" s="558"/>
      <c r="J3929" s="567"/>
      <c r="K3929" s="652">
        <f>SUM(K3928:K3928)</f>
        <v>4</v>
      </c>
      <c r="L3929" s="565">
        <f>SUM(L3928:L3928)</f>
        <v>0.33335999999999999</v>
      </c>
      <c r="M3929" s="652">
        <f>SUM(M3928:M3928)</f>
        <v>4</v>
      </c>
      <c r="N3929" s="565">
        <f>SUM(N3928:N3928)</f>
        <v>0.33335999999999999</v>
      </c>
      <c r="O3929" s="549"/>
      <c r="P3929" s="549"/>
      <c r="Q3929" s="1059"/>
      <c r="R3929" s="1059"/>
    </row>
    <row r="3930" spans="1:19" s="497" customFormat="1" ht="17.399999999999999">
      <c r="A3930" s="550"/>
      <c r="B3930" s="549"/>
      <c r="C3930" s="550"/>
      <c r="D3930" s="550"/>
      <c r="E3930" s="548"/>
      <c r="F3930" s="548"/>
      <c r="G3930" s="549"/>
      <c r="H3930" s="549"/>
      <c r="I3930" s="558"/>
      <c r="J3930" s="567"/>
      <c r="K3930" s="652"/>
      <c r="L3930" s="565"/>
      <c r="M3930" s="549"/>
      <c r="N3930" s="549"/>
      <c r="O3930" s="549"/>
      <c r="P3930" s="549"/>
      <c r="Q3930" s="1059"/>
      <c r="R3930" s="1059"/>
    </row>
    <row r="3931" spans="1:19" ht="17.399999999999999">
      <c r="A3931" s="547" t="s">
        <v>458</v>
      </c>
      <c r="B3931" s="547" t="s">
        <v>459</v>
      </c>
      <c r="C3931" s="547" t="s">
        <v>19</v>
      </c>
      <c r="D3931" s="547" t="s">
        <v>60</v>
      </c>
      <c r="E3931" s="547" t="s">
        <v>270</v>
      </c>
      <c r="F3931" s="548">
        <v>8.5</v>
      </c>
      <c r="G3931" s="549" t="s">
        <v>61</v>
      </c>
      <c r="H3931" s="599" t="s">
        <v>118</v>
      </c>
      <c r="I3931" s="558">
        <v>9.26</v>
      </c>
      <c r="J3931" s="567">
        <v>10</v>
      </c>
      <c r="K3931" s="652">
        <v>8</v>
      </c>
      <c r="L3931" s="552">
        <f>(I3931*J3931*K3931/1000)</f>
        <v>0.7407999999999999</v>
      </c>
      <c r="M3931" s="599">
        <f>6+1+1</f>
        <v>8</v>
      </c>
      <c r="N3931" s="567">
        <f>J3931*M3931*I3931/1000</f>
        <v>0.7407999999999999</v>
      </c>
      <c r="O3931" s="549"/>
      <c r="P3931" s="549"/>
      <c r="Q3931" s="1059"/>
      <c r="R3931" s="1059"/>
      <c r="S3931" s="497" t="s">
        <v>550</v>
      </c>
    </row>
    <row r="3932" spans="1:19" ht="17.399999999999999">
      <c r="A3932" s="550"/>
      <c r="B3932" s="549" t="s">
        <v>277</v>
      </c>
      <c r="C3932" s="550"/>
      <c r="D3932" s="550"/>
      <c r="E3932" s="548"/>
      <c r="F3932" s="548"/>
      <c r="G3932" s="549"/>
      <c r="H3932" s="549"/>
      <c r="I3932" s="558"/>
      <c r="J3932" s="567"/>
      <c r="K3932" s="652">
        <f t="shared" ref="K3932:N3932" si="717">SUM(K3931)</f>
        <v>8</v>
      </c>
      <c r="L3932" s="565">
        <f t="shared" si="717"/>
        <v>0.7407999999999999</v>
      </c>
      <c r="M3932" s="652">
        <f t="shared" si="717"/>
        <v>8</v>
      </c>
      <c r="N3932" s="565">
        <f t="shared" si="717"/>
        <v>0.7407999999999999</v>
      </c>
      <c r="O3932" s="549"/>
      <c r="P3932" s="549"/>
      <c r="Q3932" s="1059"/>
      <c r="R3932" s="1059"/>
    </row>
    <row r="3933" spans="1:19" ht="17.399999999999999">
      <c r="A3933" s="549"/>
      <c r="B3933" s="549"/>
      <c r="C3933" s="549"/>
      <c r="D3933" s="549"/>
      <c r="E3933" s="560"/>
      <c r="F3933" s="549"/>
      <c r="G3933" s="549"/>
      <c r="H3933" s="549"/>
      <c r="I3933" s="558"/>
      <c r="J3933" s="567"/>
      <c r="K3933" s="652"/>
      <c r="L3933" s="565"/>
      <c r="M3933" s="549"/>
      <c r="N3933" s="549"/>
      <c r="O3933" s="549"/>
      <c r="P3933" s="549"/>
      <c r="Q3933" s="1059"/>
      <c r="R3933" s="1059"/>
    </row>
    <row r="3934" spans="1:19" ht="17.399999999999999">
      <c r="A3934" s="547" t="s">
        <v>445</v>
      </c>
      <c r="B3934" s="547" t="s">
        <v>462</v>
      </c>
      <c r="C3934" s="547" t="s">
        <v>19</v>
      </c>
      <c r="D3934" s="547" t="s">
        <v>60</v>
      </c>
      <c r="E3934" s="547" t="s">
        <v>270</v>
      </c>
      <c r="F3934" s="548">
        <v>8.5</v>
      </c>
      <c r="G3934" s="549" t="s">
        <v>61</v>
      </c>
      <c r="H3934" s="599" t="s">
        <v>118</v>
      </c>
      <c r="I3934" s="558">
        <v>9.26</v>
      </c>
      <c r="J3934" s="567">
        <v>12</v>
      </c>
      <c r="K3934" s="652">
        <v>5</v>
      </c>
      <c r="L3934" s="552">
        <f>(I3934*J3934*K3934/1000)</f>
        <v>0.55559999999999998</v>
      </c>
      <c r="M3934" s="549">
        <v>5</v>
      </c>
      <c r="N3934" s="567">
        <f>J3934*M3934*I3934/1000</f>
        <v>0.55559999999999998</v>
      </c>
      <c r="O3934" s="549"/>
      <c r="P3934" s="549"/>
      <c r="Q3934" s="1059"/>
      <c r="R3934" s="1059"/>
      <c r="S3934" s="497" t="s">
        <v>550</v>
      </c>
    </row>
    <row r="3935" spans="1:19" s="497" customFormat="1" ht="17.399999999999999">
      <c r="A3935" s="550"/>
      <c r="B3935" s="549" t="s">
        <v>331</v>
      </c>
      <c r="C3935" s="550"/>
      <c r="D3935" s="550"/>
      <c r="E3935" s="548"/>
      <c r="F3935" s="549"/>
      <c r="G3935" s="549"/>
      <c r="H3935" s="549"/>
      <c r="I3935" s="558"/>
      <c r="J3935" s="567"/>
      <c r="K3935" s="652">
        <f t="shared" ref="K3935" si="718">SUM(K3934)</f>
        <v>5</v>
      </c>
      <c r="L3935" s="565">
        <f>SUM(L3934)</f>
        <v>0.55559999999999998</v>
      </c>
      <c r="M3935" s="652">
        <f t="shared" ref="M3935" si="719">SUM(M3934)</f>
        <v>5</v>
      </c>
      <c r="N3935" s="565">
        <f>SUM(N3934)</f>
        <v>0.55559999999999998</v>
      </c>
      <c r="O3935" s="549"/>
      <c r="P3935" s="549"/>
      <c r="Q3935" s="1059"/>
      <c r="R3935" s="1059"/>
    </row>
    <row r="3936" spans="1:19" s="497" customFormat="1" ht="17.399999999999999">
      <c r="A3936" s="550"/>
      <c r="B3936" s="549"/>
      <c r="C3936" s="550"/>
      <c r="D3936" s="550"/>
      <c r="E3936" s="548"/>
      <c r="F3936" s="549"/>
      <c r="G3936" s="549"/>
      <c r="H3936" s="549"/>
      <c r="I3936" s="558"/>
      <c r="J3936" s="567"/>
      <c r="K3936" s="652"/>
      <c r="L3936" s="565"/>
      <c r="M3936" s="549"/>
      <c r="N3936" s="549"/>
      <c r="O3936" s="549"/>
      <c r="P3936" s="549"/>
      <c r="Q3936" s="1059"/>
      <c r="R3936" s="1059"/>
    </row>
    <row r="3937" spans="1:19" ht="17.399999999999999">
      <c r="A3937" s="547" t="s">
        <v>451</v>
      </c>
      <c r="B3937" s="547" t="s">
        <v>467</v>
      </c>
      <c r="C3937" s="547" t="s">
        <v>19</v>
      </c>
      <c r="D3937" s="547" t="s">
        <v>60</v>
      </c>
      <c r="E3937" s="547" t="s">
        <v>247</v>
      </c>
      <c r="F3937" s="548">
        <v>12</v>
      </c>
      <c r="G3937" s="549" t="s">
        <v>61</v>
      </c>
      <c r="H3937" s="599" t="s">
        <v>118</v>
      </c>
      <c r="I3937" s="558">
        <v>9.26</v>
      </c>
      <c r="J3937" s="567">
        <v>12</v>
      </c>
      <c r="K3937" s="652">
        <v>38</v>
      </c>
      <c r="L3937" s="552">
        <f t="shared" ref="L3937" si="720">(I3937*J3937*K3937/1000)</f>
        <v>4.2225600000000005</v>
      </c>
      <c r="M3937" s="599">
        <v>10</v>
      </c>
      <c r="N3937" s="567">
        <f>J3937*M3937*I3937/1000</f>
        <v>1.1112</v>
      </c>
      <c r="O3937" s="549"/>
      <c r="P3937" s="549"/>
      <c r="Q3937" s="1059"/>
      <c r="R3937" s="1059"/>
      <c r="S3937" s="497" t="s">
        <v>550</v>
      </c>
    </row>
    <row r="3938" spans="1:19" s="497" customFormat="1" ht="17.399999999999999">
      <c r="A3938" s="547"/>
      <c r="B3938" s="549" t="s">
        <v>88</v>
      </c>
      <c r="C3938" s="547"/>
      <c r="D3938" s="547"/>
      <c r="E3938" s="547"/>
      <c r="F3938" s="548"/>
      <c r="G3938" s="549"/>
      <c r="H3938" s="549"/>
      <c r="I3938" s="558"/>
      <c r="J3938" s="567"/>
      <c r="K3938" s="652">
        <f t="shared" ref="K3938" si="721">SUM(K3937)</f>
        <v>38</v>
      </c>
      <c r="L3938" s="565">
        <f>SUM(L3937)</f>
        <v>4.2225600000000005</v>
      </c>
      <c r="M3938" s="652">
        <f t="shared" ref="M3938" si="722">SUM(M3937)</f>
        <v>10</v>
      </c>
      <c r="N3938" s="565">
        <f>SUM(N3937)</f>
        <v>1.1112</v>
      </c>
      <c r="O3938" s="549"/>
      <c r="P3938" s="549"/>
      <c r="Q3938" s="1059"/>
      <c r="R3938" s="1059"/>
    </row>
    <row r="3939" spans="1:19" s="497" customFormat="1" ht="17.399999999999999">
      <c r="A3939" s="550"/>
      <c r="B3939" s="549"/>
      <c r="C3939" s="550"/>
      <c r="D3939" s="550"/>
      <c r="E3939" s="548"/>
      <c r="F3939" s="548"/>
      <c r="G3939" s="549"/>
      <c r="H3939" s="549"/>
      <c r="I3939" s="558"/>
      <c r="J3939" s="567"/>
      <c r="K3939" s="652"/>
      <c r="L3939" s="565"/>
      <c r="M3939" s="549"/>
      <c r="N3939" s="549"/>
      <c r="O3939" s="549"/>
      <c r="P3939" s="549"/>
      <c r="Q3939" s="1059"/>
      <c r="R3939" s="1059"/>
    </row>
    <row r="3940" spans="1:19" ht="17.399999999999999">
      <c r="A3940" s="547" t="s">
        <v>411</v>
      </c>
      <c r="B3940" s="547" t="s">
        <v>469</v>
      </c>
      <c r="C3940" s="547" t="s">
        <v>19</v>
      </c>
      <c r="D3940" s="547" t="s">
        <v>60</v>
      </c>
      <c r="E3940" s="560" t="s">
        <v>284</v>
      </c>
      <c r="F3940" s="548">
        <v>12</v>
      </c>
      <c r="G3940" s="549" t="s">
        <v>61</v>
      </c>
      <c r="H3940" s="599" t="s">
        <v>118</v>
      </c>
      <c r="I3940" s="558">
        <v>9.26</v>
      </c>
      <c r="J3940" s="567">
        <v>6.9</v>
      </c>
      <c r="K3940" s="652">
        <v>56</v>
      </c>
      <c r="L3940" s="552">
        <f>(I3940*J3940*K3940/1000)</f>
        <v>3.5780639999999999</v>
      </c>
      <c r="M3940" s="599">
        <f>2+3+13+1+3+4+2</f>
        <v>28</v>
      </c>
      <c r="N3940" s="567">
        <f>J3940*M3940*I3940/1000</f>
        <v>1.7890320000000002</v>
      </c>
      <c r="O3940" s="549"/>
      <c r="P3940" s="549"/>
      <c r="Q3940" s="1059"/>
      <c r="R3940" s="1059"/>
      <c r="S3940" s="497" t="s">
        <v>550</v>
      </c>
    </row>
    <row r="3941" spans="1:19" s="497" customFormat="1" ht="17.399999999999999">
      <c r="A3941" s="547"/>
      <c r="B3941" s="549" t="s">
        <v>423</v>
      </c>
      <c r="C3941" s="547"/>
      <c r="D3941" s="547"/>
      <c r="E3941" s="547"/>
      <c r="F3941" s="548"/>
      <c r="G3941" s="549"/>
      <c r="H3941" s="549"/>
      <c r="I3941" s="558"/>
      <c r="J3941" s="567"/>
      <c r="K3941" s="652">
        <f t="shared" ref="K3941" si="723">SUM(K3940)</f>
        <v>56</v>
      </c>
      <c r="L3941" s="565">
        <f>SUM(L3940)</f>
        <v>3.5780639999999999</v>
      </c>
      <c r="M3941" s="652">
        <f t="shared" ref="M3941" si="724">SUM(M3940)</f>
        <v>28</v>
      </c>
      <c r="N3941" s="565">
        <f>SUM(N3940)</f>
        <v>1.7890320000000002</v>
      </c>
      <c r="O3941" s="549"/>
      <c r="P3941" s="549"/>
      <c r="Q3941" s="1059"/>
      <c r="R3941" s="1059"/>
    </row>
    <row r="3942" spans="1:19" s="497" customFormat="1" ht="17.399999999999999">
      <c r="A3942" s="547"/>
      <c r="B3942" s="549"/>
      <c r="C3942" s="547"/>
      <c r="D3942" s="547"/>
      <c r="E3942" s="547"/>
      <c r="F3942" s="548"/>
      <c r="G3942" s="549"/>
      <c r="H3942" s="549"/>
      <c r="I3942" s="558"/>
      <c r="J3942" s="567"/>
      <c r="K3942" s="652"/>
      <c r="L3942" s="565"/>
      <c r="M3942" s="549"/>
      <c r="N3942" s="549"/>
      <c r="O3942" s="549"/>
      <c r="P3942" s="549"/>
      <c r="Q3942" s="1059"/>
      <c r="R3942" s="1059"/>
    </row>
    <row r="3943" spans="1:19" ht="17.399999999999999">
      <c r="A3943" s="547" t="s">
        <v>411</v>
      </c>
      <c r="B3943" s="547" t="s">
        <v>470</v>
      </c>
      <c r="C3943" s="547" t="s">
        <v>19</v>
      </c>
      <c r="D3943" s="547" t="s">
        <v>60</v>
      </c>
      <c r="E3943" s="560" t="s">
        <v>471</v>
      </c>
      <c r="F3943" s="548">
        <v>12</v>
      </c>
      <c r="G3943" s="549" t="s">
        <v>61</v>
      </c>
      <c r="H3943" s="599" t="s">
        <v>118</v>
      </c>
      <c r="I3943" s="558">
        <v>9.26</v>
      </c>
      <c r="J3943" s="567">
        <v>10</v>
      </c>
      <c r="K3943" s="652">
        <v>15</v>
      </c>
      <c r="L3943" s="552">
        <f>(I3943*J3943*K3943/1000)</f>
        <v>1.389</v>
      </c>
      <c r="M3943" s="549"/>
      <c r="N3943" s="549"/>
      <c r="O3943" s="549"/>
      <c r="P3943" s="549"/>
      <c r="Q3943" s="1059"/>
      <c r="R3943" s="1059"/>
      <c r="S3943" s="497" t="s">
        <v>550</v>
      </c>
    </row>
    <row r="3944" spans="1:19" ht="17.399999999999999">
      <c r="A3944" s="547"/>
      <c r="B3944" s="549" t="s">
        <v>439</v>
      </c>
      <c r="C3944" s="547"/>
      <c r="D3944" s="547"/>
      <c r="E3944" s="547"/>
      <c r="F3944" s="548"/>
      <c r="G3944" s="549"/>
      <c r="H3944" s="549"/>
      <c r="I3944" s="558"/>
      <c r="J3944" s="567"/>
      <c r="K3944" s="652">
        <f t="shared" ref="K3944" si="725">SUM(K3943)</f>
        <v>15</v>
      </c>
      <c r="L3944" s="565">
        <f>SUM(L3943)</f>
        <v>1.389</v>
      </c>
      <c r="M3944" s="549"/>
      <c r="N3944" s="549"/>
      <c r="O3944" s="549"/>
      <c r="P3944" s="549"/>
      <c r="Q3944" s="1059"/>
      <c r="R3944" s="1059"/>
    </row>
    <row r="3945" spans="1:19" s="497" customFormat="1" ht="17.399999999999999">
      <c r="A3945" s="547"/>
      <c r="B3945" s="549"/>
      <c r="C3945" s="547"/>
      <c r="D3945" s="547"/>
      <c r="E3945" s="547"/>
      <c r="F3945" s="548"/>
      <c r="G3945" s="549"/>
      <c r="H3945" s="549"/>
      <c r="I3945" s="558"/>
      <c r="J3945" s="567"/>
      <c r="K3945" s="652">
        <f>SUM(K3925:K3944)/2</f>
        <v>129</v>
      </c>
      <c r="L3945" s="565">
        <f>SUM(L3925:L3944)/2</f>
        <v>11.152744</v>
      </c>
      <c r="M3945" s="652">
        <f>SUM(M3925:M3944)/2</f>
        <v>58</v>
      </c>
      <c r="N3945" s="565">
        <f>SUM(N3925:N3944)/2</f>
        <v>4.8633520000000008</v>
      </c>
      <c r="O3945" s="549"/>
      <c r="P3945" s="549"/>
      <c r="Q3945" s="1059"/>
      <c r="R3945" s="1059"/>
    </row>
    <row r="3946" spans="1:19" s="497" customFormat="1" ht="17.399999999999999">
      <c r="A3946" s="547"/>
      <c r="B3946" s="549"/>
      <c r="C3946" s="547"/>
      <c r="D3946" s="547"/>
      <c r="E3946" s="547"/>
      <c r="F3946" s="548"/>
      <c r="G3946" s="549"/>
      <c r="H3946" s="549"/>
      <c r="I3946" s="558"/>
      <c r="J3946" s="567"/>
      <c r="K3946" s="652"/>
      <c r="L3946" s="565"/>
      <c r="M3946" s="549"/>
      <c r="N3946" s="549"/>
      <c r="O3946" s="549"/>
      <c r="P3946" s="549"/>
      <c r="Q3946" s="1059"/>
      <c r="R3946" s="1059"/>
    </row>
    <row r="3947" spans="1:19" ht="17.399999999999999">
      <c r="A3947" s="549"/>
      <c r="B3947" s="549"/>
      <c r="C3947" s="549"/>
      <c r="D3947" s="549"/>
      <c r="E3947" s="560"/>
      <c r="F3947" s="549"/>
      <c r="G3947" s="549"/>
      <c r="H3947" s="549"/>
      <c r="I3947" s="558"/>
      <c r="J3947" s="567"/>
      <c r="K3947" s="652"/>
      <c r="L3947" s="565"/>
      <c r="M3947" s="549"/>
      <c r="N3947" s="549"/>
      <c r="O3947" s="549"/>
      <c r="P3947" s="549"/>
      <c r="Q3947" s="1059"/>
      <c r="R3947" s="1059"/>
    </row>
    <row r="3948" spans="1:19" ht="17.399999999999999">
      <c r="A3948" s="547" t="s">
        <v>451</v>
      </c>
      <c r="B3948" s="547" t="s">
        <v>454</v>
      </c>
      <c r="C3948" s="547" t="s">
        <v>19</v>
      </c>
      <c r="D3948" s="547" t="s">
        <v>60</v>
      </c>
      <c r="E3948" s="547" t="s">
        <v>270</v>
      </c>
      <c r="F3948" s="548">
        <v>12</v>
      </c>
      <c r="G3948" s="549" t="s">
        <v>61</v>
      </c>
      <c r="H3948" s="599" t="s">
        <v>119</v>
      </c>
      <c r="I3948" s="558">
        <v>10.73</v>
      </c>
      <c r="J3948" s="567">
        <v>8.5</v>
      </c>
      <c r="K3948" s="652">
        <v>2</v>
      </c>
      <c r="L3948" s="552">
        <f t="shared" ref="L3948" si="726">(I3948*J3948*K3948/1000)</f>
        <v>0.18240999999999999</v>
      </c>
      <c r="M3948" s="599">
        <v>2</v>
      </c>
      <c r="N3948" s="567">
        <f t="shared" ref="N3948" si="727">J3948*M3948*I3948/1000</f>
        <v>0.18240999999999999</v>
      </c>
      <c r="O3948" s="549"/>
      <c r="P3948" s="549"/>
      <c r="Q3948" s="1059"/>
      <c r="R3948" s="1059"/>
      <c r="S3948" s="497" t="s">
        <v>550</v>
      </c>
    </row>
    <row r="3949" spans="1:19" ht="17.399999999999999">
      <c r="A3949" s="550"/>
      <c r="B3949" s="549" t="s">
        <v>333</v>
      </c>
      <c r="C3949" s="550"/>
      <c r="D3949" s="550"/>
      <c r="E3949" s="548"/>
      <c r="F3949" s="548"/>
      <c r="G3949" s="549"/>
      <c r="H3949" s="549"/>
      <c r="I3949" s="558"/>
      <c r="J3949" s="567"/>
      <c r="K3949" s="652">
        <f>SUM(K3948:K3948)</f>
        <v>2</v>
      </c>
      <c r="L3949" s="565">
        <f>SUM(L3948:L3948)</f>
        <v>0.18240999999999999</v>
      </c>
      <c r="M3949" s="652">
        <f>SUM(M3948:M3948)</f>
        <v>2</v>
      </c>
      <c r="N3949" s="565">
        <f>SUM(N3948:N3948)</f>
        <v>0.18240999999999999</v>
      </c>
      <c r="O3949" s="549"/>
      <c r="P3949" s="549"/>
      <c r="Q3949" s="1059"/>
      <c r="R3949" s="1059"/>
    </row>
    <row r="3950" spans="1:19" ht="17.399999999999999">
      <c r="A3950" s="549"/>
      <c r="B3950" s="549"/>
      <c r="C3950" s="549"/>
      <c r="D3950" s="549"/>
      <c r="E3950" s="560"/>
      <c r="F3950" s="549"/>
      <c r="G3950" s="549"/>
      <c r="H3950" s="549"/>
      <c r="I3950" s="558"/>
      <c r="J3950" s="567"/>
      <c r="K3950" s="652"/>
      <c r="L3950" s="565"/>
      <c r="M3950" s="549"/>
      <c r="N3950" s="549"/>
      <c r="O3950" s="549"/>
      <c r="P3950" s="549"/>
      <c r="Q3950" s="1059"/>
      <c r="R3950" s="1059"/>
    </row>
    <row r="3951" spans="1:19" ht="17.399999999999999">
      <c r="A3951" s="547" t="s">
        <v>445</v>
      </c>
      <c r="B3951" s="547" t="s">
        <v>463</v>
      </c>
      <c r="C3951" s="547" t="s">
        <v>19</v>
      </c>
      <c r="D3951" s="547" t="s">
        <v>60</v>
      </c>
      <c r="E3951" s="547" t="s">
        <v>90</v>
      </c>
      <c r="F3951" s="548">
        <v>12</v>
      </c>
      <c r="G3951" s="549" t="s">
        <v>61</v>
      </c>
      <c r="H3951" s="599" t="s">
        <v>119</v>
      </c>
      <c r="I3951" s="558">
        <v>10.7</v>
      </c>
      <c r="J3951" s="567">
        <v>6</v>
      </c>
      <c r="K3951" s="652">
        <v>1</v>
      </c>
      <c r="L3951" s="552">
        <f>(I3951*J3951*K3951/1000)</f>
        <v>6.4199999999999993E-2</v>
      </c>
      <c r="M3951" s="599">
        <v>1</v>
      </c>
      <c r="N3951" s="567">
        <f t="shared" ref="N3951" si="728">J3951*M3951*I3951/1000</f>
        <v>6.4199999999999993E-2</v>
      </c>
      <c r="O3951" s="549"/>
      <c r="P3951" s="549"/>
      <c r="Q3951" s="1059"/>
      <c r="R3951" s="1059"/>
      <c r="S3951" s="497" t="s">
        <v>550</v>
      </c>
    </row>
    <row r="3952" spans="1:19" ht="17.399999999999999">
      <c r="A3952" s="547"/>
      <c r="B3952" s="549" t="s">
        <v>421</v>
      </c>
      <c r="C3952" s="547"/>
      <c r="D3952" s="547"/>
      <c r="E3952" s="547"/>
      <c r="F3952" s="548"/>
      <c r="G3952" s="549"/>
      <c r="H3952" s="549"/>
      <c r="I3952" s="558"/>
      <c r="J3952" s="567"/>
      <c r="K3952" s="652">
        <f>SUM(K3951)</f>
        <v>1</v>
      </c>
      <c r="L3952" s="565">
        <f>SUM(L3951)</f>
        <v>6.4199999999999993E-2</v>
      </c>
      <c r="M3952" s="652">
        <f>SUM(M3951)</f>
        <v>1</v>
      </c>
      <c r="N3952" s="565">
        <f>SUM(N3951)</f>
        <v>6.4199999999999993E-2</v>
      </c>
      <c r="O3952" s="549"/>
      <c r="P3952" s="549"/>
      <c r="Q3952" s="1059"/>
      <c r="R3952" s="1059"/>
    </row>
    <row r="3953" spans="1:19" ht="17.399999999999999">
      <c r="A3953" s="550"/>
      <c r="B3953" s="549"/>
      <c r="C3953" s="550"/>
      <c r="D3953" s="550"/>
      <c r="E3953" s="548"/>
      <c r="F3953" s="548"/>
      <c r="G3953" s="549"/>
      <c r="H3953" s="549"/>
      <c r="I3953" s="558"/>
      <c r="J3953" s="567"/>
      <c r="K3953" s="652"/>
      <c r="L3953" s="565"/>
      <c r="M3953" s="549"/>
      <c r="N3953" s="549"/>
      <c r="O3953" s="549"/>
      <c r="P3953" s="549"/>
      <c r="Q3953" s="1059"/>
      <c r="R3953" s="1059"/>
    </row>
    <row r="3954" spans="1:19" ht="17.399999999999999">
      <c r="A3954" s="547" t="s">
        <v>451</v>
      </c>
      <c r="B3954" s="547" t="s">
        <v>467</v>
      </c>
      <c r="C3954" s="547" t="s">
        <v>19</v>
      </c>
      <c r="D3954" s="547" t="s">
        <v>60</v>
      </c>
      <c r="E3954" s="547" t="s">
        <v>247</v>
      </c>
      <c r="F3954" s="548">
        <v>12</v>
      </c>
      <c r="G3954" s="549" t="s">
        <v>61</v>
      </c>
      <c r="H3954" s="599" t="s">
        <v>119</v>
      </c>
      <c r="I3954" s="558">
        <v>10.7</v>
      </c>
      <c r="J3954" s="567">
        <v>12</v>
      </c>
      <c r="K3954" s="652">
        <v>36</v>
      </c>
      <c r="L3954" s="552">
        <f t="shared" ref="L3954" si="729">(I3954*J3954*K3954/1000)</f>
        <v>4.6223999999999998</v>
      </c>
      <c r="M3954" s="599">
        <v>1</v>
      </c>
      <c r="N3954" s="567">
        <f t="shared" ref="N3954" si="730">J3954*M3954*I3954/1000</f>
        <v>0.12839999999999999</v>
      </c>
      <c r="O3954" s="549"/>
      <c r="P3954" s="549"/>
      <c r="Q3954" s="1059"/>
      <c r="R3954" s="1059"/>
      <c r="S3954" s="497" t="s">
        <v>550</v>
      </c>
    </row>
    <row r="3955" spans="1:19" s="497" customFormat="1" ht="17.399999999999999">
      <c r="A3955" s="547"/>
      <c r="B3955" s="549" t="s">
        <v>88</v>
      </c>
      <c r="C3955" s="547"/>
      <c r="D3955" s="547"/>
      <c r="E3955" s="547"/>
      <c r="F3955" s="548"/>
      <c r="G3955" s="549"/>
      <c r="H3955" s="549"/>
      <c r="I3955" s="558"/>
      <c r="J3955" s="567"/>
      <c r="K3955" s="652">
        <f t="shared" ref="K3955" si="731">SUM(K3954)</f>
        <v>36</v>
      </c>
      <c r="L3955" s="565">
        <f>SUM(L3954)</f>
        <v>4.6223999999999998</v>
      </c>
      <c r="M3955" s="652">
        <f t="shared" ref="M3955" si="732">SUM(M3954)</f>
        <v>1</v>
      </c>
      <c r="N3955" s="565">
        <f>SUM(N3954)</f>
        <v>0.12839999999999999</v>
      </c>
      <c r="O3955" s="549"/>
      <c r="P3955" s="549"/>
      <c r="Q3955" s="1059"/>
      <c r="R3955" s="1059"/>
    </row>
    <row r="3956" spans="1:19" s="497" customFormat="1" ht="17.399999999999999">
      <c r="A3956" s="547"/>
      <c r="B3956" s="547"/>
      <c r="C3956" s="547"/>
      <c r="D3956" s="547"/>
      <c r="E3956" s="547"/>
      <c r="F3956" s="548"/>
      <c r="G3956" s="549"/>
      <c r="H3956" s="549"/>
      <c r="I3956" s="558"/>
      <c r="J3956" s="567"/>
      <c r="K3956" s="652"/>
      <c r="L3956" s="565"/>
      <c r="M3956" s="549"/>
      <c r="N3956" s="549"/>
      <c r="O3956" s="549"/>
      <c r="P3956" s="549"/>
      <c r="Q3956" s="1059"/>
      <c r="R3956" s="1059"/>
    </row>
    <row r="3957" spans="1:19" ht="17.399999999999999">
      <c r="A3957" s="547" t="s">
        <v>411</v>
      </c>
      <c r="B3957" s="547" t="s">
        <v>472</v>
      </c>
      <c r="C3957" s="547" t="s">
        <v>19</v>
      </c>
      <c r="D3957" s="547" t="s">
        <v>60</v>
      </c>
      <c r="E3957" s="560" t="s">
        <v>285</v>
      </c>
      <c r="F3957" s="548">
        <v>12</v>
      </c>
      <c r="G3957" s="549" t="s">
        <v>61</v>
      </c>
      <c r="H3957" s="599" t="s">
        <v>119</v>
      </c>
      <c r="I3957" s="558">
        <v>10.7</v>
      </c>
      <c r="J3957" s="567">
        <v>8.25</v>
      </c>
      <c r="K3957" s="652">
        <v>14</v>
      </c>
      <c r="L3957" s="552">
        <f t="shared" ref="L3957:L3958" si="733">(I3957*J3957*K3957/1000)</f>
        <v>1.2358499999999999</v>
      </c>
      <c r="M3957" s="549">
        <f>2+3+2+5+2</f>
        <v>14</v>
      </c>
      <c r="N3957" s="567">
        <f t="shared" ref="N3957:N3958" si="734">J3957*M3957*I3957/1000</f>
        <v>1.2358499999999999</v>
      </c>
      <c r="O3957" s="549"/>
      <c r="P3957" s="549"/>
      <c r="Q3957" s="1059"/>
      <c r="R3957" s="1059"/>
      <c r="S3957" s="497" t="s">
        <v>550</v>
      </c>
    </row>
    <row r="3958" spans="1:19" ht="17.399999999999999">
      <c r="A3958" s="547"/>
      <c r="B3958" s="549" t="s">
        <v>52</v>
      </c>
      <c r="C3958" s="547"/>
      <c r="D3958" s="547"/>
      <c r="E3958" s="547"/>
      <c r="F3958" s="548"/>
      <c r="G3958" s="549" t="s">
        <v>61</v>
      </c>
      <c r="H3958" s="549" t="s">
        <v>119</v>
      </c>
      <c r="I3958" s="558">
        <v>10.7</v>
      </c>
      <c r="J3958" s="567">
        <v>12</v>
      </c>
      <c r="K3958" s="652">
        <v>2</v>
      </c>
      <c r="L3958" s="552">
        <f t="shared" si="733"/>
        <v>0.25679999999999997</v>
      </c>
      <c r="M3958" s="549">
        <v>2</v>
      </c>
      <c r="N3958" s="567">
        <f t="shared" si="734"/>
        <v>0.25679999999999997</v>
      </c>
      <c r="O3958" s="549"/>
      <c r="P3958" s="549"/>
      <c r="Q3958" s="1059"/>
      <c r="R3958" s="1059"/>
    </row>
    <row r="3959" spans="1:19" s="497" customFormat="1" ht="17.399999999999999">
      <c r="A3959" s="547"/>
      <c r="B3959" s="549"/>
      <c r="C3959" s="547"/>
      <c r="D3959" s="547"/>
      <c r="E3959" s="547"/>
      <c r="F3959" s="548"/>
      <c r="G3959" s="549"/>
      <c r="H3959" s="549"/>
      <c r="I3959" s="558"/>
      <c r="J3959" s="567"/>
      <c r="K3959" s="652">
        <f>SUM(K3957:K3958)</f>
        <v>16</v>
      </c>
      <c r="L3959" s="565">
        <f>SUM(L3957:L3958)</f>
        <v>1.4926499999999998</v>
      </c>
      <c r="M3959" s="652">
        <f>SUM(M3957:M3958)</f>
        <v>16</v>
      </c>
      <c r="N3959" s="565">
        <f>SUM(N3957:N3958)</f>
        <v>1.4926499999999998</v>
      </c>
      <c r="O3959" s="549"/>
      <c r="P3959" s="549"/>
      <c r="Q3959" s="1059"/>
      <c r="R3959" s="1059"/>
    </row>
    <row r="3960" spans="1:19" ht="17.399999999999999">
      <c r="A3960" s="549"/>
      <c r="B3960" s="549"/>
      <c r="C3960" s="549"/>
      <c r="D3960" s="549"/>
      <c r="E3960" s="560"/>
      <c r="F3960" s="549"/>
      <c r="G3960" s="549"/>
      <c r="H3960" s="549"/>
      <c r="I3960" s="558"/>
      <c r="J3960" s="567"/>
      <c r="K3960" s="652">
        <f>SUM(K3948:K3959)/2</f>
        <v>55</v>
      </c>
      <c r="L3960" s="565">
        <f>SUM(L3948:L3959)/2</f>
        <v>6.3616599999999988</v>
      </c>
      <c r="M3960" s="652">
        <f>SUM(M3948:M3959)/2</f>
        <v>20</v>
      </c>
      <c r="N3960" s="565">
        <f>SUM(N3948:N3959)/2</f>
        <v>1.8676599999999999</v>
      </c>
      <c r="O3960" s="549"/>
      <c r="P3960" s="549"/>
      <c r="Q3960" s="1059"/>
      <c r="R3960" s="1059"/>
    </row>
    <row r="3961" spans="1:19" s="497" customFormat="1" ht="17.399999999999999">
      <c r="A3961" s="549"/>
      <c r="B3961" s="549"/>
      <c r="C3961" s="549"/>
      <c r="D3961" s="549"/>
      <c r="E3961" s="560"/>
      <c r="F3961" s="549"/>
      <c r="G3961" s="549"/>
      <c r="H3961" s="549"/>
      <c r="I3961" s="558"/>
      <c r="J3961" s="567"/>
      <c r="K3961" s="652"/>
      <c r="L3961" s="565"/>
      <c r="M3961" s="549"/>
      <c r="N3961" s="549"/>
      <c r="O3961" s="549"/>
      <c r="P3961" s="549"/>
      <c r="Q3961" s="1059"/>
      <c r="R3961" s="1059"/>
    </row>
    <row r="3962" spans="1:19" ht="17.399999999999999">
      <c r="A3962" s="549"/>
      <c r="B3962" s="549"/>
      <c r="C3962" s="549"/>
      <c r="D3962" s="549"/>
      <c r="E3962" s="560"/>
      <c r="F3962" s="549"/>
      <c r="G3962" s="549"/>
      <c r="H3962" s="549"/>
      <c r="I3962" s="558"/>
      <c r="J3962" s="567"/>
      <c r="K3962" s="652"/>
      <c r="L3962" s="565"/>
      <c r="M3962" s="549"/>
      <c r="N3962" s="549"/>
      <c r="O3962" s="549"/>
      <c r="P3962" s="549"/>
      <c r="Q3962" s="1059"/>
      <c r="R3962" s="1059"/>
    </row>
    <row r="3963" spans="1:19" ht="17.399999999999999">
      <c r="A3963" s="547" t="s">
        <v>451</v>
      </c>
      <c r="B3963" s="547" t="s">
        <v>467</v>
      </c>
      <c r="C3963" s="547" t="s">
        <v>19</v>
      </c>
      <c r="D3963" s="547" t="s">
        <v>60</v>
      </c>
      <c r="E3963" s="547" t="s">
        <v>247</v>
      </c>
      <c r="F3963" s="548">
        <v>12</v>
      </c>
      <c r="G3963" s="549" t="s">
        <v>61</v>
      </c>
      <c r="H3963" s="599" t="s">
        <v>134</v>
      </c>
      <c r="I3963" s="558">
        <v>12.2</v>
      </c>
      <c r="J3963" s="567">
        <v>12</v>
      </c>
      <c r="K3963" s="652">
        <v>94</v>
      </c>
      <c r="L3963" s="552">
        <f t="shared" ref="L3963" si="735">(I3963*J3963*K3963/1000)</f>
        <v>13.761599999999998</v>
      </c>
      <c r="M3963" s="549"/>
      <c r="N3963" s="549"/>
      <c r="O3963" s="549"/>
      <c r="P3963" s="549"/>
      <c r="Q3963" s="1059"/>
      <c r="R3963" s="1059"/>
      <c r="S3963" s="497" t="s">
        <v>550</v>
      </c>
    </row>
    <row r="3964" spans="1:19" ht="17.399999999999999">
      <c r="A3964" s="547"/>
      <c r="B3964" s="549" t="s">
        <v>88</v>
      </c>
      <c r="C3964" s="547"/>
      <c r="D3964" s="547"/>
      <c r="E3964" s="547"/>
      <c r="F3964" s="548"/>
      <c r="G3964" s="549"/>
      <c r="H3964" s="549"/>
      <c r="I3964" s="558"/>
      <c r="J3964" s="567"/>
      <c r="K3964" s="652">
        <f t="shared" ref="K3964" si="736">SUM(K3963)</f>
        <v>94</v>
      </c>
      <c r="L3964" s="565">
        <f>SUM(L3963)</f>
        <v>13.761599999999998</v>
      </c>
      <c r="M3964" s="549"/>
      <c r="N3964" s="549"/>
      <c r="O3964" s="549"/>
      <c r="P3964" s="549"/>
      <c r="Q3964" s="1059"/>
      <c r="R3964" s="1059"/>
    </row>
    <row r="3965" spans="1:19" ht="17.399999999999999">
      <c r="A3965" s="549"/>
      <c r="B3965" s="549"/>
      <c r="C3965" s="549"/>
      <c r="D3965" s="549"/>
      <c r="E3965" s="560"/>
      <c r="F3965" s="549"/>
      <c r="G3965" s="549"/>
      <c r="H3965" s="549"/>
      <c r="I3965" s="558"/>
      <c r="J3965" s="567"/>
      <c r="K3965" s="652"/>
      <c r="L3965" s="565"/>
      <c r="M3965" s="549"/>
      <c r="N3965" s="549"/>
      <c r="O3965" s="549"/>
      <c r="P3965" s="549"/>
      <c r="Q3965" s="1059"/>
      <c r="R3965" s="1059"/>
    </row>
    <row r="3966" spans="1:19" ht="17.399999999999999">
      <c r="A3966" s="547" t="s">
        <v>411</v>
      </c>
      <c r="B3966" s="547" t="s">
        <v>469</v>
      </c>
      <c r="C3966" s="547" t="s">
        <v>19</v>
      </c>
      <c r="D3966" s="547" t="s">
        <v>60</v>
      </c>
      <c r="E3966" s="560" t="s">
        <v>284</v>
      </c>
      <c r="F3966" s="548">
        <v>12</v>
      </c>
      <c r="G3966" s="549" t="s">
        <v>61</v>
      </c>
      <c r="H3966" s="599" t="s">
        <v>134</v>
      </c>
      <c r="I3966" s="558">
        <v>12.2</v>
      </c>
      <c r="J3966" s="567">
        <v>9.5</v>
      </c>
      <c r="K3966" s="652">
        <v>17</v>
      </c>
      <c r="L3966" s="552">
        <f>(I3966*J3966*K3966/1000)</f>
        <v>1.9702999999999999</v>
      </c>
      <c r="M3966" s="549"/>
      <c r="N3966" s="549"/>
      <c r="O3966" s="549"/>
      <c r="P3966" s="549"/>
      <c r="Q3966" s="1059"/>
      <c r="R3966" s="1059"/>
      <c r="S3966" s="497" t="s">
        <v>550</v>
      </c>
    </row>
    <row r="3967" spans="1:19" ht="17.399999999999999">
      <c r="A3967" s="547"/>
      <c r="B3967" s="549" t="s">
        <v>423</v>
      </c>
      <c r="C3967" s="547"/>
      <c r="D3967" s="547"/>
      <c r="E3967" s="547"/>
      <c r="F3967" s="548"/>
      <c r="G3967" s="549"/>
      <c r="H3967" s="549"/>
      <c r="I3967" s="558"/>
      <c r="J3967" s="567"/>
      <c r="K3967" s="652">
        <f t="shared" ref="K3967" si="737">SUM(K3966)</f>
        <v>17</v>
      </c>
      <c r="L3967" s="565">
        <f>SUM(L3966)</f>
        <v>1.9702999999999999</v>
      </c>
      <c r="M3967" s="549"/>
      <c r="N3967" s="549"/>
      <c r="O3967" s="549"/>
      <c r="P3967" s="549"/>
      <c r="Q3967" s="1059"/>
      <c r="R3967" s="1059"/>
    </row>
    <row r="3968" spans="1:19" ht="17.399999999999999">
      <c r="A3968" s="549"/>
      <c r="B3968" s="549"/>
      <c r="C3968" s="549"/>
      <c r="D3968" s="549"/>
      <c r="E3968" s="560"/>
      <c r="F3968" s="549"/>
      <c r="G3968" s="549"/>
      <c r="H3968" s="549"/>
      <c r="I3968" s="558"/>
      <c r="J3968" s="567"/>
      <c r="K3968" s="652"/>
      <c r="L3968" s="565"/>
      <c r="M3968" s="549"/>
      <c r="N3968" s="549"/>
      <c r="O3968" s="549"/>
      <c r="P3968" s="549"/>
      <c r="Q3968" s="1059"/>
      <c r="R3968" s="1059"/>
    </row>
    <row r="3969" spans="1:19" ht="17.399999999999999">
      <c r="A3969" s="547" t="s">
        <v>411</v>
      </c>
      <c r="B3969" s="547" t="s">
        <v>472</v>
      </c>
      <c r="C3969" s="547" t="s">
        <v>19</v>
      </c>
      <c r="D3969" s="547" t="s">
        <v>60</v>
      </c>
      <c r="E3969" s="560" t="s">
        <v>285</v>
      </c>
      <c r="F3969" s="548">
        <v>12</v>
      </c>
      <c r="G3969" s="549" t="s">
        <v>61</v>
      </c>
      <c r="H3969" s="599" t="s">
        <v>134</v>
      </c>
      <c r="I3969" s="558">
        <v>12.2</v>
      </c>
      <c r="J3969" s="567">
        <v>9.5</v>
      </c>
      <c r="K3969" s="652">
        <v>7</v>
      </c>
      <c r="L3969" s="552">
        <f t="shared" ref="L3969" si="738">(I3969*J3969*K3969/1000)</f>
        <v>0.81129999999999991</v>
      </c>
      <c r="M3969" s="549"/>
      <c r="N3969" s="549"/>
      <c r="O3969" s="567">
        <v>9.4</v>
      </c>
      <c r="P3969" s="549"/>
      <c r="Q3969" s="1059"/>
      <c r="R3969" s="1059"/>
      <c r="S3969" s="497" t="s">
        <v>550</v>
      </c>
    </row>
    <row r="3970" spans="1:19" ht="17.399999999999999">
      <c r="A3970" s="547"/>
      <c r="B3970" s="549" t="s">
        <v>52</v>
      </c>
      <c r="C3970" s="547"/>
      <c r="D3970" s="547"/>
      <c r="E3970" s="547"/>
      <c r="F3970" s="548"/>
      <c r="G3970" s="549"/>
      <c r="H3970" s="549"/>
      <c r="I3970" s="558"/>
      <c r="J3970" s="567"/>
      <c r="K3970" s="652">
        <f>SUM(K3969)</f>
        <v>7</v>
      </c>
      <c r="L3970" s="565">
        <f>SUM(L3969)</f>
        <v>0.81129999999999991</v>
      </c>
      <c r="M3970" s="549"/>
      <c r="N3970" s="549"/>
      <c r="O3970" s="549"/>
      <c r="P3970" s="549"/>
      <c r="Q3970" s="1059"/>
      <c r="R3970" s="1059"/>
    </row>
    <row r="3971" spans="1:19" s="497" customFormat="1" ht="17.399999999999999">
      <c r="A3971" s="547"/>
      <c r="B3971" s="549"/>
      <c r="C3971" s="547"/>
      <c r="D3971" s="547"/>
      <c r="E3971" s="547"/>
      <c r="F3971" s="548"/>
      <c r="G3971" s="549"/>
      <c r="H3971" s="549"/>
      <c r="I3971" s="558"/>
      <c r="J3971" s="567"/>
      <c r="K3971" s="652"/>
      <c r="L3971" s="565">
        <f>SUM(L3963:L3970)/2</f>
        <v>16.543200000000002</v>
      </c>
      <c r="M3971" s="549"/>
      <c r="N3971" s="549"/>
      <c r="O3971" s="549"/>
      <c r="P3971" s="549"/>
      <c r="Q3971" s="1059"/>
      <c r="R3971" s="1059"/>
    </row>
    <row r="3972" spans="1:19" s="497" customFormat="1" ht="17.399999999999999">
      <c r="A3972" s="547"/>
      <c r="B3972" s="549"/>
      <c r="C3972" s="547"/>
      <c r="D3972" s="547"/>
      <c r="E3972" s="547"/>
      <c r="F3972" s="548"/>
      <c r="G3972" s="549"/>
      <c r="H3972" s="549"/>
      <c r="I3972" s="558"/>
      <c r="J3972" s="567"/>
      <c r="K3972" s="652"/>
      <c r="L3972" s="565"/>
      <c r="M3972" s="549"/>
      <c r="N3972" s="549"/>
      <c r="O3972" s="549"/>
      <c r="P3972" s="549"/>
      <c r="Q3972" s="1059"/>
      <c r="R3972" s="1059"/>
    </row>
    <row r="3973" spans="1:19" ht="17.399999999999999">
      <c r="A3973" s="547" t="s">
        <v>445</v>
      </c>
      <c r="B3973" s="547" t="s">
        <v>449</v>
      </c>
      <c r="C3973" s="547" t="s">
        <v>446</v>
      </c>
      <c r="D3973" s="813" t="s">
        <v>447</v>
      </c>
      <c r="E3973" s="547" t="s">
        <v>359</v>
      </c>
      <c r="F3973" s="548">
        <v>12</v>
      </c>
      <c r="G3973" s="549" t="s">
        <v>21</v>
      </c>
      <c r="H3973" s="599" t="s">
        <v>134</v>
      </c>
      <c r="I3973" s="558">
        <v>12.18</v>
      </c>
      <c r="J3973" s="567">
        <v>6.8</v>
      </c>
      <c r="K3973" s="652">
        <v>48</v>
      </c>
      <c r="L3973" s="552">
        <f t="shared" ref="L3973:L3974" si="739">(I3973*J3973*K3973/1000)</f>
        <v>3.9755519999999995</v>
      </c>
      <c r="M3973" s="549"/>
      <c r="N3973" s="549"/>
      <c r="O3973" s="549"/>
      <c r="P3973" s="549"/>
      <c r="Q3973" s="1059"/>
      <c r="R3973" s="1059"/>
      <c r="S3973" s="497" t="s">
        <v>553</v>
      </c>
    </row>
    <row r="3974" spans="1:19" ht="17.399999999999999">
      <c r="A3974" s="550"/>
      <c r="B3974" s="792"/>
      <c r="C3974" s="550"/>
      <c r="D3974" s="550"/>
      <c r="E3974" s="548"/>
      <c r="F3974" s="548"/>
      <c r="G3974" s="549" t="s">
        <v>21</v>
      </c>
      <c r="H3974" s="549" t="s">
        <v>134</v>
      </c>
      <c r="I3974" s="558">
        <v>12.18</v>
      </c>
      <c r="J3974" s="567">
        <v>12</v>
      </c>
      <c r="K3974" s="652">
        <v>9</v>
      </c>
      <c r="L3974" s="552">
        <f t="shared" si="739"/>
        <v>1.3154400000000002</v>
      </c>
      <c r="M3974" s="549"/>
      <c r="N3974" s="549"/>
      <c r="O3974" s="549"/>
      <c r="P3974" s="549"/>
      <c r="Q3974" s="1059"/>
      <c r="R3974" s="1059"/>
    </row>
    <row r="3975" spans="1:19" ht="17.399999999999999">
      <c r="A3975" s="549"/>
      <c r="B3975" s="549"/>
      <c r="C3975" s="549"/>
      <c r="D3975" s="549"/>
      <c r="E3975" s="560"/>
      <c r="F3975" s="549"/>
      <c r="G3975" s="549"/>
      <c r="H3975" s="549"/>
      <c r="I3975" s="558"/>
      <c r="J3975" s="567"/>
      <c r="K3975" s="652">
        <f>SUM(K3973:K3974)</f>
        <v>57</v>
      </c>
      <c r="L3975" s="565">
        <f>SUM(L3973:L3974)</f>
        <v>5.2909919999999993</v>
      </c>
      <c r="M3975" s="549"/>
      <c r="N3975" s="549"/>
      <c r="O3975" s="549"/>
      <c r="P3975" s="549"/>
      <c r="Q3975" s="1059"/>
      <c r="R3975" s="1059"/>
    </row>
    <row r="3976" spans="1:19" ht="17.399999999999999">
      <c r="A3976" s="549"/>
      <c r="B3976" s="549"/>
      <c r="C3976" s="549"/>
      <c r="D3976" s="549"/>
      <c r="E3976" s="560"/>
      <c r="F3976" s="549"/>
      <c r="G3976" s="549"/>
      <c r="H3976" s="549"/>
      <c r="I3976" s="558"/>
      <c r="J3976" s="567"/>
      <c r="K3976" s="652"/>
      <c r="L3976" s="565"/>
      <c r="M3976" s="549"/>
      <c r="N3976" s="549"/>
      <c r="O3976" s="549"/>
      <c r="P3976" s="549"/>
      <c r="Q3976" s="1059"/>
      <c r="R3976" s="1059"/>
    </row>
    <row r="3977" spans="1:19" ht="17.399999999999999">
      <c r="A3977" s="547" t="s">
        <v>451</v>
      </c>
      <c r="B3977" s="547" t="s">
        <v>455</v>
      </c>
      <c r="C3977" s="547" t="s">
        <v>446</v>
      </c>
      <c r="D3977" s="813" t="s">
        <v>447</v>
      </c>
      <c r="E3977" s="547" t="s">
        <v>359</v>
      </c>
      <c r="F3977" s="548">
        <v>12</v>
      </c>
      <c r="G3977" s="549" t="s">
        <v>21</v>
      </c>
      <c r="H3977" s="599" t="s">
        <v>134</v>
      </c>
      <c r="I3977" s="558">
        <v>12.18</v>
      </c>
      <c r="J3977" s="567">
        <v>12</v>
      </c>
      <c r="K3977" s="652">
        <v>2</v>
      </c>
      <c r="L3977" s="552">
        <f>(I3977*J3977*K3977/1000)</f>
        <v>0.29231999999999997</v>
      </c>
      <c r="M3977" s="549"/>
      <c r="N3977" s="549"/>
      <c r="O3977" s="549"/>
      <c r="P3977" s="549"/>
      <c r="Q3977" s="1059"/>
      <c r="R3977" s="1059"/>
      <c r="S3977" s="497" t="s">
        <v>553</v>
      </c>
    </row>
    <row r="3978" spans="1:19" ht="17.399999999999999">
      <c r="A3978" s="550"/>
      <c r="B3978" s="792"/>
      <c r="C3978" s="550"/>
      <c r="D3978" s="550"/>
      <c r="E3978" s="548"/>
      <c r="F3978" s="548"/>
      <c r="G3978" s="549"/>
      <c r="H3978" s="549"/>
      <c r="I3978" s="558"/>
      <c r="J3978" s="567"/>
      <c r="K3978" s="652">
        <f t="shared" ref="K3978:L3978" si="740">SUM(K3977)</f>
        <v>2</v>
      </c>
      <c r="L3978" s="565">
        <f t="shared" si="740"/>
        <v>0.29231999999999997</v>
      </c>
      <c r="M3978" s="549"/>
      <c r="N3978" s="549"/>
      <c r="O3978" s="549"/>
      <c r="P3978" s="549"/>
      <c r="Q3978" s="1059"/>
      <c r="R3978" s="1059"/>
    </row>
    <row r="3979" spans="1:19" ht="17.399999999999999">
      <c r="A3979" s="549"/>
      <c r="B3979" s="549"/>
      <c r="C3979" s="549"/>
      <c r="D3979" s="549"/>
      <c r="E3979" s="560"/>
      <c r="F3979" s="549"/>
      <c r="G3979" s="549"/>
      <c r="H3979" s="549"/>
      <c r="I3979" s="558"/>
      <c r="J3979" s="567"/>
      <c r="K3979" s="652"/>
      <c r="L3979" s="565"/>
      <c r="M3979" s="549"/>
      <c r="N3979" s="549"/>
      <c r="O3979" s="549"/>
      <c r="P3979" s="549"/>
      <c r="Q3979" s="1059"/>
      <c r="R3979" s="1059"/>
    </row>
    <row r="3980" spans="1:19" ht="17.399999999999999">
      <c r="A3980" s="547" t="s">
        <v>451</v>
      </c>
      <c r="B3980" s="547" t="s">
        <v>456</v>
      </c>
      <c r="C3980" s="547" t="s">
        <v>446</v>
      </c>
      <c r="D3980" s="813" t="s">
        <v>447</v>
      </c>
      <c r="E3980" s="547" t="s">
        <v>359</v>
      </c>
      <c r="F3980" s="548">
        <v>12</v>
      </c>
      <c r="G3980" s="549" t="s">
        <v>21</v>
      </c>
      <c r="H3980" s="599" t="s">
        <v>134</v>
      </c>
      <c r="I3980" s="558">
        <v>12.18</v>
      </c>
      <c r="J3980" s="567">
        <v>12</v>
      </c>
      <c r="K3980" s="652">
        <v>2</v>
      </c>
      <c r="L3980" s="552">
        <f>(I3980*J3980*K3980/1000)</f>
        <v>0.29231999999999997</v>
      </c>
      <c r="M3980" s="549"/>
      <c r="N3980" s="549"/>
      <c r="O3980" s="549"/>
      <c r="P3980" s="549"/>
      <c r="Q3980" s="1059"/>
      <c r="R3980" s="1059"/>
      <c r="S3980" s="497" t="s">
        <v>553</v>
      </c>
    </row>
    <row r="3981" spans="1:19" ht="17.399999999999999">
      <c r="A3981" s="550"/>
      <c r="B3981" s="792"/>
      <c r="C3981" s="550"/>
      <c r="D3981" s="550"/>
      <c r="E3981" s="548"/>
      <c r="F3981" s="548"/>
      <c r="G3981" s="549"/>
      <c r="H3981" s="549"/>
      <c r="I3981" s="558"/>
      <c r="J3981" s="567"/>
      <c r="K3981" s="652">
        <f t="shared" ref="K3981:L3981" si="741">SUM(K3980)</f>
        <v>2</v>
      </c>
      <c r="L3981" s="565">
        <f t="shared" si="741"/>
        <v>0.29231999999999997</v>
      </c>
      <c r="M3981" s="549"/>
      <c r="N3981" s="549"/>
      <c r="O3981" s="549"/>
      <c r="P3981" s="549"/>
      <c r="Q3981" s="1059"/>
      <c r="R3981" s="1059"/>
    </row>
    <row r="3982" spans="1:19" ht="17.399999999999999">
      <c r="A3982" s="549"/>
      <c r="B3982" s="549"/>
      <c r="C3982" s="549"/>
      <c r="D3982" s="549"/>
      <c r="E3982" s="560"/>
      <c r="F3982" s="549"/>
      <c r="G3982" s="549"/>
      <c r="H3982" s="549"/>
      <c r="I3982" s="558"/>
      <c r="J3982" s="567"/>
      <c r="K3982" s="652"/>
      <c r="L3982" s="565"/>
      <c r="M3982" s="549"/>
      <c r="N3982" s="549"/>
      <c r="O3982" s="549"/>
      <c r="P3982" s="549"/>
      <c r="Q3982" s="1059"/>
      <c r="R3982" s="1059"/>
    </row>
    <row r="3983" spans="1:19" ht="17.399999999999999">
      <c r="A3983" s="547" t="s">
        <v>445</v>
      </c>
      <c r="B3983" s="547" t="s">
        <v>460</v>
      </c>
      <c r="C3983" s="547" t="s">
        <v>446</v>
      </c>
      <c r="D3983" s="813" t="s">
        <v>447</v>
      </c>
      <c r="E3983" s="547" t="s">
        <v>359</v>
      </c>
      <c r="F3983" s="548">
        <v>12</v>
      </c>
      <c r="G3983" s="549" t="s">
        <v>21</v>
      </c>
      <c r="H3983" s="599" t="s">
        <v>134</v>
      </c>
      <c r="I3983" s="558">
        <v>12.18</v>
      </c>
      <c r="J3983" s="567">
        <v>12</v>
      </c>
      <c r="K3983" s="652">
        <v>5</v>
      </c>
      <c r="L3983" s="552">
        <f>(I3983*J3983*K3983/1000)</f>
        <v>0.73080000000000001</v>
      </c>
      <c r="M3983" s="549"/>
      <c r="N3983" s="549"/>
      <c r="O3983" s="549"/>
      <c r="P3983" s="549"/>
      <c r="Q3983" s="1059"/>
      <c r="R3983" s="1059"/>
      <c r="S3983" s="497" t="s">
        <v>553</v>
      </c>
    </row>
    <row r="3984" spans="1:19" ht="17.399999999999999">
      <c r="A3984" s="550"/>
      <c r="B3984" s="792"/>
      <c r="C3984" s="550"/>
      <c r="D3984" s="550"/>
      <c r="E3984" s="548"/>
      <c r="F3984" s="548"/>
      <c r="G3984" s="549"/>
      <c r="H3984" s="549"/>
      <c r="I3984" s="558"/>
      <c r="J3984" s="567"/>
      <c r="K3984" s="652">
        <f t="shared" ref="K3984:L3984" si="742">SUM(K3983)</f>
        <v>5</v>
      </c>
      <c r="L3984" s="565">
        <f t="shared" si="742"/>
        <v>0.73080000000000001</v>
      </c>
      <c r="M3984" s="549"/>
      <c r="N3984" s="549"/>
      <c r="O3984" s="549"/>
      <c r="P3984" s="549"/>
      <c r="Q3984" s="1059"/>
      <c r="R3984" s="1059"/>
    </row>
    <row r="3985" spans="1:19" s="497" customFormat="1" ht="17.399999999999999">
      <c r="A3985" s="550"/>
      <c r="B3985" s="792"/>
      <c r="C3985" s="550"/>
      <c r="D3985" s="550"/>
      <c r="E3985" s="548"/>
      <c r="F3985" s="548"/>
      <c r="G3985" s="549"/>
      <c r="H3985" s="549"/>
      <c r="I3985" s="558"/>
      <c r="J3985" s="567"/>
      <c r="K3985" s="652"/>
      <c r="L3985" s="565">
        <f>SUM(L3973:L3984)/2</f>
        <v>6.6064319999999999</v>
      </c>
      <c r="M3985" s="549"/>
      <c r="N3985" s="549"/>
      <c r="O3985" s="549"/>
      <c r="P3985" s="549"/>
      <c r="Q3985" s="1059"/>
      <c r="R3985" s="1059"/>
    </row>
    <row r="3986" spans="1:19" s="497" customFormat="1" ht="17.399999999999999">
      <c r="A3986" s="550"/>
      <c r="B3986" s="792"/>
      <c r="C3986" s="550"/>
      <c r="D3986" s="550"/>
      <c r="E3986" s="548"/>
      <c r="F3986" s="548"/>
      <c r="G3986" s="549"/>
      <c r="H3986" s="549"/>
      <c r="I3986" s="558"/>
      <c r="J3986" s="567"/>
      <c r="K3986" s="652"/>
      <c r="L3986" s="565"/>
      <c r="M3986" s="549"/>
      <c r="N3986" s="549"/>
      <c r="O3986" s="549"/>
      <c r="P3986" s="549"/>
      <c r="Q3986" s="1059"/>
      <c r="R3986" s="1059"/>
    </row>
    <row r="3987" spans="1:19" s="497" customFormat="1" ht="17.399999999999999">
      <c r="A3987" s="550"/>
      <c r="B3987" s="549"/>
      <c r="C3987" s="550"/>
      <c r="D3987" s="550"/>
      <c r="E3987" s="548"/>
      <c r="F3987" s="548"/>
      <c r="G3987" s="549"/>
      <c r="H3987" s="549"/>
      <c r="I3987" s="558"/>
      <c r="J3987" s="567"/>
      <c r="K3987" s="652"/>
      <c r="L3987" s="565"/>
      <c r="M3987" s="549"/>
      <c r="N3987" s="549"/>
      <c r="O3987" s="549"/>
      <c r="P3987" s="549"/>
      <c r="Q3987" s="1059"/>
      <c r="R3987" s="1059"/>
    </row>
    <row r="3988" spans="1:19" s="497" customFormat="1" ht="17.399999999999999">
      <c r="A3988" s="547"/>
      <c r="B3988" s="547"/>
      <c r="C3988" s="547"/>
      <c r="D3988" s="813"/>
      <c r="E3988" s="547"/>
      <c r="F3988" s="548"/>
      <c r="G3988" s="549"/>
      <c r="H3988" s="549"/>
      <c r="I3988" s="558"/>
      <c r="J3988" s="567"/>
      <c r="K3988" s="652"/>
      <c r="L3988" s="565"/>
      <c r="M3988" s="549"/>
      <c r="N3988" s="549"/>
      <c r="O3988" s="549"/>
      <c r="P3988" s="549"/>
      <c r="Q3988" s="1059"/>
      <c r="R3988" s="1059"/>
    </row>
    <row r="3989" spans="1:19" s="497" customFormat="1" ht="17.399999999999999">
      <c r="A3989" s="547"/>
      <c r="B3989" s="547"/>
      <c r="C3989" s="547"/>
      <c r="D3989" s="813"/>
      <c r="E3989" s="547"/>
      <c r="F3989" s="548"/>
      <c r="G3989" s="549"/>
      <c r="H3989" s="549"/>
      <c r="I3989" s="558"/>
      <c r="J3989" s="567"/>
      <c r="K3989" s="652"/>
      <c r="L3989" s="565"/>
      <c r="M3989" s="549"/>
      <c r="N3989" s="549"/>
      <c r="O3989" s="549"/>
      <c r="P3989" s="549"/>
      <c r="Q3989" s="1059"/>
      <c r="R3989" s="1059"/>
    </row>
    <row r="3990" spans="1:19" ht="17.399999999999999">
      <c r="A3990" s="547" t="s">
        <v>445</v>
      </c>
      <c r="B3990" s="547" t="s">
        <v>466</v>
      </c>
      <c r="C3990" s="547" t="s">
        <v>446</v>
      </c>
      <c r="D3990" s="813" t="s">
        <v>447</v>
      </c>
      <c r="E3990" s="547" t="s">
        <v>359</v>
      </c>
      <c r="F3990" s="548">
        <v>12</v>
      </c>
      <c r="G3990" s="549" t="s">
        <v>21</v>
      </c>
      <c r="H3990" s="599" t="s">
        <v>119</v>
      </c>
      <c r="I3990" s="558">
        <v>10.73</v>
      </c>
      <c r="J3990" s="567">
        <v>12</v>
      </c>
      <c r="K3990" s="652">
        <v>4</v>
      </c>
      <c r="L3990" s="552">
        <f t="shared" ref="L3990" si="743">(I3990*J3990*K3990/1000)</f>
        <v>0.51503999999999994</v>
      </c>
      <c r="M3990" s="549"/>
      <c r="N3990" s="549"/>
      <c r="O3990" s="549"/>
      <c r="P3990" s="549"/>
      <c r="Q3990" s="1059"/>
      <c r="R3990" s="1059"/>
      <c r="S3990" s="497" t="s">
        <v>553</v>
      </c>
    </row>
    <row r="3991" spans="1:19" ht="17.399999999999999">
      <c r="A3991" s="547"/>
      <c r="B3991" s="547"/>
      <c r="C3991" s="547"/>
      <c r="D3991" s="813"/>
      <c r="E3991" s="547"/>
      <c r="F3991" s="548"/>
      <c r="G3991" s="549"/>
      <c r="H3991" s="549"/>
      <c r="I3991" s="558"/>
      <c r="J3991" s="567"/>
      <c r="K3991" s="652">
        <f t="shared" ref="K3991" si="744">SUM(K3990)</f>
        <v>4</v>
      </c>
      <c r="L3991" s="565">
        <f>SUM(L3990)</f>
        <v>0.51503999999999994</v>
      </c>
      <c r="M3991" s="549"/>
      <c r="N3991" s="549"/>
      <c r="O3991" s="549"/>
      <c r="P3991" s="549"/>
      <c r="Q3991" s="1059"/>
      <c r="R3991" s="1059"/>
    </row>
    <row r="3992" spans="1:19" ht="17.399999999999999">
      <c r="A3992" s="549"/>
      <c r="B3992" s="549"/>
      <c r="C3992" s="549"/>
      <c r="D3992" s="549"/>
      <c r="E3992" s="560"/>
      <c r="F3992" s="549"/>
      <c r="G3992" s="549"/>
      <c r="H3992" s="549"/>
      <c r="I3992" s="558"/>
      <c r="J3992" s="567"/>
      <c r="K3992" s="652"/>
      <c r="L3992" s="565"/>
      <c r="M3992" s="549"/>
      <c r="N3992" s="549"/>
      <c r="O3992" s="549"/>
      <c r="P3992" s="549"/>
      <c r="Q3992" s="1059"/>
      <c r="R3992" s="1059"/>
    </row>
    <row r="3993" spans="1:19" ht="17.399999999999999">
      <c r="A3993" s="547" t="s">
        <v>445</v>
      </c>
      <c r="B3993" s="547" t="s">
        <v>460</v>
      </c>
      <c r="C3993" s="547" t="s">
        <v>446</v>
      </c>
      <c r="D3993" s="813" t="s">
        <v>447</v>
      </c>
      <c r="E3993" s="547" t="s">
        <v>359</v>
      </c>
      <c r="F3993" s="548">
        <v>12</v>
      </c>
      <c r="G3993" s="549" t="s">
        <v>21</v>
      </c>
      <c r="H3993" s="599" t="s">
        <v>119</v>
      </c>
      <c r="I3993" s="558">
        <v>10.73</v>
      </c>
      <c r="J3993" s="567">
        <v>12</v>
      </c>
      <c r="K3993" s="652">
        <v>5</v>
      </c>
      <c r="L3993" s="552">
        <f>(I3993*J3993*K3993/1000)</f>
        <v>0.64379999999999993</v>
      </c>
      <c r="M3993" s="549"/>
      <c r="N3993" s="549"/>
      <c r="O3993" s="549"/>
      <c r="P3993" s="549"/>
      <c r="Q3993" s="1059"/>
      <c r="R3993" s="1059"/>
      <c r="S3993" s="497" t="s">
        <v>553</v>
      </c>
    </row>
    <row r="3994" spans="1:19" ht="17.399999999999999">
      <c r="A3994" s="550"/>
      <c r="B3994" s="792"/>
      <c r="C3994" s="550"/>
      <c r="D3994" s="550"/>
      <c r="E3994" s="548"/>
      <c r="F3994" s="548"/>
      <c r="G3994" s="549"/>
      <c r="H3994" s="549"/>
      <c r="I3994" s="558"/>
      <c r="J3994" s="567"/>
      <c r="K3994" s="652">
        <f t="shared" ref="K3994:L3994" si="745">SUM(K3993)</f>
        <v>5</v>
      </c>
      <c r="L3994" s="565">
        <f t="shared" si="745"/>
        <v>0.64379999999999993</v>
      </c>
      <c r="M3994" s="549"/>
      <c r="N3994" s="549"/>
      <c r="O3994" s="549"/>
      <c r="P3994" s="549"/>
      <c r="Q3994" s="1059"/>
      <c r="R3994" s="1059"/>
    </row>
    <row r="3995" spans="1:19" s="497" customFormat="1" ht="17.399999999999999">
      <c r="A3995" s="550"/>
      <c r="B3995" s="792"/>
      <c r="C3995" s="550"/>
      <c r="D3995" s="550"/>
      <c r="E3995" s="548"/>
      <c r="F3995" s="548"/>
      <c r="G3995" s="549"/>
      <c r="H3995" s="549"/>
      <c r="I3995" s="558"/>
      <c r="J3995" s="567"/>
      <c r="K3995" s="652"/>
      <c r="L3995" s="565"/>
      <c r="M3995" s="549"/>
      <c r="N3995" s="549"/>
      <c r="O3995" s="549"/>
      <c r="P3995" s="549"/>
      <c r="Q3995" s="1059"/>
      <c r="R3995" s="1059"/>
    </row>
    <row r="3996" spans="1:19" ht="17.399999999999999">
      <c r="A3996" s="547" t="s">
        <v>445</v>
      </c>
      <c r="B3996" s="547" t="s">
        <v>461</v>
      </c>
      <c r="C3996" s="547" t="s">
        <v>446</v>
      </c>
      <c r="D3996" s="813" t="s">
        <v>447</v>
      </c>
      <c r="E3996" s="547" t="s">
        <v>359</v>
      </c>
      <c r="F3996" s="548">
        <v>12</v>
      </c>
      <c r="G3996" s="549" t="s">
        <v>21</v>
      </c>
      <c r="H3996" s="599" t="s">
        <v>119</v>
      </c>
      <c r="I3996" s="558">
        <v>10.73</v>
      </c>
      <c r="J3996" s="567">
        <v>12</v>
      </c>
      <c r="K3996" s="652">
        <v>6</v>
      </c>
      <c r="L3996" s="552">
        <f>(I3996*J3996*K3996/1000)</f>
        <v>0.77255999999999991</v>
      </c>
      <c r="M3996" s="549"/>
      <c r="N3996" s="549"/>
      <c r="O3996" s="549"/>
      <c r="P3996" s="549"/>
      <c r="Q3996" s="1059"/>
      <c r="R3996" s="1059"/>
      <c r="S3996" s="497" t="s">
        <v>553</v>
      </c>
    </row>
    <row r="3997" spans="1:19" ht="17.399999999999999">
      <c r="A3997" s="550"/>
      <c r="B3997" s="792"/>
      <c r="C3997" s="550"/>
      <c r="D3997" s="550"/>
      <c r="E3997" s="548"/>
      <c r="F3997" s="548"/>
      <c r="G3997" s="549"/>
      <c r="H3997" s="549"/>
      <c r="I3997" s="558"/>
      <c r="J3997" s="567"/>
      <c r="K3997" s="652">
        <f t="shared" ref="K3997:L3997" si="746">SUM(K3996)</f>
        <v>6</v>
      </c>
      <c r="L3997" s="565">
        <f t="shared" si="746"/>
        <v>0.77255999999999991</v>
      </c>
      <c r="M3997" s="549"/>
      <c r="N3997" s="549"/>
      <c r="O3997" s="549"/>
      <c r="P3997" s="549"/>
      <c r="Q3997" s="1059"/>
      <c r="R3997" s="1059"/>
    </row>
    <row r="3998" spans="1:19" s="497" customFormat="1" ht="17.399999999999999">
      <c r="A3998" s="550"/>
      <c r="B3998" s="792"/>
      <c r="C3998" s="550"/>
      <c r="D3998" s="550"/>
      <c r="E3998" s="548"/>
      <c r="F3998" s="548"/>
      <c r="G3998" s="549"/>
      <c r="H3998" s="549"/>
      <c r="I3998" s="558"/>
      <c r="J3998" s="567"/>
      <c r="K3998" s="652"/>
      <c r="L3998" s="565"/>
      <c r="M3998" s="549"/>
      <c r="N3998" s="549"/>
      <c r="O3998" s="549"/>
      <c r="P3998" s="549"/>
      <c r="Q3998" s="1059"/>
      <c r="R3998" s="1059"/>
    </row>
    <row r="3999" spans="1:19" ht="17.399999999999999">
      <c r="A3999" s="547" t="s">
        <v>451</v>
      </c>
      <c r="B3999" s="547" t="s">
        <v>456</v>
      </c>
      <c r="C3999" s="547" t="s">
        <v>446</v>
      </c>
      <c r="D3999" s="813" t="s">
        <v>447</v>
      </c>
      <c r="E3999" s="547" t="s">
        <v>359</v>
      </c>
      <c r="F3999" s="548">
        <v>12</v>
      </c>
      <c r="G3999" s="549" t="s">
        <v>21</v>
      </c>
      <c r="H3999" s="599" t="s">
        <v>119</v>
      </c>
      <c r="I3999" s="558">
        <v>10.73</v>
      </c>
      <c r="J3999" s="567">
        <v>12</v>
      </c>
      <c r="K3999" s="652">
        <v>22</v>
      </c>
      <c r="L3999" s="552">
        <f>(I3999*J3999*K3999/1000)</f>
        <v>2.8327199999999997</v>
      </c>
      <c r="M3999" s="549"/>
      <c r="N3999" s="549"/>
      <c r="O3999" s="549"/>
      <c r="P3999" s="549"/>
      <c r="Q3999" s="1059"/>
      <c r="R3999" s="1059"/>
      <c r="S3999" s="497" t="s">
        <v>553</v>
      </c>
    </row>
    <row r="4000" spans="1:19" ht="17.399999999999999">
      <c r="A4000" s="550"/>
      <c r="B4000" s="792"/>
      <c r="C4000" s="550"/>
      <c r="D4000" s="550"/>
      <c r="E4000" s="548"/>
      <c r="F4000" s="548"/>
      <c r="G4000" s="549"/>
      <c r="H4000" s="549"/>
      <c r="I4000" s="558"/>
      <c r="J4000" s="567"/>
      <c r="K4000" s="652">
        <f t="shared" ref="K4000:L4000" si="747">SUM(K3999)</f>
        <v>22</v>
      </c>
      <c r="L4000" s="565">
        <f t="shared" si="747"/>
        <v>2.8327199999999997</v>
      </c>
      <c r="M4000" s="549"/>
      <c r="N4000" s="549"/>
      <c r="O4000" s="549"/>
      <c r="P4000" s="549"/>
      <c r="Q4000" s="1059"/>
      <c r="R4000" s="1059"/>
    </row>
    <row r="4001" spans="1:19" s="497" customFormat="1" ht="17.399999999999999">
      <c r="A4001" s="550"/>
      <c r="B4001" s="792"/>
      <c r="C4001" s="550"/>
      <c r="D4001" s="550"/>
      <c r="E4001" s="548"/>
      <c r="F4001" s="548"/>
      <c r="G4001" s="549"/>
      <c r="H4001" s="549"/>
      <c r="I4001" s="558"/>
      <c r="J4001" s="567"/>
      <c r="K4001" s="652"/>
      <c r="L4001" s="565"/>
      <c r="M4001" s="549"/>
      <c r="N4001" s="549"/>
      <c r="O4001" s="549"/>
      <c r="P4001" s="549"/>
      <c r="Q4001" s="1059"/>
      <c r="R4001" s="1059"/>
    </row>
    <row r="4002" spans="1:19" ht="17.399999999999999">
      <c r="A4002" s="547" t="s">
        <v>451</v>
      </c>
      <c r="B4002" s="547" t="s">
        <v>455</v>
      </c>
      <c r="C4002" s="547" t="s">
        <v>446</v>
      </c>
      <c r="D4002" s="813" t="s">
        <v>447</v>
      </c>
      <c r="E4002" s="547" t="s">
        <v>359</v>
      </c>
      <c r="F4002" s="548">
        <v>12</v>
      </c>
      <c r="G4002" s="549" t="s">
        <v>21</v>
      </c>
      <c r="H4002" s="599" t="s">
        <v>119</v>
      </c>
      <c r="I4002" s="558">
        <v>10.73</v>
      </c>
      <c r="J4002" s="567">
        <v>12</v>
      </c>
      <c r="K4002" s="652">
        <v>22</v>
      </c>
      <c r="L4002" s="552">
        <f>(I4002*J4002*K4002/1000)</f>
        <v>2.8327199999999997</v>
      </c>
      <c r="M4002" s="549"/>
      <c r="N4002" s="549"/>
      <c r="O4002" s="549"/>
      <c r="P4002" s="549"/>
      <c r="Q4002" s="1059"/>
      <c r="R4002" s="1059"/>
      <c r="S4002" s="497" t="s">
        <v>553</v>
      </c>
    </row>
    <row r="4003" spans="1:19" ht="17.399999999999999">
      <c r="A4003" s="550"/>
      <c r="B4003" s="792"/>
      <c r="C4003" s="550"/>
      <c r="D4003" s="550"/>
      <c r="E4003" s="548"/>
      <c r="F4003" s="548"/>
      <c r="G4003" s="549"/>
      <c r="H4003" s="549"/>
      <c r="I4003" s="558"/>
      <c r="J4003" s="567"/>
      <c r="K4003" s="652">
        <f t="shared" ref="K4003:L4003" si="748">SUM(K4002)</f>
        <v>22</v>
      </c>
      <c r="L4003" s="565">
        <f t="shared" si="748"/>
        <v>2.8327199999999997</v>
      </c>
      <c r="M4003" s="549"/>
      <c r="N4003" s="549"/>
      <c r="O4003" s="549"/>
      <c r="P4003" s="549"/>
      <c r="Q4003" s="1059"/>
      <c r="R4003" s="1059"/>
    </row>
    <row r="4004" spans="1:19" s="497" customFormat="1" ht="17.399999999999999">
      <c r="A4004" s="550"/>
      <c r="B4004" s="792"/>
      <c r="C4004" s="550"/>
      <c r="D4004" s="550"/>
      <c r="E4004" s="548"/>
      <c r="F4004" s="548"/>
      <c r="G4004" s="549"/>
      <c r="H4004" s="549"/>
      <c r="I4004" s="558"/>
      <c r="J4004" s="567"/>
      <c r="K4004" s="652"/>
      <c r="L4004" s="565"/>
      <c r="M4004" s="549"/>
      <c r="N4004" s="549"/>
      <c r="O4004" s="549"/>
      <c r="P4004" s="549"/>
      <c r="Q4004" s="1059"/>
      <c r="R4004" s="1059"/>
    </row>
    <row r="4005" spans="1:19" ht="17.399999999999999">
      <c r="A4005" s="547" t="s">
        <v>445</v>
      </c>
      <c r="B4005" s="547" t="s">
        <v>448</v>
      </c>
      <c r="C4005" s="547" t="s">
        <v>446</v>
      </c>
      <c r="D4005" s="813" t="s">
        <v>447</v>
      </c>
      <c r="E4005" s="547" t="s">
        <v>359</v>
      </c>
      <c r="F4005" s="548">
        <v>12</v>
      </c>
      <c r="G4005" s="814" t="s">
        <v>444</v>
      </c>
      <c r="H4005" s="599" t="s">
        <v>119</v>
      </c>
      <c r="I4005" s="558">
        <v>10.73</v>
      </c>
      <c r="J4005" s="567">
        <v>12</v>
      </c>
      <c r="K4005" s="652">
        <v>6</v>
      </c>
      <c r="L4005" s="552">
        <f>(I4005*J4005*K4005/1000)</f>
        <v>0.77255999999999991</v>
      </c>
      <c r="M4005" s="549"/>
      <c r="N4005" s="549"/>
      <c r="O4005" s="549"/>
      <c r="P4005" s="549"/>
      <c r="Q4005" s="1059"/>
      <c r="R4005" s="1059"/>
      <c r="S4005" s="497" t="s">
        <v>553</v>
      </c>
    </row>
    <row r="4006" spans="1:19" ht="17.399999999999999">
      <c r="A4006" s="550"/>
      <c r="B4006" s="792"/>
      <c r="C4006" s="550"/>
      <c r="D4006" s="550"/>
      <c r="E4006" s="548"/>
      <c r="F4006" s="548"/>
      <c r="G4006" s="814"/>
      <c r="H4006" s="549"/>
      <c r="I4006" s="558"/>
      <c r="J4006" s="567"/>
      <c r="K4006" s="652">
        <f>SUM(K4005:K4005)</f>
        <v>6</v>
      </c>
      <c r="L4006" s="552">
        <f>SUM(L4005:L4005)</f>
        <v>0.77255999999999991</v>
      </c>
      <c r="M4006" s="549"/>
      <c r="N4006" s="549"/>
      <c r="O4006" s="549"/>
      <c r="P4006" s="549"/>
      <c r="Q4006" s="1059"/>
      <c r="R4006" s="1059"/>
    </row>
    <row r="4007" spans="1:19" s="497" customFormat="1" ht="17.399999999999999">
      <c r="A4007" s="550"/>
      <c r="B4007" s="792"/>
      <c r="C4007" s="550"/>
      <c r="D4007" s="550"/>
      <c r="E4007" s="548"/>
      <c r="F4007" s="548"/>
      <c r="G4007" s="814"/>
      <c r="H4007" s="549"/>
      <c r="I4007" s="558"/>
      <c r="J4007" s="567"/>
      <c r="K4007" s="652"/>
      <c r="L4007" s="552"/>
      <c r="M4007" s="549"/>
      <c r="N4007" s="549"/>
      <c r="O4007" s="549"/>
      <c r="P4007" s="549"/>
      <c r="Q4007" s="1059"/>
      <c r="R4007" s="1059"/>
    </row>
    <row r="4008" spans="1:19" ht="17.399999999999999">
      <c r="A4008" s="547" t="s">
        <v>445</v>
      </c>
      <c r="B4008" s="547" t="s">
        <v>449</v>
      </c>
      <c r="C4008" s="547" t="s">
        <v>446</v>
      </c>
      <c r="D4008" s="813" t="s">
        <v>447</v>
      </c>
      <c r="E4008" s="547" t="s">
        <v>359</v>
      </c>
      <c r="F4008" s="548">
        <v>12</v>
      </c>
      <c r="G4008" s="549" t="s">
        <v>21</v>
      </c>
      <c r="H4008" s="599" t="s">
        <v>119</v>
      </c>
      <c r="I4008" s="558">
        <v>10.73</v>
      </c>
      <c r="J4008" s="567">
        <v>6.9</v>
      </c>
      <c r="K4008" s="652">
        <v>32</v>
      </c>
      <c r="L4008" s="552">
        <f t="shared" ref="L4008:L4012" si="749">(I4008*J4008*K4008/1000)</f>
        <v>2.3691840000000002</v>
      </c>
      <c r="M4008" s="549"/>
      <c r="N4008" s="549"/>
      <c r="O4008" s="549"/>
      <c r="P4008" s="549"/>
      <c r="Q4008" s="1059"/>
      <c r="R4008" s="1059"/>
      <c r="S4008" s="497" t="s">
        <v>553</v>
      </c>
    </row>
    <row r="4009" spans="1:19" ht="17.399999999999999">
      <c r="A4009" s="550"/>
      <c r="B4009" s="792"/>
      <c r="C4009" s="550"/>
      <c r="D4009" s="550"/>
      <c r="E4009" s="548"/>
      <c r="F4009" s="548"/>
      <c r="G4009" s="549" t="s">
        <v>21</v>
      </c>
      <c r="H4009" s="549" t="s">
        <v>119</v>
      </c>
      <c r="I4009" s="558">
        <v>10.73</v>
      </c>
      <c r="J4009" s="567">
        <v>9.4</v>
      </c>
      <c r="K4009" s="652">
        <v>14</v>
      </c>
      <c r="L4009" s="552">
        <f t="shared" si="749"/>
        <v>1.4120680000000001</v>
      </c>
      <c r="M4009" s="549"/>
      <c r="N4009" s="549"/>
      <c r="O4009" s="549"/>
      <c r="P4009" s="549"/>
      <c r="Q4009" s="1059"/>
      <c r="R4009" s="1059"/>
    </row>
    <row r="4010" spans="1:19" ht="17.399999999999999">
      <c r="A4010" s="549"/>
      <c r="B4010" s="549"/>
      <c r="C4010" s="549"/>
      <c r="D4010" s="549"/>
      <c r="E4010" s="560"/>
      <c r="F4010" s="549"/>
      <c r="G4010" s="549" t="s">
        <v>21</v>
      </c>
      <c r="H4010" s="549" t="s">
        <v>119</v>
      </c>
      <c r="I4010" s="558">
        <v>10.73</v>
      </c>
      <c r="J4010" s="567">
        <v>10.8</v>
      </c>
      <c r="K4010" s="652">
        <v>12</v>
      </c>
      <c r="L4010" s="552">
        <f t="shared" si="749"/>
        <v>1.3906080000000001</v>
      </c>
      <c r="M4010" s="549"/>
      <c r="N4010" s="549"/>
      <c r="O4010" s="549"/>
      <c r="P4010" s="549"/>
      <c r="Q4010" s="1059"/>
      <c r="R4010" s="1059"/>
    </row>
    <row r="4011" spans="1:19" ht="17.399999999999999">
      <c r="A4011" s="549"/>
      <c r="B4011" s="549"/>
      <c r="C4011" s="549"/>
      <c r="D4011" s="549"/>
      <c r="E4011" s="560"/>
      <c r="F4011" s="549"/>
      <c r="G4011" s="549" t="s">
        <v>21</v>
      </c>
      <c r="H4011" s="549" t="s">
        <v>119</v>
      </c>
      <c r="I4011" s="558">
        <v>10.73</v>
      </c>
      <c r="J4011" s="567">
        <v>11.3</v>
      </c>
      <c r="K4011" s="652">
        <v>40</v>
      </c>
      <c r="L4011" s="552">
        <f t="shared" si="749"/>
        <v>4.8499600000000003</v>
      </c>
      <c r="M4011" s="549"/>
      <c r="N4011" s="549"/>
      <c r="O4011" s="549"/>
      <c r="P4011" s="549"/>
      <c r="Q4011" s="1059"/>
      <c r="R4011" s="1059"/>
    </row>
    <row r="4012" spans="1:19" ht="17.399999999999999">
      <c r="A4012" s="549"/>
      <c r="B4012" s="549"/>
      <c r="C4012" s="549"/>
      <c r="D4012" s="549"/>
      <c r="E4012" s="560"/>
      <c r="F4012" s="549"/>
      <c r="G4012" s="549" t="s">
        <v>21</v>
      </c>
      <c r="H4012" s="549" t="s">
        <v>119</v>
      </c>
      <c r="I4012" s="558">
        <v>10.73</v>
      </c>
      <c r="J4012" s="567">
        <v>12</v>
      </c>
      <c r="K4012" s="652">
        <v>44</v>
      </c>
      <c r="L4012" s="552">
        <f t="shared" si="749"/>
        <v>5.6654399999999994</v>
      </c>
      <c r="M4012" s="549"/>
      <c r="N4012" s="549"/>
      <c r="O4012" s="549"/>
      <c r="P4012" s="549"/>
      <c r="Q4012" s="1059"/>
      <c r="R4012" s="1059"/>
    </row>
    <row r="4013" spans="1:19" ht="17.399999999999999">
      <c r="A4013" s="549"/>
      <c r="B4013" s="549"/>
      <c r="C4013" s="549"/>
      <c r="D4013" s="549"/>
      <c r="E4013" s="560"/>
      <c r="F4013" s="549"/>
      <c r="G4013" s="549"/>
      <c r="H4013" s="549"/>
      <c r="I4013" s="558"/>
      <c r="J4013" s="567"/>
      <c r="K4013" s="652">
        <f>SUM(K4008:K4012)</f>
        <v>142</v>
      </c>
      <c r="L4013" s="565">
        <f>SUM(L4008:L4012)</f>
        <v>15.687260000000002</v>
      </c>
      <c r="M4013" s="549"/>
      <c r="N4013" s="549"/>
      <c r="O4013" s="549"/>
      <c r="P4013" s="549"/>
      <c r="Q4013" s="1059"/>
      <c r="R4013" s="1059"/>
    </row>
    <row r="4014" spans="1:19" ht="17.399999999999999">
      <c r="A4014" s="549"/>
      <c r="B4014" s="549"/>
      <c r="C4014" s="549"/>
      <c r="D4014" s="549"/>
      <c r="E4014" s="560"/>
      <c r="F4014" s="549"/>
      <c r="G4014" s="550"/>
      <c r="H4014" s="550"/>
      <c r="I4014" s="551"/>
      <c r="J4014" s="765"/>
      <c r="K4014" s="708"/>
      <c r="L4014" s="709">
        <f>SUM(L3989:L4013)/2</f>
        <v>24.056660000000001</v>
      </c>
      <c r="M4014" s="549"/>
      <c r="N4014" s="549"/>
      <c r="O4014" s="549"/>
      <c r="P4014" s="549"/>
      <c r="Q4014" s="1059"/>
      <c r="R4014" s="1059"/>
    </row>
    <row r="4015" spans="1:19" s="497" customFormat="1" ht="17.399999999999999">
      <c r="A4015" s="549"/>
      <c r="B4015" s="549"/>
      <c r="C4015" s="549"/>
      <c r="D4015" s="549"/>
      <c r="E4015" s="560"/>
      <c r="F4015" s="549"/>
      <c r="G4015" s="550"/>
      <c r="H4015" s="550"/>
      <c r="I4015" s="551"/>
      <c r="J4015" s="765"/>
      <c r="K4015" s="708"/>
      <c r="L4015" s="709"/>
      <c r="M4015" s="549"/>
      <c r="N4015" s="549"/>
      <c r="O4015" s="549"/>
      <c r="P4015" s="549"/>
      <c r="Q4015" s="1059"/>
      <c r="R4015" s="1059"/>
    </row>
    <row r="4016" spans="1:19" ht="17.399999999999999">
      <c r="A4016" s="547" t="s">
        <v>445</v>
      </c>
      <c r="B4016" s="547" t="s">
        <v>448</v>
      </c>
      <c r="C4016" s="547" t="s">
        <v>446</v>
      </c>
      <c r="D4016" s="813" t="s">
        <v>447</v>
      </c>
      <c r="E4016" s="547" t="s">
        <v>359</v>
      </c>
      <c r="F4016" s="548">
        <v>12</v>
      </c>
      <c r="G4016" s="814" t="s">
        <v>444</v>
      </c>
      <c r="H4016" s="599" t="s">
        <v>118</v>
      </c>
      <c r="I4016" s="558">
        <v>9.26</v>
      </c>
      <c r="J4016" s="567">
        <v>12</v>
      </c>
      <c r="K4016" s="652">
        <v>16</v>
      </c>
      <c r="L4016" s="552">
        <f>(I4016*J4016*K4016/1000)</f>
        <v>1.7779200000000002</v>
      </c>
      <c r="M4016" s="549"/>
      <c r="N4016" s="549"/>
      <c r="O4016" s="549"/>
      <c r="P4016" s="549"/>
      <c r="Q4016" s="1059"/>
      <c r="R4016" s="1059"/>
      <c r="S4016" s="497" t="s">
        <v>553</v>
      </c>
    </row>
    <row r="4017" spans="1:19" ht="17.399999999999999">
      <c r="A4017" s="550"/>
      <c r="B4017" s="792"/>
      <c r="C4017" s="550"/>
      <c r="D4017" s="550"/>
      <c r="E4017" s="548"/>
      <c r="F4017" s="548"/>
      <c r="G4017" s="814"/>
      <c r="H4017" s="549"/>
      <c r="I4017" s="558"/>
      <c r="J4017" s="567"/>
      <c r="K4017" s="652">
        <f t="shared" ref="K4017" si="750">SUM(K4016)</f>
        <v>16</v>
      </c>
      <c r="L4017" s="552">
        <f>SUM(L4016)</f>
        <v>1.7779200000000002</v>
      </c>
      <c r="M4017" s="549"/>
      <c r="N4017" s="549"/>
      <c r="O4017" s="549"/>
      <c r="P4017" s="549"/>
      <c r="Q4017" s="1059"/>
      <c r="R4017" s="1059"/>
    </row>
    <row r="4018" spans="1:19" s="497" customFormat="1" ht="17.399999999999999">
      <c r="A4018" s="550"/>
      <c r="B4018" s="792"/>
      <c r="C4018" s="550"/>
      <c r="D4018" s="550"/>
      <c r="E4018" s="548"/>
      <c r="F4018" s="548"/>
      <c r="G4018" s="814"/>
      <c r="H4018" s="549"/>
      <c r="I4018" s="558"/>
      <c r="J4018" s="567"/>
      <c r="K4018" s="652"/>
      <c r="L4018" s="552"/>
      <c r="M4018" s="549"/>
      <c r="N4018" s="549"/>
      <c r="O4018" s="549"/>
      <c r="P4018" s="549"/>
      <c r="Q4018" s="1059"/>
      <c r="R4018" s="1059"/>
    </row>
    <row r="4019" spans="1:19" ht="17.399999999999999">
      <c r="A4019" s="547" t="s">
        <v>445</v>
      </c>
      <c r="B4019" s="547" t="s">
        <v>449</v>
      </c>
      <c r="C4019" s="547" t="s">
        <v>446</v>
      </c>
      <c r="D4019" s="813" t="s">
        <v>447</v>
      </c>
      <c r="E4019" s="547" t="s">
        <v>359</v>
      </c>
      <c r="F4019" s="548">
        <v>12</v>
      </c>
      <c r="G4019" s="549" t="s">
        <v>21</v>
      </c>
      <c r="H4019" s="599" t="s">
        <v>118</v>
      </c>
      <c r="I4019" s="558">
        <v>9.26</v>
      </c>
      <c r="J4019" s="567">
        <v>9.6999999999999993</v>
      </c>
      <c r="K4019" s="652">
        <v>32</v>
      </c>
      <c r="L4019" s="552">
        <f t="shared" ref="L4019:L4023" si="751">(I4019*J4019*K4019/1000)</f>
        <v>2.8743039999999995</v>
      </c>
      <c r="M4019" s="549"/>
      <c r="N4019" s="549"/>
      <c r="O4019" s="549"/>
      <c r="P4019" s="549"/>
      <c r="Q4019" s="1059"/>
      <c r="R4019" s="1059"/>
      <c r="S4019" s="497" t="s">
        <v>553</v>
      </c>
    </row>
    <row r="4020" spans="1:19" ht="17.399999999999999">
      <c r="A4020" s="550"/>
      <c r="B4020" s="792"/>
      <c r="C4020" s="550"/>
      <c r="D4020" s="550"/>
      <c r="E4020" s="548"/>
      <c r="F4020" s="548"/>
      <c r="G4020" s="549" t="s">
        <v>21</v>
      </c>
      <c r="H4020" s="549" t="s">
        <v>118</v>
      </c>
      <c r="I4020" s="558">
        <v>9.26</v>
      </c>
      <c r="J4020" s="567">
        <v>10</v>
      </c>
      <c r="K4020" s="652">
        <v>24</v>
      </c>
      <c r="L4020" s="552">
        <f t="shared" si="751"/>
        <v>2.2223999999999995</v>
      </c>
      <c r="M4020" s="549"/>
      <c r="N4020" s="549"/>
      <c r="O4020" s="549"/>
      <c r="P4020" s="549"/>
      <c r="Q4020" s="1059"/>
      <c r="R4020" s="1059"/>
    </row>
    <row r="4021" spans="1:19" ht="17.399999999999999">
      <c r="A4021" s="549"/>
      <c r="B4021" s="549"/>
      <c r="C4021" s="549"/>
      <c r="D4021" s="549"/>
      <c r="E4021" s="560"/>
      <c r="F4021" s="549"/>
      <c r="G4021" s="549" t="s">
        <v>21</v>
      </c>
      <c r="H4021" s="549" t="s">
        <v>118</v>
      </c>
      <c r="I4021" s="558">
        <v>9.26</v>
      </c>
      <c r="J4021" s="567">
        <v>10.9</v>
      </c>
      <c r="K4021" s="652">
        <v>38</v>
      </c>
      <c r="L4021" s="552">
        <f t="shared" si="751"/>
        <v>3.8354919999999999</v>
      </c>
      <c r="M4021" s="549"/>
      <c r="N4021" s="549"/>
      <c r="O4021" s="549"/>
      <c r="P4021" s="549"/>
      <c r="Q4021" s="1059"/>
      <c r="R4021" s="1059"/>
    </row>
    <row r="4022" spans="1:19" ht="17.399999999999999">
      <c r="A4022" s="549"/>
      <c r="B4022" s="549"/>
      <c r="C4022" s="549"/>
      <c r="D4022" s="549"/>
      <c r="E4022" s="560"/>
      <c r="F4022" s="549"/>
      <c r="G4022" s="549" t="s">
        <v>21</v>
      </c>
      <c r="H4022" s="549" t="s">
        <v>118</v>
      </c>
      <c r="I4022" s="558">
        <v>9.26</v>
      </c>
      <c r="J4022" s="567">
        <v>11.3</v>
      </c>
      <c r="K4022" s="652">
        <v>34</v>
      </c>
      <c r="L4022" s="552">
        <f t="shared" si="751"/>
        <v>3.5576919999999999</v>
      </c>
      <c r="M4022" s="549"/>
      <c r="N4022" s="549"/>
      <c r="O4022" s="549"/>
      <c r="P4022" s="549"/>
      <c r="Q4022" s="1059"/>
      <c r="R4022" s="1059"/>
    </row>
    <row r="4023" spans="1:19" ht="17.399999999999999">
      <c r="A4023" s="549"/>
      <c r="B4023" s="549"/>
      <c r="C4023" s="549"/>
      <c r="D4023" s="549"/>
      <c r="E4023" s="560"/>
      <c r="F4023" s="549"/>
      <c r="G4023" s="549" t="s">
        <v>21</v>
      </c>
      <c r="H4023" s="549" t="s">
        <v>118</v>
      </c>
      <c r="I4023" s="558">
        <v>9.26</v>
      </c>
      <c r="J4023" s="567">
        <v>11.4</v>
      </c>
      <c r="K4023" s="652">
        <v>37</v>
      </c>
      <c r="L4023" s="552">
        <f t="shared" si="751"/>
        <v>3.9058680000000003</v>
      </c>
      <c r="M4023" s="549"/>
      <c r="N4023" s="549"/>
      <c r="O4023" s="549"/>
      <c r="P4023" s="549"/>
      <c r="Q4023" s="1059"/>
      <c r="R4023" s="1059"/>
    </row>
    <row r="4024" spans="1:19" ht="17.399999999999999">
      <c r="A4024" s="549"/>
      <c r="B4024" s="549"/>
      <c r="C4024" s="549"/>
      <c r="D4024" s="549"/>
      <c r="E4024" s="560"/>
      <c r="F4024" s="549"/>
      <c r="G4024" s="549"/>
      <c r="H4024" s="549"/>
      <c r="I4024" s="558"/>
      <c r="J4024" s="567"/>
      <c r="K4024" s="652">
        <f>SUM(K4019:K4023)</f>
        <v>165</v>
      </c>
      <c r="L4024" s="565">
        <f>SUM(L4019:L4023)</f>
        <v>16.395755999999999</v>
      </c>
      <c r="M4024" s="549"/>
      <c r="N4024" s="549"/>
      <c r="O4024" s="549"/>
      <c r="P4024" s="549"/>
      <c r="Q4024" s="1059"/>
      <c r="R4024" s="1059"/>
    </row>
    <row r="4025" spans="1:19" s="497" customFormat="1" ht="17.399999999999999">
      <c r="A4025" s="549"/>
      <c r="B4025" s="549"/>
      <c r="C4025" s="549"/>
      <c r="D4025" s="549"/>
      <c r="E4025" s="560"/>
      <c r="F4025" s="549"/>
      <c r="G4025" s="549"/>
      <c r="H4025" s="549"/>
      <c r="I4025" s="558"/>
      <c r="J4025" s="567"/>
      <c r="K4025" s="652"/>
      <c r="L4025" s="565"/>
      <c r="M4025" s="549"/>
      <c r="N4025" s="549"/>
      <c r="O4025" s="549"/>
      <c r="P4025" s="549"/>
      <c r="Q4025" s="1059"/>
      <c r="R4025" s="1059"/>
    </row>
    <row r="4026" spans="1:19" ht="17.399999999999999">
      <c r="A4026" s="547" t="s">
        <v>451</v>
      </c>
      <c r="B4026" s="547" t="s">
        <v>455</v>
      </c>
      <c r="C4026" s="547" t="s">
        <v>446</v>
      </c>
      <c r="D4026" s="813" t="s">
        <v>447</v>
      </c>
      <c r="E4026" s="547" t="s">
        <v>359</v>
      </c>
      <c r="F4026" s="548">
        <v>12</v>
      </c>
      <c r="G4026" s="549" t="s">
        <v>21</v>
      </c>
      <c r="H4026" s="599" t="s">
        <v>118</v>
      </c>
      <c r="I4026" s="558">
        <v>9.26</v>
      </c>
      <c r="J4026" s="567">
        <v>12</v>
      </c>
      <c r="K4026" s="652">
        <v>38</v>
      </c>
      <c r="L4026" s="552">
        <f>(I4026*J4026*K4026/1000)</f>
        <v>4.2225600000000005</v>
      </c>
      <c r="M4026" s="549"/>
      <c r="N4026" s="549"/>
      <c r="O4026" s="549"/>
      <c r="P4026" s="549"/>
      <c r="Q4026" s="1059"/>
      <c r="R4026" s="1059"/>
      <c r="S4026" s="497" t="s">
        <v>553</v>
      </c>
    </row>
    <row r="4027" spans="1:19" ht="17.399999999999999">
      <c r="A4027" s="550"/>
      <c r="B4027" s="792"/>
      <c r="C4027" s="550"/>
      <c r="D4027" s="550"/>
      <c r="E4027" s="548"/>
      <c r="F4027" s="548"/>
      <c r="G4027" s="549"/>
      <c r="H4027" s="549"/>
      <c r="I4027" s="558"/>
      <c r="J4027" s="567"/>
      <c r="K4027" s="652">
        <f t="shared" ref="K4027:L4027" si="752">SUM(K4026)</f>
        <v>38</v>
      </c>
      <c r="L4027" s="565">
        <f t="shared" si="752"/>
        <v>4.2225600000000005</v>
      </c>
      <c r="M4027" s="549"/>
      <c r="N4027" s="549"/>
      <c r="O4027" s="549"/>
      <c r="P4027" s="549"/>
      <c r="Q4027" s="1059"/>
      <c r="R4027" s="1059"/>
    </row>
    <row r="4028" spans="1:19" s="497" customFormat="1" ht="17.399999999999999">
      <c r="A4028" s="550"/>
      <c r="B4028" s="792"/>
      <c r="C4028" s="550"/>
      <c r="D4028" s="550"/>
      <c r="E4028" s="548"/>
      <c r="F4028" s="548"/>
      <c r="G4028" s="549"/>
      <c r="H4028" s="549"/>
      <c r="I4028" s="558"/>
      <c r="J4028" s="567"/>
      <c r="K4028" s="652"/>
      <c r="L4028" s="565"/>
      <c r="M4028" s="549"/>
      <c r="N4028" s="549"/>
      <c r="O4028" s="549"/>
      <c r="P4028" s="549"/>
      <c r="Q4028" s="1059"/>
      <c r="R4028" s="1059"/>
    </row>
    <row r="4029" spans="1:19" ht="17.399999999999999">
      <c r="A4029" s="547" t="s">
        <v>451</v>
      </c>
      <c r="B4029" s="547" t="s">
        <v>456</v>
      </c>
      <c r="C4029" s="547" t="s">
        <v>446</v>
      </c>
      <c r="D4029" s="813" t="s">
        <v>447</v>
      </c>
      <c r="E4029" s="547" t="s">
        <v>359</v>
      </c>
      <c r="F4029" s="548">
        <v>12</v>
      </c>
      <c r="G4029" s="549" t="s">
        <v>21</v>
      </c>
      <c r="H4029" s="599" t="s">
        <v>118</v>
      </c>
      <c r="I4029" s="558">
        <v>9.26</v>
      </c>
      <c r="J4029" s="567">
        <v>12</v>
      </c>
      <c r="K4029" s="652">
        <v>38</v>
      </c>
      <c r="L4029" s="552">
        <f>(I4029*J4029*K4029/1000)</f>
        <v>4.2225600000000005</v>
      </c>
      <c r="M4029" s="549"/>
      <c r="N4029" s="549"/>
      <c r="O4029" s="549"/>
      <c r="P4029" s="549"/>
      <c r="Q4029" s="1059"/>
      <c r="R4029" s="1059"/>
      <c r="S4029" s="497" t="s">
        <v>553</v>
      </c>
    </row>
    <row r="4030" spans="1:19" ht="17.399999999999999">
      <c r="A4030" s="550"/>
      <c r="B4030" s="792"/>
      <c r="C4030" s="550"/>
      <c r="D4030" s="550"/>
      <c r="E4030" s="548"/>
      <c r="F4030" s="548"/>
      <c r="G4030" s="549"/>
      <c r="H4030" s="549"/>
      <c r="I4030" s="558"/>
      <c r="J4030" s="567"/>
      <c r="K4030" s="652">
        <f t="shared" ref="K4030:L4030" si="753">SUM(K4029)</f>
        <v>38</v>
      </c>
      <c r="L4030" s="565">
        <f t="shared" si="753"/>
        <v>4.2225600000000005</v>
      </c>
      <c r="M4030" s="549"/>
      <c r="N4030" s="549"/>
      <c r="O4030" s="549"/>
      <c r="P4030" s="549"/>
      <c r="Q4030" s="1059"/>
      <c r="R4030" s="1059"/>
    </row>
    <row r="4031" spans="1:19" s="497" customFormat="1" ht="17.399999999999999">
      <c r="A4031" s="550"/>
      <c r="B4031" s="792"/>
      <c r="C4031" s="550"/>
      <c r="D4031" s="550"/>
      <c r="E4031" s="548"/>
      <c r="F4031" s="548"/>
      <c r="G4031" s="549"/>
      <c r="H4031" s="549"/>
      <c r="I4031" s="558"/>
      <c r="J4031" s="567"/>
      <c r="K4031" s="652"/>
      <c r="L4031" s="565"/>
      <c r="M4031" s="549"/>
      <c r="N4031" s="549"/>
      <c r="O4031" s="549"/>
      <c r="P4031" s="549"/>
      <c r="Q4031" s="1059"/>
      <c r="R4031" s="1059"/>
    </row>
    <row r="4032" spans="1:19" ht="17.399999999999999">
      <c r="A4032" s="547" t="s">
        <v>445</v>
      </c>
      <c r="B4032" s="547" t="s">
        <v>461</v>
      </c>
      <c r="C4032" s="547" t="s">
        <v>446</v>
      </c>
      <c r="D4032" s="813" t="s">
        <v>447</v>
      </c>
      <c r="E4032" s="547" t="s">
        <v>359</v>
      </c>
      <c r="F4032" s="548">
        <v>12</v>
      </c>
      <c r="G4032" s="549" t="s">
        <v>21</v>
      </c>
      <c r="H4032" s="599" t="s">
        <v>118</v>
      </c>
      <c r="I4032" s="558">
        <v>9.26</v>
      </c>
      <c r="J4032" s="567">
        <v>12</v>
      </c>
      <c r="K4032" s="652">
        <v>16</v>
      </c>
      <c r="L4032" s="552">
        <f>(I4032*J4032*K4032/1000)</f>
        <v>1.7779200000000002</v>
      </c>
      <c r="M4032" s="549"/>
      <c r="N4032" s="549"/>
      <c r="O4032" s="549"/>
      <c r="P4032" s="549"/>
      <c r="Q4032" s="1059"/>
      <c r="R4032" s="1059"/>
      <c r="S4032" s="497" t="s">
        <v>553</v>
      </c>
    </row>
    <row r="4033" spans="1:19" ht="17.399999999999999">
      <c r="A4033" s="550"/>
      <c r="B4033" s="792"/>
      <c r="C4033" s="550"/>
      <c r="D4033" s="550"/>
      <c r="E4033" s="548"/>
      <c r="F4033" s="548"/>
      <c r="G4033" s="549"/>
      <c r="H4033" s="549"/>
      <c r="I4033" s="558"/>
      <c r="J4033" s="567"/>
      <c r="K4033" s="652">
        <f t="shared" ref="K4033:L4033" si="754">SUM(K4032)</f>
        <v>16</v>
      </c>
      <c r="L4033" s="565">
        <f t="shared" si="754"/>
        <v>1.7779200000000002</v>
      </c>
      <c r="M4033" s="549"/>
      <c r="N4033" s="549"/>
      <c r="O4033" s="549"/>
      <c r="P4033" s="549"/>
      <c r="Q4033" s="1059"/>
      <c r="R4033" s="1059"/>
    </row>
    <row r="4034" spans="1:19" s="497" customFormat="1" ht="17.399999999999999">
      <c r="A4034" s="550"/>
      <c r="B4034" s="792"/>
      <c r="C4034" s="550"/>
      <c r="D4034" s="550"/>
      <c r="E4034" s="548"/>
      <c r="F4034" s="548"/>
      <c r="G4034" s="549"/>
      <c r="H4034" s="599"/>
      <c r="I4034" s="558"/>
      <c r="J4034" s="567"/>
      <c r="K4034" s="652"/>
      <c r="L4034" s="565"/>
      <c r="M4034" s="549"/>
      <c r="N4034" s="549"/>
      <c r="O4034" s="549"/>
      <c r="P4034" s="549"/>
      <c r="Q4034" s="1059"/>
      <c r="R4034" s="1059"/>
    </row>
    <row r="4035" spans="1:19" ht="17.399999999999999">
      <c r="A4035" s="547" t="s">
        <v>445</v>
      </c>
      <c r="B4035" s="547" t="s">
        <v>460</v>
      </c>
      <c r="C4035" s="547" t="s">
        <v>446</v>
      </c>
      <c r="D4035" s="813" t="s">
        <v>447</v>
      </c>
      <c r="E4035" s="547" t="s">
        <v>359</v>
      </c>
      <c r="F4035" s="548">
        <v>12</v>
      </c>
      <c r="G4035" s="549" t="s">
        <v>21</v>
      </c>
      <c r="H4035" s="599" t="s">
        <v>118</v>
      </c>
      <c r="I4035" s="558">
        <v>9.26</v>
      </c>
      <c r="J4035" s="567">
        <v>12</v>
      </c>
      <c r="K4035" s="652">
        <v>5</v>
      </c>
      <c r="L4035" s="552">
        <f>(I4035*J4035*K4035/1000)</f>
        <v>0.55559999999999998</v>
      </c>
      <c r="M4035" s="549"/>
      <c r="N4035" s="549"/>
      <c r="O4035" s="549"/>
      <c r="P4035" s="549"/>
      <c r="Q4035" s="1059"/>
      <c r="R4035" s="1059"/>
      <c r="S4035" s="497" t="s">
        <v>553</v>
      </c>
    </row>
    <row r="4036" spans="1:19" ht="17.399999999999999">
      <c r="A4036" s="550"/>
      <c r="B4036" s="792"/>
      <c r="C4036" s="550"/>
      <c r="D4036" s="550"/>
      <c r="E4036" s="548"/>
      <c r="F4036" s="548"/>
      <c r="G4036" s="549"/>
      <c r="H4036" s="549"/>
      <c r="I4036" s="558"/>
      <c r="J4036" s="567"/>
      <c r="K4036" s="652">
        <f t="shared" ref="K4036:L4036" si="755">SUM(K4035)</f>
        <v>5</v>
      </c>
      <c r="L4036" s="565">
        <f t="shared" si="755"/>
        <v>0.55559999999999998</v>
      </c>
      <c r="M4036" s="549"/>
      <c r="N4036" s="549"/>
      <c r="O4036" s="549"/>
      <c r="P4036" s="549"/>
      <c r="Q4036" s="1059"/>
      <c r="R4036" s="1059"/>
    </row>
    <row r="4037" spans="1:19" s="497" customFormat="1" ht="17.399999999999999">
      <c r="A4037" s="550"/>
      <c r="B4037" s="792"/>
      <c r="C4037" s="550"/>
      <c r="D4037" s="550"/>
      <c r="E4037" s="548"/>
      <c r="F4037" s="548"/>
      <c r="G4037" s="549"/>
      <c r="H4037" s="549"/>
      <c r="I4037" s="558"/>
      <c r="J4037" s="567"/>
      <c r="K4037" s="652"/>
      <c r="L4037" s="565"/>
      <c r="M4037" s="549"/>
      <c r="N4037" s="549"/>
      <c r="O4037" s="549"/>
      <c r="P4037" s="549"/>
      <c r="Q4037" s="1059"/>
      <c r="R4037" s="1059"/>
    </row>
    <row r="4038" spans="1:19" ht="17.399999999999999">
      <c r="A4038" s="547" t="s">
        <v>445</v>
      </c>
      <c r="B4038" s="547" t="s">
        <v>466</v>
      </c>
      <c r="C4038" s="547" t="s">
        <v>446</v>
      </c>
      <c r="D4038" s="813" t="s">
        <v>447</v>
      </c>
      <c r="E4038" s="547" t="s">
        <v>359</v>
      </c>
      <c r="F4038" s="548">
        <v>12</v>
      </c>
      <c r="G4038" s="549" t="s">
        <v>21</v>
      </c>
      <c r="H4038" s="599" t="s">
        <v>118</v>
      </c>
      <c r="I4038" s="558">
        <v>9.26</v>
      </c>
      <c r="J4038" s="567">
        <v>12</v>
      </c>
      <c r="K4038" s="652">
        <v>52</v>
      </c>
      <c r="L4038" s="552">
        <f t="shared" ref="L4038" si="756">(I4038*J4038*K4038/1000)</f>
        <v>5.7782399999999994</v>
      </c>
      <c r="M4038" s="549"/>
      <c r="N4038" s="549"/>
      <c r="O4038" s="549"/>
      <c r="P4038" s="549"/>
      <c r="Q4038" s="1059"/>
      <c r="R4038" s="1059"/>
      <c r="S4038" s="497" t="s">
        <v>553</v>
      </c>
    </row>
    <row r="4039" spans="1:19" s="497" customFormat="1" ht="17.399999999999999">
      <c r="A4039" s="547"/>
      <c r="B4039" s="547"/>
      <c r="C4039" s="547"/>
      <c r="D4039" s="813"/>
      <c r="E4039" s="547"/>
      <c r="F4039" s="548"/>
      <c r="G4039" s="549"/>
      <c r="H4039" s="549"/>
      <c r="I4039" s="558"/>
      <c r="J4039" s="567"/>
      <c r="K4039" s="652">
        <f t="shared" ref="K4039" si="757">SUM(K4038)</f>
        <v>52</v>
      </c>
      <c r="L4039" s="565">
        <f>SUM(L4038)</f>
        <v>5.7782399999999994</v>
      </c>
      <c r="M4039" s="549"/>
      <c r="N4039" s="549"/>
      <c r="O4039" s="549"/>
      <c r="P4039" s="549"/>
      <c r="Q4039" s="1059"/>
      <c r="R4039" s="1059"/>
    </row>
    <row r="4040" spans="1:19" s="497" customFormat="1" ht="17.399999999999999">
      <c r="A4040" s="547"/>
      <c r="B4040" s="547"/>
      <c r="C4040" s="547"/>
      <c r="D4040" s="813"/>
      <c r="E4040" s="547"/>
      <c r="F4040" s="548"/>
      <c r="G4040" s="549"/>
      <c r="H4040" s="549"/>
      <c r="I4040" s="558"/>
      <c r="J4040" s="567"/>
      <c r="K4040" s="652"/>
      <c r="L4040" s="565">
        <f>SUM(L4016:L4039)/2</f>
        <v>34.730556</v>
      </c>
      <c r="M4040" s="549"/>
      <c r="N4040" s="565">
        <f>SUM(N4016:N4039)/2</f>
        <v>0</v>
      </c>
      <c r="O4040" s="549"/>
      <c r="P4040" s="549"/>
      <c r="Q4040" s="1059"/>
      <c r="R4040" s="1059"/>
    </row>
    <row r="4041" spans="1:19" ht="17.399999999999999">
      <c r="A4041" s="549"/>
      <c r="B4041" s="549"/>
      <c r="C4041" s="549"/>
      <c r="D4041" s="549"/>
      <c r="E4041" s="560"/>
      <c r="F4041" s="549"/>
      <c r="G4041" s="550"/>
      <c r="H4041" s="550"/>
      <c r="I4041" s="551"/>
      <c r="J4041" s="765"/>
      <c r="K4041" s="708"/>
      <c r="L4041" s="709"/>
      <c r="M4041" s="549"/>
      <c r="N4041" s="549"/>
      <c r="O4041" s="549"/>
      <c r="P4041" s="549"/>
      <c r="Q4041" s="1059"/>
      <c r="R4041" s="1059"/>
    </row>
    <row r="4042" spans="1:19" ht="17.399999999999999">
      <c r="A4042" s="549"/>
      <c r="B4042" s="549"/>
      <c r="C4042" s="549"/>
      <c r="D4042" s="549"/>
      <c r="E4042" s="560"/>
      <c r="F4042" s="549"/>
      <c r="G4042" s="549"/>
      <c r="H4042" s="549"/>
      <c r="I4042" s="558"/>
      <c r="J4042" s="567"/>
      <c r="K4042" s="652"/>
      <c r="L4042" s="565"/>
      <c r="M4042" s="549"/>
      <c r="N4042" s="549"/>
      <c r="O4042" s="549"/>
      <c r="P4042" s="549"/>
      <c r="Q4042" s="1059"/>
      <c r="R4042" s="1059"/>
    </row>
    <row r="4043" spans="1:19" s="497" customFormat="1" ht="17.399999999999999">
      <c r="A4043" s="547" t="s">
        <v>445</v>
      </c>
      <c r="B4043" s="547" t="s">
        <v>449</v>
      </c>
      <c r="C4043" s="547" t="s">
        <v>446</v>
      </c>
      <c r="D4043" s="813" t="s">
        <v>450</v>
      </c>
      <c r="E4043" s="547" t="s">
        <v>270</v>
      </c>
      <c r="F4043" s="548">
        <v>8.5</v>
      </c>
      <c r="G4043" s="549" t="s">
        <v>61</v>
      </c>
      <c r="H4043" s="599" t="s">
        <v>118</v>
      </c>
      <c r="I4043" s="558">
        <v>9.26</v>
      </c>
      <c r="J4043" s="567">
        <v>12</v>
      </c>
      <c r="K4043" s="652">
        <v>12</v>
      </c>
      <c r="L4043" s="552">
        <f>(I4043*J4043*K4043/1000)</f>
        <v>1.33344</v>
      </c>
      <c r="M4043" s="549"/>
      <c r="N4043" s="549"/>
      <c r="O4043" s="549"/>
      <c r="P4043" s="549"/>
      <c r="Q4043" s="1059"/>
      <c r="R4043" s="1059"/>
      <c r="S4043" s="497" t="s">
        <v>553</v>
      </c>
    </row>
    <row r="4044" spans="1:19" s="497" customFormat="1" ht="17.399999999999999">
      <c r="A4044" s="550"/>
      <c r="B4044" s="792"/>
      <c r="C4044" s="550"/>
      <c r="D4044" s="550"/>
      <c r="E4044" s="548"/>
      <c r="F4044" s="548"/>
      <c r="G4044" s="549"/>
      <c r="H4044" s="549"/>
      <c r="I4044" s="558"/>
      <c r="J4044" s="567"/>
      <c r="K4044" s="652">
        <f>SUM(K4043)</f>
        <v>12</v>
      </c>
      <c r="L4044" s="565">
        <f>SUM(L4043)</f>
        <v>1.33344</v>
      </c>
      <c r="M4044" s="549"/>
      <c r="N4044" s="549"/>
      <c r="O4044" s="549"/>
      <c r="P4044" s="549"/>
      <c r="Q4044" s="1059"/>
      <c r="R4044" s="1059"/>
    </row>
    <row r="4045" spans="1:19" s="497" customFormat="1" ht="17.399999999999999">
      <c r="A4045" s="549"/>
      <c r="B4045" s="549"/>
      <c r="C4045" s="549"/>
      <c r="D4045" s="549"/>
      <c r="E4045" s="560"/>
      <c r="F4045" s="549"/>
      <c r="G4045" s="549"/>
      <c r="H4045" s="549"/>
      <c r="I4045" s="558"/>
      <c r="J4045" s="567"/>
      <c r="K4045" s="652"/>
      <c r="L4045" s="565"/>
      <c r="M4045" s="549"/>
      <c r="N4045" s="549"/>
      <c r="O4045" s="549"/>
      <c r="P4045" s="549"/>
      <c r="Q4045" s="1059"/>
      <c r="R4045" s="1059"/>
    </row>
    <row r="4046" spans="1:19" ht="17.399999999999999">
      <c r="A4046" s="547" t="s">
        <v>445</v>
      </c>
      <c r="B4046" s="547" t="s">
        <v>460</v>
      </c>
      <c r="C4046" s="547" t="s">
        <v>446</v>
      </c>
      <c r="D4046" s="813" t="s">
        <v>450</v>
      </c>
      <c r="E4046" s="547" t="s">
        <v>270</v>
      </c>
      <c r="F4046" s="548">
        <v>8.5</v>
      </c>
      <c r="G4046" s="549" t="s">
        <v>61</v>
      </c>
      <c r="H4046" s="599" t="s">
        <v>118</v>
      </c>
      <c r="I4046" s="558">
        <v>9.26</v>
      </c>
      <c r="J4046" s="567">
        <v>12</v>
      </c>
      <c r="K4046" s="652">
        <v>5</v>
      </c>
      <c r="L4046" s="552">
        <f>(I4046*J4046*K4046/1000)</f>
        <v>0.55559999999999998</v>
      </c>
      <c r="M4046" s="549"/>
      <c r="N4046" s="549"/>
      <c r="O4046" s="549"/>
      <c r="P4046" s="549"/>
      <c r="Q4046" s="1059"/>
      <c r="R4046" s="1059"/>
      <c r="S4046" s="497" t="s">
        <v>553</v>
      </c>
    </row>
    <row r="4047" spans="1:19" ht="17.399999999999999">
      <c r="A4047" s="550"/>
      <c r="B4047" s="792"/>
      <c r="C4047" s="550"/>
      <c r="D4047" s="550"/>
      <c r="E4047" s="548"/>
      <c r="F4047" s="548"/>
      <c r="G4047" s="549"/>
      <c r="H4047" s="549"/>
      <c r="I4047" s="558"/>
      <c r="J4047" s="567"/>
      <c r="K4047" s="652">
        <f t="shared" ref="K4047:L4047" si="758">SUM(K4046)</f>
        <v>5</v>
      </c>
      <c r="L4047" s="565">
        <f t="shared" si="758"/>
        <v>0.55559999999999998</v>
      </c>
      <c r="M4047" s="549"/>
      <c r="N4047" s="549"/>
      <c r="O4047" s="549"/>
      <c r="P4047" s="549"/>
      <c r="Q4047" s="1059"/>
      <c r="R4047" s="1059"/>
    </row>
    <row r="4048" spans="1:19" s="497" customFormat="1" ht="17.399999999999999">
      <c r="A4048" s="550"/>
      <c r="B4048" s="792"/>
      <c r="C4048" s="550"/>
      <c r="D4048" s="550"/>
      <c r="E4048" s="548"/>
      <c r="F4048" s="548"/>
      <c r="G4048" s="549"/>
      <c r="H4048" s="549"/>
      <c r="I4048" s="558"/>
      <c r="J4048" s="567"/>
      <c r="K4048" s="652"/>
      <c r="L4048" s="565">
        <f>SUM(L4043:L4047)/2</f>
        <v>1.8890400000000001</v>
      </c>
      <c r="M4048" s="549"/>
      <c r="N4048" s="565">
        <f>SUM(N4043:N4047)/2</f>
        <v>0</v>
      </c>
      <c r="O4048" s="549"/>
      <c r="P4048" s="549"/>
      <c r="Q4048" s="1059"/>
      <c r="R4048" s="1059"/>
    </row>
    <row r="4049" spans="1:19" s="497" customFormat="1" ht="17.399999999999999">
      <c r="A4049" s="550"/>
      <c r="B4049" s="792"/>
      <c r="C4049" s="550"/>
      <c r="D4049" s="550"/>
      <c r="E4049" s="548"/>
      <c r="F4049" s="548"/>
      <c r="G4049" s="549"/>
      <c r="H4049" s="549"/>
      <c r="I4049" s="558"/>
      <c r="J4049" s="567"/>
      <c r="K4049" s="652"/>
      <c r="L4049" s="565"/>
      <c r="M4049" s="549"/>
      <c r="N4049" s="549"/>
      <c r="O4049" s="549"/>
      <c r="P4049" s="549"/>
      <c r="Q4049" s="1059"/>
      <c r="R4049" s="1059"/>
    </row>
    <row r="4050" spans="1:19" ht="17.399999999999999">
      <c r="A4050" s="547" t="s">
        <v>451</v>
      </c>
      <c r="B4050" s="547" t="s">
        <v>457</v>
      </c>
      <c r="C4050" s="547" t="s">
        <v>446</v>
      </c>
      <c r="D4050" s="813" t="s">
        <v>450</v>
      </c>
      <c r="E4050" s="547" t="s">
        <v>270</v>
      </c>
      <c r="F4050" s="548">
        <v>8.5</v>
      </c>
      <c r="G4050" s="549" t="s">
        <v>61</v>
      </c>
      <c r="H4050" s="599" t="s">
        <v>134</v>
      </c>
      <c r="I4050" s="558">
        <v>12.18</v>
      </c>
      <c r="J4050" s="567">
        <v>8.5</v>
      </c>
      <c r="K4050" s="652">
        <v>2</v>
      </c>
      <c r="L4050" s="552">
        <f>(I4050*J4050*K4050/1000)</f>
        <v>0.20705999999999999</v>
      </c>
      <c r="M4050" s="549"/>
      <c r="N4050" s="549"/>
      <c r="O4050" s="549"/>
      <c r="P4050" s="549"/>
      <c r="Q4050" s="1059"/>
      <c r="R4050" s="1059"/>
      <c r="S4050" s="497" t="s">
        <v>553</v>
      </c>
    </row>
    <row r="4051" spans="1:19" ht="17.399999999999999">
      <c r="A4051" s="550"/>
      <c r="B4051" s="792"/>
      <c r="C4051" s="550"/>
      <c r="D4051" s="550"/>
      <c r="E4051" s="548"/>
      <c r="F4051" s="548"/>
      <c r="G4051" s="549" t="s">
        <v>61</v>
      </c>
      <c r="H4051" s="549" t="s">
        <v>134</v>
      </c>
      <c r="I4051" s="558">
        <v>12.18</v>
      </c>
      <c r="J4051" s="567">
        <v>10</v>
      </c>
      <c r="K4051" s="652">
        <v>1</v>
      </c>
      <c r="L4051" s="552">
        <f>(I4051*J4051*K4051/1000)</f>
        <v>0.12179999999999999</v>
      </c>
      <c r="M4051" s="549"/>
      <c r="N4051" s="549"/>
      <c r="O4051" s="549"/>
      <c r="P4051" s="549"/>
      <c r="Q4051" s="1059"/>
      <c r="R4051" s="1059"/>
    </row>
    <row r="4052" spans="1:19" ht="17.399999999999999">
      <c r="A4052" s="549"/>
      <c r="B4052" s="549"/>
      <c r="C4052" s="549"/>
      <c r="D4052" s="549"/>
      <c r="E4052" s="560"/>
      <c r="F4052" s="549"/>
      <c r="G4052" s="549" t="s">
        <v>61</v>
      </c>
      <c r="H4052" s="549" t="s">
        <v>134</v>
      </c>
      <c r="I4052" s="558">
        <v>12.18</v>
      </c>
      <c r="J4052" s="567">
        <v>11.5</v>
      </c>
      <c r="K4052" s="652">
        <v>3</v>
      </c>
      <c r="L4052" s="552">
        <f>(I4052*J4052*K4052/1000)</f>
        <v>0.42020999999999997</v>
      </c>
      <c r="M4052" s="549"/>
      <c r="N4052" s="549"/>
      <c r="O4052" s="549"/>
      <c r="P4052" s="549"/>
      <c r="Q4052" s="1059"/>
      <c r="R4052" s="1059"/>
    </row>
    <row r="4053" spans="1:19" ht="17.399999999999999">
      <c r="A4053" s="549"/>
      <c r="B4053" s="549"/>
      <c r="C4053" s="549"/>
      <c r="D4053" s="549"/>
      <c r="E4053" s="560"/>
      <c r="F4053" s="549"/>
      <c r="G4053" s="549"/>
      <c r="H4053" s="549"/>
      <c r="I4053" s="558"/>
      <c r="J4053" s="567"/>
      <c r="K4053" s="652">
        <f t="shared" ref="K4053:N4053" si="759">SUM(K4050:K4052)</f>
        <v>6</v>
      </c>
      <c r="L4053" s="565">
        <f>SUM(L4050:L4052)</f>
        <v>0.7490699999999999</v>
      </c>
      <c r="M4053" s="549"/>
      <c r="N4053" s="565">
        <f t="shared" si="759"/>
        <v>0</v>
      </c>
      <c r="O4053" s="549"/>
      <c r="P4053" s="549"/>
      <c r="Q4053" s="1059"/>
      <c r="R4053" s="1059"/>
    </row>
    <row r="4054" spans="1:19" ht="17.399999999999999">
      <c r="A4054" s="549"/>
      <c r="B4054" s="549"/>
      <c r="C4054" s="549"/>
      <c r="D4054" s="549"/>
      <c r="E4054" s="560"/>
      <c r="F4054" s="549"/>
      <c r="G4054" s="549"/>
      <c r="H4054" s="549"/>
      <c r="I4054" s="558"/>
      <c r="J4054" s="567"/>
      <c r="K4054" s="652"/>
      <c r="L4054" s="565"/>
      <c r="M4054" s="549"/>
      <c r="N4054" s="549"/>
      <c r="O4054" s="549"/>
      <c r="P4054" s="549"/>
      <c r="Q4054" s="1059"/>
      <c r="R4054" s="1059"/>
    </row>
    <row r="4055" spans="1:19" s="497" customFormat="1" ht="17.399999999999999">
      <c r="A4055" s="549"/>
      <c r="B4055" s="549"/>
      <c r="C4055" s="549"/>
      <c r="D4055" s="549"/>
      <c r="E4055" s="560"/>
      <c r="F4055" s="549"/>
      <c r="G4055" s="549"/>
      <c r="H4055" s="549"/>
      <c r="I4055" s="558"/>
      <c r="J4055" s="567"/>
      <c r="K4055" s="652"/>
      <c r="L4055" s="565"/>
      <c r="M4055" s="549"/>
      <c r="N4055" s="549"/>
      <c r="O4055" s="549"/>
      <c r="P4055" s="549"/>
      <c r="Q4055" s="1059"/>
      <c r="R4055" s="1059"/>
    </row>
    <row r="4056" spans="1:19" ht="17.399999999999999">
      <c r="A4056" s="549"/>
      <c r="B4056" s="549"/>
      <c r="C4056" s="549"/>
      <c r="D4056" s="549"/>
      <c r="E4056" s="560"/>
      <c r="F4056" s="549"/>
      <c r="G4056" s="549"/>
      <c r="H4056" s="549"/>
      <c r="I4056" s="558"/>
      <c r="J4056" s="567"/>
      <c r="K4056" s="652"/>
      <c r="L4056" s="565"/>
      <c r="M4056" s="549"/>
      <c r="N4056" s="549"/>
      <c r="O4056" s="549"/>
      <c r="P4056" s="549"/>
      <c r="Q4056" s="1059"/>
      <c r="R4056" s="1059"/>
    </row>
    <row r="4057" spans="1:19" ht="17.399999999999999">
      <c r="A4057" s="547" t="s">
        <v>451</v>
      </c>
      <c r="B4057" s="547" t="s">
        <v>457</v>
      </c>
      <c r="C4057" s="547" t="s">
        <v>446</v>
      </c>
      <c r="D4057" s="813" t="s">
        <v>450</v>
      </c>
      <c r="E4057" s="547" t="s">
        <v>270</v>
      </c>
      <c r="F4057" s="548">
        <v>8.5</v>
      </c>
      <c r="G4057" s="549" t="s">
        <v>61</v>
      </c>
      <c r="H4057" s="599" t="s">
        <v>133</v>
      </c>
      <c r="I4057" s="558">
        <v>15.04</v>
      </c>
      <c r="J4057" s="567">
        <v>6.5</v>
      </c>
      <c r="K4057" s="652">
        <v>36</v>
      </c>
      <c r="L4057" s="552">
        <f>(I4057*J4057*K4057/1000)</f>
        <v>3.5193599999999998</v>
      </c>
      <c r="M4057" s="549"/>
      <c r="N4057" s="549"/>
      <c r="O4057" s="549"/>
      <c r="P4057" s="549"/>
      <c r="Q4057" s="1059"/>
      <c r="R4057" s="1059"/>
      <c r="S4057" s="497" t="s">
        <v>553</v>
      </c>
    </row>
    <row r="4058" spans="1:19" ht="17.399999999999999">
      <c r="A4058" s="550"/>
      <c r="B4058" s="792"/>
      <c r="C4058" s="550"/>
      <c r="D4058" s="550"/>
      <c r="E4058" s="548"/>
      <c r="F4058" s="548"/>
      <c r="G4058" s="549" t="s">
        <v>61</v>
      </c>
      <c r="H4058" s="549" t="s">
        <v>133</v>
      </c>
      <c r="I4058" s="558">
        <v>15.04</v>
      </c>
      <c r="J4058" s="567">
        <v>11.5</v>
      </c>
      <c r="K4058" s="652">
        <v>12</v>
      </c>
      <c r="L4058" s="552">
        <f>(I4058*J4058*K4058/1000)</f>
        <v>2.0755199999999996</v>
      </c>
      <c r="M4058" s="549"/>
      <c r="N4058" s="549"/>
      <c r="O4058" s="549"/>
      <c r="P4058" s="549"/>
      <c r="Q4058" s="1059"/>
      <c r="R4058" s="1059"/>
    </row>
    <row r="4059" spans="1:19" ht="17.399999999999999">
      <c r="A4059" s="549"/>
      <c r="B4059" s="549"/>
      <c r="C4059" s="549"/>
      <c r="D4059" s="549"/>
      <c r="E4059" s="560"/>
      <c r="F4059" s="549"/>
      <c r="G4059" s="549"/>
      <c r="H4059" s="549"/>
      <c r="I4059" s="558"/>
      <c r="J4059" s="567"/>
      <c r="K4059" s="652">
        <f t="shared" ref="K4059:L4059" si="760">SUM(K4057:K4058)</f>
        <v>48</v>
      </c>
      <c r="L4059" s="565">
        <f t="shared" si="760"/>
        <v>5.5948799999999999</v>
      </c>
      <c r="M4059" s="549"/>
      <c r="N4059" s="549"/>
      <c r="O4059" s="549"/>
      <c r="P4059" s="549"/>
      <c r="Q4059" s="1059"/>
      <c r="R4059" s="1059"/>
    </row>
    <row r="4060" spans="1:19" s="497" customFormat="1" ht="17.399999999999999">
      <c r="A4060" s="549"/>
      <c r="B4060" s="549"/>
      <c r="C4060" s="549"/>
      <c r="D4060" s="549"/>
      <c r="E4060" s="560"/>
      <c r="F4060" s="549"/>
      <c r="G4060" s="549"/>
      <c r="H4060" s="549"/>
      <c r="I4060" s="558"/>
      <c r="J4060" s="567"/>
      <c r="K4060" s="652"/>
      <c r="L4060" s="565"/>
      <c r="M4060" s="549"/>
      <c r="N4060" s="549"/>
      <c r="O4060" s="549"/>
      <c r="P4060" s="549"/>
      <c r="Q4060" s="1059"/>
      <c r="R4060" s="1059"/>
    </row>
    <row r="4061" spans="1:19" ht="17.399999999999999">
      <c r="A4061" s="547" t="s">
        <v>445</v>
      </c>
      <c r="B4061" s="547" t="s">
        <v>460</v>
      </c>
      <c r="C4061" s="547" t="s">
        <v>446</v>
      </c>
      <c r="D4061" s="813" t="s">
        <v>450</v>
      </c>
      <c r="E4061" s="547" t="s">
        <v>270</v>
      </c>
      <c r="F4061" s="548">
        <v>8.5</v>
      </c>
      <c r="G4061" s="549" t="s">
        <v>61</v>
      </c>
      <c r="H4061" s="599" t="s">
        <v>133</v>
      </c>
      <c r="I4061" s="558">
        <v>15.04</v>
      </c>
      <c r="J4061" s="567">
        <v>12</v>
      </c>
      <c r="K4061" s="652">
        <v>5</v>
      </c>
      <c r="L4061" s="552">
        <f>(I4061*J4061*K4061/1000)</f>
        <v>0.90239999999999998</v>
      </c>
      <c r="M4061" s="549"/>
      <c r="N4061" s="549"/>
      <c r="O4061" s="549"/>
      <c r="P4061" s="549"/>
      <c r="Q4061" s="1059"/>
      <c r="R4061" s="1059"/>
      <c r="S4061" s="497" t="s">
        <v>553</v>
      </c>
    </row>
    <row r="4062" spans="1:19" ht="17.399999999999999">
      <c r="A4062" s="550"/>
      <c r="B4062" s="792"/>
      <c r="C4062" s="550"/>
      <c r="D4062" s="550"/>
      <c r="E4062" s="548"/>
      <c r="F4062" s="548"/>
      <c r="G4062" s="549"/>
      <c r="H4062" s="549"/>
      <c r="I4062" s="558"/>
      <c r="J4062" s="567"/>
      <c r="K4062" s="652">
        <f t="shared" ref="K4062" si="761">SUM(K4061)</f>
        <v>5</v>
      </c>
      <c r="L4062" s="565">
        <f>SUM(L4061)</f>
        <v>0.90239999999999998</v>
      </c>
      <c r="M4062" s="549"/>
      <c r="N4062" s="549"/>
      <c r="O4062" s="549"/>
      <c r="P4062" s="549"/>
      <c r="Q4062" s="1059"/>
      <c r="R4062" s="1059"/>
    </row>
    <row r="4063" spans="1:19" s="497" customFormat="1" ht="17.399999999999999">
      <c r="A4063" s="550"/>
      <c r="B4063" s="792"/>
      <c r="C4063" s="550"/>
      <c r="D4063" s="550"/>
      <c r="E4063" s="548"/>
      <c r="F4063" s="548"/>
      <c r="G4063" s="549"/>
      <c r="H4063" s="549"/>
      <c r="I4063" s="558"/>
      <c r="J4063" s="567"/>
      <c r="K4063" s="652"/>
      <c r="L4063" s="565">
        <f>SUM(L4057:L4062)/2</f>
        <v>6.4972799999999999</v>
      </c>
      <c r="M4063" s="549"/>
      <c r="N4063" s="565">
        <f>SUM(N4057:N4062)/2</f>
        <v>0</v>
      </c>
      <c r="O4063" s="549"/>
      <c r="P4063" s="549"/>
      <c r="Q4063" s="1059"/>
      <c r="R4063" s="1059"/>
    </row>
    <row r="4064" spans="1:19" s="497" customFormat="1" ht="17.399999999999999">
      <c r="A4064" s="550"/>
      <c r="B4064" s="792"/>
      <c r="C4064" s="550"/>
      <c r="D4064" s="550"/>
      <c r="E4064" s="550"/>
      <c r="F4064" s="548"/>
      <c r="G4064" s="549"/>
      <c r="H4064" s="549"/>
      <c r="I4064" s="558"/>
      <c r="J4064" s="567"/>
      <c r="K4064" s="652"/>
      <c r="L4064" s="710"/>
      <c r="M4064" s="549"/>
      <c r="N4064" s="549"/>
      <c r="O4064" s="549"/>
      <c r="P4064" s="549"/>
      <c r="Q4064" s="1059"/>
      <c r="R4064" s="1059"/>
    </row>
    <row r="4065" spans="1:19" s="497" customFormat="1" ht="17.399999999999999">
      <c r="A4065" s="547" t="s">
        <v>445</v>
      </c>
      <c r="B4065" s="547" t="s">
        <v>480</v>
      </c>
      <c r="C4065" s="547" t="s">
        <v>19</v>
      </c>
      <c r="D4065" s="547" t="s">
        <v>20</v>
      </c>
      <c r="E4065" s="560" t="s">
        <v>464</v>
      </c>
      <c r="F4065" s="548">
        <v>12</v>
      </c>
      <c r="G4065" s="549" t="s">
        <v>21</v>
      </c>
      <c r="H4065" s="599" t="s">
        <v>134</v>
      </c>
      <c r="I4065" s="558">
        <v>12.2</v>
      </c>
      <c r="J4065" s="567">
        <v>6.9</v>
      </c>
      <c r="K4065" s="648">
        <v>7</v>
      </c>
      <c r="L4065" s="552">
        <f t="shared" ref="L4065:L4070" si="762">(I4065*J4065*K4065/1000)</f>
        <v>0.58926000000000001</v>
      </c>
      <c r="M4065" s="549"/>
      <c r="N4065" s="549"/>
      <c r="O4065" s="567">
        <v>6.5</v>
      </c>
      <c r="P4065" s="549"/>
      <c r="Q4065" s="1059"/>
      <c r="R4065" s="1059"/>
      <c r="S4065" s="497" t="s">
        <v>553</v>
      </c>
    </row>
    <row r="4066" spans="1:19" s="497" customFormat="1" ht="17.399999999999999">
      <c r="A4066" s="547"/>
      <c r="B4066" s="549" t="s">
        <v>439</v>
      </c>
      <c r="C4066" s="547"/>
      <c r="D4066" s="547"/>
      <c r="E4066" s="547"/>
      <c r="F4066" s="548"/>
      <c r="G4066" s="549" t="s">
        <v>21</v>
      </c>
      <c r="H4066" s="549" t="s">
        <v>134</v>
      </c>
      <c r="I4066" s="558">
        <v>12.2</v>
      </c>
      <c r="J4066" s="567">
        <v>8.5</v>
      </c>
      <c r="K4066" s="648">
        <v>11</v>
      </c>
      <c r="L4066" s="552">
        <f t="shared" si="762"/>
        <v>1.1406999999999998</v>
      </c>
      <c r="M4066" s="549"/>
      <c r="N4066" s="549"/>
      <c r="O4066" s="549"/>
      <c r="P4066" s="549"/>
      <c r="Q4066" s="1059"/>
      <c r="R4066" s="1059"/>
    </row>
    <row r="4067" spans="1:19" s="497" customFormat="1" ht="17.399999999999999">
      <c r="A4067" s="550"/>
      <c r="B4067" s="792"/>
      <c r="C4067" s="550"/>
      <c r="D4067" s="550"/>
      <c r="E4067" s="550"/>
      <c r="F4067" s="548"/>
      <c r="G4067" s="549" t="s">
        <v>21</v>
      </c>
      <c r="H4067" s="549" t="s">
        <v>134</v>
      </c>
      <c r="I4067" s="558">
        <v>12.2</v>
      </c>
      <c r="J4067" s="567">
        <v>10</v>
      </c>
      <c r="K4067" s="648">
        <v>28</v>
      </c>
      <c r="L4067" s="552">
        <f t="shared" si="762"/>
        <v>3.4159999999999999</v>
      </c>
      <c r="M4067" s="549"/>
      <c r="N4067" s="549"/>
      <c r="O4067" s="549"/>
      <c r="P4067" s="549"/>
      <c r="Q4067" s="1059"/>
      <c r="R4067" s="1059"/>
    </row>
    <row r="4068" spans="1:19" s="497" customFormat="1" ht="17.399999999999999">
      <c r="A4068" s="550"/>
      <c r="B4068" s="792"/>
      <c r="C4068" s="550"/>
      <c r="D4068" s="550"/>
      <c r="E4068" s="550"/>
      <c r="F4068" s="548"/>
      <c r="G4068" s="549" t="s">
        <v>21</v>
      </c>
      <c r="H4068" s="549" t="s">
        <v>134</v>
      </c>
      <c r="I4068" s="558">
        <v>12.2</v>
      </c>
      <c r="J4068" s="567">
        <v>10.3</v>
      </c>
      <c r="K4068" s="648">
        <v>24</v>
      </c>
      <c r="L4068" s="552">
        <f t="shared" si="762"/>
        <v>3.0158400000000003</v>
      </c>
      <c r="M4068" s="549"/>
      <c r="N4068" s="549"/>
      <c r="O4068" s="549"/>
      <c r="P4068" s="549"/>
      <c r="Q4068" s="1059"/>
      <c r="R4068" s="1059"/>
    </row>
    <row r="4069" spans="1:19" s="497" customFormat="1" ht="17.399999999999999">
      <c r="A4069" s="550"/>
      <c r="B4069" s="792"/>
      <c r="C4069" s="550"/>
      <c r="D4069" s="550"/>
      <c r="E4069" s="550"/>
      <c r="F4069" s="548"/>
      <c r="G4069" s="549" t="s">
        <v>21</v>
      </c>
      <c r="H4069" s="549" t="s">
        <v>134</v>
      </c>
      <c r="I4069" s="558">
        <v>12.2</v>
      </c>
      <c r="J4069" s="567">
        <v>11</v>
      </c>
      <c r="K4069" s="648">
        <v>24</v>
      </c>
      <c r="L4069" s="552">
        <f t="shared" si="762"/>
        <v>3.2207999999999997</v>
      </c>
      <c r="M4069" s="549"/>
      <c r="N4069" s="549"/>
      <c r="O4069" s="549"/>
      <c r="P4069" s="549"/>
      <c r="Q4069" s="1059"/>
      <c r="R4069" s="1059"/>
    </row>
    <row r="4070" spans="1:19" s="497" customFormat="1" ht="17.399999999999999">
      <c r="A4070" s="550"/>
      <c r="B4070" s="792"/>
      <c r="C4070" s="550"/>
      <c r="D4070" s="550"/>
      <c r="E4070" s="550"/>
      <c r="F4070" s="548"/>
      <c r="G4070" s="549" t="s">
        <v>21</v>
      </c>
      <c r="H4070" s="549" t="s">
        <v>134</v>
      </c>
      <c r="I4070" s="558">
        <v>12.2</v>
      </c>
      <c r="J4070" s="567">
        <v>11.7</v>
      </c>
      <c r="K4070" s="648">
        <v>43</v>
      </c>
      <c r="L4070" s="552">
        <f t="shared" si="762"/>
        <v>6.1378199999999987</v>
      </c>
      <c r="M4070" s="549"/>
      <c r="N4070" s="549"/>
      <c r="O4070" s="549"/>
      <c r="P4070" s="549"/>
      <c r="Q4070" s="1059"/>
      <c r="R4070" s="1059"/>
    </row>
    <row r="4071" spans="1:19" s="497" customFormat="1" ht="17.399999999999999">
      <c r="A4071" s="547"/>
      <c r="B4071" s="549"/>
      <c r="C4071" s="547"/>
      <c r="D4071" s="547"/>
      <c r="E4071" s="547"/>
      <c r="F4071" s="548"/>
      <c r="G4071" s="549"/>
      <c r="H4071" s="549"/>
      <c r="I4071" s="558"/>
      <c r="J4071" s="567"/>
      <c r="K4071" s="648">
        <f t="shared" ref="K4071:L4071" si="763">SUM(K4065:K4070)</f>
        <v>137</v>
      </c>
      <c r="L4071" s="567">
        <f t="shared" si="763"/>
        <v>17.520419999999998</v>
      </c>
      <c r="M4071" s="549"/>
      <c r="N4071" s="549"/>
      <c r="O4071" s="549"/>
      <c r="P4071" s="549"/>
      <c r="Q4071" s="1059"/>
      <c r="R4071" s="1059"/>
    </row>
    <row r="4072" spans="1:19" s="497" customFormat="1" ht="17.399999999999999">
      <c r="A4072" s="547"/>
      <c r="B4072" s="549"/>
      <c r="C4072" s="547"/>
      <c r="D4072" s="547"/>
      <c r="E4072" s="547"/>
      <c r="F4072" s="548"/>
      <c r="G4072" s="549"/>
      <c r="H4072" s="549"/>
      <c r="I4072" s="558"/>
      <c r="J4072" s="567"/>
      <c r="K4072" s="648"/>
      <c r="L4072" s="567"/>
      <c r="M4072" s="549"/>
      <c r="N4072" s="549"/>
      <c r="O4072" s="549"/>
      <c r="P4072" s="549"/>
      <c r="Q4072" s="1059"/>
      <c r="R4072" s="1059"/>
    </row>
    <row r="4073" spans="1:19" s="497" customFormat="1" ht="17.399999999999999">
      <c r="A4073" s="547" t="s">
        <v>445</v>
      </c>
      <c r="B4073" s="547" t="s">
        <v>485</v>
      </c>
      <c r="C4073" s="547" t="s">
        <v>19</v>
      </c>
      <c r="D4073" s="547" t="s">
        <v>20</v>
      </c>
      <c r="E4073" s="547" t="s">
        <v>478</v>
      </c>
      <c r="F4073" s="548">
        <v>12</v>
      </c>
      <c r="G4073" s="549" t="s">
        <v>21</v>
      </c>
      <c r="H4073" s="599" t="s">
        <v>134</v>
      </c>
      <c r="I4073" s="558">
        <v>12.2</v>
      </c>
      <c r="J4073" s="567">
        <v>6.9</v>
      </c>
      <c r="K4073" s="648">
        <v>57</v>
      </c>
      <c r="L4073" s="552">
        <f t="shared" ref="L4073:L4078" si="764">(I4073*J4073*K4073/1000)</f>
        <v>4.7982599999999991</v>
      </c>
      <c r="M4073" s="549"/>
      <c r="N4073" s="549"/>
      <c r="O4073" s="549"/>
      <c r="P4073" s="549"/>
      <c r="Q4073" s="1059"/>
      <c r="R4073" s="1059"/>
      <c r="S4073" s="497" t="s">
        <v>553</v>
      </c>
    </row>
    <row r="4074" spans="1:19" s="497" customFormat="1" ht="17.399999999999999">
      <c r="A4074" s="547"/>
      <c r="B4074" s="549" t="s">
        <v>423</v>
      </c>
      <c r="C4074" s="547"/>
      <c r="D4074" s="547"/>
      <c r="E4074" s="547"/>
      <c r="F4074" s="548"/>
      <c r="G4074" s="549" t="s">
        <v>21</v>
      </c>
      <c r="H4074" s="549" t="s">
        <v>134</v>
      </c>
      <c r="I4074" s="558">
        <v>12.2</v>
      </c>
      <c r="J4074" s="567">
        <v>9.3000000000000007</v>
      </c>
      <c r="K4074" s="648">
        <v>9</v>
      </c>
      <c r="L4074" s="552">
        <f t="shared" si="764"/>
        <v>1.0211400000000002</v>
      </c>
      <c r="M4074" s="549"/>
      <c r="N4074" s="549"/>
      <c r="O4074" s="567">
        <v>9</v>
      </c>
      <c r="P4074" s="549"/>
      <c r="Q4074" s="1059"/>
      <c r="R4074" s="1059"/>
    </row>
    <row r="4075" spans="1:19" s="497" customFormat="1" ht="17.399999999999999">
      <c r="A4075" s="547"/>
      <c r="B4075" s="549"/>
      <c r="C4075" s="547"/>
      <c r="D4075" s="547"/>
      <c r="E4075" s="547"/>
      <c r="F4075" s="548"/>
      <c r="G4075" s="549" t="s">
        <v>21</v>
      </c>
      <c r="H4075" s="549" t="s">
        <v>134</v>
      </c>
      <c r="I4075" s="558">
        <v>12.2</v>
      </c>
      <c r="J4075" s="567">
        <v>9.3000000000000007</v>
      </c>
      <c r="K4075" s="648">
        <v>52</v>
      </c>
      <c r="L4075" s="552">
        <f t="shared" si="764"/>
        <v>5.8999199999999998</v>
      </c>
      <c r="M4075" s="549"/>
      <c r="N4075" s="549"/>
      <c r="O4075" s="549"/>
      <c r="P4075" s="549"/>
      <c r="Q4075" s="1059"/>
      <c r="R4075" s="1059"/>
    </row>
    <row r="4076" spans="1:19" s="497" customFormat="1" ht="17.399999999999999">
      <c r="A4076" s="547"/>
      <c r="B4076" s="549"/>
      <c r="C4076" s="547"/>
      <c r="D4076" s="547"/>
      <c r="E4076" s="547"/>
      <c r="F4076" s="548"/>
      <c r="G4076" s="549" t="s">
        <v>21</v>
      </c>
      <c r="H4076" s="549" t="s">
        <v>134</v>
      </c>
      <c r="I4076" s="558">
        <v>12.2</v>
      </c>
      <c r="J4076" s="567">
        <v>9.5</v>
      </c>
      <c r="K4076" s="648">
        <v>26</v>
      </c>
      <c r="L4076" s="552">
        <f t="shared" si="764"/>
        <v>3.0133999999999999</v>
      </c>
      <c r="M4076" s="549"/>
      <c r="N4076" s="549"/>
      <c r="O4076" s="549"/>
      <c r="P4076" s="549"/>
      <c r="Q4076" s="1059"/>
      <c r="R4076" s="1059"/>
    </row>
    <row r="4077" spans="1:19" s="497" customFormat="1" ht="17.399999999999999">
      <c r="A4077" s="547"/>
      <c r="B4077" s="549"/>
      <c r="C4077" s="547"/>
      <c r="D4077" s="547"/>
      <c r="E4077" s="547"/>
      <c r="F4077" s="548"/>
      <c r="G4077" s="549" t="s">
        <v>21</v>
      </c>
      <c r="H4077" s="549" t="s">
        <v>134</v>
      </c>
      <c r="I4077" s="558">
        <v>12.2</v>
      </c>
      <c r="J4077" s="567">
        <v>11.5</v>
      </c>
      <c r="K4077" s="648">
        <v>34</v>
      </c>
      <c r="L4077" s="552">
        <f t="shared" si="764"/>
        <v>4.7702</v>
      </c>
      <c r="M4077" s="549"/>
      <c r="N4077" s="549"/>
      <c r="O4077" s="549"/>
      <c r="P4077" s="549"/>
      <c r="Q4077" s="1059"/>
      <c r="R4077" s="1059"/>
    </row>
    <row r="4078" spans="1:19" s="497" customFormat="1" ht="17.399999999999999">
      <c r="A4078" s="547"/>
      <c r="B4078" s="549"/>
      <c r="C4078" s="547"/>
      <c r="D4078" s="547"/>
      <c r="E4078" s="547"/>
      <c r="F4078" s="548"/>
      <c r="G4078" s="549" t="s">
        <v>21</v>
      </c>
      <c r="H4078" s="549" t="s">
        <v>134</v>
      </c>
      <c r="I4078" s="558">
        <v>12.2</v>
      </c>
      <c r="J4078" s="567">
        <v>12</v>
      </c>
      <c r="K4078" s="648">
        <v>35</v>
      </c>
      <c r="L4078" s="552">
        <f t="shared" si="764"/>
        <v>5.1239999999999988</v>
      </c>
      <c r="M4078" s="549"/>
      <c r="N4078" s="549"/>
      <c r="O4078" s="549"/>
      <c r="P4078" s="549"/>
      <c r="Q4078" s="1059"/>
      <c r="R4078" s="1059"/>
    </row>
    <row r="4079" spans="1:19" s="497" customFormat="1" ht="17.399999999999999">
      <c r="A4079" s="547"/>
      <c r="B4079" s="549"/>
      <c r="C4079" s="547"/>
      <c r="D4079" s="547"/>
      <c r="E4079" s="547"/>
      <c r="F4079" s="548"/>
      <c r="G4079" s="549"/>
      <c r="H4079" s="549"/>
      <c r="I4079" s="558"/>
      <c r="J4079" s="567"/>
      <c r="K4079" s="648">
        <f>SUM(K4073:K4078)</f>
        <v>213</v>
      </c>
      <c r="L4079" s="567">
        <f>SUM(L4073:L4078)</f>
        <v>24.626919999999998</v>
      </c>
      <c r="M4079" s="549"/>
      <c r="N4079" s="549"/>
      <c r="O4079" s="549"/>
      <c r="P4079" s="549"/>
      <c r="Q4079" s="1059"/>
      <c r="R4079" s="1059"/>
    </row>
    <row r="4080" spans="1:19" s="497" customFormat="1" ht="17.399999999999999">
      <c r="A4080" s="547"/>
      <c r="B4080" s="549"/>
      <c r="C4080" s="547"/>
      <c r="D4080" s="547"/>
      <c r="E4080" s="547"/>
      <c r="F4080" s="548"/>
      <c r="G4080" s="549"/>
      <c r="H4080" s="549"/>
      <c r="I4080" s="558"/>
      <c r="J4080" s="567"/>
      <c r="K4080" s="648"/>
      <c r="L4080" s="567">
        <f>+L4079+L4071</f>
        <v>42.14734</v>
      </c>
      <c r="M4080" s="549"/>
      <c r="N4080" s="549"/>
      <c r="O4080" s="549"/>
      <c r="P4080" s="549"/>
      <c r="Q4080" s="1059"/>
      <c r="R4080" s="1059"/>
    </row>
    <row r="4081" spans="1:18" s="497" customFormat="1">
      <c r="I4081" s="1864"/>
      <c r="K4081" s="176"/>
      <c r="L4081" s="845"/>
    </row>
    <row r="4082" spans="1:18" s="497" customFormat="1" ht="17.399999999999999">
      <c r="A4082" s="852" t="s">
        <v>445</v>
      </c>
      <c r="B4082" s="852" t="s">
        <v>480</v>
      </c>
      <c r="C4082" s="852" t="s">
        <v>19</v>
      </c>
      <c r="D4082" s="852" t="s">
        <v>20</v>
      </c>
      <c r="E4082" s="853" t="s">
        <v>464</v>
      </c>
      <c r="F4082" s="853">
        <v>12</v>
      </c>
      <c r="G4082" s="599" t="s">
        <v>21</v>
      </c>
      <c r="H4082" s="599" t="s">
        <v>119</v>
      </c>
      <c r="I4082" s="1699">
        <v>10.7</v>
      </c>
      <c r="J4082" s="732">
        <v>7.4</v>
      </c>
      <c r="K4082" s="733">
        <v>39</v>
      </c>
      <c r="L4082" s="734">
        <f t="shared" ref="L4082:L4092" si="765">(I4082*J4082*K4082/1000)</f>
        <v>3.0880199999999993</v>
      </c>
      <c r="M4082" s="599"/>
      <c r="N4082" s="599"/>
      <c r="O4082" s="599"/>
      <c r="P4082" s="599"/>
      <c r="Q4082" s="1066"/>
      <c r="R4082" s="1066"/>
    </row>
    <row r="4083" spans="1:18" s="497" customFormat="1" ht="17.399999999999999">
      <c r="A4083" s="852"/>
      <c r="B4083" s="599" t="s">
        <v>439</v>
      </c>
      <c r="C4083" s="852"/>
      <c r="D4083" s="852"/>
      <c r="E4083" s="852"/>
      <c r="F4083" s="853"/>
      <c r="G4083" s="599" t="s">
        <v>21</v>
      </c>
      <c r="H4083" s="599" t="s">
        <v>119</v>
      </c>
      <c r="I4083" s="1699">
        <v>10.7</v>
      </c>
      <c r="J4083" s="732">
        <v>8.9</v>
      </c>
      <c r="K4083" s="733">
        <v>10</v>
      </c>
      <c r="L4083" s="734">
        <f t="shared" si="765"/>
        <v>0.95230000000000004</v>
      </c>
      <c r="M4083" s="599"/>
      <c r="N4083" s="599"/>
      <c r="O4083" s="732">
        <v>8</v>
      </c>
      <c r="P4083" s="599"/>
      <c r="Q4083" s="1066"/>
      <c r="R4083" s="1066"/>
    </row>
    <row r="4084" spans="1:18" s="497" customFormat="1" ht="17.399999999999999">
      <c r="A4084" s="599"/>
      <c r="B4084" s="854"/>
      <c r="C4084" s="599"/>
      <c r="D4084" s="599"/>
      <c r="E4084" s="599"/>
      <c r="F4084" s="853"/>
      <c r="G4084" s="599" t="s">
        <v>21</v>
      </c>
      <c r="H4084" s="599" t="s">
        <v>119</v>
      </c>
      <c r="I4084" s="1699">
        <v>10.7</v>
      </c>
      <c r="J4084" s="732">
        <v>8.9</v>
      </c>
      <c r="K4084" s="733">
        <v>8</v>
      </c>
      <c r="L4084" s="734">
        <f t="shared" si="765"/>
        <v>0.76184000000000007</v>
      </c>
      <c r="M4084" s="599"/>
      <c r="N4084" s="599"/>
      <c r="O4084" s="599"/>
      <c r="P4084" s="599"/>
      <c r="Q4084" s="1066"/>
      <c r="R4084" s="1066"/>
    </row>
    <row r="4085" spans="1:18" s="497" customFormat="1" ht="17.399999999999999">
      <c r="A4085" s="599"/>
      <c r="B4085" s="854"/>
      <c r="C4085" s="599"/>
      <c r="D4085" s="599"/>
      <c r="E4085" s="599"/>
      <c r="F4085" s="853"/>
      <c r="G4085" s="599" t="s">
        <v>21</v>
      </c>
      <c r="H4085" s="599" t="s">
        <v>119</v>
      </c>
      <c r="I4085" s="1699">
        <v>10.7</v>
      </c>
      <c r="J4085" s="732">
        <v>10</v>
      </c>
      <c r="K4085" s="733">
        <v>13</v>
      </c>
      <c r="L4085" s="734">
        <f t="shared" si="765"/>
        <v>1.391</v>
      </c>
      <c r="M4085" s="599"/>
      <c r="N4085" s="599"/>
      <c r="O4085" s="732">
        <v>9.85</v>
      </c>
      <c r="P4085" s="599"/>
      <c r="Q4085" s="1066"/>
      <c r="R4085" s="1066"/>
    </row>
    <row r="4086" spans="1:18" s="497" customFormat="1" ht="17.399999999999999">
      <c r="A4086" s="599"/>
      <c r="B4086" s="854"/>
      <c r="C4086" s="599"/>
      <c r="D4086" s="599"/>
      <c r="E4086" s="599"/>
      <c r="F4086" s="853"/>
      <c r="G4086" s="599" t="s">
        <v>21</v>
      </c>
      <c r="H4086" s="599" t="s">
        <v>119</v>
      </c>
      <c r="I4086" s="1699">
        <v>10.7</v>
      </c>
      <c r="J4086" s="732">
        <v>10</v>
      </c>
      <c r="K4086" s="733">
        <v>5</v>
      </c>
      <c r="L4086" s="734">
        <f t="shared" si="765"/>
        <v>0.53500000000000003</v>
      </c>
      <c r="M4086" s="599"/>
      <c r="N4086" s="599"/>
      <c r="O4086" s="599"/>
      <c r="P4086" s="599"/>
      <c r="Q4086" s="1066"/>
      <c r="R4086" s="1066"/>
    </row>
    <row r="4087" spans="1:18" s="497" customFormat="1" ht="17.399999999999999">
      <c r="A4087" s="599"/>
      <c r="B4087" s="854"/>
      <c r="C4087" s="599"/>
      <c r="D4087" s="599"/>
      <c r="E4087" s="599"/>
      <c r="F4087" s="853"/>
      <c r="G4087" s="599" t="s">
        <v>21</v>
      </c>
      <c r="H4087" s="599" t="s">
        <v>119</v>
      </c>
      <c r="I4087" s="1699">
        <v>10.7</v>
      </c>
      <c r="J4087" s="732">
        <v>11</v>
      </c>
      <c r="K4087" s="733">
        <v>2</v>
      </c>
      <c r="L4087" s="734">
        <f t="shared" si="765"/>
        <v>0.23539999999999997</v>
      </c>
      <c r="M4087" s="599"/>
      <c r="N4087" s="599"/>
      <c r="O4087" s="732">
        <v>10.8</v>
      </c>
      <c r="P4087" s="599"/>
      <c r="Q4087" s="1066"/>
      <c r="R4087" s="1066"/>
    </row>
    <row r="4088" spans="1:18" s="497" customFormat="1" ht="17.399999999999999">
      <c r="A4088" s="599"/>
      <c r="B4088" s="854"/>
      <c r="C4088" s="599"/>
      <c r="D4088" s="599"/>
      <c r="E4088" s="599"/>
      <c r="F4088" s="853"/>
      <c r="G4088" s="599" t="s">
        <v>21</v>
      </c>
      <c r="H4088" s="599" t="s">
        <v>119</v>
      </c>
      <c r="I4088" s="1699">
        <v>10.7</v>
      </c>
      <c r="J4088" s="732">
        <v>11</v>
      </c>
      <c r="K4088" s="733">
        <v>67</v>
      </c>
      <c r="L4088" s="734">
        <f t="shared" si="765"/>
        <v>7.8858999999999995</v>
      </c>
      <c r="M4088" s="599"/>
      <c r="N4088" s="599"/>
      <c r="O4088" s="599"/>
      <c r="P4088" s="599"/>
      <c r="Q4088" s="1066"/>
      <c r="R4088" s="1066"/>
    </row>
    <row r="4089" spans="1:18" s="497" customFormat="1" ht="17.399999999999999">
      <c r="A4089" s="599"/>
      <c r="B4089" s="854"/>
      <c r="C4089" s="599"/>
      <c r="D4089" s="599"/>
      <c r="E4089" s="599"/>
      <c r="F4089" s="853"/>
      <c r="G4089" s="599" t="s">
        <v>21</v>
      </c>
      <c r="H4089" s="599" t="s">
        <v>119</v>
      </c>
      <c r="I4089" s="1699">
        <v>10.7</v>
      </c>
      <c r="J4089" s="732">
        <v>11.2</v>
      </c>
      <c r="K4089" s="733">
        <v>14</v>
      </c>
      <c r="L4089" s="734">
        <f t="shared" si="765"/>
        <v>1.6777599999999997</v>
      </c>
      <c r="M4089" s="599"/>
      <c r="N4089" s="599"/>
      <c r="O4089" s="599"/>
      <c r="P4089" s="599"/>
      <c r="Q4089" s="1066"/>
      <c r="R4089" s="1066"/>
    </row>
    <row r="4090" spans="1:18" s="497" customFormat="1" ht="17.399999999999999">
      <c r="A4090" s="599"/>
      <c r="B4090" s="854"/>
      <c r="C4090" s="599"/>
      <c r="D4090" s="599"/>
      <c r="E4090" s="599"/>
      <c r="F4090" s="853"/>
      <c r="G4090" s="599" t="s">
        <v>21</v>
      </c>
      <c r="H4090" s="599" t="s">
        <v>119</v>
      </c>
      <c r="I4090" s="1699">
        <v>10.7</v>
      </c>
      <c r="J4090" s="732">
        <v>11.5</v>
      </c>
      <c r="K4090" s="733">
        <v>49</v>
      </c>
      <c r="L4090" s="734">
        <f t="shared" si="765"/>
        <v>6.0294499999999998</v>
      </c>
      <c r="M4090" s="599"/>
      <c r="N4090" s="599"/>
      <c r="O4090" s="599"/>
      <c r="P4090" s="599"/>
      <c r="Q4090" s="1066"/>
      <c r="R4090" s="1066"/>
    </row>
    <row r="4091" spans="1:18" s="497" customFormat="1" ht="17.399999999999999">
      <c r="A4091" s="599"/>
      <c r="B4091" s="854"/>
      <c r="C4091" s="599"/>
      <c r="D4091" s="599"/>
      <c r="E4091" s="599"/>
      <c r="F4091" s="853"/>
      <c r="G4091" s="599" t="s">
        <v>21</v>
      </c>
      <c r="H4091" s="599" t="s">
        <v>119</v>
      </c>
      <c r="I4091" s="1699">
        <v>10.7</v>
      </c>
      <c r="J4091" s="732">
        <v>11.7</v>
      </c>
      <c r="K4091" s="733">
        <v>58</v>
      </c>
      <c r="L4091" s="734">
        <f t="shared" si="765"/>
        <v>7.2610199999999985</v>
      </c>
      <c r="M4091" s="599"/>
      <c r="N4091" s="599"/>
      <c r="O4091" s="599"/>
      <c r="P4091" s="599"/>
      <c r="Q4091" s="1066"/>
      <c r="R4091" s="1066"/>
    </row>
    <row r="4092" spans="1:18" s="497" customFormat="1" ht="17.399999999999999">
      <c r="A4092" s="599"/>
      <c r="B4092" s="854"/>
      <c r="C4092" s="599"/>
      <c r="D4092" s="599"/>
      <c r="E4092" s="599"/>
      <c r="F4092" s="853"/>
      <c r="G4092" s="599" t="s">
        <v>21</v>
      </c>
      <c r="H4092" s="599" t="s">
        <v>119</v>
      </c>
      <c r="I4092" s="1699">
        <v>10.7</v>
      </c>
      <c r="J4092" s="732">
        <v>12</v>
      </c>
      <c r="K4092" s="733">
        <v>72</v>
      </c>
      <c r="L4092" s="734">
        <f t="shared" si="765"/>
        <v>9.2447999999999997</v>
      </c>
      <c r="M4092" s="599"/>
      <c r="N4092" s="599"/>
      <c r="O4092" s="599"/>
      <c r="P4092" s="599"/>
      <c r="Q4092" s="1066"/>
      <c r="R4092" s="1066"/>
    </row>
    <row r="4093" spans="1:18" s="497" customFormat="1" ht="17.399999999999999">
      <c r="A4093" s="599"/>
      <c r="B4093" s="854"/>
      <c r="C4093" s="599"/>
      <c r="D4093" s="599"/>
      <c r="E4093" s="599"/>
      <c r="F4093" s="853"/>
      <c r="G4093" s="599"/>
      <c r="H4093" s="599"/>
      <c r="I4093" s="1699"/>
      <c r="J4093" s="732"/>
      <c r="K4093" s="733">
        <f t="shared" ref="K4093:L4093" si="766">SUM(K4082:K4092)</f>
        <v>337</v>
      </c>
      <c r="L4093" s="732">
        <f t="shared" si="766"/>
        <v>39.062489999999997</v>
      </c>
      <c r="M4093" s="599" t="s">
        <v>544</v>
      </c>
      <c r="N4093" s="599"/>
      <c r="O4093" s="599"/>
      <c r="P4093" s="599"/>
      <c r="Q4093" s="1066"/>
      <c r="R4093" s="1066"/>
    </row>
    <row r="4094" spans="1:18" s="497" customFormat="1" ht="17.399999999999999">
      <c r="A4094" s="547"/>
      <c r="B4094" s="549"/>
      <c r="C4094" s="547"/>
      <c r="D4094" s="547"/>
      <c r="E4094" s="547"/>
      <c r="F4094" s="548"/>
      <c r="G4094" s="149"/>
      <c r="H4094" s="149"/>
      <c r="I4094" s="449"/>
      <c r="J4094" s="133"/>
      <c r="K4094" s="140"/>
      <c r="L4094" s="133"/>
      <c r="M4094" s="549"/>
      <c r="N4094" s="549"/>
      <c r="O4094" s="549"/>
      <c r="P4094" s="549"/>
      <c r="Q4094" s="1059"/>
      <c r="R4094" s="1059"/>
    </row>
    <row r="4095" spans="1:18" s="497" customFormat="1" ht="17.399999999999999">
      <c r="A4095" s="547"/>
      <c r="B4095" s="549"/>
      <c r="C4095" s="547"/>
      <c r="D4095" s="547"/>
      <c r="E4095" s="547"/>
      <c r="F4095" s="548"/>
      <c r="G4095" s="149"/>
      <c r="H4095" s="149"/>
      <c r="I4095" s="449"/>
      <c r="J4095" s="133"/>
      <c r="K4095" s="140"/>
      <c r="L4095" s="133"/>
      <c r="M4095" s="549"/>
      <c r="N4095" s="549"/>
      <c r="O4095" s="549"/>
      <c r="P4095" s="549"/>
      <c r="Q4095" s="1059"/>
      <c r="R4095" s="1059"/>
    </row>
    <row r="4096" spans="1:18" ht="17.399999999999999">
      <c r="A4096" s="549"/>
      <c r="B4096" s="549"/>
      <c r="C4096" s="549"/>
      <c r="D4096" s="549"/>
      <c r="E4096" s="549"/>
      <c r="F4096" s="549"/>
      <c r="G4096" s="549"/>
      <c r="H4096" s="549"/>
      <c r="I4096" s="558"/>
      <c r="J4096" s="549"/>
      <c r="K4096" s="727">
        <f>+K3971+K3960+K3945+K4053+K4063+K4048+K3985+K4014+K4040+K3922+K3882+K3834+K3799</f>
        <v>2509</v>
      </c>
      <c r="L4096" s="710">
        <f>+L3971+L3960+L3945+L4053+L4063+L4048+L3985+L4014+L4040+L3922+L3882+L3834+L3799+L4093+L4080</f>
        <v>535.86501399999997</v>
      </c>
      <c r="M4096" s="727">
        <f>+M3971+M3960+M3945+M4053+M4063+M4048+M3985+M4014+M4040+M3922+M3882+M3834+M3799</f>
        <v>81</v>
      </c>
      <c r="N4096" s="710">
        <f>+N3971+N3960+N3945+N4053+N4063+N4048+N3985+N4014+N4040+N3922+N3882+N3834+N3799</f>
        <v>7.2395120000000004</v>
      </c>
      <c r="O4096" s="549"/>
      <c r="P4096" s="549"/>
      <c r="Q4096" s="1059"/>
      <c r="R4096" s="1059"/>
    </row>
    <row r="4097" spans="1:18" ht="18">
      <c r="A4097" s="653" t="s">
        <v>48</v>
      </c>
      <c r="B4097" s="653"/>
      <c r="C4097" s="654"/>
      <c r="D4097" s="654"/>
      <c r="E4097" s="654"/>
      <c r="F4097" s="811"/>
      <c r="G4097" s="654"/>
      <c r="H4097" s="811"/>
      <c r="I4097" s="656"/>
      <c r="J4097" s="654"/>
      <c r="K4097" s="657"/>
      <c r="L4097" s="2003" t="s">
        <v>0</v>
      </c>
      <c r="M4097" s="2003"/>
      <c r="N4097" s="2003"/>
      <c r="O4097" s="2004"/>
      <c r="P4097" s="2010"/>
      <c r="Q4097" s="1064"/>
      <c r="R4097" s="1064"/>
    </row>
    <row r="4098" spans="1:18" ht="18">
      <c r="A4098" s="658" t="s">
        <v>1</v>
      </c>
      <c r="B4098" s="658"/>
      <c r="C4098" s="658"/>
      <c r="D4098" s="659" t="s">
        <v>2</v>
      </c>
      <c r="E4098" s="659"/>
      <c r="F4098" s="660"/>
      <c r="G4098" s="660"/>
      <c r="H4098" s="660"/>
      <c r="I4098" s="661"/>
      <c r="J4098" s="660"/>
      <c r="K4098" s="662" t="s">
        <v>3</v>
      </c>
      <c r="L4098" s="660"/>
      <c r="M4098" s="658"/>
      <c r="N4098" s="660"/>
      <c r="O4098" s="663"/>
      <c r="P4098" s="2010"/>
      <c r="Q4098" s="1064"/>
      <c r="R4098" s="1064"/>
    </row>
    <row r="4099" spans="1:18" ht="18">
      <c r="A4099" s="811" t="s">
        <v>22</v>
      </c>
      <c r="B4099" s="1990" t="s">
        <v>23</v>
      </c>
      <c r="C4099" s="2005"/>
      <c r="D4099" s="1989"/>
      <c r="E4099" s="811" t="s">
        <v>24</v>
      </c>
      <c r="F4099" s="1990" t="s">
        <v>25</v>
      </c>
      <c r="G4099" s="1989"/>
      <c r="H4099" s="1990" t="s">
        <v>26</v>
      </c>
      <c r="I4099" s="2005"/>
      <c r="J4099" s="2005"/>
      <c r="K4099" s="1989"/>
      <c r="L4099" s="2006" t="s">
        <v>27</v>
      </c>
      <c r="M4099" s="2006"/>
      <c r="N4099" s="2006"/>
      <c r="O4099" s="1990"/>
      <c r="P4099" s="2010"/>
      <c r="Q4099" s="1064"/>
      <c r="R4099" s="1064"/>
    </row>
    <row r="4100" spans="1:18" ht="18">
      <c r="A4100" s="664"/>
      <c r="B4100" s="1975"/>
      <c r="C4100" s="1976"/>
      <c r="D4100" s="1977"/>
      <c r="E4100" s="665"/>
      <c r="F4100" s="1975"/>
      <c r="G4100" s="1977"/>
      <c r="H4100" s="1975"/>
      <c r="I4100" s="1976"/>
      <c r="J4100" s="1976"/>
      <c r="K4100" s="1977"/>
      <c r="L4100" s="1975"/>
      <c r="M4100" s="1976"/>
      <c r="N4100" s="1976"/>
      <c r="O4100" s="1976"/>
      <c r="P4100" s="2010"/>
      <c r="Q4100" s="1064"/>
      <c r="R4100" s="1064"/>
    </row>
    <row r="4101" spans="1:18" ht="18">
      <c r="A4101" s="664" t="s">
        <v>28</v>
      </c>
      <c r="B4101" s="1975" t="s">
        <v>159</v>
      </c>
      <c r="C4101" s="1976"/>
      <c r="D4101" s="1977"/>
      <c r="E4101" s="665">
        <f>+L3799-0.509</f>
        <v>76.261420000000001</v>
      </c>
      <c r="F4101" s="1975">
        <v>12</v>
      </c>
      <c r="G4101" s="1977"/>
      <c r="H4101" s="1975" t="s">
        <v>49</v>
      </c>
      <c r="I4101" s="1976"/>
      <c r="J4101" s="1976"/>
      <c r="K4101" s="1977"/>
      <c r="L4101" s="1976" t="s">
        <v>436</v>
      </c>
      <c r="M4101" s="1976"/>
      <c r="N4101" s="1976"/>
      <c r="O4101" s="1976"/>
      <c r="P4101" s="2010"/>
      <c r="Q4101" s="1064"/>
      <c r="R4101" s="1064"/>
    </row>
    <row r="4102" spans="1:18" ht="18">
      <c r="A4102" s="664" t="s">
        <v>29</v>
      </c>
      <c r="B4102" s="1975" t="s">
        <v>138</v>
      </c>
      <c r="C4102" s="1976"/>
      <c r="D4102" s="1977"/>
      <c r="E4102" s="665">
        <f>+L3834</f>
        <v>121.80130399999996</v>
      </c>
      <c r="F4102" s="1975">
        <v>12</v>
      </c>
      <c r="G4102" s="1977"/>
      <c r="H4102" s="1975" t="s">
        <v>49</v>
      </c>
      <c r="I4102" s="1976"/>
      <c r="J4102" s="1976"/>
      <c r="K4102" s="1977"/>
      <c r="L4102" s="1976" t="s">
        <v>436</v>
      </c>
      <c r="M4102" s="1976"/>
      <c r="N4102" s="1976"/>
      <c r="O4102" s="1976"/>
      <c r="P4102" s="2010"/>
      <c r="Q4102" s="1064"/>
      <c r="R4102" s="1064"/>
    </row>
    <row r="4103" spans="1:18" ht="18">
      <c r="A4103" s="664" t="s">
        <v>30</v>
      </c>
      <c r="B4103" s="1975" t="s">
        <v>137</v>
      </c>
      <c r="C4103" s="1976"/>
      <c r="D4103" s="1977"/>
      <c r="E4103" s="665">
        <f>+L3882</f>
        <v>66.703317999999996</v>
      </c>
      <c r="F4103" s="1975">
        <v>12</v>
      </c>
      <c r="G4103" s="1977"/>
      <c r="H4103" s="1975" t="s">
        <v>49</v>
      </c>
      <c r="I4103" s="1976"/>
      <c r="J4103" s="1976"/>
      <c r="K4103" s="1977"/>
      <c r="L4103" s="1976" t="s">
        <v>436</v>
      </c>
      <c r="M4103" s="1976"/>
      <c r="N4103" s="1976"/>
      <c r="O4103" s="1976"/>
      <c r="P4103" s="2010"/>
      <c r="Q4103" s="1064"/>
      <c r="R4103" s="1064"/>
    </row>
    <row r="4104" spans="1:18" ht="18">
      <c r="A4104" s="664" t="s">
        <v>46</v>
      </c>
      <c r="B4104" s="1975" t="s">
        <v>136</v>
      </c>
      <c r="C4104" s="1976"/>
      <c r="D4104" s="1977"/>
      <c r="E4104" s="665">
        <f>+L3922</f>
        <v>80.793499999999995</v>
      </c>
      <c r="F4104" s="1975">
        <v>12</v>
      </c>
      <c r="G4104" s="1977"/>
      <c r="H4104" s="1975" t="s">
        <v>49</v>
      </c>
      <c r="I4104" s="1976"/>
      <c r="J4104" s="1976"/>
      <c r="K4104" s="1977"/>
      <c r="L4104" s="1976" t="s">
        <v>436</v>
      </c>
      <c r="M4104" s="1976"/>
      <c r="N4104" s="1976"/>
      <c r="O4104" s="1976"/>
      <c r="P4104" s="2010"/>
      <c r="Q4104" s="1064"/>
      <c r="R4104" s="1064"/>
    </row>
    <row r="4105" spans="1:18" ht="18">
      <c r="A4105" s="664"/>
      <c r="B4105" s="1975"/>
      <c r="C4105" s="1976"/>
      <c r="D4105" s="1977"/>
      <c r="E4105" s="665"/>
      <c r="F4105" s="1975"/>
      <c r="G4105" s="1977"/>
      <c r="H4105" s="1975"/>
      <c r="I4105" s="1976"/>
      <c r="J4105" s="1976"/>
      <c r="K4105" s="1977"/>
      <c r="L4105" s="1976"/>
      <c r="M4105" s="1976"/>
      <c r="N4105" s="1976"/>
      <c r="O4105" s="1976"/>
      <c r="P4105" s="2010"/>
      <c r="Q4105" s="1064"/>
      <c r="R4105" s="1064"/>
    </row>
    <row r="4106" spans="1:18" ht="18">
      <c r="A4106" s="670" t="s">
        <v>58</v>
      </c>
      <c r="B4106" s="1976" t="s">
        <v>397</v>
      </c>
      <c r="C4106" s="1976"/>
      <c r="D4106" s="1976"/>
      <c r="E4106" s="671">
        <f>+L3945-4.863</f>
        <v>6.2897439999999998</v>
      </c>
      <c r="F4106" s="1975">
        <v>12</v>
      </c>
      <c r="G4106" s="1977"/>
      <c r="H4106" s="1975" t="s">
        <v>155</v>
      </c>
      <c r="I4106" s="1976"/>
      <c r="J4106" s="1976"/>
      <c r="K4106" s="1977"/>
      <c r="L4106" s="1976" t="s">
        <v>437</v>
      </c>
      <c r="M4106" s="1976"/>
      <c r="N4106" s="1976"/>
      <c r="O4106" s="1976"/>
      <c r="P4106" s="2010"/>
      <c r="Q4106" s="1064"/>
      <c r="R4106" s="1064"/>
    </row>
    <row r="4107" spans="1:18" ht="18">
      <c r="A4107" s="670" t="s">
        <v>163</v>
      </c>
      <c r="B4107" s="1976" t="s">
        <v>398</v>
      </c>
      <c r="C4107" s="1976"/>
      <c r="D4107" s="1976"/>
      <c r="E4107" s="671">
        <f>+L3960-1.868</f>
        <v>4.4936599999999984</v>
      </c>
      <c r="F4107" s="1975">
        <v>12</v>
      </c>
      <c r="G4107" s="1977"/>
      <c r="H4107" s="1975" t="s">
        <v>155</v>
      </c>
      <c r="I4107" s="1976"/>
      <c r="J4107" s="1976"/>
      <c r="K4107" s="1977"/>
      <c r="L4107" s="1976" t="s">
        <v>437</v>
      </c>
      <c r="M4107" s="1976"/>
      <c r="N4107" s="1976"/>
      <c r="O4107" s="1976"/>
      <c r="P4107" s="2010"/>
      <c r="Q4107" s="1064"/>
      <c r="R4107" s="1064"/>
    </row>
    <row r="4108" spans="1:18" ht="18">
      <c r="A4108" s="670" t="s">
        <v>302</v>
      </c>
      <c r="B4108" s="1976" t="s">
        <v>399</v>
      </c>
      <c r="C4108" s="1976"/>
      <c r="D4108" s="1976"/>
      <c r="E4108" s="671">
        <f>+L3971</f>
        <v>16.543200000000002</v>
      </c>
      <c r="F4108" s="1975">
        <v>12</v>
      </c>
      <c r="G4108" s="1977"/>
      <c r="H4108" s="1975" t="s">
        <v>155</v>
      </c>
      <c r="I4108" s="1976"/>
      <c r="J4108" s="1976"/>
      <c r="K4108" s="1977"/>
      <c r="L4108" s="1976" t="s">
        <v>437</v>
      </c>
      <c r="M4108" s="1976"/>
      <c r="N4108" s="1976"/>
      <c r="O4108" s="1976"/>
      <c r="P4108" s="2010"/>
      <c r="Q4108" s="1064"/>
      <c r="R4108" s="1064"/>
    </row>
    <row r="4109" spans="1:18" s="497" customFormat="1" ht="18">
      <c r="A4109" s="670"/>
      <c r="B4109" s="809"/>
      <c r="C4109" s="809"/>
      <c r="D4109" s="809"/>
      <c r="E4109" s="671"/>
      <c r="F4109" s="808"/>
      <c r="G4109" s="810"/>
      <c r="H4109" s="808"/>
      <c r="I4109" s="1842"/>
      <c r="J4109" s="809"/>
      <c r="K4109" s="810"/>
      <c r="L4109" s="809"/>
      <c r="M4109" s="809"/>
      <c r="N4109" s="809"/>
      <c r="O4109" s="809"/>
      <c r="P4109" s="2010"/>
      <c r="Q4109" s="1064"/>
      <c r="R4109" s="1064"/>
    </row>
    <row r="4110" spans="1:18" s="497" customFormat="1" ht="18">
      <c r="A4110" s="670"/>
      <c r="B4110" s="809"/>
      <c r="C4110" s="809"/>
      <c r="D4110" s="809"/>
      <c r="E4110" s="671"/>
      <c r="F4110" s="808"/>
      <c r="G4110" s="810"/>
      <c r="H4110" s="808"/>
      <c r="I4110" s="1842"/>
      <c r="J4110" s="809"/>
      <c r="K4110" s="810"/>
      <c r="L4110" s="809"/>
      <c r="M4110" s="809"/>
      <c r="N4110" s="809"/>
      <c r="O4110" s="809"/>
      <c r="P4110" s="2010"/>
      <c r="Q4110" s="1064"/>
      <c r="R4110" s="1064"/>
    </row>
    <row r="4111" spans="1:18" s="497" customFormat="1" ht="18">
      <c r="A4111" s="664" t="s">
        <v>380</v>
      </c>
      <c r="B4111" s="1975" t="s">
        <v>138</v>
      </c>
      <c r="C4111" s="1976"/>
      <c r="D4111" s="1977"/>
      <c r="E4111" s="665">
        <f>+L3985+2</f>
        <v>8.6064319999999999</v>
      </c>
      <c r="F4111" s="1975">
        <v>12</v>
      </c>
      <c r="G4111" s="1977"/>
      <c r="H4111" s="1975" t="s">
        <v>447</v>
      </c>
      <c r="I4111" s="1976"/>
      <c r="J4111" s="1976"/>
      <c r="K4111" s="1977"/>
      <c r="L4111" s="1976" t="s">
        <v>436</v>
      </c>
      <c r="M4111" s="1976"/>
      <c r="N4111" s="1976"/>
      <c r="O4111" s="1976"/>
      <c r="P4111" s="2010"/>
      <c r="Q4111" s="1064"/>
      <c r="R4111" s="1064"/>
    </row>
    <row r="4112" spans="1:18" s="497" customFormat="1" ht="18">
      <c r="A4112" s="664" t="s">
        <v>434</v>
      </c>
      <c r="B4112" s="1975" t="s">
        <v>137</v>
      </c>
      <c r="C4112" s="1976"/>
      <c r="D4112" s="1977"/>
      <c r="E4112" s="665">
        <f>+L4014+2</f>
        <v>26.056660000000001</v>
      </c>
      <c r="F4112" s="1975">
        <v>12</v>
      </c>
      <c r="G4112" s="1977"/>
      <c r="H4112" s="1975" t="s">
        <v>447</v>
      </c>
      <c r="I4112" s="1976"/>
      <c r="J4112" s="1976"/>
      <c r="K4112" s="1977"/>
      <c r="L4112" s="1976" t="s">
        <v>436</v>
      </c>
      <c r="M4112" s="1976"/>
      <c r="N4112" s="1976"/>
      <c r="O4112" s="1976"/>
      <c r="P4112" s="2010"/>
      <c r="Q4112" s="1064"/>
      <c r="R4112" s="1064"/>
    </row>
    <row r="4113" spans="1:18" s="497" customFormat="1" ht="18">
      <c r="A4113" s="664" t="s">
        <v>474</v>
      </c>
      <c r="B4113" s="1975" t="s">
        <v>136</v>
      </c>
      <c r="C4113" s="1976"/>
      <c r="D4113" s="1977"/>
      <c r="E4113" s="665">
        <f>+L4040+2</f>
        <v>36.730556</v>
      </c>
      <c r="F4113" s="1975">
        <v>12</v>
      </c>
      <c r="G4113" s="1977"/>
      <c r="H4113" s="1975" t="s">
        <v>447</v>
      </c>
      <c r="I4113" s="1976"/>
      <c r="J4113" s="1976"/>
      <c r="K4113" s="1977"/>
      <c r="L4113" s="1976" t="s">
        <v>436</v>
      </c>
      <c r="M4113" s="1976"/>
      <c r="N4113" s="1976"/>
      <c r="O4113" s="1976"/>
      <c r="P4113" s="2010"/>
      <c r="Q4113" s="1064"/>
      <c r="R4113" s="1064"/>
    </row>
    <row r="4114" spans="1:18" s="497" customFormat="1" ht="18">
      <c r="A4114" s="664"/>
      <c r="B4114" s="1975"/>
      <c r="C4114" s="1976"/>
      <c r="D4114" s="1977"/>
      <c r="E4114" s="665"/>
      <c r="F4114" s="1975"/>
      <c r="G4114" s="1977"/>
      <c r="H4114" s="1975"/>
      <c r="I4114" s="1976"/>
      <c r="J4114" s="1976"/>
      <c r="K4114" s="1977"/>
      <c r="L4114" s="1976"/>
      <c r="M4114" s="1976"/>
      <c r="N4114" s="1976"/>
      <c r="O4114" s="1976"/>
      <c r="P4114" s="2010"/>
      <c r="Q4114" s="1064"/>
      <c r="R4114" s="1064"/>
    </row>
    <row r="4115" spans="1:18" s="497" customFormat="1" ht="18">
      <c r="A4115" s="664"/>
      <c r="B4115" s="1975"/>
      <c r="C4115" s="1976"/>
      <c r="D4115" s="1977"/>
      <c r="E4115" s="665"/>
      <c r="F4115" s="1975"/>
      <c r="G4115" s="1977"/>
      <c r="H4115" s="1975"/>
      <c r="I4115" s="1976"/>
      <c r="J4115" s="1976"/>
      <c r="K4115" s="1977"/>
      <c r="L4115" s="1976"/>
      <c r="M4115" s="1976"/>
      <c r="N4115" s="1976"/>
      <c r="O4115" s="1976"/>
      <c r="P4115" s="2010"/>
      <c r="Q4115" s="1064"/>
      <c r="R4115" s="1064"/>
    </row>
    <row r="4116" spans="1:18" s="497" customFormat="1" ht="18">
      <c r="A4116" s="670" t="s">
        <v>475</v>
      </c>
      <c r="B4116" s="1976" t="s">
        <v>397</v>
      </c>
      <c r="C4116" s="1976"/>
      <c r="D4116" s="1976"/>
      <c r="E4116" s="671">
        <v>5</v>
      </c>
      <c r="F4116" s="1975">
        <v>8.5</v>
      </c>
      <c r="G4116" s="1977"/>
      <c r="H4116" s="1975" t="s">
        <v>450</v>
      </c>
      <c r="I4116" s="1976"/>
      <c r="J4116" s="1976"/>
      <c r="K4116" s="1977"/>
      <c r="L4116" s="1976" t="s">
        <v>437</v>
      </c>
      <c r="M4116" s="1976"/>
      <c r="N4116" s="1976"/>
      <c r="O4116" s="1976"/>
      <c r="P4116" s="2010"/>
      <c r="Q4116" s="1064"/>
      <c r="R4116" s="1064"/>
    </row>
    <row r="4117" spans="1:18" s="497" customFormat="1" ht="18">
      <c r="A4117" s="670" t="s">
        <v>476</v>
      </c>
      <c r="B4117" s="1976" t="s">
        <v>399</v>
      </c>
      <c r="C4117" s="1976"/>
      <c r="D4117" s="1976"/>
      <c r="E4117" s="671">
        <v>5</v>
      </c>
      <c r="F4117" s="1975">
        <v>8.5</v>
      </c>
      <c r="G4117" s="1977"/>
      <c r="H4117" s="1975" t="s">
        <v>450</v>
      </c>
      <c r="I4117" s="1976"/>
      <c r="J4117" s="1976"/>
      <c r="K4117" s="1977"/>
      <c r="L4117" s="1976" t="s">
        <v>437</v>
      </c>
      <c r="M4117" s="1976"/>
      <c r="N4117" s="1976"/>
      <c r="O4117" s="1976"/>
      <c r="P4117" s="2010"/>
      <c r="Q4117" s="1064"/>
      <c r="R4117" s="1064"/>
    </row>
    <row r="4118" spans="1:18" s="497" customFormat="1" ht="18">
      <c r="A4118" s="670" t="s">
        <v>477</v>
      </c>
      <c r="B4118" s="1976" t="s">
        <v>473</v>
      </c>
      <c r="C4118" s="1976"/>
      <c r="D4118" s="1976"/>
      <c r="E4118" s="671">
        <f>7+2</f>
        <v>9</v>
      </c>
      <c r="F4118" s="1975">
        <v>8.5</v>
      </c>
      <c r="G4118" s="1977"/>
      <c r="H4118" s="1975" t="s">
        <v>450</v>
      </c>
      <c r="I4118" s="1976"/>
      <c r="J4118" s="1976"/>
      <c r="K4118" s="1977"/>
      <c r="L4118" s="1976" t="s">
        <v>437</v>
      </c>
      <c r="M4118" s="1976"/>
      <c r="N4118" s="1976"/>
      <c r="O4118" s="1976"/>
      <c r="P4118" s="2010"/>
      <c r="Q4118" s="1064"/>
      <c r="R4118" s="1064"/>
    </row>
    <row r="4119" spans="1:18" s="497" customFormat="1" ht="18">
      <c r="A4119" s="670"/>
      <c r="B4119" s="842"/>
      <c r="C4119" s="842"/>
      <c r="D4119" s="842"/>
      <c r="E4119" s="671"/>
      <c r="F4119" s="843"/>
      <c r="G4119" s="844"/>
      <c r="H4119" s="843"/>
      <c r="I4119" s="1842"/>
      <c r="J4119" s="842"/>
      <c r="K4119" s="844"/>
      <c r="L4119" s="842"/>
      <c r="M4119" s="842"/>
      <c r="N4119" s="842"/>
      <c r="O4119" s="842"/>
      <c r="P4119" s="2010"/>
      <c r="Q4119" s="1064"/>
      <c r="R4119" s="1064"/>
    </row>
    <row r="4120" spans="1:18" s="497" customFormat="1" ht="18">
      <c r="A4120" s="664" t="s">
        <v>501</v>
      </c>
      <c r="B4120" s="1975" t="s">
        <v>138</v>
      </c>
      <c r="C4120" s="1976"/>
      <c r="D4120" s="1977"/>
      <c r="E4120" s="665">
        <f>+L4080</f>
        <v>42.14734</v>
      </c>
      <c r="F4120" s="1975">
        <v>12</v>
      </c>
      <c r="G4120" s="1977"/>
      <c r="H4120" s="1975" t="s">
        <v>49</v>
      </c>
      <c r="I4120" s="1976"/>
      <c r="J4120" s="1976"/>
      <c r="K4120" s="1977"/>
      <c r="L4120" s="1976" t="s">
        <v>436</v>
      </c>
      <c r="M4120" s="1976"/>
      <c r="N4120" s="1976"/>
      <c r="O4120" s="1976"/>
      <c r="P4120" s="2010"/>
      <c r="Q4120" s="1064"/>
      <c r="R4120" s="1064"/>
    </row>
    <row r="4121" spans="1:18" s="497" customFormat="1" ht="18">
      <c r="A4121" s="664" t="s">
        <v>504</v>
      </c>
      <c r="B4121" s="1975" t="s">
        <v>137</v>
      </c>
      <c r="C4121" s="1976"/>
      <c r="D4121" s="1977"/>
      <c r="E4121" s="665">
        <f>+L4093</f>
        <v>39.062489999999997</v>
      </c>
      <c r="F4121" s="1975">
        <v>12</v>
      </c>
      <c r="G4121" s="1977"/>
      <c r="H4121" s="1975" t="s">
        <v>49</v>
      </c>
      <c r="I4121" s="1976"/>
      <c r="J4121" s="1976"/>
      <c r="K4121" s="1977"/>
      <c r="L4121" s="1976" t="s">
        <v>436</v>
      </c>
      <c r="M4121" s="1976"/>
      <c r="N4121" s="1976"/>
      <c r="O4121" s="1976"/>
      <c r="P4121" s="2010"/>
      <c r="Q4121" s="1064"/>
      <c r="R4121" s="1064"/>
    </row>
    <row r="4122" spans="1:18" ht="18.600000000000001" thickBot="1">
      <c r="A4122" s="664"/>
      <c r="B4122" s="808"/>
      <c r="C4122" s="809"/>
      <c r="D4122" s="809"/>
      <c r="E4122" s="665"/>
      <c r="F4122" s="809"/>
      <c r="G4122" s="810"/>
      <c r="H4122" s="808"/>
      <c r="I4122" s="1842"/>
      <c r="J4122" s="809"/>
      <c r="K4122" s="669"/>
      <c r="L4122" s="672"/>
      <c r="M4122" s="673"/>
      <c r="N4122" s="673"/>
      <c r="O4122" s="673"/>
      <c r="P4122" s="2010"/>
      <c r="Q4122" s="1064"/>
      <c r="R4122" s="1064"/>
    </row>
    <row r="4123" spans="1:18" ht="18">
      <c r="A4123" s="674"/>
      <c r="B4123" s="675"/>
      <c r="C4123" s="676"/>
      <c r="D4123" s="676"/>
      <c r="E4123" s="1980">
        <f>SUM(E4100:E4122)</f>
        <v>544.48962399999994</v>
      </c>
      <c r="F4123" s="677"/>
      <c r="G4123" s="678"/>
      <c r="H4123" s="679"/>
      <c r="I4123" s="1848"/>
      <c r="J4123" s="676"/>
      <c r="K4123" s="680"/>
      <c r="L4123" s="679"/>
      <c r="M4123" s="676"/>
      <c r="N4123" s="677"/>
      <c r="O4123" s="676"/>
      <c r="P4123" s="2010"/>
      <c r="Q4123" s="1064"/>
      <c r="R4123" s="1064"/>
    </row>
    <row r="4124" spans="1:18" ht="18.600000000000001" thickBot="1">
      <c r="A4124" s="681"/>
      <c r="B4124" s="682"/>
      <c r="C4124" s="683"/>
      <c r="D4124" s="683"/>
      <c r="E4124" s="1981"/>
      <c r="F4124" s="684"/>
      <c r="G4124" s="685"/>
      <c r="H4124" s="686"/>
      <c r="I4124" s="1850"/>
      <c r="J4124" s="683"/>
      <c r="K4124" s="687"/>
      <c r="L4124" s="686"/>
      <c r="M4124" s="683"/>
      <c r="N4124" s="684"/>
      <c r="O4124" s="683"/>
      <c r="P4124" s="2010"/>
      <c r="Q4124" s="1064"/>
      <c r="R4124" s="1064"/>
    </row>
    <row r="4125" spans="1:18" ht="18">
      <c r="A4125" s="688" t="s">
        <v>31</v>
      </c>
      <c r="B4125" s="676"/>
      <c r="C4125" s="676"/>
      <c r="D4125" s="676"/>
      <c r="E4125" s="676"/>
      <c r="F4125" s="677"/>
      <c r="G4125" s="676"/>
      <c r="H4125" s="677"/>
      <c r="I4125" s="1848"/>
      <c r="J4125" s="676"/>
      <c r="K4125" s="689"/>
      <c r="L4125" s="677"/>
      <c r="M4125" s="676"/>
      <c r="N4125" s="677"/>
      <c r="O4125" s="676"/>
      <c r="P4125" s="2010"/>
      <c r="Q4125" s="1064"/>
      <c r="R4125" s="1064"/>
    </row>
    <row r="4126" spans="1:18" ht="18">
      <c r="A4126" s="690"/>
      <c r="B4126" s="691"/>
      <c r="C4126" s="691"/>
      <c r="D4126" s="691"/>
      <c r="E4126" s="691"/>
      <c r="F4126" s="807"/>
      <c r="G4126" s="691"/>
      <c r="H4126" s="807"/>
      <c r="I4126" s="1849"/>
      <c r="J4126" s="691"/>
      <c r="K4126" s="693"/>
      <c r="L4126" s="807"/>
      <c r="M4126" s="691"/>
      <c r="N4126" s="807"/>
      <c r="O4126" s="691"/>
      <c r="P4126" s="2010"/>
      <c r="Q4126" s="1064"/>
      <c r="R4126" s="1064"/>
    </row>
    <row r="4127" spans="1:18" ht="18.600000000000001" thickBot="1">
      <c r="A4127" s="1982" t="s">
        <v>32</v>
      </c>
      <c r="B4127" s="1983"/>
      <c r="C4127" s="1984" t="s">
        <v>33</v>
      </c>
      <c r="D4127" s="1985"/>
      <c r="E4127" s="694" t="s">
        <v>34</v>
      </c>
      <c r="F4127" s="694" t="s">
        <v>35</v>
      </c>
      <c r="G4127" s="1986" t="s">
        <v>36</v>
      </c>
      <c r="H4127" s="1987"/>
      <c r="I4127" s="1987"/>
      <c r="J4127" s="1987"/>
      <c r="K4127" s="1987"/>
      <c r="L4127" s="1987"/>
      <c r="M4127" s="1987"/>
      <c r="N4127" s="1987"/>
      <c r="O4127" s="1987"/>
      <c r="P4127" s="2010"/>
      <c r="Q4127" s="1064"/>
      <c r="R4127" s="1064"/>
    </row>
    <row r="4128" spans="1:18" ht="18">
      <c r="A4128" s="1988"/>
      <c r="B4128" s="1989"/>
      <c r="C4128" s="1990"/>
      <c r="D4128" s="1989"/>
      <c r="E4128" s="811"/>
      <c r="F4128" s="805"/>
      <c r="G4128" s="1991"/>
      <c r="H4128" s="1992"/>
      <c r="I4128" s="1992"/>
      <c r="J4128" s="1992"/>
      <c r="K4128" s="1992"/>
      <c r="L4128" s="1992"/>
      <c r="M4128" s="1992"/>
      <c r="N4128" s="1992"/>
      <c r="O4128" s="1992"/>
      <c r="P4128" s="2010"/>
      <c r="Q4128" s="1064"/>
      <c r="R4128" s="1064"/>
    </row>
    <row r="4129" spans="1:18" ht="18">
      <c r="A4129" s="1997" t="s">
        <v>37</v>
      </c>
      <c r="B4129" s="1998"/>
      <c r="C4129" s="1990"/>
      <c r="D4129" s="1989"/>
      <c r="E4129" s="811"/>
      <c r="F4129" s="805"/>
      <c r="G4129" s="1993"/>
      <c r="H4129" s="1994"/>
      <c r="I4129" s="1994"/>
      <c r="J4129" s="1994"/>
      <c r="K4129" s="1994"/>
      <c r="L4129" s="1994"/>
      <c r="M4129" s="1994"/>
      <c r="N4129" s="1994"/>
      <c r="O4129" s="1994"/>
      <c r="P4129" s="2010"/>
      <c r="Q4129" s="1064"/>
      <c r="R4129" s="1064"/>
    </row>
    <row r="4130" spans="1:18" ht="18">
      <c r="A4130" s="1997" t="s">
        <v>38</v>
      </c>
      <c r="B4130" s="1998"/>
      <c r="C4130" s="1990"/>
      <c r="D4130" s="1989"/>
      <c r="E4130" s="811"/>
      <c r="F4130" s="805"/>
      <c r="G4130" s="1993"/>
      <c r="H4130" s="1994"/>
      <c r="I4130" s="1994"/>
      <c r="J4130" s="1994"/>
      <c r="K4130" s="1994"/>
      <c r="L4130" s="1994"/>
      <c r="M4130" s="1994"/>
      <c r="N4130" s="1994"/>
      <c r="O4130" s="1994"/>
      <c r="P4130" s="2010"/>
      <c r="Q4130" s="1064"/>
      <c r="R4130" s="1064"/>
    </row>
    <row r="4131" spans="1:18" ht="18">
      <c r="A4131" s="1997" t="s">
        <v>39</v>
      </c>
      <c r="B4131" s="1998"/>
      <c r="C4131" s="1990"/>
      <c r="D4131" s="1989"/>
      <c r="E4131" s="811"/>
      <c r="F4131" s="805"/>
      <c r="G4131" s="1993"/>
      <c r="H4131" s="1994"/>
      <c r="I4131" s="1994"/>
      <c r="J4131" s="1994"/>
      <c r="K4131" s="1994"/>
      <c r="L4131" s="1994"/>
      <c r="M4131" s="1994"/>
      <c r="N4131" s="1994"/>
      <c r="O4131" s="1994"/>
      <c r="P4131" s="2010"/>
      <c r="Q4131" s="1064"/>
      <c r="R4131" s="1064"/>
    </row>
    <row r="4132" spans="1:18" ht="18">
      <c r="A4132" s="1997" t="s">
        <v>40</v>
      </c>
      <c r="B4132" s="1998"/>
      <c r="C4132" s="1990"/>
      <c r="D4132" s="1989"/>
      <c r="E4132" s="811"/>
      <c r="F4132" s="805"/>
      <c r="G4132" s="1993"/>
      <c r="H4132" s="1994"/>
      <c r="I4132" s="1994"/>
      <c r="J4132" s="1994"/>
      <c r="K4132" s="1994"/>
      <c r="L4132" s="1994"/>
      <c r="M4132" s="1994"/>
      <c r="N4132" s="1994"/>
      <c r="O4132" s="1994"/>
      <c r="P4132" s="2010"/>
      <c r="Q4132" s="1064"/>
      <c r="R4132" s="1064"/>
    </row>
    <row r="4133" spans="1:18" ht="18.600000000000001" thickBot="1">
      <c r="A4133" s="1999" t="s">
        <v>41</v>
      </c>
      <c r="B4133" s="2000"/>
      <c r="C4133" s="2001"/>
      <c r="D4133" s="2002"/>
      <c r="E4133" s="696"/>
      <c r="F4133" s="806"/>
      <c r="G4133" s="1995"/>
      <c r="H4133" s="1996"/>
      <c r="I4133" s="1996"/>
      <c r="J4133" s="1996"/>
      <c r="K4133" s="1996"/>
      <c r="L4133" s="1996"/>
      <c r="M4133" s="1996"/>
      <c r="N4133" s="1996"/>
      <c r="O4133" s="1996"/>
      <c r="P4133" s="2010"/>
      <c r="Q4133" s="1064"/>
      <c r="R4133" s="1064"/>
    </row>
    <row r="4134" spans="1:18" ht="18">
      <c r="A4134" s="690"/>
      <c r="B4134" s="691"/>
      <c r="C4134" s="691"/>
      <c r="D4134" s="691"/>
      <c r="E4134" s="691"/>
      <c r="F4134" s="807"/>
      <c r="G4134" s="691"/>
      <c r="H4134" s="698"/>
      <c r="I4134" s="699"/>
      <c r="J4134" s="700"/>
      <c r="K4134" s="701"/>
      <c r="L4134" s="702"/>
      <c r="M4134" s="691"/>
      <c r="N4134" s="807"/>
      <c r="O4134" s="691"/>
      <c r="P4134" s="2010"/>
      <c r="Q4134" s="1064"/>
      <c r="R4134" s="1064"/>
    </row>
    <row r="4135" spans="1:18" ht="18">
      <c r="A4135" s="703" t="s">
        <v>42</v>
      </c>
      <c r="B4135" s="704"/>
      <c r="C4135" s="691"/>
      <c r="D4135" s="691"/>
      <c r="E4135" s="691"/>
      <c r="F4135" s="807"/>
      <c r="G4135" s="704"/>
      <c r="H4135" s="698"/>
      <c r="I4135" s="699"/>
      <c r="J4135" s="700"/>
      <c r="K4135" s="693"/>
      <c r="L4135" s="705"/>
      <c r="M4135" s="691"/>
      <c r="N4135" s="1979" t="s">
        <v>43</v>
      </c>
      <c r="O4135" s="1979"/>
      <c r="P4135" s="2010"/>
      <c r="Q4135" s="1064"/>
      <c r="R4135" s="1064"/>
    </row>
    <row r="4136" spans="1:18" ht="18">
      <c r="A4136" s="703"/>
      <c r="B4136" s="704"/>
      <c r="C4136" s="691"/>
      <c r="D4136" s="691"/>
      <c r="E4136" s="691"/>
      <c r="F4136" s="807"/>
      <c r="G4136" s="691"/>
      <c r="H4136" s="807"/>
      <c r="I4136" s="1849"/>
      <c r="J4136" s="691"/>
      <c r="K4136" s="693"/>
      <c r="L4136" s="807"/>
      <c r="M4136" s="691"/>
      <c r="N4136" s="807"/>
      <c r="O4136" s="704"/>
      <c r="P4136" s="2010"/>
      <c r="Q4136" s="1064"/>
      <c r="R4136" s="1064"/>
    </row>
    <row r="4137" spans="1:18" ht="18">
      <c r="A4137" s="703" t="s">
        <v>44</v>
      </c>
      <c r="B4137" s="704"/>
      <c r="C4137" s="691"/>
      <c r="D4137" s="691"/>
      <c r="E4137" s="691"/>
      <c r="F4137" s="807"/>
      <c r="G4137" s="691"/>
      <c r="H4137" s="807"/>
      <c r="I4137" s="1849"/>
      <c r="J4137" s="691"/>
      <c r="K4137" s="693"/>
      <c r="L4137" s="807"/>
      <c r="M4137" s="691"/>
      <c r="N4137" s="1979" t="s">
        <v>45</v>
      </c>
      <c r="O4137" s="1979"/>
      <c r="P4137" s="2010"/>
      <c r="Q4137" s="1064"/>
      <c r="R4137" s="1064"/>
    </row>
    <row r="4138" spans="1:18" ht="18.600000000000001" thickBot="1">
      <c r="A4138" s="682"/>
      <c r="B4138" s="683"/>
      <c r="C4138" s="683"/>
      <c r="D4138" s="683"/>
      <c r="E4138" s="683"/>
      <c r="F4138" s="684"/>
      <c r="G4138" s="683"/>
      <c r="H4138" s="684"/>
      <c r="I4138" s="1850"/>
      <c r="J4138" s="683"/>
      <c r="K4138" s="706"/>
      <c r="L4138" s="684"/>
      <c r="M4138" s="683"/>
      <c r="N4138" s="684"/>
      <c r="O4138" s="683"/>
      <c r="P4138" s="2010"/>
      <c r="Q4138" s="1064"/>
      <c r="R4138" s="1064"/>
    </row>
    <row r="4143" spans="1:18" ht="17.399999999999999">
      <c r="A4143" s="711" t="s">
        <v>48</v>
      </c>
      <c r="B4143" s="711"/>
      <c r="C4143" s="712"/>
      <c r="D4143" s="712"/>
      <c r="E4143" s="712"/>
      <c r="F4143" s="713"/>
      <c r="G4143" s="712"/>
      <c r="H4143" s="712"/>
      <c r="I4143" s="714"/>
      <c r="J4143" s="715"/>
      <c r="K4143" s="716"/>
      <c r="L4143" s="1978" t="s">
        <v>0</v>
      </c>
      <c r="M4143" s="1978"/>
      <c r="N4143" s="1978"/>
      <c r="O4143" s="1978"/>
      <c r="P4143" s="717"/>
      <c r="Q4143" s="717"/>
      <c r="R4143" s="717"/>
    </row>
    <row r="4144" spans="1:18" ht="17.399999999999999">
      <c r="A4144" s="718" t="s">
        <v>1</v>
      </c>
      <c r="B4144" s="718"/>
      <c r="C4144" s="718"/>
      <c r="D4144" s="719" t="s">
        <v>2</v>
      </c>
      <c r="E4144" s="719"/>
      <c r="F4144" s="720"/>
      <c r="G4144" s="720"/>
      <c r="H4144" s="720"/>
      <c r="I4144" s="721"/>
      <c r="J4144" s="822"/>
      <c r="K4144" s="723" t="s">
        <v>3</v>
      </c>
      <c r="L4144" s="822"/>
      <c r="M4144" s="718"/>
      <c r="N4144" s="720"/>
      <c r="O4144" s="718"/>
      <c r="P4144" s="724"/>
      <c r="Q4144" s="1059"/>
      <c r="R4144" s="1059"/>
    </row>
    <row r="4145" spans="1:19" ht="52.2">
      <c r="A4145" s="640" t="s">
        <v>4</v>
      </c>
      <c r="B4145" s="640" t="s">
        <v>5</v>
      </c>
      <c r="C4145" s="640" t="s">
        <v>6</v>
      </c>
      <c r="D4145" s="640" t="s">
        <v>7</v>
      </c>
      <c r="E4145" s="640" t="s">
        <v>8</v>
      </c>
      <c r="F4145" s="641" t="s">
        <v>9</v>
      </c>
      <c r="G4145" s="642" t="s">
        <v>10</v>
      </c>
      <c r="H4145" s="642" t="s">
        <v>11</v>
      </c>
      <c r="I4145" s="643" t="s">
        <v>12</v>
      </c>
      <c r="J4145" s="644" t="s">
        <v>13</v>
      </c>
      <c r="K4145" s="645" t="s">
        <v>14</v>
      </c>
      <c r="L4145" s="646" t="s">
        <v>15</v>
      </c>
      <c r="M4145" s="641" t="s">
        <v>16</v>
      </c>
      <c r="N4145" s="641" t="s">
        <v>17</v>
      </c>
      <c r="O4145" s="642" t="s">
        <v>18</v>
      </c>
      <c r="P4145" s="641" t="s">
        <v>192</v>
      </c>
      <c r="Q4145" s="1063"/>
      <c r="R4145" s="1063"/>
    </row>
    <row r="4146" spans="1:19" ht="17.399999999999999">
      <c r="A4146" s="549"/>
      <c r="B4146" s="549"/>
      <c r="C4146" s="549"/>
      <c r="D4146" s="549"/>
      <c r="E4146" s="549"/>
      <c r="F4146" s="549"/>
      <c r="G4146" s="549"/>
      <c r="H4146" s="549"/>
      <c r="I4146" s="560"/>
      <c r="J4146" s="549"/>
      <c r="K4146" s="561"/>
      <c r="L4146" s="560"/>
      <c r="M4146" s="549"/>
      <c r="N4146" s="549"/>
      <c r="O4146" s="549"/>
      <c r="P4146" s="549"/>
      <c r="Q4146" s="1059"/>
      <c r="R4146" s="1059"/>
    </row>
    <row r="4147" spans="1:19" ht="17.399999999999999">
      <c r="A4147" s="547" t="s">
        <v>411</v>
      </c>
      <c r="B4147" s="547" t="s">
        <v>486</v>
      </c>
      <c r="C4147" s="547" t="s">
        <v>19</v>
      </c>
      <c r="D4147" s="547" t="s">
        <v>20</v>
      </c>
      <c r="E4147" s="547" t="s">
        <v>359</v>
      </c>
      <c r="F4147" s="548">
        <v>12</v>
      </c>
      <c r="G4147" s="549" t="s">
        <v>21</v>
      </c>
      <c r="H4147" s="599" t="s">
        <v>98</v>
      </c>
      <c r="I4147" s="558">
        <v>11.8</v>
      </c>
      <c r="J4147" s="647">
        <v>12</v>
      </c>
      <c r="K4147" s="648">
        <v>16</v>
      </c>
      <c r="L4147" s="552">
        <f>(I4147*J4147*K4147/1000)</f>
        <v>2.2656000000000005</v>
      </c>
      <c r="M4147" s="549"/>
      <c r="N4147" s="549"/>
      <c r="O4147" s="549"/>
      <c r="P4147" s="549"/>
      <c r="Q4147" s="1059"/>
      <c r="R4147" s="1059"/>
      <c r="S4147" s="497" t="s">
        <v>554</v>
      </c>
    </row>
    <row r="4148" spans="1:19" ht="17.399999999999999">
      <c r="A4148" s="550"/>
      <c r="B4148" s="549" t="s">
        <v>331</v>
      </c>
      <c r="C4148" s="550"/>
      <c r="D4148" s="550"/>
      <c r="E4148" s="548"/>
      <c r="F4148" s="549"/>
      <c r="G4148" s="549"/>
      <c r="H4148" s="549"/>
      <c r="I4148" s="558"/>
      <c r="J4148" s="647"/>
      <c r="K4148" s="648">
        <f t="shared" ref="K4148:L4148" si="767">SUM(K4147)</f>
        <v>16</v>
      </c>
      <c r="L4148" s="567">
        <f t="shared" si="767"/>
        <v>2.2656000000000005</v>
      </c>
      <c r="M4148" s="549"/>
      <c r="N4148" s="549"/>
      <c r="O4148" s="549"/>
      <c r="P4148" s="549"/>
      <c r="Q4148" s="1059"/>
      <c r="R4148" s="1059"/>
    </row>
    <row r="4149" spans="1:19" s="497" customFormat="1" ht="17.399999999999999">
      <c r="A4149" s="550"/>
      <c r="B4149" s="549"/>
      <c r="C4149" s="550"/>
      <c r="D4149" s="550"/>
      <c r="E4149" s="548"/>
      <c r="F4149" s="549"/>
      <c r="G4149" s="549"/>
      <c r="H4149" s="549"/>
      <c r="I4149" s="558"/>
      <c r="J4149" s="647"/>
      <c r="K4149" s="648"/>
      <c r="L4149" s="567"/>
      <c r="M4149" s="549"/>
      <c r="N4149" s="549"/>
      <c r="O4149" s="549"/>
      <c r="P4149" s="549"/>
      <c r="Q4149" s="1059"/>
      <c r="R4149" s="1059"/>
    </row>
    <row r="4150" spans="1:19" ht="17.399999999999999">
      <c r="A4150" s="547" t="s">
        <v>495</v>
      </c>
      <c r="B4150" s="547" t="s">
        <v>452</v>
      </c>
      <c r="C4150" s="547" t="s">
        <v>19</v>
      </c>
      <c r="D4150" s="547" t="s">
        <v>20</v>
      </c>
      <c r="E4150" s="547" t="s">
        <v>359</v>
      </c>
      <c r="F4150" s="548">
        <v>12</v>
      </c>
      <c r="G4150" s="549" t="s">
        <v>21</v>
      </c>
      <c r="H4150" s="599" t="s">
        <v>98</v>
      </c>
      <c r="I4150" s="558">
        <v>11.8</v>
      </c>
      <c r="J4150" s="567">
        <v>8.15</v>
      </c>
      <c r="K4150" s="648">
        <v>4</v>
      </c>
      <c r="L4150" s="552">
        <f t="shared" ref="L4150:L4155" si="768">(I4150*J4150*K4150/1000)</f>
        <v>0.38468000000000008</v>
      </c>
      <c r="M4150" s="550">
        <f>1+2+1</f>
        <v>4</v>
      </c>
      <c r="N4150" s="567">
        <f>J4150*M4150*I4150/1000</f>
        <v>0.38468000000000008</v>
      </c>
      <c r="O4150" s="549"/>
      <c r="P4150" s="549"/>
      <c r="Q4150" s="1059"/>
      <c r="R4150" s="1059"/>
      <c r="S4150" s="497" t="s">
        <v>554</v>
      </c>
    </row>
    <row r="4151" spans="1:19" s="497" customFormat="1" ht="17.399999999999999">
      <c r="A4151" s="547"/>
      <c r="B4151" s="547"/>
      <c r="C4151" s="547"/>
      <c r="D4151" s="547"/>
      <c r="E4151" s="547"/>
      <c r="F4151" s="548"/>
      <c r="G4151" s="549" t="s">
        <v>21</v>
      </c>
      <c r="H4151" s="549" t="s">
        <v>98</v>
      </c>
      <c r="I4151" s="558">
        <v>11.8</v>
      </c>
      <c r="J4151" s="567">
        <v>8.6</v>
      </c>
      <c r="K4151" s="648">
        <v>2</v>
      </c>
      <c r="L4151" s="552">
        <f t="shared" ref="L4151" si="769">(I4151*J4151*K4151/1000)</f>
        <v>0.20296</v>
      </c>
      <c r="M4151" s="550"/>
      <c r="N4151" s="567"/>
      <c r="O4151" s="567">
        <v>8.15</v>
      </c>
      <c r="P4151" s="549"/>
      <c r="Q4151" s="1059"/>
      <c r="R4151" s="1059"/>
    </row>
    <row r="4152" spans="1:19" ht="17.399999999999999">
      <c r="A4152" s="550"/>
      <c r="B4152" s="549" t="s">
        <v>453</v>
      </c>
      <c r="C4152" s="550"/>
      <c r="D4152" s="550"/>
      <c r="E4152" s="548"/>
      <c r="F4152" s="549"/>
      <c r="G4152" s="549" t="s">
        <v>21</v>
      </c>
      <c r="H4152" s="549" t="s">
        <v>98</v>
      </c>
      <c r="I4152" s="558">
        <v>11.8</v>
      </c>
      <c r="J4152" s="567">
        <v>10.3</v>
      </c>
      <c r="K4152" s="648">
        <v>4</v>
      </c>
      <c r="L4152" s="552">
        <f t="shared" si="768"/>
        <v>0.48616000000000009</v>
      </c>
      <c r="M4152" s="550"/>
      <c r="N4152" s="549"/>
      <c r="O4152" s="567">
        <v>10</v>
      </c>
      <c r="P4152" s="549"/>
      <c r="Q4152" s="1059"/>
      <c r="R4152" s="1059"/>
    </row>
    <row r="4153" spans="1:19" ht="17.399999999999999">
      <c r="A4153" s="549"/>
      <c r="B4153" s="549"/>
      <c r="C4153" s="549"/>
      <c r="D4153" s="549"/>
      <c r="E4153" s="549"/>
      <c r="F4153" s="549"/>
      <c r="G4153" s="549" t="s">
        <v>21</v>
      </c>
      <c r="H4153" s="549" t="s">
        <v>98</v>
      </c>
      <c r="I4153" s="558">
        <v>11.8</v>
      </c>
      <c r="J4153" s="567">
        <v>10.5</v>
      </c>
      <c r="K4153" s="648">
        <v>18</v>
      </c>
      <c r="L4153" s="552">
        <f t="shared" si="768"/>
        <v>2.2302000000000004</v>
      </c>
      <c r="M4153" s="550">
        <v>2</v>
      </c>
      <c r="N4153" s="567">
        <f>J4153*M4153*I4153/1000</f>
        <v>0.24780000000000002</v>
      </c>
      <c r="O4153" s="549"/>
      <c r="P4153" s="549"/>
      <c r="Q4153" s="1059"/>
      <c r="R4153" s="1059"/>
    </row>
    <row r="4154" spans="1:19" ht="17.399999999999999">
      <c r="A4154" s="549"/>
      <c r="B4154" s="549"/>
      <c r="C4154" s="549"/>
      <c r="D4154" s="549"/>
      <c r="E4154" s="549"/>
      <c r="F4154" s="549"/>
      <c r="G4154" s="549" t="s">
        <v>21</v>
      </c>
      <c r="H4154" s="549" t="s">
        <v>98</v>
      </c>
      <c r="I4154" s="558">
        <v>11.8</v>
      </c>
      <c r="J4154" s="567">
        <v>11</v>
      </c>
      <c r="K4154" s="648">
        <v>24</v>
      </c>
      <c r="L4154" s="552">
        <f t="shared" si="768"/>
        <v>3.1152000000000002</v>
      </c>
      <c r="M4154" s="550"/>
      <c r="N4154" s="549"/>
      <c r="O4154" s="549"/>
      <c r="P4154" s="549"/>
      <c r="Q4154" s="1059"/>
      <c r="R4154" s="1059"/>
    </row>
    <row r="4155" spans="1:19" ht="17.399999999999999">
      <c r="A4155" s="549"/>
      <c r="B4155" s="549"/>
      <c r="C4155" s="549"/>
      <c r="D4155" s="549"/>
      <c r="E4155" s="549"/>
      <c r="F4155" s="549"/>
      <c r="G4155" s="549" t="s">
        <v>21</v>
      </c>
      <c r="H4155" s="549" t="s">
        <v>98</v>
      </c>
      <c r="I4155" s="558">
        <v>11.8</v>
      </c>
      <c r="J4155" s="567">
        <v>11.5</v>
      </c>
      <c r="K4155" s="648">
        <v>4</v>
      </c>
      <c r="L4155" s="552">
        <f t="shared" si="768"/>
        <v>0.54280000000000006</v>
      </c>
      <c r="M4155" s="550">
        <v>2</v>
      </c>
      <c r="N4155" s="567">
        <f>J4155*M4155*I4155/1000</f>
        <v>0.27140000000000003</v>
      </c>
      <c r="O4155" s="549"/>
      <c r="P4155" s="549"/>
      <c r="Q4155" s="1059"/>
      <c r="R4155" s="1059"/>
    </row>
    <row r="4156" spans="1:19" ht="17.399999999999999">
      <c r="A4156" s="549"/>
      <c r="B4156" s="549"/>
      <c r="C4156" s="549"/>
      <c r="D4156" s="549"/>
      <c r="E4156" s="549"/>
      <c r="F4156" s="549"/>
      <c r="G4156" s="549"/>
      <c r="H4156" s="549"/>
      <c r="I4156" s="558"/>
      <c r="J4156" s="567"/>
      <c r="K4156" s="648">
        <f t="shared" ref="K4156:M4156" si="770">SUM(K4150:K4155)</f>
        <v>56</v>
      </c>
      <c r="L4156" s="567">
        <f t="shared" si="770"/>
        <v>6.9619999999999997</v>
      </c>
      <c r="M4156" s="766">
        <f t="shared" si="770"/>
        <v>8</v>
      </c>
      <c r="N4156" s="567">
        <f>SUM(N4150:N4155)</f>
        <v>0.90388000000000024</v>
      </c>
      <c r="O4156" s="549"/>
      <c r="P4156" s="549"/>
      <c r="Q4156" s="1059"/>
      <c r="R4156" s="1059"/>
    </row>
    <row r="4157" spans="1:19" s="497" customFormat="1" ht="17.399999999999999">
      <c r="A4157" s="549"/>
      <c r="B4157" s="549"/>
      <c r="C4157" s="549"/>
      <c r="D4157" s="549"/>
      <c r="E4157" s="549"/>
      <c r="F4157" s="549"/>
      <c r="G4157" s="549"/>
      <c r="H4157" s="549"/>
      <c r="I4157" s="558"/>
      <c r="J4157" s="567"/>
      <c r="K4157" s="648"/>
      <c r="L4157" s="567"/>
      <c r="M4157" s="550"/>
      <c r="N4157" s="549"/>
      <c r="O4157" s="549"/>
      <c r="P4157" s="549"/>
      <c r="Q4157" s="1059"/>
      <c r="R4157" s="1059"/>
    </row>
    <row r="4158" spans="1:19" ht="17.399999999999999">
      <c r="A4158" s="547" t="s">
        <v>495</v>
      </c>
      <c r="B4158" s="547" t="s">
        <v>496</v>
      </c>
      <c r="C4158" s="547" t="s">
        <v>19</v>
      </c>
      <c r="D4158" s="547" t="s">
        <v>20</v>
      </c>
      <c r="E4158" s="547" t="s">
        <v>359</v>
      </c>
      <c r="F4158" s="548">
        <v>12</v>
      </c>
      <c r="G4158" s="549" t="s">
        <v>21</v>
      </c>
      <c r="H4158" s="599" t="s">
        <v>98</v>
      </c>
      <c r="I4158" s="558">
        <v>11.8</v>
      </c>
      <c r="J4158" s="567">
        <v>6.3</v>
      </c>
      <c r="K4158" s="648">
        <v>18</v>
      </c>
      <c r="L4158" s="552">
        <f>(I4158*J4158*K4158/1000)</f>
        <v>1.3381200000000002</v>
      </c>
      <c r="M4158" s="550"/>
      <c r="N4158" s="549"/>
      <c r="O4158" s="549"/>
      <c r="P4158" s="549"/>
      <c r="Q4158" s="1059"/>
      <c r="R4158" s="1059"/>
      <c r="S4158" s="497" t="s">
        <v>554</v>
      </c>
    </row>
    <row r="4159" spans="1:19" ht="17.399999999999999">
      <c r="A4159" s="550"/>
      <c r="B4159" s="549" t="s">
        <v>277</v>
      </c>
      <c r="C4159" s="550"/>
      <c r="D4159" s="550"/>
      <c r="E4159" s="548"/>
      <c r="F4159" s="549"/>
      <c r="G4159" s="549" t="s">
        <v>21</v>
      </c>
      <c r="H4159" s="549" t="s">
        <v>98</v>
      </c>
      <c r="I4159" s="558">
        <v>11.8</v>
      </c>
      <c r="J4159" s="567">
        <v>7</v>
      </c>
      <c r="K4159" s="648">
        <v>10</v>
      </c>
      <c r="L4159" s="552">
        <f>(I4159*J4159*K4159/1000)</f>
        <v>0.82600000000000007</v>
      </c>
      <c r="M4159" s="550">
        <v>3</v>
      </c>
      <c r="N4159" s="567">
        <f>J4159*M4159*I4159/1000</f>
        <v>0.24780000000000002</v>
      </c>
      <c r="O4159" s="549"/>
      <c r="P4159" s="549"/>
      <c r="Q4159" s="1059"/>
      <c r="R4159" s="1059"/>
      <c r="S4159" s="831">
        <v>7</v>
      </c>
    </row>
    <row r="4160" spans="1:19" s="497" customFormat="1" ht="17.399999999999999">
      <c r="A4160" s="550"/>
      <c r="B4160" s="549"/>
      <c r="C4160" s="550"/>
      <c r="D4160" s="550"/>
      <c r="E4160" s="548"/>
      <c r="F4160" s="549"/>
      <c r="G4160" s="549" t="s">
        <v>21</v>
      </c>
      <c r="H4160" s="549" t="s">
        <v>98</v>
      </c>
      <c r="I4160" s="558">
        <v>11.8</v>
      </c>
      <c r="J4160" s="567">
        <v>7.3</v>
      </c>
      <c r="K4160" s="648">
        <f>20-10</f>
        <v>10</v>
      </c>
      <c r="L4160" s="552">
        <f>(I4160*J4160*K4160/1000)</f>
        <v>0.86139999999999994</v>
      </c>
      <c r="M4160" s="550"/>
      <c r="N4160" s="567"/>
      <c r="O4160" s="567">
        <v>7</v>
      </c>
      <c r="P4160" s="549"/>
      <c r="Q4160" s="1059"/>
      <c r="R4160" s="1059"/>
    </row>
    <row r="4161" spans="1:20" ht="17.399999999999999">
      <c r="A4161" s="549"/>
      <c r="B4161" s="549"/>
      <c r="C4161" s="549"/>
      <c r="D4161" s="549"/>
      <c r="E4161" s="549"/>
      <c r="F4161" s="549"/>
      <c r="G4161" s="549" t="s">
        <v>21</v>
      </c>
      <c r="H4161" s="549" t="s">
        <v>98</v>
      </c>
      <c r="I4161" s="558">
        <v>11.8</v>
      </c>
      <c r="J4161" s="567">
        <v>10.5</v>
      </c>
      <c r="K4161" s="648">
        <v>36</v>
      </c>
      <c r="L4161" s="552">
        <f>(I4161*J4161*K4161/1000)</f>
        <v>4.4604000000000008</v>
      </c>
      <c r="M4161" s="550"/>
      <c r="N4161" s="549"/>
      <c r="O4161" s="549"/>
      <c r="P4161" s="549"/>
      <c r="Q4161" s="1059"/>
      <c r="R4161" s="1059"/>
    </row>
    <row r="4162" spans="1:20" ht="17.399999999999999">
      <c r="A4162" s="549"/>
      <c r="B4162" s="549"/>
      <c r="C4162" s="549"/>
      <c r="D4162" s="549"/>
      <c r="E4162" s="549"/>
      <c r="F4162" s="549"/>
      <c r="G4162" s="549" t="s">
        <v>21</v>
      </c>
      <c r="H4162" s="549" t="s">
        <v>98</v>
      </c>
      <c r="I4162" s="558">
        <v>11.8</v>
      </c>
      <c r="J4162" s="567">
        <v>12</v>
      </c>
      <c r="K4162" s="648">
        <v>14</v>
      </c>
      <c r="L4162" s="552">
        <f>(I4162*J4162*K4162/1000)</f>
        <v>1.9824000000000004</v>
      </c>
      <c r="M4162" s="550"/>
      <c r="N4162" s="549"/>
      <c r="O4162" s="549"/>
      <c r="P4162" s="549"/>
      <c r="Q4162" s="1059"/>
      <c r="R4162" s="1059"/>
    </row>
    <row r="4163" spans="1:20" ht="17.399999999999999">
      <c r="A4163" s="549"/>
      <c r="B4163" s="549"/>
      <c r="C4163" s="549"/>
      <c r="D4163" s="549"/>
      <c r="E4163" s="549"/>
      <c r="F4163" s="549"/>
      <c r="G4163" s="549"/>
      <c r="H4163" s="549"/>
      <c r="I4163" s="558"/>
      <c r="J4163" s="567"/>
      <c r="K4163" s="648">
        <f t="shared" ref="K4163:M4163" si="771">SUM(K4158:K4162)</f>
        <v>88</v>
      </c>
      <c r="L4163" s="567">
        <f>SUM(L4158:L4162)</f>
        <v>9.4683200000000021</v>
      </c>
      <c r="M4163" s="766">
        <f t="shared" si="771"/>
        <v>3</v>
      </c>
      <c r="N4163" s="567">
        <f>SUM(N4158:N4162)</f>
        <v>0.24780000000000002</v>
      </c>
      <c r="O4163" s="549"/>
      <c r="P4163" s="549"/>
      <c r="Q4163" s="1059"/>
      <c r="R4163" s="1059"/>
    </row>
    <row r="4164" spans="1:20" s="497" customFormat="1" ht="17.399999999999999">
      <c r="A4164" s="549"/>
      <c r="B4164" s="549"/>
      <c r="C4164" s="549"/>
      <c r="D4164" s="549"/>
      <c r="E4164" s="549"/>
      <c r="F4164" s="549"/>
      <c r="G4164" s="549"/>
      <c r="H4164" s="549"/>
      <c r="I4164" s="558"/>
      <c r="J4164" s="567"/>
      <c r="K4164" s="648"/>
      <c r="L4164" s="567"/>
      <c r="M4164" s="550"/>
      <c r="N4164" s="549"/>
      <c r="O4164" s="549"/>
      <c r="P4164" s="549"/>
      <c r="Q4164" s="1059"/>
      <c r="R4164" s="1059"/>
    </row>
    <row r="4165" spans="1:20" ht="17.399999999999999">
      <c r="A4165" s="547" t="s">
        <v>445</v>
      </c>
      <c r="B4165" s="547" t="s">
        <v>487</v>
      </c>
      <c r="C4165" s="547" t="s">
        <v>19</v>
      </c>
      <c r="D4165" s="547" t="s">
        <v>20</v>
      </c>
      <c r="E4165" s="547" t="s">
        <v>47</v>
      </c>
      <c r="F4165" s="548">
        <v>12</v>
      </c>
      <c r="G4165" s="549" t="s">
        <v>21</v>
      </c>
      <c r="H4165" s="599" t="s">
        <v>98</v>
      </c>
      <c r="I4165" s="558">
        <v>11.8</v>
      </c>
      <c r="J4165" s="567">
        <v>6.3</v>
      </c>
      <c r="K4165" s="648">
        <v>20</v>
      </c>
      <c r="L4165" s="552">
        <f t="shared" ref="L4165:L4173" si="772">(I4165*J4165*K4165/1000)</f>
        <v>1.4868000000000001</v>
      </c>
      <c r="M4165" s="550">
        <v>1</v>
      </c>
      <c r="N4165" s="567">
        <f t="shared" ref="N4165:N4166" si="773">J4165*M4165*I4165/1000</f>
        <v>7.4340000000000003E-2</v>
      </c>
      <c r="O4165" s="567">
        <v>6.2</v>
      </c>
      <c r="P4165" s="549"/>
      <c r="Q4165" s="1059"/>
      <c r="R4165" s="1059"/>
      <c r="S4165" s="831">
        <v>2</v>
      </c>
      <c r="T4165" s="497" t="s">
        <v>554</v>
      </c>
    </row>
    <row r="4166" spans="1:20" ht="17.399999999999999">
      <c r="A4166" s="547"/>
      <c r="B4166" s="752" t="s">
        <v>439</v>
      </c>
      <c r="C4166" s="547"/>
      <c r="D4166" s="547"/>
      <c r="E4166" s="547"/>
      <c r="F4166" s="548"/>
      <c r="G4166" s="549" t="s">
        <v>21</v>
      </c>
      <c r="H4166" s="549" t="s">
        <v>98</v>
      </c>
      <c r="I4166" s="558">
        <v>11.8</v>
      </c>
      <c r="J4166" s="567">
        <v>8</v>
      </c>
      <c r="K4166" s="648">
        <v>26</v>
      </c>
      <c r="L4166" s="552">
        <f t="shared" si="772"/>
        <v>2.4544000000000001</v>
      </c>
      <c r="M4166" s="550">
        <v>1</v>
      </c>
      <c r="N4166" s="567">
        <f t="shared" si="773"/>
        <v>9.4400000000000012E-2</v>
      </c>
      <c r="O4166" s="549"/>
      <c r="P4166" s="549"/>
      <c r="Q4166" s="1059"/>
      <c r="R4166" s="1059"/>
    </row>
    <row r="4167" spans="1:20" ht="17.399999999999999">
      <c r="A4167" s="549"/>
      <c r="B4167" s="549"/>
      <c r="C4167" s="549"/>
      <c r="D4167" s="549"/>
      <c r="E4167" s="549"/>
      <c r="F4167" s="549"/>
      <c r="G4167" s="549" t="s">
        <v>21</v>
      </c>
      <c r="H4167" s="549" t="s">
        <v>98</v>
      </c>
      <c r="I4167" s="558">
        <v>11.8</v>
      </c>
      <c r="J4167" s="567">
        <v>8.6</v>
      </c>
      <c r="K4167" s="648">
        <v>11</v>
      </c>
      <c r="L4167" s="552">
        <f t="shared" si="772"/>
        <v>1.1162799999999999</v>
      </c>
      <c r="M4167" s="550">
        <v>11</v>
      </c>
      <c r="N4167" s="567">
        <f t="shared" ref="N4167:N4168" si="774">J4167*M4167*I4167/1000</f>
        <v>1.1162799999999999</v>
      </c>
      <c r="O4167" s="549"/>
      <c r="P4167" s="549"/>
      <c r="Q4167" s="1059"/>
      <c r="R4167" s="1059"/>
    </row>
    <row r="4168" spans="1:20" ht="17.399999999999999">
      <c r="A4168" s="549"/>
      <c r="B4168" s="549"/>
      <c r="C4168" s="549"/>
      <c r="D4168" s="549"/>
      <c r="E4168" s="549"/>
      <c r="F4168" s="549"/>
      <c r="G4168" s="549" t="s">
        <v>21</v>
      </c>
      <c r="H4168" s="549" t="s">
        <v>98</v>
      </c>
      <c r="I4168" s="558">
        <v>11.8</v>
      </c>
      <c r="J4168" s="567">
        <v>10.3</v>
      </c>
      <c r="K4168" s="648">
        <v>4</v>
      </c>
      <c r="L4168" s="552">
        <f t="shared" si="772"/>
        <v>0.48616000000000009</v>
      </c>
      <c r="M4168" s="550">
        <v>2</v>
      </c>
      <c r="N4168" s="567">
        <f t="shared" si="774"/>
        <v>0.24308000000000005</v>
      </c>
      <c r="O4168" s="567">
        <v>9.8000000000000007</v>
      </c>
      <c r="P4168" s="549"/>
      <c r="Q4168" s="1059"/>
      <c r="R4168" s="1059"/>
    </row>
    <row r="4169" spans="1:20" ht="17.399999999999999">
      <c r="A4169" s="549"/>
      <c r="B4169" s="549"/>
      <c r="C4169" s="549"/>
      <c r="D4169" s="549"/>
      <c r="E4169" s="549"/>
      <c r="F4169" s="549"/>
      <c r="G4169" s="549" t="s">
        <v>21</v>
      </c>
      <c r="H4169" s="549" t="s">
        <v>98</v>
      </c>
      <c r="I4169" s="558">
        <v>11.8</v>
      </c>
      <c r="J4169" s="567">
        <v>10.3</v>
      </c>
      <c r="K4169" s="648">
        <v>8</v>
      </c>
      <c r="L4169" s="552">
        <f t="shared" si="772"/>
        <v>0.97232000000000018</v>
      </c>
      <c r="M4169" s="550"/>
      <c r="N4169" s="549"/>
      <c r="O4169" s="549"/>
      <c r="P4169" s="549"/>
      <c r="Q4169" s="1059"/>
      <c r="R4169" s="1059"/>
    </row>
    <row r="4170" spans="1:20" ht="17.399999999999999">
      <c r="A4170" s="549"/>
      <c r="B4170" s="549"/>
      <c r="C4170" s="549"/>
      <c r="D4170" s="549"/>
      <c r="E4170" s="549"/>
      <c r="F4170" s="549"/>
      <c r="G4170" s="549" t="s">
        <v>21</v>
      </c>
      <c r="H4170" s="549" t="s">
        <v>98</v>
      </c>
      <c r="I4170" s="558">
        <v>11.8</v>
      </c>
      <c r="J4170" s="567">
        <v>10.6</v>
      </c>
      <c r="K4170" s="648">
        <v>22</v>
      </c>
      <c r="L4170" s="552">
        <f t="shared" si="772"/>
        <v>2.75176</v>
      </c>
      <c r="M4170" s="550"/>
      <c r="N4170" s="549"/>
      <c r="O4170" s="549"/>
      <c r="P4170" s="549"/>
      <c r="Q4170" s="1059"/>
      <c r="R4170" s="1059"/>
    </row>
    <row r="4171" spans="1:20" ht="17.399999999999999">
      <c r="A4171" s="549"/>
      <c r="B4171" s="549"/>
      <c r="C4171" s="549"/>
      <c r="D4171" s="549"/>
      <c r="E4171" s="549"/>
      <c r="F4171" s="549"/>
      <c r="G4171" s="549" t="s">
        <v>21</v>
      </c>
      <c r="H4171" s="549" t="s">
        <v>98</v>
      </c>
      <c r="I4171" s="558">
        <v>11.8</v>
      </c>
      <c r="J4171" s="567">
        <v>11.2</v>
      </c>
      <c r="K4171" s="648">
        <v>4</v>
      </c>
      <c r="L4171" s="552">
        <f t="shared" si="772"/>
        <v>0.52864</v>
      </c>
      <c r="M4171" s="550"/>
      <c r="N4171" s="549"/>
      <c r="O4171" s="549"/>
      <c r="P4171" s="549"/>
      <c r="Q4171" s="1059"/>
      <c r="R4171" s="1059"/>
    </row>
    <row r="4172" spans="1:20" ht="17.399999999999999">
      <c r="A4172" s="549"/>
      <c r="B4172" s="549"/>
      <c r="C4172" s="549"/>
      <c r="D4172" s="549"/>
      <c r="E4172" s="549"/>
      <c r="F4172" s="549"/>
      <c r="G4172" s="549" t="s">
        <v>21</v>
      </c>
      <c r="H4172" s="549" t="s">
        <v>98</v>
      </c>
      <c r="I4172" s="558">
        <v>11.8</v>
      </c>
      <c r="J4172" s="567">
        <v>11.5</v>
      </c>
      <c r="K4172" s="648">
        <v>58</v>
      </c>
      <c r="L4172" s="552">
        <f t="shared" si="772"/>
        <v>7.8706000000000014</v>
      </c>
      <c r="M4172" s="550"/>
      <c r="N4172" s="549"/>
      <c r="O4172" s="549"/>
      <c r="P4172" s="549"/>
      <c r="Q4172" s="1059"/>
      <c r="R4172" s="1059"/>
    </row>
    <row r="4173" spans="1:20" ht="17.399999999999999">
      <c r="A4173" s="549"/>
      <c r="B4173" s="549"/>
      <c r="C4173" s="549"/>
      <c r="D4173" s="549"/>
      <c r="E4173" s="549"/>
      <c r="F4173" s="549"/>
      <c r="G4173" s="549" t="s">
        <v>21</v>
      </c>
      <c r="H4173" s="549" t="s">
        <v>98</v>
      </c>
      <c r="I4173" s="558">
        <v>11.8</v>
      </c>
      <c r="J4173" s="567">
        <v>11.7</v>
      </c>
      <c r="K4173" s="648">
        <v>40</v>
      </c>
      <c r="L4173" s="552">
        <f t="shared" si="772"/>
        <v>5.5223999999999993</v>
      </c>
      <c r="M4173" s="550"/>
      <c r="N4173" s="549"/>
      <c r="O4173" s="549"/>
      <c r="P4173" s="549"/>
      <c r="Q4173" s="1059"/>
      <c r="R4173" s="1059"/>
    </row>
    <row r="4174" spans="1:20" ht="17.399999999999999">
      <c r="A4174" s="549"/>
      <c r="B4174" s="549"/>
      <c r="C4174" s="549"/>
      <c r="D4174" s="549"/>
      <c r="E4174" s="549"/>
      <c r="F4174" s="549"/>
      <c r="G4174" s="549"/>
      <c r="H4174" s="549"/>
      <c r="I4174" s="558"/>
      <c r="J4174" s="567"/>
      <c r="K4174" s="648">
        <f t="shared" ref="K4174:L4174" si="775">SUM(K4165:K4173)</f>
        <v>193</v>
      </c>
      <c r="L4174" s="567">
        <f t="shared" si="775"/>
        <v>23.189360000000001</v>
      </c>
      <c r="M4174" s="766">
        <f>SUM(M4165:M4173)</f>
        <v>15</v>
      </c>
      <c r="N4174" s="567">
        <f>SUM(N4165:N4173)</f>
        <v>1.5280999999999998</v>
      </c>
      <c r="O4174" s="549"/>
      <c r="P4174" s="549"/>
      <c r="Q4174" s="1059"/>
      <c r="R4174" s="1059"/>
    </row>
    <row r="4175" spans="1:20" ht="17.399999999999999">
      <c r="A4175" s="549"/>
      <c r="B4175" s="549"/>
      <c r="C4175" s="549"/>
      <c r="D4175" s="549"/>
      <c r="E4175" s="549"/>
      <c r="F4175" s="549"/>
      <c r="G4175" s="549"/>
      <c r="H4175" s="549"/>
      <c r="I4175" s="560"/>
      <c r="J4175" s="549"/>
      <c r="K4175" s="561"/>
      <c r="L4175" s="560"/>
      <c r="M4175" s="549"/>
      <c r="N4175" s="549"/>
      <c r="O4175" s="549"/>
      <c r="P4175" s="549"/>
      <c r="Q4175" s="1059"/>
      <c r="R4175" s="1059"/>
    </row>
    <row r="4176" spans="1:20" ht="17.399999999999999">
      <c r="A4176" s="547" t="s">
        <v>445</v>
      </c>
      <c r="B4176" s="547" t="s">
        <v>488</v>
      </c>
      <c r="C4176" s="547" t="s">
        <v>19</v>
      </c>
      <c r="D4176" s="547" t="s">
        <v>20</v>
      </c>
      <c r="E4176" s="547" t="s">
        <v>47</v>
      </c>
      <c r="F4176" s="548">
        <v>12</v>
      </c>
      <c r="G4176" s="549" t="s">
        <v>21</v>
      </c>
      <c r="H4176" s="599" t="s">
        <v>98</v>
      </c>
      <c r="I4176" s="558">
        <v>11.8</v>
      </c>
      <c r="J4176" s="567">
        <v>7.3</v>
      </c>
      <c r="K4176" s="648">
        <v>16</v>
      </c>
      <c r="L4176" s="552">
        <f t="shared" ref="L4176:L4183" si="776">(I4176*J4176*K4176/1000)</f>
        <v>1.3782399999999999</v>
      </c>
      <c r="M4176" s="549"/>
      <c r="N4176" s="549"/>
      <c r="O4176" s="549"/>
      <c r="P4176" s="549"/>
      <c r="Q4176" s="1059"/>
      <c r="R4176" s="1059"/>
      <c r="S4176" s="497" t="s">
        <v>554</v>
      </c>
    </row>
    <row r="4177" spans="1:19" ht="17.399999999999999">
      <c r="A4177" s="547"/>
      <c r="B4177" s="752" t="s">
        <v>439</v>
      </c>
      <c r="C4177" s="547"/>
      <c r="D4177" s="547"/>
      <c r="E4177" s="547"/>
      <c r="F4177" s="548"/>
      <c r="G4177" s="549" t="s">
        <v>21</v>
      </c>
      <c r="H4177" s="549" t="s">
        <v>98</v>
      </c>
      <c r="I4177" s="558">
        <v>11.8</v>
      </c>
      <c r="J4177" s="567">
        <v>8.6</v>
      </c>
      <c r="K4177" s="648">
        <v>20</v>
      </c>
      <c r="L4177" s="552">
        <f t="shared" si="776"/>
        <v>2.0296000000000003</v>
      </c>
      <c r="M4177" s="549"/>
      <c r="N4177" s="549"/>
      <c r="O4177" s="549"/>
      <c r="P4177" s="549"/>
      <c r="Q4177" s="1059"/>
      <c r="R4177" s="1059"/>
    </row>
    <row r="4178" spans="1:19" ht="17.399999999999999">
      <c r="A4178" s="549"/>
      <c r="B4178" s="549"/>
      <c r="C4178" s="549"/>
      <c r="D4178" s="549"/>
      <c r="E4178" s="549"/>
      <c r="F4178" s="549"/>
      <c r="G4178" s="549" t="s">
        <v>21</v>
      </c>
      <c r="H4178" s="549" t="s">
        <v>98</v>
      </c>
      <c r="I4178" s="558">
        <v>11.8</v>
      </c>
      <c r="J4178" s="567">
        <v>10.3</v>
      </c>
      <c r="K4178" s="648">
        <v>15</v>
      </c>
      <c r="L4178" s="552">
        <f t="shared" si="776"/>
        <v>1.8231000000000004</v>
      </c>
      <c r="M4178" s="549"/>
      <c r="N4178" s="549"/>
      <c r="O4178" s="567">
        <v>9.8000000000000007</v>
      </c>
      <c r="P4178" s="549"/>
      <c r="Q4178" s="1059"/>
      <c r="R4178" s="1059"/>
    </row>
    <row r="4179" spans="1:19" ht="17.399999999999999">
      <c r="A4179" s="549"/>
      <c r="B4179" s="549"/>
      <c r="C4179" s="549"/>
      <c r="D4179" s="549"/>
      <c r="E4179" s="549"/>
      <c r="F4179" s="549"/>
      <c r="G4179" s="549" t="s">
        <v>21</v>
      </c>
      <c r="H4179" s="549" t="s">
        <v>98</v>
      </c>
      <c r="I4179" s="558">
        <v>11.8</v>
      </c>
      <c r="J4179" s="567">
        <v>10.3</v>
      </c>
      <c r="K4179" s="648">
        <v>60</v>
      </c>
      <c r="L4179" s="552">
        <f t="shared" si="776"/>
        <v>7.2924000000000015</v>
      </c>
      <c r="M4179" s="549"/>
      <c r="N4179" s="549"/>
      <c r="O4179" s="549"/>
      <c r="P4179" s="549"/>
      <c r="Q4179" s="1059"/>
      <c r="R4179" s="1059"/>
    </row>
    <row r="4180" spans="1:19" ht="17.399999999999999">
      <c r="A4180" s="549"/>
      <c r="B4180" s="549"/>
      <c r="C4180" s="549"/>
      <c r="D4180" s="549"/>
      <c r="E4180" s="549"/>
      <c r="F4180" s="549"/>
      <c r="G4180" s="549" t="s">
        <v>21</v>
      </c>
      <c r="H4180" s="549" t="s">
        <v>98</v>
      </c>
      <c r="I4180" s="558">
        <v>11.8</v>
      </c>
      <c r="J4180" s="567">
        <v>10.6</v>
      </c>
      <c r="K4180" s="648">
        <v>12</v>
      </c>
      <c r="L4180" s="552">
        <f t="shared" si="776"/>
        <v>1.5009600000000001</v>
      </c>
      <c r="M4180" s="549"/>
      <c r="N4180" s="549"/>
      <c r="O4180" s="549"/>
      <c r="P4180" s="549"/>
      <c r="Q4180" s="1059"/>
      <c r="R4180" s="1059"/>
    </row>
    <row r="4181" spans="1:19" ht="17.399999999999999">
      <c r="A4181" s="549"/>
      <c r="B4181" s="549"/>
      <c r="C4181" s="549"/>
      <c r="D4181" s="549"/>
      <c r="E4181" s="549"/>
      <c r="F4181" s="549"/>
      <c r="G4181" s="549" t="s">
        <v>21</v>
      </c>
      <c r="H4181" s="549" t="s">
        <v>98</v>
      </c>
      <c r="I4181" s="558">
        <v>11.8</v>
      </c>
      <c r="J4181" s="567">
        <v>11.2</v>
      </c>
      <c r="K4181" s="648">
        <v>30</v>
      </c>
      <c r="L4181" s="552">
        <f t="shared" si="776"/>
        <v>3.9647999999999999</v>
      </c>
      <c r="M4181" s="549"/>
      <c r="N4181" s="549"/>
      <c r="O4181" s="549"/>
      <c r="P4181" s="549"/>
      <c r="Q4181" s="1059"/>
      <c r="R4181" s="1059"/>
    </row>
    <row r="4182" spans="1:19" ht="17.399999999999999">
      <c r="A4182" s="549"/>
      <c r="B4182" s="549"/>
      <c r="C4182" s="549"/>
      <c r="D4182" s="549"/>
      <c r="E4182" s="549"/>
      <c r="F4182" s="549"/>
      <c r="G4182" s="549" t="s">
        <v>21</v>
      </c>
      <c r="H4182" s="549" t="s">
        <v>98</v>
      </c>
      <c r="I4182" s="558">
        <v>11.8</v>
      </c>
      <c r="J4182" s="567">
        <v>11.5</v>
      </c>
      <c r="K4182" s="648">
        <v>24</v>
      </c>
      <c r="L4182" s="552">
        <f t="shared" si="776"/>
        <v>3.2568000000000001</v>
      </c>
      <c r="M4182" s="549"/>
      <c r="N4182" s="549"/>
      <c r="O4182" s="549"/>
      <c r="P4182" s="549"/>
      <c r="Q4182" s="1059"/>
      <c r="R4182" s="1059"/>
    </row>
    <row r="4183" spans="1:19" ht="17.399999999999999">
      <c r="A4183" s="549"/>
      <c r="B4183" s="549"/>
      <c r="C4183" s="549"/>
      <c r="D4183" s="549"/>
      <c r="E4183" s="549"/>
      <c r="F4183" s="549"/>
      <c r="G4183" s="549" t="s">
        <v>21</v>
      </c>
      <c r="H4183" s="549" t="s">
        <v>98</v>
      </c>
      <c r="I4183" s="558">
        <v>11.8</v>
      </c>
      <c r="J4183" s="567">
        <v>12</v>
      </c>
      <c r="K4183" s="648">
        <v>25</v>
      </c>
      <c r="L4183" s="552">
        <f t="shared" si="776"/>
        <v>3.5400000000000005</v>
      </c>
      <c r="M4183" s="549"/>
      <c r="N4183" s="549"/>
      <c r="O4183" s="549"/>
      <c r="P4183" s="549"/>
      <c r="Q4183" s="1059"/>
      <c r="R4183" s="1059"/>
    </row>
    <row r="4184" spans="1:19" ht="17.399999999999999">
      <c r="A4184" s="549"/>
      <c r="B4184" s="549"/>
      <c r="C4184" s="549"/>
      <c r="D4184" s="549"/>
      <c r="E4184" s="549"/>
      <c r="F4184" s="549"/>
      <c r="G4184" s="549"/>
      <c r="H4184" s="549"/>
      <c r="I4184" s="558"/>
      <c r="J4184" s="567"/>
      <c r="K4184" s="648">
        <f>SUM(K4176:K4183)</f>
        <v>202</v>
      </c>
      <c r="L4184" s="567">
        <f>SUM(L4176:L4183)</f>
        <v>24.785899999999998</v>
      </c>
      <c r="M4184" s="549"/>
      <c r="N4184" s="549"/>
      <c r="O4184" s="549"/>
      <c r="P4184" s="549"/>
      <c r="Q4184" s="1059"/>
      <c r="R4184" s="1059"/>
    </row>
    <row r="4185" spans="1:19" s="497" customFormat="1" ht="17.399999999999999">
      <c r="A4185" s="549"/>
      <c r="B4185" s="549"/>
      <c r="C4185" s="549"/>
      <c r="D4185" s="549"/>
      <c r="E4185" s="549"/>
      <c r="F4185" s="549"/>
      <c r="G4185" s="549"/>
      <c r="H4185" s="549"/>
      <c r="I4185" s="558"/>
      <c r="J4185" s="567"/>
      <c r="K4185" s="648">
        <f>SUM(K4147:K4184)/2</f>
        <v>555</v>
      </c>
      <c r="L4185" s="567">
        <f>SUM(L4147:L4184)/2</f>
        <v>66.671180000000021</v>
      </c>
      <c r="M4185" s="648">
        <f>SUM(M4147:M4184)/2</f>
        <v>26</v>
      </c>
      <c r="N4185" s="567">
        <f>SUM(N4147:N4184)/2</f>
        <v>2.6797800000000001</v>
      </c>
      <c r="O4185" s="549"/>
      <c r="P4185" s="549"/>
      <c r="Q4185" s="1059"/>
      <c r="R4185" s="1059"/>
    </row>
    <row r="4186" spans="1:19" s="497" customFormat="1" ht="17.399999999999999">
      <c r="A4186" s="549"/>
      <c r="B4186" s="549"/>
      <c r="C4186" s="549"/>
      <c r="D4186" s="549"/>
      <c r="E4186" s="549"/>
      <c r="F4186" s="549"/>
      <c r="G4186" s="549"/>
      <c r="H4186" s="549"/>
      <c r="I4186" s="558"/>
      <c r="J4186" s="567"/>
      <c r="K4186" s="648"/>
      <c r="L4186" s="567"/>
      <c r="M4186" s="549"/>
      <c r="N4186" s="549"/>
      <c r="O4186" s="549"/>
      <c r="P4186" s="549"/>
      <c r="Q4186" s="1059"/>
      <c r="R4186" s="1059"/>
    </row>
    <row r="4187" spans="1:19" s="497" customFormat="1" ht="17.399999999999999">
      <c r="A4187" s="549"/>
      <c r="B4187" s="549"/>
      <c r="C4187" s="549"/>
      <c r="D4187" s="549"/>
      <c r="E4187" s="549"/>
      <c r="F4187" s="549"/>
      <c r="G4187" s="549"/>
      <c r="H4187" s="549"/>
      <c r="I4187" s="558"/>
      <c r="J4187" s="567"/>
      <c r="K4187" s="648"/>
      <c r="L4187" s="567"/>
      <c r="M4187" s="549"/>
      <c r="N4187" s="549"/>
      <c r="O4187" s="549"/>
      <c r="P4187" s="549"/>
      <c r="Q4187" s="1059"/>
      <c r="R4187" s="1059"/>
    </row>
    <row r="4188" spans="1:19" ht="17.399999999999999">
      <c r="A4188" s="547" t="s">
        <v>445</v>
      </c>
      <c r="B4188" s="547" t="s">
        <v>488</v>
      </c>
      <c r="C4188" s="547" t="s">
        <v>19</v>
      </c>
      <c r="D4188" s="547" t="s">
        <v>20</v>
      </c>
      <c r="E4188" s="547" t="s">
        <v>47</v>
      </c>
      <c r="F4188" s="548">
        <v>12</v>
      </c>
      <c r="G4188" s="549" t="s">
        <v>21</v>
      </c>
      <c r="H4188" s="599" t="s">
        <v>97</v>
      </c>
      <c r="I4188" s="558">
        <v>10.199999999999999</v>
      </c>
      <c r="J4188" s="567">
        <v>9.3000000000000007</v>
      </c>
      <c r="K4188" s="648">
        <v>5</v>
      </c>
      <c r="L4188" s="552">
        <f>(I4188*J4188*K4188/1000)</f>
        <v>0.4743</v>
      </c>
      <c r="M4188" s="549"/>
      <c r="N4188" s="549"/>
      <c r="O4188" s="567">
        <v>7</v>
      </c>
      <c r="P4188" s="549"/>
      <c r="Q4188" s="1059"/>
      <c r="R4188" s="1059"/>
      <c r="S4188" s="497" t="s">
        <v>554</v>
      </c>
    </row>
    <row r="4189" spans="1:19" ht="17.399999999999999">
      <c r="A4189" s="547"/>
      <c r="B4189" s="752" t="s">
        <v>439</v>
      </c>
      <c r="C4189" s="547"/>
      <c r="D4189" s="547"/>
      <c r="E4189" s="547"/>
      <c r="F4189" s="548"/>
      <c r="G4189" s="549"/>
      <c r="H4189" s="549"/>
      <c r="I4189" s="558"/>
      <c r="J4189" s="567"/>
      <c r="K4189" s="648">
        <f t="shared" ref="K4189:L4189" si="777">SUM(K4188)</f>
        <v>5</v>
      </c>
      <c r="L4189" s="567">
        <f t="shared" si="777"/>
        <v>0.4743</v>
      </c>
      <c r="M4189" s="549"/>
      <c r="N4189" s="549"/>
      <c r="O4189" s="549"/>
      <c r="P4189" s="549"/>
      <c r="Q4189" s="1059"/>
      <c r="R4189" s="1059"/>
    </row>
    <row r="4190" spans="1:19" s="497" customFormat="1" ht="17.399999999999999">
      <c r="A4190" s="547"/>
      <c r="B4190" s="752"/>
      <c r="C4190" s="547"/>
      <c r="D4190" s="547"/>
      <c r="E4190" s="547"/>
      <c r="F4190" s="548"/>
      <c r="G4190" s="549"/>
      <c r="H4190" s="549"/>
      <c r="I4190" s="558"/>
      <c r="J4190" s="567"/>
      <c r="K4190" s="648"/>
      <c r="L4190" s="567"/>
      <c r="M4190" s="549"/>
      <c r="N4190" s="549"/>
      <c r="O4190" s="549"/>
      <c r="P4190" s="549"/>
      <c r="Q4190" s="1059"/>
      <c r="R4190" s="1059"/>
    </row>
    <row r="4191" spans="1:19" ht="17.399999999999999">
      <c r="A4191" s="547" t="s">
        <v>495</v>
      </c>
      <c r="B4191" s="547" t="s">
        <v>496</v>
      </c>
      <c r="C4191" s="547" t="s">
        <v>19</v>
      </c>
      <c r="D4191" s="547" t="s">
        <v>20</v>
      </c>
      <c r="E4191" s="547" t="s">
        <v>359</v>
      </c>
      <c r="F4191" s="548">
        <v>12</v>
      </c>
      <c r="G4191" s="549" t="s">
        <v>21</v>
      </c>
      <c r="H4191" s="599" t="s">
        <v>97</v>
      </c>
      <c r="I4191" s="558">
        <v>10.199999999999999</v>
      </c>
      <c r="J4191" s="567">
        <v>10.5</v>
      </c>
      <c r="K4191" s="648">
        <v>26</v>
      </c>
      <c r="L4191" s="552">
        <f>(I4191*J4191*K4191/1000)</f>
        <v>2.7845999999999997</v>
      </c>
      <c r="M4191" s="549"/>
      <c r="N4191" s="549"/>
      <c r="O4191" s="549"/>
      <c r="P4191" s="549"/>
      <c r="Q4191" s="1059"/>
      <c r="R4191" s="1059"/>
      <c r="S4191" s="497" t="s">
        <v>554</v>
      </c>
    </row>
    <row r="4192" spans="1:19" ht="17.399999999999999">
      <c r="A4192" s="550"/>
      <c r="B4192" s="549" t="s">
        <v>277</v>
      </c>
      <c r="C4192" s="550"/>
      <c r="D4192" s="550"/>
      <c r="E4192" s="548"/>
      <c r="F4192" s="549"/>
      <c r="G4192" s="549" t="s">
        <v>21</v>
      </c>
      <c r="H4192" s="549" t="s">
        <v>97</v>
      </c>
      <c r="I4192" s="558">
        <v>10.199999999999999</v>
      </c>
      <c r="J4192" s="567">
        <v>11</v>
      </c>
      <c r="K4192" s="648">
        <v>14</v>
      </c>
      <c r="L4192" s="552">
        <f>(I4192*J4192*K4192/1000)</f>
        <v>1.5707999999999998</v>
      </c>
      <c r="M4192" s="549"/>
      <c r="N4192" s="549"/>
      <c r="O4192" s="549"/>
      <c r="P4192" s="549"/>
      <c r="Q4192" s="1059"/>
      <c r="R4192" s="1059"/>
    </row>
    <row r="4193" spans="1:19" ht="17.399999999999999">
      <c r="A4193" s="549"/>
      <c r="B4193" s="549"/>
      <c r="C4193" s="549"/>
      <c r="D4193" s="549"/>
      <c r="E4193" s="549"/>
      <c r="F4193" s="549"/>
      <c r="G4193" s="549"/>
      <c r="H4193" s="549"/>
      <c r="I4193" s="558"/>
      <c r="J4193" s="567"/>
      <c r="K4193" s="648">
        <f t="shared" ref="K4193:L4193" si="778">SUM(K4191:K4192)</f>
        <v>40</v>
      </c>
      <c r="L4193" s="567">
        <f t="shared" si="778"/>
        <v>4.3553999999999995</v>
      </c>
      <c r="M4193" s="549"/>
      <c r="N4193" s="549"/>
      <c r="O4193" s="549"/>
      <c r="P4193" s="549"/>
      <c r="Q4193" s="1059"/>
      <c r="R4193" s="1059"/>
    </row>
    <row r="4194" spans="1:19" s="497" customFormat="1" ht="17.399999999999999">
      <c r="A4194" s="549"/>
      <c r="B4194" s="549"/>
      <c r="C4194" s="549"/>
      <c r="D4194" s="549"/>
      <c r="E4194" s="549"/>
      <c r="F4194" s="549"/>
      <c r="G4194" s="549"/>
      <c r="H4194" s="549"/>
      <c r="I4194" s="558"/>
      <c r="J4194" s="567"/>
      <c r="K4194" s="648"/>
      <c r="L4194" s="567"/>
      <c r="M4194" s="549"/>
      <c r="N4194" s="549"/>
      <c r="O4194" s="549"/>
      <c r="P4194" s="549"/>
      <c r="Q4194" s="1059"/>
      <c r="R4194" s="1059"/>
    </row>
    <row r="4195" spans="1:19" ht="17.399999999999999">
      <c r="A4195" s="547" t="s">
        <v>495</v>
      </c>
      <c r="B4195" s="547" t="s">
        <v>452</v>
      </c>
      <c r="C4195" s="547" t="s">
        <v>19</v>
      </c>
      <c r="D4195" s="547" t="s">
        <v>20</v>
      </c>
      <c r="E4195" s="547" t="s">
        <v>359</v>
      </c>
      <c r="F4195" s="548">
        <v>12</v>
      </c>
      <c r="G4195" s="549" t="s">
        <v>21</v>
      </c>
      <c r="H4195" s="599" t="s">
        <v>97</v>
      </c>
      <c r="I4195" s="558">
        <v>10.199999999999999</v>
      </c>
      <c r="J4195" s="567">
        <v>9.3000000000000007</v>
      </c>
      <c r="K4195" s="648">
        <v>4</v>
      </c>
      <c r="L4195" s="552">
        <f t="shared" ref="L4195:L4196" si="779">(I4195*J4195*K4195/1000)</f>
        <v>0.37944</v>
      </c>
      <c r="M4195" s="549"/>
      <c r="N4195" s="549"/>
      <c r="O4195" s="567">
        <v>7</v>
      </c>
      <c r="P4195" s="549"/>
      <c r="Q4195" s="1059"/>
      <c r="R4195" s="1059"/>
      <c r="S4195" s="497" t="s">
        <v>554</v>
      </c>
    </row>
    <row r="4196" spans="1:19" ht="17.399999999999999">
      <c r="A4196" s="550"/>
      <c r="B4196" s="549" t="s">
        <v>453</v>
      </c>
      <c r="C4196" s="550"/>
      <c r="D4196" s="550"/>
      <c r="E4196" s="548"/>
      <c r="F4196" s="549"/>
      <c r="G4196" s="549" t="s">
        <v>21</v>
      </c>
      <c r="H4196" s="549" t="s">
        <v>97</v>
      </c>
      <c r="I4196" s="558">
        <v>10.199999999999999</v>
      </c>
      <c r="J4196" s="567">
        <v>9.3000000000000007</v>
      </c>
      <c r="K4196" s="648">
        <v>8</v>
      </c>
      <c r="L4196" s="552">
        <f t="shared" si="779"/>
        <v>0.75888</v>
      </c>
      <c r="M4196" s="549"/>
      <c r="N4196" s="549"/>
      <c r="O4196" s="549"/>
      <c r="P4196" s="549"/>
      <c r="Q4196" s="1059"/>
      <c r="R4196" s="1059"/>
    </row>
    <row r="4197" spans="1:19" ht="17.399999999999999">
      <c r="A4197" s="549"/>
      <c r="B4197" s="549"/>
      <c r="C4197" s="549"/>
      <c r="D4197" s="549"/>
      <c r="E4197" s="549"/>
      <c r="F4197" s="549"/>
      <c r="G4197" s="549"/>
      <c r="H4197" s="549"/>
      <c r="I4197" s="558"/>
      <c r="J4197" s="567"/>
      <c r="K4197" s="648">
        <f t="shared" ref="K4197:L4197" si="780">SUM(K4195:K4196)</f>
        <v>12</v>
      </c>
      <c r="L4197" s="567">
        <f t="shared" si="780"/>
        <v>1.13832</v>
      </c>
      <c r="M4197" s="549"/>
      <c r="N4197" s="549"/>
      <c r="O4197" s="549"/>
      <c r="P4197" s="549"/>
      <c r="Q4197" s="1059"/>
      <c r="R4197" s="1059"/>
    </row>
    <row r="4198" spans="1:19" s="497" customFormat="1" ht="17.399999999999999">
      <c r="A4198" s="549"/>
      <c r="B4198" s="549"/>
      <c r="C4198" s="549"/>
      <c r="D4198" s="549"/>
      <c r="E4198" s="549"/>
      <c r="F4198" s="549"/>
      <c r="G4198" s="549"/>
      <c r="H4198" s="549"/>
      <c r="I4198" s="558"/>
      <c r="J4198" s="567"/>
      <c r="K4198" s="648"/>
      <c r="L4198" s="567"/>
      <c r="M4198" s="549"/>
      <c r="N4198" s="549"/>
      <c r="O4198" s="549"/>
      <c r="P4198" s="549"/>
      <c r="Q4198" s="1059"/>
      <c r="R4198" s="1059"/>
    </row>
    <row r="4199" spans="1:19" ht="17.399999999999999">
      <c r="A4199" s="547" t="s">
        <v>411</v>
      </c>
      <c r="B4199" s="547" t="s">
        <v>486</v>
      </c>
      <c r="C4199" s="547" t="s">
        <v>19</v>
      </c>
      <c r="D4199" s="547" t="s">
        <v>20</v>
      </c>
      <c r="E4199" s="547" t="s">
        <v>359</v>
      </c>
      <c r="F4199" s="548">
        <v>12</v>
      </c>
      <c r="G4199" s="549" t="s">
        <v>21</v>
      </c>
      <c r="H4199" s="599" t="s">
        <v>97</v>
      </c>
      <c r="I4199" s="558">
        <v>10.199999999999999</v>
      </c>
      <c r="J4199" s="647">
        <v>10.5</v>
      </c>
      <c r="K4199" s="648">
        <v>3</v>
      </c>
      <c r="L4199" s="552">
        <f>(I4199*J4199*K4199/1000)</f>
        <v>0.32129999999999997</v>
      </c>
      <c r="M4199" s="549"/>
      <c r="N4199" s="549"/>
      <c r="O4199" s="549"/>
      <c r="P4199" s="549"/>
      <c r="Q4199" s="1059"/>
      <c r="R4199" s="1059"/>
      <c r="S4199" s="497" t="s">
        <v>554</v>
      </c>
    </row>
    <row r="4200" spans="1:19" ht="17.399999999999999">
      <c r="A4200" s="550"/>
      <c r="B4200" s="549" t="s">
        <v>331</v>
      </c>
      <c r="C4200" s="550"/>
      <c r="D4200" s="550"/>
      <c r="E4200" s="548"/>
      <c r="F4200" s="549"/>
      <c r="G4200" s="549"/>
      <c r="H4200" s="549"/>
      <c r="I4200" s="558"/>
      <c r="J4200" s="647"/>
      <c r="K4200" s="648">
        <f t="shared" ref="K4200:L4200" si="781">SUM(K4199)</f>
        <v>3</v>
      </c>
      <c r="L4200" s="567">
        <f t="shared" si="781"/>
        <v>0.32129999999999997</v>
      </c>
      <c r="M4200" s="549"/>
      <c r="N4200" s="549"/>
      <c r="O4200" s="549"/>
      <c r="P4200" s="549"/>
      <c r="Q4200" s="1059"/>
      <c r="R4200" s="1059"/>
    </row>
    <row r="4201" spans="1:19" s="497" customFormat="1" ht="17.399999999999999">
      <c r="A4201" s="549"/>
      <c r="B4201" s="549"/>
      <c r="C4201" s="549"/>
      <c r="D4201" s="549"/>
      <c r="E4201" s="549"/>
      <c r="F4201" s="549"/>
      <c r="G4201" s="549"/>
      <c r="H4201" s="549"/>
      <c r="I4201" s="558"/>
      <c r="J4201" s="567"/>
      <c r="K4201" s="648">
        <f>SUM(K4188:K4200)/2</f>
        <v>60</v>
      </c>
      <c r="L4201" s="567">
        <f>SUM(L4188:L4200)/2</f>
        <v>6.28932</v>
      </c>
      <c r="M4201" s="648">
        <f>SUM(M4188:M4200)/2</f>
        <v>0</v>
      </c>
      <c r="N4201" s="567">
        <f>SUM(N4188:N4200)/2</f>
        <v>0</v>
      </c>
      <c r="O4201" s="549"/>
      <c r="P4201" s="549"/>
      <c r="Q4201" s="1059"/>
      <c r="R4201" s="1059"/>
    </row>
    <row r="4202" spans="1:19" s="497" customFormat="1" ht="17.399999999999999">
      <c r="A4202" s="549"/>
      <c r="B4202" s="549"/>
      <c r="C4202" s="549"/>
      <c r="D4202" s="549"/>
      <c r="E4202" s="549"/>
      <c r="F4202" s="549"/>
      <c r="G4202" s="549"/>
      <c r="H4202" s="549"/>
      <c r="I4202" s="558"/>
      <c r="J4202" s="567"/>
      <c r="K4202" s="648"/>
      <c r="L4202" s="567"/>
      <c r="M4202" s="648"/>
      <c r="N4202" s="567"/>
      <c r="O4202" s="549"/>
      <c r="P4202" s="549"/>
      <c r="Q4202" s="1059"/>
      <c r="R4202" s="1059"/>
    </row>
    <row r="4203" spans="1:19" s="497" customFormat="1" ht="17.399999999999999">
      <c r="A4203" s="549"/>
      <c r="B4203" s="549"/>
      <c r="C4203" s="549"/>
      <c r="D4203" s="549"/>
      <c r="E4203" s="549"/>
      <c r="F4203" s="549"/>
      <c r="G4203" s="549"/>
      <c r="H4203" s="549"/>
      <c r="I4203" s="558"/>
      <c r="J4203" s="567"/>
      <c r="K4203" s="648"/>
      <c r="L4203" s="567"/>
      <c r="M4203" s="648"/>
      <c r="N4203" s="567"/>
      <c r="O4203" s="549"/>
      <c r="P4203" s="549"/>
      <c r="Q4203" s="1059"/>
      <c r="R4203" s="1059"/>
    </row>
    <row r="4204" spans="1:19" ht="17.399999999999999">
      <c r="A4204" s="547" t="s">
        <v>458</v>
      </c>
      <c r="B4204" s="547" t="s">
        <v>492</v>
      </c>
      <c r="C4204" s="547" t="s">
        <v>19</v>
      </c>
      <c r="D4204" s="547" t="s">
        <v>20</v>
      </c>
      <c r="E4204" s="547" t="s">
        <v>359</v>
      </c>
      <c r="F4204" s="548">
        <v>12</v>
      </c>
      <c r="G4204" s="549" t="s">
        <v>21</v>
      </c>
      <c r="H4204" s="599" t="s">
        <v>95</v>
      </c>
      <c r="I4204" s="558">
        <v>13.4</v>
      </c>
      <c r="J4204" s="567">
        <v>10</v>
      </c>
      <c r="K4204" s="648">
        <v>6</v>
      </c>
      <c r="L4204" s="552">
        <f>(I4204*J4204*K4204/1000)</f>
        <v>0.80400000000000005</v>
      </c>
      <c r="M4204" s="549"/>
      <c r="N4204" s="549"/>
      <c r="O4204" s="549"/>
      <c r="P4204" s="549"/>
      <c r="Q4204" s="1059"/>
      <c r="R4204" s="1059"/>
      <c r="S4204" s="497" t="s">
        <v>554</v>
      </c>
    </row>
    <row r="4205" spans="1:19" ht="17.399999999999999">
      <c r="A4205" s="550"/>
      <c r="B4205" s="549" t="s">
        <v>277</v>
      </c>
      <c r="C4205" s="550"/>
      <c r="D4205" s="550"/>
      <c r="E4205" s="548"/>
      <c r="F4205" s="549"/>
      <c r="G4205" s="549"/>
      <c r="H4205" s="549"/>
      <c r="I4205" s="558"/>
      <c r="J4205" s="567"/>
      <c r="K4205" s="648">
        <f t="shared" ref="K4205:L4205" si="782">SUM(K4204)</f>
        <v>6</v>
      </c>
      <c r="L4205" s="567">
        <f t="shared" si="782"/>
        <v>0.80400000000000005</v>
      </c>
      <c r="M4205" s="549"/>
      <c r="N4205" s="549"/>
      <c r="O4205" s="549"/>
      <c r="P4205" s="549"/>
      <c r="Q4205" s="1059"/>
      <c r="R4205" s="1059"/>
    </row>
    <row r="4206" spans="1:19" ht="17.399999999999999">
      <c r="A4206" s="549"/>
      <c r="B4206" s="549"/>
      <c r="C4206" s="549"/>
      <c r="D4206" s="549"/>
      <c r="E4206" s="549"/>
      <c r="F4206" s="549"/>
      <c r="G4206" s="549"/>
      <c r="H4206" s="549"/>
      <c r="I4206" s="560"/>
      <c r="J4206" s="549"/>
      <c r="K4206" s="561"/>
      <c r="L4206" s="560"/>
      <c r="M4206" s="549"/>
      <c r="N4206" s="549"/>
      <c r="O4206" s="549"/>
      <c r="P4206" s="549"/>
      <c r="Q4206" s="1059"/>
      <c r="R4206" s="1059"/>
    </row>
    <row r="4207" spans="1:19" ht="17.399999999999999">
      <c r="A4207" s="547" t="s">
        <v>495</v>
      </c>
      <c r="B4207" s="547" t="s">
        <v>496</v>
      </c>
      <c r="C4207" s="547" t="s">
        <v>19</v>
      </c>
      <c r="D4207" s="547" t="s">
        <v>20</v>
      </c>
      <c r="E4207" s="547" t="s">
        <v>359</v>
      </c>
      <c r="F4207" s="548">
        <v>12</v>
      </c>
      <c r="G4207" s="549" t="s">
        <v>21</v>
      </c>
      <c r="H4207" s="599" t="s">
        <v>95</v>
      </c>
      <c r="I4207" s="558">
        <v>13.4</v>
      </c>
      <c r="J4207" s="567">
        <v>7.25</v>
      </c>
      <c r="K4207" s="648">
        <v>27</v>
      </c>
      <c r="L4207" s="552">
        <f>(I4207*J4207*K4207/1000)</f>
        <v>2.6230500000000001</v>
      </c>
      <c r="M4207" s="549"/>
      <c r="N4207" s="549"/>
      <c r="O4207" s="549"/>
      <c r="P4207" s="549"/>
      <c r="Q4207" s="1059"/>
      <c r="R4207" s="1059"/>
      <c r="S4207" s="497" t="s">
        <v>554</v>
      </c>
    </row>
    <row r="4208" spans="1:19" ht="17.399999999999999">
      <c r="A4208" s="550"/>
      <c r="B4208" s="549" t="s">
        <v>277</v>
      </c>
      <c r="C4208" s="550"/>
      <c r="D4208" s="550"/>
      <c r="E4208" s="548"/>
      <c r="F4208" s="549"/>
      <c r="G4208" s="549" t="s">
        <v>21</v>
      </c>
      <c r="H4208" s="549" t="s">
        <v>95</v>
      </c>
      <c r="I4208" s="558">
        <v>13.4</v>
      </c>
      <c r="J4208" s="567">
        <v>11</v>
      </c>
      <c r="K4208" s="648">
        <v>18</v>
      </c>
      <c r="L4208" s="552">
        <f>(I4208*J4208*K4208/1000)</f>
        <v>2.6532000000000004</v>
      </c>
      <c r="M4208" s="549"/>
      <c r="N4208" s="549"/>
      <c r="O4208" s="549"/>
      <c r="P4208" s="549"/>
      <c r="Q4208" s="1059"/>
      <c r="R4208" s="1059"/>
    </row>
    <row r="4209" spans="1:19" ht="17.399999999999999">
      <c r="A4209" s="549"/>
      <c r="B4209" s="549"/>
      <c r="C4209" s="549"/>
      <c r="D4209" s="549"/>
      <c r="E4209" s="549"/>
      <c r="F4209" s="549"/>
      <c r="G4209" s="549" t="s">
        <v>21</v>
      </c>
      <c r="H4209" s="549" t="s">
        <v>95</v>
      </c>
      <c r="I4209" s="558">
        <v>13.4</v>
      </c>
      <c r="J4209" s="567">
        <v>12</v>
      </c>
      <c r="K4209" s="648">
        <v>16</v>
      </c>
      <c r="L4209" s="552">
        <f>(I4209*J4209*K4209/1000)</f>
        <v>2.5728</v>
      </c>
      <c r="M4209" s="549"/>
      <c r="N4209" s="549"/>
      <c r="O4209" s="549"/>
      <c r="P4209" s="549"/>
      <c r="Q4209" s="1059"/>
      <c r="R4209" s="1059"/>
    </row>
    <row r="4210" spans="1:19" ht="17.399999999999999">
      <c r="A4210" s="549"/>
      <c r="B4210" s="549"/>
      <c r="C4210" s="549"/>
      <c r="D4210" s="549"/>
      <c r="E4210" s="549"/>
      <c r="F4210" s="549"/>
      <c r="G4210" s="549"/>
      <c r="H4210" s="549"/>
      <c r="I4210" s="558"/>
      <c r="J4210" s="567"/>
      <c r="K4210" s="648">
        <f t="shared" ref="K4210:L4210" si="783">SUM(K4207:K4209)</f>
        <v>61</v>
      </c>
      <c r="L4210" s="567">
        <f t="shared" si="783"/>
        <v>7.849050000000001</v>
      </c>
      <c r="M4210" s="549"/>
      <c r="N4210" s="549"/>
      <c r="O4210" s="549"/>
      <c r="P4210" s="549"/>
      <c r="Q4210" s="1059"/>
      <c r="R4210" s="1059"/>
    </row>
    <row r="4211" spans="1:19" ht="17.399999999999999">
      <c r="A4211" s="549"/>
      <c r="B4211" s="549"/>
      <c r="C4211" s="549"/>
      <c r="D4211" s="549"/>
      <c r="E4211" s="549"/>
      <c r="F4211" s="549"/>
      <c r="G4211" s="549"/>
      <c r="H4211" s="549"/>
      <c r="I4211" s="560"/>
      <c r="J4211" s="549"/>
      <c r="K4211" s="561"/>
      <c r="L4211" s="560"/>
      <c r="M4211" s="549"/>
      <c r="N4211" s="549"/>
      <c r="O4211" s="549"/>
      <c r="P4211" s="549"/>
      <c r="Q4211" s="1059"/>
      <c r="R4211" s="1059"/>
    </row>
    <row r="4212" spans="1:19" ht="17.399999999999999">
      <c r="A4212" s="547" t="s">
        <v>493</v>
      </c>
      <c r="B4212" s="547" t="s">
        <v>442</v>
      </c>
      <c r="C4212" s="547" t="s">
        <v>19</v>
      </c>
      <c r="D4212" s="547" t="s">
        <v>20</v>
      </c>
      <c r="E4212" s="547" t="s">
        <v>175</v>
      </c>
      <c r="F4212" s="548">
        <v>12</v>
      </c>
      <c r="G4212" s="549" t="s">
        <v>21</v>
      </c>
      <c r="H4212" s="599" t="s">
        <v>95</v>
      </c>
      <c r="I4212" s="558">
        <v>13.4</v>
      </c>
      <c r="J4212" s="567">
        <v>8</v>
      </c>
      <c r="K4212" s="648">
        <v>8</v>
      </c>
      <c r="L4212" s="552">
        <f>(I4212*J4212*K4212/1000)</f>
        <v>0.85760000000000003</v>
      </c>
      <c r="M4212" s="549"/>
      <c r="N4212" s="549"/>
      <c r="O4212" s="549"/>
      <c r="P4212" s="549"/>
      <c r="Q4212" s="1059"/>
      <c r="R4212" s="1059"/>
      <c r="S4212" s="497" t="s">
        <v>554</v>
      </c>
    </row>
    <row r="4213" spans="1:19" ht="17.399999999999999">
      <c r="A4213" s="547"/>
      <c r="B4213" s="549" t="s">
        <v>443</v>
      </c>
      <c r="C4213" s="547"/>
      <c r="D4213" s="547"/>
      <c r="E4213" s="547"/>
      <c r="F4213" s="548"/>
      <c r="G4213" s="650"/>
      <c r="H4213" s="549"/>
      <c r="I4213" s="558"/>
      <c r="J4213" s="567"/>
      <c r="K4213" s="648">
        <f t="shared" ref="K4213:L4213" si="784">SUM(K4212)</f>
        <v>8</v>
      </c>
      <c r="L4213" s="567">
        <f t="shared" si="784"/>
        <v>0.85760000000000003</v>
      </c>
      <c r="M4213" s="549"/>
      <c r="N4213" s="549"/>
      <c r="O4213" s="549"/>
      <c r="P4213" s="549"/>
      <c r="Q4213" s="1059"/>
      <c r="R4213" s="1059"/>
    </row>
    <row r="4214" spans="1:19" ht="17.399999999999999">
      <c r="A4214" s="549"/>
      <c r="B4214" s="549"/>
      <c r="C4214" s="549"/>
      <c r="D4214" s="549"/>
      <c r="E4214" s="549"/>
      <c r="F4214" s="549"/>
      <c r="G4214" s="549"/>
      <c r="H4214" s="549"/>
      <c r="I4214" s="560"/>
      <c r="J4214" s="549"/>
      <c r="K4214" s="561"/>
      <c r="L4214" s="560"/>
      <c r="M4214" s="549"/>
      <c r="N4214" s="549"/>
      <c r="O4214" s="549"/>
      <c r="P4214" s="549"/>
      <c r="Q4214" s="1059"/>
      <c r="R4214" s="1059"/>
    </row>
    <row r="4215" spans="1:19" ht="17.399999999999999">
      <c r="A4215" s="547" t="s">
        <v>445</v>
      </c>
      <c r="B4215" s="547" t="s">
        <v>487</v>
      </c>
      <c r="C4215" s="547" t="s">
        <v>19</v>
      </c>
      <c r="D4215" s="547" t="s">
        <v>20</v>
      </c>
      <c r="E4215" s="547" t="s">
        <v>47</v>
      </c>
      <c r="F4215" s="548">
        <v>12</v>
      </c>
      <c r="G4215" s="549" t="s">
        <v>21</v>
      </c>
      <c r="H4215" s="599" t="s">
        <v>95</v>
      </c>
      <c r="I4215" s="558">
        <v>13.4</v>
      </c>
      <c r="J4215" s="567">
        <v>6.6</v>
      </c>
      <c r="K4215" s="648">
        <v>22</v>
      </c>
      <c r="L4215" s="552">
        <f t="shared" ref="L4215:L4221" si="785">(I4215*J4215*K4215/1000)</f>
        <v>1.9456799999999999</v>
      </c>
      <c r="M4215" s="549"/>
      <c r="N4215" s="549"/>
      <c r="O4215" s="549"/>
      <c r="P4215" s="549"/>
      <c r="Q4215" s="1059"/>
      <c r="R4215" s="1059"/>
      <c r="S4215" s="497" t="s">
        <v>554</v>
      </c>
    </row>
    <row r="4216" spans="1:19" ht="17.399999999999999">
      <c r="A4216" s="547"/>
      <c r="B4216" s="752" t="s">
        <v>439</v>
      </c>
      <c r="C4216" s="547"/>
      <c r="D4216" s="547"/>
      <c r="E4216" s="547"/>
      <c r="F4216" s="548"/>
      <c r="G4216" s="549" t="s">
        <v>21</v>
      </c>
      <c r="H4216" s="549" t="s">
        <v>95</v>
      </c>
      <c r="I4216" s="558">
        <v>13.4</v>
      </c>
      <c r="J4216" s="567">
        <v>6.8</v>
      </c>
      <c r="K4216" s="648">
        <v>42</v>
      </c>
      <c r="L4216" s="552">
        <f t="shared" si="785"/>
        <v>3.8270399999999998</v>
      </c>
      <c r="M4216" s="549"/>
      <c r="N4216" s="549"/>
      <c r="O4216" s="549"/>
      <c r="P4216" s="549"/>
      <c r="Q4216" s="1059"/>
      <c r="R4216" s="1059"/>
    </row>
    <row r="4217" spans="1:19" ht="17.399999999999999">
      <c r="A4217" s="549"/>
      <c r="B4217" s="549"/>
      <c r="C4217" s="549"/>
      <c r="D4217" s="549"/>
      <c r="E4217" s="549"/>
      <c r="F4217" s="549"/>
      <c r="G4217" s="549" t="s">
        <v>21</v>
      </c>
      <c r="H4217" s="549" t="s">
        <v>95</v>
      </c>
      <c r="I4217" s="558">
        <v>13.4</v>
      </c>
      <c r="J4217" s="567">
        <v>8</v>
      </c>
      <c r="K4217" s="648">
        <v>33</v>
      </c>
      <c r="L4217" s="552">
        <f t="shared" si="785"/>
        <v>3.5375999999999999</v>
      </c>
      <c r="M4217" s="549"/>
      <c r="N4217" s="549"/>
      <c r="O4217" s="549"/>
      <c r="P4217" s="549"/>
      <c r="Q4217" s="1059"/>
      <c r="R4217" s="1059"/>
    </row>
    <row r="4218" spans="1:19" ht="17.399999999999999">
      <c r="A4218" s="549"/>
      <c r="B4218" s="549"/>
      <c r="C4218" s="549"/>
      <c r="D4218" s="549"/>
      <c r="E4218" s="549"/>
      <c r="F4218" s="549"/>
      <c r="G4218" s="549" t="s">
        <v>21</v>
      </c>
      <c r="H4218" s="549" t="s">
        <v>95</v>
      </c>
      <c r="I4218" s="558">
        <v>13.4</v>
      </c>
      <c r="J4218" s="567">
        <v>9.6</v>
      </c>
      <c r="K4218" s="648">
        <v>33</v>
      </c>
      <c r="L4218" s="552">
        <f t="shared" si="785"/>
        <v>4.24512</v>
      </c>
      <c r="M4218" s="549"/>
      <c r="N4218" s="549"/>
      <c r="O4218" s="549"/>
      <c r="P4218" s="549"/>
      <c r="Q4218" s="1059"/>
      <c r="R4218" s="1059"/>
    </row>
    <row r="4219" spans="1:19" ht="17.399999999999999">
      <c r="A4219" s="549"/>
      <c r="B4219" s="549"/>
      <c r="C4219" s="549"/>
      <c r="D4219" s="549"/>
      <c r="E4219" s="549"/>
      <c r="F4219" s="549"/>
      <c r="G4219" s="549" t="s">
        <v>21</v>
      </c>
      <c r="H4219" s="549" t="s">
        <v>95</v>
      </c>
      <c r="I4219" s="558">
        <v>13.4</v>
      </c>
      <c r="J4219" s="567">
        <v>10.5</v>
      </c>
      <c r="K4219" s="648">
        <v>8</v>
      </c>
      <c r="L4219" s="552">
        <f t="shared" si="785"/>
        <v>1.1256000000000002</v>
      </c>
      <c r="M4219" s="549"/>
      <c r="N4219" s="549"/>
      <c r="O4219" s="549"/>
      <c r="P4219" s="549"/>
      <c r="Q4219" s="1059"/>
      <c r="R4219" s="1059"/>
    </row>
    <row r="4220" spans="1:19" ht="17.399999999999999">
      <c r="A4220" s="549"/>
      <c r="B4220" s="549"/>
      <c r="C4220" s="549"/>
      <c r="D4220" s="549"/>
      <c r="E4220" s="549"/>
      <c r="F4220" s="549"/>
      <c r="G4220" s="549" t="s">
        <v>21</v>
      </c>
      <c r="H4220" s="549" t="s">
        <v>95</v>
      </c>
      <c r="I4220" s="558">
        <v>13.4</v>
      </c>
      <c r="J4220" s="567">
        <v>11.2</v>
      </c>
      <c r="K4220" s="648">
        <v>44</v>
      </c>
      <c r="L4220" s="552">
        <f t="shared" si="785"/>
        <v>6.6035199999999996</v>
      </c>
      <c r="M4220" s="549"/>
      <c r="N4220" s="549"/>
      <c r="O4220" s="549"/>
      <c r="P4220" s="549"/>
      <c r="Q4220" s="1059"/>
      <c r="R4220" s="1059"/>
    </row>
    <row r="4221" spans="1:19" ht="17.399999999999999">
      <c r="A4221" s="549"/>
      <c r="B4221" s="549"/>
      <c r="C4221" s="549"/>
      <c r="D4221" s="549"/>
      <c r="E4221" s="549"/>
      <c r="F4221" s="549"/>
      <c r="G4221" s="549" t="s">
        <v>21</v>
      </c>
      <c r="H4221" s="549" t="s">
        <v>95</v>
      </c>
      <c r="I4221" s="558">
        <v>13.4</v>
      </c>
      <c r="J4221" s="567">
        <v>12</v>
      </c>
      <c r="K4221" s="648">
        <v>15</v>
      </c>
      <c r="L4221" s="552">
        <f t="shared" si="785"/>
        <v>2.4119999999999999</v>
      </c>
      <c r="M4221" s="549"/>
      <c r="N4221" s="549"/>
      <c r="O4221" s="549"/>
      <c r="P4221" s="549"/>
      <c r="Q4221" s="1059"/>
      <c r="R4221" s="1059"/>
    </row>
    <row r="4222" spans="1:19" ht="17.399999999999999">
      <c r="A4222" s="549"/>
      <c r="B4222" s="549"/>
      <c r="C4222" s="549"/>
      <c r="D4222" s="549"/>
      <c r="E4222" s="549"/>
      <c r="F4222" s="549"/>
      <c r="G4222" s="549"/>
      <c r="H4222" s="549"/>
      <c r="I4222" s="558"/>
      <c r="J4222" s="567"/>
      <c r="K4222" s="648">
        <f t="shared" ref="K4222:L4222" si="786">SUM(K4215:K4221)</f>
        <v>197</v>
      </c>
      <c r="L4222" s="567">
        <f t="shared" si="786"/>
        <v>23.696559999999998</v>
      </c>
      <c r="M4222" s="549"/>
      <c r="N4222" s="549"/>
      <c r="O4222" s="549"/>
      <c r="P4222" s="549"/>
      <c r="Q4222" s="1059"/>
      <c r="R4222" s="1059"/>
    </row>
    <row r="4223" spans="1:19" s="497" customFormat="1" ht="17.399999999999999">
      <c r="A4223" s="549"/>
      <c r="B4223" s="549"/>
      <c r="C4223" s="549"/>
      <c r="D4223" s="549"/>
      <c r="E4223" s="549"/>
      <c r="F4223" s="549"/>
      <c r="G4223" s="549"/>
      <c r="H4223" s="549"/>
      <c r="I4223" s="558"/>
      <c r="J4223" s="567"/>
      <c r="K4223" s="648"/>
      <c r="L4223" s="567"/>
      <c r="M4223" s="549"/>
      <c r="N4223" s="549"/>
      <c r="O4223" s="549"/>
      <c r="P4223" s="549"/>
      <c r="Q4223" s="1059"/>
      <c r="R4223" s="1059"/>
    </row>
    <row r="4224" spans="1:19" ht="17.399999999999999">
      <c r="A4224" s="547" t="s">
        <v>445</v>
      </c>
      <c r="B4224" s="547" t="s">
        <v>489</v>
      </c>
      <c r="C4224" s="547" t="s">
        <v>19</v>
      </c>
      <c r="D4224" s="547" t="s">
        <v>20</v>
      </c>
      <c r="E4224" s="547" t="s">
        <v>47</v>
      </c>
      <c r="F4224" s="548">
        <v>12</v>
      </c>
      <c r="G4224" s="549" t="s">
        <v>21</v>
      </c>
      <c r="H4224" s="599" t="s">
        <v>95</v>
      </c>
      <c r="I4224" s="558">
        <v>13.4</v>
      </c>
      <c r="J4224" s="567">
        <v>12</v>
      </c>
      <c r="K4224" s="648">
        <v>20</v>
      </c>
      <c r="L4224" s="552">
        <f>(I4224*J4224*K4224/1000)</f>
        <v>3.2160000000000002</v>
      </c>
      <c r="M4224" s="549"/>
      <c r="N4224" s="549"/>
      <c r="O4224" s="549"/>
      <c r="P4224" s="549"/>
      <c r="Q4224" s="1059"/>
      <c r="R4224" s="1059"/>
      <c r="S4224" s="497" t="s">
        <v>554</v>
      </c>
    </row>
    <row r="4225" spans="1:23" ht="17.399999999999999">
      <c r="A4225" s="549"/>
      <c r="B4225" s="549" t="s">
        <v>238</v>
      </c>
      <c r="C4225" s="549"/>
      <c r="D4225" s="549"/>
      <c r="E4225" s="549"/>
      <c r="F4225" s="549"/>
      <c r="G4225" s="549"/>
      <c r="H4225" s="549"/>
      <c r="I4225" s="558"/>
      <c r="J4225" s="567"/>
      <c r="K4225" s="648">
        <f>SUM(K4224:K4224)</f>
        <v>20</v>
      </c>
      <c r="L4225" s="567">
        <f>SUM(L4224:L4224)</f>
        <v>3.2160000000000002</v>
      </c>
      <c r="M4225" s="549"/>
      <c r="N4225" s="549"/>
      <c r="O4225" s="549"/>
      <c r="P4225" s="549"/>
      <c r="Q4225" s="1059"/>
      <c r="R4225" s="1059"/>
    </row>
    <row r="4226" spans="1:23" s="497" customFormat="1" ht="17.399999999999999">
      <c r="A4226" s="549"/>
      <c r="B4226" s="549"/>
      <c r="C4226" s="549"/>
      <c r="D4226" s="549"/>
      <c r="E4226" s="549"/>
      <c r="F4226" s="549"/>
      <c r="G4226" s="549"/>
      <c r="H4226" s="549"/>
      <c r="I4226" s="558"/>
      <c r="J4226" s="567"/>
      <c r="K4226" s="648">
        <f>SUM(K4204:K4225)/2</f>
        <v>292</v>
      </c>
      <c r="L4226" s="567">
        <f>SUM(L4204:L4225)/2</f>
        <v>36.42320999999999</v>
      </c>
      <c r="M4226" s="648">
        <f>SUM(M4204:M4225)/2</f>
        <v>0</v>
      </c>
      <c r="N4226" s="567">
        <f>SUM(N4204:N4225)/2</f>
        <v>0</v>
      </c>
      <c r="O4226" s="549"/>
      <c r="P4226" s="549"/>
      <c r="Q4226" s="1059"/>
      <c r="R4226" s="1059"/>
    </row>
    <row r="4227" spans="1:23" s="497" customFormat="1" ht="17.399999999999999">
      <c r="A4227" s="549"/>
      <c r="B4227" s="549"/>
      <c r="C4227" s="549"/>
      <c r="D4227" s="549"/>
      <c r="E4227" s="549"/>
      <c r="F4227" s="549"/>
      <c r="G4227" s="549"/>
      <c r="H4227" s="549"/>
      <c r="I4227" s="558"/>
      <c r="J4227" s="567"/>
      <c r="K4227" s="648"/>
      <c r="L4227" s="567"/>
      <c r="M4227" s="648"/>
      <c r="N4227" s="567"/>
      <c r="O4227" s="549"/>
      <c r="P4227" s="549"/>
      <c r="Q4227" s="1059"/>
      <c r="R4227" s="1059"/>
    </row>
    <row r="4228" spans="1:23" s="497" customFormat="1" ht="17.399999999999999">
      <c r="A4228" s="549"/>
      <c r="B4228" s="549"/>
      <c r="C4228" s="549"/>
      <c r="D4228" s="549"/>
      <c r="E4228" s="549"/>
      <c r="F4228" s="549"/>
      <c r="G4228" s="549"/>
      <c r="H4228" s="549"/>
      <c r="I4228" s="558"/>
      <c r="J4228" s="567"/>
      <c r="K4228" s="648"/>
      <c r="L4228" s="567"/>
      <c r="M4228" s="549"/>
      <c r="N4228" s="549"/>
      <c r="O4228" s="549"/>
      <c r="P4228" s="549"/>
      <c r="Q4228" s="1059"/>
      <c r="R4228" s="1059"/>
    </row>
    <row r="4229" spans="1:23" ht="17.399999999999999">
      <c r="A4229" s="547" t="s">
        <v>445</v>
      </c>
      <c r="B4229" s="547" t="s">
        <v>487</v>
      </c>
      <c r="C4229" s="547" t="s">
        <v>19</v>
      </c>
      <c r="D4229" s="547" t="s">
        <v>20</v>
      </c>
      <c r="E4229" s="547" t="s">
        <v>47</v>
      </c>
      <c r="F4229" s="548">
        <v>12</v>
      </c>
      <c r="G4229" s="549" t="s">
        <v>21</v>
      </c>
      <c r="H4229" s="599" t="s">
        <v>99</v>
      </c>
      <c r="I4229" s="558">
        <v>15</v>
      </c>
      <c r="J4229" s="567">
        <v>8</v>
      </c>
      <c r="K4229" s="648">
        <v>7</v>
      </c>
      <c r="L4229" s="552">
        <f>(I4229*J4229*K4229/1000)</f>
        <v>0.84</v>
      </c>
      <c r="M4229" s="549"/>
      <c r="N4229" s="549"/>
      <c r="O4229" s="549"/>
      <c r="P4229" s="549"/>
      <c r="Q4229" s="1059"/>
      <c r="R4229" s="1059"/>
      <c r="S4229" s="497" t="s">
        <v>554</v>
      </c>
    </row>
    <row r="4230" spans="1:23" ht="17.399999999999999">
      <c r="A4230" s="547"/>
      <c r="B4230" s="752" t="s">
        <v>439</v>
      </c>
      <c r="C4230" s="547"/>
      <c r="D4230" s="547"/>
      <c r="E4230" s="547"/>
      <c r="F4230" s="548"/>
      <c r="G4230" s="549"/>
      <c r="H4230" s="549"/>
      <c r="I4230" s="558"/>
      <c r="J4230" s="567"/>
      <c r="K4230" s="648">
        <f t="shared" ref="K4230:L4230" si="787">SUM(K4229)</f>
        <v>7</v>
      </c>
      <c r="L4230" s="567">
        <f t="shared" si="787"/>
        <v>0.84</v>
      </c>
      <c r="M4230" s="549"/>
      <c r="N4230" s="549"/>
      <c r="O4230" s="549"/>
      <c r="P4230" s="549"/>
      <c r="Q4230" s="1059"/>
      <c r="R4230" s="1059"/>
    </row>
    <row r="4231" spans="1:23" s="497" customFormat="1" ht="17.399999999999999">
      <c r="A4231" s="547"/>
      <c r="B4231" s="752"/>
      <c r="C4231" s="547"/>
      <c r="D4231" s="547"/>
      <c r="E4231" s="547"/>
      <c r="F4231" s="548"/>
      <c r="G4231" s="549"/>
      <c r="H4231" s="549"/>
      <c r="I4231" s="558"/>
      <c r="J4231" s="567"/>
      <c r="K4231" s="648"/>
      <c r="L4231" s="567"/>
      <c r="M4231" s="549"/>
      <c r="N4231" s="549"/>
      <c r="O4231" s="549"/>
      <c r="P4231" s="549"/>
      <c r="Q4231" s="1059"/>
      <c r="R4231" s="1059"/>
    </row>
    <row r="4232" spans="1:23" ht="17.399999999999999">
      <c r="A4232" s="549"/>
      <c r="B4232" s="549"/>
      <c r="C4232" s="549"/>
      <c r="D4232" s="549"/>
      <c r="E4232" s="549"/>
      <c r="F4232" s="549"/>
      <c r="G4232" s="549"/>
      <c r="H4232" s="549"/>
      <c r="I4232" s="560"/>
      <c r="J4232" s="549"/>
      <c r="K4232" s="561"/>
      <c r="L4232" s="560"/>
      <c r="M4232" s="549"/>
      <c r="N4232" s="549"/>
      <c r="O4232" s="549"/>
      <c r="P4232" s="549"/>
      <c r="Q4232" s="1059"/>
      <c r="R4232" s="1059"/>
    </row>
    <row r="4233" spans="1:23" ht="17.399999999999999">
      <c r="A4233" s="547" t="s">
        <v>445</v>
      </c>
      <c r="B4233" s="547" t="s">
        <v>479</v>
      </c>
      <c r="C4233" s="547" t="s">
        <v>19</v>
      </c>
      <c r="D4233" s="547" t="s">
        <v>20</v>
      </c>
      <c r="E4233" s="547" t="s">
        <v>57</v>
      </c>
      <c r="F4233" s="548">
        <v>13</v>
      </c>
      <c r="G4233" s="549" t="s">
        <v>21</v>
      </c>
      <c r="H4233" s="599" t="s">
        <v>92</v>
      </c>
      <c r="I4233" s="558">
        <v>16.600000000000001</v>
      </c>
      <c r="J4233" s="567">
        <v>6.7</v>
      </c>
      <c r="K4233" s="648">
        <v>1</v>
      </c>
      <c r="L4233" s="552">
        <f t="shared" ref="L4233:L4234" si="788">(I4233*J4233*K4233/1000)</f>
        <v>0.11122000000000001</v>
      </c>
      <c r="M4233" s="549"/>
      <c r="N4233" s="549"/>
      <c r="O4233" s="567">
        <v>6.2</v>
      </c>
      <c r="P4233" s="549"/>
      <c r="Q4233" s="1059"/>
      <c r="R4233" s="1059"/>
      <c r="S4233" s="497" t="s">
        <v>567</v>
      </c>
      <c r="V4233">
        <v>1</v>
      </c>
      <c r="W4233" s="126">
        <f>J4233*V4233*I4233/1000</f>
        <v>0.11122000000000001</v>
      </c>
    </row>
    <row r="4234" spans="1:23" ht="17.399999999999999">
      <c r="A4234" s="547"/>
      <c r="B4234" s="549" t="s">
        <v>423</v>
      </c>
      <c r="C4234" s="547"/>
      <c r="D4234" s="547"/>
      <c r="E4234" s="547"/>
      <c r="F4234" s="548"/>
      <c r="G4234" s="549" t="s">
        <v>21</v>
      </c>
      <c r="H4234" s="549" t="s">
        <v>92</v>
      </c>
      <c r="I4234" s="558">
        <v>16.600000000000001</v>
      </c>
      <c r="J4234" s="567">
        <v>10.5</v>
      </c>
      <c r="K4234" s="648">
        <v>14</v>
      </c>
      <c r="L4234" s="552">
        <f t="shared" si="788"/>
        <v>2.4402000000000004</v>
      </c>
      <c r="M4234" s="549"/>
      <c r="N4234" s="549"/>
      <c r="O4234" s="567">
        <v>10.4</v>
      </c>
      <c r="P4234" s="549"/>
      <c r="Q4234" s="1059"/>
      <c r="R4234" s="1059"/>
      <c r="V4234">
        <v>4</v>
      </c>
      <c r="W4234" s="126">
        <f>J4234*V4234*I4234/1000</f>
        <v>0.69720000000000004</v>
      </c>
    </row>
    <row r="4235" spans="1:23" ht="17.399999999999999">
      <c r="A4235" s="549"/>
      <c r="B4235" s="549"/>
      <c r="C4235" s="549"/>
      <c r="D4235" s="549"/>
      <c r="E4235" s="549"/>
      <c r="F4235" s="549"/>
      <c r="G4235" s="549"/>
      <c r="H4235" s="549"/>
      <c r="I4235" s="558"/>
      <c r="J4235" s="567"/>
      <c r="K4235" s="648">
        <f t="shared" ref="K4235:L4235" si="789">SUM(K4233:K4234)</f>
        <v>15</v>
      </c>
      <c r="L4235" s="567">
        <f t="shared" si="789"/>
        <v>2.5514200000000002</v>
      </c>
      <c r="M4235" s="549"/>
      <c r="N4235" s="549"/>
      <c r="O4235" s="549"/>
      <c r="P4235" s="549"/>
      <c r="Q4235" s="1059"/>
      <c r="R4235" s="1059"/>
      <c r="V4235" s="648">
        <f t="shared" ref="V4235" si="790">SUM(V4233:V4234)</f>
        <v>5</v>
      </c>
      <c r="W4235" s="567">
        <f>SUM(W4233:W4234)</f>
        <v>0.80842000000000003</v>
      </c>
    </row>
    <row r="4236" spans="1:23" ht="17.399999999999999">
      <c r="A4236" s="549"/>
      <c r="B4236" s="549"/>
      <c r="C4236" s="549"/>
      <c r="D4236" s="549"/>
      <c r="E4236" s="549"/>
      <c r="F4236" s="549"/>
      <c r="G4236" s="549"/>
      <c r="H4236" s="549"/>
      <c r="I4236" s="560"/>
      <c r="J4236" s="549"/>
      <c r="K4236" s="561"/>
      <c r="L4236" s="560"/>
      <c r="M4236" s="549"/>
      <c r="N4236" s="549"/>
      <c r="O4236" s="549"/>
      <c r="P4236" s="549"/>
      <c r="Q4236" s="1059"/>
      <c r="R4236" s="1059"/>
    </row>
    <row r="4237" spans="1:23" ht="17.399999999999999">
      <c r="A4237" s="547" t="s">
        <v>493</v>
      </c>
      <c r="B4237" s="547" t="s">
        <v>442</v>
      </c>
      <c r="C4237" s="547" t="s">
        <v>19</v>
      </c>
      <c r="D4237" s="547" t="s">
        <v>20</v>
      </c>
      <c r="E4237" s="547" t="s">
        <v>175</v>
      </c>
      <c r="F4237" s="548">
        <v>13</v>
      </c>
      <c r="G4237" s="549" t="s">
        <v>21</v>
      </c>
      <c r="H4237" s="599" t="s">
        <v>92</v>
      </c>
      <c r="I4237" s="558">
        <v>16.600000000000001</v>
      </c>
      <c r="J4237" s="567">
        <v>6.9</v>
      </c>
      <c r="K4237" s="648">
        <v>24</v>
      </c>
      <c r="L4237" s="552">
        <f>(I4237*J4237*K4237/1000)</f>
        <v>2.7489600000000003</v>
      </c>
      <c r="M4237" s="549"/>
      <c r="N4237" s="567">
        <f t="shared" ref="N4237:N4238" si="791">J4237*M4237*I4237/1000</f>
        <v>0</v>
      </c>
      <c r="O4237" s="549"/>
      <c r="P4237" s="549"/>
      <c r="Q4237" s="549"/>
      <c r="R4237" s="549"/>
      <c r="S4237" s="549">
        <v>5</v>
      </c>
      <c r="T4237" s="497" t="s">
        <v>567</v>
      </c>
    </row>
    <row r="4238" spans="1:23" ht="17.399999999999999">
      <c r="A4238" s="547"/>
      <c r="B4238" s="549" t="s">
        <v>443</v>
      </c>
      <c r="C4238" s="547"/>
      <c r="D4238" s="547"/>
      <c r="E4238" s="547"/>
      <c r="F4238" s="548"/>
      <c r="G4238" s="549" t="s">
        <v>21</v>
      </c>
      <c r="H4238" s="549" t="s">
        <v>92</v>
      </c>
      <c r="I4238" s="558">
        <v>16.600000000000001</v>
      </c>
      <c r="J4238" s="567">
        <v>8.1999999999999993</v>
      </c>
      <c r="K4238" s="648">
        <v>10</v>
      </c>
      <c r="L4238" s="552">
        <f>(I4238*J4238*K4238/1000)</f>
        <v>1.3612</v>
      </c>
      <c r="M4238" s="549"/>
      <c r="N4238" s="567">
        <f t="shared" si="791"/>
        <v>0</v>
      </c>
      <c r="O4238" s="549"/>
      <c r="P4238" s="549"/>
      <c r="Q4238" s="549"/>
      <c r="R4238" s="549"/>
      <c r="S4238" s="549">
        <v>10</v>
      </c>
    </row>
    <row r="4239" spans="1:23" s="497" customFormat="1" ht="17.399999999999999">
      <c r="A4239" s="547"/>
      <c r="B4239" s="549"/>
      <c r="C4239" s="547"/>
      <c r="D4239" s="547"/>
      <c r="E4239" s="547"/>
      <c r="F4239" s="548"/>
      <c r="G4239" s="549" t="s">
        <v>21</v>
      </c>
      <c r="H4239" s="549" t="s">
        <v>92</v>
      </c>
      <c r="I4239" s="558">
        <v>16.600000000000001</v>
      </c>
      <c r="J4239" s="567">
        <v>8.3000000000000007</v>
      </c>
      <c r="K4239" s="648">
        <f>32-10</f>
        <v>22</v>
      </c>
      <c r="L4239" s="552">
        <f>(I4239*J4239*K4239/1000)</f>
        <v>3.0311600000000007</v>
      </c>
      <c r="M4239" s="549"/>
      <c r="N4239" s="567"/>
      <c r="O4239" s="567">
        <v>8.1999999999999993</v>
      </c>
      <c r="P4239" s="549"/>
      <c r="Q4239" s="1059"/>
      <c r="R4239" s="1059"/>
    </row>
    <row r="4240" spans="1:23" ht="17.399999999999999">
      <c r="A4240" s="549"/>
      <c r="B4240" s="549"/>
      <c r="C4240" s="549"/>
      <c r="D4240" s="549"/>
      <c r="E4240" s="549"/>
      <c r="F4240" s="549"/>
      <c r="G4240" s="549" t="s">
        <v>21</v>
      </c>
      <c r="H4240" s="549" t="s">
        <v>92</v>
      </c>
      <c r="I4240" s="558">
        <v>16.600000000000001</v>
      </c>
      <c r="J4240" s="567">
        <v>10.5</v>
      </c>
      <c r="K4240" s="648">
        <v>28</v>
      </c>
      <c r="L4240" s="552">
        <f>(I4240*J4240*K4240/1000)</f>
        <v>4.8804000000000007</v>
      </c>
      <c r="M4240" s="549">
        <f>2+1+1+3</f>
        <v>7</v>
      </c>
      <c r="N4240" s="567">
        <f>J4240*M4240*I4240/1000</f>
        <v>1.2201000000000002</v>
      </c>
      <c r="O4240" s="549"/>
      <c r="P4240" s="549"/>
      <c r="Q4240" s="1059"/>
      <c r="R4240" s="1059"/>
    </row>
    <row r="4241" spans="1:23" ht="17.399999999999999">
      <c r="A4241" s="549"/>
      <c r="B4241" s="549"/>
      <c r="C4241" s="549"/>
      <c r="D4241" s="549"/>
      <c r="E4241" s="549"/>
      <c r="F4241" s="549"/>
      <c r="G4241" s="650"/>
      <c r="H4241" s="549"/>
      <c r="I4241" s="558"/>
      <c r="J4241" s="567"/>
      <c r="K4241" s="648">
        <f t="shared" ref="K4241" si="792">SUM(K4237:K4240)</f>
        <v>84</v>
      </c>
      <c r="L4241" s="567">
        <f>SUM(L4237:L4240)</f>
        <v>12.021720000000002</v>
      </c>
      <c r="M4241" s="648">
        <f>SUM(M4237:M4240)</f>
        <v>7</v>
      </c>
      <c r="N4241" s="567">
        <f>SUM(N4237:N4240)</f>
        <v>1.2201000000000002</v>
      </c>
      <c r="O4241" s="549"/>
      <c r="P4241" s="549"/>
      <c r="Q4241" s="1059"/>
      <c r="R4241" s="1059"/>
    </row>
    <row r="4242" spans="1:23" s="497" customFormat="1" ht="17.399999999999999">
      <c r="A4242" s="549"/>
      <c r="B4242" s="549"/>
      <c r="C4242" s="549"/>
      <c r="D4242" s="549"/>
      <c r="E4242" s="549"/>
      <c r="F4242" s="549"/>
      <c r="G4242" s="650"/>
      <c r="H4242" s="549"/>
      <c r="I4242" s="558"/>
      <c r="J4242" s="567"/>
      <c r="K4242" s="648"/>
      <c r="L4242" s="567"/>
      <c r="M4242" s="549"/>
      <c r="N4242" s="549"/>
      <c r="O4242" s="549"/>
      <c r="P4242" s="549"/>
      <c r="Q4242" s="1059"/>
      <c r="R4242" s="1059"/>
    </row>
    <row r="4243" spans="1:23" ht="17.399999999999999">
      <c r="A4243" s="547" t="s">
        <v>445</v>
      </c>
      <c r="B4243" s="547" t="s">
        <v>487</v>
      </c>
      <c r="C4243" s="547" t="s">
        <v>19</v>
      </c>
      <c r="D4243" s="547" t="s">
        <v>20</v>
      </c>
      <c r="E4243" s="547" t="s">
        <v>47</v>
      </c>
      <c r="F4243" s="548">
        <v>13</v>
      </c>
      <c r="G4243" s="549" t="s">
        <v>21</v>
      </c>
      <c r="H4243" s="599" t="s">
        <v>92</v>
      </c>
      <c r="I4243" s="558">
        <v>16.600000000000001</v>
      </c>
      <c r="J4243" s="567">
        <v>7.8</v>
      </c>
      <c r="K4243" s="648">
        <v>39</v>
      </c>
      <c r="L4243" s="552">
        <f>(I4243*J4243*K4243/1000)</f>
        <v>5.0497200000000015</v>
      </c>
      <c r="M4243" s="549"/>
      <c r="N4243" s="549"/>
      <c r="O4243" s="549"/>
      <c r="P4243" s="549"/>
      <c r="Q4243" s="1059"/>
      <c r="R4243" s="1059"/>
      <c r="S4243" s="497" t="s">
        <v>567</v>
      </c>
      <c r="V4243">
        <v>13</v>
      </c>
      <c r="W4243" s="126">
        <f>J4243*V4243*I4243/1000</f>
        <v>1.6832400000000001</v>
      </c>
    </row>
    <row r="4244" spans="1:23" ht="17.399999999999999">
      <c r="A4244" s="547"/>
      <c r="B4244" s="752" t="s">
        <v>439</v>
      </c>
      <c r="C4244" s="547"/>
      <c r="D4244" s="547"/>
      <c r="E4244" s="547"/>
      <c r="F4244" s="548"/>
      <c r="G4244" s="549" t="s">
        <v>21</v>
      </c>
      <c r="H4244" s="549" t="s">
        <v>92</v>
      </c>
      <c r="I4244" s="558">
        <v>16.600000000000001</v>
      </c>
      <c r="J4244" s="567">
        <v>8.3000000000000007</v>
      </c>
      <c r="K4244" s="648">
        <v>20</v>
      </c>
      <c r="L4244" s="552">
        <f>(I4244*J4244*K4244/1000)</f>
        <v>2.7556000000000003</v>
      </c>
      <c r="M4244" s="549"/>
      <c r="N4244" s="549"/>
      <c r="O4244" s="549"/>
      <c r="P4244" s="549"/>
      <c r="Q4244" s="1059"/>
      <c r="R4244" s="1059"/>
    </row>
    <row r="4245" spans="1:23" ht="17.399999999999999">
      <c r="A4245" s="549"/>
      <c r="B4245" s="549"/>
      <c r="C4245" s="549"/>
      <c r="D4245" s="549"/>
      <c r="E4245" s="549"/>
      <c r="F4245" s="549"/>
      <c r="G4245" s="549" t="s">
        <v>21</v>
      </c>
      <c r="H4245" s="549" t="s">
        <v>92</v>
      </c>
      <c r="I4245" s="558">
        <v>16.600000000000001</v>
      </c>
      <c r="J4245" s="567">
        <v>11.1</v>
      </c>
      <c r="K4245" s="648">
        <v>43</v>
      </c>
      <c r="L4245" s="552">
        <f>(I4245*J4245*K4245/1000)</f>
        <v>7.9231800000000012</v>
      </c>
      <c r="M4245" s="549"/>
      <c r="N4245" s="549"/>
      <c r="O4245" s="549"/>
      <c r="P4245" s="549"/>
      <c r="Q4245" s="1059"/>
      <c r="R4245" s="1059"/>
      <c r="V4245">
        <v>11</v>
      </c>
      <c r="W4245" s="126">
        <f t="shared" ref="W4245:W4247" si="793">J4245*V4245*I4245/1000</f>
        <v>2.0268600000000001</v>
      </c>
    </row>
    <row r="4246" spans="1:23" ht="17.399999999999999">
      <c r="A4246" s="549"/>
      <c r="B4246" s="549"/>
      <c r="C4246" s="549"/>
      <c r="D4246" s="549"/>
      <c r="E4246" s="549"/>
      <c r="F4246" s="549"/>
      <c r="G4246" s="549" t="s">
        <v>21</v>
      </c>
      <c r="H4246" s="549" t="s">
        <v>92</v>
      </c>
      <c r="I4246" s="558">
        <v>16.600000000000001</v>
      </c>
      <c r="J4246" s="567">
        <v>11.3</v>
      </c>
      <c r="K4246" s="648">
        <v>19</v>
      </c>
      <c r="L4246" s="552">
        <f t="shared" ref="L4246" si="794">(I4246*J4246*K4246/1000)</f>
        <v>3.5640200000000011</v>
      </c>
      <c r="M4246" s="549"/>
      <c r="N4246" s="549"/>
      <c r="O4246" s="549"/>
      <c r="P4246" s="549"/>
      <c r="Q4246" s="1059"/>
      <c r="R4246" s="1059"/>
      <c r="V4246">
        <v>1</v>
      </c>
      <c r="W4246" s="126">
        <f t="shared" si="793"/>
        <v>0.18758000000000005</v>
      </c>
    </row>
    <row r="4247" spans="1:23" ht="17.399999999999999">
      <c r="A4247" s="549"/>
      <c r="B4247" s="549"/>
      <c r="C4247" s="549"/>
      <c r="D4247" s="549"/>
      <c r="E4247" s="549"/>
      <c r="F4247" s="549"/>
      <c r="G4247" s="549" t="s">
        <v>21</v>
      </c>
      <c r="H4247" s="549" t="s">
        <v>92</v>
      </c>
      <c r="I4247" s="558">
        <v>16.600000000000001</v>
      </c>
      <c r="J4247" s="567">
        <v>12</v>
      </c>
      <c r="K4247" s="648">
        <v>2</v>
      </c>
      <c r="L4247" s="552">
        <f>(I4247*J4247*K4247/1000)</f>
        <v>0.39840000000000003</v>
      </c>
      <c r="M4247" s="549"/>
      <c r="N4247" s="549"/>
      <c r="O4247" s="549"/>
      <c r="P4247" s="549"/>
      <c r="Q4247" s="1059"/>
      <c r="R4247" s="1059"/>
      <c r="V4247">
        <v>1</v>
      </c>
      <c r="W4247" s="126">
        <f t="shared" si="793"/>
        <v>0.19920000000000002</v>
      </c>
    </row>
    <row r="4248" spans="1:23" ht="17.399999999999999">
      <c r="A4248" s="549"/>
      <c r="B4248" s="549"/>
      <c r="C4248" s="549"/>
      <c r="D4248" s="549"/>
      <c r="E4248" s="549"/>
      <c r="F4248" s="549"/>
      <c r="G4248" s="549"/>
      <c r="H4248" s="549"/>
      <c r="I4248" s="558"/>
      <c r="J4248" s="567"/>
      <c r="K4248" s="648">
        <f>SUM(K4243:K4247)</f>
        <v>123</v>
      </c>
      <c r="L4248" s="567">
        <f>SUM(L4243:L4247)</f>
        <v>19.690920000000002</v>
      </c>
      <c r="M4248" s="648">
        <f t="shared" ref="M4248:N4248" si="795">SUM(M4243:M4247)</f>
        <v>0</v>
      </c>
      <c r="N4248" s="567">
        <f t="shared" si="795"/>
        <v>0</v>
      </c>
      <c r="O4248" s="549"/>
      <c r="P4248" s="549"/>
      <c r="Q4248" s="1059"/>
      <c r="R4248" s="1059"/>
      <c r="V4248" s="648">
        <f>SUM(V4243:V4247)</f>
        <v>26</v>
      </c>
      <c r="W4248" s="567">
        <f>SUM(W4243:W4247)</f>
        <v>4.0968800000000005</v>
      </c>
    </row>
    <row r="4249" spans="1:23" s="497" customFormat="1" ht="17.399999999999999">
      <c r="A4249" s="549"/>
      <c r="B4249" s="549"/>
      <c r="C4249" s="549"/>
      <c r="D4249" s="549"/>
      <c r="E4249" s="549"/>
      <c r="F4249" s="549"/>
      <c r="G4249" s="549"/>
      <c r="H4249" s="549"/>
      <c r="I4249" s="558"/>
      <c r="J4249" s="567"/>
      <c r="K4249" s="648"/>
      <c r="L4249" s="567"/>
      <c r="M4249" s="549"/>
      <c r="N4249" s="549"/>
      <c r="O4249" s="549"/>
      <c r="P4249" s="549"/>
      <c r="Q4249" s="1059"/>
      <c r="R4249" s="1059"/>
    </row>
    <row r="4250" spans="1:23" ht="17.399999999999999">
      <c r="A4250" s="547" t="s">
        <v>493</v>
      </c>
      <c r="B4250" s="547" t="s">
        <v>442</v>
      </c>
      <c r="C4250" s="547" t="s">
        <v>19</v>
      </c>
      <c r="D4250" s="547" t="s">
        <v>20</v>
      </c>
      <c r="E4250" s="547" t="s">
        <v>57</v>
      </c>
      <c r="F4250" s="548">
        <v>13</v>
      </c>
      <c r="G4250" s="549" t="s">
        <v>21</v>
      </c>
      <c r="H4250" s="599" t="s">
        <v>92</v>
      </c>
      <c r="I4250" s="558">
        <v>16.600000000000001</v>
      </c>
      <c r="J4250" s="567">
        <v>6.7</v>
      </c>
      <c r="K4250" s="648">
        <v>18</v>
      </c>
      <c r="L4250" s="552">
        <f>(I4250*J4250*K4250/1000)</f>
        <v>2.0019600000000004</v>
      </c>
      <c r="M4250" s="549"/>
      <c r="N4250" s="549"/>
      <c r="O4250" s="549"/>
      <c r="P4250" s="549"/>
      <c r="Q4250" s="1059"/>
      <c r="R4250" s="1059"/>
      <c r="S4250" s="497" t="s">
        <v>562</v>
      </c>
    </row>
    <row r="4251" spans="1:23" ht="17.399999999999999">
      <c r="A4251" s="547"/>
      <c r="B4251" s="549" t="s">
        <v>443</v>
      </c>
      <c r="C4251" s="547"/>
      <c r="D4251" s="547"/>
      <c r="E4251" s="547"/>
      <c r="F4251" s="548"/>
      <c r="G4251" s="549" t="s">
        <v>21</v>
      </c>
      <c r="H4251" s="549" t="s">
        <v>92</v>
      </c>
      <c r="I4251" s="558">
        <v>16.600000000000001</v>
      </c>
      <c r="J4251" s="567">
        <v>11.6</v>
      </c>
      <c r="K4251" s="648">
        <v>368</v>
      </c>
      <c r="L4251" s="552">
        <f>(I4251*J4251*K4251/1000)</f>
        <v>70.862080000000006</v>
      </c>
      <c r="M4251" s="549"/>
      <c r="N4251" s="549"/>
      <c r="O4251" s="549"/>
      <c r="P4251" s="549"/>
      <c r="Q4251" s="1059"/>
      <c r="R4251" s="1059"/>
      <c r="S4251" s="497" t="s">
        <v>566</v>
      </c>
      <c r="V4251">
        <v>22</v>
      </c>
      <c r="W4251" s="126">
        <f>J4251*V4251*I4251/1000</f>
        <v>4.236320000000001</v>
      </c>
    </row>
    <row r="4252" spans="1:23" ht="17.399999999999999">
      <c r="A4252" s="549"/>
      <c r="B4252" s="549"/>
      <c r="C4252" s="549"/>
      <c r="D4252" s="549"/>
      <c r="E4252" s="549"/>
      <c r="F4252" s="549"/>
      <c r="G4252" s="650"/>
      <c r="H4252" s="549"/>
      <c r="I4252" s="558"/>
      <c r="J4252" s="567"/>
      <c r="K4252" s="648">
        <f t="shared" ref="K4252:L4252" si="796">SUM(K4250:K4251)</f>
        <v>386</v>
      </c>
      <c r="L4252" s="567">
        <f t="shared" si="796"/>
        <v>72.864040000000003</v>
      </c>
      <c r="M4252" s="549"/>
      <c r="N4252" s="549"/>
      <c r="O4252" s="549"/>
      <c r="P4252" s="549"/>
      <c r="Q4252" s="1059"/>
      <c r="R4252" s="1059"/>
      <c r="V4252" s="648">
        <f t="shared" ref="V4252:W4252" si="797">SUM(V4250:V4251)</f>
        <v>22</v>
      </c>
      <c r="W4252" s="567">
        <f t="shared" si="797"/>
        <v>4.236320000000001</v>
      </c>
    </row>
    <row r="4253" spans="1:23" s="497" customFormat="1" ht="17.399999999999999">
      <c r="A4253" s="549"/>
      <c r="B4253" s="549"/>
      <c r="C4253" s="549"/>
      <c r="D4253" s="549"/>
      <c r="E4253" s="549"/>
      <c r="F4253" s="549"/>
      <c r="G4253" s="650"/>
      <c r="H4253" s="549"/>
      <c r="I4253" s="558"/>
      <c r="J4253" s="567"/>
      <c r="K4253" s="648"/>
      <c r="L4253" s="567"/>
      <c r="M4253" s="549"/>
      <c r="N4253" s="549"/>
      <c r="O4253" s="549"/>
      <c r="P4253" s="549"/>
      <c r="Q4253" s="1059"/>
      <c r="R4253" s="1059"/>
    </row>
    <row r="4254" spans="1:23" ht="17.399999999999999">
      <c r="A4254" s="547" t="s">
        <v>411</v>
      </c>
      <c r="B4254" s="547" t="s">
        <v>486</v>
      </c>
      <c r="C4254" s="547" t="s">
        <v>19</v>
      </c>
      <c r="D4254" s="547" t="s">
        <v>20</v>
      </c>
      <c r="E4254" s="547" t="s">
        <v>359</v>
      </c>
      <c r="F4254" s="548">
        <v>13</v>
      </c>
      <c r="G4254" s="549" t="s">
        <v>21</v>
      </c>
      <c r="H4254" s="599" t="s">
        <v>92</v>
      </c>
      <c r="I4254" s="558">
        <v>16.579999999999998</v>
      </c>
      <c r="J4254" s="647">
        <v>12</v>
      </c>
      <c r="K4254" s="648">
        <v>1</v>
      </c>
      <c r="L4254" s="552">
        <f>(I4254*J4254*K4254/1000)</f>
        <v>0.19895999999999997</v>
      </c>
      <c r="M4254" s="549"/>
      <c r="N4254" s="549"/>
      <c r="O4254" s="549"/>
      <c r="P4254" s="549"/>
      <c r="Q4254" s="1059"/>
      <c r="R4254" s="1059"/>
      <c r="S4254" s="497" t="s">
        <v>567</v>
      </c>
    </row>
    <row r="4255" spans="1:23" ht="17.399999999999999">
      <c r="A4255" s="550"/>
      <c r="B4255" s="549" t="s">
        <v>331</v>
      </c>
      <c r="C4255" s="550"/>
      <c r="D4255" s="550"/>
      <c r="E4255" s="548"/>
      <c r="F4255" s="549"/>
      <c r="G4255" s="549"/>
      <c r="H4255" s="549"/>
      <c r="I4255" s="558"/>
      <c r="J4255" s="647"/>
      <c r="K4255" s="648">
        <f t="shared" ref="K4255:L4255" si="798">SUM(K4254)</f>
        <v>1</v>
      </c>
      <c r="L4255" s="567">
        <f t="shared" si="798"/>
        <v>0.19895999999999997</v>
      </c>
      <c r="M4255" s="549"/>
      <c r="N4255" s="549"/>
      <c r="O4255" s="549"/>
      <c r="P4255" s="549"/>
      <c r="Q4255" s="1059"/>
      <c r="R4255" s="1059"/>
    </row>
    <row r="4256" spans="1:23" s="497" customFormat="1" ht="17.399999999999999">
      <c r="A4256" s="550"/>
      <c r="B4256" s="549"/>
      <c r="C4256" s="550"/>
      <c r="D4256" s="550"/>
      <c r="E4256" s="548"/>
      <c r="F4256" s="549"/>
      <c r="G4256" s="549"/>
      <c r="H4256" s="549"/>
      <c r="I4256" s="558"/>
      <c r="J4256" s="647"/>
      <c r="K4256" s="648"/>
      <c r="L4256" s="567"/>
      <c r="M4256" s="549"/>
      <c r="N4256" s="549"/>
      <c r="O4256" s="549"/>
      <c r="P4256" s="549"/>
      <c r="Q4256" s="1059"/>
      <c r="R4256" s="1059"/>
    </row>
    <row r="4257" spans="1:23" ht="17.399999999999999">
      <c r="A4257" s="547" t="s">
        <v>458</v>
      </c>
      <c r="B4257" s="547" t="s">
        <v>492</v>
      </c>
      <c r="C4257" s="547" t="s">
        <v>19</v>
      </c>
      <c r="D4257" s="547" t="s">
        <v>20</v>
      </c>
      <c r="E4257" s="547" t="s">
        <v>359</v>
      </c>
      <c r="F4257" s="548">
        <v>13</v>
      </c>
      <c r="G4257" s="549" t="s">
        <v>21</v>
      </c>
      <c r="H4257" s="599" t="s">
        <v>92</v>
      </c>
      <c r="I4257" s="558">
        <v>16.579999999999998</v>
      </c>
      <c r="J4257" s="567">
        <v>12</v>
      </c>
      <c r="K4257" s="648">
        <v>1</v>
      </c>
      <c r="L4257" s="552">
        <f>(I4257*J4257*K4257/1000)</f>
        <v>0.19895999999999997</v>
      </c>
      <c r="M4257" s="549"/>
      <c r="N4257" s="549"/>
      <c r="O4257" s="549"/>
      <c r="P4257" s="549"/>
      <c r="Q4257" s="1059"/>
      <c r="R4257" s="1059"/>
      <c r="S4257" s="497" t="s">
        <v>567</v>
      </c>
    </row>
    <row r="4258" spans="1:23" ht="17.399999999999999">
      <c r="A4258" s="550"/>
      <c r="B4258" s="549" t="s">
        <v>277</v>
      </c>
      <c r="C4258" s="550"/>
      <c r="D4258" s="550"/>
      <c r="E4258" s="548"/>
      <c r="F4258" s="549"/>
      <c r="G4258" s="549"/>
      <c r="H4258" s="549"/>
      <c r="I4258" s="558"/>
      <c r="J4258" s="567"/>
      <c r="K4258" s="648">
        <f t="shared" ref="K4258:L4258" si="799">SUM(K4257)</f>
        <v>1</v>
      </c>
      <c r="L4258" s="567">
        <f t="shared" si="799"/>
        <v>0.19895999999999997</v>
      </c>
      <c r="M4258" s="549"/>
      <c r="N4258" s="549"/>
      <c r="O4258" s="549"/>
      <c r="P4258" s="549"/>
      <c r="Q4258" s="1059"/>
      <c r="R4258" s="1059"/>
    </row>
    <row r="4259" spans="1:23" s="497" customFormat="1" ht="17.399999999999999">
      <c r="A4259" s="550"/>
      <c r="B4259" s="549"/>
      <c r="C4259" s="550"/>
      <c r="D4259" s="550"/>
      <c r="E4259" s="548"/>
      <c r="F4259" s="549"/>
      <c r="G4259" s="549"/>
      <c r="H4259" s="549"/>
      <c r="I4259" s="558"/>
      <c r="J4259" s="567"/>
      <c r="K4259" s="648"/>
      <c r="L4259" s="567"/>
      <c r="M4259" s="549"/>
      <c r="N4259" s="549"/>
      <c r="O4259" s="549"/>
      <c r="P4259" s="549"/>
      <c r="Q4259" s="1059"/>
      <c r="R4259" s="1059"/>
    </row>
    <row r="4260" spans="1:23" ht="17.399999999999999">
      <c r="A4260" s="547" t="s">
        <v>495</v>
      </c>
      <c r="B4260" s="547" t="s">
        <v>496</v>
      </c>
      <c r="C4260" s="547" t="s">
        <v>19</v>
      </c>
      <c r="D4260" s="547" t="s">
        <v>20</v>
      </c>
      <c r="E4260" s="547" t="s">
        <v>359</v>
      </c>
      <c r="F4260" s="548">
        <v>13</v>
      </c>
      <c r="G4260" s="549" t="s">
        <v>21</v>
      </c>
      <c r="H4260" s="599" t="s">
        <v>92</v>
      </c>
      <c r="I4260" s="558">
        <v>16.579999999999998</v>
      </c>
      <c r="J4260" s="567">
        <v>12</v>
      </c>
      <c r="K4260" s="648">
        <v>7</v>
      </c>
      <c r="L4260" s="552">
        <f>(I4260*J4260*K4260/1000)</f>
        <v>1.3927199999999997</v>
      </c>
      <c r="M4260" s="549"/>
      <c r="N4260" s="549"/>
      <c r="O4260" s="549"/>
      <c r="P4260" s="549"/>
      <c r="Q4260" s="1059"/>
      <c r="R4260" s="1059"/>
      <c r="S4260" s="497" t="s">
        <v>567</v>
      </c>
    </row>
    <row r="4261" spans="1:23" ht="17.399999999999999">
      <c r="A4261" s="550"/>
      <c r="B4261" s="549" t="s">
        <v>277</v>
      </c>
      <c r="C4261" s="550"/>
      <c r="D4261" s="550"/>
      <c r="E4261" s="548"/>
      <c r="F4261" s="549"/>
      <c r="G4261" s="549"/>
      <c r="H4261" s="549"/>
      <c r="I4261" s="558"/>
      <c r="J4261" s="567"/>
      <c r="K4261" s="648">
        <f>SUM(K4260)</f>
        <v>7</v>
      </c>
      <c r="L4261" s="567">
        <f t="shared" ref="L4261" si="800">SUM(L4260)</f>
        <v>1.3927199999999997</v>
      </c>
      <c r="M4261" s="549"/>
      <c r="N4261" s="549"/>
      <c r="O4261" s="549"/>
      <c r="P4261" s="549"/>
      <c r="Q4261" s="1059"/>
      <c r="R4261" s="1059"/>
    </row>
    <row r="4262" spans="1:23" s="497" customFormat="1" ht="17.399999999999999">
      <c r="A4262" s="550"/>
      <c r="B4262" s="549"/>
      <c r="C4262" s="550"/>
      <c r="D4262" s="550"/>
      <c r="E4262" s="548"/>
      <c r="F4262" s="549"/>
      <c r="G4262" s="549"/>
      <c r="H4262" s="549"/>
      <c r="I4262" s="558"/>
      <c r="J4262" s="567"/>
      <c r="K4262" s="648">
        <f>SUM(K4233:K4261)/2</f>
        <v>617</v>
      </c>
      <c r="L4262" s="567">
        <f>SUM(L4233:L4261)/2</f>
        <v>108.91874000000001</v>
      </c>
      <c r="M4262" s="648">
        <f>SUM(M4233:M4261)/2</f>
        <v>7</v>
      </c>
      <c r="N4262" s="567">
        <f>SUM(N4233:N4261)/2</f>
        <v>1.2201000000000002</v>
      </c>
      <c r="O4262" s="549"/>
      <c r="P4262" s="549"/>
      <c r="Q4262" s="1059"/>
      <c r="R4262" s="1059"/>
      <c r="V4262" s="648">
        <f>SUM(V4233:V4261)/2</f>
        <v>53</v>
      </c>
      <c r="W4262" s="567">
        <f>SUM(W4233:W4261)/2</f>
        <v>9.1416200000000014</v>
      </c>
    </row>
    <row r="4263" spans="1:23" ht="17.399999999999999">
      <c r="A4263" s="549"/>
      <c r="B4263" s="549"/>
      <c r="C4263" s="549"/>
      <c r="D4263" s="549"/>
      <c r="E4263" s="549"/>
      <c r="F4263" s="549"/>
      <c r="G4263" s="549"/>
      <c r="H4263" s="549"/>
      <c r="I4263" s="560"/>
      <c r="J4263" s="549"/>
      <c r="K4263" s="561"/>
      <c r="L4263" s="560"/>
      <c r="M4263" s="549"/>
      <c r="N4263" s="549"/>
      <c r="O4263" s="549"/>
      <c r="P4263" s="549"/>
      <c r="Q4263" s="1059"/>
      <c r="R4263" s="1059"/>
    </row>
    <row r="4264" spans="1:23" ht="17.399999999999999">
      <c r="A4264" s="549"/>
      <c r="B4264" s="549"/>
      <c r="C4264" s="549"/>
      <c r="D4264" s="549"/>
      <c r="E4264" s="549"/>
      <c r="F4264" s="549"/>
      <c r="G4264" s="549"/>
      <c r="H4264" s="549"/>
      <c r="I4264" s="560"/>
      <c r="J4264" s="549"/>
      <c r="K4264" s="561"/>
      <c r="L4264" s="560"/>
      <c r="M4264" s="549"/>
      <c r="N4264" s="549"/>
      <c r="O4264" s="549"/>
      <c r="P4264" s="549"/>
      <c r="Q4264" s="1059"/>
      <c r="R4264" s="1059"/>
    </row>
    <row r="4265" spans="1:23" s="497" customFormat="1" ht="17.399999999999999">
      <c r="A4265" s="549"/>
      <c r="B4265" s="549"/>
      <c r="C4265" s="549"/>
      <c r="D4265" s="549"/>
      <c r="E4265" s="549"/>
      <c r="F4265" s="549"/>
      <c r="G4265" s="549"/>
      <c r="H4265" s="549"/>
      <c r="I4265" s="558"/>
      <c r="J4265" s="567"/>
      <c r="K4265" s="648"/>
      <c r="L4265" s="567"/>
      <c r="M4265" s="549"/>
      <c r="N4265" s="549"/>
      <c r="O4265" s="549"/>
      <c r="P4265" s="549"/>
      <c r="Q4265" s="1059"/>
      <c r="R4265" s="1059"/>
    </row>
    <row r="4266" spans="1:23" s="497" customFormat="1" ht="17.399999999999999">
      <c r="A4266" s="549"/>
      <c r="B4266" s="549"/>
      <c r="C4266" s="549"/>
      <c r="D4266" s="549"/>
      <c r="E4266" s="549"/>
      <c r="F4266" s="549"/>
      <c r="G4266" s="549"/>
      <c r="H4266" s="549"/>
      <c r="I4266" s="558"/>
      <c r="J4266" s="567"/>
      <c r="K4266" s="648"/>
      <c r="L4266" s="567"/>
      <c r="M4266" s="549"/>
      <c r="N4266" s="549"/>
      <c r="O4266" s="549"/>
      <c r="P4266" s="549"/>
      <c r="Q4266" s="1059"/>
      <c r="R4266" s="1059"/>
    </row>
    <row r="4267" spans="1:23" ht="17.399999999999999">
      <c r="A4267" s="547" t="s">
        <v>493</v>
      </c>
      <c r="B4267" s="547" t="s">
        <v>442</v>
      </c>
      <c r="C4267" s="547" t="s">
        <v>19</v>
      </c>
      <c r="D4267" s="547" t="s">
        <v>20</v>
      </c>
      <c r="E4267" s="547" t="s">
        <v>175</v>
      </c>
      <c r="F4267" s="548">
        <v>13</v>
      </c>
      <c r="G4267" s="549" t="s">
        <v>21</v>
      </c>
      <c r="H4267" s="549" t="s">
        <v>494</v>
      </c>
      <c r="I4267" s="558">
        <v>19.7</v>
      </c>
      <c r="J4267" s="567">
        <v>6.5</v>
      </c>
      <c r="K4267" s="648">
        <v>10</v>
      </c>
      <c r="L4267" s="552">
        <f>(I4267*J4267*K4267/1000)</f>
        <v>1.2804999999999997</v>
      </c>
      <c r="M4267" s="549"/>
      <c r="N4267" s="549"/>
      <c r="O4267" s="549"/>
      <c r="P4267" s="549"/>
      <c r="Q4267" s="1059"/>
      <c r="R4267" s="1059"/>
    </row>
    <row r="4268" spans="1:23" ht="17.399999999999999">
      <c r="A4268" s="547"/>
      <c r="B4268" s="549" t="s">
        <v>443</v>
      </c>
      <c r="C4268" s="547"/>
      <c r="D4268" s="547"/>
      <c r="E4268" s="547"/>
      <c r="F4268" s="548"/>
      <c r="G4268" s="650"/>
      <c r="H4268" s="549"/>
      <c r="I4268" s="558"/>
      <c r="J4268" s="567"/>
      <c r="K4268" s="648">
        <f t="shared" ref="K4268:L4268" si="801">SUM(K4267)</f>
        <v>10</v>
      </c>
      <c r="L4268" s="567">
        <f t="shared" si="801"/>
        <v>1.2804999999999997</v>
      </c>
      <c r="M4268" s="549"/>
      <c r="N4268" s="549"/>
      <c r="O4268" s="549"/>
      <c r="P4268" s="549"/>
      <c r="Q4268" s="1059"/>
      <c r="R4268" s="1059"/>
    </row>
    <row r="4269" spans="1:23" s="497" customFormat="1" ht="17.399999999999999">
      <c r="A4269" s="547"/>
      <c r="B4269" s="549"/>
      <c r="C4269" s="547"/>
      <c r="D4269" s="547"/>
      <c r="E4269" s="547"/>
      <c r="F4269" s="548"/>
      <c r="G4269" s="650"/>
      <c r="H4269" s="549"/>
      <c r="I4269" s="558"/>
      <c r="J4269" s="567"/>
      <c r="K4269" s="648"/>
      <c r="L4269" s="567"/>
      <c r="M4269" s="549"/>
      <c r="N4269" s="549"/>
      <c r="O4269" s="549"/>
      <c r="P4269" s="549"/>
      <c r="Q4269" s="1059"/>
      <c r="R4269" s="1059"/>
    </row>
    <row r="4270" spans="1:23" s="497" customFormat="1" ht="17.399999999999999">
      <c r="A4270" s="547"/>
      <c r="B4270" s="549"/>
      <c r="C4270" s="547"/>
      <c r="D4270" s="547"/>
      <c r="E4270" s="547"/>
      <c r="F4270" s="548"/>
      <c r="G4270" s="650"/>
      <c r="H4270" s="549"/>
      <c r="I4270" s="558"/>
      <c r="J4270" s="567"/>
      <c r="K4270" s="648"/>
      <c r="L4270" s="567"/>
      <c r="M4270" s="549"/>
      <c r="N4270" s="549"/>
      <c r="O4270" s="549"/>
      <c r="P4270" s="549"/>
      <c r="Q4270" s="1059"/>
      <c r="R4270" s="1059"/>
    </row>
    <row r="4271" spans="1:23" ht="17.399999999999999">
      <c r="A4271" s="547" t="s">
        <v>495</v>
      </c>
      <c r="B4271" s="547" t="s">
        <v>452</v>
      </c>
      <c r="C4271" s="547" t="s">
        <v>19</v>
      </c>
      <c r="D4271" s="547" t="s">
        <v>60</v>
      </c>
      <c r="E4271" s="547" t="s">
        <v>270</v>
      </c>
      <c r="F4271" s="548">
        <v>10</v>
      </c>
      <c r="G4271" s="549" t="s">
        <v>61</v>
      </c>
      <c r="H4271" s="599" t="s">
        <v>92</v>
      </c>
      <c r="I4271" s="558">
        <v>16.579999999999998</v>
      </c>
      <c r="J4271" s="567">
        <v>11.7</v>
      </c>
      <c r="K4271" s="648">
        <v>18</v>
      </c>
      <c r="L4271" s="552">
        <f>(I4271*J4271*K4271/1000)</f>
        <v>3.491747999999999</v>
      </c>
      <c r="M4271" s="549"/>
      <c r="N4271" s="549"/>
      <c r="O4271" s="549"/>
      <c r="P4271" s="549"/>
      <c r="Q4271" s="1059"/>
      <c r="R4271" s="1059"/>
      <c r="S4271" s="497" t="s">
        <v>567</v>
      </c>
    </row>
    <row r="4272" spans="1:23" ht="17.399999999999999">
      <c r="A4272" s="550"/>
      <c r="B4272" s="549" t="s">
        <v>453</v>
      </c>
      <c r="C4272" s="550"/>
      <c r="D4272" s="550"/>
      <c r="E4272" s="548"/>
      <c r="F4272" s="549"/>
      <c r="G4272" s="549"/>
      <c r="H4272" s="549"/>
      <c r="I4272" s="558"/>
      <c r="J4272" s="567"/>
      <c r="K4272" s="648">
        <f t="shared" ref="K4272:L4272" si="802">SUM(K4271)</f>
        <v>18</v>
      </c>
      <c r="L4272" s="567">
        <f t="shared" si="802"/>
        <v>3.491747999999999</v>
      </c>
      <c r="M4272" s="549"/>
      <c r="N4272" s="549"/>
      <c r="O4272" s="549"/>
      <c r="P4272" s="549"/>
      <c r="Q4272" s="1059"/>
      <c r="R4272" s="1059"/>
    </row>
    <row r="4273" spans="1:19" s="497" customFormat="1" ht="17.399999999999999">
      <c r="A4273" s="550"/>
      <c r="B4273" s="549"/>
      <c r="C4273" s="550"/>
      <c r="D4273" s="550"/>
      <c r="E4273" s="548"/>
      <c r="F4273" s="549"/>
      <c r="G4273" s="549"/>
      <c r="H4273" s="549"/>
      <c r="I4273" s="558"/>
      <c r="J4273" s="567"/>
      <c r="K4273" s="648"/>
      <c r="L4273" s="567"/>
      <c r="M4273" s="549"/>
      <c r="N4273" s="549"/>
      <c r="O4273" s="549"/>
      <c r="P4273" s="549"/>
      <c r="Q4273" s="1059"/>
      <c r="R4273" s="1059"/>
    </row>
    <row r="4274" spans="1:19" ht="17.399999999999999">
      <c r="A4274" s="547" t="s">
        <v>411</v>
      </c>
      <c r="B4274" s="547" t="s">
        <v>484</v>
      </c>
      <c r="C4274" s="547" t="s">
        <v>19</v>
      </c>
      <c r="D4274" s="547" t="s">
        <v>60</v>
      </c>
      <c r="E4274" s="547" t="s">
        <v>270</v>
      </c>
      <c r="F4274" s="548">
        <v>10</v>
      </c>
      <c r="G4274" s="814" t="s">
        <v>61</v>
      </c>
      <c r="H4274" s="549" t="s">
        <v>92</v>
      </c>
      <c r="I4274" s="558">
        <v>16.579999999999998</v>
      </c>
      <c r="J4274" s="647">
        <v>11.5</v>
      </c>
      <c r="K4274" s="648">
        <v>9</v>
      </c>
      <c r="L4274" s="552">
        <f>(I4274*J4274*K4274/1000)</f>
        <v>1.7160299999999999</v>
      </c>
      <c r="M4274" s="549"/>
      <c r="N4274" s="549"/>
      <c r="O4274" s="549"/>
      <c r="P4274" s="549"/>
      <c r="Q4274" s="1059"/>
      <c r="R4274" s="1059"/>
      <c r="S4274" s="497" t="s">
        <v>567</v>
      </c>
    </row>
    <row r="4275" spans="1:19" ht="17.399999999999999">
      <c r="A4275" s="550"/>
      <c r="B4275" s="549" t="s">
        <v>331</v>
      </c>
      <c r="C4275" s="550"/>
      <c r="D4275" s="550"/>
      <c r="E4275" s="548"/>
      <c r="F4275" s="549"/>
      <c r="G4275" s="814" t="s">
        <v>61</v>
      </c>
      <c r="H4275" s="549" t="s">
        <v>92</v>
      </c>
      <c r="I4275" s="558">
        <v>16.579999999999998</v>
      </c>
      <c r="J4275" s="567">
        <v>8.5</v>
      </c>
      <c r="K4275" s="648">
        <v>2</v>
      </c>
      <c r="L4275" s="552">
        <f>(I4275*J4275*K4275/1000)</f>
        <v>0.28185999999999994</v>
      </c>
      <c r="M4275" s="549"/>
      <c r="N4275" s="549"/>
      <c r="O4275" s="647">
        <v>7</v>
      </c>
      <c r="P4275" s="549"/>
      <c r="Q4275" s="1059"/>
      <c r="R4275" s="1059"/>
    </row>
    <row r="4276" spans="1:19" ht="17.399999999999999">
      <c r="A4276" s="549"/>
      <c r="B4276" s="549"/>
      <c r="C4276" s="549"/>
      <c r="D4276" s="549"/>
      <c r="E4276" s="549"/>
      <c r="F4276" s="549"/>
      <c r="G4276" s="814"/>
      <c r="H4276" s="549"/>
      <c r="I4276" s="558"/>
      <c r="J4276" s="647"/>
      <c r="K4276" s="648">
        <f t="shared" ref="K4276:L4276" si="803">SUM(K4274:K4275)</f>
        <v>11</v>
      </c>
      <c r="L4276" s="552">
        <f t="shared" si="803"/>
        <v>1.9978899999999999</v>
      </c>
      <c r="M4276" s="549"/>
      <c r="N4276" s="549"/>
      <c r="O4276" s="549"/>
      <c r="P4276" s="549"/>
      <c r="Q4276" s="1059"/>
      <c r="R4276" s="1059"/>
    </row>
    <row r="4277" spans="1:19" ht="17.399999999999999">
      <c r="A4277" s="549"/>
      <c r="B4277" s="549"/>
      <c r="C4277" s="549"/>
      <c r="D4277" s="549"/>
      <c r="E4277" s="549"/>
      <c r="F4277" s="549"/>
      <c r="G4277" s="549"/>
      <c r="H4277" s="549"/>
      <c r="I4277" s="560"/>
      <c r="J4277" s="549"/>
      <c r="K4277" s="561"/>
      <c r="L4277" s="560"/>
      <c r="M4277" s="549"/>
      <c r="N4277" s="549"/>
      <c r="O4277" s="549"/>
      <c r="P4277" s="549"/>
      <c r="Q4277" s="1059"/>
      <c r="R4277" s="1059"/>
    </row>
    <row r="4278" spans="1:19" ht="17.399999999999999">
      <c r="A4278" s="547" t="s">
        <v>445</v>
      </c>
      <c r="B4278" s="547" t="s">
        <v>488</v>
      </c>
      <c r="C4278" s="547" t="s">
        <v>19</v>
      </c>
      <c r="D4278" s="547" t="s">
        <v>60</v>
      </c>
      <c r="E4278" s="547" t="s">
        <v>323</v>
      </c>
      <c r="F4278" s="548">
        <v>13</v>
      </c>
      <c r="G4278" s="549" t="s">
        <v>61</v>
      </c>
      <c r="H4278" s="599" t="s">
        <v>92</v>
      </c>
      <c r="I4278" s="558">
        <v>16.600000000000001</v>
      </c>
      <c r="J4278" s="647">
        <v>11.5</v>
      </c>
      <c r="K4278" s="648">
        <v>2</v>
      </c>
      <c r="L4278" s="552">
        <f>(I4278*J4278*K4278/1000)</f>
        <v>0.38180000000000003</v>
      </c>
      <c r="M4278" s="549"/>
      <c r="N4278" s="549"/>
      <c r="O4278" s="567">
        <v>10.7</v>
      </c>
      <c r="P4278" s="549"/>
      <c r="Q4278" s="1059"/>
      <c r="R4278" s="1059"/>
      <c r="S4278" s="497" t="s">
        <v>567</v>
      </c>
    </row>
    <row r="4279" spans="1:19" ht="17.399999999999999">
      <c r="A4279" s="547"/>
      <c r="B4279" s="752" t="s">
        <v>439</v>
      </c>
      <c r="C4279" s="547"/>
      <c r="D4279" s="547"/>
      <c r="E4279" s="547"/>
      <c r="F4279" s="548"/>
      <c r="G4279" s="549"/>
      <c r="H4279" s="549"/>
      <c r="I4279" s="558"/>
      <c r="J4279" s="567"/>
      <c r="K4279" s="648">
        <f t="shared" ref="K4279:L4279" si="804">SUM(K4278)</f>
        <v>2</v>
      </c>
      <c r="L4279" s="567">
        <f t="shared" si="804"/>
        <v>0.38180000000000003</v>
      </c>
      <c r="M4279" s="549"/>
      <c r="N4279" s="549"/>
      <c r="O4279" s="549"/>
      <c r="P4279" s="549"/>
      <c r="Q4279" s="1059"/>
      <c r="R4279" s="1059"/>
    </row>
    <row r="4280" spans="1:19" s="497" customFormat="1" ht="17.399999999999999">
      <c r="A4280" s="547"/>
      <c r="B4280" s="752"/>
      <c r="C4280" s="547"/>
      <c r="D4280" s="547"/>
      <c r="E4280" s="547"/>
      <c r="F4280" s="548"/>
      <c r="G4280" s="549"/>
      <c r="H4280" s="549"/>
      <c r="I4280" s="558"/>
      <c r="J4280" s="567"/>
      <c r="K4280" s="648"/>
      <c r="L4280" s="567"/>
      <c r="M4280" s="549"/>
      <c r="N4280" s="549"/>
      <c r="O4280" s="549"/>
      <c r="P4280" s="549"/>
      <c r="Q4280" s="1059"/>
      <c r="R4280" s="1059"/>
    </row>
    <row r="4281" spans="1:19" ht="17.399999999999999">
      <c r="A4281" s="547" t="s">
        <v>445</v>
      </c>
      <c r="B4281" s="547" t="s">
        <v>485</v>
      </c>
      <c r="C4281" s="547" t="s">
        <v>19</v>
      </c>
      <c r="D4281" s="547" t="s">
        <v>60</v>
      </c>
      <c r="E4281" s="547" t="s">
        <v>90</v>
      </c>
      <c r="F4281" s="548">
        <v>13</v>
      </c>
      <c r="G4281" s="549" t="s">
        <v>61</v>
      </c>
      <c r="H4281" s="599" t="s">
        <v>92</v>
      </c>
      <c r="I4281" s="558">
        <v>16.600000000000001</v>
      </c>
      <c r="J4281" s="567">
        <v>8.5</v>
      </c>
      <c r="K4281" s="648">
        <v>56</v>
      </c>
      <c r="L4281" s="552">
        <f>(I4281*J4281*K4281/1000)</f>
        <v>7.9016000000000011</v>
      </c>
      <c r="M4281" s="549"/>
      <c r="N4281" s="549"/>
      <c r="O4281" s="549"/>
      <c r="P4281" s="549"/>
      <c r="Q4281" s="1059"/>
      <c r="R4281" s="1059"/>
      <c r="S4281" s="497" t="s">
        <v>567</v>
      </c>
    </row>
    <row r="4282" spans="1:19" ht="17.399999999999999">
      <c r="A4282" s="547"/>
      <c r="B4282" s="549" t="s">
        <v>423</v>
      </c>
      <c r="C4282" s="547"/>
      <c r="D4282" s="547"/>
      <c r="E4282" s="547"/>
      <c r="F4282" s="548"/>
      <c r="G4282" s="549"/>
      <c r="H4282" s="549"/>
      <c r="I4282" s="558"/>
      <c r="J4282" s="567"/>
      <c r="K4282" s="648">
        <f t="shared" ref="K4282:L4282" si="805">SUM(K4281)</f>
        <v>56</v>
      </c>
      <c r="L4282" s="567">
        <f t="shared" si="805"/>
        <v>7.9016000000000011</v>
      </c>
      <c r="M4282" s="549"/>
      <c r="N4282" s="549"/>
      <c r="O4282" s="549"/>
      <c r="P4282" s="549"/>
      <c r="Q4282" s="1059"/>
      <c r="R4282" s="1059"/>
    </row>
    <row r="4283" spans="1:19" s="497" customFormat="1" ht="17.399999999999999">
      <c r="A4283" s="547"/>
      <c r="B4283" s="549"/>
      <c r="C4283" s="547"/>
      <c r="D4283" s="547"/>
      <c r="E4283" s="547"/>
      <c r="F4283" s="548"/>
      <c r="G4283" s="549"/>
      <c r="H4283" s="549"/>
      <c r="I4283" s="558"/>
      <c r="J4283" s="567"/>
      <c r="K4283" s="648"/>
      <c r="L4283" s="567"/>
      <c r="M4283" s="549"/>
      <c r="N4283" s="549"/>
      <c r="O4283" s="549"/>
      <c r="P4283" s="549"/>
      <c r="Q4283" s="1059"/>
      <c r="R4283" s="1059"/>
    </row>
    <row r="4284" spans="1:19" ht="17.399999999999999">
      <c r="A4284" s="547" t="s">
        <v>445</v>
      </c>
      <c r="B4284" s="547" t="s">
        <v>490</v>
      </c>
      <c r="C4284" s="547" t="s">
        <v>19</v>
      </c>
      <c r="D4284" s="547" t="s">
        <v>60</v>
      </c>
      <c r="E4284" s="547" t="s">
        <v>247</v>
      </c>
      <c r="F4284" s="548">
        <v>13</v>
      </c>
      <c r="G4284" s="549" t="s">
        <v>61</v>
      </c>
      <c r="H4284" s="599" t="s">
        <v>92</v>
      </c>
      <c r="I4284" s="558">
        <v>16.600000000000001</v>
      </c>
      <c r="J4284" s="647">
        <v>11.5</v>
      </c>
      <c r="K4284" s="648">
        <v>3</v>
      </c>
      <c r="L4284" s="552">
        <f>(I4284*J4284*K4284/1000)</f>
        <v>0.5727000000000001</v>
      </c>
      <c r="M4284" s="549"/>
      <c r="N4284" s="549"/>
      <c r="O4284" s="567">
        <v>10.7</v>
      </c>
      <c r="P4284" s="549"/>
      <c r="Q4284" s="1059"/>
      <c r="R4284" s="1059"/>
      <c r="S4284" s="497" t="s">
        <v>567</v>
      </c>
    </row>
    <row r="4285" spans="1:19" ht="17.399999999999999">
      <c r="A4285" s="547"/>
      <c r="B4285" s="752" t="s">
        <v>491</v>
      </c>
      <c r="C4285" s="547"/>
      <c r="D4285" s="547"/>
      <c r="E4285" s="547"/>
      <c r="F4285" s="548"/>
      <c r="G4285" s="549"/>
      <c r="H4285" s="549"/>
      <c r="I4285" s="558"/>
      <c r="J4285" s="567"/>
      <c r="K4285" s="648">
        <f t="shared" ref="K4285" si="806">SUM(K4284)</f>
        <v>3</v>
      </c>
      <c r="L4285" s="567">
        <f>SUM(L4284)</f>
        <v>0.5727000000000001</v>
      </c>
      <c r="M4285" s="549"/>
      <c r="N4285" s="549"/>
      <c r="O4285" s="549"/>
      <c r="P4285" s="549"/>
      <c r="Q4285" s="1059"/>
      <c r="R4285" s="1059"/>
    </row>
    <row r="4286" spans="1:19" s="497" customFormat="1" ht="17.399999999999999">
      <c r="A4286" s="547"/>
      <c r="B4286" s="752"/>
      <c r="C4286" s="547"/>
      <c r="D4286" s="547"/>
      <c r="E4286" s="547"/>
      <c r="F4286" s="548"/>
      <c r="G4286" s="549"/>
      <c r="H4286" s="549"/>
      <c r="I4286" s="558"/>
      <c r="J4286" s="567"/>
      <c r="K4286" s="648">
        <f>SUM(K4271:K4285)/2</f>
        <v>90</v>
      </c>
      <c r="L4286" s="567">
        <f>SUM(L4271:L4285)/2</f>
        <v>14.345738000000003</v>
      </c>
      <c r="M4286" s="648">
        <f>SUM(M4271:M4285)/2</f>
        <v>0</v>
      </c>
      <c r="N4286" s="567">
        <f>SUM(N4271:N4285)/2</f>
        <v>0</v>
      </c>
      <c r="O4286" s="549"/>
      <c r="P4286" s="549"/>
      <c r="Q4286" s="1059"/>
      <c r="R4286" s="1059"/>
    </row>
    <row r="4287" spans="1:19" s="497" customFormat="1" ht="17.399999999999999">
      <c r="A4287" s="547"/>
      <c r="B4287" s="752"/>
      <c r="C4287" s="547"/>
      <c r="D4287" s="547"/>
      <c r="E4287" s="547"/>
      <c r="F4287" s="548"/>
      <c r="G4287" s="549"/>
      <c r="H4287" s="549"/>
      <c r="I4287" s="558"/>
      <c r="J4287" s="567"/>
      <c r="K4287" s="648"/>
      <c r="L4287" s="567"/>
      <c r="M4287" s="648"/>
      <c r="N4287" s="567"/>
      <c r="O4287" s="549"/>
      <c r="P4287" s="549"/>
      <c r="Q4287" s="1059"/>
      <c r="R4287" s="1059"/>
    </row>
    <row r="4288" spans="1:19" s="497" customFormat="1" ht="17.399999999999999">
      <c r="A4288" s="547"/>
      <c r="B4288" s="752"/>
      <c r="C4288" s="547"/>
      <c r="D4288" s="547"/>
      <c r="E4288" s="547"/>
      <c r="F4288" s="548"/>
      <c r="G4288" s="549"/>
      <c r="H4288" s="549"/>
      <c r="I4288" s="558"/>
      <c r="J4288" s="567"/>
      <c r="K4288" s="648"/>
      <c r="L4288" s="567"/>
      <c r="M4288" s="549"/>
      <c r="N4288" s="549"/>
      <c r="O4288" s="549"/>
      <c r="P4288" s="549"/>
      <c r="Q4288" s="1059"/>
      <c r="R4288" s="1059"/>
    </row>
    <row r="4289" spans="1:20" ht="17.399999999999999">
      <c r="A4289" s="547" t="s">
        <v>495</v>
      </c>
      <c r="B4289" s="547" t="s">
        <v>452</v>
      </c>
      <c r="C4289" s="547" t="s">
        <v>19</v>
      </c>
      <c r="D4289" s="547" t="s">
        <v>60</v>
      </c>
      <c r="E4289" s="547" t="s">
        <v>270</v>
      </c>
      <c r="F4289" s="548">
        <v>10</v>
      </c>
      <c r="G4289" s="549" t="s">
        <v>61</v>
      </c>
      <c r="H4289" s="599" t="s">
        <v>95</v>
      </c>
      <c r="I4289" s="558">
        <v>13.4</v>
      </c>
      <c r="J4289" s="567">
        <v>10</v>
      </c>
      <c r="K4289" s="648">
        <v>5</v>
      </c>
      <c r="L4289" s="552">
        <f t="shared" ref="L4289:L4290" si="807">(I4289*J4289*K4289/1000)</f>
        <v>0.67</v>
      </c>
      <c r="M4289" s="549"/>
      <c r="N4289" s="549"/>
      <c r="O4289" s="549"/>
      <c r="P4289" s="549"/>
      <c r="Q4289" s="1059"/>
      <c r="R4289" s="1059"/>
      <c r="S4289" s="497" t="s">
        <v>567</v>
      </c>
    </row>
    <row r="4290" spans="1:20" ht="17.399999999999999">
      <c r="A4290" s="550"/>
      <c r="B4290" s="549" t="s">
        <v>453</v>
      </c>
      <c r="C4290" s="550"/>
      <c r="D4290" s="550"/>
      <c r="E4290" s="548"/>
      <c r="F4290" s="549"/>
      <c r="G4290" s="549" t="s">
        <v>61</v>
      </c>
      <c r="H4290" s="549" t="s">
        <v>95</v>
      </c>
      <c r="I4290" s="558">
        <v>13.4</v>
      </c>
      <c r="J4290" s="567">
        <v>11.8</v>
      </c>
      <c r="K4290" s="648">
        <v>2</v>
      </c>
      <c r="L4290" s="552">
        <f t="shared" si="807"/>
        <v>0.31624000000000002</v>
      </c>
      <c r="M4290" s="549"/>
      <c r="N4290" s="549"/>
      <c r="O4290" s="567">
        <v>11.5</v>
      </c>
      <c r="P4290" s="549"/>
      <c r="Q4290" s="1059"/>
      <c r="R4290" s="1059"/>
    </row>
    <row r="4291" spans="1:20" ht="17.399999999999999">
      <c r="A4291" s="549"/>
      <c r="B4291" s="549"/>
      <c r="C4291" s="549"/>
      <c r="D4291" s="549"/>
      <c r="E4291" s="549"/>
      <c r="F4291" s="549"/>
      <c r="G4291" s="549"/>
      <c r="H4291" s="549"/>
      <c r="I4291" s="558"/>
      <c r="J4291" s="567"/>
      <c r="K4291" s="648">
        <f t="shared" ref="K4291:L4291" si="808">SUM(K4289:K4290)</f>
        <v>7</v>
      </c>
      <c r="L4291" s="567">
        <f t="shared" si="808"/>
        <v>0.98624000000000001</v>
      </c>
      <c r="M4291" s="549"/>
      <c r="N4291" s="549"/>
      <c r="O4291" s="549"/>
      <c r="P4291" s="549"/>
      <c r="Q4291" s="1059"/>
      <c r="R4291" s="1059"/>
    </row>
    <row r="4292" spans="1:20" ht="17.399999999999999">
      <c r="A4292" s="549"/>
      <c r="B4292" s="549"/>
      <c r="C4292" s="549"/>
      <c r="D4292" s="549"/>
      <c r="E4292" s="549"/>
      <c r="F4292" s="549"/>
      <c r="G4292" s="549"/>
      <c r="H4292" s="549"/>
      <c r="I4292" s="560"/>
      <c r="J4292" s="567"/>
      <c r="K4292" s="561"/>
      <c r="L4292" s="560"/>
      <c r="M4292" s="549"/>
      <c r="N4292" s="549"/>
      <c r="O4292" s="549"/>
      <c r="P4292" s="549"/>
      <c r="Q4292" s="1059"/>
      <c r="R4292" s="1059"/>
    </row>
    <row r="4293" spans="1:20" ht="17.399999999999999">
      <c r="A4293" s="547" t="s">
        <v>495</v>
      </c>
      <c r="B4293" s="547" t="s">
        <v>454</v>
      </c>
      <c r="C4293" s="547" t="s">
        <v>19</v>
      </c>
      <c r="D4293" s="547" t="s">
        <v>60</v>
      </c>
      <c r="E4293" s="547" t="s">
        <v>270</v>
      </c>
      <c r="F4293" s="548">
        <v>10</v>
      </c>
      <c r="G4293" s="549" t="s">
        <v>61</v>
      </c>
      <c r="H4293" s="599" t="s">
        <v>95</v>
      </c>
      <c r="I4293" s="558">
        <v>13.4</v>
      </c>
      <c r="J4293" s="567">
        <v>11.8</v>
      </c>
      <c r="K4293" s="648">
        <v>3</v>
      </c>
      <c r="L4293" s="552">
        <f t="shared" ref="L4293:L4294" si="809">(I4293*J4293*K4293/1000)</f>
        <v>0.47436</v>
      </c>
      <c r="M4293" s="549"/>
      <c r="N4293" s="549"/>
      <c r="O4293" s="567">
        <v>11.5</v>
      </c>
      <c r="P4293" s="549"/>
      <c r="Q4293" s="1059"/>
      <c r="R4293" s="1059"/>
    </row>
    <row r="4294" spans="1:20" ht="17.399999999999999">
      <c r="A4294" s="550"/>
      <c r="B4294" s="549" t="s">
        <v>333</v>
      </c>
      <c r="C4294" s="550"/>
      <c r="D4294" s="550"/>
      <c r="E4294" s="548"/>
      <c r="F4294" s="549"/>
      <c r="G4294" s="549" t="s">
        <v>61</v>
      </c>
      <c r="H4294" s="549" t="s">
        <v>95</v>
      </c>
      <c r="I4294" s="558">
        <v>13.4</v>
      </c>
      <c r="J4294" s="567">
        <v>12</v>
      </c>
      <c r="K4294" s="648">
        <v>8</v>
      </c>
      <c r="L4294" s="552">
        <f t="shared" si="809"/>
        <v>1.2864</v>
      </c>
      <c r="M4294" s="549"/>
      <c r="N4294" s="549"/>
      <c r="O4294" s="549"/>
      <c r="P4294" s="549"/>
      <c r="Q4294" s="1059"/>
      <c r="R4294" s="1059"/>
      <c r="S4294" s="497" t="s">
        <v>567</v>
      </c>
    </row>
    <row r="4295" spans="1:20" ht="17.399999999999999">
      <c r="A4295" s="549"/>
      <c r="B4295" s="549"/>
      <c r="C4295" s="549"/>
      <c r="D4295" s="549"/>
      <c r="E4295" s="549"/>
      <c r="F4295" s="549"/>
      <c r="G4295" s="549"/>
      <c r="H4295" s="549"/>
      <c r="I4295" s="558"/>
      <c r="J4295" s="567"/>
      <c r="K4295" s="648">
        <f t="shared" ref="K4295:L4295" si="810">SUM(K4293:K4294)</f>
        <v>11</v>
      </c>
      <c r="L4295" s="567">
        <f t="shared" si="810"/>
        <v>1.7607599999999999</v>
      </c>
      <c r="M4295" s="549"/>
      <c r="N4295" s="549"/>
      <c r="O4295" s="549"/>
      <c r="P4295" s="549"/>
      <c r="Q4295" s="1059"/>
      <c r="R4295" s="1059"/>
    </row>
    <row r="4296" spans="1:20" ht="17.399999999999999">
      <c r="A4296" s="549"/>
      <c r="B4296" s="549"/>
      <c r="C4296" s="549"/>
      <c r="D4296" s="549"/>
      <c r="E4296" s="549"/>
      <c r="F4296" s="549"/>
      <c r="G4296" s="549"/>
      <c r="H4296" s="549"/>
      <c r="I4296" s="560"/>
      <c r="J4296" s="549"/>
      <c r="K4296" s="561"/>
      <c r="L4296" s="560"/>
      <c r="M4296" s="549"/>
      <c r="N4296" s="549"/>
      <c r="O4296" s="549"/>
      <c r="P4296" s="549"/>
      <c r="Q4296" s="1059"/>
      <c r="R4296" s="1059"/>
    </row>
    <row r="4297" spans="1:20" ht="17.399999999999999">
      <c r="A4297" s="547" t="s">
        <v>411</v>
      </c>
      <c r="B4297" s="547" t="s">
        <v>484</v>
      </c>
      <c r="C4297" s="547" t="s">
        <v>19</v>
      </c>
      <c r="D4297" s="547" t="s">
        <v>60</v>
      </c>
      <c r="E4297" s="547" t="s">
        <v>270</v>
      </c>
      <c r="F4297" s="548">
        <v>10</v>
      </c>
      <c r="G4297" s="814" t="s">
        <v>61</v>
      </c>
      <c r="H4297" s="599" t="s">
        <v>95</v>
      </c>
      <c r="I4297" s="558">
        <v>13.4</v>
      </c>
      <c r="J4297" s="647">
        <v>11.8</v>
      </c>
      <c r="K4297" s="648">
        <v>8</v>
      </c>
      <c r="L4297" s="552">
        <f>(I4297*J4297*K4297/1000)</f>
        <v>1.2649600000000001</v>
      </c>
      <c r="M4297" s="549"/>
      <c r="N4297" s="549"/>
      <c r="O4297" s="549"/>
      <c r="P4297" s="549"/>
      <c r="Q4297" s="1059"/>
      <c r="R4297" s="1059"/>
      <c r="S4297" s="497" t="s">
        <v>567</v>
      </c>
    </row>
    <row r="4298" spans="1:20" ht="17.399999999999999">
      <c r="A4298" s="550"/>
      <c r="B4298" s="549" t="s">
        <v>331</v>
      </c>
      <c r="C4298" s="550"/>
      <c r="D4298" s="550"/>
      <c r="E4298" s="548"/>
      <c r="F4298" s="549"/>
      <c r="G4298" s="814"/>
      <c r="H4298" s="549"/>
      <c r="I4298" s="558"/>
      <c r="J4298" s="647"/>
      <c r="K4298" s="648">
        <f t="shared" ref="K4298" si="811">SUM(K4297)</f>
        <v>8</v>
      </c>
      <c r="L4298" s="552">
        <f>SUM(L4297)</f>
        <v>1.2649600000000001</v>
      </c>
      <c r="M4298" s="549"/>
      <c r="N4298" s="549"/>
      <c r="O4298" s="549"/>
      <c r="P4298" s="549"/>
      <c r="Q4298" s="1059"/>
      <c r="R4298" s="1059"/>
    </row>
    <row r="4299" spans="1:20" ht="17.399999999999999">
      <c r="A4299" s="549"/>
      <c r="B4299" s="549"/>
      <c r="C4299" s="549"/>
      <c r="D4299" s="549"/>
      <c r="E4299" s="549"/>
      <c r="F4299" s="549"/>
      <c r="G4299" s="549"/>
      <c r="H4299" s="549"/>
      <c r="I4299" s="560"/>
      <c r="J4299" s="549"/>
      <c r="K4299" s="561"/>
      <c r="L4299" s="560"/>
      <c r="M4299" s="549"/>
      <c r="N4299" s="549"/>
      <c r="O4299" s="549"/>
      <c r="P4299" s="549"/>
      <c r="Q4299" s="1059"/>
      <c r="R4299" s="1059"/>
    </row>
    <row r="4300" spans="1:20" ht="17.399999999999999">
      <c r="A4300" s="547" t="s">
        <v>445</v>
      </c>
      <c r="B4300" s="547" t="s">
        <v>488</v>
      </c>
      <c r="C4300" s="547" t="s">
        <v>19</v>
      </c>
      <c r="D4300" s="547" t="s">
        <v>60</v>
      </c>
      <c r="E4300" s="547" t="s">
        <v>323</v>
      </c>
      <c r="F4300" s="548">
        <v>12</v>
      </c>
      <c r="G4300" s="549" t="s">
        <v>61</v>
      </c>
      <c r="H4300" s="599" t="s">
        <v>95</v>
      </c>
      <c r="I4300" s="558">
        <v>13.4</v>
      </c>
      <c r="J4300" s="567">
        <v>9.1</v>
      </c>
      <c r="K4300" s="648">
        <v>9</v>
      </c>
      <c r="L4300" s="552">
        <f>(I4300*J4300*K4300/1000)</f>
        <v>1.0974600000000001</v>
      </c>
      <c r="M4300" s="549"/>
      <c r="N4300" s="549"/>
      <c r="O4300" s="549"/>
      <c r="P4300" s="549"/>
      <c r="Q4300" s="1059"/>
      <c r="R4300" s="1059"/>
      <c r="S4300" s="497" t="s">
        <v>567</v>
      </c>
    </row>
    <row r="4301" spans="1:20" ht="17.399999999999999">
      <c r="A4301" s="547"/>
      <c r="B4301" s="752" t="s">
        <v>439</v>
      </c>
      <c r="C4301" s="547"/>
      <c r="D4301" s="547"/>
      <c r="E4301" s="547"/>
      <c r="F4301" s="548"/>
      <c r="G4301" s="549"/>
      <c r="H4301" s="549"/>
      <c r="I4301" s="558"/>
      <c r="J4301" s="567"/>
      <c r="K4301" s="648">
        <f t="shared" ref="K4301:L4301" si="812">SUM(K4300)</f>
        <v>9</v>
      </c>
      <c r="L4301" s="567">
        <f t="shared" si="812"/>
        <v>1.0974600000000001</v>
      </c>
      <c r="M4301" s="549"/>
      <c r="N4301" s="549"/>
      <c r="O4301" s="549"/>
      <c r="P4301" s="549"/>
      <c r="Q4301" s="1059"/>
      <c r="R4301" s="1059"/>
    </row>
    <row r="4302" spans="1:20" s="497" customFormat="1" ht="17.399999999999999">
      <c r="A4302" s="547"/>
      <c r="B4302" s="752"/>
      <c r="C4302" s="547"/>
      <c r="D4302" s="547"/>
      <c r="E4302" s="547"/>
      <c r="F4302" s="548"/>
      <c r="G4302" s="549"/>
      <c r="H4302" s="549"/>
      <c r="I4302" s="558"/>
      <c r="J4302" s="567"/>
      <c r="K4302" s="648"/>
      <c r="L4302" s="567"/>
      <c r="M4302" s="549"/>
      <c r="N4302" s="549"/>
      <c r="O4302" s="549"/>
      <c r="P4302" s="549"/>
      <c r="Q4302" s="1059"/>
      <c r="R4302" s="1059"/>
    </row>
    <row r="4303" spans="1:20" ht="17.399999999999999">
      <c r="A4303" s="547" t="s">
        <v>445</v>
      </c>
      <c r="B4303" s="547" t="s">
        <v>485</v>
      </c>
      <c r="C4303" s="547" t="s">
        <v>19</v>
      </c>
      <c r="D4303" s="547" t="s">
        <v>60</v>
      </c>
      <c r="E4303" s="547" t="s">
        <v>90</v>
      </c>
      <c r="F4303" s="548">
        <v>12</v>
      </c>
      <c r="G4303" s="549" t="s">
        <v>61</v>
      </c>
      <c r="H4303" s="599" t="s">
        <v>95</v>
      </c>
      <c r="I4303" s="558">
        <v>13.4</v>
      </c>
      <c r="J4303" s="567">
        <v>6.8</v>
      </c>
      <c r="K4303" s="648">
        <v>6</v>
      </c>
      <c r="L4303" s="552">
        <f>(I4303*J4303*K4303/1000)</f>
        <v>0.54671999999999998</v>
      </c>
      <c r="M4303" s="549">
        <v>5</v>
      </c>
      <c r="N4303" s="567">
        <f>J4303*M4303*I4303/1000</f>
        <v>0.4556</v>
      </c>
      <c r="O4303" s="549"/>
      <c r="P4303" s="549"/>
      <c r="Q4303" s="1059"/>
      <c r="R4303" s="1059"/>
      <c r="S4303" s="831">
        <v>1</v>
      </c>
      <c r="T4303" s="497" t="s">
        <v>567</v>
      </c>
    </row>
    <row r="4304" spans="1:20" s="497" customFormat="1" ht="17.399999999999999">
      <c r="A4304" s="547"/>
      <c r="B4304" s="547"/>
      <c r="C4304" s="547"/>
      <c r="D4304" s="547"/>
      <c r="E4304" s="547"/>
      <c r="F4304" s="548"/>
      <c r="G4304" s="549" t="s">
        <v>61</v>
      </c>
      <c r="H4304" s="549" t="s">
        <v>95</v>
      </c>
      <c r="I4304" s="558">
        <v>13.4</v>
      </c>
      <c r="J4304" s="567">
        <v>9</v>
      </c>
      <c r="K4304" s="648">
        <v>4</v>
      </c>
      <c r="L4304" s="552">
        <f>(I4304*J4304*K4304/1000)</f>
        <v>0.48240000000000005</v>
      </c>
      <c r="M4304" s="549"/>
      <c r="N4304" s="567"/>
      <c r="O4304" s="567">
        <v>6.8</v>
      </c>
      <c r="P4304" s="549"/>
      <c r="Q4304" s="1059"/>
      <c r="R4304" s="1059"/>
    </row>
    <row r="4305" spans="1:19" ht="17.399999999999999">
      <c r="A4305" s="547"/>
      <c r="B4305" s="549" t="s">
        <v>423</v>
      </c>
      <c r="C4305" s="547"/>
      <c r="D4305" s="547"/>
      <c r="E4305" s="547"/>
      <c r="F4305" s="548"/>
      <c r="G4305" s="549" t="s">
        <v>61</v>
      </c>
      <c r="H4305" s="549" t="s">
        <v>95</v>
      </c>
      <c r="I4305" s="558">
        <v>13.4</v>
      </c>
      <c r="J4305" s="567">
        <v>9</v>
      </c>
      <c r="K4305" s="648">
        <v>9</v>
      </c>
      <c r="L4305" s="552">
        <f>(I4305*J4305*K4305/1000)</f>
        <v>1.0854000000000001</v>
      </c>
      <c r="M4305" s="549">
        <v>1</v>
      </c>
      <c r="N4305" s="567">
        <f>J4305*M4305*I4305/1000</f>
        <v>0.12060000000000001</v>
      </c>
      <c r="O4305" s="549"/>
      <c r="P4305" s="549"/>
      <c r="Q4305" s="1059"/>
      <c r="R4305" s="1059"/>
      <c r="S4305" s="831">
        <v>4</v>
      </c>
    </row>
    <row r="4306" spans="1:19" ht="17.399999999999999">
      <c r="A4306" s="549"/>
      <c r="B4306" s="549"/>
      <c r="C4306" s="549"/>
      <c r="D4306" s="549"/>
      <c r="E4306" s="549"/>
      <c r="F4306" s="549"/>
      <c r="G4306" s="549" t="s">
        <v>61</v>
      </c>
      <c r="H4306" s="549" t="s">
        <v>95</v>
      </c>
      <c r="I4306" s="558">
        <v>13.4</v>
      </c>
      <c r="J4306" s="567">
        <v>11.8</v>
      </c>
      <c r="K4306" s="648">
        <v>7</v>
      </c>
      <c r="L4306" s="552">
        <f>(I4306*J4306*K4306/1000)</f>
        <v>1.10684</v>
      </c>
      <c r="M4306" s="549"/>
      <c r="N4306" s="549"/>
      <c r="O4306" s="549"/>
      <c r="P4306" s="549"/>
      <c r="Q4306" s="1059"/>
      <c r="R4306" s="1059"/>
    </row>
    <row r="4307" spans="1:19" ht="17.399999999999999">
      <c r="A4307" s="549"/>
      <c r="B4307" s="549"/>
      <c r="C4307" s="549"/>
      <c r="D4307" s="549"/>
      <c r="E4307" s="549"/>
      <c r="F4307" s="549"/>
      <c r="G4307" s="549"/>
      <c r="H4307" s="549"/>
      <c r="I4307" s="558"/>
      <c r="J4307" s="567"/>
      <c r="K4307" s="648">
        <f>SUM(K4303:K4306)</f>
        <v>26</v>
      </c>
      <c r="L4307" s="567">
        <f>SUM(L4303:L4306)</f>
        <v>3.2213600000000002</v>
      </c>
      <c r="M4307" s="648">
        <f t="shared" ref="M4307" si="813">SUM(M4303:M4306)</f>
        <v>6</v>
      </c>
      <c r="N4307" s="567">
        <f>SUM(N4303:N4306)</f>
        <v>0.57620000000000005</v>
      </c>
      <c r="O4307" s="549"/>
      <c r="P4307" s="549"/>
      <c r="Q4307" s="1059"/>
      <c r="R4307" s="1059"/>
    </row>
    <row r="4308" spans="1:19" s="497" customFormat="1" ht="17.399999999999999">
      <c r="A4308" s="549"/>
      <c r="B4308" s="549"/>
      <c r="C4308" s="549"/>
      <c r="D4308" s="549"/>
      <c r="E4308" s="549"/>
      <c r="F4308" s="549"/>
      <c r="G4308" s="549"/>
      <c r="H4308" s="549"/>
      <c r="I4308" s="558"/>
      <c r="J4308" s="567"/>
      <c r="K4308" s="648">
        <f>SUM(K4289:K4307)/2</f>
        <v>61</v>
      </c>
      <c r="L4308" s="567">
        <f>SUM(L4289:L4307)/2</f>
        <v>8.3307800000000007</v>
      </c>
      <c r="M4308" s="648">
        <f>SUM(M4289:M4307)/2</f>
        <v>6</v>
      </c>
      <c r="N4308" s="567">
        <f>SUM(N4289:N4307)/2</f>
        <v>0.57620000000000005</v>
      </c>
      <c r="O4308" s="549"/>
      <c r="P4308" s="549"/>
      <c r="Q4308" s="1059"/>
      <c r="R4308" s="1059"/>
    </row>
    <row r="4309" spans="1:19" s="497" customFormat="1" ht="17.399999999999999">
      <c r="A4309" s="549"/>
      <c r="B4309" s="549"/>
      <c r="C4309" s="549"/>
      <c r="D4309" s="549"/>
      <c r="E4309" s="549"/>
      <c r="F4309" s="549"/>
      <c r="G4309" s="549"/>
      <c r="H4309" s="549"/>
      <c r="I4309" s="558"/>
      <c r="J4309" s="567"/>
      <c r="K4309" s="648"/>
      <c r="L4309" s="567"/>
      <c r="M4309" s="648"/>
      <c r="N4309" s="567"/>
      <c r="O4309" s="549"/>
      <c r="P4309" s="549"/>
      <c r="Q4309" s="1059"/>
      <c r="R4309" s="1059"/>
    </row>
    <row r="4310" spans="1:19" ht="17.399999999999999">
      <c r="A4310" s="547" t="s">
        <v>445</v>
      </c>
      <c r="B4310" s="547" t="s">
        <v>488</v>
      </c>
      <c r="C4310" s="547" t="s">
        <v>19</v>
      </c>
      <c r="D4310" s="547" t="s">
        <v>60</v>
      </c>
      <c r="E4310" s="547" t="s">
        <v>323</v>
      </c>
      <c r="F4310" s="548">
        <v>12</v>
      </c>
      <c r="G4310" s="549" t="s">
        <v>61</v>
      </c>
      <c r="H4310" s="599" t="s">
        <v>98</v>
      </c>
      <c r="I4310" s="558">
        <v>11.8</v>
      </c>
      <c r="J4310" s="567">
        <v>11.4</v>
      </c>
      <c r="K4310" s="648">
        <v>10</v>
      </c>
      <c r="L4310" s="552">
        <f>(I4310*J4310*K4310/1000)</f>
        <v>1.3452</v>
      </c>
      <c r="M4310" s="549"/>
      <c r="N4310" s="549"/>
      <c r="O4310" s="549"/>
      <c r="P4310" s="549"/>
      <c r="Q4310" s="1059"/>
      <c r="R4310" s="1059"/>
      <c r="S4310" s="497" t="s">
        <v>567</v>
      </c>
    </row>
    <row r="4311" spans="1:19" ht="17.399999999999999">
      <c r="A4311" s="547"/>
      <c r="B4311" s="752" t="s">
        <v>439</v>
      </c>
      <c r="C4311" s="547"/>
      <c r="D4311" s="547"/>
      <c r="E4311" s="547"/>
      <c r="F4311" s="548"/>
      <c r="G4311" s="549"/>
      <c r="H4311" s="549"/>
      <c r="I4311" s="558"/>
      <c r="J4311" s="567"/>
      <c r="K4311" s="648">
        <f t="shared" ref="K4311:L4311" si="814">SUM(K4310)</f>
        <v>10</v>
      </c>
      <c r="L4311" s="567">
        <f t="shared" si="814"/>
        <v>1.3452</v>
      </c>
      <c r="M4311" s="549"/>
      <c r="N4311" s="549"/>
      <c r="O4311" s="549"/>
      <c r="P4311" s="549"/>
      <c r="Q4311" s="1059"/>
      <c r="R4311" s="1059"/>
    </row>
    <row r="4312" spans="1:19" s="497" customFormat="1" ht="17.399999999999999">
      <c r="A4312" s="547"/>
      <c r="B4312" s="752"/>
      <c r="C4312" s="547"/>
      <c r="D4312" s="547"/>
      <c r="E4312" s="547"/>
      <c r="F4312" s="548"/>
      <c r="G4312" s="549"/>
      <c r="H4312" s="549"/>
      <c r="I4312" s="558"/>
      <c r="J4312" s="567"/>
      <c r="K4312" s="648"/>
      <c r="L4312" s="567"/>
      <c r="M4312" s="549"/>
      <c r="N4312" s="549"/>
      <c r="O4312" s="549"/>
      <c r="P4312" s="549"/>
      <c r="Q4312" s="1059"/>
      <c r="R4312" s="1059"/>
    </row>
    <row r="4313" spans="1:19" s="497" customFormat="1" ht="17.399999999999999">
      <c r="A4313" s="549"/>
      <c r="B4313" s="549"/>
      <c r="C4313" s="549"/>
      <c r="D4313" s="549"/>
      <c r="E4313" s="549"/>
      <c r="F4313" s="549"/>
      <c r="G4313" s="549"/>
      <c r="H4313" s="549"/>
      <c r="I4313" s="558"/>
      <c r="J4313" s="567"/>
      <c r="K4313" s="648"/>
      <c r="L4313" s="567"/>
      <c r="M4313" s="549"/>
      <c r="N4313" s="549"/>
      <c r="O4313" s="549"/>
      <c r="P4313" s="549"/>
      <c r="Q4313" s="1059"/>
      <c r="R4313" s="1059"/>
    </row>
    <row r="4314" spans="1:19" ht="17.399999999999999">
      <c r="A4314" s="547" t="s">
        <v>445</v>
      </c>
      <c r="B4314" s="547" t="s">
        <v>448</v>
      </c>
      <c r="C4314" s="547" t="s">
        <v>446</v>
      </c>
      <c r="D4314" s="813" t="s">
        <v>447</v>
      </c>
      <c r="E4314" s="547" t="s">
        <v>359</v>
      </c>
      <c r="F4314" s="548">
        <v>12</v>
      </c>
      <c r="G4314" s="814" t="s">
        <v>444</v>
      </c>
      <c r="H4314" s="899" t="s">
        <v>97</v>
      </c>
      <c r="I4314" s="558">
        <v>10.199999999999999</v>
      </c>
      <c r="J4314" s="647">
        <v>12</v>
      </c>
      <c r="K4314" s="648">
        <v>4</v>
      </c>
      <c r="L4314" s="552">
        <f>(I4314*J4314*K4314/1000)</f>
        <v>0.48959999999999998</v>
      </c>
      <c r="M4314" s="549"/>
      <c r="N4314" s="549"/>
      <c r="O4314" s="549"/>
      <c r="P4314" s="549"/>
      <c r="Q4314" s="1059"/>
      <c r="R4314" s="1059"/>
    </row>
    <row r="4315" spans="1:19" ht="17.399999999999999">
      <c r="A4315" s="550"/>
      <c r="B4315" s="792"/>
      <c r="C4315" s="550"/>
      <c r="D4315" s="550"/>
      <c r="E4315" s="548"/>
      <c r="F4315" s="548"/>
      <c r="G4315" s="814"/>
      <c r="H4315" s="549"/>
      <c r="I4315" s="558"/>
      <c r="J4315" s="647"/>
      <c r="K4315" s="648">
        <f t="shared" ref="K4315" si="815">SUM(K4314)</f>
        <v>4</v>
      </c>
      <c r="L4315" s="552">
        <f>SUM(L4314)</f>
        <v>0.48959999999999998</v>
      </c>
      <c r="M4315" s="549"/>
      <c r="N4315" s="549"/>
      <c r="O4315" s="549"/>
      <c r="P4315" s="549"/>
      <c r="Q4315" s="1059"/>
      <c r="R4315" s="1059"/>
    </row>
    <row r="4316" spans="1:19" ht="17.399999999999999">
      <c r="A4316" s="549"/>
      <c r="B4316" s="549"/>
      <c r="C4316" s="549"/>
      <c r="D4316" s="549"/>
      <c r="E4316" s="549"/>
      <c r="F4316" s="549"/>
      <c r="G4316" s="549"/>
      <c r="H4316" s="549"/>
      <c r="I4316" s="560"/>
      <c r="J4316" s="549"/>
      <c r="K4316" s="561"/>
      <c r="L4316" s="560"/>
      <c r="M4316" s="549"/>
      <c r="N4316" s="549"/>
      <c r="O4316" s="549"/>
      <c r="P4316" s="549"/>
      <c r="Q4316" s="1059"/>
      <c r="R4316" s="1059"/>
    </row>
    <row r="4317" spans="1:19" ht="17.399999999999999">
      <c r="A4317" s="547" t="s">
        <v>445</v>
      </c>
      <c r="B4317" s="547" t="s">
        <v>449</v>
      </c>
      <c r="C4317" s="547" t="s">
        <v>446</v>
      </c>
      <c r="D4317" s="813" t="s">
        <v>447</v>
      </c>
      <c r="E4317" s="547" t="s">
        <v>359</v>
      </c>
      <c r="F4317" s="548">
        <v>12</v>
      </c>
      <c r="G4317" s="549" t="s">
        <v>21</v>
      </c>
      <c r="H4317" s="899" t="s">
        <v>97</v>
      </c>
      <c r="I4317" s="558">
        <v>10.199999999999999</v>
      </c>
      <c r="J4317" s="567">
        <v>9.8000000000000007</v>
      </c>
      <c r="K4317" s="648">
        <v>13</v>
      </c>
      <c r="L4317" s="552">
        <f t="shared" ref="L4317:L4318" si="816">(I4317*J4317*K4317/1000)</f>
        <v>1.29948</v>
      </c>
      <c r="M4317" s="549"/>
      <c r="N4317" s="549"/>
      <c r="O4317" s="567">
        <v>7</v>
      </c>
      <c r="P4317" s="549"/>
      <c r="Q4317" s="1059"/>
      <c r="R4317" s="1059"/>
    </row>
    <row r="4318" spans="1:19" ht="17.399999999999999">
      <c r="A4318" s="550"/>
      <c r="B4318" s="792"/>
      <c r="C4318" s="550"/>
      <c r="D4318" s="550"/>
      <c r="E4318" s="548"/>
      <c r="F4318" s="548"/>
      <c r="G4318" s="549" t="s">
        <v>21</v>
      </c>
      <c r="H4318" s="549" t="s">
        <v>97</v>
      </c>
      <c r="I4318" s="558">
        <v>10.199999999999999</v>
      </c>
      <c r="J4318" s="567">
        <v>9.8000000000000007</v>
      </c>
      <c r="K4318" s="648">
        <v>10</v>
      </c>
      <c r="L4318" s="552">
        <f t="shared" si="816"/>
        <v>0.99959999999999993</v>
      </c>
      <c r="M4318" s="549"/>
      <c r="N4318" s="549"/>
      <c r="O4318" s="549"/>
      <c r="P4318" s="549"/>
      <c r="Q4318" s="1059"/>
      <c r="R4318" s="1059"/>
    </row>
    <row r="4319" spans="1:19" ht="17.399999999999999">
      <c r="A4319" s="549"/>
      <c r="B4319" s="549"/>
      <c r="C4319" s="549"/>
      <c r="D4319" s="549"/>
      <c r="E4319" s="549"/>
      <c r="F4319" s="549"/>
      <c r="G4319" s="549"/>
      <c r="H4319" s="549"/>
      <c r="I4319" s="558"/>
      <c r="J4319" s="567"/>
      <c r="K4319" s="648">
        <f t="shared" ref="K4319:L4319" si="817">SUM(K4317:K4318)</f>
        <v>23</v>
      </c>
      <c r="L4319" s="567">
        <f t="shared" si="817"/>
        <v>2.29908</v>
      </c>
      <c r="M4319" s="549"/>
      <c r="N4319" s="549"/>
      <c r="O4319" s="549"/>
      <c r="P4319" s="549"/>
      <c r="Q4319" s="1059"/>
      <c r="R4319" s="1059"/>
    </row>
    <row r="4320" spans="1:19" s="497" customFormat="1" ht="17.399999999999999">
      <c r="A4320" s="549"/>
      <c r="B4320" s="549"/>
      <c r="C4320" s="549"/>
      <c r="D4320" s="549"/>
      <c r="E4320" s="549"/>
      <c r="F4320" s="549"/>
      <c r="G4320" s="549"/>
      <c r="H4320" s="549"/>
      <c r="I4320" s="558"/>
      <c r="J4320" s="567"/>
      <c r="K4320" s="648"/>
      <c r="L4320" s="567"/>
      <c r="M4320" s="549"/>
      <c r="N4320" s="549"/>
      <c r="O4320" s="549"/>
      <c r="P4320" s="549"/>
      <c r="Q4320" s="1059"/>
      <c r="R4320" s="1059"/>
    </row>
    <row r="4321" spans="1:18" ht="17.399999999999999">
      <c r="A4321" s="547" t="s">
        <v>445</v>
      </c>
      <c r="B4321" s="547" t="s">
        <v>460</v>
      </c>
      <c r="C4321" s="547" t="s">
        <v>446</v>
      </c>
      <c r="D4321" s="813" t="s">
        <v>447</v>
      </c>
      <c r="E4321" s="547" t="s">
        <v>359</v>
      </c>
      <c r="F4321" s="548">
        <v>12</v>
      </c>
      <c r="G4321" s="549" t="s">
        <v>21</v>
      </c>
      <c r="H4321" s="899" t="s">
        <v>97</v>
      </c>
      <c r="I4321" s="558">
        <v>10.199999999999999</v>
      </c>
      <c r="J4321" s="567">
        <v>12</v>
      </c>
      <c r="K4321" s="648">
        <v>5</v>
      </c>
      <c r="L4321" s="552">
        <f>(I4321*J4321*K4321/1000)</f>
        <v>0.61199999999999999</v>
      </c>
      <c r="M4321" s="549"/>
      <c r="N4321" s="549"/>
      <c r="O4321" s="549"/>
      <c r="P4321" s="549"/>
      <c r="Q4321" s="1059"/>
      <c r="R4321" s="1059"/>
    </row>
    <row r="4322" spans="1:18" ht="17.399999999999999">
      <c r="A4322" s="550"/>
      <c r="B4322" s="792"/>
      <c r="C4322" s="550"/>
      <c r="D4322" s="550"/>
      <c r="E4322" s="548"/>
      <c r="F4322" s="548"/>
      <c r="G4322" s="549"/>
      <c r="H4322" s="549"/>
      <c r="I4322" s="558"/>
      <c r="J4322" s="567"/>
      <c r="K4322" s="648">
        <f t="shared" ref="K4322:L4322" si="818">SUM(K4321)</f>
        <v>5</v>
      </c>
      <c r="L4322" s="567">
        <f t="shared" si="818"/>
        <v>0.61199999999999999</v>
      </c>
      <c r="M4322" s="549"/>
      <c r="N4322" s="549"/>
      <c r="O4322" s="549"/>
      <c r="P4322" s="549"/>
      <c r="Q4322" s="1059"/>
      <c r="R4322" s="1059"/>
    </row>
    <row r="4323" spans="1:18" ht="17.399999999999999">
      <c r="A4323" s="549"/>
      <c r="B4323" s="549"/>
      <c r="C4323" s="549"/>
      <c r="D4323" s="549"/>
      <c r="E4323" s="549"/>
      <c r="F4323" s="549"/>
      <c r="G4323" s="549"/>
      <c r="H4323" s="549"/>
      <c r="I4323" s="560"/>
      <c r="J4323" s="549"/>
      <c r="K4323" s="561"/>
      <c r="L4323" s="560"/>
      <c r="M4323" s="549"/>
      <c r="N4323" s="549"/>
      <c r="O4323" s="549"/>
      <c r="P4323" s="549"/>
      <c r="Q4323" s="1059"/>
      <c r="R4323" s="1059"/>
    </row>
    <row r="4324" spans="1:18" ht="17.399999999999999">
      <c r="A4324" s="547" t="s">
        <v>445</v>
      </c>
      <c r="B4324" s="547" t="s">
        <v>461</v>
      </c>
      <c r="C4324" s="547" t="s">
        <v>446</v>
      </c>
      <c r="D4324" s="813" t="s">
        <v>447</v>
      </c>
      <c r="E4324" s="547" t="s">
        <v>359</v>
      </c>
      <c r="F4324" s="548">
        <v>12</v>
      </c>
      <c r="G4324" s="549" t="s">
        <v>21</v>
      </c>
      <c r="H4324" s="899" t="s">
        <v>97</v>
      </c>
      <c r="I4324" s="558">
        <v>10.199999999999999</v>
      </c>
      <c r="J4324" s="567">
        <v>12</v>
      </c>
      <c r="K4324" s="648">
        <v>4</v>
      </c>
      <c r="L4324" s="552">
        <f>(I4324*J4324*K4324/1000)</f>
        <v>0.48959999999999998</v>
      </c>
      <c r="M4324" s="549"/>
      <c r="N4324" s="549"/>
      <c r="O4324" s="549"/>
      <c r="P4324" s="549"/>
      <c r="Q4324" s="1059"/>
      <c r="R4324" s="1059"/>
    </row>
    <row r="4325" spans="1:18" ht="17.399999999999999">
      <c r="A4325" s="550"/>
      <c r="B4325" s="792"/>
      <c r="C4325" s="550"/>
      <c r="D4325" s="550"/>
      <c r="E4325" s="548"/>
      <c r="F4325" s="548"/>
      <c r="G4325" s="549"/>
      <c r="H4325" s="549"/>
      <c r="I4325" s="558"/>
      <c r="J4325" s="567"/>
      <c r="K4325" s="648">
        <f t="shared" ref="K4325:L4325" si="819">SUM(K4324)</f>
        <v>4</v>
      </c>
      <c r="L4325" s="567">
        <f t="shared" si="819"/>
        <v>0.48959999999999998</v>
      </c>
      <c r="M4325" s="549"/>
      <c r="N4325" s="549"/>
      <c r="O4325" s="549"/>
      <c r="P4325" s="549"/>
      <c r="Q4325" s="1059"/>
      <c r="R4325" s="1059"/>
    </row>
    <row r="4326" spans="1:18" ht="17.399999999999999">
      <c r="A4326" s="549"/>
      <c r="B4326" s="549"/>
      <c r="C4326" s="549"/>
      <c r="D4326" s="549"/>
      <c r="E4326" s="549"/>
      <c r="F4326" s="549"/>
      <c r="G4326" s="549"/>
      <c r="H4326" s="549"/>
      <c r="I4326" s="560"/>
      <c r="J4326" s="549"/>
      <c r="K4326" s="561"/>
      <c r="L4326" s="560"/>
      <c r="M4326" s="549"/>
      <c r="N4326" s="549"/>
      <c r="O4326" s="549"/>
      <c r="P4326" s="549"/>
      <c r="Q4326" s="1059"/>
      <c r="R4326" s="1059"/>
    </row>
    <row r="4327" spans="1:18" ht="17.399999999999999">
      <c r="A4327" s="547" t="s">
        <v>445</v>
      </c>
      <c r="B4327" s="547" t="s">
        <v>466</v>
      </c>
      <c r="C4327" s="547" t="s">
        <v>446</v>
      </c>
      <c r="D4327" s="813" t="s">
        <v>447</v>
      </c>
      <c r="E4327" s="547" t="s">
        <v>359</v>
      </c>
      <c r="F4327" s="548">
        <v>12</v>
      </c>
      <c r="G4327" s="549" t="s">
        <v>21</v>
      </c>
      <c r="H4327" s="899" t="s">
        <v>97</v>
      </c>
      <c r="I4327" s="558">
        <v>10.199999999999999</v>
      </c>
      <c r="J4327" s="567">
        <v>12</v>
      </c>
      <c r="K4327" s="648">
        <v>6</v>
      </c>
      <c r="L4327" s="552">
        <f>(I4327*J4327*K4327/1000)</f>
        <v>0.73439999999999994</v>
      </c>
      <c r="M4327" s="549"/>
      <c r="N4327" s="549"/>
      <c r="O4327" s="549"/>
      <c r="P4327" s="549"/>
      <c r="Q4327" s="1059"/>
      <c r="R4327" s="1059"/>
    </row>
    <row r="4328" spans="1:18" ht="17.399999999999999">
      <c r="A4328" s="550"/>
      <c r="B4328" s="792"/>
      <c r="C4328" s="550"/>
      <c r="D4328" s="550"/>
      <c r="E4328" s="548"/>
      <c r="F4328" s="548"/>
      <c r="G4328" s="549"/>
      <c r="H4328" s="549"/>
      <c r="I4328" s="558"/>
      <c r="J4328" s="567"/>
      <c r="K4328" s="648">
        <f t="shared" ref="K4328:L4328" si="820">SUM(K4327)</f>
        <v>6</v>
      </c>
      <c r="L4328" s="567">
        <f t="shared" si="820"/>
        <v>0.73439999999999994</v>
      </c>
      <c r="M4328" s="549"/>
      <c r="N4328" s="549"/>
      <c r="O4328" s="549"/>
      <c r="P4328" s="549"/>
      <c r="Q4328" s="1059"/>
      <c r="R4328" s="1059"/>
    </row>
    <row r="4329" spans="1:18" s="497" customFormat="1" ht="17.399999999999999">
      <c r="A4329" s="550"/>
      <c r="B4329" s="792"/>
      <c r="C4329" s="550"/>
      <c r="D4329" s="550"/>
      <c r="E4329" s="548"/>
      <c r="F4329" s="548"/>
      <c r="G4329" s="549"/>
      <c r="H4329" s="549"/>
      <c r="I4329" s="558"/>
      <c r="J4329" s="567"/>
      <c r="K4329" s="648"/>
      <c r="L4329" s="567"/>
      <c r="M4329" s="549"/>
      <c r="N4329" s="549"/>
      <c r="O4329" s="549"/>
      <c r="P4329" s="549"/>
      <c r="Q4329" s="1059"/>
      <c r="R4329" s="1059"/>
    </row>
    <row r="4330" spans="1:18" ht="17.399999999999999">
      <c r="A4330" s="547" t="s">
        <v>495</v>
      </c>
      <c r="B4330" s="852" t="s">
        <v>455</v>
      </c>
      <c r="C4330" s="547" t="s">
        <v>446</v>
      </c>
      <c r="D4330" s="813" t="s">
        <v>447</v>
      </c>
      <c r="E4330" s="547" t="s">
        <v>359</v>
      </c>
      <c r="F4330" s="548">
        <v>12</v>
      </c>
      <c r="G4330" s="549" t="s">
        <v>21</v>
      </c>
      <c r="H4330" s="899" t="s">
        <v>97</v>
      </c>
      <c r="I4330" s="558">
        <v>10.199999999999999</v>
      </c>
      <c r="J4330" s="647">
        <v>12</v>
      </c>
      <c r="K4330" s="648">
        <v>4</v>
      </c>
      <c r="L4330" s="552">
        <f>(I4330*J4330*K4330/1000)</f>
        <v>0.48959999999999998</v>
      </c>
      <c r="M4330" s="549"/>
      <c r="N4330" s="549"/>
      <c r="O4330" s="549"/>
      <c r="P4330" s="549"/>
      <c r="Q4330" s="1059"/>
      <c r="R4330" s="1059"/>
    </row>
    <row r="4331" spans="1:18" ht="17.399999999999999">
      <c r="A4331" s="550"/>
      <c r="B4331" s="792"/>
      <c r="C4331" s="550"/>
      <c r="D4331" s="550"/>
      <c r="E4331" s="548"/>
      <c r="F4331" s="548"/>
      <c r="G4331" s="549"/>
      <c r="H4331" s="549"/>
      <c r="I4331" s="558"/>
      <c r="J4331" s="648"/>
      <c r="K4331" s="648">
        <f t="shared" ref="K4331:L4331" si="821">SUM(K4330)</f>
        <v>4</v>
      </c>
      <c r="L4331" s="567">
        <f t="shared" si="821"/>
        <v>0.48959999999999998</v>
      </c>
      <c r="M4331" s="549"/>
      <c r="N4331" s="549"/>
      <c r="O4331" s="549"/>
      <c r="P4331" s="549"/>
      <c r="Q4331" s="1059"/>
      <c r="R4331" s="1059"/>
    </row>
    <row r="4332" spans="1:18" s="497" customFormat="1" ht="17.399999999999999">
      <c r="A4332" s="550"/>
      <c r="B4332" s="792"/>
      <c r="C4332" s="550"/>
      <c r="D4332" s="550"/>
      <c r="E4332" s="548"/>
      <c r="F4332" s="548"/>
      <c r="G4332" s="549"/>
      <c r="H4332" s="549"/>
      <c r="I4332" s="558"/>
      <c r="J4332" s="648"/>
      <c r="K4332" s="648"/>
      <c r="L4332" s="567"/>
      <c r="M4332" s="549"/>
      <c r="N4332" s="549"/>
      <c r="O4332" s="549"/>
      <c r="P4332" s="549"/>
      <c r="Q4332" s="1059"/>
      <c r="R4332" s="1059"/>
    </row>
    <row r="4333" spans="1:18" ht="17.399999999999999">
      <c r="A4333" s="547" t="s">
        <v>495</v>
      </c>
      <c r="B4333" s="852" t="s">
        <v>456</v>
      </c>
      <c r="C4333" s="547" t="s">
        <v>446</v>
      </c>
      <c r="D4333" s="813" t="s">
        <v>447</v>
      </c>
      <c r="E4333" s="547" t="s">
        <v>359</v>
      </c>
      <c r="F4333" s="548">
        <v>12</v>
      </c>
      <c r="G4333" s="549" t="s">
        <v>21</v>
      </c>
      <c r="H4333" s="899" t="s">
        <v>97</v>
      </c>
      <c r="I4333" s="558">
        <v>10.199999999999999</v>
      </c>
      <c r="J4333" s="567">
        <v>12</v>
      </c>
      <c r="K4333" s="648">
        <v>6</v>
      </c>
      <c r="L4333" s="552">
        <f>(I4333*J4333*K4333/1000)</f>
        <v>0.73439999999999994</v>
      </c>
      <c r="M4333" s="549"/>
      <c r="N4333" s="549"/>
      <c r="O4333" s="549"/>
      <c r="P4333" s="549"/>
      <c r="Q4333" s="1059"/>
      <c r="R4333" s="1059"/>
    </row>
    <row r="4334" spans="1:18" ht="17.399999999999999">
      <c r="A4334" s="550"/>
      <c r="B4334" s="792"/>
      <c r="C4334" s="550"/>
      <c r="D4334" s="550"/>
      <c r="E4334" s="548"/>
      <c r="F4334" s="548"/>
      <c r="G4334" s="549"/>
      <c r="H4334" s="549"/>
      <c r="I4334" s="558"/>
      <c r="J4334" s="567"/>
      <c r="K4334" s="648">
        <f t="shared" ref="K4334:L4334" si="822">SUM(K4333)</f>
        <v>6</v>
      </c>
      <c r="L4334" s="567">
        <f t="shared" si="822"/>
        <v>0.73439999999999994</v>
      </c>
      <c r="M4334" s="549"/>
      <c r="N4334" s="549"/>
      <c r="O4334" s="549"/>
      <c r="P4334" s="549"/>
      <c r="Q4334" s="1059"/>
      <c r="R4334" s="1059"/>
    </row>
    <row r="4335" spans="1:18" s="497" customFormat="1" ht="17.399999999999999">
      <c r="A4335" s="550"/>
      <c r="B4335" s="792"/>
      <c r="C4335" s="550"/>
      <c r="D4335" s="550"/>
      <c r="E4335" s="548"/>
      <c r="F4335" s="548"/>
      <c r="G4335" s="549"/>
      <c r="H4335" s="549"/>
      <c r="I4335" s="558"/>
      <c r="J4335" s="567"/>
      <c r="K4335" s="648">
        <f>SUM(K4314:K4334)/2</f>
        <v>52</v>
      </c>
      <c r="L4335" s="567">
        <f>SUM(L4314:L4334)/2</f>
        <v>5.8486800000000017</v>
      </c>
      <c r="M4335" s="648">
        <f>SUM(M4314:M4334)/2</f>
        <v>0</v>
      </c>
      <c r="N4335" s="567">
        <f>SUM(N4314:N4334)/2</f>
        <v>0</v>
      </c>
      <c r="O4335" s="549"/>
      <c r="P4335" s="549"/>
      <c r="Q4335" s="1059"/>
      <c r="R4335" s="1059"/>
    </row>
    <row r="4336" spans="1:18" s="497" customFormat="1" ht="17.399999999999999">
      <c r="A4336" s="550"/>
      <c r="B4336" s="792"/>
      <c r="C4336" s="550"/>
      <c r="D4336" s="550"/>
      <c r="E4336" s="548"/>
      <c r="F4336" s="548"/>
      <c r="G4336" s="549"/>
      <c r="H4336" s="549"/>
      <c r="I4336" s="558"/>
      <c r="J4336" s="567"/>
      <c r="K4336" s="648"/>
      <c r="L4336" s="567"/>
      <c r="M4336" s="549"/>
      <c r="N4336" s="549"/>
      <c r="O4336" s="549"/>
      <c r="P4336" s="549"/>
      <c r="Q4336" s="1059"/>
      <c r="R4336" s="1059"/>
    </row>
    <row r="4337" spans="1:18" ht="17.399999999999999">
      <c r="A4337" s="547" t="s">
        <v>445</v>
      </c>
      <c r="B4337" s="547" t="s">
        <v>449</v>
      </c>
      <c r="C4337" s="547" t="s">
        <v>446</v>
      </c>
      <c r="D4337" s="813" t="s">
        <v>447</v>
      </c>
      <c r="E4337" s="547" t="s">
        <v>359</v>
      </c>
      <c r="F4337" s="548">
        <v>12</v>
      </c>
      <c r="G4337" s="549" t="s">
        <v>21</v>
      </c>
      <c r="H4337" s="899" t="s">
        <v>98</v>
      </c>
      <c r="I4337" s="558">
        <v>11.8</v>
      </c>
      <c r="J4337" s="567">
        <v>9.6</v>
      </c>
      <c r="K4337" s="648">
        <v>54</v>
      </c>
      <c r="L4337" s="552">
        <f t="shared" ref="L4337:L4340" si="823">(I4337*J4337*K4337/1000)</f>
        <v>6.1171199999999999</v>
      </c>
      <c r="M4337" s="549"/>
      <c r="N4337" s="549"/>
      <c r="O4337" s="549"/>
      <c r="P4337" s="549"/>
      <c r="Q4337" s="1059"/>
      <c r="R4337" s="1059"/>
    </row>
    <row r="4338" spans="1:18" ht="17.399999999999999">
      <c r="A4338" s="550"/>
      <c r="B4338" s="792"/>
      <c r="C4338" s="550"/>
      <c r="D4338" s="550"/>
      <c r="E4338" s="548"/>
      <c r="F4338" s="548"/>
      <c r="G4338" s="549" t="s">
        <v>21</v>
      </c>
      <c r="H4338" s="549" t="s">
        <v>98</v>
      </c>
      <c r="I4338" s="558">
        <v>11.8</v>
      </c>
      <c r="J4338" s="567">
        <v>10.199999999999999</v>
      </c>
      <c r="K4338" s="648">
        <v>73</v>
      </c>
      <c r="L4338" s="552">
        <f t="shared" si="823"/>
        <v>8.7862800000000014</v>
      </c>
      <c r="M4338" s="549"/>
      <c r="N4338" s="549"/>
      <c r="O4338" s="549"/>
      <c r="P4338" s="549"/>
      <c r="Q4338" s="1059"/>
      <c r="R4338" s="1059"/>
    </row>
    <row r="4339" spans="1:18" ht="17.399999999999999">
      <c r="A4339" s="549"/>
      <c r="B4339" s="549"/>
      <c r="C4339" s="549"/>
      <c r="D4339" s="549"/>
      <c r="E4339" s="549"/>
      <c r="F4339" s="549"/>
      <c r="G4339" s="549" t="s">
        <v>21</v>
      </c>
      <c r="H4339" s="549" t="s">
        <v>98</v>
      </c>
      <c r="I4339" s="558">
        <v>11.8</v>
      </c>
      <c r="J4339" s="567">
        <v>11.3</v>
      </c>
      <c r="K4339" s="648">
        <v>28</v>
      </c>
      <c r="L4339" s="552">
        <f t="shared" si="823"/>
        <v>3.7335199999999999</v>
      </c>
      <c r="M4339" s="549"/>
      <c r="N4339" s="549"/>
      <c r="O4339" s="549"/>
      <c r="P4339" s="549"/>
      <c r="Q4339" s="1059"/>
      <c r="R4339" s="1059"/>
    </row>
    <row r="4340" spans="1:18" ht="17.399999999999999">
      <c r="A4340" s="549"/>
      <c r="B4340" s="549"/>
      <c r="C4340" s="549"/>
      <c r="D4340" s="549"/>
      <c r="E4340" s="549"/>
      <c r="F4340" s="549"/>
      <c r="G4340" s="549" t="s">
        <v>21</v>
      </c>
      <c r="H4340" s="549" t="s">
        <v>98</v>
      </c>
      <c r="I4340" s="558">
        <v>11.8</v>
      </c>
      <c r="J4340" s="567">
        <v>11.8</v>
      </c>
      <c r="K4340" s="648">
        <v>28</v>
      </c>
      <c r="L4340" s="552">
        <f t="shared" si="823"/>
        <v>3.8987200000000004</v>
      </c>
      <c r="M4340" s="549"/>
      <c r="N4340" s="549"/>
      <c r="O4340" s="549"/>
      <c r="P4340" s="549"/>
      <c r="Q4340" s="1059"/>
      <c r="R4340" s="1059"/>
    </row>
    <row r="4341" spans="1:18" ht="17.399999999999999">
      <c r="A4341" s="549"/>
      <c r="B4341" s="549"/>
      <c r="C4341" s="549"/>
      <c r="D4341" s="549"/>
      <c r="E4341" s="549"/>
      <c r="F4341" s="549"/>
      <c r="G4341" s="549"/>
      <c r="H4341" s="549"/>
      <c r="I4341" s="558"/>
      <c r="J4341" s="567"/>
      <c r="K4341" s="648">
        <f t="shared" ref="K4341:L4341" si="824">SUM(K4337:K4340)</f>
        <v>183</v>
      </c>
      <c r="L4341" s="567">
        <f t="shared" si="824"/>
        <v>22.535640000000001</v>
      </c>
      <c r="M4341" s="549"/>
      <c r="N4341" s="549"/>
      <c r="O4341" s="549"/>
      <c r="P4341" s="549"/>
      <c r="Q4341" s="1059"/>
      <c r="R4341" s="1059"/>
    </row>
    <row r="4342" spans="1:18" s="497" customFormat="1" ht="17.399999999999999">
      <c r="A4342" s="549"/>
      <c r="B4342" s="549"/>
      <c r="C4342" s="549"/>
      <c r="D4342" s="549"/>
      <c r="E4342" s="549"/>
      <c r="F4342" s="549"/>
      <c r="G4342" s="549"/>
      <c r="H4342" s="549"/>
      <c r="I4342" s="558"/>
      <c r="J4342" s="567"/>
      <c r="K4342" s="648"/>
      <c r="L4342" s="567"/>
      <c r="M4342" s="549"/>
      <c r="N4342" s="549"/>
      <c r="O4342" s="549"/>
      <c r="P4342" s="549"/>
      <c r="Q4342" s="1059"/>
      <c r="R4342" s="1059"/>
    </row>
    <row r="4343" spans="1:18" ht="17.399999999999999">
      <c r="A4343" s="547" t="s">
        <v>445</v>
      </c>
      <c r="B4343" s="547" t="s">
        <v>460</v>
      </c>
      <c r="C4343" s="547" t="s">
        <v>446</v>
      </c>
      <c r="D4343" s="813" t="s">
        <v>447</v>
      </c>
      <c r="E4343" s="547" t="s">
        <v>359</v>
      </c>
      <c r="F4343" s="548">
        <v>12</v>
      </c>
      <c r="G4343" s="549" t="s">
        <v>21</v>
      </c>
      <c r="H4343" s="899" t="s">
        <v>98</v>
      </c>
      <c r="I4343" s="558">
        <v>11.8</v>
      </c>
      <c r="J4343" s="567">
        <v>12</v>
      </c>
      <c r="K4343" s="648">
        <v>5</v>
      </c>
      <c r="L4343" s="552">
        <f>(I4343*J4343*K4343/1000)</f>
        <v>0.70800000000000007</v>
      </c>
      <c r="M4343" s="549"/>
      <c r="N4343" s="549"/>
      <c r="O4343" s="549"/>
      <c r="P4343" s="549"/>
      <c r="Q4343" s="1059"/>
      <c r="R4343" s="1059"/>
    </row>
    <row r="4344" spans="1:18" ht="17.399999999999999">
      <c r="A4344" s="550"/>
      <c r="B4344" s="792"/>
      <c r="C4344" s="550"/>
      <c r="D4344" s="550"/>
      <c r="E4344" s="548"/>
      <c r="F4344" s="548"/>
      <c r="G4344" s="549"/>
      <c r="H4344" s="549"/>
      <c r="I4344" s="558"/>
      <c r="J4344" s="567"/>
      <c r="K4344" s="648">
        <f t="shared" ref="K4344:L4344" si="825">SUM(K4343)</f>
        <v>5</v>
      </c>
      <c r="L4344" s="567">
        <f t="shared" si="825"/>
        <v>0.70800000000000007</v>
      </c>
      <c r="M4344" s="549"/>
      <c r="N4344" s="549"/>
      <c r="O4344" s="549"/>
      <c r="P4344" s="549"/>
      <c r="Q4344" s="1059"/>
      <c r="R4344" s="1059"/>
    </row>
    <row r="4345" spans="1:18" s="497" customFormat="1" ht="17.399999999999999">
      <c r="A4345" s="550"/>
      <c r="B4345" s="792"/>
      <c r="C4345" s="550"/>
      <c r="D4345" s="550"/>
      <c r="E4345" s="548"/>
      <c r="F4345" s="548"/>
      <c r="G4345" s="549"/>
      <c r="H4345" s="549"/>
      <c r="I4345" s="558"/>
      <c r="J4345" s="567"/>
      <c r="K4345" s="648"/>
      <c r="L4345" s="567"/>
      <c r="M4345" s="549"/>
      <c r="N4345" s="549"/>
      <c r="O4345" s="549"/>
      <c r="P4345" s="549"/>
      <c r="Q4345" s="1059"/>
      <c r="R4345" s="1059"/>
    </row>
    <row r="4346" spans="1:18" ht="17.399999999999999">
      <c r="A4346" s="547" t="s">
        <v>495</v>
      </c>
      <c r="B4346" s="852" t="s">
        <v>455</v>
      </c>
      <c r="C4346" s="547" t="s">
        <v>446</v>
      </c>
      <c r="D4346" s="813" t="s">
        <v>447</v>
      </c>
      <c r="E4346" s="547" t="s">
        <v>359</v>
      </c>
      <c r="F4346" s="548">
        <v>12</v>
      </c>
      <c r="G4346" s="549" t="s">
        <v>21</v>
      </c>
      <c r="H4346" s="899" t="s">
        <v>98</v>
      </c>
      <c r="I4346" s="558">
        <v>11.8</v>
      </c>
      <c r="J4346" s="647">
        <v>12</v>
      </c>
      <c r="K4346" s="648">
        <v>8</v>
      </c>
      <c r="L4346" s="552">
        <f>(I4346*J4346*K4346/1000)</f>
        <v>1.1328000000000003</v>
      </c>
      <c r="M4346" s="549"/>
      <c r="N4346" s="549"/>
      <c r="O4346" s="549"/>
      <c r="P4346" s="549"/>
      <c r="Q4346" s="1059"/>
      <c r="R4346" s="1059"/>
    </row>
    <row r="4347" spans="1:18" ht="17.399999999999999">
      <c r="A4347" s="550"/>
      <c r="B4347" s="792"/>
      <c r="C4347" s="550"/>
      <c r="D4347" s="550"/>
      <c r="E4347" s="548"/>
      <c r="F4347" s="548"/>
      <c r="G4347" s="549"/>
      <c r="H4347" s="549"/>
      <c r="I4347" s="558"/>
      <c r="J4347" s="648"/>
      <c r="K4347" s="648">
        <f t="shared" ref="K4347:L4347" si="826">SUM(K4346)</f>
        <v>8</v>
      </c>
      <c r="L4347" s="567">
        <f t="shared" si="826"/>
        <v>1.1328000000000003</v>
      </c>
      <c r="M4347" s="549"/>
      <c r="N4347" s="549"/>
      <c r="O4347" s="549"/>
      <c r="P4347" s="549"/>
      <c r="Q4347" s="1059"/>
      <c r="R4347" s="1059"/>
    </row>
    <row r="4348" spans="1:18" s="497" customFormat="1" ht="17.399999999999999">
      <c r="A4348" s="550"/>
      <c r="B4348" s="792"/>
      <c r="C4348" s="550"/>
      <c r="D4348" s="550"/>
      <c r="E4348" s="548"/>
      <c r="F4348" s="548"/>
      <c r="G4348" s="549"/>
      <c r="H4348" s="549"/>
      <c r="I4348" s="558"/>
      <c r="J4348" s="648"/>
      <c r="K4348" s="648"/>
      <c r="L4348" s="567"/>
      <c r="M4348" s="549"/>
      <c r="N4348" s="549"/>
      <c r="O4348" s="549"/>
      <c r="P4348" s="549"/>
      <c r="Q4348" s="1059"/>
      <c r="R4348" s="1059"/>
    </row>
    <row r="4349" spans="1:18" ht="17.399999999999999">
      <c r="A4349" s="547" t="s">
        <v>495</v>
      </c>
      <c r="B4349" s="852" t="s">
        <v>456</v>
      </c>
      <c r="C4349" s="547" t="s">
        <v>446</v>
      </c>
      <c r="D4349" s="813" t="s">
        <v>447</v>
      </c>
      <c r="E4349" s="547" t="s">
        <v>359</v>
      </c>
      <c r="F4349" s="548">
        <v>12</v>
      </c>
      <c r="G4349" s="549" t="s">
        <v>21</v>
      </c>
      <c r="H4349" s="899" t="s">
        <v>98</v>
      </c>
      <c r="I4349" s="558">
        <v>11.8</v>
      </c>
      <c r="J4349" s="567">
        <v>12</v>
      </c>
      <c r="K4349" s="648">
        <v>8</v>
      </c>
      <c r="L4349" s="552">
        <f>(I4349*J4349*K4349/1000)</f>
        <v>1.1328000000000003</v>
      </c>
      <c r="M4349" s="549"/>
      <c r="N4349" s="549"/>
      <c r="O4349" s="549"/>
      <c r="P4349" s="549"/>
      <c r="Q4349" s="1059"/>
      <c r="R4349" s="1059"/>
    </row>
    <row r="4350" spans="1:18" ht="17.399999999999999">
      <c r="A4350" s="550"/>
      <c r="B4350" s="792"/>
      <c r="C4350" s="550"/>
      <c r="D4350" s="550"/>
      <c r="E4350" s="548"/>
      <c r="F4350" s="548"/>
      <c r="G4350" s="549"/>
      <c r="H4350" s="549"/>
      <c r="I4350" s="558"/>
      <c r="J4350" s="567"/>
      <c r="K4350" s="648">
        <f t="shared" ref="K4350:L4350" si="827">SUM(K4349)</f>
        <v>8</v>
      </c>
      <c r="L4350" s="567">
        <f t="shared" si="827"/>
        <v>1.1328000000000003</v>
      </c>
      <c r="M4350" s="549"/>
      <c r="N4350" s="549"/>
      <c r="O4350" s="549"/>
      <c r="P4350" s="549"/>
      <c r="Q4350" s="1059"/>
      <c r="R4350" s="1059"/>
    </row>
    <row r="4351" spans="1:18" s="497" customFormat="1" ht="17.399999999999999">
      <c r="A4351" s="550"/>
      <c r="B4351" s="792"/>
      <c r="C4351" s="550"/>
      <c r="D4351" s="550"/>
      <c r="E4351" s="548"/>
      <c r="F4351" s="548"/>
      <c r="G4351" s="549"/>
      <c r="H4351" s="549"/>
      <c r="I4351" s="558"/>
      <c r="J4351" s="567"/>
      <c r="K4351" s="648">
        <f>SUM(K4337:K4350)/2</f>
        <v>204</v>
      </c>
      <c r="L4351" s="567">
        <f>SUM(L4337:L4350)/2</f>
        <v>25.509240000000005</v>
      </c>
      <c r="M4351" s="549"/>
      <c r="N4351" s="549"/>
      <c r="O4351" s="549"/>
      <c r="P4351" s="549"/>
      <c r="Q4351" s="1059"/>
      <c r="R4351" s="1059"/>
    </row>
    <row r="4352" spans="1:18" s="497" customFormat="1" ht="17.399999999999999">
      <c r="A4352" s="550"/>
      <c r="B4352" s="792"/>
      <c r="C4352" s="550"/>
      <c r="D4352" s="550"/>
      <c r="E4352" s="548"/>
      <c r="F4352" s="548"/>
      <c r="G4352" s="549"/>
      <c r="H4352" s="549"/>
      <c r="I4352" s="558"/>
      <c r="J4352" s="567"/>
      <c r="K4352" s="648"/>
      <c r="L4352" s="567"/>
      <c r="M4352" s="549"/>
      <c r="N4352" s="549"/>
      <c r="O4352" s="549"/>
      <c r="P4352" s="549"/>
      <c r="Q4352" s="1059"/>
      <c r="R4352" s="1059"/>
    </row>
    <row r="4353" spans="1:18" s="497" customFormat="1" ht="17.399999999999999">
      <c r="A4353" s="550"/>
      <c r="B4353" s="792"/>
      <c r="C4353" s="550"/>
      <c r="D4353" s="550"/>
      <c r="E4353" s="548"/>
      <c r="F4353" s="548"/>
      <c r="G4353" s="549"/>
      <c r="H4353" s="549"/>
      <c r="I4353" s="558"/>
      <c r="J4353" s="567"/>
      <c r="K4353" s="648"/>
      <c r="L4353" s="567"/>
      <c r="M4353" s="549"/>
      <c r="N4353" s="549"/>
      <c r="O4353" s="549"/>
      <c r="P4353" s="549"/>
      <c r="Q4353" s="1059"/>
      <c r="R4353" s="1059"/>
    </row>
    <row r="4354" spans="1:18" ht="17.399999999999999">
      <c r="A4354" s="547" t="s">
        <v>445</v>
      </c>
      <c r="B4354" s="547" t="s">
        <v>448</v>
      </c>
      <c r="C4354" s="547" t="s">
        <v>446</v>
      </c>
      <c r="D4354" s="813" t="s">
        <v>447</v>
      </c>
      <c r="E4354" s="547" t="s">
        <v>359</v>
      </c>
      <c r="F4354" s="548">
        <v>12</v>
      </c>
      <c r="G4354" s="814" t="s">
        <v>444</v>
      </c>
      <c r="H4354" s="899" t="s">
        <v>95</v>
      </c>
      <c r="I4354" s="558">
        <v>13.4</v>
      </c>
      <c r="J4354" s="647">
        <v>12</v>
      </c>
      <c r="K4354" s="648">
        <v>17</v>
      </c>
      <c r="L4354" s="552">
        <f>(I4354*J4354*K4354/1000)</f>
        <v>2.7336000000000005</v>
      </c>
      <c r="M4354" s="549"/>
      <c r="N4354" s="549"/>
      <c r="O4354" s="549"/>
      <c r="P4354" s="549"/>
      <c r="Q4354" s="1059"/>
      <c r="R4354" s="1059"/>
    </row>
    <row r="4355" spans="1:18" ht="17.399999999999999">
      <c r="A4355" s="550"/>
      <c r="B4355" s="792"/>
      <c r="C4355" s="550"/>
      <c r="D4355" s="550"/>
      <c r="E4355" s="548"/>
      <c r="F4355" s="548"/>
      <c r="G4355" s="814"/>
      <c r="H4355" s="549"/>
      <c r="I4355" s="558"/>
      <c r="J4355" s="647"/>
      <c r="K4355" s="648">
        <f>SUM(K4354:K4354)</f>
        <v>17</v>
      </c>
      <c r="L4355" s="552">
        <f>SUM(L4354:L4354)</f>
        <v>2.7336000000000005</v>
      </c>
      <c r="M4355" s="549"/>
      <c r="N4355" s="549"/>
      <c r="O4355" s="549"/>
      <c r="P4355" s="549"/>
      <c r="Q4355" s="1059"/>
      <c r="R4355" s="1059"/>
    </row>
    <row r="4356" spans="1:18" s="497" customFormat="1" ht="17.399999999999999">
      <c r="A4356" s="550"/>
      <c r="B4356" s="792"/>
      <c r="C4356" s="550"/>
      <c r="D4356" s="550"/>
      <c r="E4356" s="548"/>
      <c r="F4356" s="548"/>
      <c r="G4356" s="814"/>
      <c r="H4356" s="549"/>
      <c r="I4356" s="558"/>
      <c r="J4356" s="647"/>
      <c r="K4356" s="648"/>
      <c r="L4356" s="552"/>
      <c r="M4356" s="549"/>
      <c r="N4356" s="549"/>
      <c r="O4356" s="549"/>
      <c r="P4356" s="549"/>
      <c r="Q4356" s="1059"/>
      <c r="R4356" s="1059"/>
    </row>
    <row r="4357" spans="1:18" ht="17.399999999999999">
      <c r="A4357" s="547" t="s">
        <v>445</v>
      </c>
      <c r="B4357" s="547" t="s">
        <v>449</v>
      </c>
      <c r="C4357" s="547" t="s">
        <v>446</v>
      </c>
      <c r="D4357" s="813" t="s">
        <v>447</v>
      </c>
      <c r="E4357" s="547" t="s">
        <v>359</v>
      </c>
      <c r="F4357" s="548">
        <v>12</v>
      </c>
      <c r="G4357" s="549" t="s">
        <v>21</v>
      </c>
      <c r="H4357" s="899" t="s">
        <v>95</v>
      </c>
      <c r="I4357" s="558">
        <v>13.4</v>
      </c>
      <c r="J4357" s="567">
        <v>6.2</v>
      </c>
      <c r="K4357" s="648">
        <v>49</v>
      </c>
      <c r="L4357" s="552">
        <f>(I4357*J4357*K4357/1000)</f>
        <v>4.0709200000000001</v>
      </c>
      <c r="M4357" s="549"/>
      <c r="N4357" s="549"/>
      <c r="O4357" s="549"/>
      <c r="P4357" s="549"/>
      <c r="Q4357" s="1059"/>
      <c r="R4357" s="1059"/>
    </row>
    <row r="4358" spans="1:18" ht="17.399999999999999">
      <c r="A4358" s="550"/>
      <c r="B4358" s="792"/>
      <c r="C4358" s="550"/>
      <c r="D4358" s="550"/>
      <c r="E4358" s="548"/>
      <c r="F4358" s="548"/>
      <c r="G4358" s="549" t="s">
        <v>21</v>
      </c>
      <c r="H4358" s="549" t="s">
        <v>95</v>
      </c>
      <c r="I4358" s="558">
        <v>13.4</v>
      </c>
      <c r="J4358" s="567">
        <v>7.5</v>
      </c>
      <c r="K4358" s="648">
        <v>22</v>
      </c>
      <c r="L4358" s="552">
        <f>(I4358*J4358*K4358/1000)</f>
        <v>2.2109999999999999</v>
      </c>
      <c r="M4358" s="549"/>
      <c r="N4358" s="549"/>
      <c r="O4358" s="549"/>
      <c r="P4358" s="549"/>
      <c r="Q4358" s="1059"/>
      <c r="R4358" s="1059"/>
    </row>
    <row r="4359" spans="1:18" ht="17.399999999999999">
      <c r="A4359" s="549"/>
      <c r="B4359" s="549"/>
      <c r="C4359" s="549"/>
      <c r="D4359" s="549"/>
      <c r="E4359" s="549"/>
      <c r="F4359" s="549"/>
      <c r="G4359" s="549" t="s">
        <v>21</v>
      </c>
      <c r="H4359" s="549" t="s">
        <v>95</v>
      </c>
      <c r="I4359" s="558">
        <v>13.4</v>
      </c>
      <c r="J4359" s="567">
        <v>11.6</v>
      </c>
      <c r="K4359" s="648">
        <v>24</v>
      </c>
      <c r="L4359" s="552">
        <f>(I4359*J4359*K4359/1000)</f>
        <v>3.7305600000000001</v>
      </c>
      <c r="M4359" s="549"/>
      <c r="N4359" s="549"/>
      <c r="O4359" s="549"/>
      <c r="P4359" s="549"/>
      <c r="Q4359" s="1059"/>
      <c r="R4359" s="1059"/>
    </row>
    <row r="4360" spans="1:18" ht="17.399999999999999">
      <c r="A4360" s="549"/>
      <c r="B4360" s="549"/>
      <c r="C4360" s="549"/>
      <c r="D4360" s="549"/>
      <c r="E4360" s="549"/>
      <c r="F4360" s="549"/>
      <c r="G4360" s="549"/>
      <c r="H4360" s="549"/>
      <c r="I4360" s="558"/>
      <c r="J4360" s="567"/>
      <c r="K4360" s="648">
        <f>SUM(K4357:K4359)</f>
        <v>95</v>
      </c>
      <c r="L4360" s="567">
        <f>SUM(L4357:L4359)</f>
        <v>10.01248</v>
      </c>
      <c r="M4360" s="549"/>
      <c r="N4360" s="549"/>
      <c r="O4360" s="549"/>
      <c r="P4360" s="549"/>
      <c r="Q4360" s="1059"/>
      <c r="R4360" s="1059"/>
    </row>
    <row r="4361" spans="1:18" ht="17.399999999999999">
      <c r="A4361" s="549"/>
      <c r="B4361" s="549"/>
      <c r="C4361" s="549"/>
      <c r="D4361" s="549"/>
      <c r="E4361" s="549"/>
      <c r="F4361" s="549"/>
      <c r="G4361" s="549"/>
      <c r="H4361" s="549"/>
      <c r="I4361" s="560"/>
      <c r="J4361" s="549"/>
      <c r="K4361" s="561"/>
      <c r="L4361" s="560"/>
      <c r="M4361" s="549"/>
      <c r="N4361" s="549"/>
      <c r="O4361" s="549"/>
      <c r="P4361" s="549"/>
      <c r="Q4361" s="1059"/>
      <c r="R4361" s="1059"/>
    </row>
    <row r="4362" spans="1:18" ht="17.399999999999999">
      <c r="A4362" s="547" t="s">
        <v>445</v>
      </c>
      <c r="B4362" s="547" t="s">
        <v>460</v>
      </c>
      <c r="C4362" s="547" t="s">
        <v>446</v>
      </c>
      <c r="D4362" s="813" t="s">
        <v>447</v>
      </c>
      <c r="E4362" s="547" t="s">
        <v>359</v>
      </c>
      <c r="F4362" s="548">
        <v>12</v>
      </c>
      <c r="G4362" s="549" t="s">
        <v>21</v>
      </c>
      <c r="H4362" s="899" t="s">
        <v>95</v>
      </c>
      <c r="I4362" s="558">
        <v>13.4</v>
      </c>
      <c r="J4362" s="567">
        <v>12</v>
      </c>
      <c r="K4362" s="648">
        <v>5</v>
      </c>
      <c r="L4362" s="552">
        <f>(I4362*J4362*K4362/1000)</f>
        <v>0.80400000000000005</v>
      </c>
      <c r="M4362" s="549"/>
      <c r="N4362" s="549"/>
      <c r="O4362" s="549"/>
      <c r="P4362" s="549"/>
      <c r="Q4362" s="1059"/>
      <c r="R4362" s="1059"/>
    </row>
    <row r="4363" spans="1:18" ht="17.399999999999999">
      <c r="A4363" s="550"/>
      <c r="B4363" s="792"/>
      <c r="C4363" s="550"/>
      <c r="D4363" s="550"/>
      <c r="E4363" s="548"/>
      <c r="F4363" s="548"/>
      <c r="G4363" s="549"/>
      <c r="H4363" s="549"/>
      <c r="I4363" s="558"/>
      <c r="J4363" s="567"/>
      <c r="K4363" s="648">
        <f t="shared" ref="K4363" si="828">SUM(K4362)</f>
        <v>5</v>
      </c>
      <c r="L4363" s="567">
        <f>SUM(L4362)</f>
        <v>0.80400000000000005</v>
      </c>
      <c r="M4363" s="549"/>
      <c r="N4363" s="549"/>
      <c r="O4363" s="549"/>
      <c r="P4363" s="549"/>
      <c r="Q4363" s="1059"/>
      <c r="R4363" s="1059"/>
    </row>
    <row r="4364" spans="1:18" ht="17.399999999999999">
      <c r="A4364" s="549"/>
      <c r="B4364" s="549"/>
      <c r="C4364" s="549"/>
      <c r="D4364" s="549"/>
      <c r="E4364" s="549"/>
      <c r="F4364" s="549"/>
      <c r="G4364" s="549"/>
      <c r="H4364" s="549"/>
      <c r="I4364" s="560"/>
      <c r="J4364" s="549"/>
      <c r="K4364" s="561"/>
      <c r="L4364" s="560"/>
      <c r="M4364" s="549"/>
      <c r="N4364" s="549"/>
      <c r="O4364" s="549"/>
      <c r="P4364" s="549"/>
      <c r="Q4364" s="1059"/>
      <c r="R4364" s="1059"/>
    </row>
    <row r="4365" spans="1:18" ht="17.399999999999999">
      <c r="A4365" s="547" t="s">
        <v>445</v>
      </c>
      <c r="B4365" s="547" t="s">
        <v>461</v>
      </c>
      <c r="C4365" s="547" t="s">
        <v>446</v>
      </c>
      <c r="D4365" s="813" t="s">
        <v>447</v>
      </c>
      <c r="E4365" s="547" t="s">
        <v>359</v>
      </c>
      <c r="F4365" s="548">
        <v>12</v>
      </c>
      <c r="G4365" s="549" t="s">
        <v>21</v>
      </c>
      <c r="H4365" s="899" t="s">
        <v>95</v>
      </c>
      <c r="I4365" s="558">
        <v>13.4</v>
      </c>
      <c r="J4365" s="567">
        <v>12</v>
      </c>
      <c r="K4365" s="648">
        <v>17</v>
      </c>
      <c r="L4365" s="552">
        <f>(I4365*J4365*K4365/1000)</f>
        <v>2.7336000000000005</v>
      </c>
      <c r="M4365" s="549"/>
      <c r="N4365" s="549"/>
      <c r="O4365" s="549"/>
      <c r="P4365" s="549"/>
      <c r="Q4365" s="1059"/>
      <c r="R4365" s="1059"/>
    </row>
    <row r="4366" spans="1:18" ht="17.399999999999999">
      <c r="A4366" s="550"/>
      <c r="B4366" s="792"/>
      <c r="C4366" s="550"/>
      <c r="D4366" s="550"/>
      <c r="E4366" s="548"/>
      <c r="F4366" s="548"/>
      <c r="G4366" s="549"/>
      <c r="H4366" s="549"/>
      <c r="I4366" s="558"/>
      <c r="J4366" s="567"/>
      <c r="K4366" s="648">
        <f t="shared" ref="K4366" si="829">SUM(K4365)</f>
        <v>17</v>
      </c>
      <c r="L4366" s="567">
        <f>SUM(L4365)</f>
        <v>2.7336000000000005</v>
      </c>
      <c r="M4366" s="549"/>
      <c r="N4366" s="549"/>
      <c r="O4366" s="549"/>
      <c r="P4366" s="549"/>
      <c r="Q4366" s="1059"/>
      <c r="R4366" s="1059"/>
    </row>
    <row r="4367" spans="1:18" s="497" customFormat="1" ht="17.399999999999999">
      <c r="A4367" s="550"/>
      <c r="B4367" s="792"/>
      <c r="C4367" s="550"/>
      <c r="D4367" s="550"/>
      <c r="E4367" s="548"/>
      <c r="F4367" s="548"/>
      <c r="G4367" s="549"/>
      <c r="H4367" s="549"/>
      <c r="I4367" s="558"/>
      <c r="J4367" s="567"/>
      <c r="K4367" s="648"/>
      <c r="L4367" s="567"/>
      <c r="M4367" s="549"/>
      <c r="N4367" s="549"/>
      <c r="O4367" s="549"/>
      <c r="P4367" s="549"/>
      <c r="Q4367" s="1059"/>
      <c r="R4367" s="1059"/>
    </row>
    <row r="4368" spans="1:18" ht="17.399999999999999">
      <c r="A4368" s="547" t="s">
        <v>445</v>
      </c>
      <c r="B4368" s="547" t="s">
        <v>466</v>
      </c>
      <c r="C4368" s="547" t="s">
        <v>446</v>
      </c>
      <c r="D4368" s="813" t="s">
        <v>447</v>
      </c>
      <c r="E4368" s="547" t="s">
        <v>359</v>
      </c>
      <c r="F4368" s="548">
        <v>12</v>
      </c>
      <c r="G4368" s="549" t="s">
        <v>21</v>
      </c>
      <c r="H4368" s="899" t="s">
        <v>95</v>
      </c>
      <c r="I4368" s="558">
        <v>13.4</v>
      </c>
      <c r="J4368" s="567">
        <v>12</v>
      </c>
      <c r="K4368" s="648">
        <v>4</v>
      </c>
      <c r="L4368" s="552">
        <f>(I4368*J4368*K4368/1000)</f>
        <v>0.64319999999999999</v>
      </c>
      <c r="M4368" s="549"/>
      <c r="N4368" s="549"/>
      <c r="O4368" s="549"/>
      <c r="P4368" s="549"/>
      <c r="Q4368" s="1059"/>
      <c r="R4368" s="1059"/>
    </row>
    <row r="4369" spans="1:18" ht="17.399999999999999">
      <c r="A4369" s="550"/>
      <c r="B4369" s="792"/>
      <c r="C4369" s="550"/>
      <c r="D4369" s="550"/>
      <c r="E4369" s="548"/>
      <c r="F4369" s="548"/>
      <c r="G4369" s="549"/>
      <c r="H4369" s="549"/>
      <c r="I4369" s="558"/>
      <c r="J4369" s="567"/>
      <c r="K4369" s="648">
        <f t="shared" ref="K4369" si="830">SUM(K4368)</f>
        <v>4</v>
      </c>
      <c r="L4369" s="567">
        <f>SUM(L4368)</f>
        <v>0.64319999999999999</v>
      </c>
      <c r="M4369" s="549"/>
      <c r="N4369" s="549"/>
      <c r="O4369" s="549"/>
      <c r="P4369" s="549"/>
      <c r="Q4369" s="1059"/>
      <c r="R4369" s="1059"/>
    </row>
    <row r="4370" spans="1:18" s="497" customFormat="1" ht="17.399999999999999">
      <c r="A4370" s="550"/>
      <c r="B4370" s="792"/>
      <c r="C4370" s="550"/>
      <c r="D4370" s="550"/>
      <c r="E4370" s="548"/>
      <c r="F4370" s="548"/>
      <c r="G4370" s="549"/>
      <c r="H4370" s="549"/>
      <c r="I4370" s="558"/>
      <c r="J4370" s="567"/>
      <c r="K4370" s="648"/>
      <c r="L4370" s="567"/>
      <c r="M4370" s="549"/>
      <c r="N4370" s="549"/>
      <c r="O4370" s="549"/>
      <c r="P4370" s="549"/>
      <c r="Q4370" s="1059"/>
      <c r="R4370" s="1059"/>
    </row>
    <row r="4371" spans="1:18" ht="17.399999999999999">
      <c r="A4371" s="547" t="s">
        <v>495</v>
      </c>
      <c r="B4371" s="852" t="s">
        <v>456</v>
      </c>
      <c r="C4371" s="547" t="s">
        <v>446</v>
      </c>
      <c r="D4371" s="813" t="s">
        <v>447</v>
      </c>
      <c r="E4371" s="547" t="s">
        <v>359</v>
      </c>
      <c r="F4371" s="548">
        <v>12</v>
      </c>
      <c r="G4371" s="549" t="s">
        <v>21</v>
      </c>
      <c r="H4371" s="899" t="s">
        <v>95</v>
      </c>
      <c r="I4371" s="558">
        <v>13.4</v>
      </c>
      <c r="J4371" s="567">
        <v>12</v>
      </c>
      <c r="K4371" s="648">
        <v>8</v>
      </c>
      <c r="L4371" s="552">
        <f>(I4371*J4371*K4371/1000)</f>
        <v>1.2864</v>
      </c>
      <c r="M4371" s="549"/>
      <c r="N4371" s="549"/>
      <c r="O4371" s="549"/>
      <c r="P4371" s="549"/>
      <c r="Q4371" s="1059"/>
      <c r="R4371" s="1059"/>
    </row>
    <row r="4372" spans="1:18" ht="17.399999999999999">
      <c r="A4372" s="550"/>
      <c r="B4372" s="792"/>
      <c r="C4372" s="550"/>
      <c r="D4372" s="550"/>
      <c r="E4372" s="548"/>
      <c r="F4372" s="548"/>
      <c r="G4372" s="549"/>
      <c r="H4372" s="549"/>
      <c r="I4372" s="558"/>
      <c r="J4372" s="567"/>
      <c r="K4372" s="648">
        <f t="shared" ref="K4372:L4372" si="831">SUM(K4371)</f>
        <v>8</v>
      </c>
      <c r="L4372" s="567">
        <f t="shared" si="831"/>
        <v>1.2864</v>
      </c>
      <c r="M4372" s="549"/>
      <c r="N4372" s="549"/>
      <c r="O4372" s="549"/>
      <c r="P4372" s="549"/>
      <c r="Q4372" s="1059"/>
      <c r="R4372" s="1059"/>
    </row>
    <row r="4373" spans="1:18" s="497" customFormat="1" ht="17.399999999999999">
      <c r="A4373" s="550"/>
      <c r="B4373" s="792"/>
      <c r="C4373" s="550"/>
      <c r="D4373" s="550"/>
      <c r="E4373" s="548"/>
      <c r="F4373" s="548"/>
      <c r="G4373" s="549"/>
      <c r="H4373" s="549"/>
      <c r="I4373" s="558"/>
      <c r="J4373" s="567"/>
      <c r="K4373" s="648"/>
      <c r="L4373" s="567"/>
      <c r="M4373" s="549"/>
      <c r="N4373" s="549"/>
      <c r="O4373" s="549"/>
      <c r="P4373" s="549"/>
      <c r="Q4373" s="1059"/>
      <c r="R4373" s="1059"/>
    </row>
    <row r="4374" spans="1:18" ht="17.399999999999999">
      <c r="A4374" s="547" t="s">
        <v>495</v>
      </c>
      <c r="B4374" s="852" t="s">
        <v>455</v>
      </c>
      <c r="C4374" s="547" t="s">
        <v>446</v>
      </c>
      <c r="D4374" s="813" t="s">
        <v>447</v>
      </c>
      <c r="E4374" s="547" t="s">
        <v>359</v>
      </c>
      <c r="F4374" s="548">
        <v>12</v>
      </c>
      <c r="G4374" s="549" t="s">
        <v>21</v>
      </c>
      <c r="H4374" s="899" t="s">
        <v>95</v>
      </c>
      <c r="I4374" s="558">
        <v>13.4</v>
      </c>
      <c r="J4374" s="647">
        <v>12</v>
      </c>
      <c r="K4374" s="648">
        <v>9</v>
      </c>
      <c r="L4374" s="552">
        <f>(I4374*J4374*K4374/1000)</f>
        <v>1.4472</v>
      </c>
      <c r="M4374" s="549"/>
      <c r="N4374" s="549"/>
      <c r="O4374" s="549"/>
      <c r="P4374" s="549"/>
      <c r="Q4374" s="1059"/>
      <c r="R4374" s="1059"/>
    </row>
    <row r="4375" spans="1:18" ht="17.399999999999999">
      <c r="A4375" s="550"/>
      <c r="B4375" s="792"/>
      <c r="C4375" s="550"/>
      <c r="D4375" s="550"/>
      <c r="E4375" s="548"/>
      <c r="F4375" s="548"/>
      <c r="G4375" s="549"/>
      <c r="H4375" s="549"/>
      <c r="I4375" s="558"/>
      <c r="J4375" s="648"/>
      <c r="K4375" s="648">
        <f t="shared" ref="K4375" si="832">SUM(K4374)</f>
        <v>9</v>
      </c>
      <c r="L4375" s="567">
        <f>SUM(L4374)</f>
        <v>1.4472</v>
      </c>
      <c r="M4375" s="549"/>
      <c r="N4375" s="549"/>
      <c r="O4375" s="549"/>
      <c r="P4375" s="549"/>
      <c r="Q4375" s="1059"/>
      <c r="R4375" s="1059"/>
    </row>
    <row r="4376" spans="1:18" s="497" customFormat="1" ht="17.399999999999999">
      <c r="A4376" s="550"/>
      <c r="B4376" s="792"/>
      <c r="C4376" s="550"/>
      <c r="D4376" s="550"/>
      <c r="E4376" s="548"/>
      <c r="F4376" s="548"/>
      <c r="G4376" s="549"/>
      <c r="H4376" s="549"/>
      <c r="I4376" s="558"/>
      <c r="J4376" s="648"/>
      <c r="K4376" s="648">
        <f>SUM(K4354:K4375)/2</f>
        <v>155</v>
      </c>
      <c r="L4376" s="567">
        <f>SUM(L4354:L4375)/2</f>
        <v>19.660480000000003</v>
      </c>
      <c r="M4376" s="549"/>
      <c r="N4376" s="549"/>
      <c r="O4376" s="549"/>
      <c r="P4376" s="549"/>
      <c r="Q4376" s="1059"/>
      <c r="R4376" s="1059"/>
    </row>
    <row r="4377" spans="1:18" s="497" customFormat="1" ht="17.399999999999999">
      <c r="A4377" s="550"/>
      <c r="B4377" s="792"/>
      <c r="C4377" s="550"/>
      <c r="D4377" s="550"/>
      <c r="E4377" s="548"/>
      <c r="F4377" s="548"/>
      <c r="G4377" s="549"/>
      <c r="H4377" s="549"/>
      <c r="I4377" s="558"/>
      <c r="J4377" s="648"/>
      <c r="K4377" s="648"/>
      <c r="L4377" s="567"/>
      <c r="M4377" s="549"/>
      <c r="N4377" s="549"/>
      <c r="O4377" s="549"/>
      <c r="P4377" s="549"/>
      <c r="Q4377" s="1059"/>
      <c r="R4377" s="1059"/>
    </row>
    <row r="4378" spans="1:18" s="497" customFormat="1" ht="17.399999999999999">
      <c r="A4378" s="550"/>
      <c r="B4378" s="792"/>
      <c r="C4378" s="550"/>
      <c r="D4378" s="550"/>
      <c r="E4378" s="548"/>
      <c r="F4378" s="548"/>
      <c r="G4378" s="549"/>
      <c r="H4378" s="549"/>
      <c r="I4378" s="558"/>
      <c r="J4378" s="648"/>
      <c r="K4378" s="648"/>
      <c r="L4378" s="567"/>
      <c r="M4378" s="549"/>
      <c r="N4378" s="549"/>
      <c r="O4378" s="549"/>
      <c r="P4378" s="549"/>
      <c r="Q4378" s="1059"/>
      <c r="R4378" s="1059"/>
    </row>
    <row r="4379" spans="1:18" ht="17.399999999999999">
      <c r="A4379" s="547" t="s">
        <v>445</v>
      </c>
      <c r="B4379" s="547" t="s">
        <v>449</v>
      </c>
      <c r="C4379" s="547" t="s">
        <v>446</v>
      </c>
      <c r="D4379" s="813" t="s">
        <v>447</v>
      </c>
      <c r="E4379" s="547" t="s">
        <v>359</v>
      </c>
      <c r="F4379" s="548">
        <v>13</v>
      </c>
      <c r="G4379" s="549" t="s">
        <v>21</v>
      </c>
      <c r="H4379" s="899" t="s">
        <v>92</v>
      </c>
      <c r="I4379" s="558">
        <v>16.579999999999998</v>
      </c>
      <c r="J4379" s="567">
        <v>8.6</v>
      </c>
      <c r="K4379" s="648">
        <v>8</v>
      </c>
      <c r="L4379" s="552">
        <f>(I4379*J4379*K4379/1000)</f>
        <v>1.1407039999999997</v>
      </c>
      <c r="M4379" s="549"/>
      <c r="N4379" s="549"/>
      <c r="O4379" s="549"/>
      <c r="P4379" s="549"/>
      <c r="Q4379" s="1059"/>
      <c r="R4379" s="1059"/>
    </row>
    <row r="4380" spans="1:18" ht="17.399999999999999">
      <c r="A4380" s="550"/>
      <c r="B4380" s="792"/>
      <c r="C4380" s="550"/>
      <c r="D4380" s="550"/>
      <c r="E4380" s="548"/>
      <c r="F4380" s="548"/>
      <c r="G4380" s="549"/>
      <c r="H4380" s="549"/>
      <c r="I4380" s="558"/>
      <c r="J4380" s="567"/>
      <c r="K4380" s="648">
        <f t="shared" ref="K4380:L4380" si="833">SUM(K4379)</f>
        <v>8</v>
      </c>
      <c r="L4380" s="567">
        <f t="shared" si="833"/>
        <v>1.1407039999999997</v>
      </c>
      <c r="M4380" s="549"/>
      <c r="N4380" s="549"/>
      <c r="O4380" s="549"/>
      <c r="P4380" s="549"/>
      <c r="Q4380" s="1059"/>
      <c r="R4380" s="1059"/>
    </row>
    <row r="4381" spans="1:18" s="497" customFormat="1" ht="17.399999999999999">
      <c r="A4381" s="550"/>
      <c r="B4381" s="792"/>
      <c r="C4381" s="550"/>
      <c r="D4381" s="550"/>
      <c r="E4381" s="548"/>
      <c r="F4381" s="548"/>
      <c r="G4381" s="549"/>
      <c r="H4381" s="549"/>
      <c r="I4381" s="558"/>
      <c r="J4381" s="567"/>
      <c r="K4381" s="648"/>
      <c r="L4381" s="567"/>
      <c r="M4381" s="549"/>
      <c r="N4381" s="549"/>
      <c r="O4381" s="549"/>
      <c r="P4381" s="549"/>
      <c r="Q4381" s="1059"/>
      <c r="R4381" s="1059"/>
    </row>
    <row r="4382" spans="1:18" ht="17.399999999999999">
      <c r="A4382" s="547" t="s">
        <v>445</v>
      </c>
      <c r="B4382" s="547" t="s">
        <v>460</v>
      </c>
      <c r="C4382" s="547" t="s">
        <v>446</v>
      </c>
      <c r="D4382" s="813" t="s">
        <v>447</v>
      </c>
      <c r="E4382" s="547" t="s">
        <v>359</v>
      </c>
      <c r="F4382" s="548">
        <v>13</v>
      </c>
      <c r="G4382" s="549" t="s">
        <v>21</v>
      </c>
      <c r="H4382" s="899" t="s">
        <v>92</v>
      </c>
      <c r="I4382" s="558">
        <v>16.579999999999998</v>
      </c>
      <c r="J4382" s="567">
        <v>12</v>
      </c>
      <c r="K4382" s="648">
        <v>5</v>
      </c>
      <c r="L4382" s="552">
        <f>(I4382*J4382*K4382/1000)</f>
        <v>0.99479999999999991</v>
      </c>
      <c r="M4382" s="549"/>
      <c r="N4382" s="549"/>
      <c r="O4382" s="549"/>
      <c r="P4382" s="549"/>
      <c r="Q4382" s="1059"/>
      <c r="R4382" s="1059"/>
    </row>
    <row r="4383" spans="1:18" ht="17.399999999999999">
      <c r="A4383" s="550"/>
      <c r="B4383" s="792"/>
      <c r="C4383" s="550"/>
      <c r="D4383" s="550"/>
      <c r="E4383" s="548"/>
      <c r="F4383" s="548"/>
      <c r="G4383" s="549"/>
      <c r="H4383" s="549"/>
      <c r="I4383" s="558"/>
      <c r="J4383" s="567"/>
      <c r="K4383" s="648">
        <f t="shared" ref="K4383" si="834">SUM(K4382)</f>
        <v>5</v>
      </c>
      <c r="L4383" s="567">
        <f>SUM(L4382)</f>
        <v>0.99479999999999991</v>
      </c>
      <c r="M4383" s="549"/>
      <c r="N4383" s="549"/>
      <c r="O4383" s="549"/>
      <c r="P4383" s="549"/>
      <c r="Q4383" s="1059"/>
      <c r="R4383" s="1059"/>
    </row>
    <row r="4384" spans="1:18" s="497" customFormat="1" ht="17.399999999999999">
      <c r="A4384" s="550"/>
      <c r="B4384" s="792"/>
      <c r="C4384" s="550"/>
      <c r="D4384" s="550"/>
      <c r="E4384" s="548"/>
      <c r="F4384" s="548"/>
      <c r="G4384" s="549"/>
      <c r="H4384" s="549"/>
      <c r="I4384" s="558"/>
      <c r="J4384" s="567"/>
      <c r="K4384" s="648">
        <f>SUM(K4379:K4383)/2</f>
        <v>13</v>
      </c>
      <c r="L4384" s="567">
        <f>SUM(L4379:L4383)/2</f>
        <v>2.1355039999999996</v>
      </c>
      <c r="M4384" s="648">
        <f>SUM(M4379:M4383)/2</f>
        <v>0</v>
      </c>
      <c r="N4384" s="567">
        <f>SUM(N4379:N4383)/2</f>
        <v>0</v>
      </c>
      <c r="O4384" s="549"/>
      <c r="P4384" s="549"/>
      <c r="Q4384" s="1059"/>
      <c r="R4384" s="1059"/>
    </row>
    <row r="4385" spans="1:18" s="497" customFormat="1" ht="17.399999999999999">
      <c r="A4385" s="550"/>
      <c r="B4385" s="792"/>
      <c r="C4385" s="550"/>
      <c r="D4385" s="550"/>
      <c r="E4385" s="548"/>
      <c r="F4385" s="548"/>
      <c r="G4385" s="549"/>
      <c r="H4385" s="549"/>
      <c r="I4385" s="558"/>
      <c r="J4385" s="648"/>
      <c r="K4385" s="648"/>
      <c r="L4385" s="567"/>
      <c r="M4385" s="549"/>
      <c r="N4385" s="549"/>
      <c r="O4385" s="549"/>
      <c r="P4385" s="549"/>
      <c r="Q4385" s="1059"/>
      <c r="R4385" s="1059"/>
    </row>
    <row r="4386" spans="1:18" ht="17.399999999999999">
      <c r="A4386" s="549"/>
      <c r="B4386" s="549"/>
      <c r="C4386" s="549"/>
      <c r="D4386" s="549"/>
      <c r="E4386" s="549"/>
      <c r="F4386" s="549"/>
      <c r="G4386" s="549"/>
      <c r="H4386" s="549"/>
      <c r="I4386" s="560"/>
      <c r="J4386" s="549"/>
      <c r="K4386" s="561"/>
      <c r="L4386" s="560"/>
      <c r="M4386" s="549"/>
      <c r="N4386" s="549"/>
      <c r="O4386" s="549"/>
      <c r="P4386" s="549"/>
      <c r="Q4386" s="1059"/>
      <c r="R4386" s="1059"/>
    </row>
    <row r="4387" spans="1:18" ht="17.399999999999999">
      <c r="A4387" s="549"/>
      <c r="B4387" s="549"/>
      <c r="C4387" s="549"/>
      <c r="D4387" s="549"/>
      <c r="E4387" s="549"/>
      <c r="F4387" s="549"/>
      <c r="G4387" s="549"/>
      <c r="H4387" s="549"/>
      <c r="I4387" s="560"/>
      <c r="J4387" s="549"/>
      <c r="K4387" s="561"/>
      <c r="L4387" s="560"/>
      <c r="M4387" s="549"/>
      <c r="N4387" s="549"/>
      <c r="O4387" s="549"/>
      <c r="P4387" s="549"/>
      <c r="Q4387" s="1059"/>
      <c r="R4387" s="1059"/>
    </row>
    <row r="4388" spans="1:18" ht="17.399999999999999">
      <c r="A4388" s="547" t="s">
        <v>495</v>
      </c>
      <c r="B4388" s="852" t="s">
        <v>457</v>
      </c>
      <c r="C4388" s="547" t="s">
        <v>446</v>
      </c>
      <c r="D4388" s="813" t="s">
        <v>450</v>
      </c>
      <c r="E4388" s="547" t="s">
        <v>270</v>
      </c>
      <c r="F4388" s="548">
        <v>10</v>
      </c>
      <c r="G4388" s="549" t="s">
        <v>61</v>
      </c>
      <c r="H4388" s="899" t="s">
        <v>92</v>
      </c>
      <c r="I4388" s="558">
        <v>16.579999999999998</v>
      </c>
      <c r="J4388" s="567">
        <v>12</v>
      </c>
      <c r="K4388" s="648">
        <v>2</v>
      </c>
      <c r="L4388" s="552">
        <f>(I4388*J4388*K4388/1000)</f>
        <v>0.39791999999999994</v>
      </c>
      <c r="M4388" s="549"/>
      <c r="N4388" s="549"/>
      <c r="O4388" s="567">
        <v>9.5</v>
      </c>
      <c r="P4388" s="549"/>
      <c r="Q4388" s="1059"/>
      <c r="R4388" s="1059"/>
    </row>
    <row r="4389" spans="1:18" ht="17.399999999999999">
      <c r="A4389" s="550"/>
      <c r="B4389" s="792"/>
      <c r="C4389" s="550"/>
      <c r="D4389" s="550"/>
      <c r="E4389" s="548"/>
      <c r="F4389" s="548"/>
      <c r="G4389" s="549" t="s">
        <v>61</v>
      </c>
      <c r="H4389" s="549" t="s">
        <v>92</v>
      </c>
      <c r="I4389" s="558">
        <v>16.579999999999998</v>
      </c>
      <c r="J4389" s="567">
        <v>12</v>
      </c>
      <c r="K4389" s="648">
        <v>1</v>
      </c>
      <c r="L4389" s="552">
        <f>(I4389*J4389*K4389/1000)</f>
        <v>0.19895999999999997</v>
      </c>
      <c r="M4389" s="549"/>
      <c r="N4389" s="549"/>
      <c r="O4389" s="549"/>
      <c r="P4389" s="549"/>
      <c r="Q4389" s="1059"/>
      <c r="R4389" s="1059"/>
    </row>
    <row r="4390" spans="1:18" ht="17.399999999999999">
      <c r="A4390" s="549"/>
      <c r="B4390" s="549"/>
      <c r="C4390" s="549"/>
      <c r="D4390" s="549"/>
      <c r="E4390" s="549"/>
      <c r="F4390" s="549"/>
      <c r="G4390" s="549"/>
      <c r="H4390" s="549"/>
      <c r="I4390" s="558"/>
      <c r="J4390" s="567"/>
      <c r="K4390" s="648">
        <f>SUM(K4388:K4389)</f>
        <v>3</v>
      </c>
      <c r="L4390" s="567">
        <f>SUM(L4388:L4389)</f>
        <v>0.59687999999999986</v>
      </c>
      <c r="M4390" s="549"/>
      <c r="N4390" s="549"/>
      <c r="O4390" s="549"/>
      <c r="P4390" s="549"/>
      <c r="Q4390" s="1059"/>
      <c r="R4390" s="1059"/>
    </row>
    <row r="4391" spans="1:18" ht="17.399999999999999">
      <c r="A4391" s="549"/>
      <c r="B4391" s="549"/>
      <c r="C4391" s="549"/>
      <c r="D4391" s="549"/>
      <c r="E4391" s="549"/>
      <c r="F4391" s="549"/>
      <c r="G4391" s="549"/>
      <c r="H4391" s="549"/>
      <c r="I4391" s="560"/>
      <c r="J4391" s="549"/>
      <c r="K4391" s="561"/>
      <c r="L4391" s="560"/>
      <c r="M4391" s="549"/>
      <c r="N4391" s="549"/>
      <c r="O4391" s="549"/>
      <c r="P4391" s="549"/>
      <c r="Q4391" s="1059"/>
      <c r="R4391" s="1059"/>
    </row>
    <row r="4392" spans="1:18" ht="17.399999999999999">
      <c r="A4392" s="547" t="s">
        <v>445</v>
      </c>
      <c r="B4392" s="547" t="s">
        <v>460</v>
      </c>
      <c r="C4392" s="547" t="s">
        <v>446</v>
      </c>
      <c r="D4392" s="813" t="s">
        <v>450</v>
      </c>
      <c r="E4392" s="547" t="s">
        <v>270</v>
      </c>
      <c r="F4392" s="548">
        <v>10</v>
      </c>
      <c r="G4392" s="549" t="s">
        <v>61</v>
      </c>
      <c r="H4392" s="899" t="s">
        <v>92</v>
      </c>
      <c r="I4392" s="558">
        <v>16.579999999999998</v>
      </c>
      <c r="J4392" s="567">
        <v>12</v>
      </c>
      <c r="K4392" s="648">
        <v>5</v>
      </c>
      <c r="L4392" s="552">
        <f>(I4392*J4392*K4392/1000)</f>
        <v>0.99479999999999991</v>
      </c>
      <c r="M4392" s="549"/>
      <c r="N4392" s="549"/>
      <c r="O4392" s="549"/>
      <c r="P4392" s="549"/>
      <c r="Q4392" s="1059"/>
      <c r="R4392" s="1059"/>
    </row>
    <row r="4393" spans="1:18" ht="17.399999999999999">
      <c r="A4393" s="550"/>
      <c r="B4393" s="792"/>
      <c r="C4393" s="550"/>
      <c r="D4393" s="550"/>
      <c r="E4393" s="548"/>
      <c r="F4393" s="548"/>
      <c r="G4393" s="549"/>
      <c r="H4393" s="549"/>
      <c r="I4393" s="558"/>
      <c r="J4393" s="567"/>
      <c r="K4393" s="648">
        <f t="shared" ref="K4393:L4393" si="835">SUM(K4392)</f>
        <v>5</v>
      </c>
      <c r="L4393" s="567">
        <f t="shared" si="835"/>
        <v>0.99479999999999991</v>
      </c>
      <c r="M4393" s="549"/>
      <c r="N4393" s="549"/>
      <c r="O4393" s="549"/>
      <c r="P4393" s="549"/>
      <c r="Q4393" s="1059"/>
      <c r="R4393" s="1059"/>
    </row>
    <row r="4394" spans="1:18" ht="17.399999999999999">
      <c r="A4394" s="549"/>
      <c r="B4394" s="549"/>
      <c r="C4394" s="549"/>
      <c r="D4394" s="549"/>
      <c r="E4394" s="549"/>
      <c r="F4394" s="549"/>
      <c r="G4394" s="549"/>
      <c r="H4394" s="549"/>
      <c r="I4394" s="560"/>
      <c r="J4394" s="549"/>
      <c r="K4394" s="652">
        <f>SUM(K4388:K4393)/2</f>
        <v>8</v>
      </c>
      <c r="L4394" s="565">
        <f>SUM(L4388:L4393)/2</f>
        <v>1.5916799999999998</v>
      </c>
      <c r="M4394" s="652">
        <f>SUM(M4388:M4393)/2</f>
        <v>0</v>
      </c>
      <c r="N4394" s="565">
        <f>SUM(N4388:N4393)/2</f>
        <v>0</v>
      </c>
      <c r="O4394" s="549"/>
      <c r="P4394" s="549"/>
      <c r="Q4394" s="1059"/>
      <c r="R4394" s="1059"/>
    </row>
    <row r="4395" spans="1:18" s="497" customFormat="1" ht="17.399999999999999">
      <c r="A4395" s="550"/>
      <c r="B4395" s="792"/>
      <c r="C4395" s="550"/>
      <c r="D4395" s="550"/>
      <c r="E4395" s="548"/>
      <c r="F4395" s="548"/>
      <c r="G4395" s="549"/>
      <c r="H4395" s="549"/>
      <c r="I4395" s="558"/>
      <c r="J4395" s="567"/>
      <c r="K4395" s="648"/>
      <c r="L4395" s="567"/>
      <c r="M4395" s="549"/>
      <c r="N4395" s="549"/>
      <c r="O4395" s="549"/>
      <c r="P4395" s="549"/>
      <c r="Q4395" s="1059"/>
      <c r="R4395" s="1059"/>
    </row>
    <row r="4396" spans="1:18" s="497" customFormat="1" ht="17.399999999999999">
      <c r="A4396" s="550"/>
      <c r="B4396" s="792"/>
      <c r="C4396" s="550"/>
      <c r="D4396" s="550"/>
      <c r="E4396" s="548"/>
      <c r="F4396" s="548"/>
      <c r="G4396" s="549"/>
      <c r="H4396" s="549"/>
      <c r="I4396" s="558"/>
      <c r="J4396" s="567"/>
      <c r="K4396" s="648"/>
      <c r="L4396" s="567"/>
      <c r="M4396" s="549"/>
      <c r="N4396" s="549"/>
      <c r="O4396" s="549"/>
      <c r="P4396" s="549"/>
      <c r="Q4396" s="1059"/>
      <c r="R4396" s="1059"/>
    </row>
    <row r="4397" spans="1:18" ht="17.399999999999999">
      <c r="A4397" s="547" t="s">
        <v>445</v>
      </c>
      <c r="B4397" s="547" t="s">
        <v>466</v>
      </c>
      <c r="C4397" s="547" t="s">
        <v>446</v>
      </c>
      <c r="D4397" s="813" t="s">
        <v>450</v>
      </c>
      <c r="E4397" s="547" t="s">
        <v>270</v>
      </c>
      <c r="F4397" s="548">
        <v>10</v>
      </c>
      <c r="G4397" s="549" t="s">
        <v>94</v>
      </c>
      <c r="H4397" s="899" t="s">
        <v>97</v>
      </c>
      <c r="I4397" s="558">
        <v>10.199999999999999</v>
      </c>
      <c r="J4397" s="567">
        <v>12</v>
      </c>
      <c r="K4397" s="648">
        <v>2</v>
      </c>
      <c r="L4397" s="552">
        <f>(I4397*J4397*K4397/1000)</f>
        <v>0.24479999999999999</v>
      </c>
      <c r="M4397" s="549"/>
      <c r="N4397" s="549"/>
      <c r="O4397" s="549"/>
      <c r="P4397" s="549"/>
      <c r="Q4397" s="1059"/>
      <c r="R4397" s="1059"/>
    </row>
    <row r="4398" spans="1:18" ht="17.399999999999999">
      <c r="A4398" s="550"/>
      <c r="B4398" s="792"/>
      <c r="C4398" s="550"/>
      <c r="D4398" s="550"/>
      <c r="E4398" s="548"/>
      <c r="F4398" s="548"/>
      <c r="G4398" s="549"/>
      <c r="H4398" s="549"/>
      <c r="I4398" s="558"/>
      <c r="J4398" s="567"/>
      <c r="K4398" s="648">
        <f t="shared" ref="K4398:L4398" si="836">SUM(K4397)</f>
        <v>2</v>
      </c>
      <c r="L4398" s="567">
        <f t="shared" si="836"/>
        <v>0.24479999999999999</v>
      </c>
      <c r="M4398" s="549"/>
      <c r="N4398" s="549"/>
      <c r="O4398" s="549"/>
      <c r="P4398" s="549"/>
      <c r="Q4398" s="1059"/>
      <c r="R4398" s="1059"/>
    </row>
    <row r="4399" spans="1:18" ht="17.399999999999999">
      <c r="A4399" s="549"/>
      <c r="B4399" s="549"/>
      <c r="C4399" s="549"/>
      <c r="D4399" s="549"/>
      <c r="E4399" s="549"/>
      <c r="F4399" s="549"/>
      <c r="G4399" s="549"/>
      <c r="H4399" s="549"/>
      <c r="I4399" s="560"/>
      <c r="J4399" s="549"/>
      <c r="K4399" s="561"/>
      <c r="L4399" s="560"/>
      <c r="M4399" s="549"/>
      <c r="N4399" s="549"/>
      <c r="O4399" s="549"/>
      <c r="P4399" s="549"/>
      <c r="Q4399" s="1059"/>
      <c r="R4399" s="1059"/>
    </row>
    <row r="4400" spans="1:18" ht="17.399999999999999">
      <c r="A4400" s="547" t="s">
        <v>445</v>
      </c>
      <c r="B4400" s="547" t="s">
        <v>460</v>
      </c>
      <c r="C4400" s="547" t="s">
        <v>446</v>
      </c>
      <c r="D4400" s="813" t="s">
        <v>450</v>
      </c>
      <c r="E4400" s="547" t="s">
        <v>270</v>
      </c>
      <c r="F4400" s="548">
        <v>10</v>
      </c>
      <c r="G4400" s="549" t="s">
        <v>61</v>
      </c>
      <c r="H4400" s="899" t="s">
        <v>97</v>
      </c>
      <c r="I4400" s="558">
        <v>10.199999999999999</v>
      </c>
      <c r="J4400" s="567">
        <v>12</v>
      </c>
      <c r="K4400" s="648">
        <v>5</v>
      </c>
      <c r="L4400" s="552">
        <f>(I4400*J4400*K4400/1000)</f>
        <v>0.61199999999999999</v>
      </c>
      <c r="M4400" s="549"/>
      <c r="N4400" s="549"/>
      <c r="O4400" s="549"/>
      <c r="P4400" s="549"/>
      <c r="Q4400" s="1059"/>
      <c r="R4400" s="1059"/>
    </row>
    <row r="4401" spans="1:18" ht="17.399999999999999">
      <c r="A4401" s="550"/>
      <c r="B4401" s="792"/>
      <c r="C4401" s="550"/>
      <c r="D4401" s="550"/>
      <c r="E4401" s="548"/>
      <c r="F4401" s="548"/>
      <c r="G4401" s="549"/>
      <c r="H4401" s="549"/>
      <c r="I4401" s="558"/>
      <c r="J4401" s="567"/>
      <c r="K4401" s="648">
        <f t="shared" ref="K4401:L4401" si="837">SUM(K4400)</f>
        <v>5</v>
      </c>
      <c r="L4401" s="567">
        <f t="shared" si="837"/>
        <v>0.61199999999999999</v>
      </c>
      <c r="M4401" s="549"/>
      <c r="N4401" s="549"/>
      <c r="O4401" s="549"/>
      <c r="P4401" s="549"/>
      <c r="Q4401" s="1059"/>
      <c r="R4401" s="1059"/>
    </row>
    <row r="4402" spans="1:18" ht="17.399999999999999">
      <c r="A4402" s="549"/>
      <c r="B4402" s="549"/>
      <c r="C4402" s="549"/>
      <c r="D4402" s="549"/>
      <c r="E4402" s="549"/>
      <c r="F4402" s="549"/>
      <c r="G4402" s="549"/>
      <c r="H4402" s="549"/>
      <c r="I4402" s="560"/>
      <c r="J4402" s="549"/>
      <c r="K4402" s="561"/>
      <c r="L4402" s="560"/>
      <c r="M4402" s="549"/>
      <c r="N4402" s="549"/>
      <c r="O4402" s="549"/>
      <c r="P4402" s="549"/>
      <c r="Q4402" s="1059"/>
      <c r="R4402" s="1059"/>
    </row>
    <row r="4403" spans="1:18" ht="17.399999999999999">
      <c r="A4403" s="547" t="s">
        <v>411</v>
      </c>
      <c r="B4403" s="547" t="s">
        <v>486</v>
      </c>
      <c r="C4403" s="547" t="s">
        <v>19</v>
      </c>
      <c r="D4403" s="547" t="s">
        <v>60</v>
      </c>
      <c r="E4403" s="547" t="s">
        <v>270</v>
      </c>
      <c r="F4403" s="549">
        <v>10</v>
      </c>
      <c r="G4403" s="549" t="s">
        <v>61</v>
      </c>
      <c r="H4403" s="899" t="s">
        <v>97</v>
      </c>
      <c r="I4403" s="558">
        <v>10.199999999999999</v>
      </c>
      <c r="J4403" s="647">
        <v>12</v>
      </c>
      <c r="K4403" s="648">
        <v>8</v>
      </c>
      <c r="L4403" s="552">
        <f>(I4403*J4403*K4403/1000)</f>
        <v>0.97919999999999996</v>
      </c>
      <c r="M4403" s="549"/>
      <c r="N4403" s="549"/>
      <c r="O4403" s="549"/>
      <c r="P4403" s="549"/>
      <c r="Q4403" s="1059"/>
      <c r="R4403" s="1059"/>
    </row>
    <row r="4404" spans="1:18" ht="17.399999999999999">
      <c r="A4404" s="550"/>
      <c r="B4404" s="549" t="s">
        <v>331</v>
      </c>
      <c r="C4404" s="550"/>
      <c r="D4404" s="550"/>
      <c r="E4404" s="548"/>
      <c r="F4404" s="549"/>
      <c r="G4404" s="549"/>
      <c r="H4404" s="549"/>
      <c r="I4404" s="558"/>
      <c r="J4404" s="647"/>
      <c r="K4404" s="648">
        <f t="shared" ref="K4404:L4404" si="838">SUM(K4403)</f>
        <v>8</v>
      </c>
      <c r="L4404" s="567">
        <f t="shared" si="838"/>
        <v>0.97919999999999996</v>
      </c>
      <c r="M4404" s="549"/>
      <c r="N4404" s="549"/>
      <c r="O4404" s="549"/>
      <c r="P4404" s="549"/>
      <c r="Q4404" s="1059"/>
      <c r="R4404" s="1059"/>
    </row>
    <row r="4405" spans="1:18" s="497" customFormat="1" ht="17.399999999999999">
      <c r="A4405" s="550"/>
      <c r="B4405" s="549"/>
      <c r="C4405" s="550"/>
      <c r="D4405" s="550"/>
      <c r="E4405" s="548"/>
      <c r="F4405" s="549"/>
      <c r="G4405" s="549"/>
      <c r="H4405" s="549"/>
      <c r="I4405" s="558"/>
      <c r="J4405" s="647"/>
      <c r="K4405" s="648"/>
      <c r="L4405" s="567"/>
      <c r="M4405" s="549"/>
      <c r="N4405" s="549"/>
      <c r="O4405" s="549"/>
      <c r="P4405" s="549"/>
      <c r="Q4405" s="1059"/>
      <c r="R4405" s="1059"/>
    </row>
    <row r="4406" spans="1:18" ht="17.399999999999999">
      <c r="A4406" s="547" t="s">
        <v>495</v>
      </c>
      <c r="B4406" s="852" t="s">
        <v>455</v>
      </c>
      <c r="C4406" s="547" t="s">
        <v>446</v>
      </c>
      <c r="D4406" s="813" t="s">
        <v>450</v>
      </c>
      <c r="E4406" s="547" t="s">
        <v>270</v>
      </c>
      <c r="F4406" s="548">
        <v>10</v>
      </c>
      <c r="G4406" s="549" t="s">
        <v>61</v>
      </c>
      <c r="H4406" s="899" t="s">
        <v>97</v>
      </c>
      <c r="I4406" s="558">
        <v>10.199999999999999</v>
      </c>
      <c r="J4406" s="647">
        <v>12</v>
      </c>
      <c r="K4406" s="648">
        <v>5</v>
      </c>
      <c r="L4406" s="552">
        <f>(I4406*J4406*K4406/1000)</f>
        <v>0.61199999999999999</v>
      </c>
      <c r="M4406" s="549"/>
      <c r="N4406" s="549"/>
      <c r="O4406" s="549"/>
      <c r="P4406" s="549"/>
      <c r="Q4406" s="1059"/>
      <c r="R4406" s="1059"/>
    </row>
    <row r="4407" spans="1:18" ht="17.399999999999999">
      <c r="A4407" s="550"/>
      <c r="B4407" s="792"/>
      <c r="C4407" s="550"/>
      <c r="D4407" s="550"/>
      <c r="E4407" s="548"/>
      <c r="F4407" s="548"/>
      <c r="G4407" s="549"/>
      <c r="H4407" s="549"/>
      <c r="I4407" s="558"/>
      <c r="J4407" s="648"/>
      <c r="K4407" s="648">
        <f t="shared" ref="K4407:L4407" si="839">SUM(K4406)</f>
        <v>5</v>
      </c>
      <c r="L4407" s="567">
        <f t="shared" si="839"/>
        <v>0.61199999999999999</v>
      </c>
      <c r="M4407" s="549"/>
      <c r="N4407" s="549"/>
      <c r="O4407" s="549"/>
      <c r="P4407" s="549"/>
      <c r="Q4407" s="1059"/>
      <c r="R4407" s="1059"/>
    </row>
    <row r="4408" spans="1:18" ht="17.399999999999999">
      <c r="A4408" s="549"/>
      <c r="B4408" s="549"/>
      <c r="C4408" s="549"/>
      <c r="D4408" s="549"/>
      <c r="E4408" s="549"/>
      <c r="F4408" s="549"/>
      <c r="G4408" s="549"/>
      <c r="H4408" s="549"/>
      <c r="I4408" s="560"/>
      <c r="J4408" s="549"/>
      <c r="K4408" s="561"/>
      <c r="L4408" s="560"/>
      <c r="M4408" s="549"/>
      <c r="N4408" s="549"/>
      <c r="O4408" s="549"/>
      <c r="P4408" s="549"/>
      <c r="Q4408" s="1059"/>
      <c r="R4408" s="1059"/>
    </row>
    <row r="4409" spans="1:18" ht="17.399999999999999">
      <c r="A4409" s="547" t="s">
        <v>495</v>
      </c>
      <c r="B4409" s="852" t="s">
        <v>456</v>
      </c>
      <c r="C4409" s="547" t="s">
        <v>446</v>
      </c>
      <c r="D4409" s="813" t="s">
        <v>450</v>
      </c>
      <c r="E4409" s="547" t="s">
        <v>270</v>
      </c>
      <c r="F4409" s="548">
        <v>10</v>
      </c>
      <c r="G4409" s="549" t="s">
        <v>61</v>
      </c>
      <c r="H4409" s="899" t="s">
        <v>97</v>
      </c>
      <c r="I4409" s="558">
        <v>10.199999999999999</v>
      </c>
      <c r="J4409" s="567">
        <v>12</v>
      </c>
      <c r="K4409" s="648">
        <v>5</v>
      </c>
      <c r="L4409" s="552">
        <f>(I4409*J4409*K4409/1000)</f>
        <v>0.61199999999999999</v>
      </c>
      <c r="M4409" s="549"/>
      <c r="N4409" s="549"/>
      <c r="O4409" s="549"/>
      <c r="P4409" s="549"/>
      <c r="Q4409" s="1059"/>
      <c r="R4409" s="1059"/>
    </row>
    <row r="4410" spans="1:18" ht="17.399999999999999">
      <c r="A4410" s="550"/>
      <c r="B4410" s="792"/>
      <c r="C4410" s="550"/>
      <c r="D4410" s="550"/>
      <c r="E4410" s="548"/>
      <c r="F4410" s="548"/>
      <c r="G4410" s="549"/>
      <c r="H4410" s="549"/>
      <c r="I4410" s="558"/>
      <c r="J4410" s="567"/>
      <c r="K4410" s="648">
        <f t="shared" ref="K4410:L4410" si="840">SUM(K4409)</f>
        <v>5</v>
      </c>
      <c r="L4410" s="567">
        <f t="shared" si="840"/>
        <v>0.61199999999999999</v>
      </c>
      <c r="M4410" s="549"/>
      <c r="N4410" s="549"/>
      <c r="O4410" s="549"/>
      <c r="P4410" s="549"/>
      <c r="Q4410" s="1059"/>
      <c r="R4410" s="1059"/>
    </row>
    <row r="4411" spans="1:18" s="497" customFormat="1" ht="17.399999999999999">
      <c r="A4411" s="550"/>
      <c r="B4411" s="792"/>
      <c r="C4411" s="550"/>
      <c r="D4411" s="550"/>
      <c r="E4411" s="548"/>
      <c r="F4411" s="548"/>
      <c r="G4411" s="549"/>
      <c r="H4411" s="549"/>
      <c r="I4411" s="558"/>
      <c r="J4411" s="567"/>
      <c r="K4411" s="648">
        <f>SUM(K4397:K4410)/2</f>
        <v>25</v>
      </c>
      <c r="L4411" s="567">
        <f>SUM(L4397:L4410)/2</f>
        <v>3.06</v>
      </c>
      <c r="M4411" s="648">
        <f>SUM(M4397:M4410)/2</f>
        <v>0</v>
      </c>
      <c r="N4411" s="567">
        <f>SUM(N4397:N4410)/2</f>
        <v>0</v>
      </c>
      <c r="O4411" s="549"/>
      <c r="P4411" s="549"/>
      <c r="Q4411" s="1059"/>
      <c r="R4411" s="1059"/>
    </row>
    <row r="4412" spans="1:18" s="497" customFormat="1" ht="17.399999999999999">
      <c r="A4412" s="550"/>
      <c r="B4412" s="792"/>
      <c r="C4412" s="550"/>
      <c r="D4412" s="550"/>
      <c r="E4412" s="548"/>
      <c r="F4412" s="548"/>
      <c r="G4412" s="549"/>
      <c r="H4412" s="549"/>
      <c r="I4412" s="558"/>
      <c r="J4412" s="567"/>
      <c r="K4412" s="648"/>
      <c r="L4412" s="567"/>
      <c r="M4412" s="549"/>
      <c r="N4412" s="549"/>
      <c r="O4412" s="549"/>
      <c r="P4412" s="549"/>
      <c r="Q4412" s="1059"/>
      <c r="R4412" s="1059"/>
    </row>
    <row r="4413" spans="1:18" ht="17.399999999999999">
      <c r="A4413" s="549"/>
      <c r="B4413" s="549"/>
      <c r="C4413" s="549"/>
      <c r="D4413" s="549"/>
      <c r="E4413" s="549"/>
      <c r="F4413" s="549"/>
      <c r="G4413" s="549"/>
      <c r="H4413" s="549"/>
      <c r="I4413" s="560"/>
      <c r="J4413" s="549"/>
      <c r="K4413" s="561"/>
      <c r="L4413" s="560"/>
      <c r="M4413" s="549"/>
      <c r="N4413" s="549"/>
      <c r="O4413" s="549"/>
      <c r="P4413" s="549"/>
      <c r="Q4413" s="1059"/>
      <c r="R4413" s="1059"/>
    </row>
    <row r="4414" spans="1:18" ht="17.399999999999999">
      <c r="A4414" s="549"/>
      <c r="B4414" s="549"/>
      <c r="C4414" s="549"/>
      <c r="D4414" s="549"/>
      <c r="E4414" s="549"/>
      <c r="F4414" s="549"/>
      <c r="G4414" s="549"/>
      <c r="H4414" s="549"/>
      <c r="I4414" s="560"/>
      <c r="J4414" s="549"/>
      <c r="K4414" s="561"/>
      <c r="L4414" s="568">
        <f>+L4394+L4411+L4335+L4351+L4376+L4384+L4201+L4185+L4268+L4226+L4230+L4262+L4311+L4308+L4286</f>
        <v>302.25025199999999</v>
      </c>
      <c r="M4414" s="549"/>
      <c r="N4414" s="568">
        <f>+N4394+N4411+N4335+N4351+N4376+N4384+N4201+N4185+N4268+N4226+N4230+N4262+N4311+N4308+N4286</f>
        <v>4.4760800000000005</v>
      </c>
      <c r="O4414" s="549"/>
      <c r="P4414" s="549"/>
      <c r="Q4414" s="1059"/>
      <c r="R4414" s="1059"/>
    </row>
    <row r="4415" spans="1:18" ht="18">
      <c r="A4415" s="653" t="s">
        <v>48</v>
      </c>
      <c r="B4415" s="653"/>
      <c r="C4415" s="654"/>
      <c r="D4415" s="654"/>
      <c r="E4415" s="654"/>
      <c r="F4415" s="821"/>
      <c r="G4415" s="654"/>
      <c r="H4415" s="821"/>
      <c r="I4415" s="656"/>
      <c r="J4415" s="654"/>
      <c r="K4415" s="657"/>
      <c r="L4415" s="2003" t="s">
        <v>0</v>
      </c>
      <c r="M4415" s="2003"/>
      <c r="N4415" s="2003"/>
      <c r="O4415" s="2004"/>
      <c r="P4415" s="2010"/>
      <c r="Q4415" s="1064"/>
      <c r="R4415" s="1064"/>
    </row>
    <row r="4416" spans="1:18" ht="18">
      <c r="A4416" s="658" t="s">
        <v>1</v>
      </c>
      <c r="B4416" s="658"/>
      <c r="C4416" s="658"/>
      <c r="D4416" s="659" t="s">
        <v>2</v>
      </c>
      <c r="E4416" s="659"/>
      <c r="F4416" s="660"/>
      <c r="G4416" s="660"/>
      <c r="H4416" s="660"/>
      <c r="I4416" s="661"/>
      <c r="J4416" s="660"/>
      <c r="K4416" s="662" t="s">
        <v>3</v>
      </c>
      <c r="L4416" s="660"/>
      <c r="M4416" s="658"/>
      <c r="N4416" s="660"/>
      <c r="O4416" s="663"/>
      <c r="P4416" s="2010"/>
      <c r="Q4416" s="1064"/>
      <c r="R4416" s="1064"/>
    </row>
    <row r="4417" spans="1:18" ht="18">
      <c r="A4417" s="821" t="s">
        <v>22</v>
      </c>
      <c r="B4417" s="1990" t="s">
        <v>23</v>
      </c>
      <c r="C4417" s="2005"/>
      <c r="D4417" s="1989"/>
      <c r="E4417" s="821" t="s">
        <v>24</v>
      </c>
      <c r="F4417" s="1990" t="s">
        <v>25</v>
      </c>
      <c r="G4417" s="1989"/>
      <c r="H4417" s="1990" t="s">
        <v>26</v>
      </c>
      <c r="I4417" s="2005"/>
      <c r="J4417" s="2005"/>
      <c r="K4417" s="1989"/>
      <c r="L4417" s="2006" t="s">
        <v>27</v>
      </c>
      <c r="M4417" s="2006"/>
      <c r="N4417" s="2006"/>
      <c r="O4417" s="1990"/>
      <c r="P4417" s="2010"/>
      <c r="Q4417" s="1064"/>
      <c r="R4417" s="1064"/>
    </row>
    <row r="4418" spans="1:18" ht="18">
      <c r="A4418" s="664"/>
      <c r="B4418" s="1975"/>
      <c r="C4418" s="1976"/>
      <c r="D4418" s="1977"/>
      <c r="E4418" s="665"/>
      <c r="F4418" s="1975"/>
      <c r="G4418" s="1977"/>
      <c r="H4418" s="1975"/>
      <c r="I4418" s="1976"/>
      <c r="J4418" s="1976"/>
      <c r="K4418" s="1977"/>
      <c r="L4418" s="1975"/>
      <c r="M4418" s="1976"/>
      <c r="N4418" s="1976"/>
      <c r="O4418" s="1976"/>
      <c r="P4418" s="2010"/>
      <c r="Q4418" s="1064"/>
      <c r="R4418" s="1064"/>
    </row>
    <row r="4419" spans="1:18" s="497" customFormat="1" ht="18">
      <c r="A4419" s="664" t="s">
        <v>28</v>
      </c>
      <c r="B4419" s="1975" t="s">
        <v>101</v>
      </c>
      <c r="C4419" s="1976"/>
      <c r="D4419" s="1977"/>
      <c r="E4419" s="665">
        <f>+L4185-2.68</f>
        <v>63.991180000000021</v>
      </c>
      <c r="F4419" s="1975">
        <v>12</v>
      </c>
      <c r="G4419" s="1977"/>
      <c r="H4419" s="1975" t="s">
        <v>49</v>
      </c>
      <c r="I4419" s="1976"/>
      <c r="J4419" s="1976"/>
      <c r="K4419" s="1977"/>
      <c r="L4419" s="1976" t="s">
        <v>436</v>
      </c>
      <c r="M4419" s="1976"/>
      <c r="N4419" s="1976"/>
      <c r="O4419" s="1976"/>
      <c r="P4419" s="2010"/>
      <c r="Q4419" s="1064"/>
      <c r="R4419" s="1064"/>
    </row>
    <row r="4420" spans="1:18" s="497" customFormat="1" ht="18">
      <c r="A4420" s="664" t="s">
        <v>29</v>
      </c>
      <c r="B4420" s="1975" t="s">
        <v>100</v>
      </c>
      <c r="C4420" s="1976"/>
      <c r="D4420" s="1977"/>
      <c r="E4420" s="665">
        <f>+L4201</f>
        <v>6.28932</v>
      </c>
      <c r="F4420" s="1975">
        <v>12</v>
      </c>
      <c r="G4420" s="1977"/>
      <c r="H4420" s="1975" t="s">
        <v>49</v>
      </c>
      <c r="I4420" s="1976"/>
      <c r="J4420" s="1976"/>
      <c r="K4420" s="1977"/>
      <c r="L4420" s="1976" t="s">
        <v>436</v>
      </c>
      <c r="M4420" s="1976"/>
      <c r="N4420" s="1976"/>
      <c r="O4420" s="1976"/>
      <c r="P4420" s="2010"/>
      <c r="Q4420" s="1064"/>
      <c r="R4420" s="1064"/>
    </row>
    <row r="4421" spans="1:18" s="497" customFormat="1" ht="18">
      <c r="A4421" s="664" t="s">
        <v>30</v>
      </c>
      <c r="B4421" s="1975" t="s">
        <v>102</v>
      </c>
      <c r="C4421" s="1976"/>
      <c r="D4421" s="1977"/>
      <c r="E4421" s="665">
        <f>+L4226</f>
        <v>36.42320999999999</v>
      </c>
      <c r="F4421" s="1975">
        <v>12</v>
      </c>
      <c r="G4421" s="1977"/>
      <c r="H4421" s="1975" t="s">
        <v>49</v>
      </c>
      <c r="I4421" s="1976"/>
      <c r="J4421" s="1976"/>
      <c r="K4421" s="1977"/>
      <c r="L4421" s="1976" t="s">
        <v>436</v>
      </c>
      <c r="M4421" s="1976"/>
      <c r="N4421" s="1976"/>
      <c r="O4421" s="1976"/>
      <c r="P4421" s="2010"/>
      <c r="Q4421" s="1064"/>
      <c r="R4421" s="1064"/>
    </row>
    <row r="4422" spans="1:18" s="497" customFormat="1" ht="18">
      <c r="A4422" s="664" t="s">
        <v>46</v>
      </c>
      <c r="B4422" s="1975" t="s">
        <v>103</v>
      </c>
      <c r="C4422" s="1976"/>
      <c r="D4422" s="1977"/>
      <c r="E4422" s="665">
        <v>3</v>
      </c>
      <c r="F4422" s="1975">
        <v>12</v>
      </c>
      <c r="G4422" s="1977"/>
      <c r="H4422" s="1975" t="s">
        <v>49</v>
      </c>
      <c r="I4422" s="1976"/>
      <c r="J4422" s="1976"/>
      <c r="K4422" s="1977"/>
      <c r="L4422" s="1976" t="s">
        <v>436</v>
      </c>
      <c r="M4422" s="1976"/>
      <c r="N4422" s="1976"/>
      <c r="O4422" s="1976"/>
      <c r="P4422" s="2010"/>
      <c r="Q4422" s="1064"/>
      <c r="R4422" s="1064"/>
    </row>
    <row r="4423" spans="1:18" s="497" customFormat="1" ht="18">
      <c r="A4423" s="664" t="s">
        <v>58</v>
      </c>
      <c r="B4423" s="1975" t="s">
        <v>104</v>
      </c>
      <c r="C4423" s="1976"/>
      <c r="D4423" s="1977"/>
      <c r="E4423" s="665">
        <f>+L4262-1.22</f>
        <v>107.69874000000002</v>
      </c>
      <c r="F4423" s="2016">
        <v>13</v>
      </c>
      <c r="G4423" s="2017"/>
      <c r="H4423" s="1975" t="s">
        <v>49</v>
      </c>
      <c r="I4423" s="1976"/>
      <c r="J4423" s="1976"/>
      <c r="K4423" s="1977"/>
      <c r="L4423" s="1976" t="s">
        <v>436</v>
      </c>
      <c r="M4423" s="1976"/>
      <c r="N4423" s="1976"/>
      <c r="O4423" s="1976"/>
      <c r="P4423" s="2010"/>
      <c r="Q4423" s="1064"/>
      <c r="R4423" s="1064"/>
    </row>
    <row r="4424" spans="1:18" s="497" customFormat="1" ht="18">
      <c r="A4424" s="664" t="s">
        <v>163</v>
      </c>
      <c r="B4424" s="1975" t="s">
        <v>502</v>
      </c>
      <c r="C4424" s="1976"/>
      <c r="D4424" s="1977"/>
      <c r="E4424" s="665">
        <v>3</v>
      </c>
      <c r="F4424" s="2016">
        <v>13</v>
      </c>
      <c r="G4424" s="2017"/>
      <c r="H4424" s="1975" t="s">
        <v>49</v>
      </c>
      <c r="I4424" s="1976"/>
      <c r="J4424" s="1976"/>
      <c r="K4424" s="1977"/>
      <c r="L4424" s="1976" t="s">
        <v>436</v>
      </c>
      <c r="M4424" s="1976"/>
      <c r="N4424" s="1976"/>
      <c r="O4424" s="1976"/>
      <c r="P4424" s="2010"/>
      <c r="Q4424" s="1064"/>
      <c r="R4424" s="1064"/>
    </row>
    <row r="4425" spans="1:18" ht="18">
      <c r="A4425" s="664"/>
      <c r="B4425" s="1975"/>
      <c r="C4425" s="1976"/>
      <c r="D4425" s="1977"/>
      <c r="E4425" s="665"/>
      <c r="F4425" s="1975"/>
      <c r="G4425" s="1977"/>
      <c r="H4425" s="1975"/>
      <c r="I4425" s="1976"/>
      <c r="J4425" s="1976"/>
      <c r="K4425" s="1977"/>
      <c r="L4425" s="1976"/>
      <c r="M4425" s="1976"/>
      <c r="N4425" s="1976"/>
      <c r="O4425" s="1976"/>
      <c r="P4425" s="2010"/>
      <c r="Q4425" s="1064"/>
      <c r="R4425" s="1064"/>
    </row>
    <row r="4426" spans="1:18" s="497" customFormat="1" ht="18">
      <c r="A4426" s="670" t="s">
        <v>302</v>
      </c>
      <c r="B4426" s="1976" t="s">
        <v>499</v>
      </c>
      <c r="C4426" s="1976"/>
      <c r="D4426" s="1976"/>
      <c r="E4426" s="671">
        <f>+L4286</f>
        <v>14.345738000000003</v>
      </c>
      <c r="F4426" s="2016">
        <v>13</v>
      </c>
      <c r="G4426" s="2017"/>
      <c r="H4426" s="1975" t="s">
        <v>155</v>
      </c>
      <c r="I4426" s="1976"/>
      <c r="J4426" s="1976"/>
      <c r="K4426" s="1977"/>
      <c r="L4426" s="1976" t="s">
        <v>437</v>
      </c>
      <c r="M4426" s="1976"/>
      <c r="N4426" s="1976"/>
      <c r="O4426" s="1976"/>
      <c r="P4426" s="2010"/>
      <c r="Q4426" s="1064"/>
      <c r="R4426" s="1064"/>
    </row>
    <row r="4427" spans="1:18" s="497" customFormat="1" ht="18">
      <c r="A4427" s="670" t="s">
        <v>380</v>
      </c>
      <c r="B4427" s="1976" t="s">
        <v>498</v>
      </c>
      <c r="C4427" s="1976"/>
      <c r="D4427" s="1976"/>
      <c r="E4427" s="671">
        <f>+L4308-0.576</f>
        <v>7.7547800000000011</v>
      </c>
      <c r="F4427" s="1975">
        <v>12</v>
      </c>
      <c r="G4427" s="1977"/>
      <c r="H4427" s="1975" t="s">
        <v>155</v>
      </c>
      <c r="I4427" s="1976"/>
      <c r="J4427" s="1976"/>
      <c r="K4427" s="1977"/>
      <c r="L4427" s="1976" t="s">
        <v>437</v>
      </c>
      <c r="M4427" s="1976"/>
      <c r="N4427" s="1976"/>
      <c r="O4427" s="1976"/>
      <c r="P4427" s="2010"/>
      <c r="Q4427" s="1064"/>
      <c r="R4427" s="1064"/>
    </row>
    <row r="4428" spans="1:18" ht="18">
      <c r="A4428" s="670" t="s">
        <v>434</v>
      </c>
      <c r="B4428" s="1976" t="s">
        <v>497</v>
      </c>
      <c r="C4428" s="1976"/>
      <c r="D4428" s="1976"/>
      <c r="E4428" s="671">
        <v>3</v>
      </c>
      <c r="F4428" s="1975">
        <v>12</v>
      </c>
      <c r="G4428" s="1977"/>
      <c r="H4428" s="1975" t="s">
        <v>155</v>
      </c>
      <c r="I4428" s="1976"/>
      <c r="J4428" s="1976"/>
      <c r="K4428" s="1977"/>
      <c r="L4428" s="1976" t="s">
        <v>437</v>
      </c>
      <c r="M4428" s="1976"/>
      <c r="N4428" s="1976"/>
      <c r="O4428" s="1976"/>
      <c r="P4428" s="2010"/>
      <c r="Q4428" s="1064"/>
      <c r="R4428" s="1064"/>
    </row>
    <row r="4429" spans="1:18" ht="18">
      <c r="A4429" s="670"/>
      <c r="B4429" s="1976"/>
      <c r="C4429" s="1976"/>
      <c r="D4429" s="1976"/>
      <c r="E4429" s="671"/>
      <c r="F4429" s="1975"/>
      <c r="G4429" s="1977"/>
      <c r="H4429" s="1975"/>
      <c r="I4429" s="1976"/>
      <c r="J4429" s="1976"/>
      <c r="K4429" s="1977"/>
      <c r="L4429" s="1976"/>
      <c r="M4429" s="1976"/>
      <c r="N4429" s="1976"/>
      <c r="O4429" s="1976"/>
      <c r="P4429" s="2010"/>
      <c r="Q4429" s="1064"/>
      <c r="R4429" s="1064"/>
    </row>
    <row r="4430" spans="1:18" s="497" customFormat="1" ht="18">
      <c r="A4430" s="664" t="s">
        <v>474</v>
      </c>
      <c r="B4430" s="1975" t="s">
        <v>100</v>
      </c>
      <c r="C4430" s="1976"/>
      <c r="D4430" s="1977"/>
      <c r="E4430" s="665">
        <f>+L4335+2</f>
        <v>7.8486800000000017</v>
      </c>
      <c r="F4430" s="1975">
        <v>12</v>
      </c>
      <c r="G4430" s="1977"/>
      <c r="H4430" s="1975" t="s">
        <v>447</v>
      </c>
      <c r="I4430" s="1976"/>
      <c r="J4430" s="1976"/>
      <c r="K4430" s="1977"/>
      <c r="L4430" s="1976" t="s">
        <v>436</v>
      </c>
      <c r="M4430" s="1976"/>
      <c r="N4430" s="1976"/>
      <c r="O4430" s="1976"/>
      <c r="P4430" s="2010"/>
      <c r="Q4430" s="1064"/>
      <c r="R4430" s="1064"/>
    </row>
    <row r="4431" spans="1:18" s="497" customFormat="1" ht="18">
      <c r="A4431" s="664" t="s">
        <v>475</v>
      </c>
      <c r="B4431" s="1975" t="s">
        <v>101</v>
      </c>
      <c r="C4431" s="1976"/>
      <c r="D4431" s="1977"/>
      <c r="E4431" s="665">
        <f>+L4351+2</f>
        <v>27.509240000000005</v>
      </c>
      <c r="F4431" s="1975">
        <v>12</v>
      </c>
      <c r="G4431" s="1977"/>
      <c r="H4431" s="1975" t="s">
        <v>447</v>
      </c>
      <c r="I4431" s="1976"/>
      <c r="J4431" s="1976"/>
      <c r="K4431" s="1977"/>
      <c r="L4431" s="1976" t="s">
        <v>436</v>
      </c>
      <c r="M4431" s="1976"/>
      <c r="N4431" s="1976"/>
      <c r="O4431" s="1976"/>
      <c r="P4431" s="2010"/>
      <c r="Q4431" s="1064"/>
      <c r="R4431" s="1064"/>
    </row>
    <row r="4432" spans="1:18" s="497" customFormat="1" ht="18">
      <c r="A4432" s="664" t="s">
        <v>476</v>
      </c>
      <c r="B4432" s="1975" t="s">
        <v>102</v>
      </c>
      <c r="C4432" s="1976"/>
      <c r="D4432" s="1977"/>
      <c r="E4432" s="665">
        <f>+L4376+2</f>
        <v>21.660480000000003</v>
      </c>
      <c r="F4432" s="1975">
        <v>12</v>
      </c>
      <c r="G4432" s="1977"/>
      <c r="H4432" s="1975" t="s">
        <v>447</v>
      </c>
      <c r="I4432" s="1976"/>
      <c r="J4432" s="1976"/>
      <c r="K4432" s="1977"/>
      <c r="L4432" s="1976" t="s">
        <v>436</v>
      </c>
      <c r="M4432" s="1976"/>
      <c r="N4432" s="1976"/>
      <c r="O4432" s="1976"/>
      <c r="P4432" s="2010"/>
      <c r="Q4432" s="1064"/>
      <c r="R4432" s="1064"/>
    </row>
    <row r="4433" spans="1:18" ht="18">
      <c r="A4433" s="664" t="s">
        <v>477</v>
      </c>
      <c r="B4433" s="1975" t="s">
        <v>104</v>
      </c>
      <c r="C4433" s="1976"/>
      <c r="D4433" s="1977"/>
      <c r="E4433" s="665">
        <v>5</v>
      </c>
      <c r="F4433" s="2016">
        <v>13</v>
      </c>
      <c r="G4433" s="2017"/>
      <c r="H4433" s="1975" t="s">
        <v>447</v>
      </c>
      <c r="I4433" s="1976"/>
      <c r="J4433" s="1976"/>
      <c r="K4433" s="1977"/>
      <c r="L4433" s="1976" t="s">
        <v>436</v>
      </c>
      <c r="M4433" s="1976"/>
      <c r="N4433" s="1976"/>
      <c r="O4433" s="1976"/>
      <c r="P4433" s="2010"/>
      <c r="Q4433" s="1064"/>
      <c r="R4433" s="1064"/>
    </row>
    <row r="4434" spans="1:18" ht="18">
      <c r="A4434" s="664"/>
      <c r="B4434" s="1975"/>
      <c r="C4434" s="1976"/>
      <c r="D4434" s="1977"/>
      <c r="E4434" s="665"/>
      <c r="F4434" s="1975"/>
      <c r="G4434" s="1977"/>
      <c r="H4434" s="1975"/>
      <c r="I4434" s="1976"/>
      <c r="J4434" s="1976"/>
      <c r="K4434" s="1977"/>
      <c r="L4434" s="1976"/>
      <c r="M4434" s="1976"/>
      <c r="N4434" s="1976"/>
      <c r="O4434" s="1976"/>
      <c r="P4434" s="2010"/>
      <c r="Q4434" s="1064"/>
      <c r="R4434" s="1064"/>
    </row>
    <row r="4435" spans="1:18" s="497" customFormat="1" ht="18">
      <c r="A4435" s="670" t="s">
        <v>501</v>
      </c>
      <c r="B4435" s="1976" t="s">
        <v>499</v>
      </c>
      <c r="C4435" s="1976"/>
      <c r="D4435" s="1976"/>
      <c r="E4435" s="671">
        <v>7</v>
      </c>
      <c r="F4435" s="1975">
        <v>10</v>
      </c>
      <c r="G4435" s="1977"/>
      <c r="H4435" s="1975" t="s">
        <v>450</v>
      </c>
      <c r="I4435" s="1976"/>
      <c r="J4435" s="1976"/>
      <c r="K4435" s="1977"/>
      <c r="L4435" s="1976" t="s">
        <v>437</v>
      </c>
      <c r="M4435" s="1976"/>
      <c r="N4435" s="1976"/>
      <c r="O4435" s="1976"/>
      <c r="P4435" s="2010"/>
      <c r="Q4435" s="1064"/>
      <c r="R4435" s="1064"/>
    </row>
    <row r="4436" spans="1:18" ht="18">
      <c r="A4436" s="670" t="s">
        <v>504</v>
      </c>
      <c r="B4436" s="1976" t="s">
        <v>500</v>
      </c>
      <c r="C4436" s="1976"/>
      <c r="D4436" s="1976"/>
      <c r="E4436" s="671">
        <v>5</v>
      </c>
      <c r="F4436" s="1975">
        <v>10</v>
      </c>
      <c r="G4436" s="1977"/>
      <c r="H4436" s="1975" t="s">
        <v>450</v>
      </c>
      <c r="I4436" s="1976"/>
      <c r="J4436" s="1976"/>
      <c r="K4436" s="1977"/>
      <c r="L4436" s="1976" t="s">
        <v>437</v>
      </c>
      <c r="M4436" s="1976"/>
      <c r="N4436" s="1976"/>
      <c r="O4436" s="1976"/>
      <c r="P4436" s="2010"/>
      <c r="Q4436" s="1064"/>
      <c r="R4436" s="1064"/>
    </row>
    <row r="4437" spans="1:18" ht="18">
      <c r="A4437" s="670"/>
      <c r="B4437" s="1976"/>
      <c r="C4437" s="1976"/>
      <c r="D4437" s="1976"/>
      <c r="E4437" s="671"/>
      <c r="F4437" s="1975"/>
      <c r="G4437" s="1977"/>
      <c r="H4437" s="1975"/>
      <c r="I4437" s="1976"/>
      <c r="J4437" s="1976"/>
      <c r="K4437" s="1977"/>
      <c r="L4437" s="1976"/>
      <c r="M4437" s="1976"/>
      <c r="N4437" s="1976"/>
      <c r="O4437" s="1976"/>
      <c r="P4437" s="2010"/>
      <c r="Q4437" s="1064"/>
      <c r="R4437" s="1064"/>
    </row>
    <row r="4438" spans="1:18" ht="18">
      <c r="A4438" s="670"/>
      <c r="B4438" s="819"/>
      <c r="C4438" s="819"/>
      <c r="D4438" s="819"/>
      <c r="E4438" s="671"/>
      <c r="F4438" s="818"/>
      <c r="G4438" s="820"/>
      <c r="H4438" s="818"/>
      <c r="I4438" s="1842"/>
      <c r="J4438" s="819"/>
      <c r="K4438" s="820"/>
      <c r="L4438" s="819"/>
      <c r="M4438" s="819"/>
      <c r="N4438" s="819"/>
      <c r="O4438" s="819"/>
      <c r="P4438" s="2010"/>
      <c r="Q4438" s="1064"/>
      <c r="R4438" s="1064"/>
    </row>
    <row r="4439" spans="1:18" ht="18.600000000000001" thickBot="1">
      <c r="A4439" s="664"/>
      <c r="B4439" s="818"/>
      <c r="C4439" s="819"/>
      <c r="D4439" s="819"/>
      <c r="E4439" s="665"/>
      <c r="F4439" s="819"/>
      <c r="G4439" s="820"/>
      <c r="H4439" s="818"/>
      <c r="I4439" s="1842"/>
      <c r="J4439" s="819"/>
      <c r="K4439" s="669"/>
      <c r="L4439" s="672"/>
      <c r="M4439" s="673"/>
      <c r="N4439" s="673"/>
      <c r="O4439" s="673"/>
      <c r="P4439" s="2010"/>
      <c r="Q4439" s="1064"/>
      <c r="R4439" s="1064"/>
    </row>
    <row r="4440" spans="1:18" ht="18">
      <c r="A4440" s="674"/>
      <c r="B4440" s="675"/>
      <c r="C4440" s="676"/>
      <c r="D4440" s="676"/>
      <c r="E4440" s="1980">
        <f>SUM(E4418:E4439)</f>
        <v>319.52136800000005</v>
      </c>
      <c r="F4440" s="677"/>
      <c r="G4440" s="678"/>
      <c r="H4440" s="679"/>
      <c r="I4440" s="1848"/>
      <c r="J4440" s="676"/>
      <c r="K4440" s="680"/>
      <c r="L4440" s="679"/>
      <c r="M4440" s="676"/>
      <c r="N4440" s="677"/>
      <c r="O4440" s="676"/>
      <c r="P4440" s="2010"/>
      <c r="Q4440" s="1064"/>
      <c r="R4440" s="1064"/>
    </row>
    <row r="4441" spans="1:18" ht="18.600000000000001" thickBot="1">
      <c r="A4441" s="681"/>
      <c r="B4441" s="682"/>
      <c r="C4441" s="683"/>
      <c r="D4441" s="683"/>
      <c r="E4441" s="1981"/>
      <c r="F4441" s="684"/>
      <c r="G4441" s="685"/>
      <c r="H4441" s="686"/>
      <c r="I4441" s="1850"/>
      <c r="J4441" s="683"/>
      <c r="K4441" s="687"/>
      <c r="L4441" s="686"/>
      <c r="M4441" s="683"/>
      <c r="N4441" s="684"/>
      <c r="O4441" s="683"/>
      <c r="P4441" s="2010"/>
      <c r="Q4441" s="1064"/>
      <c r="R4441" s="1064"/>
    </row>
    <row r="4442" spans="1:18" ht="18">
      <c r="A4442" s="688" t="s">
        <v>31</v>
      </c>
      <c r="B4442" s="676"/>
      <c r="C4442" s="676"/>
      <c r="D4442" s="676"/>
      <c r="E4442" s="676"/>
      <c r="F4442" s="677"/>
      <c r="G4442" s="676"/>
      <c r="H4442" s="677"/>
      <c r="I4442" s="1848"/>
      <c r="J4442" s="676"/>
      <c r="K4442" s="689"/>
      <c r="L4442" s="677"/>
      <c r="M4442" s="676"/>
      <c r="N4442" s="677"/>
      <c r="O4442" s="676"/>
      <c r="P4442" s="2010"/>
      <c r="Q4442" s="1064"/>
      <c r="R4442" s="1064"/>
    </row>
    <row r="4443" spans="1:18" ht="18">
      <c r="A4443" s="690"/>
      <c r="B4443" s="691"/>
      <c r="C4443" s="691"/>
      <c r="D4443" s="691"/>
      <c r="E4443" s="691"/>
      <c r="F4443" s="817"/>
      <c r="G4443" s="691"/>
      <c r="H4443" s="817"/>
      <c r="I4443" s="1849"/>
      <c r="J4443" s="691"/>
      <c r="K4443" s="693"/>
      <c r="L4443" s="817"/>
      <c r="M4443" s="691"/>
      <c r="N4443" s="817"/>
      <c r="O4443" s="691"/>
      <c r="P4443" s="2010"/>
      <c r="Q4443" s="1064"/>
      <c r="R4443" s="1064"/>
    </row>
    <row r="4444" spans="1:18" ht="18.600000000000001" thickBot="1">
      <c r="A4444" s="1982" t="s">
        <v>32</v>
      </c>
      <c r="B4444" s="1983"/>
      <c r="C4444" s="1984" t="s">
        <v>33</v>
      </c>
      <c r="D4444" s="1985"/>
      <c r="E4444" s="694" t="s">
        <v>34</v>
      </c>
      <c r="F4444" s="694" t="s">
        <v>35</v>
      </c>
      <c r="G4444" s="1986" t="s">
        <v>36</v>
      </c>
      <c r="H4444" s="1987"/>
      <c r="I4444" s="1987"/>
      <c r="J4444" s="1987"/>
      <c r="K4444" s="1987"/>
      <c r="L4444" s="1987"/>
      <c r="M4444" s="1987"/>
      <c r="N4444" s="1987"/>
      <c r="O4444" s="1987"/>
      <c r="P4444" s="2010"/>
      <c r="Q4444" s="1064"/>
      <c r="R4444" s="1064"/>
    </row>
    <row r="4445" spans="1:18" ht="18">
      <c r="A4445" s="1988"/>
      <c r="B4445" s="1989"/>
      <c r="C4445" s="1990"/>
      <c r="D4445" s="1989"/>
      <c r="E4445" s="821"/>
      <c r="F4445" s="815"/>
      <c r="G4445" s="1991"/>
      <c r="H4445" s="1992"/>
      <c r="I4445" s="1992"/>
      <c r="J4445" s="1992"/>
      <c r="K4445" s="1992"/>
      <c r="L4445" s="1992"/>
      <c r="M4445" s="1992"/>
      <c r="N4445" s="1992"/>
      <c r="O4445" s="1992"/>
      <c r="P4445" s="2010"/>
      <c r="Q4445" s="1064"/>
      <c r="R4445" s="1064"/>
    </row>
    <row r="4446" spans="1:18" ht="18">
      <c r="A4446" s="1997" t="s">
        <v>37</v>
      </c>
      <c r="B4446" s="1998"/>
      <c r="C4446" s="1990"/>
      <c r="D4446" s="1989"/>
      <c r="E4446" s="821"/>
      <c r="F4446" s="815"/>
      <c r="G4446" s="1993"/>
      <c r="H4446" s="1994"/>
      <c r="I4446" s="1994"/>
      <c r="J4446" s="1994"/>
      <c r="K4446" s="1994"/>
      <c r="L4446" s="1994"/>
      <c r="M4446" s="1994"/>
      <c r="N4446" s="1994"/>
      <c r="O4446" s="1994"/>
      <c r="P4446" s="2010"/>
      <c r="Q4446" s="1064"/>
      <c r="R4446" s="1064"/>
    </row>
    <row r="4447" spans="1:18" ht="18">
      <c r="A4447" s="1997" t="s">
        <v>38</v>
      </c>
      <c r="B4447" s="1998"/>
      <c r="C4447" s="1990"/>
      <c r="D4447" s="1989"/>
      <c r="E4447" s="821"/>
      <c r="F4447" s="815"/>
      <c r="G4447" s="1993"/>
      <c r="H4447" s="1994"/>
      <c r="I4447" s="1994"/>
      <c r="J4447" s="1994"/>
      <c r="K4447" s="1994"/>
      <c r="L4447" s="1994"/>
      <c r="M4447" s="1994"/>
      <c r="N4447" s="1994"/>
      <c r="O4447" s="1994"/>
      <c r="P4447" s="2010"/>
      <c r="Q4447" s="1064"/>
      <c r="R4447" s="1064"/>
    </row>
    <row r="4448" spans="1:18" ht="18">
      <c r="A4448" s="1997" t="s">
        <v>39</v>
      </c>
      <c r="B4448" s="1998"/>
      <c r="C4448" s="1990"/>
      <c r="D4448" s="1989"/>
      <c r="E4448" s="821"/>
      <c r="F4448" s="815"/>
      <c r="G4448" s="1993"/>
      <c r="H4448" s="1994"/>
      <c r="I4448" s="1994"/>
      <c r="J4448" s="1994"/>
      <c r="K4448" s="1994"/>
      <c r="L4448" s="1994"/>
      <c r="M4448" s="1994"/>
      <c r="N4448" s="1994"/>
      <c r="O4448" s="1994"/>
      <c r="P4448" s="2010"/>
      <c r="Q4448" s="1064"/>
      <c r="R4448" s="1064"/>
    </row>
    <row r="4449" spans="1:18" ht="18">
      <c r="A4449" s="1997" t="s">
        <v>40</v>
      </c>
      <c r="B4449" s="1998"/>
      <c r="C4449" s="1990"/>
      <c r="D4449" s="1989"/>
      <c r="E4449" s="821"/>
      <c r="F4449" s="815"/>
      <c r="G4449" s="1993"/>
      <c r="H4449" s="1994"/>
      <c r="I4449" s="1994"/>
      <c r="J4449" s="1994"/>
      <c r="K4449" s="1994"/>
      <c r="L4449" s="1994"/>
      <c r="M4449" s="1994"/>
      <c r="N4449" s="1994"/>
      <c r="O4449" s="1994"/>
      <c r="P4449" s="2010"/>
      <c r="Q4449" s="1064"/>
      <c r="R4449" s="1064"/>
    </row>
    <row r="4450" spans="1:18" ht="18.600000000000001" thickBot="1">
      <c r="A4450" s="1999" t="s">
        <v>41</v>
      </c>
      <c r="B4450" s="2000"/>
      <c r="C4450" s="2001"/>
      <c r="D4450" s="2002"/>
      <c r="E4450" s="696"/>
      <c r="F4450" s="816"/>
      <c r="G4450" s="1995"/>
      <c r="H4450" s="1996"/>
      <c r="I4450" s="1996"/>
      <c r="J4450" s="1996"/>
      <c r="K4450" s="1996"/>
      <c r="L4450" s="1996"/>
      <c r="M4450" s="1996"/>
      <c r="N4450" s="1996"/>
      <c r="O4450" s="1996"/>
      <c r="P4450" s="2010"/>
      <c r="Q4450" s="1064"/>
      <c r="R4450" s="1064"/>
    </row>
    <row r="4451" spans="1:18" ht="18">
      <c r="A4451" s="690"/>
      <c r="B4451" s="691"/>
      <c r="C4451" s="691"/>
      <c r="D4451" s="691"/>
      <c r="E4451" s="691"/>
      <c r="F4451" s="817"/>
      <c r="G4451" s="691"/>
      <c r="H4451" s="698"/>
      <c r="I4451" s="699"/>
      <c r="J4451" s="700"/>
      <c r="K4451" s="701"/>
      <c r="L4451" s="702"/>
      <c r="M4451" s="691"/>
      <c r="N4451" s="817"/>
      <c r="O4451" s="691"/>
      <c r="P4451" s="2010"/>
      <c r="Q4451" s="1064"/>
      <c r="R4451" s="1064"/>
    </row>
    <row r="4452" spans="1:18" ht="18">
      <c r="A4452" s="703" t="s">
        <v>42</v>
      </c>
      <c r="B4452" s="704"/>
      <c r="C4452" s="691"/>
      <c r="D4452" s="691"/>
      <c r="E4452" s="691"/>
      <c r="F4452" s="817"/>
      <c r="G4452" s="704"/>
      <c r="H4452" s="698"/>
      <c r="I4452" s="699"/>
      <c r="J4452" s="700"/>
      <c r="K4452" s="693"/>
      <c r="L4452" s="705"/>
      <c r="M4452" s="691"/>
      <c r="N4452" s="1979" t="s">
        <v>43</v>
      </c>
      <c r="O4452" s="1979"/>
      <c r="P4452" s="2010"/>
      <c r="Q4452" s="1064"/>
      <c r="R4452" s="1064"/>
    </row>
    <row r="4453" spans="1:18" ht="18">
      <c r="A4453" s="703"/>
      <c r="B4453" s="704"/>
      <c r="C4453" s="691"/>
      <c r="D4453" s="691"/>
      <c r="E4453" s="691"/>
      <c r="F4453" s="817"/>
      <c r="G4453" s="691"/>
      <c r="H4453" s="817"/>
      <c r="I4453" s="1849"/>
      <c r="J4453" s="691"/>
      <c r="K4453" s="693"/>
      <c r="L4453" s="817"/>
      <c r="M4453" s="691"/>
      <c r="N4453" s="817"/>
      <c r="O4453" s="704"/>
      <c r="P4453" s="2010"/>
      <c r="Q4453" s="1064"/>
      <c r="R4453" s="1064"/>
    </row>
    <row r="4454" spans="1:18" ht="18">
      <c r="A4454" s="703" t="s">
        <v>44</v>
      </c>
      <c r="B4454" s="704"/>
      <c r="C4454" s="691"/>
      <c r="D4454" s="691"/>
      <c r="E4454" s="691"/>
      <c r="F4454" s="817"/>
      <c r="G4454" s="691"/>
      <c r="H4454" s="817"/>
      <c r="I4454" s="1849"/>
      <c r="J4454" s="691"/>
      <c r="K4454" s="693"/>
      <c r="L4454" s="817"/>
      <c r="M4454" s="691"/>
      <c r="N4454" s="1979" t="s">
        <v>45</v>
      </c>
      <c r="O4454" s="1979"/>
      <c r="P4454" s="2010"/>
      <c r="Q4454" s="1064"/>
      <c r="R4454" s="1064"/>
    </row>
    <row r="4455" spans="1:18" ht="18.600000000000001" thickBot="1">
      <c r="A4455" s="682"/>
      <c r="B4455" s="683"/>
      <c r="C4455" s="683"/>
      <c r="D4455" s="683"/>
      <c r="E4455" s="683"/>
      <c r="F4455" s="684"/>
      <c r="G4455" s="683"/>
      <c r="H4455" s="684"/>
      <c r="I4455" s="1850"/>
      <c r="J4455" s="683"/>
      <c r="K4455" s="706"/>
      <c r="L4455" s="684"/>
      <c r="M4455" s="683"/>
      <c r="N4455" s="684"/>
      <c r="O4455" s="683"/>
      <c r="P4455" s="2010"/>
      <c r="Q4455" s="1064"/>
      <c r="R4455" s="1064"/>
    </row>
    <row r="4459" spans="1:18" ht="17.399999999999999">
      <c r="A4459" s="711" t="s">
        <v>48</v>
      </c>
      <c r="B4459" s="711"/>
      <c r="C4459" s="712"/>
      <c r="D4459" s="712"/>
      <c r="E4459" s="712"/>
      <c r="F4459" s="713"/>
      <c r="G4459" s="712"/>
      <c r="H4459" s="712"/>
      <c r="I4459" s="714"/>
      <c r="J4459" s="715"/>
      <c r="K4459" s="716"/>
      <c r="L4459" s="1978" t="s">
        <v>0</v>
      </c>
      <c r="M4459" s="1978"/>
      <c r="N4459" s="1978"/>
      <c r="O4459" s="1978"/>
      <c r="P4459" s="717"/>
      <c r="Q4459" s="717"/>
      <c r="R4459" s="717"/>
    </row>
    <row r="4460" spans="1:18" ht="17.399999999999999">
      <c r="A4460" s="718" t="s">
        <v>1</v>
      </c>
      <c r="B4460" s="718"/>
      <c r="C4460" s="718"/>
      <c r="D4460" s="719" t="s">
        <v>2</v>
      </c>
      <c r="E4460" s="719"/>
      <c r="F4460" s="720"/>
      <c r="G4460" s="720"/>
      <c r="H4460" s="720"/>
      <c r="I4460" s="721"/>
      <c r="J4460" s="830"/>
      <c r="K4460" s="723" t="s">
        <v>3</v>
      </c>
      <c r="L4460" s="830"/>
      <c r="M4460" s="718"/>
      <c r="N4460" s="720"/>
      <c r="O4460" s="718"/>
      <c r="P4460" s="724"/>
      <c r="Q4460" s="1059"/>
      <c r="R4460" s="1059"/>
    </row>
    <row r="4461" spans="1:18" ht="52.2">
      <c r="A4461" s="640" t="s">
        <v>4</v>
      </c>
      <c r="B4461" s="640" t="s">
        <v>5</v>
      </c>
      <c r="C4461" s="640" t="s">
        <v>6</v>
      </c>
      <c r="D4461" s="640" t="s">
        <v>7</v>
      </c>
      <c r="E4461" s="640" t="s">
        <v>8</v>
      </c>
      <c r="F4461" s="641" t="s">
        <v>9</v>
      </c>
      <c r="G4461" s="642" t="s">
        <v>10</v>
      </c>
      <c r="H4461" s="642" t="s">
        <v>11</v>
      </c>
      <c r="I4461" s="643" t="s">
        <v>12</v>
      </c>
      <c r="J4461" s="644" t="s">
        <v>13</v>
      </c>
      <c r="K4461" s="645" t="s">
        <v>14</v>
      </c>
      <c r="L4461" s="646" t="s">
        <v>15</v>
      </c>
      <c r="M4461" s="641" t="s">
        <v>16</v>
      </c>
      <c r="N4461" s="641" t="s">
        <v>17</v>
      </c>
      <c r="O4461" s="642" t="s">
        <v>18</v>
      </c>
      <c r="P4461" s="641" t="s">
        <v>192</v>
      </c>
      <c r="Q4461" s="1063"/>
      <c r="R4461" s="1063"/>
    </row>
    <row r="4462" spans="1:18" ht="17.399999999999999">
      <c r="A4462" s="549"/>
      <c r="B4462" s="549"/>
      <c r="C4462" s="549"/>
      <c r="D4462" s="549"/>
      <c r="E4462" s="549"/>
      <c r="F4462" s="549"/>
      <c r="G4462" s="549"/>
      <c r="H4462" s="549"/>
      <c r="I4462" s="560"/>
      <c r="J4462" s="549"/>
      <c r="K4462" s="561"/>
      <c r="L4462" s="560"/>
      <c r="M4462" s="549"/>
      <c r="N4462" s="549"/>
      <c r="O4462" s="549"/>
      <c r="P4462" s="549"/>
      <c r="Q4462" s="1059"/>
      <c r="R4462" s="1059"/>
    </row>
    <row r="4463" spans="1:18" ht="17.399999999999999">
      <c r="A4463" s="547" t="s">
        <v>411</v>
      </c>
      <c r="B4463" s="547" t="s">
        <v>486</v>
      </c>
      <c r="C4463" s="547" t="s">
        <v>19</v>
      </c>
      <c r="D4463" s="547" t="s">
        <v>20</v>
      </c>
      <c r="E4463" s="547" t="s">
        <v>359</v>
      </c>
      <c r="F4463" s="548"/>
      <c r="G4463" s="549" t="s">
        <v>21</v>
      </c>
      <c r="H4463" s="549" t="s">
        <v>122</v>
      </c>
      <c r="I4463" s="558">
        <v>14.7</v>
      </c>
      <c r="J4463" s="647">
        <v>10</v>
      </c>
      <c r="K4463" s="648">
        <v>7</v>
      </c>
      <c r="L4463" s="552">
        <f>(I4463*J4463*K4463/1000)</f>
        <v>1.0289999999999999</v>
      </c>
      <c r="M4463" s="549"/>
      <c r="N4463" s="549"/>
      <c r="O4463" s="549"/>
      <c r="P4463" s="549"/>
      <c r="Q4463" s="1059"/>
      <c r="R4463" s="1059"/>
    </row>
    <row r="4464" spans="1:18" ht="17.399999999999999">
      <c r="A4464" s="550"/>
      <c r="B4464" s="549" t="s">
        <v>331</v>
      </c>
      <c r="C4464" s="550"/>
      <c r="D4464" s="550"/>
      <c r="E4464" s="548"/>
      <c r="F4464" s="549"/>
      <c r="G4464" s="549"/>
      <c r="H4464" s="549"/>
      <c r="I4464" s="558"/>
      <c r="J4464" s="647"/>
      <c r="K4464" s="648">
        <f t="shared" ref="K4464:L4464" si="841">SUM(K4463)</f>
        <v>7</v>
      </c>
      <c r="L4464" s="567">
        <f t="shared" si="841"/>
        <v>1.0289999999999999</v>
      </c>
      <c r="M4464" s="549"/>
      <c r="N4464" s="549"/>
      <c r="O4464" s="549"/>
      <c r="P4464" s="549"/>
      <c r="Q4464" s="1059"/>
      <c r="R4464" s="1059"/>
    </row>
    <row r="4465" spans="1:18" ht="17.399999999999999">
      <c r="A4465" s="547" t="s">
        <v>411</v>
      </c>
      <c r="B4465" s="547" t="s">
        <v>486</v>
      </c>
      <c r="C4465" s="547" t="s">
        <v>19</v>
      </c>
      <c r="D4465" s="547" t="s">
        <v>20</v>
      </c>
      <c r="E4465" s="547" t="s">
        <v>359</v>
      </c>
      <c r="F4465" s="548"/>
      <c r="G4465" s="549" t="s">
        <v>21</v>
      </c>
      <c r="H4465" s="549" t="s">
        <v>123</v>
      </c>
      <c r="I4465" s="558">
        <v>16.5</v>
      </c>
      <c r="J4465" s="647">
        <v>9.65</v>
      </c>
      <c r="K4465" s="648">
        <v>3</v>
      </c>
      <c r="L4465" s="552">
        <f>(I4465*J4465*K4465/1000)</f>
        <v>0.47767499999999996</v>
      </c>
      <c r="M4465" s="549"/>
      <c r="N4465" s="549"/>
      <c r="O4465" s="549"/>
      <c r="P4465" s="549"/>
      <c r="Q4465" s="1059"/>
      <c r="R4465" s="1059"/>
    </row>
    <row r="4466" spans="1:18" ht="17.399999999999999">
      <c r="A4466" s="550"/>
      <c r="B4466" s="549" t="s">
        <v>331</v>
      </c>
      <c r="C4466" s="550"/>
      <c r="D4466" s="550"/>
      <c r="E4466" s="548"/>
      <c r="F4466" s="549"/>
      <c r="G4466" s="549"/>
      <c r="H4466" s="549"/>
      <c r="I4466" s="558"/>
      <c r="J4466" s="647"/>
      <c r="K4466" s="648">
        <f t="shared" ref="K4466:L4466" si="842">SUM(K4465)</f>
        <v>3</v>
      </c>
      <c r="L4466" s="567">
        <f t="shared" si="842"/>
        <v>0.47767499999999996</v>
      </c>
      <c r="M4466" s="549"/>
      <c r="N4466" s="549"/>
      <c r="O4466" s="549"/>
      <c r="P4466" s="549"/>
      <c r="Q4466" s="1059"/>
      <c r="R4466" s="1059"/>
    </row>
    <row r="4467" spans="1:18" s="497" customFormat="1" ht="17.399999999999999">
      <c r="A4467" s="550"/>
      <c r="B4467" s="549"/>
      <c r="C4467" s="550"/>
      <c r="D4467" s="550"/>
      <c r="E4467" s="548"/>
      <c r="F4467" s="549"/>
      <c r="G4467" s="549"/>
      <c r="H4467" s="549"/>
      <c r="I4467" s="558"/>
      <c r="J4467" s="647"/>
      <c r="K4467" s="648"/>
      <c r="L4467" s="567"/>
      <c r="M4467" s="549"/>
      <c r="N4467" s="549"/>
      <c r="O4467" s="549"/>
      <c r="P4467" s="549"/>
      <c r="Q4467" s="1059"/>
      <c r="R4467" s="1059"/>
    </row>
    <row r="4468" spans="1:18" s="497" customFormat="1" ht="17.399999999999999">
      <c r="A4468" s="547" t="s">
        <v>411</v>
      </c>
      <c r="B4468" s="547" t="s">
        <v>486</v>
      </c>
      <c r="C4468" s="547" t="s">
        <v>19</v>
      </c>
      <c r="D4468" s="547" t="s">
        <v>20</v>
      </c>
      <c r="E4468" s="547" t="s">
        <v>359</v>
      </c>
      <c r="F4468" s="549"/>
      <c r="G4468" s="549" t="s">
        <v>21</v>
      </c>
      <c r="H4468" s="549" t="s">
        <v>178</v>
      </c>
      <c r="I4468" s="558">
        <v>31.6</v>
      </c>
      <c r="J4468" s="647">
        <v>11.5</v>
      </c>
      <c r="K4468" s="648">
        <v>2</v>
      </c>
      <c r="L4468" s="552">
        <f>(I4468*J4468*K4468/1000)</f>
        <v>0.72680000000000011</v>
      </c>
      <c r="M4468" s="549"/>
      <c r="N4468" s="549"/>
      <c r="O4468" s="549"/>
      <c r="P4468" s="549"/>
      <c r="Q4468" s="1059"/>
      <c r="R4468" s="1059"/>
    </row>
    <row r="4469" spans="1:18" s="497" customFormat="1" ht="17.399999999999999">
      <c r="A4469" s="550"/>
      <c r="B4469" s="549" t="s">
        <v>331</v>
      </c>
      <c r="C4469" s="550"/>
      <c r="D4469" s="550"/>
      <c r="E4469" s="548"/>
      <c r="F4469" s="549"/>
      <c r="G4469" s="549"/>
      <c r="H4469" s="549"/>
      <c r="I4469" s="558"/>
      <c r="J4469" s="647"/>
      <c r="K4469" s="648">
        <f t="shared" ref="K4469:L4469" si="843">SUM(K4468)</f>
        <v>2</v>
      </c>
      <c r="L4469" s="567">
        <f t="shared" si="843"/>
        <v>0.72680000000000011</v>
      </c>
      <c r="M4469" s="549"/>
      <c r="N4469" s="549"/>
      <c r="O4469" s="549"/>
      <c r="P4469" s="549"/>
      <c r="Q4469" s="1059"/>
      <c r="R4469" s="1059"/>
    </row>
    <row r="4470" spans="1:18" s="497" customFormat="1" ht="17.399999999999999">
      <c r="A4470" s="547" t="s">
        <v>411</v>
      </c>
      <c r="B4470" s="547" t="s">
        <v>486</v>
      </c>
      <c r="C4470" s="547" t="s">
        <v>19</v>
      </c>
      <c r="D4470" s="547" t="s">
        <v>20</v>
      </c>
      <c r="E4470" s="547" t="s">
        <v>359</v>
      </c>
      <c r="F4470" s="549"/>
      <c r="G4470" s="549" t="s">
        <v>21</v>
      </c>
      <c r="H4470" s="549" t="s">
        <v>179</v>
      </c>
      <c r="I4470" s="558">
        <v>33.799999999999997</v>
      </c>
      <c r="J4470" s="647">
        <v>9.6</v>
      </c>
      <c r="K4470" s="648">
        <v>4</v>
      </c>
      <c r="L4470" s="552">
        <f>(I4470*J4470*K4470/1000)</f>
        <v>1.2979199999999997</v>
      </c>
      <c r="M4470" s="549"/>
      <c r="N4470" s="549"/>
      <c r="O4470" s="549"/>
      <c r="P4470" s="549"/>
      <c r="Q4470" s="1059"/>
      <c r="R4470" s="1059"/>
    </row>
    <row r="4471" spans="1:18" s="497" customFormat="1" ht="17.399999999999999">
      <c r="A4471" s="550"/>
      <c r="B4471" s="549" t="s">
        <v>331</v>
      </c>
      <c r="C4471" s="550"/>
      <c r="D4471" s="550"/>
      <c r="E4471" s="548"/>
      <c r="F4471" s="549"/>
      <c r="G4471" s="549"/>
      <c r="H4471" s="549"/>
      <c r="I4471" s="558"/>
      <c r="J4471" s="647"/>
      <c r="K4471" s="648">
        <f t="shared" ref="K4471:L4471" si="844">SUM(K4470)</f>
        <v>4</v>
      </c>
      <c r="L4471" s="567">
        <f t="shared" si="844"/>
        <v>1.2979199999999997</v>
      </c>
      <c r="M4471" s="549"/>
      <c r="N4471" s="549"/>
      <c r="O4471" s="549"/>
      <c r="P4471" s="549"/>
      <c r="Q4471" s="1059"/>
      <c r="R4471" s="1059"/>
    </row>
    <row r="4472" spans="1:18" s="497" customFormat="1" ht="17.399999999999999">
      <c r="A4472" s="550"/>
      <c r="B4472" s="549"/>
      <c r="C4472" s="550"/>
      <c r="D4472" s="550"/>
      <c r="E4472" s="548"/>
      <c r="F4472" s="549"/>
      <c r="G4472" s="549"/>
      <c r="H4472" s="549"/>
      <c r="I4472" s="558"/>
      <c r="J4472" s="647"/>
      <c r="K4472" s="648"/>
      <c r="L4472" s="567"/>
      <c r="M4472" s="549"/>
      <c r="N4472" s="549"/>
      <c r="O4472" s="549"/>
      <c r="P4472" s="549"/>
      <c r="Q4472" s="1059"/>
      <c r="R4472" s="1059"/>
    </row>
    <row r="4473" spans="1:18" s="497" customFormat="1" ht="17.399999999999999">
      <c r="A4473" s="550"/>
      <c r="B4473" s="549"/>
      <c r="C4473" s="550"/>
      <c r="D4473" s="550"/>
      <c r="E4473" s="548"/>
      <c r="F4473" s="549"/>
      <c r="G4473" s="549"/>
      <c r="H4473" s="549"/>
      <c r="I4473" s="558"/>
      <c r="J4473" s="647"/>
      <c r="K4473" s="648"/>
      <c r="L4473" s="567"/>
      <c r="M4473" s="549"/>
      <c r="N4473" s="549"/>
      <c r="O4473" s="549"/>
      <c r="P4473" s="549"/>
      <c r="Q4473" s="1059"/>
      <c r="R4473" s="1059"/>
    </row>
    <row r="4474" spans="1:18" ht="17.399999999999999">
      <c r="A4474" s="547" t="s">
        <v>445</v>
      </c>
      <c r="B4474" s="547" t="s">
        <v>487</v>
      </c>
      <c r="C4474" s="547" t="s">
        <v>19</v>
      </c>
      <c r="D4474" s="547" t="s">
        <v>20</v>
      </c>
      <c r="E4474" s="547" t="s">
        <v>47</v>
      </c>
      <c r="F4474" s="549"/>
      <c r="G4474" s="549" t="s">
        <v>21</v>
      </c>
      <c r="H4474" s="549" t="s">
        <v>120</v>
      </c>
      <c r="I4474" s="558">
        <v>18.2</v>
      </c>
      <c r="J4474" s="567">
        <v>6.1</v>
      </c>
      <c r="K4474" s="648">
        <v>26</v>
      </c>
      <c r="L4474" s="552">
        <f t="shared" ref="L4474:L4481" si="845">(I4474*J4474*K4474/1000)</f>
        <v>2.88652</v>
      </c>
      <c r="M4474" s="549"/>
      <c r="N4474" s="549"/>
      <c r="O4474" s="549"/>
      <c r="P4474" s="549"/>
      <c r="Q4474" s="1059"/>
      <c r="R4474" s="1059"/>
    </row>
    <row r="4475" spans="1:18" ht="17.399999999999999">
      <c r="A4475" s="547"/>
      <c r="B4475" s="752" t="s">
        <v>439</v>
      </c>
      <c r="C4475" s="547"/>
      <c r="D4475" s="547"/>
      <c r="E4475" s="547"/>
      <c r="F4475" s="549"/>
      <c r="G4475" s="549" t="s">
        <v>21</v>
      </c>
      <c r="H4475" s="549" t="s">
        <v>120</v>
      </c>
      <c r="I4475" s="558">
        <v>18.2</v>
      </c>
      <c r="J4475" s="567">
        <v>6.9</v>
      </c>
      <c r="K4475" s="648">
        <v>4</v>
      </c>
      <c r="L4475" s="552">
        <f t="shared" si="845"/>
        <v>0.50231999999999999</v>
      </c>
      <c r="M4475" s="549"/>
      <c r="N4475" s="549"/>
      <c r="O4475" s="549"/>
      <c r="P4475" s="549"/>
      <c r="Q4475" s="1059"/>
      <c r="R4475" s="1059"/>
    </row>
    <row r="4476" spans="1:18" ht="17.399999999999999">
      <c r="A4476" s="549"/>
      <c r="B4476" s="549"/>
      <c r="C4476" s="549"/>
      <c r="D4476" s="549"/>
      <c r="E4476" s="549"/>
      <c r="F4476" s="549"/>
      <c r="G4476" s="549" t="s">
        <v>21</v>
      </c>
      <c r="H4476" s="549" t="s">
        <v>120</v>
      </c>
      <c r="I4476" s="558">
        <v>18.2</v>
      </c>
      <c r="J4476" s="567">
        <v>8.5</v>
      </c>
      <c r="K4476" s="648">
        <v>15</v>
      </c>
      <c r="L4476" s="552">
        <f t="shared" si="845"/>
        <v>2.3205</v>
      </c>
      <c r="M4476" s="549"/>
      <c r="N4476" s="549"/>
      <c r="O4476" s="549"/>
      <c r="P4476" s="549"/>
      <c r="Q4476" s="1059"/>
      <c r="R4476" s="1059"/>
    </row>
    <row r="4477" spans="1:18" ht="17.399999999999999">
      <c r="A4477" s="549"/>
      <c r="B4477" s="549"/>
      <c r="C4477" s="549"/>
      <c r="D4477" s="549"/>
      <c r="E4477" s="549"/>
      <c r="F4477" s="549"/>
      <c r="G4477" s="549" t="s">
        <v>21</v>
      </c>
      <c r="H4477" s="549" t="s">
        <v>120</v>
      </c>
      <c r="I4477" s="558">
        <v>18.2</v>
      </c>
      <c r="J4477" s="567">
        <v>10</v>
      </c>
      <c r="K4477" s="648">
        <v>58</v>
      </c>
      <c r="L4477" s="552">
        <f t="shared" si="845"/>
        <v>10.555999999999999</v>
      </c>
      <c r="M4477" s="549"/>
      <c r="N4477" s="549"/>
      <c r="O4477" s="549"/>
      <c r="P4477" s="549"/>
      <c r="Q4477" s="1059"/>
      <c r="R4477" s="1059"/>
    </row>
    <row r="4478" spans="1:18" ht="17.399999999999999">
      <c r="A4478" s="549"/>
      <c r="B4478" s="549"/>
      <c r="C4478" s="549"/>
      <c r="D4478" s="549"/>
      <c r="E4478" s="549"/>
      <c r="F4478" s="549"/>
      <c r="G4478" s="549" t="s">
        <v>21</v>
      </c>
      <c r="H4478" s="549" t="s">
        <v>120</v>
      </c>
      <c r="I4478" s="558">
        <v>18.2</v>
      </c>
      <c r="J4478" s="567">
        <v>10.9</v>
      </c>
      <c r="K4478" s="648">
        <v>29</v>
      </c>
      <c r="L4478" s="552">
        <f t="shared" si="845"/>
        <v>5.7530199999999994</v>
      </c>
      <c r="M4478" s="549"/>
      <c r="N4478" s="549"/>
      <c r="O4478" s="549"/>
      <c r="P4478" s="549"/>
      <c r="Q4478" s="1059"/>
      <c r="R4478" s="1059"/>
    </row>
    <row r="4479" spans="1:18" ht="17.399999999999999">
      <c r="A4479" s="549"/>
      <c r="B4479" s="549"/>
      <c r="C4479" s="549"/>
      <c r="D4479" s="549"/>
      <c r="E4479" s="549"/>
      <c r="F4479" s="549"/>
      <c r="G4479" s="549" t="s">
        <v>21</v>
      </c>
      <c r="H4479" s="549" t="s">
        <v>120</v>
      </c>
      <c r="I4479" s="558">
        <v>18.2</v>
      </c>
      <c r="J4479" s="567">
        <v>11.1</v>
      </c>
      <c r="K4479" s="648">
        <v>9</v>
      </c>
      <c r="L4479" s="552">
        <f t="shared" si="845"/>
        <v>1.8181799999999999</v>
      </c>
      <c r="M4479" s="549"/>
      <c r="N4479" s="549"/>
      <c r="O4479" s="549"/>
      <c r="P4479" s="549"/>
      <c r="Q4479" s="1059"/>
      <c r="R4479" s="1059"/>
    </row>
    <row r="4480" spans="1:18" ht="17.399999999999999">
      <c r="A4480" s="549"/>
      <c r="B4480" s="549"/>
      <c r="C4480" s="549"/>
      <c r="D4480" s="549"/>
      <c r="E4480" s="549"/>
      <c r="F4480" s="549"/>
      <c r="G4480" s="549" t="s">
        <v>21</v>
      </c>
      <c r="H4480" s="549" t="s">
        <v>120</v>
      </c>
      <c r="I4480" s="558">
        <v>18.2</v>
      </c>
      <c r="J4480" s="567">
        <v>11.5</v>
      </c>
      <c r="K4480" s="648">
        <v>22</v>
      </c>
      <c r="L4480" s="552">
        <f t="shared" si="845"/>
        <v>4.6045999999999996</v>
      </c>
      <c r="M4480" s="549"/>
      <c r="N4480" s="549"/>
      <c r="O4480" s="549"/>
      <c r="P4480" s="549"/>
      <c r="Q4480" s="1059"/>
      <c r="R4480" s="1059"/>
    </row>
    <row r="4481" spans="1:18" ht="17.399999999999999">
      <c r="A4481" s="549"/>
      <c r="B4481" s="549"/>
      <c r="C4481" s="549"/>
      <c r="D4481" s="549"/>
      <c r="E4481" s="549"/>
      <c r="F4481" s="549"/>
      <c r="G4481" s="549" t="s">
        <v>21</v>
      </c>
      <c r="H4481" s="549" t="s">
        <v>120</v>
      </c>
      <c r="I4481" s="558">
        <v>18.2</v>
      </c>
      <c r="J4481" s="567">
        <v>12</v>
      </c>
      <c r="K4481" s="648">
        <v>20</v>
      </c>
      <c r="L4481" s="552">
        <f t="shared" si="845"/>
        <v>4.3680000000000003</v>
      </c>
      <c r="M4481" s="549"/>
      <c r="N4481" s="549"/>
      <c r="O4481" s="549"/>
      <c r="P4481" s="549"/>
      <c r="Q4481" s="1059"/>
      <c r="R4481" s="1059"/>
    </row>
    <row r="4482" spans="1:18" ht="17.399999999999999">
      <c r="A4482" s="549"/>
      <c r="B4482" s="549"/>
      <c r="C4482" s="549"/>
      <c r="D4482" s="549"/>
      <c r="E4482" s="549"/>
      <c r="F4482" s="549"/>
      <c r="G4482" s="549"/>
      <c r="H4482" s="549"/>
      <c r="I4482" s="558"/>
      <c r="J4482" s="567"/>
      <c r="K4482" s="648">
        <f t="shared" ref="K4482:L4482" si="846">SUM(K4474:K4481)</f>
        <v>183</v>
      </c>
      <c r="L4482" s="567">
        <f t="shared" si="846"/>
        <v>32.809139999999999</v>
      </c>
      <c r="M4482" s="549"/>
      <c r="N4482" s="549"/>
      <c r="O4482" s="549"/>
      <c r="P4482" s="549"/>
      <c r="Q4482" s="1059"/>
      <c r="R4482" s="1059"/>
    </row>
    <row r="4483" spans="1:18" ht="17.399999999999999">
      <c r="A4483" s="547" t="s">
        <v>445</v>
      </c>
      <c r="B4483" s="547" t="s">
        <v>487</v>
      </c>
      <c r="C4483" s="547" t="s">
        <v>19</v>
      </c>
      <c r="D4483" s="547" t="s">
        <v>20</v>
      </c>
      <c r="E4483" s="547" t="s">
        <v>47</v>
      </c>
      <c r="F4483" s="549"/>
      <c r="G4483" s="549" t="s">
        <v>21</v>
      </c>
      <c r="H4483" s="549" t="s">
        <v>507</v>
      </c>
      <c r="I4483" s="558">
        <v>14.7</v>
      </c>
      <c r="J4483" s="567">
        <v>8.5</v>
      </c>
      <c r="K4483" s="648">
        <v>8</v>
      </c>
      <c r="L4483" s="552">
        <f t="shared" ref="L4483:L4487" si="847">(I4483*J4483*K4483/1000)</f>
        <v>0.99959999999999993</v>
      </c>
      <c r="M4483" s="549"/>
      <c r="N4483" s="549"/>
      <c r="O4483" s="549"/>
      <c r="P4483" s="549"/>
      <c r="Q4483" s="1059"/>
      <c r="R4483" s="1059"/>
    </row>
    <row r="4484" spans="1:18" ht="17.399999999999999">
      <c r="A4484" s="547"/>
      <c r="B4484" s="752" t="s">
        <v>439</v>
      </c>
      <c r="C4484" s="547"/>
      <c r="D4484" s="547"/>
      <c r="E4484" s="547"/>
      <c r="F4484" s="549"/>
      <c r="G4484" s="549" t="s">
        <v>21</v>
      </c>
      <c r="H4484" s="549" t="s">
        <v>507</v>
      </c>
      <c r="I4484" s="558">
        <v>14.7</v>
      </c>
      <c r="J4484" s="567">
        <v>9.8000000000000007</v>
      </c>
      <c r="K4484" s="648">
        <v>12</v>
      </c>
      <c r="L4484" s="552">
        <f t="shared" si="847"/>
        <v>1.72872</v>
      </c>
      <c r="M4484" s="549"/>
      <c r="N4484" s="549"/>
      <c r="O4484" s="549"/>
      <c r="P4484" s="549"/>
      <c r="Q4484" s="1059"/>
      <c r="R4484" s="1059"/>
    </row>
    <row r="4485" spans="1:18" ht="17.399999999999999">
      <c r="A4485" s="549"/>
      <c r="B4485" s="549"/>
      <c r="C4485" s="549"/>
      <c r="D4485" s="549"/>
      <c r="E4485" s="549"/>
      <c r="F4485" s="549"/>
      <c r="G4485" s="549" t="s">
        <v>21</v>
      </c>
      <c r="H4485" s="549" t="s">
        <v>507</v>
      </c>
      <c r="I4485" s="558">
        <v>14.7</v>
      </c>
      <c r="J4485" s="567">
        <v>11.2</v>
      </c>
      <c r="K4485" s="648">
        <v>23</v>
      </c>
      <c r="L4485" s="552">
        <f t="shared" si="847"/>
        <v>3.7867199999999999</v>
      </c>
      <c r="M4485" s="549"/>
      <c r="N4485" s="549"/>
      <c r="O4485" s="549"/>
      <c r="P4485" s="549"/>
      <c r="Q4485" s="1059"/>
      <c r="R4485" s="1059"/>
    </row>
    <row r="4486" spans="1:18" ht="17.399999999999999">
      <c r="A4486" s="549"/>
      <c r="B4486" s="549"/>
      <c r="C4486" s="549"/>
      <c r="D4486" s="549"/>
      <c r="E4486" s="549"/>
      <c r="F4486" s="549"/>
      <c r="G4486" s="549" t="s">
        <v>21</v>
      </c>
      <c r="H4486" s="549" t="s">
        <v>507</v>
      </c>
      <c r="I4486" s="558">
        <v>14.7</v>
      </c>
      <c r="J4486" s="567">
        <v>11.7</v>
      </c>
      <c r="K4486" s="648">
        <v>8</v>
      </c>
      <c r="L4486" s="552">
        <f t="shared" si="847"/>
        <v>1.3759199999999998</v>
      </c>
      <c r="M4486" s="549"/>
      <c r="N4486" s="549"/>
      <c r="O4486" s="549"/>
      <c r="P4486" s="549"/>
      <c r="Q4486" s="1059"/>
      <c r="R4486" s="1059"/>
    </row>
    <row r="4487" spans="1:18" ht="17.399999999999999">
      <c r="A4487" s="549"/>
      <c r="B4487" s="549"/>
      <c r="C4487" s="549"/>
      <c r="D4487" s="549"/>
      <c r="E4487" s="549"/>
      <c r="F4487" s="549"/>
      <c r="G4487" s="549" t="s">
        <v>21</v>
      </c>
      <c r="H4487" s="549" t="s">
        <v>507</v>
      </c>
      <c r="I4487" s="558">
        <v>14.7</v>
      </c>
      <c r="J4487" s="567">
        <v>12</v>
      </c>
      <c r="K4487" s="648">
        <v>2</v>
      </c>
      <c r="L4487" s="552">
        <f t="shared" si="847"/>
        <v>0.35279999999999995</v>
      </c>
      <c r="M4487" s="549"/>
      <c r="N4487" s="549"/>
      <c r="O4487" s="549"/>
      <c r="P4487" s="549"/>
      <c r="Q4487" s="1059"/>
      <c r="R4487" s="1059"/>
    </row>
    <row r="4488" spans="1:18" ht="17.399999999999999">
      <c r="A4488" s="549"/>
      <c r="B4488" s="549"/>
      <c r="C4488" s="549"/>
      <c r="D4488" s="549"/>
      <c r="E4488" s="549"/>
      <c r="F4488" s="549"/>
      <c r="G4488" s="549"/>
      <c r="H4488" s="549"/>
      <c r="I4488" s="558"/>
      <c r="J4488" s="567"/>
      <c r="K4488" s="648">
        <f t="shared" ref="K4488:L4488" si="848">SUM(K4483:K4487)</f>
        <v>53</v>
      </c>
      <c r="L4488" s="567">
        <f t="shared" si="848"/>
        <v>8.24376</v>
      </c>
      <c r="M4488" s="549"/>
      <c r="N4488" s="549"/>
      <c r="O4488" s="549"/>
      <c r="P4488" s="549"/>
      <c r="Q4488" s="1059"/>
      <c r="R4488" s="1059"/>
    </row>
    <row r="4489" spans="1:18" ht="17.399999999999999">
      <c r="A4489" s="547" t="s">
        <v>445</v>
      </c>
      <c r="B4489" s="547" t="s">
        <v>487</v>
      </c>
      <c r="C4489" s="547" t="s">
        <v>19</v>
      </c>
      <c r="D4489" s="547" t="s">
        <v>20</v>
      </c>
      <c r="E4489" s="547" t="s">
        <v>47</v>
      </c>
      <c r="F4489" s="549"/>
      <c r="G4489" s="549" t="s">
        <v>21</v>
      </c>
      <c r="H4489" s="549" t="s">
        <v>508</v>
      </c>
      <c r="I4489" s="558">
        <v>16.5</v>
      </c>
      <c r="J4489" s="567">
        <v>8.3000000000000007</v>
      </c>
      <c r="K4489" s="648">
        <v>23</v>
      </c>
      <c r="L4489" s="552">
        <f t="shared" ref="L4489:L4493" si="849">(I4489*J4489*K4489/1000)</f>
        <v>3.1498500000000003</v>
      </c>
      <c r="M4489" s="549"/>
      <c r="N4489" s="549"/>
      <c r="O4489" s="549"/>
      <c r="P4489" s="549"/>
      <c r="Q4489" s="1059"/>
      <c r="R4489" s="1059"/>
    </row>
    <row r="4490" spans="1:18" ht="17.399999999999999">
      <c r="A4490" s="547"/>
      <c r="B4490" s="752" t="s">
        <v>439</v>
      </c>
      <c r="C4490" s="547"/>
      <c r="D4490" s="547"/>
      <c r="E4490" s="547"/>
      <c r="F4490" s="549"/>
      <c r="G4490" s="549" t="s">
        <v>21</v>
      </c>
      <c r="H4490" s="549" t="s">
        <v>508</v>
      </c>
      <c r="I4490" s="558">
        <v>16.5</v>
      </c>
      <c r="J4490" s="567">
        <v>9.1999999999999993</v>
      </c>
      <c r="K4490" s="648">
        <v>22</v>
      </c>
      <c r="L4490" s="552">
        <f t="shared" si="849"/>
        <v>3.3395999999999995</v>
      </c>
      <c r="M4490" s="549"/>
      <c r="N4490" s="549"/>
      <c r="O4490" s="549"/>
      <c r="P4490" s="549"/>
      <c r="Q4490" s="1059"/>
      <c r="R4490" s="1059"/>
    </row>
    <row r="4491" spans="1:18" ht="17.399999999999999">
      <c r="A4491" s="549"/>
      <c r="B4491" s="549"/>
      <c r="C4491" s="549"/>
      <c r="D4491" s="549"/>
      <c r="E4491" s="549"/>
      <c r="F4491" s="549"/>
      <c r="G4491" s="549" t="s">
        <v>21</v>
      </c>
      <c r="H4491" s="549" t="s">
        <v>508</v>
      </c>
      <c r="I4491" s="558">
        <v>16.5</v>
      </c>
      <c r="J4491" s="567">
        <v>9.6</v>
      </c>
      <c r="K4491" s="648">
        <v>50</v>
      </c>
      <c r="L4491" s="552">
        <f t="shared" si="849"/>
        <v>7.92</v>
      </c>
      <c r="M4491" s="549"/>
      <c r="N4491" s="549"/>
      <c r="O4491" s="549"/>
      <c r="P4491" s="549"/>
      <c r="Q4491" s="1059"/>
      <c r="R4491" s="1059"/>
    </row>
    <row r="4492" spans="1:18" ht="17.399999999999999">
      <c r="A4492" s="549"/>
      <c r="B4492" s="549"/>
      <c r="C4492" s="549"/>
      <c r="D4492" s="549"/>
      <c r="E4492" s="549"/>
      <c r="F4492" s="549"/>
      <c r="G4492" s="549" t="s">
        <v>21</v>
      </c>
      <c r="H4492" s="549" t="s">
        <v>508</v>
      </c>
      <c r="I4492" s="558">
        <v>16.5</v>
      </c>
      <c r="J4492" s="567">
        <v>11</v>
      </c>
      <c r="K4492" s="648">
        <v>7</v>
      </c>
      <c r="L4492" s="552">
        <f t="shared" si="849"/>
        <v>1.2705</v>
      </c>
      <c r="M4492" s="549"/>
      <c r="N4492" s="549"/>
      <c r="O4492" s="549"/>
      <c r="P4492" s="549"/>
      <c r="Q4492" s="1059"/>
      <c r="R4492" s="1059"/>
    </row>
    <row r="4493" spans="1:18" ht="17.399999999999999">
      <c r="A4493" s="549"/>
      <c r="B4493" s="549"/>
      <c r="C4493" s="549"/>
      <c r="D4493" s="549"/>
      <c r="E4493" s="549"/>
      <c r="F4493" s="549"/>
      <c r="G4493" s="549" t="s">
        <v>21</v>
      </c>
      <c r="H4493" s="549" t="s">
        <v>508</v>
      </c>
      <c r="I4493" s="558">
        <v>16.5</v>
      </c>
      <c r="J4493" s="567">
        <v>12</v>
      </c>
      <c r="K4493" s="648">
        <v>11</v>
      </c>
      <c r="L4493" s="552">
        <f t="shared" si="849"/>
        <v>2.1779999999999999</v>
      </c>
      <c r="M4493" s="549"/>
      <c r="N4493" s="549"/>
      <c r="O4493" s="549"/>
      <c r="P4493" s="549"/>
      <c r="Q4493" s="1059"/>
      <c r="R4493" s="1059"/>
    </row>
    <row r="4494" spans="1:18" ht="17.399999999999999">
      <c r="A4494" s="549"/>
      <c r="B4494" s="549"/>
      <c r="C4494" s="549"/>
      <c r="D4494" s="549"/>
      <c r="E4494" s="549"/>
      <c r="F4494" s="549"/>
      <c r="G4494" s="549"/>
      <c r="H4494" s="549"/>
      <c r="I4494" s="558"/>
      <c r="J4494" s="567"/>
      <c r="K4494" s="648">
        <f t="shared" ref="K4494:L4494" si="850">SUM(K4489:K4493)</f>
        <v>113</v>
      </c>
      <c r="L4494" s="567">
        <f t="shared" si="850"/>
        <v>17.857949999999999</v>
      </c>
      <c r="M4494" s="549"/>
      <c r="N4494" s="549"/>
      <c r="O4494" s="549"/>
      <c r="P4494" s="549"/>
      <c r="Q4494" s="1059"/>
      <c r="R4494" s="1059"/>
    </row>
    <row r="4495" spans="1:18" ht="17.399999999999999">
      <c r="A4495" s="547" t="s">
        <v>445</v>
      </c>
      <c r="B4495" s="547" t="s">
        <v>487</v>
      </c>
      <c r="C4495" s="547" t="s">
        <v>19</v>
      </c>
      <c r="D4495" s="547" t="s">
        <v>20</v>
      </c>
      <c r="E4495" s="547" t="s">
        <v>47</v>
      </c>
      <c r="F4495" s="549"/>
      <c r="G4495" s="549" t="s">
        <v>21</v>
      </c>
      <c r="H4495" s="549" t="s">
        <v>124</v>
      </c>
      <c r="I4495" s="558">
        <v>19.8</v>
      </c>
      <c r="J4495" s="567">
        <v>6.1</v>
      </c>
      <c r="K4495" s="648">
        <v>22</v>
      </c>
      <c r="L4495" s="552">
        <f t="shared" ref="L4495:L4500" si="851">(I4495*J4495*K4495/1000)</f>
        <v>2.6571599999999997</v>
      </c>
      <c r="M4495" s="549"/>
      <c r="N4495" s="549"/>
      <c r="O4495" s="549"/>
      <c r="P4495" s="549"/>
      <c r="Q4495" s="1059"/>
      <c r="R4495" s="1059"/>
    </row>
    <row r="4496" spans="1:18" ht="17.399999999999999">
      <c r="A4496" s="547"/>
      <c r="B4496" s="752" t="s">
        <v>439</v>
      </c>
      <c r="C4496" s="547"/>
      <c r="D4496" s="547"/>
      <c r="E4496" s="547"/>
      <c r="F4496" s="549"/>
      <c r="G4496" s="549" t="s">
        <v>21</v>
      </c>
      <c r="H4496" s="549" t="s">
        <v>124</v>
      </c>
      <c r="I4496" s="558">
        <v>19.8</v>
      </c>
      <c r="J4496" s="567">
        <v>6.6</v>
      </c>
      <c r="K4496" s="648">
        <v>11</v>
      </c>
      <c r="L4496" s="552">
        <f t="shared" si="851"/>
        <v>1.4374800000000001</v>
      </c>
      <c r="M4496" s="549"/>
      <c r="N4496" s="549"/>
      <c r="O4496" s="549"/>
      <c r="P4496" s="549"/>
      <c r="Q4496" s="1059"/>
      <c r="R4496" s="1059"/>
    </row>
    <row r="4497" spans="1:18" ht="17.399999999999999">
      <c r="A4497" s="549"/>
      <c r="B4497" s="549"/>
      <c r="C4497" s="549"/>
      <c r="D4497" s="549"/>
      <c r="E4497" s="549"/>
      <c r="F4497" s="549"/>
      <c r="G4497" s="549" t="s">
        <v>21</v>
      </c>
      <c r="H4497" s="549" t="s">
        <v>124</v>
      </c>
      <c r="I4497" s="558">
        <v>19.8</v>
      </c>
      <c r="J4497" s="567">
        <v>9.6</v>
      </c>
      <c r="K4497" s="648">
        <v>19</v>
      </c>
      <c r="L4497" s="552">
        <f t="shared" si="851"/>
        <v>3.6115200000000005</v>
      </c>
      <c r="M4497" s="549"/>
      <c r="N4497" s="549"/>
      <c r="O4497" s="549"/>
      <c r="P4497" s="549"/>
      <c r="Q4497" s="1059"/>
      <c r="R4497" s="1059"/>
    </row>
    <row r="4498" spans="1:18" ht="17.399999999999999">
      <c r="A4498" s="549"/>
      <c r="B4498" s="549"/>
      <c r="C4498" s="549"/>
      <c r="D4498" s="549"/>
      <c r="E4498" s="549"/>
      <c r="F4498" s="549"/>
      <c r="G4498" s="549" t="s">
        <v>21</v>
      </c>
      <c r="H4498" s="549" t="s">
        <v>124</v>
      </c>
      <c r="I4498" s="558">
        <v>19.8</v>
      </c>
      <c r="J4498" s="567">
        <v>10.5</v>
      </c>
      <c r="K4498" s="648">
        <v>3</v>
      </c>
      <c r="L4498" s="552">
        <f t="shared" si="851"/>
        <v>0.62370000000000003</v>
      </c>
      <c r="M4498" s="549"/>
      <c r="N4498" s="549"/>
      <c r="O4498" s="549"/>
      <c r="P4498" s="549"/>
      <c r="Q4498" s="1059"/>
      <c r="R4498" s="1059"/>
    </row>
    <row r="4499" spans="1:18" ht="17.399999999999999">
      <c r="A4499" s="549"/>
      <c r="B4499" s="549"/>
      <c r="C4499" s="549"/>
      <c r="D4499" s="549"/>
      <c r="E4499" s="549"/>
      <c r="F4499" s="549"/>
      <c r="G4499" s="549" t="s">
        <v>21</v>
      </c>
      <c r="H4499" s="549" t="s">
        <v>124</v>
      </c>
      <c r="I4499" s="558">
        <v>19.8</v>
      </c>
      <c r="J4499" s="567">
        <v>11.5</v>
      </c>
      <c r="K4499" s="648">
        <v>55</v>
      </c>
      <c r="L4499" s="552">
        <f t="shared" si="851"/>
        <v>12.523500000000002</v>
      </c>
      <c r="M4499" s="549"/>
      <c r="N4499" s="549"/>
      <c r="O4499" s="549"/>
      <c r="P4499" s="549"/>
      <c r="Q4499" s="1059"/>
      <c r="R4499" s="1059"/>
    </row>
    <row r="4500" spans="1:18" ht="17.399999999999999">
      <c r="A4500" s="549"/>
      <c r="B4500" s="549"/>
      <c r="C4500" s="549"/>
      <c r="D4500" s="549"/>
      <c r="E4500" s="549"/>
      <c r="F4500" s="549"/>
      <c r="G4500" s="549" t="s">
        <v>21</v>
      </c>
      <c r="H4500" s="549" t="s">
        <v>124</v>
      </c>
      <c r="I4500" s="558">
        <v>19.8</v>
      </c>
      <c r="J4500" s="567">
        <v>12</v>
      </c>
      <c r="K4500" s="648">
        <v>3</v>
      </c>
      <c r="L4500" s="552">
        <f t="shared" si="851"/>
        <v>0.7128000000000001</v>
      </c>
      <c r="M4500" s="549"/>
      <c r="N4500" s="549"/>
      <c r="O4500" s="549"/>
      <c r="P4500" s="549"/>
      <c r="Q4500" s="1059"/>
      <c r="R4500" s="1059"/>
    </row>
    <row r="4501" spans="1:18" ht="17.399999999999999">
      <c r="A4501" s="549"/>
      <c r="B4501" s="549"/>
      <c r="C4501" s="549"/>
      <c r="D4501" s="549"/>
      <c r="E4501" s="549"/>
      <c r="F4501" s="549"/>
      <c r="G4501" s="549"/>
      <c r="H4501" s="549"/>
      <c r="I4501" s="558"/>
      <c r="J4501" s="567"/>
      <c r="K4501" s="648">
        <f t="shared" ref="K4501:L4501" si="852">SUM(K4495:K4500)</f>
        <v>113</v>
      </c>
      <c r="L4501" s="567">
        <f t="shared" si="852"/>
        <v>21.566160000000004</v>
      </c>
      <c r="M4501" s="549"/>
      <c r="N4501" s="549"/>
      <c r="O4501" s="549"/>
      <c r="P4501" s="549"/>
      <c r="Q4501" s="1059"/>
      <c r="R4501" s="1059"/>
    </row>
    <row r="4502" spans="1:18" ht="17.399999999999999">
      <c r="A4502" s="547" t="s">
        <v>445</v>
      </c>
      <c r="B4502" s="547" t="s">
        <v>487</v>
      </c>
      <c r="C4502" s="547" t="s">
        <v>19</v>
      </c>
      <c r="D4502" s="547" t="s">
        <v>20</v>
      </c>
      <c r="E4502" s="547" t="s">
        <v>47</v>
      </c>
      <c r="F4502" s="549"/>
      <c r="G4502" s="549" t="s">
        <v>21</v>
      </c>
      <c r="H4502" s="549" t="s">
        <v>125</v>
      </c>
      <c r="I4502" s="558">
        <v>21.7</v>
      </c>
      <c r="J4502" s="567">
        <v>8.6999999999999993</v>
      </c>
      <c r="K4502" s="648">
        <v>21</v>
      </c>
      <c r="L4502" s="552">
        <f t="shared" ref="L4502:L4504" si="853">(I4502*J4502*K4502/1000)</f>
        <v>3.9645899999999998</v>
      </c>
      <c r="M4502" s="549"/>
      <c r="N4502" s="549"/>
      <c r="O4502" s="549"/>
      <c r="P4502" s="549"/>
      <c r="Q4502" s="1059"/>
      <c r="R4502" s="1059"/>
    </row>
    <row r="4503" spans="1:18" ht="17.399999999999999">
      <c r="A4503" s="547"/>
      <c r="B4503" s="752" t="s">
        <v>439</v>
      </c>
      <c r="C4503" s="547"/>
      <c r="D4503" s="547"/>
      <c r="E4503" s="547"/>
      <c r="F4503" s="549"/>
      <c r="G4503" s="549" t="s">
        <v>21</v>
      </c>
      <c r="H4503" s="549" t="s">
        <v>125</v>
      </c>
      <c r="I4503" s="558">
        <v>21.7</v>
      </c>
      <c r="J4503" s="567">
        <v>11.2</v>
      </c>
      <c r="K4503" s="648">
        <v>22</v>
      </c>
      <c r="L4503" s="552">
        <f t="shared" si="853"/>
        <v>5.3468799999999996</v>
      </c>
      <c r="M4503" s="549"/>
      <c r="N4503" s="549"/>
      <c r="O4503" s="549"/>
      <c r="P4503" s="549"/>
      <c r="Q4503" s="1059"/>
      <c r="R4503" s="1059"/>
    </row>
    <row r="4504" spans="1:18" ht="17.399999999999999">
      <c r="A4504" s="549"/>
      <c r="B4504" s="549"/>
      <c r="C4504" s="549"/>
      <c r="D4504" s="549"/>
      <c r="E4504" s="549"/>
      <c r="F4504" s="549"/>
      <c r="G4504" s="549" t="s">
        <v>21</v>
      </c>
      <c r="H4504" s="549" t="s">
        <v>125</v>
      </c>
      <c r="I4504" s="558">
        <v>21.7</v>
      </c>
      <c r="J4504" s="567">
        <v>12</v>
      </c>
      <c r="K4504" s="648">
        <v>2</v>
      </c>
      <c r="L4504" s="552">
        <f t="shared" si="853"/>
        <v>0.52079999999999993</v>
      </c>
      <c r="M4504" s="549"/>
      <c r="N4504" s="549"/>
      <c r="O4504" s="549"/>
      <c r="P4504" s="549"/>
      <c r="Q4504" s="1059"/>
      <c r="R4504" s="1059"/>
    </row>
    <row r="4505" spans="1:18" ht="17.399999999999999">
      <c r="A4505" s="549"/>
      <c r="B4505" s="549"/>
      <c r="C4505" s="549"/>
      <c r="D4505" s="549"/>
      <c r="E4505" s="549"/>
      <c r="F4505" s="549"/>
      <c r="G4505" s="549"/>
      <c r="H4505" s="549"/>
      <c r="I4505" s="558"/>
      <c r="J4505" s="567"/>
      <c r="K4505" s="648">
        <f t="shared" ref="K4505:L4505" si="854">SUM(K4502:K4504)</f>
        <v>45</v>
      </c>
      <c r="L4505" s="567">
        <f t="shared" si="854"/>
        <v>9.8322699999999994</v>
      </c>
      <c r="M4505" s="549"/>
      <c r="N4505" s="549"/>
      <c r="O4505" s="549"/>
      <c r="P4505" s="549"/>
      <c r="Q4505" s="1059"/>
      <c r="R4505" s="1059"/>
    </row>
    <row r="4506" spans="1:18" ht="17.399999999999999">
      <c r="A4506" s="547" t="s">
        <v>445</v>
      </c>
      <c r="B4506" s="547" t="s">
        <v>487</v>
      </c>
      <c r="C4506" s="547" t="s">
        <v>19</v>
      </c>
      <c r="D4506" s="547" t="s">
        <v>20</v>
      </c>
      <c r="E4506" s="547" t="s">
        <v>47</v>
      </c>
      <c r="F4506" s="549"/>
      <c r="G4506" s="549" t="s">
        <v>21</v>
      </c>
      <c r="H4506" s="549" t="s">
        <v>126</v>
      </c>
      <c r="I4506" s="558">
        <v>23.6</v>
      </c>
      <c r="J4506" s="567">
        <v>7.1</v>
      </c>
      <c r="K4506" s="648">
        <v>3</v>
      </c>
      <c r="L4506" s="552">
        <f t="shared" ref="L4506:L4507" si="855">(I4506*J4506*K4506/1000)</f>
        <v>0.50268000000000002</v>
      </c>
      <c r="M4506" s="549"/>
      <c r="N4506" s="549"/>
      <c r="O4506" s="549"/>
      <c r="P4506" s="549"/>
      <c r="Q4506" s="1059"/>
      <c r="R4506" s="1059"/>
    </row>
    <row r="4507" spans="1:18" ht="17.399999999999999">
      <c r="A4507" s="547"/>
      <c r="B4507" s="752" t="s">
        <v>439</v>
      </c>
      <c r="C4507" s="547"/>
      <c r="D4507" s="547"/>
      <c r="E4507" s="547"/>
      <c r="F4507" s="549"/>
      <c r="G4507" s="549" t="s">
        <v>21</v>
      </c>
      <c r="H4507" s="549" t="s">
        <v>126</v>
      </c>
      <c r="I4507" s="558">
        <v>23.6</v>
      </c>
      <c r="J4507" s="567">
        <v>9.3000000000000007</v>
      </c>
      <c r="K4507" s="648">
        <v>5</v>
      </c>
      <c r="L4507" s="552">
        <f t="shared" si="855"/>
        <v>1.0974000000000002</v>
      </c>
      <c r="M4507" s="549"/>
      <c r="N4507" s="549"/>
      <c r="O4507" s="549"/>
      <c r="P4507" s="549"/>
      <c r="Q4507" s="1059"/>
      <c r="R4507" s="1059"/>
    </row>
    <row r="4508" spans="1:18" ht="17.399999999999999">
      <c r="A4508" s="549"/>
      <c r="B4508" s="549"/>
      <c r="C4508" s="549"/>
      <c r="D4508" s="549"/>
      <c r="E4508" s="549"/>
      <c r="F4508" s="549"/>
      <c r="G4508" s="549"/>
      <c r="H4508" s="549"/>
      <c r="I4508" s="558"/>
      <c r="J4508" s="567"/>
      <c r="K4508" s="648">
        <f t="shared" ref="K4508:L4508" si="856">SUM(K4506:K4507)</f>
        <v>8</v>
      </c>
      <c r="L4508" s="567">
        <f t="shared" si="856"/>
        <v>1.6000800000000002</v>
      </c>
      <c r="M4508" s="549"/>
      <c r="N4508" s="549"/>
      <c r="O4508" s="549"/>
      <c r="P4508" s="549"/>
      <c r="Q4508" s="1059"/>
      <c r="R4508" s="1059"/>
    </row>
    <row r="4509" spans="1:18" ht="17.399999999999999">
      <c r="A4509" s="547" t="s">
        <v>445</v>
      </c>
      <c r="B4509" s="547" t="s">
        <v>487</v>
      </c>
      <c r="C4509" s="547" t="s">
        <v>19</v>
      </c>
      <c r="D4509" s="547" t="s">
        <v>20</v>
      </c>
      <c r="E4509" s="547" t="s">
        <v>47</v>
      </c>
      <c r="F4509" s="549"/>
      <c r="G4509" s="549" t="s">
        <v>21</v>
      </c>
      <c r="H4509" s="549" t="s">
        <v>509</v>
      </c>
      <c r="I4509" s="558">
        <v>16</v>
      </c>
      <c r="J4509" s="567">
        <v>7.3</v>
      </c>
      <c r="K4509" s="648">
        <v>51</v>
      </c>
      <c r="L4509" s="552">
        <f t="shared" ref="L4509:L4511" si="857">(I4509*J4509*K4509/1000)</f>
        <v>5.9568000000000003</v>
      </c>
      <c r="M4509" s="549"/>
      <c r="N4509" s="549"/>
      <c r="O4509" s="549"/>
      <c r="P4509" s="549"/>
      <c r="Q4509" s="1059"/>
      <c r="R4509" s="1059"/>
    </row>
    <row r="4510" spans="1:18" ht="17.399999999999999">
      <c r="A4510" s="547"/>
      <c r="B4510" s="752" t="s">
        <v>439</v>
      </c>
      <c r="C4510" s="547"/>
      <c r="D4510" s="547"/>
      <c r="E4510" s="547"/>
      <c r="F4510" s="549"/>
      <c r="G4510" s="549" t="s">
        <v>21</v>
      </c>
      <c r="H4510" s="549" t="s">
        <v>509</v>
      </c>
      <c r="I4510" s="558">
        <v>16</v>
      </c>
      <c r="J4510" s="567">
        <v>10.35</v>
      </c>
      <c r="K4510" s="648">
        <v>24</v>
      </c>
      <c r="L4510" s="552">
        <f t="shared" si="857"/>
        <v>3.9743999999999997</v>
      </c>
      <c r="M4510" s="549"/>
      <c r="N4510" s="549"/>
      <c r="O4510" s="549"/>
      <c r="P4510" s="549"/>
      <c r="Q4510" s="1059"/>
      <c r="R4510" s="1059"/>
    </row>
    <row r="4511" spans="1:18" ht="17.399999999999999">
      <c r="A4511" s="549"/>
      <c r="B4511" s="549"/>
      <c r="C4511" s="549"/>
      <c r="D4511" s="549"/>
      <c r="E4511" s="549"/>
      <c r="F4511" s="549"/>
      <c r="G4511" s="549" t="s">
        <v>21</v>
      </c>
      <c r="H4511" s="549" t="s">
        <v>509</v>
      </c>
      <c r="I4511" s="558">
        <v>16</v>
      </c>
      <c r="J4511" s="567">
        <v>12</v>
      </c>
      <c r="K4511" s="648">
        <v>11</v>
      </c>
      <c r="L4511" s="552">
        <f t="shared" si="857"/>
        <v>2.1120000000000001</v>
      </c>
      <c r="M4511" s="549"/>
      <c r="N4511" s="549"/>
      <c r="O4511" s="549"/>
      <c r="P4511" s="549"/>
      <c r="Q4511" s="1059"/>
      <c r="R4511" s="1059"/>
    </row>
    <row r="4512" spans="1:18" ht="17.399999999999999">
      <c r="A4512" s="549"/>
      <c r="B4512" s="549"/>
      <c r="C4512" s="549"/>
      <c r="D4512" s="549"/>
      <c r="E4512" s="549"/>
      <c r="F4512" s="549"/>
      <c r="G4512" s="549"/>
      <c r="H4512" s="549"/>
      <c r="I4512" s="558"/>
      <c r="J4512" s="567"/>
      <c r="K4512" s="648">
        <f t="shared" ref="K4512:L4512" si="858">SUM(K4509:K4511)</f>
        <v>86</v>
      </c>
      <c r="L4512" s="567">
        <f t="shared" si="858"/>
        <v>12.043200000000001</v>
      </c>
      <c r="M4512" s="549"/>
      <c r="N4512" s="549"/>
      <c r="O4512" s="549"/>
      <c r="P4512" s="549"/>
      <c r="Q4512" s="1059"/>
      <c r="R4512" s="1059"/>
    </row>
    <row r="4513" spans="1:18" ht="17.399999999999999">
      <c r="A4513" s="547" t="s">
        <v>445</v>
      </c>
      <c r="B4513" s="547" t="s">
        <v>487</v>
      </c>
      <c r="C4513" s="547" t="s">
        <v>19</v>
      </c>
      <c r="D4513" s="547" t="s">
        <v>20</v>
      </c>
      <c r="E4513" s="547" t="s">
        <v>47</v>
      </c>
      <c r="F4513" s="549"/>
      <c r="G4513" s="549" t="s">
        <v>21</v>
      </c>
      <c r="H4513" s="549" t="s">
        <v>129</v>
      </c>
      <c r="I4513" s="558">
        <v>17.899999999999999</v>
      </c>
      <c r="J4513" s="567">
        <v>7.3</v>
      </c>
      <c r="K4513" s="648">
        <v>4</v>
      </c>
      <c r="L4513" s="552">
        <f t="shared" ref="L4513:L4517" si="859">(I4513*J4513*K4513/1000)</f>
        <v>0.52267999999999992</v>
      </c>
      <c r="M4513" s="549"/>
      <c r="N4513" s="549"/>
      <c r="O4513" s="549"/>
      <c r="P4513" s="549"/>
      <c r="Q4513" s="1059"/>
      <c r="R4513" s="1059"/>
    </row>
    <row r="4514" spans="1:18" ht="17.399999999999999">
      <c r="A4514" s="547"/>
      <c r="B4514" s="752" t="s">
        <v>439</v>
      </c>
      <c r="C4514" s="547"/>
      <c r="D4514" s="547"/>
      <c r="E4514" s="547"/>
      <c r="F4514" s="549"/>
      <c r="G4514" s="549" t="s">
        <v>21</v>
      </c>
      <c r="H4514" s="549" t="s">
        <v>129</v>
      </c>
      <c r="I4514" s="558">
        <v>17.899999999999999</v>
      </c>
      <c r="J4514" s="567">
        <v>7.8</v>
      </c>
      <c r="K4514" s="648">
        <v>29</v>
      </c>
      <c r="L4514" s="552">
        <f t="shared" si="859"/>
        <v>4.0489799999999994</v>
      </c>
      <c r="M4514" s="549"/>
      <c r="N4514" s="549"/>
      <c r="O4514" s="549"/>
      <c r="P4514" s="549"/>
      <c r="Q4514" s="1059"/>
      <c r="R4514" s="1059"/>
    </row>
    <row r="4515" spans="1:18" ht="17.399999999999999">
      <c r="A4515" s="549"/>
      <c r="B4515" s="549"/>
      <c r="C4515" s="549"/>
      <c r="D4515" s="549"/>
      <c r="E4515" s="549"/>
      <c r="F4515" s="549"/>
      <c r="G4515" s="549" t="s">
        <v>21</v>
      </c>
      <c r="H4515" s="549" t="s">
        <v>129</v>
      </c>
      <c r="I4515" s="558">
        <v>17.899999999999999</v>
      </c>
      <c r="J4515" s="567">
        <v>10</v>
      </c>
      <c r="K4515" s="648">
        <v>2</v>
      </c>
      <c r="L4515" s="552">
        <f t="shared" si="859"/>
        <v>0.35799999999999998</v>
      </c>
      <c r="M4515" s="549"/>
      <c r="N4515" s="549"/>
      <c r="O4515" s="549"/>
      <c r="P4515" s="549"/>
      <c r="Q4515" s="1059"/>
      <c r="R4515" s="1059"/>
    </row>
    <row r="4516" spans="1:18" ht="17.399999999999999">
      <c r="A4516" s="549"/>
      <c r="B4516" s="549"/>
      <c r="C4516" s="549"/>
      <c r="D4516" s="549"/>
      <c r="E4516" s="549"/>
      <c r="F4516" s="549"/>
      <c r="G4516" s="549" t="s">
        <v>21</v>
      </c>
      <c r="H4516" s="549" t="s">
        <v>129</v>
      </c>
      <c r="I4516" s="558">
        <v>17.899999999999999</v>
      </c>
      <c r="J4516" s="567">
        <v>11.3</v>
      </c>
      <c r="K4516" s="648">
        <v>38</v>
      </c>
      <c r="L4516" s="552">
        <f t="shared" si="859"/>
        <v>7.6862599999999999</v>
      </c>
      <c r="M4516" s="549"/>
      <c r="N4516" s="549"/>
      <c r="O4516" s="549"/>
      <c r="P4516" s="549"/>
      <c r="Q4516" s="1059"/>
      <c r="R4516" s="1059"/>
    </row>
    <row r="4517" spans="1:18" ht="17.399999999999999">
      <c r="A4517" s="549"/>
      <c r="B4517" s="549"/>
      <c r="C4517" s="549"/>
      <c r="D4517" s="549"/>
      <c r="E4517" s="549"/>
      <c r="F4517" s="549"/>
      <c r="G4517" s="549" t="s">
        <v>21</v>
      </c>
      <c r="H4517" s="549" t="s">
        <v>129</v>
      </c>
      <c r="I4517" s="558">
        <v>17.899999999999999</v>
      </c>
      <c r="J4517" s="567">
        <v>12</v>
      </c>
      <c r="K4517" s="648">
        <v>30</v>
      </c>
      <c r="L4517" s="552">
        <f t="shared" si="859"/>
        <v>6.4439999999999991</v>
      </c>
      <c r="M4517" s="549"/>
      <c r="N4517" s="549"/>
      <c r="O4517" s="549"/>
      <c r="P4517" s="549"/>
      <c r="Q4517" s="1059"/>
      <c r="R4517" s="1059"/>
    </row>
    <row r="4518" spans="1:18" ht="17.399999999999999">
      <c r="A4518" s="549"/>
      <c r="B4518" s="549"/>
      <c r="C4518" s="549"/>
      <c r="D4518" s="549"/>
      <c r="E4518" s="549"/>
      <c r="F4518" s="549"/>
      <c r="G4518" s="549"/>
      <c r="H4518" s="549"/>
      <c r="I4518" s="558"/>
      <c r="J4518" s="567"/>
      <c r="K4518" s="648">
        <f t="shared" ref="K4518:L4518" si="860">SUM(K4513:K4517)</f>
        <v>103</v>
      </c>
      <c r="L4518" s="567">
        <f t="shared" si="860"/>
        <v>19.059919999999998</v>
      </c>
      <c r="M4518" s="549"/>
      <c r="N4518" s="549"/>
      <c r="O4518" s="549"/>
      <c r="P4518" s="549"/>
      <c r="Q4518" s="1059"/>
      <c r="R4518" s="1059"/>
    </row>
    <row r="4519" spans="1:18" ht="17.399999999999999">
      <c r="A4519" s="549"/>
      <c r="B4519" s="549"/>
      <c r="C4519" s="549"/>
      <c r="D4519" s="549"/>
      <c r="E4519" s="549"/>
      <c r="F4519" s="549"/>
      <c r="G4519" s="549"/>
      <c r="H4519" s="549"/>
      <c r="I4519" s="560"/>
      <c r="J4519" s="549"/>
      <c r="K4519" s="561"/>
      <c r="L4519" s="560"/>
      <c r="M4519" s="549"/>
      <c r="N4519" s="549"/>
      <c r="O4519" s="549"/>
      <c r="P4519" s="549"/>
      <c r="Q4519" s="1059"/>
      <c r="R4519" s="1059"/>
    </row>
    <row r="4520" spans="1:18" ht="17.399999999999999">
      <c r="A4520" s="549"/>
      <c r="B4520" s="549"/>
      <c r="C4520" s="549"/>
      <c r="D4520" s="549"/>
      <c r="E4520" s="549"/>
      <c r="F4520" s="549"/>
      <c r="G4520" s="549"/>
      <c r="H4520" s="549"/>
      <c r="I4520" s="560"/>
      <c r="J4520" s="549"/>
      <c r="K4520" s="561"/>
      <c r="L4520" s="560"/>
      <c r="M4520" s="549"/>
      <c r="N4520" s="549"/>
      <c r="O4520" s="549"/>
      <c r="P4520" s="549"/>
      <c r="Q4520" s="1059"/>
      <c r="R4520" s="1059"/>
    </row>
    <row r="4521" spans="1:18" ht="17.399999999999999">
      <c r="A4521" s="547" t="s">
        <v>445</v>
      </c>
      <c r="B4521" s="547" t="s">
        <v>487</v>
      </c>
      <c r="C4521" s="547" t="s">
        <v>19</v>
      </c>
      <c r="D4521" s="547" t="s">
        <v>20</v>
      </c>
      <c r="E4521" s="547" t="s">
        <v>47</v>
      </c>
      <c r="F4521" s="549"/>
      <c r="G4521" s="549" t="s">
        <v>21</v>
      </c>
      <c r="H4521" s="549" t="s">
        <v>510</v>
      </c>
      <c r="I4521" s="558">
        <v>25.2</v>
      </c>
      <c r="J4521" s="567">
        <v>11.7</v>
      </c>
      <c r="K4521" s="648">
        <v>61</v>
      </c>
      <c r="L4521" s="552">
        <f>(I4521*J4521*K4521/1000)</f>
        <v>17.985239999999997</v>
      </c>
      <c r="M4521" s="549"/>
      <c r="N4521" s="549"/>
      <c r="O4521" s="549"/>
      <c r="P4521" s="549"/>
      <c r="Q4521" s="1059"/>
      <c r="R4521" s="1059"/>
    </row>
    <row r="4522" spans="1:18" ht="17.399999999999999">
      <c r="A4522" s="547"/>
      <c r="B4522" s="752" t="s">
        <v>439</v>
      </c>
      <c r="C4522" s="547"/>
      <c r="D4522" s="547"/>
      <c r="E4522" s="547"/>
      <c r="F4522" s="549"/>
      <c r="G4522" s="549"/>
      <c r="H4522" s="549"/>
      <c r="I4522" s="558"/>
      <c r="J4522" s="567"/>
      <c r="K4522" s="648">
        <f t="shared" ref="K4522:L4522" si="861">SUM(K4521)</f>
        <v>61</v>
      </c>
      <c r="L4522" s="567">
        <f t="shared" si="861"/>
        <v>17.985239999999997</v>
      </c>
      <c r="M4522" s="549"/>
      <c r="N4522" s="549"/>
      <c r="O4522" s="549"/>
      <c r="P4522" s="549"/>
      <c r="Q4522" s="1059"/>
      <c r="R4522" s="1059"/>
    </row>
    <row r="4523" spans="1:18" ht="17.399999999999999">
      <c r="A4523" s="547" t="s">
        <v>445</v>
      </c>
      <c r="B4523" s="547" t="s">
        <v>487</v>
      </c>
      <c r="C4523" s="547" t="s">
        <v>19</v>
      </c>
      <c r="D4523" s="547" t="s">
        <v>20</v>
      </c>
      <c r="E4523" s="547" t="s">
        <v>47</v>
      </c>
      <c r="F4523" s="549"/>
      <c r="G4523" s="549" t="s">
        <v>21</v>
      </c>
      <c r="H4523" s="549" t="s">
        <v>177</v>
      </c>
      <c r="I4523" s="558">
        <v>27.3</v>
      </c>
      <c r="J4523" s="567">
        <v>6.85</v>
      </c>
      <c r="K4523" s="648">
        <v>4</v>
      </c>
      <c r="L4523" s="552">
        <f t="shared" ref="L4523:L4526" si="862">(I4523*J4523*K4523/1000)</f>
        <v>0.74802000000000002</v>
      </c>
      <c r="M4523" s="549"/>
      <c r="N4523" s="549"/>
      <c r="O4523" s="549"/>
      <c r="P4523" s="549"/>
      <c r="Q4523" s="1059"/>
      <c r="R4523" s="1059"/>
    </row>
    <row r="4524" spans="1:18" ht="17.399999999999999">
      <c r="A4524" s="547"/>
      <c r="B4524" s="752" t="s">
        <v>439</v>
      </c>
      <c r="C4524" s="547"/>
      <c r="D4524" s="547"/>
      <c r="E4524" s="547"/>
      <c r="F4524" s="549"/>
      <c r="G4524" s="549" t="s">
        <v>21</v>
      </c>
      <c r="H4524" s="549" t="s">
        <v>177</v>
      </c>
      <c r="I4524" s="558">
        <v>27.3</v>
      </c>
      <c r="J4524" s="567">
        <v>7.6</v>
      </c>
      <c r="K4524" s="648">
        <v>8</v>
      </c>
      <c r="L4524" s="552">
        <f t="shared" si="862"/>
        <v>1.65984</v>
      </c>
      <c r="M4524" s="549"/>
      <c r="N4524" s="549"/>
      <c r="O4524" s="549"/>
      <c r="P4524" s="549"/>
      <c r="Q4524" s="1059"/>
      <c r="R4524" s="1059"/>
    </row>
    <row r="4525" spans="1:18" ht="17.399999999999999">
      <c r="A4525" s="549"/>
      <c r="B4525" s="549"/>
      <c r="C4525" s="549"/>
      <c r="D4525" s="549"/>
      <c r="E4525" s="549"/>
      <c r="F4525" s="549"/>
      <c r="G4525" s="549" t="s">
        <v>21</v>
      </c>
      <c r="H4525" s="549" t="s">
        <v>177</v>
      </c>
      <c r="I4525" s="558">
        <v>27.3</v>
      </c>
      <c r="J4525" s="567">
        <v>10</v>
      </c>
      <c r="K4525" s="648">
        <v>3</v>
      </c>
      <c r="L4525" s="552">
        <f t="shared" si="862"/>
        <v>0.81899999999999995</v>
      </c>
      <c r="M4525" s="549"/>
      <c r="N4525" s="549"/>
      <c r="O4525" s="549"/>
      <c r="P4525" s="549"/>
      <c r="Q4525" s="1059"/>
      <c r="R4525" s="1059"/>
    </row>
    <row r="4526" spans="1:18" ht="17.399999999999999">
      <c r="A4526" s="549"/>
      <c r="B4526" s="549"/>
      <c r="C4526" s="549"/>
      <c r="D4526" s="549"/>
      <c r="E4526" s="549"/>
      <c r="F4526" s="549"/>
      <c r="G4526" s="549" t="s">
        <v>21</v>
      </c>
      <c r="H4526" s="549" t="s">
        <v>177</v>
      </c>
      <c r="I4526" s="558">
        <v>27.3</v>
      </c>
      <c r="J4526" s="567">
        <v>10.9</v>
      </c>
      <c r="K4526" s="648">
        <v>29</v>
      </c>
      <c r="L4526" s="552">
        <f t="shared" si="862"/>
        <v>8.6295300000000008</v>
      </c>
      <c r="M4526" s="549"/>
      <c r="N4526" s="549"/>
      <c r="O4526" s="549"/>
      <c r="P4526" s="549"/>
      <c r="Q4526" s="1059"/>
      <c r="R4526" s="1059"/>
    </row>
    <row r="4527" spans="1:18" ht="17.399999999999999">
      <c r="A4527" s="549"/>
      <c r="B4527" s="549"/>
      <c r="C4527" s="549"/>
      <c r="D4527" s="549"/>
      <c r="E4527" s="549"/>
      <c r="F4527" s="549"/>
      <c r="G4527" s="549"/>
      <c r="H4527" s="549"/>
      <c r="I4527" s="558"/>
      <c r="J4527" s="567"/>
      <c r="K4527" s="648">
        <f t="shared" ref="K4527:L4527" si="863">SUM(K4523:K4526)</f>
        <v>44</v>
      </c>
      <c r="L4527" s="567">
        <f t="shared" si="863"/>
        <v>11.856390000000001</v>
      </c>
      <c r="M4527" s="549"/>
      <c r="N4527" s="549"/>
      <c r="O4527" s="549"/>
      <c r="P4527" s="549"/>
      <c r="Q4527" s="1059"/>
      <c r="R4527" s="1059"/>
    </row>
    <row r="4528" spans="1:18" ht="17.399999999999999">
      <c r="A4528" s="547" t="s">
        <v>445</v>
      </c>
      <c r="B4528" s="547" t="s">
        <v>487</v>
      </c>
      <c r="C4528" s="547" t="s">
        <v>19</v>
      </c>
      <c r="D4528" s="547" t="s">
        <v>20</v>
      </c>
      <c r="E4528" s="547" t="s">
        <v>47</v>
      </c>
      <c r="F4528" s="549"/>
      <c r="G4528" s="549" t="s">
        <v>21</v>
      </c>
      <c r="H4528" s="549" t="s">
        <v>178</v>
      </c>
      <c r="I4528" s="558">
        <v>31.6</v>
      </c>
      <c r="J4528" s="567">
        <v>8</v>
      </c>
      <c r="K4528" s="648">
        <v>1</v>
      </c>
      <c r="L4528" s="552">
        <f t="shared" ref="L4528:L4531" si="864">(I4528*J4528*K4528/1000)</f>
        <v>0.25280000000000002</v>
      </c>
      <c r="M4528" s="549"/>
      <c r="N4528" s="549"/>
      <c r="O4528" s="549"/>
      <c r="P4528" s="549"/>
      <c r="Q4528" s="1059"/>
      <c r="R4528" s="1059"/>
    </row>
    <row r="4529" spans="1:18" ht="17.399999999999999">
      <c r="A4529" s="547"/>
      <c r="B4529" s="752" t="s">
        <v>439</v>
      </c>
      <c r="C4529" s="547"/>
      <c r="D4529" s="547"/>
      <c r="E4529" s="547"/>
      <c r="F4529" s="549"/>
      <c r="G4529" s="549" t="s">
        <v>21</v>
      </c>
      <c r="H4529" s="549" t="s">
        <v>178</v>
      </c>
      <c r="I4529" s="558">
        <v>31.6</v>
      </c>
      <c r="J4529" s="567">
        <v>9.6999999999999993</v>
      </c>
      <c r="K4529" s="648">
        <v>116</v>
      </c>
      <c r="L4529" s="552">
        <f t="shared" si="864"/>
        <v>35.556319999999999</v>
      </c>
      <c r="M4529" s="549"/>
      <c r="N4529" s="549"/>
      <c r="O4529" s="549"/>
      <c r="P4529" s="549"/>
      <c r="Q4529" s="1059"/>
      <c r="R4529" s="1059"/>
    </row>
    <row r="4530" spans="1:18" ht="17.399999999999999">
      <c r="A4530" s="549"/>
      <c r="B4530" s="549"/>
      <c r="C4530" s="549"/>
      <c r="D4530" s="549"/>
      <c r="E4530" s="549"/>
      <c r="F4530" s="549"/>
      <c r="G4530" s="549" t="s">
        <v>21</v>
      </c>
      <c r="H4530" s="549" t="s">
        <v>178</v>
      </c>
      <c r="I4530" s="558">
        <v>31.6</v>
      </c>
      <c r="J4530" s="567">
        <v>10.9</v>
      </c>
      <c r="K4530" s="648">
        <v>116</v>
      </c>
      <c r="L4530" s="552">
        <f t="shared" si="864"/>
        <v>39.955040000000011</v>
      </c>
      <c r="M4530" s="549"/>
      <c r="N4530" s="549"/>
      <c r="O4530" s="549"/>
      <c r="P4530" s="549"/>
      <c r="Q4530" s="1059"/>
      <c r="R4530" s="1059"/>
    </row>
    <row r="4531" spans="1:18" ht="17.399999999999999">
      <c r="A4531" s="549"/>
      <c r="B4531" s="549"/>
      <c r="C4531" s="549"/>
      <c r="D4531" s="549"/>
      <c r="E4531" s="549"/>
      <c r="F4531" s="549"/>
      <c r="G4531" s="549" t="s">
        <v>21</v>
      </c>
      <c r="H4531" s="549" t="s">
        <v>178</v>
      </c>
      <c r="I4531" s="558">
        <v>31.6</v>
      </c>
      <c r="J4531" s="567">
        <v>12</v>
      </c>
      <c r="K4531" s="648">
        <v>1</v>
      </c>
      <c r="L4531" s="552">
        <f t="shared" si="864"/>
        <v>0.37920000000000004</v>
      </c>
      <c r="M4531" s="549"/>
      <c r="N4531" s="549"/>
      <c r="O4531" s="549"/>
      <c r="P4531" s="549"/>
      <c r="Q4531" s="1059"/>
      <c r="R4531" s="1059"/>
    </row>
    <row r="4532" spans="1:18" ht="17.399999999999999">
      <c r="A4532" s="549"/>
      <c r="B4532" s="549"/>
      <c r="C4532" s="549"/>
      <c r="D4532" s="549"/>
      <c r="E4532" s="549"/>
      <c r="F4532" s="549"/>
      <c r="G4532" s="549"/>
      <c r="H4532" s="549"/>
      <c r="I4532" s="558"/>
      <c r="J4532" s="567"/>
      <c r="K4532" s="648">
        <f t="shared" ref="K4532:L4532" si="865">SUM(K4528:K4531)</f>
        <v>234</v>
      </c>
      <c r="L4532" s="567">
        <f t="shared" si="865"/>
        <v>76.143360000000001</v>
      </c>
      <c r="M4532" s="549"/>
      <c r="N4532" s="549"/>
      <c r="O4532" s="549"/>
      <c r="P4532" s="549"/>
      <c r="Q4532" s="1059"/>
      <c r="R4532" s="1059"/>
    </row>
    <row r="4533" spans="1:18" ht="17.399999999999999">
      <c r="A4533" s="547" t="s">
        <v>445</v>
      </c>
      <c r="B4533" s="547" t="s">
        <v>487</v>
      </c>
      <c r="C4533" s="547" t="s">
        <v>19</v>
      </c>
      <c r="D4533" s="547" t="s">
        <v>20</v>
      </c>
      <c r="E4533" s="547" t="s">
        <v>47</v>
      </c>
      <c r="F4533" s="549"/>
      <c r="G4533" s="549" t="s">
        <v>21</v>
      </c>
      <c r="H4533" s="549" t="s">
        <v>179</v>
      </c>
      <c r="I4533" s="558">
        <v>33.799999999999997</v>
      </c>
      <c r="J4533" s="567">
        <v>8.1999999999999993</v>
      </c>
      <c r="K4533" s="648">
        <v>2</v>
      </c>
      <c r="L4533" s="552">
        <f t="shared" ref="L4533:L4535" si="866">(I4533*J4533*K4533/1000)</f>
        <v>0.55431999999999992</v>
      </c>
      <c r="M4533" s="549"/>
      <c r="N4533" s="549"/>
      <c r="O4533" s="549"/>
      <c r="P4533" s="549"/>
      <c r="Q4533" s="1059"/>
      <c r="R4533" s="1059"/>
    </row>
    <row r="4534" spans="1:18" ht="17.399999999999999">
      <c r="A4534" s="547"/>
      <c r="B4534" s="752" t="s">
        <v>439</v>
      </c>
      <c r="C4534" s="547"/>
      <c r="D4534" s="547"/>
      <c r="E4534" s="547"/>
      <c r="F4534" s="549"/>
      <c r="G4534" s="549" t="s">
        <v>21</v>
      </c>
      <c r="H4534" s="549" t="s">
        <v>179</v>
      </c>
      <c r="I4534" s="558">
        <v>33.799999999999997</v>
      </c>
      <c r="J4534" s="567">
        <v>9.4</v>
      </c>
      <c r="K4534" s="648">
        <v>2</v>
      </c>
      <c r="L4534" s="552">
        <f t="shared" si="866"/>
        <v>0.63543999999999989</v>
      </c>
      <c r="M4534" s="549"/>
      <c r="N4534" s="549"/>
      <c r="O4534" s="549"/>
      <c r="P4534" s="549"/>
      <c r="Q4534" s="1059"/>
      <c r="R4534" s="1059"/>
    </row>
    <row r="4535" spans="1:18" ht="17.399999999999999">
      <c r="A4535" s="549"/>
      <c r="B4535" s="549"/>
      <c r="C4535" s="549"/>
      <c r="D4535" s="549"/>
      <c r="E4535" s="549"/>
      <c r="F4535" s="549"/>
      <c r="G4535" s="549" t="s">
        <v>21</v>
      </c>
      <c r="H4535" s="549" t="s">
        <v>179</v>
      </c>
      <c r="I4535" s="558">
        <v>33.799999999999997</v>
      </c>
      <c r="J4535" s="567">
        <v>11.8</v>
      </c>
      <c r="K4535" s="648">
        <v>6</v>
      </c>
      <c r="L4535" s="552">
        <f t="shared" si="866"/>
        <v>2.3930400000000001</v>
      </c>
      <c r="M4535" s="549"/>
      <c r="N4535" s="549"/>
      <c r="O4535" s="549"/>
      <c r="P4535" s="549"/>
      <c r="Q4535" s="1059"/>
      <c r="R4535" s="1059"/>
    </row>
    <row r="4536" spans="1:18" ht="17.399999999999999">
      <c r="A4536" s="549"/>
      <c r="B4536" s="549"/>
      <c r="C4536" s="549"/>
      <c r="D4536" s="549"/>
      <c r="E4536" s="549"/>
      <c r="F4536" s="549"/>
      <c r="G4536" s="549"/>
      <c r="H4536" s="549"/>
      <c r="I4536" s="558"/>
      <c r="J4536" s="567"/>
      <c r="K4536" s="648">
        <f t="shared" ref="K4536:L4536" si="867">SUM(K4533:K4535)</f>
        <v>10</v>
      </c>
      <c r="L4536" s="567">
        <f t="shared" si="867"/>
        <v>3.5827999999999998</v>
      </c>
      <c r="M4536" s="549"/>
      <c r="N4536" s="549"/>
      <c r="O4536" s="549"/>
      <c r="P4536" s="549"/>
      <c r="Q4536" s="1059"/>
      <c r="R4536" s="1059"/>
    </row>
    <row r="4537" spans="1:18" ht="17.399999999999999">
      <c r="A4537" s="547" t="s">
        <v>445</v>
      </c>
      <c r="B4537" s="547" t="s">
        <v>487</v>
      </c>
      <c r="C4537" s="547" t="s">
        <v>19</v>
      </c>
      <c r="D4537" s="547" t="s">
        <v>20</v>
      </c>
      <c r="E4537" s="547" t="s">
        <v>47</v>
      </c>
      <c r="F4537" s="549"/>
      <c r="G4537" s="549" t="s">
        <v>21</v>
      </c>
      <c r="H4537" s="549" t="s">
        <v>180</v>
      </c>
      <c r="I4537" s="558">
        <v>35.9</v>
      </c>
      <c r="J4537" s="567">
        <v>6.2</v>
      </c>
      <c r="K4537" s="648">
        <v>44</v>
      </c>
      <c r="L4537" s="552">
        <f t="shared" ref="L4537:L4540" si="868">(I4537*J4537*K4537/1000)</f>
        <v>9.7935199999999991</v>
      </c>
      <c r="M4537" s="549"/>
      <c r="N4537" s="549"/>
      <c r="O4537" s="549"/>
      <c r="P4537" s="549"/>
      <c r="Q4537" s="1059"/>
      <c r="R4537" s="1059"/>
    </row>
    <row r="4538" spans="1:18" ht="17.399999999999999">
      <c r="A4538" s="547"/>
      <c r="B4538" s="752" t="s">
        <v>439</v>
      </c>
      <c r="C4538" s="547"/>
      <c r="D4538" s="547"/>
      <c r="E4538" s="547"/>
      <c r="F4538" s="549"/>
      <c r="G4538" s="549" t="s">
        <v>21</v>
      </c>
      <c r="H4538" s="549" t="s">
        <v>180</v>
      </c>
      <c r="I4538" s="558">
        <v>35.9</v>
      </c>
      <c r="J4538" s="567">
        <v>8.5</v>
      </c>
      <c r="K4538" s="648">
        <v>9</v>
      </c>
      <c r="L4538" s="552">
        <f t="shared" si="868"/>
        <v>2.7463500000000001</v>
      </c>
      <c r="M4538" s="549"/>
      <c r="N4538" s="549"/>
      <c r="O4538" s="549"/>
      <c r="P4538" s="549"/>
      <c r="Q4538" s="1059"/>
      <c r="R4538" s="1059"/>
    </row>
    <row r="4539" spans="1:18" ht="17.399999999999999">
      <c r="A4539" s="549"/>
      <c r="B4539" s="549"/>
      <c r="C4539" s="549"/>
      <c r="D4539" s="549"/>
      <c r="E4539" s="549"/>
      <c r="F4539" s="549"/>
      <c r="G4539" s="549" t="s">
        <v>21</v>
      </c>
      <c r="H4539" s="549" t="s">
        <v>180</v>
      </c>
      <c r="I4539" s="558">
        <v>35.9</v>
      </c>
      <c r="J4539" s="567">
        <v>10.199999999999999</v>
      </c>
      <c r="K4539" s="648">
        <v>25</v>
      </c>
      <c r="L4539" s="552">
        <f t="shared" si="868"/>
        <v>9.1544999999999987</v>
      </c>
      <c r="M4539" s="549"/>
      <c r="N4539" s="549"/>
      <c r="O4539" s="549"/>
      <c r="P4539" s="549"/>
      <c r="Q4539" s="1059"/>
      <c r="R4539" s="1059"/>
    </row>
    <row r="4540" spans="1:18" ht="17.399999999999999">
      <c r="A4540" s="549"/>
      <c r="B4540" s="549"/>
      <c r="C4540" s="549"/>
      <c r="D4540" s="549"/>
      <c r="E4540" s="549"/>
      <c r="F4540" s="549"/>
      <c r="G4540" s="549" t="s">
        <v>21</v>
      </c>
      <c r="H4540" s="549" t="s">
        <v>180</v>
      </c>
      <c r="I4540" s="558">
        <v>35.9</v>
      </c>
      <c r="J4540" s="567">
        <v>12</v>
      </c>
      <c r="K4540" s="648">
        <v>14</v>
      </c>
      <c r="L4540" s="552">
        <f t="shared" si="868"/>
        <v>6.0311999999999992</v>
      </c>
      <c r="M4540" s="549"/>
      <c r="N4540" s="549"/>
      <c r="O4540" s="549"/>
      <c r="P4540" s="549"/>
      <c r="Q4540" s="1059"/>
      <c r="R4540" s="1059"/>
    </row>
    <row r="4541" spans="1:18" ht="17.399999999999999">
      <c r="A4541" s="549"/>
      <c r="B4541" s="549"/>
      <c r="C4541" s="549"/>
      <c r="D4541" s="549"/>
      <c r="E4541" s="549"/>
      <c r="F4541" s="549"/>
      <c r="G4541" s="549"/>
      <c r="H4541" s="549"/>
      <c r="I4541" s="558"/>
      <c r="J4541" s="567"/>
      <c r="K4541" s="648">
        <f t="shared" ref="K4541:L4541" si="869">SUM(K4537:K4540)</f>
        <v>92</v>
      </c>
      <c r="L4541" s="567">
        <f t="shared" si="869"/>
        <v>27.725569999999998</v>
      </c>
      <c r="M4541" s="549"/>
      <c r="N4541" s="549"/>
      <c r="O4541" s="549"/>
      <c r="P4541" s="549"/>
      <c r="Q4541" s="1059"/>
      <c r="R4541" s="1059"/>
    </row>
    <row r="4542" spans="1:18" ht="17.399999999999999">
      <c r="A4542" s="547" t="s">
        <v>445</v>
      </c>
      <c r="B4542" s="547" t="s">
        <v>487</v>
      </c>
      <c r="C4542" s="547" t="s">
        <v>19</v>
      </c>
      <c r="D4542" s="547" t="s">
        <v>20</v>
      </c>
      <c r="E4542" s="547" t="s">
        <v>47</v>
      </c>
      <c r="F4542" s="549"/>
      <c r="G4542" s="549" t="s">
        <v>21</v>
      </c>
      <c r="H4542" s="549" t="s">
        <v>181</v>
      </c>
      <c r="I4542" s="558">
        <v>40.1</v>
      </c>
      <c r="J4542" s="567">
        <v>8.4</v>
      </c>
      <c r="K4542" s="648">
        <v>2</v>
      </c>
      <c r="L4542" s="552">
        <f t="shared" ref="L4542:L4543" si="870">(I4542*J4542*K4542/1000)</f>
        <v>0.67368000000000006</v>
      </c>
      <c r="M4542" s="549"/>
      <c r="N4542" s="549"/>
      <c r="O4542" s="549"/>
      <c r="P4542" s="549"/>
      <c r="Q4542" s="1059"/>
      <c r="R4542" s="1059"/>
    </row>
    <row r="4543" spans="1:18" ht="17.399999999999999">
      <c r="A4543" s="547"/>
      <c r="B4543" s="752" t="s">
        <v>439</v>
      </c>
      <c r="C4543" s="547"/>
      <c r="D4543" s="547"/>
      <c r="E4543" s="547"/>
      <c r="F4543" s="549"/>
      <c r="G4543" s="549" t="s">
        <v>21</v>
      </c>
      <c r="H4543" s="549" t="s">
        <v>181</v>
      </c>
      <c r="I4543" s="558">
        <v>40.1</v>
      </c>
      <c r="J4543" s="567">
        <v>9.8000000000000007</v>
      </c>
      <c r="K4543" s="648">
        <v>5</v>
      </c>
      <c r="L4543" s="552">
        <f t="shared" si="870"/>
        <v>1.9649000000000001</v>
      </c>
      <c r="M4543" s="549"/>
      <c r="N4543" s="549"/>
      <c r="O4543" s="549"/>
      <c r="P4543" s="549"/>
      <c r="Q4543" s="1059"/>
      <c r="R4543" s="1059"/>
    </row>
    <row r="4544" spans="1:18" ht="17.399999999999999">
      <c r="A4544" s="549"/>
      <c r="B4544" s="549"/>
      <c r="C4544" s="549"/>
      <c r="D4544" s="549"/>
      <c r="E4544" s="549"/>
      <c r="F4544" s="549"/>
      <c r="G4544" s="549"/>
      <c r="H4544" s="549"/>
      <c r="I4544" s="558"/>
      <c r="J4544" s="567"/>
      <c r="K4544" s="648">
        <f t="shared" ref="K4544:L4544" si="871">SUM(K4542:K4543)</f>
        <v>7</v>
      </c>
      <c r="L4544" s="567">
        <f t="shared" si="871"/>
        <v>2.6385800000000001</v>
      </c>
      <c r="M4544" s="549"/>
      <c r="N4544" s="549"/>
      <c r="O4544" s="549"/>
      <c r="P4544" s="549"/>
      <c r="Q4544" s="1059"/>
      <c r="R4544" s="1059"/>
    </row>
    <row r="4545" spans="1:18" ht="17.399999999999999">
      <c r="A4545" s="547" t="s">
        <v>445</v>
      </c>
      <c r="B4545" s="547" t="s">
        <v>487</v>
      </c>
      <c r="C4545" s="547" t="s">
        <v>19</v>
      </c>
      <c r="D4545" s="547" t="s">
        <v>20</v>
      </c>
      <c r="E4545" s="547" t="s">
        <v>47</v>
      </c>
      <c r="F4545" s="549"/>
      <c r="G4545" s="549" t="s">
        <v>21</v>
      </c>
      <c r="H4545" s="549" t="s">
        <v>182</v>
      </c>
      <c r="I4545" s="558">
        <v>44.2</v>
      </c>
      <c r="J4545" s="567">
        <v>8.5</v>
      </c>
      <c r="K4545" s="648">
        <v>3</v>
      </c>
      <c r="L4545" s="552">
        <f>(I4545*J4545*K4545/1000)</f>
        <v>1.1271000000000002</v>
      </c>
      <c r="M4545" s="549"/>
      <c r="N4545" s="549"/>
      <c r="O4545" s="549"/>
      <c r="P4545" s="549"/>
      <c r="Q4545" s="1059"/>
      <c r="R4545" s="1059"/>
    </row>
    <row r="4546" spans="1:18" ht="17.399999999999999">
      <c r="A4546" s="547"/>
      <c r="B4546" s="752" t="s">
        <v>439</v>
      </c>
      <c r="C4546" s="547"/>
      <c r="D4546" s="547"/>
      <c r="E4546" s="547"/>
      <c r="F4546" s="549"/>
      <c r="G4546" s="549"/>
      <c r="H4546" s="549"/>
      <c r="I4546" s="558"/>
      <c r="J4546" s="567"/>
      <c r="K4546" s="648">
        <f t="shared" ref="K4546:L4546" si="872">SUM(K4545)</f>
        <v>3</v>
      </c>
      <c r="L4546" s="567">
        <f t="shared" si="872"/>
        <v>1.1271000000000002</v>
      </c>
      <c r="M4546" s="549"/>
      <c r="N4546" s="549"/>
      <c r="O4546" s="549"/>
      <c r="P4546" s="549"/>
      <c r="Q4546" s="1059"/>
      <c r="R4546" s="1059"/>
    </row>
    <row r="4547" spans="1:18" ht="17.399999999999999">
      <c r="A4547" s="549"/>
      <c r="B4547" s="549"/>
      <c r="C4547" s="549"/>
      <c r="D4547" s="549"/>
      <c r="E4547" s="549"/>
      <c r="F4547" s="549"/>
      <c r="G4547" s="549"/>
      <c r="H4547" s="549"/>
      <c r="I4547" s="560"/>
      <c r="J4547" s="549"/>
      <c r="K4547" s="561"/>
      <c r="L4547" s="560"/>
      <c r="M4547" s="549"/>
      <c r="N4547" s="549"/>
      <c r="O4547" s="549"/>
      <c r="P4547" s="549"/>
      <c r="Q4547" s="1059"/>
      <c r="R4547" s="1059"/>
    </row>
    <row r="4548" spans="1:18" ht="17.399999999999999">
      <c r="A4548" s="547" t="s">
        <v>445</v>
      </c>
      <c r="B4548" s="547" t="s">
        <v>487</v>
      </c>
      <c r="C4548" s="547" t="s">
        <v>19</v>
      </c>
      <c r="D4548" s="547" t="s">
        <v>20</v>
      </c>
      <c r="E4548" s="547" t="s">
        <v>47</v>
      </c>
      <c r="F4548" s="549"/>
      <c r="G4548" s="549" t="s">
        <v>21</v>
      </c>
      <c r="H4548" s="549" t="s">
        <v>70</v>
      </c>
      <c r="I4548" s="558">
        <v>5.76</v>
      </c>
      <c r="J4548" s="567">
        <v>10</v>
      </c>
      <c r="K4548" s="648">
        <v>10</v>
      </c>
      <c r="L4548" s="552">
        <f t="shared" ref="L4548:L4552" si="873">(I4548*J4548*K4548/1000)</f>
        <v>0.57599999999999996</v>
      </c>
      <c r="M4548" s="549"/>
      <c r="N4548" s="549"/>
      <c r="O4548" s="549"/>
      <c r="P4548" s="549"/>
      <c r="Q4548" s="1059"/>
      <c r="R4548" s="1059"/>
    </row>
    <row r="4549" spans="1:18" ht="17.399999999999999">
      <c r="A4549" s="547"/>
      <c r="B4549" s="752" t="s">
        <v>439</v>
      </c>
      <c r="C4549" s="547"/>
      <c r="D4549" s="547"/>
      <c r="E4549" s="547"/>
      <c r="F4549" s="549"/>
      <c r="G4549" s="549" t="s">
        <v>21</v>
      </c>
      <c r="H4549" s="549" t="s">
        <v>70</v>
      </c>
      <c r="I4549" s="558">
        <v>5.76</v>
      </c>
      <c r="J4549" s="567">
        <v>10.5</v>
      </c>
      <c r="K4549" s="648">
        <v>125</v>
      </c>
      <c r="L4549" s="552">
        <f t="shared" si="873"/>
        <v>7.56</v>
      </c>
      <c r="M4549" s="549"/>
      <c r="N4549" s="549"/>
      <c r="O4549" s="549"/>
      <c r="P4549" s="549"/>
      <c r="Q4549" s="1059"/>
      <c r="R4549" s="1059"/>
    </row>
    <row r="4550" spans="1:18" ht="17.399999999999999">
      <c r="A4550" s="549"/>
      <c r="B4550" s="549"/>
      <c r="C4550" s="549"/>
      <c r="D4550" s="549"/>
      <c r="E4550" s="549"/>
      <c r="F4550" s="549"/>
      <c r="G4550" s="549" t="s">
        <v>21</v>
      </c>
      <c r="H4550" s="549" t="s">
        <v>70</v>
      </c>
      <c r="I4550" s="558">
        <v>5.76</v>
      </c>
      <c r="J4550" s="567">
        <v>11</v>
      </c>
      <c r="K4550" s="648">
        <v>79</v>
      </c>
      <c r="L4550" s="552">
        <f t="shared" si="873"/>
        <v>5.0054399999999992</v>
      </c>
      <c r="M4550" s="549"/>
      <c r="N4550" s="549"/>
      <c r="O4550" s="549"/>
      <c r="P4550" s="549"/>
      <c r="Q4550" s="1059"/>
      <c r="R4550" s="1059"/>
    </row>
    <row r="4551" spans="1:18" ht="17.399999999999999">
      <c r="A4551" s="549"/>
      <c r="B4551" s="549"/>
      <c r="C4551" s="549"/>
      <c r="D4551" s="549"/>
      <c r="E4551" s="549"/>
      <c r="F4551" s="549"/>
      <c r="G4551" s="549" t="s">
        <v>21</v>
      </c>
      <c r="H4551" s="549" t="s">
        <v>70</v>
      </c>
      <c r="I4551" s="558">
        <v>5.76</v>
      </c>
      <c r="J4551" s="567">
        <v>11.5</v>
      </c>
      <c r="K4551" s="648">
        <v>15</v>
      </c>
      <c r="L4551" s="552">
        <f t="shared" si="873"/>
        <v>0.99359999999999993</v>
      </c>
      <c r="M4551" s="549"/>
      <c r="N4551" s="549"/>
      <c r="O4551" s="549"/>
      <c r="P4551" s="549"/>
      <c r="Q4551" s="1059"/>
      <c r="R4551" s="1059"/>
    </row>
    <row r="4552" spans="1:18" ht="17.399999999999999">
      <c r="A4552" s="549"/>
      <c r="B4552" s="549"/>
      <c r="C4552" s="549"/>
      <c r="D4552" s="549"/>
      <c r="E4552" s="549"/>
      <c r="F4552" s="549"/>
      <c r="G4552" s="549" t="s">
        <v>21</v>
      </c>
      <c r="H4552" s="549" t="s">
        <v>70</v>
      </c>
      <c r="I4552" s="558">
        <v>5.76</v>
      </c>
      <c r="J4552" s="567">
        <v>12</v>
      </c>
      <c r="K4552" s="648">
        <v>109</v>
      </c>
      <c r="L4552" s="552">
        <f t="shared" si="873"/>
        <v>7.5340800000000012</v>
      </c>
      <c r="M4552" s="549"/>
      <c r="N4552" s="549"/>
      <c r="O4552" s="549"/>
      <c r="P4552" s="549"/>
      <c r="Q4552" s="1059"/>
      <c r="R4552" s="1059"/>
    </row>
    <row r="4553" spans="1:18" ht="17.399999999999999">
      <c r="A4553" s="549"/>
      <c r="B4553" s="549"/>
      <c r="C4553" s="549"/>
      <c r="D4553" s="549"/>
      <c r="E4553" s="549"/>
      <c r="F4553" s="549"/>
      <c r="G4553" s="549"/>
      <c r="H4553" s="549"/>
      <c r="I4553" s="558"/>
      <c r="J4553" s="567"/>
      <c r="K4553" s="648">
        <f t="shared" ref="K4553:L4553" si="874">SUM(K4548:K4552)</f>
        <v>338</v>
      </c>
      <c r="L4553" s="567">
        <f t="shared" si="874"/>
        <v>21.669119999999999</v>
      </c>
      <c r="M4553" s="549"/>
      <c r="N4553" s="549"/>
      <c r="O4553" s="549"/>
      <c r="P4553" s="549"/>
      <c r="Q4553" s="1059"/>
      <c r="R4553" s="1059"/>
    </row>
    <row r="4554" spans="1:18" ht="17.399999999999999">
      <c r="A4554" s="547" t="s">
        <v>445</v>
      </c>
      <c r="B4554" s="547" t="s">
        <v>487</v>
      </c>
      <c r="C4554" s="547" t="s">
        <v>19</v>
      </c>
      <c r="D4554" s="547" t="s">
        <v>20</v>
      </c>
      <c r="E4554" s="547" t="s">
        <v>47</v>
      </c>
      <c r="F4554" s="549"/>
      <c r="G4554" s="549" t="s">
        <v>21</v>
      </c>
      <c r="H4554" s="549" t="s">
        <v>69</v>
      </c>
      <c r="I4554" s="558">
        <v>6.85</v>
      </c>
      <c r="J4554" s="567">
        <v>9.5</v>
      </c>
      <c r="K4554" s="648">
        <v>5</v>
      </c>
      <c r="L4554" s="552">
        <f t="shared" ref="L4554:L4561" si="875">(I4554*J4554*K4554/1000)</f>
        <v>0.32537500000000003</v>
      </c>
      <c r="M4554" s="549"/>
      <c r="N4554" s="549"/>
      <c r="O4554" s="549"/>
      <c r="P4554" s="549"/>
      <c r="Q4554" s="1059"/>
      <c r="R4554" s="1059"/>
    </row>
    <row r="4555" spans="1:18" ht="17.399999999999999">
      <c r="A4555" s="547"/>
      <c r="B4555" s="752" t="s">
        <v>439</v>
      </c>
      <c r="C4555" s="547"/>
      <c r="D4555" s="547"/>
      <c r="E4555" s="547"/>
      <c r="F4555" s="549"/>
      <c r="G4555" s="549" t="s">
        <v>21</v>
      </c>
      <c r="H4555" s="549" t="s">
        <v>69</v>
      </c>
      <c r="I4555" s="558">
        <v>6.85</v>
      </c>
      <c r="J4555" s="567">
        <v>10</v>
      </c>
      <c r="K4555" s="648">
        <v>6</v>
      </c>
      <c r="L4555" s="552">
        <f t="shared" si="875"/>
        <v>0.41099999999999998</v>
      </c>
      <c r="M4555" s="549"/>
      <c r="N4555" s="549"/>
      <c r="O4555" s="549"/>
      <c r="P4555" s="549"/>
      <c r="Q4555" s="1059"/>
      <c r="R4555" s="1059"/>
    </row>
    <row r="4556" spans="1:18" ht="17.399999999999999">
      <c r="A4556" s="549"/>
      <c r="B4556" s="549"/>
      <c r="C4556" s="549"/>
      <c r="D4556" s="549"/>
      <c r="E4556" s="549"/>
      <c r="F4556" s="549"/>
      <c r="G4556" s="549" t="s">
        <v>21</v>
      </c>
      <c r="H4556" s="549" t="s">
        <v>69</v>
      </c>
      <c r="I4556" s="558">
        <v>6.85</v>
      </c>
      <c r="J4556" s="567">
        <v>10.5</v>
      </c>
      <c r="K4556" s="648">
        <v>11</v>
      </c>
      <c r="L4556" s="552">
        <f t="shared" si="875"/>
        <v>0.79117499999999996</v>
      </c>
      <c r="M4556" s="549"/>
      <c r="N4556" s="549"/>
      <c r="O4556" s="549"/>
      <c r="P4556" s="549"/>
      <c r="Q4556" s="1059"/>
      <c r="R4556" s="1059"/>
    </row>
    <row r="4557" spans="1:18" ht="17.399999999999999">
      <c r="A4557" s="549"/>
      <c r="B4557" s="549"/>
      <c r="C4557" s="549"/>
      <c r="D4557" s="549"/>
      <c r="E4557" s="549"/>
      <c r="F4557" s="549"/>
      <c r="G4557" s="549" t="s">
        <v>21</v>
      </c>
      <c r="H4557" s="549" t="s">
        <v>69</v>
      </c>
      <c r="I4557" s="558">
        <v>6.85</v>
      </c>
      <c r="J4557" s="567">
        <v>10.8</v>
      </c>
      <c r="K4557" s="648">
        <v>84</v>
      </c>
      <c r="L4557" s="552">
        <f t="shared" si="875"/>
        <v>6.2143200000000007</v>
      </c>
      <c r="M4557" s="549"/>
      <c r="N4557" s="549"/>
      <c r="O4557" s="549"/>
      <c r="P4557" s="549"/>
      <c r="Q4557" s="1059"/>
      <c r="R4557" s="1059"/>
    </row>
    <row r="4558" spans="1:18" ht="17.399999999999999">
      <c r="A4558" s="549"/>
      <c r="B4558" s="549"/>
      <c r="C4558" s="549"/>
      <c r="D4558" s="549"/>
      <c r="E4558" s="549"/>
      <c r="F4558" s="549"/>
      <c r="G4558" s="549" t="s">
        <v>21</v>
      </c>
      <c r="H4558" s="549" t="s">
        <v>69</v>
      </c>
      <c r="I4558" s="558">
        <v>6.85</v>
      </c>
      <c r="J4558" s="567">
        <v>11</v>
      </c>
      <c r="K4558" s="648">
        <v>44</v>
      </c>
      <c r="L4558" s="552">
        <f t="shared" si="875"/>
        <v>3.3153999999999995</v>
      </c>
      <c r="M4558" s="549"/>
      <c r="N4558" s="549"/>
      <c r="O4558" s="549"/>
      <c r="P4558" s="549"/>
      <c r="Q4558" s="1059"/>
      <c r="R4558" s="1059"/>
    </row>
    <row r="4559" spans="1:18" ht="17.399999999999999">
      <c r="A4559" s="549"/>
      <c r="B4559" s="549"/>
      <c r="C4559" s="549"/>
      <c r="D4559" s="549"/>
      <c r="E4559" s="549"/>
      <c r="F4559" s="549"/>
      <c r="G4559" s="549" t="s">
        <v>21</v>
      </c>
      <c r="H4559" s="549" t="s">
        <v>69</v>
      </c>
      <c r="I4559" s="558">
        <v>6.85</v>
      </c>
      <c r="J4559" s="567">
        <v>11.5</v>
      </c>
      <c r="K4559" s="648">
        <v>13</v>
      </c>
      <c r="L4559" s="552">
        <f t="shared" si="875"/>
        <v>1.0240749999999998</v>
      </c>
      <c r="M4559" s="549"/>
      <c r="N4559" s="549"/>
      <c r="O4559" s="549"/>
      <c r="P4559" s="549"/>
      <c r="Q4559" s="1059"/>
      <c r="R4559" s="1059"/>
    </row>
    <row r="4560" spans="1:18" ht="17.399999999999999">
      <c r="A4560" s="549"/>
      <c r="B4560" s="549"/>
      <c r="C4560" s="549"/>
      <c r="D4560" s="549"/>
      <c r="E4560" s="549"/>
      <c r="F4560" s="549"/>
      <c r="G4560" s="549" t="s">
        <v>21</v>
      </c>
      <c r="H4560" s="549" t="s">
        <v>69</v>
      </c>
      <c r="I4560" s="558">
        <v>6.85</v>
      </c>
      <c r="J4560" s="567">
        <v>11.7</v>
      </c>
      <c r="K4560" s="648">
        <v>152</v>
      </c>
      <c r="L4560" s="552">
        <f t="shared" si="875"/>
        <v>12.182039999999999</v>
      </c>
      <c r="M4560" s="549"/>
      <c r="N4560" s="549"/>
      <c r="O4560" s="549"/>
      <c r="P4560" s="549"/>
      <c r="Q4560" s="1059"/>
      <c r="R4560" s="1059"/>
    </row>
    <row r="4561" spans="1:18" ht="17.399999999999999">
      <c r="A4561" s="549"/>
      <c r="B4561" s="549"/>
      <c r="C4561" s="549"/>
      <c r="D4561" s="549"/>
      <c r="E4561" s="549"/>
      <c r="F4561" s="549"/>
      <c r="G4561" s="549" t="s">
        <v>21</v>
      </c>
      <c r="H4561" s="549" t="s">
        <v>69</v>
      </c>
      <c r="I4561" s="558">
        <v>6.85</v>
      </c>
      <c r="J4561" s="567">
        <v>12</v>
      </c>
      <c r="K4561" s="648">
        <v>15</v>
      </c>
      <c r="L4561" s="552">
        <f t="shared" si="875"/>
        <v>1.2329999999999999</v>
      </c>
      <c r="M4561" s="549"/>
      <c r="N4561" s="549"/>
      <c r="O4561" s="549"/>
      <c r="P4561" s="549"/>
      <c r="Q4561" s="1059"/>
      <c r="R4561" s="1059"/>
    </row>
    <row r="4562" spans="1:18" ht="17.399999999999999">
      <c r="A4562" s="549"/>
      <c r="B4562" s="549"/>
      <c r="C4562" s="549"/>
      <c r="D4562" s="549"/>
      <c r="E4562" s="549"/>
      <c r="F4562" s="549"/>
      <c r="G4562" s="549"/>
      <c r="H4562" s="549"/>
      <c r="I4562" s="558"/>
      <c r="J4562" s="567"/>
      <c r="K4562" s="648">
        <f t="shared" ref="K4562:L4562" si="876">SUM(K4554:K4561)</f>
        <v>330</v>
      </c>
      <c r="L4562" s="567">
        <f t="shared" si="876"/>
        <v>25.496385</v>
      </c>
      <c r="M4562" s="549"/>
      <c r="N4562" s="549"/>
      <c r="O4562" s="549"/>
      <c r="P4562" s="549"/>
      <c r="Q4562" s="1059"/>
      <c r="R4562" s="1059"/>
    </row>
    <row r="4563" spans="1:18" ht="17.399999999999999">
      <c r="A4563" s="547" t="s">
        <v>445</v>
      </c>
      <c r="B4563" s="547" t="s">
        <v>487</v>
      </c>
      <c r="C4563" s="547" t="s">
        <v>19</v>
      </c>
      <c r="D4563" s="547" t="s">
        <v>20</v>
      </c>
      <c r="E4563" s="547" t="s">
        <v>47</v>
      </c>
      <c r="F4563" s="549"/>
      <c r="G4563" s="549" t="s">
        <v>21</v>
      </c>
      <c r="H4563" s="549" t="s">
        <v>511</v>
      </c>
      <c r="I4563" s="558">
        <v>6.17</v>
      </c>
      <c r="J4563" s="567">
        <v>8.85</v>
      </c>
      <c r="K4563" s="648">
        <v>58</v>
      </c>
      <c r="L4563" s="552">
        <f t="shared" ref="L4563:L4565" si="877">(I4563*J4563*K4563/1000)</f>
        <v>3.1670609999999999</v>
      </c>
      <c r="M4563" s="549"/>
      <c r="N4563" s="549"/>
      <c r="O4563" s="549"/>
      <c r="P4563" s="549"/>
      <c r="Q4563" s="1059"/>
      <c r="R4563" s="1059"/>
    </row>
    <row r="4564" spans="1:18" ht="17.399999999999999">
      <c r="A4564" s="547"/>
      <c r="B4564" s="752" t="s">
        <v>439</v>
      </c>
      <c r="C4564" s="547"/>
      <c r="D4564" s="547"/>
      <c r="E4564" s="547"/>
      <c r="F4564" s="549"/>
      <c r="G4564" s="549" t="s">
        <v>21</v>
      </c>
      <c r="H4564" s="549" t="s">
        <v>511</v>
      </c>
      <c r="I4564" s="558">
        <v>6.17</v>
      </c>
      <c r="J4564" s="567">
        <v>11.3</v>
      </c>
      <c r="K4564" s="648">
        <v>12</v>
      </c>
      <c r="L4564" s="552">
        <f t="shared" si="877"/>
        <v>0.83665200000000006</v>
      </c>
      <c r="M4564" s="549"/>
      <c r="N4564" s="549"/>
      <c r="O4564" s="549"/>
      <c r="P4564" s="549"/>
      <c r="Q4564" s="1059"/>
      <c r="R4564" s="1059"/>
    </row>
    <row r="4565" spans="1:18" ht="17.399999999999999">
      <c r="A4565" s="549"/>
      <c r="B4565" s="549"/>
      <c r="C4565" s="549"/>
      <c r="D4565" s="549"/>
      <c r="E4565" s="549"/>
      <c r="F4565" s="549"/>
      <c r="G4565" s="549" t="s">
        <v>21</v>
      </c>
      <c r="H4565" s="549" t="s">
        <v>511</v>
      </c>
      <c r="I4565" s="558">
        <v>6.17</v>
      </c>
      <c r="J4565" s="567">
        <v>12</v>
      </c>
      <c r="K4565" s="648">
        <v>11</v>
      </c>
      <c r="L4565" s="552">
        <f t="shared" si="877"/>
        <v>0.81443999999999994</v>
      </c>
      <c r="M4565" s="549"/>
      <c r="N4565" s="549"/>
      <c r="O4565" s="549"/>
      <c r="P4565" s="549"/>
      <c r="Q4565" s="1059"/>
      <c r="R4565" s="1059"/>
    </row>
    <row r="4566" spans="1:18" ht="17.399999999999999">
      <c r="A4566" s="549"/>
      <c r="B4566" s="549"/>
      <c r="C4566" s="549"/>
      <c r="D4566" s="549"/>
      <c r="E4566" s="549"/>
      <c r="F4566" s="549"/>
      <c r="G4566" s="549"/>
      <c r="H4566" s="549"/>
      <c r="I4566" s="558"/>
      <c r="J4566" s="567"/>
      <c r="K4566" s="648">
        <f t="shared" ref="K4566:L4566" si="878">SUM(K4563:K4565)</f>
        <v>81</v>
      </c>
      <c r="L4566" s="567">
        <f t="shared" si="878"/>
        <v>4.8181530000000006</v>
      </c>
      <c r="M4566" s="549"/>
      <c r="N4566" s="549"/>
      <c r="O4566" s="549"/>
      <c r="P4566" s="549"/>
      <c r="Q4566" s="1059"/>
      <c r="R4566" s="1059"/>
    </row>
    <row r="4567" spans="1:18" ht="17.399999999999999">
      <c r="A4567" s="547" t="s">
        <v>445</v>
      </c>
      <c r="B4567" s="547" t="s">
        <v>487</v>
      </c>
      <c r="C4567" s="547" t="s">
        <v>19</v>
      </c>
      <c r="D4567" s="547" t="s">
        <v>20</v>
      </c>
      <c r="E4567" s="547" t="s">
        <v>47</v>
      </c>
      <c r="F4567" s="549"/>
      <c r="G4567" s="549" t="s">
        <v>21</v>
      </c>
      <c r="H4567" s="549" t="s">
        <v>131</v>
      </c>
      <c r="I4567" s="558">
        <v>7.34</v>
      </c>
      <c r="J4567" s="567">
        <v>10</v>
      </c>
      <c r="K4567" s="648">
        <v>61</v>
      </c>
      <c r="L4567" s="552">
        <f t="shared" ref="L4567:L4570" si="879">(I4567*J4567*K4567/1000)</f>
        <v>4.4774000000000003</v>
      </c>
      <c r="M4567" s="549"/>
      <c r="N4567" s="549"/>
      <c r="O4567" s="549"/>
      <c r="P4567" s="549"/>
      <c r="Q4567" s="1059"/>
      <c r="R4567" s="1059"/>
    </row>
    <row r="4568" spans="1:18" ht="17.399999999999999">
      <c r="A4568" s="547"/>
      <c r="B4568" s="752" t="s">
        <v>439</v>
      </c>
      <c r="C4568" s="547"/>
      <c r="D4568" s="547"/>
      <c r="E4568" s="547"/>
      <c r="F4568" s="549"/>
      <c r="G4568" s="549" t="s">
        <v>21</v>
      </c>
      <c r="H4568" s="549" t="s">
        <v>131</v>
      </c>
      <c r="I4568" s="558">
        <v>7.34</v>
      </c>
      <c r="J4568" s="567">
        <v>11</v>
      </c>
      <c r="K4568" s="648">
        <v>101</v>
      </c>
      <c r="L4568" s="552">
        <f t="shared" si="879"/>
        <v>8.1547400000000003</v>
      </c>
      <c r="M4568" s="549"/>
      <c r="N4568" s="549"/>
      <c r="O4568" s="549"/>
      <c r="P4568" s="549"/>
      <c r="Q4568" s="1059"/>
      <c r="R4568" s="1059"/>
    </row>
    <row r="4569" spans="1:18" ht="17.399999999999999">
      <c r="A4569" s="549"/>
      <c r="B4569" s="549"/>
      <c r="C4569" s="549"/>
      <c r="D4569" s="549"/>
      <c r="E4569" s="549"/>
      <c r="F4569" s="549"/>
      <c r="G4569" s="549" t="s">
        <v>21</v>
      </c>
      <c r="H4569" s="549" t="s">
        <v>131</v>
      </c>
      <c r="I4569" s="558">
        <v>7.34</v>
      </c>
      <c r="J4569" s="567">
        <v>11.5</v>
      </c>
      <c r="K4569" s="648">
        <v>41</v>
      </c>
      <c r="L4569" s="552">
        <f t="shared" si="879"/>
        <v>3.4608099999999999</v>
      </c>
      <c r="M4569" s="549"/>
      <c r="N4569" s="549"/>
      <c r="O4569" s="549"/>
      <c r="P4569" s="549"/>
      <c r="Q4569" s="1059"/>
      <c r="R4569" s="1059"/>
    </row>
    <row r="4570" spans="1:18" ht="17.399999999999999">
      <c r="A4570" s="549"/>
      <c r="B4570" s="549"/>
      <c r="C4570" s="549"/>
      <c r="D4570" s="549"/>
      <c r="E4570" s="549"/>
      <c r="F4570" s="549"/>
      <c r="G4570" s="549" t="s">
        <v>21</v>
      </c>
      <c r="H4570" s="549" t="s">
        <v>131</v>
      </c>
      <c r="I4570" s="558">
        <v>7.34</v>
      </c>
      <c r="J4570" s="567">
        <v>12</v>
      </c>
      <c r="K4570" s="648">
        <v>99</v>
      </c>
      <c r="L4570" s="552">
        <f t="shared" si="879"/>
        <v>8.7199200000000001</v>
      </c>
      <c r="M4570" s="549"/>
      <c r="N4570" s="549"/>
      <c r="O4570" s="549"/>
      <c r="P4570" s="549"/>
      <c r="Q4570" s="1059"/>
      <c r="R4570" s="1059"/>
    </row>
    <row r="4571" spans="1:18" ht="17.399999999999999">
      <c r="A4571" s="549"/>
      <c r="B4571" s="549"/>
      <c r="C4571" s="549"/>
      <c r="D4571" s="549"/>
      <c r="E4571" s="549"/>
      <c r="F4571" s="549"/>
      <c r="G4571" s="549"/>
      <c r="H4571" s="549"/>
      <c r="I4571" s="558"/>
      <c r="J4571" s="567"/>
      <c r="K4571" s="648">
        <f t="shared" ref="K4571:L4571" si="880">SUM(K4567:K4570)</f>
        <v>302</v>
      </c>
      <c r="L4571" s="567">
        <f t="shared" si="880"/>
        <v>24.812869999999997</v>
      </c>
      <c r="M4571" s="549"/>
      <c r="N4571" s="549"/>
      <c r="O4571" s="549"/>
      <c r="P4571" s="549"/>
      <c r="Q4571" s="1059"/>
      <c r="R4571" s="1059"/>
    </row>
    <row r="4572" spans="1:18" ht="17.399999999999999">
      <c r="A4572" s="547" t="s">
        <v>445</v>
      </c>
      <c r="B4572" s="547" t="s">
        <v>487</v>
      </c>
      <c r="C4572" s="547" t="s">
        <v>19</v>
      </c>
      <c r="D4572" s="547" t="s">
        <v>60</v>
      </c>
      <c r="E4572" s="547" t="s">
        <v>323</v>
      </c>
      <c r="F4572" s="549"/>
      <c r="G4572" s="549" t="s">
        <v>61</v>
      </c>
      <c r="H4572" s="549" t="s">
        <v>131</v>
      </c>
      <c r="I4572" s="558">
        <v>7.34</v>
      </c>
      <c r="J4572" s="567">
        <v>10.5</v>
      </c>
      <c r="K4572" s="648">
        <v>6</v>
      </c>
      <c r="L4572" s="552">
        <f>(I4572*J4572*K4572/1000)</f>
        <v>0.46241999999999994</v>
      </c>
      <c r="M4572" s="549"/>
      <c r="N4572" s="549"/>
      <c r="O4572" s="549"/>
      <c r="P4572" s="549"/>
      <c r="Q4572" s="1059"/>
      <c r="R4572" s="1059"/>
    </row>
    <row r="4573" spans="1:18" ht="17.399999999999999">
      <c r="A4573" s="547"/>
      <c r="B4573" s="752" t="s">
        <v>439</v>
      </c>
      <c r="C4573" s="547"/>
      <c r="D4573" s="547"/>
      <c r="E4573" s="547"/>
      <c r="F4573" s="549"/>
      <c r="G4573" s="549"/>
      <c r="H4573" s="549"/>
      <c r="I4573" s="558"/>
      <c r="J4573" s="567"/>
      <c r="K4573" s="648">
        <f t="shared" ref="K4573:L4573" si="881">SUM(K4572)</f>
        <v>6</v>
      </c>
      <c r="L4573" s="567">
        <f t="shared" si="881"/>
        <v>0.46241999999999994</v>
      </c>
      <c r="M4573" s="549"/>
      <c r="N4573" s="549"/>
      <c r="O4573" s="549"/>
      <c r="P4573" s="549"/>
      <c r="Q4573" s="1059"/>
      <c r="R4573" s="1059"/>
    </row>
    <row r="4574" spans="1:18" ht="17.399999999999999">
      <c r="A4574" s="549"/>
      <c r="B4574" s="549"/>
      <c r="C4574" s="549"/>
      <c r="D4574" s="549"/>
      <c r="E4574" s="549"/>
      <c r="F4574" s="549"/>
      <c r="G4574" s="549"/>
      <c r="H4574" s="549"/>
      <c r="I4574" s="560"/>
      <c r="J4574" s="549"/>
      <c r="K4574" s="561"/>
      <c r="L4574" s="560"/>
      <c r="M4574" s="549"/>
      <c r="N4574" s="549"/>
      <c r="O4574" s="549"/>
      <c r="P4574" s="549"/>
      <c r="Q4574" s="1059"/>
      <c r="R4574" s="1059"/>
    </row>
    <row r="4575" spans="1:18" ht="17.399999999999999">
      <c r="A4575" s="547" t="s">
        <v>445</v>
      </c>
      <c r="B4575" s="547" t="s">
        <v>512</v>
      </c>
      <c r="C4575" s="547" t="s">
        <v>19</v>
      </c>
      <c r="D4575" s="547" t="s">
        <v>20</v>
      </c>
      <c r="E4575" s="547" t="s">
        <v>57</v>
      </c>
      <c r="F4575" s="549"/>
      <c r="G4575" s="549" t="s">
        <v>21</v>
      </c>
      <c r="H4575" s="549" t="s">
        <v>69</v>
      </c>
      <c r="I4575" s="558">
        <v>6.85</v>
      </c>
      <c r="J4575" s="567">
        <v>9.6999999999999993</v>
      </c>
      <c r="K4575" s="648">
        <v>152</v>
      </c>
      <c r="L4575" s="552">
        <f t="shared" ref="L4575:L4578" si="882">(I4575*J4575*K4575/1000)</f>
        <v>10.099639999999999</v>
      </c>
      <c r="M4575" s="549"/>
      <c r="N4575" s="549"/>
      <c r="O4575" s="549"/>
      <c r="P4575" s="549"/>
      <c r="Q4575" s="1059"/>
      <c r="R4575" s="1059"/>
    </row>
    <row r="4576" spans="1:18" ht="17.399999999999999">
      <c r="A4576" s="547"/>
      <c r="B4576" s="832" t="s">
        <v>423</v>
      </c>
      <c r="C4576" s="547"/>
      <c r="D4576" s="547"/>
      <c r="E4576" s="547"/>
      <c r="F4576" s="549"/>
      <c r="G4576" s="549" t="s">
        <v>21</v>
      </c>
      <c r="H4576" s="549" t="s">
        <v>69</v>
      </c>
      <c r="I4576" s="558">
        <v>6.85</v>
      </c>
      <c r="J4576" s="567">
        <v>10.5</v>
      </c>
      <c r="K4576" s="648">
        <v>49</v>
      </c>
      <c r="L4576" s="552">
        <f t="shared" si="882"/>
        <v>3.5243249999999997</v>
      </c>
      <c r="M4576" s="549"/>
      <c r="N4576" s="549"/>
      <c r="O4576" s="549"/>
      <c r="P4576" s="549"/>
      <c r="Q4576" s="1059"/>
      <c r="R4576" s="1059"/>
    </row>
    <row r="4577" spans="1:18" ht="17.399999999999999">
      <c r="A4577" s="549"/>
      <c r="B4577" s="549"/>
      <c r="C4577" s="549"/>
      <c r="D4577" s="549"/>
      <c r="E4577" s="549"/>
      <c r="F4577" s="549"/>
      <c r="G4577" s="549" t="s">
        <v>21</v>
      </c>
      <c r="H4577" s="549" t="s">
        <v>69</v>
      </c>
      <c r="I4577" s="558">
        <v>6.85</v>
      </c>
      <c r="J4577" s="567">
        <v>11.3</v>
      </c>
      <c r="K4577" s="648">
        <v>51</v>
      </c>
      <c r="L4577" s="552">
        <f t="shared" si="882"/>
        <v>3.9476550000000001</v>
      </c>
      <c r="M4577" s="549"/>
      <c r="N4577" s="549"/>
      <c r="O4577" s="549"/>
      <c r="P4577" s="549"/>
      <c r="Q4577" s="1059"/>
      <c r="R4577" s="1059"/>
    </row>
    <row r="4578" spans="1:18" ht="17.399999999999999">
      <c r="A4578" s="549"/>
      <c r="B4578" s="549"/>
      <c r="C4578" s="549"/>
      <c r="D4578" s="549"/>
      <c r="E4578" s="549"/>
      <c r="F4578" s="549"/>
      <c r="G4578" s="549" t="s">
        <v>21</v>
      </c>
      <c r="H4578" s="549" t="s">
        <v>69</v>
      </c>
      <c r="I4578" s="558">
        <v>6.85</v>
      </c>
      <c r="J4578" s="567">
        <v>12</v>
      </c>
      <c r="K4578" s="648">
        <v>35</v>
      </c>
      <c r="L4578" s="552">
        <f t="shared" si="882"/>
        <v>2.8769999999999993</v>
      </c>
      <c r="M4578" s="549"/>
      <c r="N4578" s="549"/>
      <c r="O4578" s="549"/>
      <c r="P4578" s="549"/>
      <c r="Q4578" s="1059"/>
      <c r="R4578" s="1059"/>
    </row>
    <row r="4579" spans="1:18" ht="17.399999999999999">
      <c r="A4579" s="549"/>
      <c r="B4579" s="549"/>
      <c r="C4579" s="549"/>
      <c r="D4579" s="549"/>
      <c r="E4579" s="549"/>
      <c r="F4579" s="549"/>
      <c r="G4579" s="549"/>
      <c r="H4579" s="549"/>
      <c r="I4579" s="564"/>
      <c r="J4579" s="567"/>
      <c r="K4579" s="648">
        <f t="shared" ref="K4579:L4579" si="883">SUM(K4575:K4578)</f>
        <v>287</v>
      </c>
      <c r="L4579" s="647">
        <f t="shared" si="883"/>
        <v>20.448619999999998</v>
      </c>
      <c r="M4579" s="549"/>
      <c r="N4579" s="549"/>
      <c r="O4579" s="549"/>
      <c r="P4579" s="549"/>
      <c r="Q4579" s="1059"/>
      <c r="R4579" s="1059"/>
    </row>
    <row r="4580" spans="1:18" ht="17.399999999999999">
      <c r="A4580" s="549"/>
      <c r="B4580" s="549"/>
      <c r="C4580" s="549"/>
      <c r="D4580" s="549"/>
      <c r="E4580" s="549"/>
      <c r="F4580" s="549"/>
      <c r="G4580" s="549"/>
      <c r="H4580" s="549"/>
      <c r="I4580" s="560"/>
      <c r="J4580" s="549"/>
      <c r="K4580" s="561"/>
      <c r="L4580" s="560"/>
      <c r="M4580" s="549"/>
      <c r="N4580" s="549"/>
      <c r="O4580" s="549"/>
      <c r="P4580" s="549"/>
      <c r="Q4580" s="1059"/>
      <c r="R4580" s="1059"/>
    </row>
    <row r="4581" spans="1:18" ht="17.399999999999999">
      <c r="A4581" s="547" t="s">
        <v>445</v>
      </c>
      <c r="B4581" s="547" t="s">
        <v>513</v>
      </c>
      <c r="C4581" s="547" t="s">
        <v>19</v>
      </c>
      <c r="D4581" s="547" t="s">
        <v>20</v>
      </c>
      <c r="E4581" s="547" t="s">
        <v>57</v>
      </c>
      <c r="F4581" s="549"/>
      <c r="G4581" s="549" t="s">
        <v>21</v>
      </c>
      <c r="H4581" s="549" t="s">
        <v>182</v>
      </c>
      <c r="I4581" s="558">
        <v>44.2</v>
      </c>
      <c r="J4581" s="567">
        <v>9.6999999999999993</v>
      </c>
      <c r="K4581" s="648">
        <v>12</v>
      </c>
      <c r="L4581" s="552">
        <f>(I4581*J4581*K4581/1000)</f>
        <v>5.1448799999999997</v>
      </c>
      <c r="M4581" s="549"/>
      <c r="N4581" s="549"/>
      <c r="O4581" s="549"/>
      <c r="P4581" s="549"/>
      <c r="Q4581" s="1059"/>
      <c r="R4581" s="1059"/>
    </row>
    <row r="4582" spans="1:18" ht="17.399999999999999">
      <c r="A4582" s="547"/>
      <c r="B4582" s="549" t="s">
        <v>423</v>
      </c>
      <c r="C4582" s="547"/>
      <c r="D4582" s="547"/>
      <c r="E4582" s="547"/>
      <c r="F4582" s="549"/>
      <c r="G4582" s="549" t="s">
        <v>21</v>
      </c>
      <c r="H4582" s="549" t="s">
        <v>182</v>
      </c>
      <c r="I4582" s="558">
        <v>44.2</v>
      </c>
      <c r="J4582" s="567"/>
      <c r="K4582" s="648"/>
      <c r="L4582" s="552">
        <f>(I4582*J4582*K4582/1000)</f>
        <v>0</v>
      </c>
      <c r="M4582" s="549"/>
      <c r="N4582" s="549"/>
      <c r="O4582" s="549"/>
      <c r="P4582" s="549"/>
      <c r="Q4582" s="1059"/>
      <c r="R4582" s="1059"/>
    </row>
    <row r="4583" spans="1:18" ht="17.399999999999999">
      <c r="A4583" s="549"/>
      <c r="B4583" s="549"/>
      <c r="C4583" s="549"/>
      <c r="D4583" s="549"/>
      <c r="E4583" s="549"/>
      <c r="F4583" s="549"/>
      <c r="G4583" s="549" t="s">
        <v>21</v>
      </c>
      <c r="H4583" s="549" t="s">
        <v>182</v>
      </c>
      <c r="I4583" s="558">
        <v>44.2</v>
      </c>
      <c r="J4583" s="567"/>
      <c r="K4583" s="648"/>
      <c r="L4583" s="552">
        <f>(I4583*J4583*K4583/1000)</f>
        <v>0</v>
      </c>
      <c r="M4583" s="549"/>
      <c r="N4583" s="549"/>
      <c r="O4583" s="549"/>
      <c r="P4583" s="549"/>
      <c r="Q4583" s="1059"/>
      <c r="R4583" s="1059"/>
    </row>
    <row r="4584" spans="1:18" ht="17.399999999999999">
      <c r="A4584" s="549"/>
      <c r="B4584" s="549"/>
      <c r="C4584" s="549"/>
      <c r="D4584" s="549"/>
      <c r="E4584" s="549"/>
      <c r="F4584" s="549"/>
      <c r="G4584" s="549"/>
      <c r="H4584" s="549"/>
      <c r="I4584" s="558"/>
      <c r="J4584" s="567"/>
      <c r="K4584" s="648">
        <f>SUM(K4581:K4583)</f>
        <v>12</v>
      </c>
      <c r="L4584" s="567">
        <f>SUM(L4581:L4583)</f>
        <v>5.1448799999999997</v>
      </c>
      <c r="M4584" s="549"/>
      <c r="N4584" s="549"/>
      <c r="O4584" s="549"/>
      <c r="P4584" s="549"/>
      <c r="Q4584" s="1059"/>
      <c r="R4584" s="1059"/>
    </row>
    <row r="4585" spans="1:18" ht="17.399999999999999">
      <c r="A4585" s="549"/>
      <c r="B4585" s="549"/>
      <c r="C4585" s="549"/>
      <c r="D4585" s="549"/>
      <c r="E4585" s="549"/>
      <c r="F4585" s="549"/>
      <c r="G4585" s="549"/>
      <c r="H4585" s="549"/>
      <c r="I4585" s="560"/>
      <c r="J4585" s="549"/>
      <c r="K4585" s="561"/>
      <c r="L4585" s="560"/>
      <c r="M4585" s="549"/>
      <c r="N4585" s="549"/>
      <c r="O4585" s="549"/>
      <c r="P4585" s="549"/>
      <c r="Q4585" s="1059"/>
      <c r="R4585" s="1059"/>
    </row>
    <row r="4586" spans="1:18" ht="17.399999999999999">
      <c r="A4586" s="549"/>
      <c r="B4586" s="549"/>
      <c r="C4586" s="549"/>
      <c r="D4586" s="549"/>
      <c r="E4586" s="549"/>
      <c r="F4586" s="549"/>
      <c r="G4586" s="549"/>
      <c r="H4586" s="549"/>
      <c r="I4586" s="560"/>
      <c r="J4586" s="549"/>
      <c r="K4586" s="561"/>
      <c r="L4586" s="560"/>
      <c r="M4586" s="549"/>
      <c r="N4586" s="549"/>
      <c r="O4586" s="549"/>
      <c r="P4586" s="549"/>
      <c r="Q4586" s="1059"/>
      <c r="R4586" s="1059"/>
    </row>
    <row r="4587" spans="1:18" ht="17.399999999999999">
      <c r="A4587" s="547" t="s">
        <v>445</v>
      </c>
      <c r="B4587" s="547" t="s">
        <v>516</v>
      </c>
      <c r="C4587" s="547" t="s">
        <v>19</v>
      </c>
      <c r="D4587" s="547" t="s">
        <v>20</v>
      </c>
      <c r="E4587" s="547" t="s">
        <v>264</v>
      </c>
      <c r="F4587" s="549"/>
      <c r="G4587" s="549" t="s">
        <v>21</v>
      </c>
      <c r="H4587" s="549" t="s">
        <v>122</v>
      </c>
      <c r="I4587" s="558">
        <v>14.7</v>
      </c>
      <c r="J4587" s="567">
        <v>9.6</v>
      </c>
      <c r="K4587" s="648">
        <v>8</v>
      </c>
      <c r="L4587" s="552">
        <f>(I4587*J4587*K4587/1000)</f>
        <v>1.1289599999999997</v>
      </c>
      <c r="M4587" s="549"/>
      <c r="N4587" s="549"/>
      <c r="O4587" s="549"/>
      <c r="P4587" s="549"/>
      <c r="Q4587" s="1059"/>
      <c r="R4587" s="1059"/>
    </row>
    <row r="4588" spans="1:18" ht="17.399999999999999">
      <c r="A4588" s="547"/>
      <c r="B4588" s="549" t="s">
        <v>421</v>
      </c>
      <c r="C4588" s="547"/>
      <c r="D4588" s="547"/>
      <c r="E4588" s="547"/>
      <c r="F4588" s="549"/>
      <c r="G4588" s="549"/>
      <c r="H4588" s="549"/>
      <c r="I4588" s="558"/>
      <c r="J4588" s="567"/>
      <c r="K4588" s="648">
        <f t="shared" ref="K4588:L4588" si="884">SUM(K4587)</f>
        <v>8</v>
      </c>
      <c r="L4588" s="567">
        <f t="shared" si="884"/>
        <v>1.1289599999999997</v>
      </c>
      <c r="M4588" s="549"/>
      <c r="N4588" s="549"/>
      <c r="O4588" s="549"/>
      <c r="P4588" s="549"/>
      <c r="Q4588" s="1059"/>
      <c r="R4588" s="1059"/>
    </row>
    <row r="4589" spans="1:18" ht="17.399999999999999">
      <c r="A4589" s="547" t="s">
        <v>445</v>
      </c>
      <c r="B4589" s="547" t="s">
        <v>516</v>
      </c>
      <c r="C4589" s="547" t="s">
        <v>19</v>
      </c>
      <c r="D4589" s="547" t="s">
        <v>20</v>
      </c>
      <c r="E4589" s="547" t="s">
        <v>264</v>
      </c>
      <c r="F4589" s="549"/>
      <c r="G4589" s="549" t="s">
        <v>21</v>
      </c>
      <c r="H4589" s="549" t="s">
        <v>177</v>
      </c>
      <c r="I4589" s="558">
        <v>27.3</v>
      </c>
      <c r="J4589" s="567">
        <v>8.5</v>
      </c>
      <c r="K4589" s="648">
        <v>10</v>
      </c>
      <c r="L4589" s="552">
        <f>(I4589*J4589*K4589/1000)</f>
        <v>2.3205</v>
      </c>
      <c r="M4589" s="549"/>
      <c r="N4589" s="549"/>
      <c r="O4589" s="549"/>
      <c r="P4589" s="549"/>
      <c r="Q4589" s="1059"/>
      <c r="R4589" s="1059"/>
    </row>
    <row r="4590" spans="1:18" ht="17.399999999999999">
      <c r="A4590" s="547"/>
      <c r="B4590" s="549" t="s">
        <v>421</v>
      </c>
      <c r="C4590" s="547"/>
      <c r="D4590" s="547"/>
      <c r="E4590" s="547"/>
      <c r="F4590" s="549"/>
      <c r="G4590" s="549" t="s">
        <v>21</v>
      </c>
      <c r="H4590" s="549" t="s">
        <v>177</v>
      </c>
      <c r="I4590" s="558">
        <v>27.3</v>
      </c>
      <c r="J4590" s="567"/>
      <c r="K4590" s="648"/>
      <c r="L4590" s="552">
        <f>(I4590*J4590*K4590/1000)</f>
        <v>0</v>
      </c>
      <c r="M4590" s="549"/>
      <c r="N4590" s="549"/>
      <c r="O4590" s="549"/>
      <c r="P4590" s="549"/>
      <c r="Q4590" s="1059"/>
      <c r="R4590" s="1059"/>
    </row>
    <row r="4591" spans="1:18" ht="17.399999999999999">
      <c r="A4591" s="549"/>
      <c r="B4591" s="549"/>
      <c r="C4591" s="549"/>
      <c r="D4591" s="549"/>
      <c r="E4591" s="549"/>
      <c r="F4591" s="549"/>
      <c r="G4591" s="549"/>
      <c r="H4591" s="549"/>
      <c r="I4591" s="558"/>
      <c r="J4591" s="567"/>
      <c r="K4591" s="648">
        <f t="shared" ref="K4591:L4591" si="885">SUM(K4589:K4590)</f>
        <v>10</v>
      </c>
      <c r="L4591" s="567">
        <f t="shared" si="885"/>
        <v>2.3205</v>
      </c>
      <c r="M4591" s="549"/>
      <c r="N4591" s="549"/>
      <c r="O4591" s="549"/>
      <c r="P4591" s="549"/>
      <c r="Q4591" s="1059"/>
      <c r="R4591" s="1059"/>
    </row>
    <row r="4592" spans="1:18" ht="17.399999999999999">
      <c r="A4592" s="547" t="s">
        <v>445</v>
      </c>
      <c r="B4592" s="547" t="s">
        <v>516</v>
      </c>
      <c r="C4592" s="547" t="s">
        <v>19</v>
      </c>
      <c r="D4592" s="547" t="s">
        <v>20</v>
      </c>
      <c r="E4592" s="547" t="s">
        <v>264</v>
      </c>
      <c r="F4592" s="549"/>
      <c r="G4592" s="549" t="s">
        <v>21</v>
      </c>
      <c r="H4592" s="549" t="s">
        <v>514</v>
      </c>
      <c r="I4592" s="558">
        <v>31.6</v>
      </c>
      <c r="J4592" s="567">
        <v>6.9</v>
      </c>
      <c r="K4592" s="648">
        <v>2</v>
      </c>
      <c r="L4592" s="552">
        <f>(I4592*J4592*K4592/1000)</f>
        <v>0.43608000000000002</v>
      </c>
      <c r="M4592" s="549"/>
      <c r="N4592" s="549"/>
      <c r="O4592" s="549"/>
      <c r="P4592" s="549"/>
      <c r="Q4592" s="1059"/>
      <c r="R4592" s="1059"/>
    </row>
    <row r="4593" spans="1:18" ht="17.399999999999999">
      <c r="A4593" s="547"/>
      <c r="B4593" s="549" t="s">
        <v>421</v>
      </c>
      <c r="C4593" s="547"/>
      <c r="D4593" s="547"/>
      <c r="E4593" s="547"/>
      <c r="F4593" s="549"/>
      <c r="G4593" s="549" t="s">
        <v>21</v>
      </c>
      <c r="H4593" s="549" t="s">
        <v>514</v>
      </c>
      <c r="I4593" s="558"/>
      <c r="J4593" s="567"/>
      <c r="K4593" s="648"/>
      <c r="L4593" s="552">
        <f>(I4593*J4593*K4593/1000)</f>
        <v>0</v>
      </c>
      <c r="M4593" s="549"/>
      <c r="N4593" s="549"/>
      <c r="O4593" s="549"/>
      <c r="P4593" s="549"/>
      <c r="Q4593" s="1059"/>
      <c r="R4593" s="1059"/>
    </row>
    <row r="4594" spans="1:18" ht="17.399999999999999">
      <c r="A4594" s="549"/>
      <c r="B4594" s="549"/>
      <c r="C4594" s="549"/>
      <c r="D4594" s="549"/>
      <c r="E4594" s="549"/>
      <c r="F4594" s="549"/>
      <c r="G4594" s="549"/>
      <c r="H4594" s="549"/>
      <c r="I4594" s="558"/>
      <c r="J4594" s="567"/>
      <c r="K4594" s="648">
        <f>SUM(K4592:K4593)</f>
        <v>2</v>
      </c>
      <c r="L4594" s="567">
        <f>SUM(L4592:L4593)</f>
        <v>0.43608000000000002</v>
      </c>
      <c r="M4594" s="549"/>
      <c r="N4594" s="549"/>
      <c r="O4594" s="549"/>
      <c r="P4594" s="549"/>
      <c r="Q4594" s="1059"/>
      <c r="R4594" s="1059"/>
    </row>
    <row r="4595" spans="1:18" ht="17.399999999999999">
      <c r="A4595" s="547" t="s">
        <v>445</v>
      </c>
      <c r="B4595" s="547" t="s">
        <v>516</v>
      </c>
      <c r="C4595" s="547" t="s">
        <v>19</v>
      </c>
      <c r="D4595" s="547" t="s">
        <v>20</v>
      </c>
      <c r="E4595" s="547" t="s">
        <v>264</v>
      </c>
      <c r="F4595" s="549"/>
      <c r="G4595" s="549" t="s">
        <v>21</v>
      </c>
      <c r="H4595" s="549" t="s">
        <v>515</v>
      </c>
      <c r="I4595" s="558">
        <v>40.1</v>
      </c>
      <c r="J4595" s="567">
        <v>5.75</v>
      </c>
      <c r="K4595" s="648">
        <v>8</v>
      </c>
      <c r="L4595" s="552">
        <f>(I4595*J4595*K4595/1000)</f>
        <v>1.8446000000000002</v>
      </c>
      <c r="M4595" s="549"/>
      <c r="N4595" s="549"/>
      <c r="O4595" s="549"/>
      <c r="P4595" s="549"/>
      <c r="Q4595" s="1059"/>
      <c r="R4595" s="1059"/>
    </row>
    <row r="4596" spans="1:18" ht="17.399999999999999">
      <c r="A4596" s="547"/>
      <c r="B4596" s="549" t="s">
        <v>421</v>
      </c>
      <c r="C4596" s="547"/>
      <c r="D4596" s="547"/>
      <c r="E4596" s="547"/>
      <c r="F4596" s="549"/>
      <c r="G4596" s="549" t="s">
        <v>21</v>
      </c>
      <c r="H4596" s="549" t="s">
        <v>515</v>
      </c>
      <c r="I4596" s="558"/>
      <c r="J4596" s="567"/>
      <c r="K4596" s="648"/>
      <c r="L4596" s="552">
        <f>(I4596*J4596*K4596/1000)</f>
        <v>0</v>
      </c>
      <c r="M4596" s="549"/>
      <c r="N4596" s="549"/>
      <c r="O4596" s="549"/>
      <c r="P4596" s="549"/>
      <c r="Q4596" s="1059"/>
      <c r="R4596" s="1059"/>
    </row>
    <row r="4597" spans="1:18" ht="17.399999999999999">
      <c r="A4597" s="549"/>
      <c r="B4597" s="549"/>
      <c r="C4597" s="549"/>
      <c r="D4597" s="549"/>
      <c r="E4597" s="549"/>
      <c r="F4597" s="549"/>
      <c r="G4597" s="549"/>
      <c r="H4597" s="549"/>
      <c r="I4597" s="558"/>
      <c r="J4597" s="567"/>
      <c r="K4597" s="648">
        <f>SUM(K4595:K4596)</f>
        <v>8</v>
      </c>
      <c r="L4597" s="567">
        <f>SUM(L4595:L4596)</f>
        <v>1.8446000000000002</v>
      </c>
      <c r="M4597" s="549"/>
      <c r="N4597" s="549"/>
      <c r="O4597" s="549"/>
      <c r="P4597" s="549"/>
      <c r="Q4597" s="1059"/>
      <c r="R4597" s="1059"/>
    </row>
    <row r="4598" spans="1:18" ht="17.399999999999999">
      <c r="A4598" s="549"/>
      <c r="B4598" s="549"/>
      <c r="C4598" s="549"/>
      <c r="D4598" s="549"/>
      <c r="E4598" s="549"/>
      <c r="F4598" s="549"/>
      <c r="G4598" s="549"/>
      <c r="H4598" s="549"/>
      <c r="I4598" s="560"/>
      <c r="J4598" s="549"/>
      <c r="K4598" s="561"/>
      <c r="L4598" s="560"/>
      <c r="M4598" s="549"/>
      <c r="N4598" s="549"/>
      <c r="O4598" s="549"/>
      <c r="P4598" s="549"/>
      <c r="Q4598" s="1059"/>
      <c r="R4598" s="1059"/>
    </row>
    <row r="4599" spans="1:18" ht="17.399999999999999">
      <c r="A4599" s="547" t="s">
        <v>445</v>
      </c>
      <c r="B4599" s="547" t="s">
        <v>517</v>
      </c>
      <c r="C4599" s="547" t="s">
        <v>19</v>
      </c>
      <c r="D4599" s="547" t="s">
        <v>20</v>
      </c>
      <c r="E4599" s="547" t="s">
        <v>57</v>
      </c>
      <c r="F4599" s="549"/>
      <c r="G4599" s="549" t="s">
        <v>21</v>
      </c>
      <c r="H4599" s="549" t="s">
        <v>120</v>
      </c>
      <c r="I4599" s="558">
        <v>18.2</v>
      </c>
      <c r="J4599" s="567">
        <v>9.1</v>
      </c>
      <c r="K4599" s="648">
        <v>148</v>
      </c>
      <c r="L4599" s="552">
        <f>(I4599*J4599*K4599/1000)</f>
        <v>24.511759999999995</v>
      </c>
      <c r="M4599" s="549"/>
      <c r="N4599" s="549"/>
      <c r="O4599" s="549"/>
      <c r="P4599" s="549"/>
      <c r="Q4599" s="1059"/>
      <c r="R4599" s="1059"/>
    </row>
    <row r="4600" spans="1:18" ht="17.399999999999999">
      <c r="A4600" s="547"/>
      <c r="B4600" s="549" t="s">
        <v>423</v>
      </c>
      <c r="C4600" s="547"/>
      <c r="D4600" s="547"/>
      <c r="E4600" s="547"/>
      <c r="F4600" s="549"/>
      <c r="G4600" s="549"/>
      <c r="H4600" s="549"/>
      <c r="I4600" s="558"/>
      <c r="J4600" s="567"/>
      <c r="K4600" s="648">
        <f t="shared" ref="K4600:L4600" si="886">SUM(K4599)</f>
        <v>148</v>
      </c>
      <c r="L4600" s="567">
        <f t="shared" si="886"/>
        <v>24.511759999999995</v>
      </c>
      <c r="M4600" s="549"/>
      <c r="N4600" s="549"/>
      <c r="O4600" s="549"/>
      <c r="P4600" s="549"/>
      <c r="Q4600" s="1059"/>
      <c r="R4600" s="1059"/>
    </row>
    <row r="4601" spans="1:18" ht="17.399999999999999">
      <c r="A4601" s="547" t="s">
        <v>445</v>
      </c>
      <c r="B4601" s="547" t="s">
        <v>517</v>
      </c>
      <c r="C4601" s="547" t="s">
        <v>19</v>
      </c>
      <c r="D4601" s="547" t="s">
        <v>20</v>
      </c>
      <c r="E4601" s="547" t="s">
        <v>57</v>
      </c>
      <c r="F4601" s="549"/>
      <c r="G4601" s="549" t="s">
        <v>21</v>
      </c>
      <c r="H4601" s="549" t="s">
        <v>122</v>
      </c>
      <c r="I4601" s="558">
        <v>14.7</v>
      </c>
      <c r="J4601" s="567">
        <v>9.1999999999999993</v>
      </c>
      <c r="K4601" s="648">
        <v>296</v>
      </c>
      <c r="L4601" s="552">
        <f>(I4601*J4601*K4601/1000)</f>
        <v>40.03103999999999</v>
      </c>
      <c r="M4601" s="549"/>
      <c r="N4601" s="549"/>
      <c r="O4601" s="549"/>
      <c r="P4601" s="549"/>
      <c r="Q4601" s="1059"/>
      <c r="R4601" s="1059"/>
    </row>
    <row r="4602" spans="1:18" ht="17.399999999999999">
      <c r="A4602" s="547"/>
      <c r="B4602" s="549" t="s">
        <v>423</v>
      </c>
      <c r="C4602" s="547"/>
      <c r="D4602" s="547"/>
      <c r="E4602" s="547"/>
      <c r="F4602" s="549"/>
      <c r="G4602" s="549"/>
      <c r="H4602" s="549"/>
      <c r="I4602" s="558"/>
      <c r="J4602" s="567"/>
      <c r="K4602" s="648">
        <f t="shared" ref="K4602:L4602" si="887">SUM(K4601)</f>
        <v>296</v>
      </c>
      <c r="L4602" s="567">
        <f t="shared" si="887"/>
        <v>40.03103999999999</v>
      </c>
      <c r="M4602" s="549"/>
      <c r="N4602" s="549"/>
      <c r="O4602" s="549"/>
      <c r="P4602" s="549"/>
      <c r="Q4602" s="1059"/>
      <c r="R4602" s="1059"/>
    </row>
    <row r="4603" spans="1:18" ht="17.399999999999999">
      <c r="A4603" s="547" t="s">
        <v>445</v>
      </c>
      <c r="B4603" s="547" t="s">
        <v>517</v>
      </c>
      <c r="C4603" s="547" t="s">
        <v>19</v>
      </c>
      <c r="D4603" s="547" t="s">
        <v>20</v>
      </c>
      <c r="E4603" s="547" t="s">
        <v>57</v>
      </c>
      <c r="F4603" s="549"/>
      <c r="G4603" s="549" t="s">
        <v>21</v>
      </c>
      <c r="H4603" s="549" t="s">
        <v>126</v>
      </c>
      <c r="I4603" s="558">
        <v>23.6</v>
      </c>
      <c r="J4603" s="567">
        <v>7.6</v>
      </c>
      <c r="K4603" s="648">
        <v>148</v>
      </c>
      <c r="L4603" s="552">
        <f t="shared" ref="L4603:L4604" si="888">(I4603*J4603*K4603/1000)</f>
        <v>26.545280000000002</v>
      </c>
      <c r="M4603" s="549"/>
      <c r="N4603" s="549"/>
      <c r="O4603" s="549"/>
      <c r="P4603" s="549"/>
      <c r="Q4603" s="1059"/>
      <c r="R4603" s="1059"/>
    </row>
    <row r="4604" spans="1:18" ht="17.399999999999999">
      <c r="A4604" s="547"/>
      <c r="B4604" s="549" t="s">
        <v>423</v>
      </c>
      <c r="C4604" s="547"/>
      <c r="D4604" s="547"/>
      <c r="E4604" s="547"/>
      <c r="F4604" s="549"/>
      <c r="G4604" s="549" t="s">
        <v>21</v>
      </c>
      <c r="H4604" s="549" t="s">
        <v>126</v>
      </c>
      <c r="I4604" s="558">
        <v>23.6</v>
      </c>
      <c r="J4604" s="567">
        <v>9.5</v>
      </c>
      <c r="K4604" s="648">
        <v>1</v>
      </c>
      <c r="L4604" s="552">
        <f t="shared" si="888"/>
        <v>0.22420000000000001</v>
      </c>
      <c r="M4604" s="549"/>
      <c r="N4604" s="549"/>
      <c r="O4604" s="549"/>
      <c r="P4604" s="549"/>
      <c r="Q4604" s="1059"/>
      <c r="R4604" s="1059"/>
    </row>
    <row r="4605" spans="1:18" ht="17.399999999999999">
      <c r="A4605" s="549"/>
      <c r="B4605" s="549"/>
      <c r="C4605" s="549"/>
      <c r="D4605" s="549"/>
      <c r="E4605" s="549"/>
      <c r="F4605" s="549"/>
      <c r="G4605" s="549"/>
      <c r="H4605" s="549"/>
      <c r="I4605" s="558"/>
      <c r="J4605" s="567"/>
      <c r="K4605" s="648">
        <f t="shared" ref="K4605:L4605" si="889">SUM(K4603:K4604)</f>
        <v>149</v>
      </c>
      <c r="L4605" s="567">
        <f t="shared" si="889"/>
        <v>26.769480000000001</v>
      </c>
      <c r="M4605" s="549"/>
      <c r="N4605" s="549"/>
      <c r="O4605" s="549"/>
      <c r="P4605" s="549"/>
      <c r="Q4605" s="1059"/>
      <c r="R4605" s="1059"/>
    </row>
    <row r="4606" spans="1:18" ht="17.399999999999999">
      <c r="A4606" s="547" t="s">
        <v>445</v>
      </c>
      <c r="B4606" s="547" t="s">
        <v>517</v>
      </c>
      <c r="C4606" s="547" t="s">
        <v>19</v>
      </c>
      <c r="D4606" s="547" t="s">
        <v>20</v>
      </c>
      <c r="E4606" s="547" t="s">
        <v>57</v>
      </c>
      <c r="F4606" s="549"/>
      <c r="G4606" s="549" t="s">
        <v>21</v>
      </c>
      <c r="H4606" s="549" t="s">
        <v>181</v>
      </c>
      <c r="I4606" s="558">
        <v>40.1</v>
      </c>
      <c r="J4606" s="567">
        <v>6.15</v>
      </c>
      <c r="K4606" s="648">
        <v>16</v>
      </c>
      <c r="L4606" s="552">
        <f t="shared" ref="L4606:L4612" si="890">(I4606*J4606*K4606/1000)</f>
        <v>3.94584</v>
      </c>
      <c r="M4606" s="549"/>
      <c r="N4606" s="549"/>
      <c r="O4606" s="549"/>
      <c r="P4606" s="549"/>
      <c r="Q4606" s="1059"/>
      <c r="R4606" s="1059"/>
    </row>
    <row r="4607" spans="1:18" ht="17.399999999999999">
      <c r="A4607" s="547"/>
      <c r="B4607" s="549" t="s">
        <v>423</v>
      </c>
      <c r="C4607" s="547"/>
      <c r="D4607" s="547"/>
      <c r="E4607" s="547"/>
      <c r="F4607" s="549"/>
      <c r="G4607" s="549" t="s">
        <v>21</v>
      </c>
      <c r="H4607" s="549" t="s">
        <v>181</v>
      </c>
      <c r="I4607" s="558">
        <v>40.1</v>
      </c>
      <c r="J4607" s="567">
        <v>6.85</v>
      </c>
      <c r="K4607" s="648">
        <v>30</v>
      </c>
      <c r="L4607" s="552">
        <f t="shared" si="890"/>
        <v>8.2405499999999989</v>
      </c>
      <c r="M4607" s="549"/>
      <c r="N4607" s="549"/>
      <c r="O4607" s="549"/>
      <c r="P4607" s="549"/>
      <c r="Q4607" s="1059"/>
      <c r="R4607" s="1059"/>
    </row>
    <row r="4608" spans="1:18" ht="17.399999999999999">
      <c r="A4608" s="549"/>
      <c r="B4608" s="549"/>
      <c r="C4608" s="549"/>
      <c r="D4608" s="549"/>
      <c r="E4608" s="549"/>
      <c r="F4608" s="549"/>
      <c r="G4608" s="549" t="s">
        <v>21</v>
      </c>
      <c r="H4608" s="549" t="s">
        <v>181</v>
      </c>
      <c r="I4608" s="558">
        <v>40.1</v>
      </c>
      <c r="J4608" s="567">
        <v>8.9</v>
      </c>
      <c r="K4608" s="648">
        <v>24</v>
      </c>
      <c r="L4608" s="552">
        <f t="shared" si="890"/>
        <v>8.5653600000000001</v>
      </c>
      <c r="M4608" s="549"/>
      <c r="N4608" s="549"/>
      <c r="O4608" s="549"/>
      <c r="P4608" s="549"/>
      <c r="Q4608" s="1059"/>
      <c r="R4608" s="1059"/>
    </row>
    <row r="4609" spans="1:18" ht="17.399999999999999">
      <c r="A4609" s="549"/>
      <c r="B4609" s="549"/>
      <c r="C4609" s="549"/>
      <c r="D4609" s="549"/>
      <c r="E4609" s="549"/>
      <c r="F4609" s="549"/>
      <c r="G4609" s="549" t="s">
        <v>21</v>
      </c>
      <c r="H4609" s="549" t="s">
        <v>181</v>
      </c>
      <c r="I4609" s="558">
        <v>40.1</v>
      </c>
      <c r="J4609" s="567">
        <v>9.1</v>
      </c>
      <c r="K4609" s="648">
        <v>146</v>
      </c>
      <c r="L4609" s="552">
        <f t="shared" si="890"/>
        <v>53.276859999999999</v>
      </c>
      <c r="M4609" s="549"/>
      <c r="N4609" s="549"/>
      <c r="O4609" s="549"/>
      <c r="P4609" s="549"/>
      <c r="Q4609" s="1059"/>
      <c r="R4609" s="1059"/>
    </row>
    <row r="4610" spans="1:18" ht="17.399999999999999">
      <c r="A4610" s="549"/>
      <c r="B4610" s="549"/>
      <c r="C4610" s="549"/>
      <c r="D4610" s="549"/>
      <c r="E4610" s="549"/>
      <c r="F4610" s="549"/>
      <c r="G4610" s="549" t="s">
        <v>21</v>
      </c>
      <c r="H4610" s="549" t="s">
        <v>181</v>
      </c>
      <c r="I4610" s="558">
        <v>40.1</v>
      </c>
      <c r="J4610" s="567">
        <v>9.1999999999999993</v>
      </c>
      <c r="K4610" s="648">
        <v>9</v>
      </c>
      <c r="L4610" s="552">
        <f t="shared" si="890"/>
        <v>3.3202799999999999</v>
      </c>
      <c r="M4610" s="549"/>
      <c r="N4610" s="549"/>
      <c r="O4610" s="549"/>
      <c r="P4610" s="549"/>
      <c r="Q4610" s="1059"/>
      <c r="R4610" s="1059"/>
    </row>
    <row r="4611" spans="1:18" ht="17.399999999999999">
      <c r="A4611" s="549"/>
      <c r="B4611" s="549"/>
      <c r="C4611" s="549"/>
      <c r="D4611" s="549"/>
      <c r="E4611" s="549"/>
      <c r="F4611" s="549"/>
      <c r="G4611" s="549" t="s">
        <v>21</v>
      </c>
      <c r="H4611" s="549" t="s">
        <v>181</v>
      </c>
      <c r="I4611" s="558">
        <v>40.1</v>
      </c>
      <c r="J4611" s="567">
        <v>9.6</v>
      </c>
      <c r="K4611" s="648">
        <v>38</v>
      </c>
      <c r="L4611" s="552">
        <f t="shared" si="890"/>
        <v>14.62848</v>
      </c>
      <c r="M4611" s="549"/>
      <c r="N4611" s="549"/>
      <c r="O4611" s="549"/>
      <c r="P4611" s="549"/>
      <c r="Q4611" s="1059"/>
      <c r="R4611" s="1059"/>
    </row>
    <row r="4612" spans="1:18" ht="17.399999999999999">
      <c r="A4612" s="549"/>
      <c r="B4612" s="549"/>
      <c r="C4612" s="549"/>
      <c r="D4612" s="549"/>
      <c r="E4612" s="549"/>
      <c r="F4612" s="549"/>
      <c r="G4612" s="549" t="s">
        <v>21</v>
      </c>
      <c r="H4612" s="549" t="s">
        <v>181</v>
      </c>
      <c r="I4612" s="558">
        <v>40.1</v>
      </c>
      <c r="J4612" s="567">
        <v>10.3</v>
      </c>
      <c r="K4612" s="648">
        <v>3</v>
      </c>
      <c r="L4612" s="552">
        <f t="shared" si="890"/>
        <v>1.2390900000000002</v>
      </c>
      <c r="M4612" s="549"/>
      <c r="N4612" s="549"/>
      <c r="O4612" s="549"/>
      <c r="P4612" s="549"/>
      <c r="Q4612" s="1059"/>
      <c r="R4612" s="1059"/>
    </row>
    <row r="4613" spans="1:18" ht="17.399999999999999">
      <c r="A4613" s="549"/>
      <c r="B4613" s="549"/>
      <c r="C4613" s="549"/>
      <c r="D4613" s="549"/>
      <c r="E4613" s="549"/>
      <c r="F4613" s="549"/>
      <c r="G4613" s="549"/>
      <c r="H4613" s="549"/>
      <c r="I4613" s="558"/>
      <c r="J4613" s="567"/>
      <c r="K4613" s="648">
        <f t="shared" ref="K4613:L4613" si="891">SUM(K4606:K4612)</f>
        <v>266</v>
      </c>
      <c r="L4613" s="567">
        <f t="shared" si="891"/>
        <v>93.216459999999998</v>
      </c>
      <c r="M4613" s="549"/>
      <c r="N4613" s="549"/>
      <c r="O4613" s="549"/>
      <c r="P4613" s="549"/>
      <c r="Q4613" s="1059"/>
      <c r="R4613" s="1059"/>
    </row>
    <row r="4614" spans="1:18" ht="17.399999999999999">
      <c r="A4614" s="547" t="s">
        <v>445</v>
      </c>
      <c r="B4614" s="547" t="s">
        <v>517</v>
      </c>
      <c r="C4614" s="547" t="s">
        <v>19</v>
      </c>
      <c r="D4614" s="547" t="s">
        <v>20</v>
      </c>
      <c r="E4614" s="547" t="s">
        <v>57</v>
      </c>
      <c r="F4614" s="549"/>
      <c r="G4614" s="549" t="s">
        <v>21</v>
      </c>
      <c r="H4614" s="549" t="s">
        <v>182</v>
      </c>
      <c r="I4614" s="558">
        <v>44.2</v>
      </c>
      <c r="J4614" s="567">
        <v>6.5</v>
      </c>
      <c r="K4614" s="648">
        <v>7</v>
      </c>
      <c r="L4614" s="552">
        <f>(I4614*J4614*K4614/1000)</f>
        <v>2.0111000000000003</v>
      </c>
      <c r="M4614" s="549"/>
      <c r="N4614" s="549"/>
      <c r="O4614" s="549"/>
      <c r="P4614" s="549"/>
      <c r="Q4614" s="1059"/>
      <c r="R4614" s="1059"/>
    </row>
    <row r="4615" spans="1:18" ht="17.399999999999999">
      <c r="A4615" s="547"/>
      <c r="B4615" s="549" t="s">
        <v>423</v>
      </c>
      <c r="C4615" s="547"/>
      <c r="D4615" s="547"/>
      <c r="E4615" s="547"/>
      <c r="F4615" s="549"/>
      <c r="G4615" s="549"/>
      <c r="H4615" s="549"/>
      <c r="I4615" s="558"/>
      <c r="J4615" s="567"/>
      <c r="K4615" s="648">
        <f t="shared" ref="K4615:L4615" si="892">SUM(K4614)</f>
        <v>7</v>
      </c>
      <c r="L4615" s="567">
        <f t="shared" si="892"/>
        <v>2.0111000000000003</v>
      </c>
      <c r="M4615" s="549"/>
      <c r="N4615" s="549"/>
      <c r="O4615" s="549"/>
      <c r="P4615" s="549"/>
      <c r="Q4615" s="1059"/>
      <c r="R4615" s="1059"/>
    </row>
    <row r="4616" spans="1:18" ht="17.399999999999999">
      <c r="A4616" s="547" t="s">
        <v>445</v>
      </c>
      <c r="B4616" s="547" t="s">
        <v>517</v>
      </c>
      <c r="C4616" s="547" t="s">
        <v>19</v>
      </c>
      <c r="D4616" s="547" t="s">
        <v>20</v>
      </c>
      <c r="E4616" s="547" t="s">
        <v>57</v>
      </c>
      <c r="F4616" s="549"/>
      <c r="G4616" s="549" t="s">
        <v>21</v>
      </c>
      <c r="H4616" s="549" t="s">
        <v>131</v>
      </c>
      <c r="I4616" s="558">
        <v>7.34</v>
      </c>
      <c r="J4616" s="567">
        <v>9.35</v>
      </c>
      <c r="K4616" s="648">
        <v>292</v>
      </c>
      <c r="L4616" s="552">
        <f t="shared" ref="L4616:L4618" si="893">(I4616*J4616*K4616/1000)</f>
        <v>20.039667999999999</v>
      </c>
      <c r="M4616" s="549"/>
      <c r="N4616" s="549"/>
      <c r="O4616" s="549"/>
      <c r="P4616" s="549"/>
      <c r="Q4616" s="1059"/>
      <c r="R4616" s="1059"/>
    </row>
    <row r="4617" spans="1:18" ht="17.399999999999999">
      <c r="A4617" s="547"/>
      <c r="B4617" s="549" t="s">
        <v>423</v>
      </c>
      <c r="C4617" s="547"/>
      <c r="D4617" s="547"/>
      <c r="E4617" s="547"/>
      <c r="F4617" s="549"/>
      <c r="G4617" s="549" t="s">
        <v>21</v>
      </c>
      <c r="H4617" s="549" t="s">
        <v>131</v>
      </c>
      <c r="I4617" s="558">
        <v>7.34</v>
      </c>
      <c r="J4617" s="567">
        <v>10</v>
      </c>
      <c r="K4617" s="648">
        <v>4</v>
      </c>
      <c r="L4617" s="552">
        <f t="shared" si="893"/>
        <v>0.29360000000000003</v>
      </c>
      <c r="M4617" s="549"/>
      <c r="N4617" s="549"/>
      <c r="O4617" s="549"/>
      <c r="P4617" s="549"/>
      <c r="Q4617" s="1059"/>
      <c r="R4617" s="1059"/>
    </row>
    <row r="4618" spans="1:18" ht="17.399999999999999">
      <c r="A4618" s="549"/>
      <c r="B4618" s="549"/>
      <c r="C4618" s="549"/>
      <c r="D4618" s="549"/>
      <c r="E4618" s="549"/>
      <c r="F4618" s="549"/>
      <c r="G4618" s="549" t="s">
        <v>21</v>
      </c>
      <c r="H4618" s="549" t="s">
        <v>131</v>
      </c>
      <c r="I4618" s="558">
        <v>7.34</v>
      </c>
      <c r="J4618" s="567">
        <v>11.5</v>
      </c>
      <c r="K4618" s="648">
        <v>74</v>
      </c>
      <c r="L4618" s="552">
        <f t="shared" si="893"/>
        <v>6.24634</v>
      </c>
      <c r="M4618" s="549"/>
      <c r="N4618" s="549"/>
      <c r="O4618" s="549"/>
      <c r="P4618" s="549"/>
      <c r="Q4618" s="1059"/>
      <c r="R4618" s="1059"/>
    </row>
    <row r="4619" spans="1:18" ht="17.399999999999999">
      <c r="A4619" s="549"/>
      <c r="B4619" s="549"/>
      <c r="C4619" s="549"/>
      <c r="D4619" s="549"/>
      <c r="E4619" s="549"/>
      <c r="F4619" s="549"/>
      <c r="G4619" s="549"/>
      <c r="H4619" s="549"/>
      <c r="I4619" s="558"/>
      <c r="J4619" s="567"/>
      <c r="K4619" s="648">
        <f t="shared" ref="K4619:L4619" si="894">SUM(K4616:K4618)</f>
        <v>370</v>
      </c>
      <c r="L4619" s="567">
        <f t="shared" si="894"/>
        <v>26.579608</v>
      </c>
      <c r="M4619" s="549"/>
      <c r="N4619" s="549"/>
      <c r="O4619" s="549"/>
      <c r="P4619" s="549"/>
      <c r="Q4619" s="1059"/>
      <c r="R4619" s="1059"/>
    </row>
    <row r="4620" spans="1:18" ht="17.399999999999999">
      <c r="A4620" s="549"/>
      <c r="B4620" s="549"/>
      <c r="C4620" s="549"/>
      <c r="D4620" s="549"/>
      <c r="E4620" s="549"/>
      <c r="F4620" s="549"/>
      <c r="G4620" s="549"/>
      <c r="H4620" s="549"/>
      <c r="I4620" s="560"/>
      <c r="J4620" s="549"/>
      <c r="K4620" s="561"/>
      <c r="L4620" s="560"/>
      <c r="M4620" s="549"/>
      <c r="N4620" s="549"/>
      <c r="O4620" s="549"/>
      <c r="P4620" s="549"/>
      <c r="Q4620" s="1059"/>
      <c r="R4620" s="1059"/>
    </row>
    <row r="4621" spans="1:18" ht="17.399999999999999">
      <c r="A4621" s="547" t="s">
        <v>445</v>
      </c>
      <c r="B4621" s="547" t="s">
        <v>488</v>
      </c>
      <c r="C4621" s="547" t="s">
        <v>19</v>
      </c>
      <c r="D4621" s="547" t="s">
        <v>20</v>
      </c>
      <c r="E4621" s="547" t="s">
        <v>47</v>
      </c>
      <c r="F4621" s="549"/>
      <c r="G4621" s="549" t="s">
        <v>21</v>
      </c>
      <c r="H4621" s="549" t="s">
        <v>120</v>
      </c>
      <c r="I4621" s="558">
        <v>18.2</v>
      </c>
      <c r="J4621" s="567">
        <v>6.9</v>
      </c>
      <c r="K4621" s="648">
        <v>7</v>
      </c>
      <c r="L4621" s="552">
        <f t="shared" ref="L4621:L4626" si="895">(I4621*J4621*K4621/1000)</f>
        <v>0.87905999999999995</v>
      </c>
      <c r="M4621" s="549"/>
      <c r="N4621" s="549"/>
      <c r="O4621" s="549"/>
      <c r="P4621" s="549"/>
      <c r="Q4621" s="1059"/>
      <c r="R4621" s="1059"/>
    </row>
    <row r="4622" spans="1:18" ht="17.399999999999999">
      <c r="A4622" s="547"/>
      <c r="B4622" s="752" t="s">
        <v>439</v>
      </c>
      <c r="C4622" s="547"/>
      <c r="D4622" s="547"/>
      <c r="E4622" s="547"/>
      <c r="F4622" s="549"/>
      <c r="G4622" s="549" t="s">
        <v>21</v>
      </c>
      <c r="H4622" s="549" t="s">
        <v>120</v>
      </c>
      <c r="I4622" s="558">
        <v>18.2</v>
      </c>
      <c r="J4622" s="567">
        <v>7.5</v>
      </c>
      <c r="K4622" s="648">
        <v>16</v>
      </c>
      <c r="L4622" s="552">
        <f t="shared" si="895"/>
        <v>2.1840000000000002</v>
      </c>
      <c r="M4622" s="549"/>
      <c r="N4622" s="549"/>
      <c r="O4622" s="549"/>
      <c r="P4622" s="549"/>
      <c r="Q4622" s="1059"/>
      <c r="R4622" s="1059"/>
    </row>
    <row r="4623" spans="1:18" ht="17.399999999999999">
      <c r="A4623" s="549"/>
      <c r="B4623" s="549"/>
      <c r="C4623" s="549"/>
      <c r="D4623" s="549"/>
      <c r="E4623" s="549"/>
      <c r="F4623" s="549"/>
      <c r="G4623" s="549" t="s">
        <v>21</v>
      </c>
      <c r="H4623" s="549" t="s">
        <v>120</v>
      </c>
      <c r="I4623" s="558">
        <v>18.2</v>
      </c>
      <c r="J4623" s="567">
        <v>8.5</v>
      </c>
      <c r="K4623" s="648">
        <v>13</v>
      </c>
      <c r="L4623" s="552">
        <f t="shared" si="895"/>
        <v>2.0110999999999999</v>
      </c>
      <c r="M4623" s="549"/>
      <c r="N4623" s="549"/>
      <c r="O4623" s="549"/>
      <c r="P4623" s="549"/>
      <c r="Q4623" s="1059"/>
      <c r="R4623" s="1059"/>
    </row>
    <row r="4624" spans="1:18" ht="17.399999999999999">
      <c r="A4624" s="549"/>
      <c r="B4624" s="549"/>
      <c r="C4624" s="549"/>
      <c r="D4624" s="549"/>
      <c r="E4624" s="549"/>
      <c r="F4624" s="549"/>
      <c r="G4624" s="549" t="s">
        <v>21</v>
      </c>
      <c r="H4624" s="549" t="s">
        <v>120</v>
      </c>
      <c r="I4624" s="558">
        <v>18.2</v>
      </c>
      <c r="J4624" s="567">
        <v>9.8000000000000007</v>
      </c>
      <c r="K4624" s="648">
        <v>32</v>
      </c>
      <c r="L4624" s="552">
        <f t="shared" si="895"/>
        <v>5.7075200000000006</v>
      </c>
      <c r="M4624" s="549"/>
      <c r="N4624" s="549"/>
      <c r="O4624" s="549"/>
      <c r="P4624" s="549"/>
      <c r="Q4624" s="1059"/>
      <c r="R4624" s="1059"/>
    </row>
    <row r="4625" spans="1:18" ht="17.399999999999999">
      <c r="A4625" s="549"/>
      <c r="B4625" s="549"/>
      <c r="C4625" s="549"/>
      <c r="D4625" s="549"/>
      <c r="E4625" s="549"/>
      <c r="F4625" s="549"/>
      <c r="G4625" s="549" t="s">
        <v>21</v>
      </c>
      <c r="H4625" s="549" t="s">
        <v>120</v>
      </c>
      <c r="I4625" s="558">
        <v>18.2</v>
      </c>
      <c r="J4625" s="567">
        <v>10.8</v>
      </c>
      <c r="K4625" s="648">
        <v>16</v>
      </c>
      <c r="L4625" s="552">
        <f t="shared" si="895"/>
        <v>3.1449600000000002</v>
      </c>
      <c r="M4625" s="549"/>
      <c r="N4625" s="549"/>
      <c r="O4625" s="549"/>
      <c r="P4625" s="549"/>
      <c r="Q4625" s="1059"/>
      <c r="R4625" s="1059"/>
    </row>
    <row r="4626" spans="1:18" ht="17.399999999999999">
      <c r="A4626" s="549"/>
      <c r="B4626" s="549"/>
      <c r="C4626" s="549"/>
      <c r="D4626" s="549"/>
      <c r="E4626" s="549"/>
      <c r="F4626" s="549"/>
      <c r="G4626" s="549" t="s">
        <v>21</v>
      </c>
      <c r="H4626" s="549" t="s">
        <v>120</v>
      </c>
      <c r="I4626" s="558">
        <v>18.2</v>
      </c>
      <c r="J4626" s="567">
        <v>11.1</v>
      </c>
      <c r="K4626" s="648">
        <v>12</v>
      </c>
      <c r="L4626" s="552">
        <f t="shared" si="895"/>
        <v>2.4242399999999997</v>
      </c>
      <c r="M4626" s="549"/>
      <c r="N4626" s="549"/>
      <c r="O4626" s="549"/>
      <c r="P4626" s="549"/>
      <c r="Q4626" s="1059"/>
      <c r="R4626" s="1059"/>
    </row>
    <row r="4627" spans="1:18" ht="17.399999999999999">
      <c r="A4627" s="549"/>
      <c r="B4627" s="549"/>
      <c r="C4627" s="549"/>
      <c r="D4627" s="549"/>
      <c r="E4627" s="549"/>
      <c r="F4627" s="549"/>
      <c r="G4627" s="549"/>
      <c r="H4627" s="549"/>
      <c r="I4627" s="558"/>
      <c r="J4627" s="567"/>
      <c r="K4627" s="648">
        <f t="shared" ref="K4627:L4627" si="896">SUM(K4621:K4626)</f>
        <v>96</v>
      </c>
      <c r="L4627" s="567">
        <f t="shared" si="896"/>
        <v>16.350880000000004</v>
      </c>
      <c r="M4627" s="549"/>
      <c r="N4627" s="549"/>
      <c r="O4627" s="549"/>
      <c r="P4627" s="549"/>
      <c r="Q4627" s="1059"/>
      <c r="R4627" s="1059"/>
    </row>
    <row r="4628" spans="1:18" ht="17.399999999999999">
      <c r="A4628" s="547" t="s">
        <v>445</v>
      </c>
      <c r="B4628" s="547" t="s">
        <v>488</v>
      </c>
      <c r="C4628" s="547" t="s">
        <v>19</v>
      </c>
      <c r="D4628" s="547" t="s">
        <v>20</v>
      </c>
      <c r="E4628" s="547" t="s">
        <v>47</v>
      </c>
      <c r="F4628" s="549"/>
      <c r="G4628" s="549" t="s">
        <v>21</v>
      </c>
      <c r="H4628" s="549" t="s">
        <v>122</v>
      </c>
      <c r="I4628" s="558">
        <v>14.7</v>
      </c>
      <c r="J4628" s="567">
        <v>6.5</v>
      </c>
      <c r="K4628" s="648">
        <v>41</v>
      </c>
      <c r="L4628" s="552">
        <f t="shared" ref="L4628:L4633" si="897">(I4628*J4628*K4628/1000)</f>
        <v>3.9175499999999999</v>
      </c>
      <c r="M4628" s="549"/>
      <c r="N4628" s="549"/>
      <c r="O4628" s="549"/>
      <c r="P4628" s="549"/>
      <c r="Q4628" s="1059"/>
      <c r="R4628" s="1059"/>
    </row>
    <row r="4629" spans="1:18" ht="17.399999999999999">
      <c r="A4629" s="547"/>
      <c r="B4629" s="752" t="s">
        <v>439</v>
      </c>
      <c r="C4629" s="547"/>
      <c r="D4629" s="547"/>
      <c r="E4629" s="547"/>
      <c r="F4629" s="549"/>
      <c r="G4629" s="549" t="s">
        <v>21</v>
      </c>
      <c r="H4629" s="549" t="s">
        <v>122</v>
      </c>
      <c r="I4629" s="558">
        <v>14.7</v>
      </c>
      <c r="J4629" s="567">
        <v>8.5</v>
      </c>
      <c r="K4629" s="648">
        <v>24</v>
      </c>
      <c r="L4629" s="552">
        <f t="shared" si="897"/>
        <v>2.9987999999999997</v>
      </c>
      <c r="M4629" s="549"/>
      <c r="N4629" s="549"/>
      <c r="O4629" s="549"/>
      <c r="P4629" s="549"/>
      <c r="Q4629" s="1059"/>
      <c r="R4629" s="1059"/>
    </row>
    <row r="4630" spans="1:18" ht="17.399999999999999">
      <c r="A4630" s="549"/>
      <c r="B4630" s="549"/>
      <c r="C4630" s="549"/>
      <c r="D4630" s="549"/>
      <c r="E4630" s="549"/>
      <c r="F4630" s="549"/>
      <c r="G4630" s="549" t="s">
        <v>21</v>
      </c>
      <c r="H4630" s="549" t="s">
        <v>122</v>
      </c>
      <c r="I4630" s="558">
        <v>14.7</v>
      </c>
      <c r="J4630" s="567">
        <v>9.8000000000000007</v>
      </c>
      <c r="K4630" s="648">
        <v>14</v>
      </c>
      <c r="L4630" s="552">
        <f t="shared" si="897"/>
        <v>2.0168400000000002</v>
      </c>
      <c r="M4630" s="549"/>
      <c r="N4630" s="549"/>
      <c r="O4630" s="549"/>
      <c r="P4630" s="549"/>
      <c r="Q4630" s="1059"/>
      <c r="R4630" s="1059"/>
    </row>
    <row r="4631" spans="1:18" ht="17.399999999999999">
      <c r="A4631" s="549"/>
      <c r="B4631" s="549"/>
      <c r="C4631" s="549"/>
      <c r="D4631" s="549"/>
      <c r="E4631" s="549"/>
      <c r="F4631" s="549"/>
      <c r="G4631" s="549" t="s">
        <v>21</v>
      </c>
      <c r="H4631" s="549" t="s">
        <v>122</v>
      </c>
      <c r="I4631" s="558">
        <v>14.7</v>
      </c>
      <c r="J4631" s="567">
        <v>11.2</v>
      </c>
      <c r="K4631" s="648">
        <v>11</v>
      </c>
      <c r="L4631" s="552">
        <f t="shared" si="897"/>
        <v>1.81104</v>
      </c>
      <c r="M4631" s="549"/>
      <c r="N4631" s="549"/>
      <c r="O4631" s="549"/>
      <c r="P4631" s="549"/>
      <c r="Q4631" s="1059"/>
      <c r="R4631" s="1059"/>
    </row>
    <row r="4632" spans="1:18" ht="17.399999999999999">
      <c r="A4632" s="549"/>
      <c r="B4632" s="549"/>
      <c r="C4632" s="549"/>
      <c r="D4632" s="549"/>
      <c r="E4632" s="549"/>
      <c r="F4632" s="549"/>
      <c r="G4632" s="549" t="s">
        <v>21</v>
      </c>
      <c r="H4632" s="549" t="s">
        <v>122</v>
      </c>
      <c r="I4632" s="558">
        <v>14.7</v>
      </c>
      <c r="J4632" s="567">
        <v>11.7</v>
      </c>
      <c r="K4632" s="648">
        <v>12</v>
      </c>
      <c r="L4632" s="552">
        <f t="shared" si="897"/>
        <v>2.0638799999999997</v>
      </c>
      <c r="M4632" s="549"/>
      <c r="N4632" s="549"/>
      <c r="O4632" s="549"/>
      <c r="P4632" s="549"/>
      <c r="Q4632" s="1059"/>
      <c r="R4632" s="1059"/>
    </row>
    <row r="4633" spans="1:18" ht="17.399999999999999">
      <c r="A4633" s="549"/>
      <c r="B4633" s="549"/>
      <c r="C4633" s="549"/>
      <c r="D4633" s="549"/>
      <c r="E4633" s="549"/>
      <c r="F4633" s="549"/>
      <c r="G4633" s="549" t="s">
        <v>21</v>
      </c>
      <c r="H4633" s="549" t="s">
        <v>122</v>
      </c>
      <c r="I4633" s="558">
        <v>14.7</v>
      </c>
      <c r="J4633" s="567">
        <v>12</v>
      </c>
      <c r="K4633" s="648">
        <v>26</v>
      </c>
      <c r="L4633" s="552">
        <f t="shared" si="897"/>
        <v>4.5863999999999994</v>
      </c>
      <c r="M4633" s="549"/>
      <c r="N4633" s="549"/>
      <c r="O4633" s="549"/>
      <c r="P4633" s="549"/>
      <c r="Q4633" s="1059"/>
      <c r="R4633" s="1059"/>
    </row>
    <row r="4634" spans="1:18" ht="17.399999999999999">
      <c r="A4634" s="549"/>
      <c r="B4634" s="549"/>
      <c r="C4634" s="549"/>
      <c r="D4634" s="549"/>
      <c r="E4634" s="549"/>
      <c r="F4634" s="549"/>
      <c r="G4634" s="549"/>
      <c r="H4634" s="549"/>
      <c r="I4634" s="558"/>
      <c r="J4634" s="567"/>
      <c r="K4634" s="648">
        <f t="shared" ref="K4634:L4634" si="898">SUM(K4628:K4633)</f>
        <v>128</v>
      </c>
      <c r="L4634" s="567">
        <f t="shared" si="898"/>
        <v>17.394509999999997</v>
      </c>
      <c r="M4634" s="549"/>
      <c r="N4634" s="549"/>
      <c r="O4634" s="549"/>
      <c r="P4634" s="549"/>
      <c r="Q4634" s="1059"/>
      <c r="R4634" s="1059"/>
    </row>
    <row r="4635" spans="1:18" ht="17.399999999999999">
      <c r="A4635" s="547" t="s">
        <v>445</v>
      </c>
      <c r="B4635" s="547" t="s">
        <v>488</v>
      </c>
      <c r="C4635" s="547" t="s">
        <v>19</v>
      </c>
      <c r="D4635" s="547" t="s">
        <v>20</v>
      </c>
      <c r="E4635" s="547" t="s">
        <v>47</v>
      </c>
      <c r="F4635" s="549"/>
      <c r="G4635" s="549" t="s">
        <v>21</v>
      </c>
      <c r="H4635" s="549" t="s">
        <v>123</v>
      </c>
      <c r="I4635" s="558">
        <v>16.5</v>
      </c>
      <c r="J4635" s="567">
        <v>6.9</v>
      </c>
      <c r="K4635" s="648">
        <v>30</v>
      </c>
      <c r="L4635" s="552">
        <f t="shared" ref="L4635:L4639" si="899">(I4635*J4635*K4635/1000)</f>
        <v>3.4155000000000006</v>
      </c>
      <c r="M4635" s="549"/>
      <c r="N4635" s="549"/>
      <c r="O4635" s="549"/>
      <c r="P4635" s="549"/>
      <c r="Q4635" s="1059"/>
      <c r="R4635" s="1059"/>
    </row>
    <row r="4636" spans="1:18" ht="17.399999999999999">
      <c r="A4636" s="547"/>
      <c r="B4636" s="752" t="s">
        <v>439</v>
      </c>
      <c r="C4636" s="547"/>
      <c r="D4636" s="547"/>
      <c r="E4636" s="547"/>
      <c r="F4636" s="549"/>
      <c r="G4636" s="549" t="s">
        <v>21</v>
      </c>
      <c r="H4636" s="549" t="s">
        <v>123</v>
      </c>
      <c r="I4636" s="558">
        <v>16.5</v>
      </c>
      <c r="J4636" s="567">
        <v>8.3000000000000007</v>
      </c>
      <c r="K4636" s="648">
        <v>12</v>
      </c>
      <c r="L4636" s="552">
        <f t="shared" si="899"/>
        <v>1.6434000000000002</v>
      </c>
      <c r="M4636" s="549"/>
      <c r="N4636" s="549"/>
      <c r="O4636" s="549"/>
      <c r="P4636" s="549"/>
      <c r="Q4636" s="1059"/>
      <c r="R4636" s="1059"/>
    </row>
    <row r="4637" spans="1:18" ht="17.399999999999999">
      <c r="A4637" s="549"/>
      <c r="B4637" s="549"/>
      <c r="C4637" s="549"/>
      <c r="D4637" s="549"/>
      <c r="E4637" s="549"/>
      <c r="F4637" s="549"/>
      <c r="G4637" s="549" t="s">
        <v>21</v>
      </c>
      <c r="H4637" s="549" t="s">
        <v>123</v>
      </c>
      <c r="I4637" s="558">
        <v>16.5</v>
      </c>
      <c r="J4637" s="567">
        <v>9.1999999999999993</v>
      </c>
      <c r="K4637" s="648">
        <v>9</v>
      </c>
      <c r="L4637" s="552">
        <f t="shared" si="899"/>
        <v>1.3661999999999999</v>
      </c>
      <c r="M4637" s="549"/>
      <c r="N4637" s="549"/>
      <c r="O4637" s="549"/>
      <c r="P4637" s="549"/>
      <c r="Q4637" s="1059"/>
      <c r="R4637" s="1059"/>
    </row>
    <row r="4638" spans="1:18" ht="17.399999999999999">
      <c r="A4638" s="549"/>
      <c r="B4638" s="549"/>
      <c r="C4638" s="549"/>
      <c r="D4638" s="549"/>
      <c r="E4638" s="549"/>
      <c r="F4638" s="549"/>
      <c r="G4638" s="549" t="s">
        <v>21</v>
      </c>
      <c r="H4638" s="549" t="s">
        <v>123</v>
      </c>
      <c r="I4638" s="558">
        <v>16.5</v>
      </c>
      <c r="J4638" s="567">
        <v>11</v>
      </c>
      <c r="K4638" s="648">
        <v>38</v>
      </c>
      <c r="L4638" s="552">
        <f t="shared" si="899"/>
        <v>6.8970000000000002</v>
      </c>
      <c r="M4638" s="549"/>
      <c r="N4638" s="549"/>
      <c r="O4638" s="549"/>
      <c r="P4638" s="549"/>
      <c r="Q4638" s="1059"/>
      <c r="R4638" s="1059"/>
    </row>
    <row r="4639" spans="1:18" ht="17.399999999999999">
      <c r="A4639" s="549"/>
      <c r="B4639" s="549"/>
      <c r="C4639" s="549"/>
      <c r="D4639" s="549"/>
      <c r="E4639" s="549"/>
      <c r="F4639" s="549"/>
      <c r="G4639" s="549" t="s">
        <v>21</v>
      </c>
      <c r="H4639" s="549" t="s">
        <v>123</v>
      </c>
      <c r="I4639" s="558">
        <v>16.5</v>
      </c>
      <c r="J4639" s="567">
        <v>12</v>
      </c>
      <c r="K4639" s="648">
        <v>14</v>
      </c>
      <c r="L4639" s="552">
        <f t="shared" si="899"/>
        <v>2.7719999999999998</v>
      </c>
      <c r="M4639" s="549"/>
      <c r="N4639" s="549"/>
      <c r="O4639" s="549"/>
      <c r="P4639" s="549"/>
      <c r="Q4639" s="1059"/>
      <c r="R4639" s="1059"/>
    </row>
    <row r="4640" spans="1:18" ht="17.399999999999999">
      <c r="A4640" s="549"/>
      <c r="B4640" s="549"/>
      <c r="C4640" s="549"/>
      <c r="D4640" s="549"/>
      <c r="E4640" s="549"/>
      <c r="F4640" s="549"/>
      <c r="G4640" s="549"/>
      <c r="H4640" s="549"/>
      <c r="I4640" s="558"/>
      <c r="J4640" s="567"/>
      <c r="K4640" s="648">
        <f t="shared" ref="K4640:L4640" si="900">SUM(K4635:K4639)</f>
        <v>103</v>
      </c>
      <c r="L4640" s="567">
        <f t="shared" si="900"/>
        <v>16.094100000000001</v>
      </c>
      <c r="M4640" s="549"/>
      <c r="N4640" s="549"/>
      <c r="O4640" s="549"/>
      <c r="P4640" s="549"/>
      <c r="Q4640" s="1059"/>
      <c r="R4640" s="1059"/>
    </row>
    <row r="4641" spans="1:18" ht="17.399999999999999">
      <c r="A4641" s="547" t="s">
        <v>445</v>
      </c>
      <c r="B4641" s="547" t="s">
        <v>488</v>
      </c>
      <c r="C4641" s="547" t="s">
        <v>19</v>
      </c>
      <c r="D4641" s="547" t="s">
        <v>20</v>
      </c>
      <c r="E4641" s="547" t="s">
        <v>47</v>
      </c>
      <c r="F4641" s="549"/>
      <c r="G4641" s="549" t="s">
        <v>21</v>
      </c>
      <c r="H4641" s="549" t="s">
        <v>124</v>
      </c>
      <c r="I4641" s="558">
        <v>19.8</v>
      </c>
      <c r="J4641" s="567">
        <v>6.6</v>
      </c>
      <c r="K4641" s="648">
        <v>11</v>
      </c>
      <c r="L4641" s="552">
        <f t="shared" ref="L4641:L4647" si="901">(I4641*J4641*K4641/1000)</f>
        <v>1.4374800000000001</v>
      </c>
      <c r="M4641" s="549"/>
      <c r="N4641" s="549"/>
      <c r="O4641" s="549"/>
      <c r="P4641" s="549"/>
      <c r="Q4641" s="1059"/>
      <c r="R4641" s="1059"/>
    </row>
    <row r="4642" spans="1:18" ht="17.399999999999999">
      <c r="A4642" s="547"/>
      <c r="B4642" s="752" t="s">
        <v>439</v>
      </c>
      <c r="C4642" s="547"/>
      <c r="D4642" s="547"/>
      <c r="E4642" s="547"/>
      <c r="F4642" s="549"/>
      <c r="G4642" s="549" t="s">
        <v>21</v>
      </c>
      <c r="H4642" s="549" t="s">
        <v>124</v>
      </c>
      <c r="I4642" s="558">
        <v>19.8</v>
      </c>
      <c r="J4642" s="567">
        <v>8</v>
      </c>
      <c r="K4642" s="648">
        <v>18</v>
      </c>
      <c r="L4642" s="552">
        <f t="shared" si="901"/>
        <v>2.8512000000000004</v>
      </c>
      <c r="M4642" s="549"/>
      <c r="N4642" s="549"/>
      <c r="O4642" s="549"/>
      <c r="P4642" s="549"/>
      <c r="Q4642" s="1059"/>
      <c r="R4642" s="1059"/>
    </row>
    <row r="4643" spans="1:18" ht="17.399999999999999">
      <c r="A4643" s="549"/>
      <c r="B4643" s="549"/>
      <c r="C4643" s="549"/>
      <c r="D4643" s="549"/>
      <c r="E4643" s="549"/>
      <c r="F4643" s="549"/>
      <c r="G4643" s="549" t="s">
        <v>21</v>
      </c>
      <c r="H4643" s="549" t="s">
        <v>124</v>
      </c>
      <c r="I4643" s="558">
        <v>19.8</v>
      </c>
      <c r="J4643" s="567">
        <v>9.6</v>
      </c>
      <c r="K4643" s="648">
        <v>8</v>
      </c>
      <c r="L4643" s="552">
        <f t="shared" si="901"/>
        <v>1.52064</v>
      </c>
      <c r="M4643" s="549"/>
      <c r="N4643" s="549"/>
      <c r="O4643" s="549"/>
      <c r="P4643" s="549"/>
      <c r="Q4643" s="1059"/>
      <c r="R4643" s="1059"/>
    </row>
    <row r="4644" spans="1:18" ht="17.399999999999999">
      <c r="A4644" s="549"/>
      <c r="B4644" s="549"/>
      <c r="C4644" s="549"/>
      <c r="D4644" s="549"/>
      <c r="E4644" s="549"/>
      <c r="F4644" s="549"/>
      <c r="G4644" s="549" t="s">
        <v>21</v>
      </c>
      <c r="H4644" s="549" t="s">
        <v>124</v>
      </c>
      <c r="I4644" s="558">
        <v>19.8</v>
      </c>
      <c r="J4644" s="567">
        <v>10.5</v>
      </c>
      <c r="K4644" s="648">
        <v>19</v>
      </c>
      <c r="L4644" s="552">
        <f t="shared" si="901"/>
        <v>3.9500999999999999</v>
      </c>
      <c r="M4644" s="549"/>
      <c r="N4644" s="549"/>
      <c r="O4644" s="549"/>
      <c r="P4644" s="549"/>
      <c r="Q4644" s="1059"/>
      <c r="R4644" s="1059"/>
    </row>
    <row r="4645" spans="1:18" ht="17.399999999999999">
      <c r="A4645" s="549"/>
      <c r="B4645" s="549"/>
      <c r="C4645" s="549"/>
      <c r="D4645" s="549"/>
      <c r="E4645" s="549"/>
      <c r="F4645" s="549"/>
      <c r="G4645" s="549" t="s">
        <v>21</v>
      </c>
      <c r="H4645" s="549" t="s">
        <v>124</v>
      </c>
      <c r="I4645" s="558">
        <v>19.8</v>
      </c>
      <c r="J4645" s="567">
        <v>10.8</v>
      </c>
      <c r="K4645" s="648">
        <v>4</v>
      </c>
      <c r="L4645" s="552">
        <f t="shared" si="901"/>
        <v>0.85536000000000012</v>
      </c>
      <c r="M4645" s="549"/>
      <c r="N4645" s="549"/>
      <c r="O4645" s="549"/>
      <c r="P4645" s="549"/>
      <c r="Q4645" s="1059"/>
      <c r="R4645" s="1059"/>
    </row>
    <row r="4646" spans="1:18" ht="17.399999999999999">
      <c r="A4646" s="549"/>
      <c r="B4646" s="549"/>
      <c r="C4646" s="549"/>
      <c r="D4646" s="549"/>
      <c r="E4646" s="549"/>
      <c r="F4646" s="549"/>
      <c r="G4646" s="549" t="s">
        <v>21</v>
      </c>
      <c r="H4646" s="549" t="s">
        <v>124</v>
      </c>
      <c r="I4646" s="558">
        <v>19.8</v>
      </c>
      <c r="J4646" s="567">
        <v>11.5</v>
      </c>
      <c r="K4646" s="648">
        <v>19</v>
      </c>
      <c r="L4646" s="552">
        <f t="shared" si="901"/>
        <v>4.3262999999999998</v>
      </c>
      <c r="M4646" s="549"/>
      <c r="N4646" s="549"/>
      <c r="O4646" s="549"/>
      <c r="P4646" s="549"/>
      <c r="Q4646" s="1059"/>
      <c r="R4646" s="1059"/>
    </row>
    <row r="4647" spans="1:18" ht="17.399999999999999">
      <c r="A4647" s="549"/>
      <c r="B4647" s="549"/>
      <c r="C4647" s="549"/>
      <c r="D4647" s="549"/>
      <c r="E4647" s="549"/>
      <c r="F4647" s="549"/>
      <c r="G4647" s="549" t="s">
        <v>21</v>
      </c>
      <c r="H4647" s="549" t="s">
        <v>124</v>
      </c>
      <c r="I4647" s="558">
        <v>19.8</v>
      </c>
      <c r="J4647" s="567">
        <v>12</v>
      </c>
      <c r="K4647" s="648">
        <v>33</v>
      </c>
      <c r="L4647" s="552">
        <f t="shared" si="901"/>
        <v>7.8408000000000007</v>
      </c>
      <c r="M4647" s="549"/>
      <c r="N4647" s="549"/>
      <c r="O4647" s="549"/>
      <c r="P4647" s="549"/>
      <c r="Q4647" s="1059"/>
      <c r="R4647" s="1059"/>
    </row>
    <row r="4648" spans="1:18" ht="17.399999999999999">
      <c r="A4648" s="549"/>
      <c r="B4648" s="549"/>
      <c r="C4648" s="549"/>
      <c r="D4648" s="549"/>
      <c r="E4648" s="549"/>
      <c r="F4648" s="549"/>
      <c r="G4648" s="549"/>
      <c r="H4648" s="549"/>
      <c r="I4648" s="558"/>
      <c r="J4648" s="567"/>
      <c r="K4648" s="648">
        <f t="shared" ref="K4648:L4648" si="902">SUM(K4641:K4647)</f>
        <v>112</v>
      </c>
      <c r="L4648" s="567">
        <f t="shared" si="902"/>
        <v>22.781880000000001</v>
      </c>
      <c r="M4648" s="549"/>
      <c r="N4648" s="549"/>
      <c r="O4648" s="549"/>
      <c r="P4648" s="549"/>
      <c r="Q4648" s="1059"/>
      <c r="R4648" s="1059"/>
    </row>
    <row r="4649" spans="1:18" ht="17.399999999999999">
      <c r="A4649" s="547" t="s">
        <v>445</v>
      </c>
      <c r="B4649" s="547" t="s">
        <v>488</v>
      </c>
      <c r="C4649" s="547" t="s">
        <v>19</v>
      </c>
      <c r="D4649" s="547" t="s">
        <v>20</v>
      </c>
      <c r="E4649" s="547" t="s">
        <v>47</v>
      </c>
      <c r="F4649" s="549"/>
      <c r="G4649" s="549" t="s">
        <v>21</v>
      </c>
      <c r="H4649" s="549" t="s">
        <v>125</v>
      </c>
      <c r="I4649" s="558">
        <v>21.7</v>
      </c>
      <c r="J4649" s="567">
        <v>12</v>
      </c>
      <c r="K4649" s="648">
        <v>8</v>
      </c>
      <c r="L4649" s="552">
        <f>(I4649*J4649*K4649/1000)</f>
        <v>2.0831999999999997</v>
      </c>
      <c r="M4649" s="549"/>
      <c r="N4649" s="549"/>
      <c r="O4649" s="549"/>
      <c r="P4649" s="549"/>
      <c r="Q4649" s="1059"/>
      <c r="R4649" s="1059"/>
    </row>
    <row r="4650" spans="1:18" ht="17.399999999999999">
      <c r="A4650" s="547"/>
      <c r="B4650" s="752" t="s">
        <v>439</v>
      </c>
      <c r="C4650" s="547"/>
      <c r="D4650" s="547"/>
      <c r="E4650" s="547"/>
      <c r="F4650" s="549"/>
      <c r="G4650" s="549"/>
      <c r="H4650" s="549"/>
      <c r="I4650" s="558"/>
      <c r="J4650" s="567"/>
      <c r="K4650" s="648">
        <f t="shared" ref="K4650:L4650" si="903">SUM(K4649)</f>
        <v>8</v>
      </c>
      <c r="L4650" s="567">
        <f t="shared" si="903"/>
        <v>2.0831999999999997</v>
      </c>
      <c r="M4650" s="549"/>
      <c r="N4650" s="549"/>
      <c r="O4650" s="549"/>
      <c r="P4650" s="549"/>
      <c r="Q4650" s="1059"/>
      <c r="R4650" s="1059"/>
    </row>
    <row r="4651" spans="1:18" ht="17.399999999999999">
      <c r="A4651" s="547" t="s">
        <v>445</v>
      </c>
      <c r="B4651" s="547" t="s">
        <v>488</v>
      </c>
      <c r="C4651" s="547" t="s">
        <v>19</v>
      </c>
      <c r="D4651" s="547" t="s">
        <v>20</v>
      </c>
      <c r="E4651" s="547" t="s">
        <v>47</v>
      </c>
      <c r="F4651" s="549"/>
      <c r="G4651" s="549" t="s">
        <v>21</v>
      </c>
      <c r="H4651" s="549" t="s">
        <v>126</v>
      </c>
      <c r="I4651" s="558">
        <v>23.6</v>
      </c>
      <c r="J4651" s="567">
        <v>7.1</v>
      </c>
      <c r="K4651" s="648">
        <v>15</v>
      </c>
      <c r="L4651" s="552">
        <f t="shared" ref="L4651:L4657" si="904">(I4651*J4651*K4651/1000)</f>
        <v>2.5134000000000003</v>
      </c>
      <c r="M4651" s="549"/>
      <c r="N4651" s="549"/>
      <c r="O4651" s="549"/>
      <c r="P4651" s="549"/>
      <c r="Q4651" s="1059"/>
      <c r="R4651" s="1059"/>
    </row>
    <row r="4652" spans="1:18" ht="17.399999999999999">
      <c r="A4652" s="547"/>
      <c r="B4652" s="752" t="s">
        <v>439</v>
      </c>
      <c r="C4652" s="547"/>
      <c r="D4652" s="547"/>
      <c r="E4652" s="547"/>
      <c r="F4652" s="549"/>
      <c r="G4652" s="549" t="s">
        <v>21</v>
      </c>
      <c r="H4652" s="549" t="s">
        <v>126</v>
      </c>
      <c r="I4652" s="558">
        <v>23.6</v>
      </c>
      <c r="J4652" s="567">
        <v>7.5</v>
      </c>
      <c r="K4652" s="648">
        <v>17</v>
      </c>
      <c r="L4652" s="552">
        <f t="shared" si="904"/>
        <v>3.0089999999999999</v>
      </c>
      <c r="M4652" s="549"/>
      <c r="N4652" s="549"/>
      <c r="O4652" s="549"/>
      <c r="P4652" s="549"/>
      <c r="Q4652" s="1059"/>
      <c r="R4652" s="1059"/>
    </row>
    <row r="4653" spans="1:18" ht="17.399999999999999">
      <c r="A4653" s="549"/>
      <c r="B4653" s="549"/>
      <c r="C4653" s="549"/>
      <c r="D4653" s="549"/>
      <c r="E4653" s="549"/>
      <c r="F4653" s="549"/>
      <c r="G4653" s="549" t="s">
        <v>21</v>
      </c>
      <c r="H4653" s="549" t="s">
        <v>126</v>
      </c>
      <c r="I4653" s="558">
        <v>23.6</v>
      </c>
      <c r="J4653" s="567">
        <v>9.3000000000000007</v>
      </c>
      <c r="K4653" s="648">
        <v>14</v>
      </c>
      <c r="L4653" s="552">
        <f t="shared" si="904"/>
        <v>3.0727200000000003</v>
      </c>
      <c r="M4653" s="549"/>
      <c r="N4653" s="549"/>
      <c r="O4653" s="549"/>
      <c r="P4653" s="549"/>
      <c r="Q4653" s="1059"/>
      <c r="R4653" s="1059"/>
    </row>
    <row r="4654" spans="1:18" ht="17.399999999999999">
      <c r="A4654" s="549"/>
      <c r="B4654" s="549"/>
      <c r="C4654" s="549"/>
      <c r="D4654" s="549"/>
      <c r="E4654" s="549"/>
      <c r="F4654" s="549"/>
      <c r="G4654" s="549" t="s">
        <v>21</v>
      </c>
      <c r="H4654" s="549" t="s">
        <v>126</v>
      </c>
      <c r="I4654" s="558">
        <v>23.6</v>
      </c>
      <c r="J4654" s="567">
        <v>9.8000000000000007</v>
      </c>
      <c r="K4654" s="648">
        <v>17</v>
      </c>
      <c r="L4654" s="552">
        <f t="shared" si="904"/>
        <v>3.9317600000000006</v>
      </c>
      <c r="M4654" s="549"/>
      <c r="N4654" s="549"/>
      <c r="O4654" s="549"/>
      <c r="P4654" s="549"/>
      <c r="Q4654" s="1059"/>
      <c r="R4654" s="1059"/>
    </row>
    <row r="4655" spans="1:18" ht="17.399999999999999">
      <c r="A4655" s="549"/>
      <c r="B4655" s="549"/>
      <c r="C4655" s="549"/>
      <c r="D4655" s="549"/>
      <c r="E4655" s="549"/>
      <c r="F4655" s="549"/>
      <c r="G4655" s="549" t="s">
        <v>21</v>
      </c>
      <c r="H4655" s="549" t="s">
        <v>126</v>
      </c>
      <c r="I4655" s="558">
        <v>23.6</v>
      </c>
      <c r="J4655" s="567">
        <v>10.5</v>
      </c>
      <c r="K4655" s="648">
        <v>19</v>
      </c>
      <c r="L4655" s="552">
        <f t="shared" si="904"/>
        <v>4.7081999999999997</v>
      </c>
      <c r="M4655" s="549"/>
      <c r="N4655" s="549"/>
      <c r="O4655" s="549"/>
      <c r="P4655" s="549"/>
      <c r="Q4655" s="1059"/>
      <c r="R4655" s="1059"/>
    </row>
    <row r="4656" spans="1:18" ht="17.399999999999999">
      <c r="A4656" s="549"/>
      <c r="B4656" s="549"/>
      <c r="C4656" s="549"/>
      <c r="D4656" s="549"/>
      <c r="E4656" s="549"/>
      <c r="F4656" s="549"/>
      <c r="G4656" s="549" t="s">
        <v>21</v>
      </c>
      <c r="H4656" s="549" t="s">
        <v>126</v>
      </c>
      <c r="I4656" s="558">
        <v>23.6</v>
      </c>
      <c r="J4656" s="567">
        <v>11.4</v>
      </c>
      <c r="K4656" s="648">
        <v>14</v>
      </c>
      <c r="L4656" s="552">
        <f t="shared" si="904"/>
        <v>3.7665600000000006</v>
      </c>
      <c r="M4656" s="549"/>
      <c r="N4656" s="549"/>
      <c r="O4656" s="549"/>
      <c r="P4656" s="549"/>
      <c r="Q4656" s="1059"/>
      <c r="R4656" s="1059"/>
    </row>
    <row r="4657" spans="1:18" ht="17.399999999999999">
      <c r="A4657" s="549"/>
      <c r="B4657" s="549"/>
      <c r="C4657" s="549"/>
      <c r="D4657" s="549"/>
      <c r="E4657" s="549"/>
      <c r="F4657" s="549"/>
      <c r="G4657" s="549" t="s">
        <v>21</v>
      </c>
      <c r="H4657" s="549" t="s">
        <v>126</v>
      </c>
      <c r="I4657" s="558">
        <v>23.6</v>
      </c>
      <c r="J4657" s="567">
        <v>12</v>
      </c>
      <c r="K4657" s="648">
        <v>25</v>
      </c>
      <c r="L4657" s="552">
        <f t="shared" si="904"/>
        <v>7.080000000000001</v>
      </c>
      <c r="M4657" s="549"/>
      <c r="N4657" s="549"/>
      <c r="O4657" s="549"/>
      <c r="P4657" s="549"/>
      <c r="Q4657" s="1059"/>
      <c r="R4657" s="1059"/>
    </row>
    <row r="4658" spans="1:18" ht="17.399999999999999">
      <c r="A4658" s="549"/>
      <c r="B4658" s="549"/>
      <c r="C4658" s="549"/>
      <c r="D4658" s="549"/>
      <c r="E4658" s="549"/>
      <c r="F4658" s="549"/>
      <c r="G4658" s="549"/>
      <c r="H4658" s="549"/>
      <c r="I4658" s="558"/>
      <c r="J4658" s="567"/>
      <c r="K4658" s="648">
        <f t="shared" ref="K4658:L4658" si="905">SUM(K4651:K4657)</f>
        <v>121</v>
      </c>
      <c r="L4658" s="567">
        <f t="shared" si="905"/>
        <v>28.081640000000007</v>
      </c>
      <c r="M4658" s="549"/>
      <c r="N4658" s="549"/>
      <c r="O4658" s="549"/>
      <c r="P4658" s="549"/>
      <c r="Q4658" s="1059"/>
      <c r="R4658" s="1059"/>
    </row>
    <row r="4659" spans="1:18" ht="17.399999999999999">
      <c r="A4659" s="547" t="s">
        <v>445</v>
      </c>
      <c r="B4659" s="547" t="s">
        <v>488</v>
      </c>
      <c r="C4659" s="547" t="s">
        <v>19</v>
      </c>
      <c r="D4659" s="547" t="s">
        <v>20</v>
      </c>
      <c r="E4659" s="547" t="s">
        <v>47</v>
      </c>
      <c r="F4659" s="549"/>
      <c r="G4659" s="549" t="s">
        <v>21</v>
      </c>
      <c r="H4659" s="549" t="s">
        <v>128</v>
      </c>
      <c r="I4659" s="558">
        <v>16</v>
      </c>
      <c r="J4659" s="567">
        <v>7.3</v>
      </c>
      <c r="K4659" s="648">
        <v>3</v>
      </c>
      <c r="L4659" s="552">
        <f t="shared" ref="L4659:L4661" si="906">(I4659*J4659*K4659/1000)</f>
        <v>0.35039999999999999</v>
      </c>
      <c r="M4659" s="549"/>
      <c r="N4659" s="549"/>
      <c r="O4659" s="549"/>
      <c r="P4659" s="549"/>
      <c r="Q4659" s="1059"/>
      <c r="R4659" s="1059"/>
    </row>
    <row r="4660" spans="1:18" ht="17.399999999999999">
      <c r="A4660" s="547"/>
      <c r="B4660" s="752" t="s">
        <v>439</v>
      </c>
      <c r="C4660" s="547"/>
      <c r="D4660" s="547"/>
      <c r="E4660" s="547"/>
      <c r="F4660" s="549"/>
      <c r="G4660" s="549" t="s">
        <v>21</v>
      </c>
      <c r="H4660" s="549" t="s">
        <v>128</v>
      </c>
      <c r="I4660" s="558">
        <v>16</v>
      </c>
      <c r="J4660" s="567">
        <v>9.8000000000000007</v>
      </c>
      <c r="K4660" s="648">
        <v>12</v>
      </c>
      <c r="L4660" s="552">
        <f t="shared" si="906"/>
        <v>1.8816000000000002</v>
      </c>
      <c r="M4660" s="549"/>
      <c r="N4660" s="549"/>
      <c r="O4660" s="549"/>
      <c r="P4660" s="549"/>
      <c r="Q4660" s="1059"/>
      <c r="R4660" s="1059"/>
    </row>
    <row r="4661" spans="1:18" ht="17.399999999999999">
      <c r="A4661" s="549"/>
      <c r="B4661" s="549"/>
      <c r="C4661" s="549"/>
      <c r="D4661" s="549"/>
      <c r="E4661" s="549"/>
      <c r="F4661" s="549"/>
      <c r="G4661" s="549" t="s">
        <v>21</v>
      </c>
      <c r="H4661" s="549" t="s">
        <v>128</v>
      </c>
      <c r="I4661" s="558">
        <v>16</v>
      </c>
      <c r="J4661" s="567">
        <v>12</v>
      </c>
      <c r="K4661" s="648">
        <v>4</v>
      </c>
      <c r="L4661" s="552">
        <f t="shared" si="906"/>
        <v>0.76800000000000002</v>
      </c>
      <c r="M4661" s="549"/>
      <c r="N4661" s="549"/>
      <c r="O4661" s="549"/>
      <c r="P4661" s="549"/>
      <c r="Q4661" s="1059"/>
      <c r="R4661" s="1059"/>
    </row>
    <row r="4662" spans="1:18" ht="17.399999999999999">
      <c r="A4662" s="549"/>
      <c r="B4662" s="549"/>
      <c r="C4662" s="549"/>
      <c r="D4662" s="549"/>
      <c r="E4662" s="549"/>
      <c r="F4662" s="549"/>
      <c r="G4662" s="549"/>
      <c r="H4662" s="549"/>
      <c r="I4662" s="558"/>
      <c r="J4662" s="567"/>
      <c r="K4662" s="648">
        <f t="shared" ref="K4662:L4662" si="907">SUM(K4659:K4661)</f>
        <v>19</v>
      </c>
      <c r="L4662" s="567">
        <f t="shared" si="907"/>
        <v>3</v>
      </c>
      <c r="M4662" s="549"/>
      <c r="N4662" s="549"/>
      <c r="O4662" s="549"/>
      <c r="P4662" s="549"/>
      <c r="Q4662" s="1059"/>
      <c r="R4662" s="1059"/>
    </row>
    <row r="4663" spans="1:18" ht="17.399999999999999">
      <c r="A4663" s="547" t="s">
        <v>445</v>
      </c>
      <c r="B4663" s="547" t="s">
        <v>488</v>
      </c>
      <c r="C4663" s="547" t="s">
        <v>19</v>
      </c>
      <c r="D4663" s="547" t="s">
        <v>20</v>
      </c>
      <c r="E4663" s="547" t="s">
        <v>47</v>
      </c>
      <c r="F4663" s="549"/>
      <c r="G4663" s="549" t="s">
        <v>21</v>
      </c>
      <c r="H4663" s="549" t="s">
        <v>129</v>
      </c>
      <c r="I4663" s="558">
        <v>17.899999999999999</v>
      </c>
      <c r="J4663" s="567">
        <v>7.3</v>
      </c>
      <c r="K4663" s="648">
        <v>17</v>
      </c>
      <c r="L4663" s="552">
        <f t="shared" ref="L4663:L4666" si="908">(I4663*J4663*K4663/1000)</f>
        <v>2.22139</v>
      </c>
      <c r="M4663" s="549"/>
      <c r="N4663" s="549"/>
      <c r="O4663" s="549"/>
      <c r="P4663" s="549"/>
      <c r="Q4663" s="1059"/>
      <c r="R4663" s="1059"/>
    </row>
    <row r="4664" spans="1:18" ht="17.399999999999999">
      <c r="A4664" s="547"/>
      <c r="B4664" s="752" t="s">
        <v>439</v>
      </c>
      <c r="C4664" s="547"/>
      <c r="D4664" s="547"/>
      <c r="E4664" s="547"/>
      <c r="F4664" s="549"/>
      <c r="G4664" s="549" t="s">
        <v>21</v>
      </c>
      <c r="H4664" s="549" t="s">
        <v>129</v>
      </c>
      <c r="I4664" s="558">
        <v>17.899999999999999</v>
      </c>
      <c r="J4664" s="567">
        <v>10</v>
      </c>
      <c r="K4664" s="648">
        <v>15</v>
      </c>
      <c r="L4664" s="552">
        <f t="shared" si="908"/>
        <v>2.6850000000000001</v>
      </c>
      <c r="M4664" s="549"/>
      <c r="N4664" s="549"/>
      <c r="O4664" s="549"/>
      <c r="P4664" s="549"/>
      <c r="Q4664" s="1059"/>
      <c r="R4664" s="1059"/>
    </row>
    <row r="4665" spans="1:18" ht="17.399999999999999">
      <c r="A4665" s="549"/>
      <c r="B4665" s="549"/>
      <c r="C4665" s="549"/>
      <c r="D4665" s="549"/>
      <c r="E4665" s="549"/>
      <c r="F4665" s="549"/>
      <c r="G4665" s="549" t="s">
        <v>21</v>
      </c>
      <c r="H4665" s="549" t="s">
        <v>129</v>
      </c>
      <c r="I4665" s="558">
        <v>17.899999999999999</v>
      </c>
      <c r="J4665" s="567">
        <v>11.3</v>
      </c>
      <c r="K4665" s="648">
        <v>2</v>
      </c>
      <c r="L4665" s="552">
        <f t="shared" si="908"/>
        <v>0.40454000000000001</v>
      </c>
      <c r="M4665" s="549"/>
      <c r="N4665" s="549"/>
      <c r="O4665" s="549"/>
      <c r="P4665" s="549"/>
      <c r="Q4665" s="1059"/>
      <c r="R4665" s="1059"/>
    </row>
    <row r="4666" spans="1:18" ht="17.399999999999999">
      <c r="A4666" s="549"/>
      <c r="B4666" s="549"/>
      <c r="C4666" s="549"/>
      <c r="D4666" s="549"/>
      <c r="E4666" s="549"/>
      <c r="F4666" s="549"/>
      <c r="G4666" s="549" t="s">
        <v>21</v>
      </c>
      <c r="H4666" s="549" t="s">
        <v>129</v>
      </c>
      <c r="I4666" s="558">
        <v>17.899999999999999</v>
      </c>
      <c r="J4666" s="567">
        <v>11.7</v>
      </c>
      <c r="K4666" s="648">
        <v>16</v>
      </c>
      <c r="L4666" s="552">
        <f t="shared" si="908"/>
        <v>3.3508799999999996</v>
      </c>
      <c r="M4666" s="549"/>
      <c r="N4666" s="549"/>
      <c r="O4666" s="549"/>
      <c r="P4666" s="549"/>
      <c r="Q4666" s="1059"/>
      <c r="R4666" s="1059"/>
    </row>
    <row r="4667" spans="1:18" ht="17.399999999999999">
      <c r="A4667" s="549"/>
      <c r="B4667" s="549"/>
      <c r="C4667" s="549"/>
      <c r="D4667" s="549"/>
      <c r="E4667" s="549"/>
      <c r="F4667" s="549"/>
      <c r="G4667" s="549"/>
      <c r="H4667" s="549"/>
      <c r="I4667" s="558"/>
      <c r="J4667" s="567"/>
      <c r="K4667" s="648">
        <f t="shared" ref="K4667:L4667" si="909">SUM(K4663:K4666)</f>
        <v>50</v>
      </c>
      <c r="L4667" s="567">
        <f t="shared" si="909"/>
        <v>8.6618099999999991</v>
      </c>
      <c r="M4667" s="549"/>
      <c r="N4667" s="549"/>
      <c r="O4667" s="549"/>
      <c r="P4667" s="549"/>
      <c r="Q4667" s="1059"/>
      <c r="R4667" s="1059"/>
    </row>
    <row r="4668" spans="1:18" ht="17.399999999999999">
      <c r="A4668" s="547" t="s">
        <v>445</v>
      </c>
      <c r="B4668" s="547" t="s">
        <v>488</v>
      </c>
      <c r="C4668" s="547" t="s">
        <v>19</v>
      </c>
      <c r="D4668" s="547" t="s">
        <v>20</v>
      </c>
      <c r="E4668" s="547" t="s">
        <v>47</v>
      </c>
      <c r="F4668" s="549"/>
      <c r="G4668" s="549" t="s">
        <v>21</v>
      </c>
      <c r="H4668" s="549" t="s">
        <v>510</v>
      </c>
      <c r="I4668" s="558">
        <v>25.2</v>
      </c>
      <c r="J4668" s="567">
        <v>7.7</v>
      </c>
      <c r="K4668" s="648">
        <v>34</v>
      </c>
      <c r="L4668" s="552">
        <f t="shared" ref="L4668:L4669" si="910">(I4668*J4668*K4668/1000)</f>
        <v>6.5973600000000001</v>
      </c>
      <c r="M4668" s="549"/>
      <c r="N4668" s="549"/>
      <c r="O4668" s="549"/>
      <c r="P4668" s="549"/>
      <c r="Q4668" s="1059"/>
      <c r="R4668" s="1059"/>
    </row>
    <row r="4669" spans="1:18" ht="17.399999999999999">
      <c r="A4669" s="547"/>
      <c r="B4669" s="752" t="s">
        <v>439</v>
      </c>
      <c r="C4669" s="547"/>
      <c r="D4669" s="547"/>
      <c r="E4669" s="547"/>
      <c r="F4669" s="549"/>
      <c r="G4669" s="549" t="s">
        <v>21</v>
      </c>
      <c r="H4669" s="549" t="s">
        <v>510</v>
      </c>
      <c r="I4669" s="558">
        <v>25.2</v>
      </c>
      <c r="J4669" s="567">
        <v>10.7</v>
      </c>
      <c r="K4669" s="648">
        <v>20</v>
      </c>
      <c r="L4669" s="552">
        <f t="shared" si="910"/>
        <v>5.3927999999999994</v>
      </c>
      <c r="M4669" s="549"/>
      <c r="N4669" s="549"/>
      <c r="O4669" s="549"/>
      <c r="P4669" s="549"/>
      <c r="Q4669" s="1059"/>
      <c r="R4669" s="1059"/>
    </row>
    <row r="4670" spans="1:18" ht="17.399999999999999">
      <c r="A4670" s="549"/>
      <c r="B4670" s="549"/>
      <c r="C4670" s="549"/>
      <c r="D4670" s="549"/>
      <c r="E4670" s="549"/>
      <c r="F4670" s="549"/>
      <c r="G4670" s="549"/>
      <c r="H4670" s="549"/>
      <c r="I4670" s="558"/>
      <c r="J4670" s="567"/>
      <c r="K4670" s="648">
        <f t="shared" ref="K4670:L4670" si="911">SUM(K4668:K4669)</f>
        <v>54</v>
      </c>
      <c r="L4670" s="567">
        <f t="shared" si="911"/>
        <v>11.990159999999999</v>
      </c>
      <c r="M4670" s="549"/>
      <c r="N4670" s="549"/>
      <c r="O4670" s="549"/>
      <c r="P4670" s="549"/>
      <c r="Q4670" s="1059"/>
      <c r="R4670" s="1059"/>
    </row>
    <row r="4671" spans="1:18" ht="17.399999999999999">
      <c r="A4671" s="547" t="s">
        <v>445</v>
      </c>
      <c r="B4671" s="547" t="s">
        <v>488</v>
      </c>
      <c r="C4671" s="547" t="s">
        <v>19</v>
      </c>
      <c r="D4671" s="547" t="s">
        <v>20</v>
      </c>
      <c r="E4671" s="547" t="s">
        <v>47</v>
      </c>
      <c r="F4671" s="549"/>
      <c r="G4671" s="549" t="s">
        <v>21</v>
      </c>
      <c r="H4671" s="549" t="s">
        <v>177</v>
      </c>
      <c r="I4671" s="558">
        <v>27.3</v>
      </c>
      <c r="J4671" s="567">
        <v>6.85</v>
      </c>
      <c r="K4671" s="648">
        <v>15</v>
      </c>
      <c r="L4671" s="552">
        <f t="shared" ref="L4671:L4674" si="912">(I4671*J4671*K4671/1000)</f>
        <v>2.805075</v>
      </c>
      <c r="M4671" s="549"/>
      <c r="N4671" s="549"/>
      <c r="O4671" s="549"/>
      <c r="P4671" s="549"/>
      <c r="Q4671" s="1059"/>
      <c r="R4671" s="1059"/>
    </row>
    <row r="4672" spans="1:18" ht="17.399999999999999">
      <c r="A4672" s="547"/>
      <c r="B4672" s="752" t="s">
        <v>439</v>
      </c>
      <c r="C4672" s="547"/>
      <c r="D4672" s="547"/>
      <c r="E4672" s="547"/>
      <c r="F4672" s="549"/>
      <c r="G4672" s="549" t="s">
        <v>21</v>
      </c>
      <c r="H4672" s="549" t="s">
        <v>177</v>
      </c>
      <c r="I4672" s="558">
        <v>27.3</v>
      </c>
      <c r="J4672" s="567">
        <v>10</v>
      </c>
      <c r="K4672" s="648">
        <v>7</v>
      </c>
      <c r="L4672" s="552">
        <f t="shared" si="912"/>
        <v>1.911</v>
      </c>
      <c r="M4672" s="549"/>
      <c r="N4672" s="549"/>
      <c r="O4672" s="549"/>
      <c r="P4672" s="549"/>
      <c r="Q4672" s="1059"/>
      <c r="R4672" s="1059"/>
    </row>
    <row r="4673" spans="1:18" ht="17.399999999999999">
      <c r="A4673" s="549"/>
      <c r="B4673" s="549"/>
      <c r="C4673" s="549"/>
      <c r="D4673" s="549"/>
      <c r="E4673" s="549"/>
      <c r="F4673" s="549"/>
      <c r="G4673" s="549" t="s">
        <v>21</v>
      </c>
      <c r="H4673" s="549" t="s">
        <v>177</v>
      </c>
      <c r="I4673" s="558">
        <v>27.3</v>
      </c>
      <c r="J4673" s="567">
        <v>10.8</v>
      </c>
      <c r="K4673" s="648">
        <v>8</v>
      </c>
      <c r="L4673" s="552">
        <f t="shared" si="912"/>
        <v>2.3587200000000004</v>
      </c>
      <c r="M4673" s="549"/>
      <c r="N4673" s="549"/>
      <c r="O4673" s="549"/>
      <c r="P4673" s="549"/>
      <c r="Q4673" s="1059"/>
      <c r="R4673" s="1059"/>
    </row>
    <row r="4674" spans="1:18" ht="17.399999999999999">
      <c r="A4674" s="549"/>
      <c r="B4674" s="549"/>
      <c r="C4674" s="549"/>
      <c r="D4674" s="549"/>
      <c r="E4674" s="549"/>
      <c r="F4674" s="549"/>
      <c r="G4674" s="549" t="s">
        <v>21</v>
      </c>
      <c r="H4674" s="549" t="s">
        <v>177</v>
      </c>
      <c r="I4674" s="558">
        <v>27.3</v>
      </c>
      <c r="J4674" s="567">
        <v>11.7</v>
      </c>
      <c r="K4674" s="648">
        <v>15</v>
      </c>
      <c r="L4674" s="552">
        <f t="shared" si="912"/>
        <v>4.79115</v>
      </c>
      <c r="M4674" s="549"/>
      <c r="N4674" s="549"/>
      <c r="O4674" s="549"/>
      <c r="P4674" s="549"/>
      <c r="Q4674" s="1059"/>
      <c r="R4674" s="1059"/>
    </row>
    <row r="4675" spans="1:18" ht="17.399999999999999">
      <c r="A4675" s="549"/>
      <c r="B4675" s="549"/>
      <c r="C4675" s="549"/>
      <c r="D4675" s="549"/>
      <c r="E4675" s="549"/>
      <c r="F4675" s="549"/>
      <c r="G4675" s="549"/>
      <c r="H4675" s="549"/>
      <c r="I4675" s="558"/>
      <c r="J4675" s="567"/>
      <c r="K4675" s="648">
        <f t="shared" ref="K4675:L4675" si="913">SUM(K4671:K4674)</f>
        <v>45</v>
      </c>
      <c r="L4675" s="567">
        <f t="shared" si="913"/>
        <v>11.865945</v>
      </c>
      <c r="M4675" s="549"/>
      <c r="N4675" s="549"/>
      <c r="O4675" s="549"/>
      <c r="P4675" s="549"/>
      <c r="Q4675" s="1059"/>
      <c r="R4675" s="1059"/>
    </row>
    <row r="4676" spans="1:18" ht="17.399999999999999">
      <c r="A4676" s="547" t="s">
        <v>445</v>
      </c>
      <c r="B4676" s="547" t="s">
        <v>488</v>
      </c>
      <c r="C4676" s="547" t="s">
        <v>19</v>
      </c>
      <c r="D4676" s="547" t="s">
        <v>20</v>
      </c>
      <c r="E4676" s="547" t="s">
        <v>47</v>
      </c>
      <c r="F4676" s="549"/>
      <c r="G4676" s="549" t="s">
        <v>21</v>
      </c>
      <c r="H4676" s="549" t="s">
        <v>518</v>
      </c>
      <c r="I4676" s="558">
        <v>29.5</v>
      </c>
      <c r="J4676" s="567">
        <v>10.7</v>
      </c>
      <c r="K4676" s="648">
        <v>5</v>
      </c>
      <c r="L4676" s="552">
        <f>(I4676*J4676*K4676/1000)</f>
        <v>1.5782499999999999</v>
      </c>
      <c r="M4676" s="549"/>
      <c r="N4676" s="549"/>
      <c r="O4676" s="549"/>
      <c r="P4676" s="549"/>
      <c r="Q4676" s="1059"/>
      <c r="R4676" s="1059"/>
    </row>
    <row r="4677" spans="1:18" ht="17.399999999999999">
      <c r="A4677" s="547"/>
      <c r="B4677" s="752" t="s">
        <v>439</v>
      </c>
      <c r="C4677" s="547"/>
      <c r="D4677" s="547"/>
      <c r="E4677" s="547"/>
      <c r="F4677" s="549"/>
      <c r="G4677" s="549"/>
      <c r="H4677" s="549"/>
      <c r="I4677" s="558"/>
      <c r="J4677" s="567"/>
      <c r="K4677" s="648">
        <f t="shared" ref="K4677:L4677" si="914">SUM(K4676)</f>
        <v>5</v>
      </c>
      <c r="L4677" s="567">
        <f t="shared" si="914"/>
        <v>1.5782499999999999</v>
      </c>
      <c r="M4677" s="549"/>
      <c r="N4677" s="549"/>
      <c r="O4677" s="549"/>
      <c r="P4677" s="549"/>
      <c r="Q4677" s="1059"/>
      <c r="R4677" s="1059"/>
    </row>
    <row r="4678" spans="1:18" ht="17.399999999999999">
      <c r="A4678" s="547" t="s">
        <v>445</v>
      </c>
      <c r="B4678" s="547" t="s">
        <v>488</v>
      </c>
      <c r="C4678" s="547" t="s">
        <v>19</v>
      </c>
      <c r="D4678" s="547" t="s">
        <v>20</v>
      </c>
      <c r="E4678" s="547" t="s">
        <v>47</v>
      </c>
      <c r="F4678" s="549"/>
      <c r="G4678" s="549" t="s">
        <v>21</v>
      </c>
      <c r="H4678" s="549" t="s">
        <v>178</v>
      </c>
      <c r="I4678" s="558">
        <v>31.6</v>
      </c>
      <c r="J4678" s="567">
        <v>6.2</v>
      </c>
      <c r="K4678" s="648">
        <v>48</v>
      </c>
      <c r="L4678" s="552">
        <f t="shared" ref="L4678:L4683" si="915">(I4678*J4678*K4678/1000)</f>
        <v>9.4041599999999992</v>
      </c>
      <c r="M4678" s="549"/>
      <c r="N4678" s="549"/>
      <c r="O4678" s="549"/>
      <c r="P4678" s="549"/>
      <c r="Q4678" s="1059"/>
      <c r="R4678" s="1059"/>
    </row>
    <row r="4679" spans="1:18" ht="17.399999999999999">
      <c r="A4679" s="547"/>
      <c r="B4679" s="752" t="s">
        <v>439</v>
      </c>
      <c r="C4679" s="547"/>
      <c r="D4679" s="547"/>
      <c r="E4679" s="547"/>
      <c r="F4679" s="549"/>
      <c r="G4679" s="549" t="s">
        <v>21</v>
      </c>
      <c r="H4679" s="549" t="s">
        <v>178</v>
      </c>
      <c r="I4679" s="558">
        <v>31.6</v>
      </c>
      <c r="J4679" s="567">
        <v>8</v>
      </c>
      <c r="K4679" s="648">
        <v>4</v>
      </c>
      <c r="L4679" s="552">
        <f t="shared" si="915"/>
        <v>1.0112000000000001</v>
      </c>
      <c r="M4679" s="549"/>
      <c r="N4679" s="549"/>
      <c r="O4679" s="549"/>
      <c r="P4679" s="549"/>
      <c r="Q4679" s="1059"/>
      <c r="R4679" s="1059"/>
    </row>
    <row r="4680" spans="1:18" ht="17.399999999999999">
      <c r="A4680" s="549"/>
      <c r="B4680" s="549"/>
      <c r="C4680" s="549"/>
      <c r="D4680" s="549"/>
      <c r="E4680" s="549"/>
      <c r="F4680" s="549"/>
      <c r="G4680" s="549" t="s">
        <v>21</v>
      </c>
      <c r="H4680" s="549" t="s">
        <v>178</v>
      </c>
      <c r="I4680" s="558">
        <v>31.6</v>
      </c>
      <c r="J4680" s="567">
        <v>9.1999999999999993</v>
      </c>
      <c r="K4680" s="648">
        <v>12</v>
      </c>
      <c r="L4680" s="552">
        <f t="shared" si="915"/>
        <v>3.4886399999999993</v>
      </c>
      <c r="M4680" s="549"/>
      <c r="N4680" s="549"/>
      <c r="O4680" s="549"/>
      <c r="P4680" s="549"/>
      <c r="Q4680" s="1059"/>
      <c r="R4680" s="1059"/>
    </row>
    <row r="4681" spans="1:18" ht="17.399999999999999">
      <c r="A4681" s="549"/>
      <c r="B4681" s="549"/>
      <c r="C4681" s="549"/>
      <c r="D4681" s="549"/>
      <c r="E4681" s="549"/>
      <c r="F4681" s="549"/>
      <c r="G4681" s="549" t="s">
        <v>21</v>
      </c>
      <c r="H4681" s="549" t="s">
        <v>178</v>
      </c>
      <c r="I4681" s="558">
        <v>31.6</v>
      </c>
      <c r="J4681" s="567">
        <v>10.4</v>
      </c>
      <c r="K4681" s="648">
        <v>13</v>
      </c>
      <c r="L4681" s="552">
        <f t="shared" si="915"/>
        <v>4.2723200000000006</v>
      </c>
      <c r="M4681" s="549"/>
      <c r="N4681" s="549"/>
      <c r="O4681" s="549"/>
      <c r="P4681" s="549"/>
      <c r="Q4681" s="1059"/>
      <c r="R4681" s="1059"/>
    </row>
    <row r="4682" spans="1:18" ht="17.399999999999999">
      <c r="A4682" s="549"/>
      <c r="B4682" s="549"/>
      <c r="C4682" s="549"/>
      <c r="D4682" s="549"/>
      <c r="E4682" s="549"/>
      <c r="F4682" s="549"/>
      <c r="G4682" s="549" t="s">
        <v>21</v>
      </c>
      <c r="H4682" s="549" t="s">
        <v>178</v>
      </c>
      <c r="I4682" s="558">
        <v>31.6</v>
      </c>
      <c r="J4682" s="567">
        <v>11.4</v>
      </c>
      <c r="K4682" s="648">
        <v>12</v>
      </c>
      <c r="L4682" s="552">
        <f t="shared" si="915"/>
        <v>4.3228800000000005</v>
      </c>
      <c r="M4682" s="549"/>
      <c r="N4682" s="549"/>
      <c r="O4682" s="549"/>
      <c r="P4682" s="549"/>
      <c r="Q4682" s="1059"/>
      <c r="R4682" s="1059"/>
    </row>
    <row r="4683" spans="1:18" ht="17.399999999999999">
      <c r="A4683" s="549"/>
      <c r="B4683" s="549"/>
      <c r="C4683" s="549"/>
      <c r="D4683" s="549"/>
      <c r="E4683" s="549"/>
      <c r="F4683" s="549"/>
      <c r="G4683" s="549" t="s">
        <v>21</v>
      </c>
      <c r="H4683" s="549" t="s">
        <v>178</v>
      </c>
      <c r="I4683" s="558">
        <v>31.6</v>
      </c>
      <c r="J4683" s="567">
        <v>12</v>
      </c>
      <c r="K4683" s="648">
        <v>24</v>
      </c>
      <c r="L4683" s="552">
        <f t="shared" si="915"/>
        <v>9.1008000000000013</v>
      </c>
      <c r="M4683" s="549"/>
      <c r="N4683" s="549"/>
      <c r="O4683" s="549"/>
      <c r="P4683" s="549"/>
      <c r="Q4683" s="1059"/>
      <c r="R4683" s="1059"/>
    </row>
    <row r="4684" spans="1:18" ht="17.399999999999999">
      <c r="A4684" s="549"/>
      <c r="B4684" s="549"/>
      <c r="C4684" s="549"/>
      <c r="D4684" s="549"/>
      <c r="E4684" s="549"/>
      <c r="F4684" s="549"/>
      <c r="G4684" s="549"/>
      <c r="H4684" s="549"/>
      <c r="I4684" s="558"/>
      <c r="J4684" s="567"/>
      <c r="K4684" s="648">
        <f t="shared" ref="K4684:L4684" si="916">SUM(K4678:K4683)</f>
        <v>113</v>
      </c>
      <c r="L4684" s="567">
        <f t="shared" si="916"/>
        <v>31.6</v>
      </c>
      <c r="M4684" s="549"/>
      <c r="N4684" s="549"/>
      <c r="O4684" s="549"/>
      <c r="P4684" s="549"/>
      <c r="Q4684" s="1059"/>
      <c r="R4684" s="1059"/>
    </row>
    <row r="4685" spans="1:18" ht="17.399999999999999">
      <c r="A4685" s="547" t="s">
        <v>445</v>
      </c>
      <c r="B4685" s="547" t="s">
        <v>488</v>
      </c>
      <c r="C4685" s="547" t="s">
        <v>19</v>
      </c>
      <c r="D4685" s="547" t="s">
        <v>20</v>
      </c>
      <c r="E4685" s="547" t="s">
        <v>47</v>
      </c>
      <c r="F4685" s="549"/>
      <c r="G4685" s="549" t="s">
        <v>21</v>
      </c>
      <c r="H4685" s="549" t="s">
        <v>179</v>
      </c>
      <c r="I4685" s="558">
        <v>33.799999999999997</v>
      </c>
      <c r="J4685" s="567">
        <v>6.1</v>
      </c>
      <c r="K4685" s="648">
        <v>52</v>
      </c>
      <c r="L4685" s="552">
        <f t="shared" ref="L4685:L4695" si="917">(I4685*J4685*K4685/1000)</f>
        <v>10.721359999999999</v>
      </c>
      <c r="M4685" s="549"/>
      <c r="N4685" s="549"/>
      <c r="O4685" s="549"/>
      <c r="P4685" s="549"/>
      <c r="Q4685" s="1059"/>
      <c r="R4685" s="1059"/>
    </row>
    <row r="4686" spans="1:18" ht="17.399999999999999">
      <c r="A4686" s="547"/>
      <c r="B4686" s="752" t="s">
        <v>439</v>
      </c>
      <c r="C4686" s="547"/>
      <c r="D4686" s="547"/>
      <c r="E4686" s="547"/>
      <c r="F4686" s="549"/>
      <c r="G4686" s="549" t="s">
        <v>21</v>
      </c>
      <c r="H4686" s="549" t="s">
        <v>179</v>
      </c>
      <c r="I4686" s="558">
        <v>33.799999999999997</v>
      </c>
      <c r="J4686" s="567">
        <v>6.3</v>
      </c>
      <c r="K4686" s="648">
        <v>52</v>
      </c>
      <c r="L4686" s="552">
        <f t="shared" si="917"/>
        <v>11.07288</v>
      </c>
      <c r="M4686" s="549"/>
      <c r="N4686" s="549"/>
      <c r="O4686" s="549"/>
      <c r="P4686" s="549"/>
      <c r="Q4686" s="1059"/>
      <c r="R4686" s="1059"/>
    </row>
    <row r="4687" spans="1:18" ht="17.399999999999999">
      <c r="A4687" s="549"/>
      <c r="B4687" s="549"/>
      <c r="C4687" s="549"/>
      <c r="D4687" s="549"/>
      <c r="E4687" s="549"/>
      <c r="F4687" s="549"/>
      <c r="G4687" s="549" t="s">
        <v>21</v>
      </c>
      <c r="H4687" s="549" t="s">
        <v>179</v>
      </c>
      <c r="I4687" s="558">
        <v>33.799999999999997</v>
      </c>
      <c r="J4687" s="567">
        <v>7.25</v>
      </c>
      <c r="K4687" s="648">
        <v>66</v>
      </c>
      <c r="L4687" s="552">
        <f t="shared" si="917"/>
        <v>16.173299999999998</v>
      </c>
      <c r="M4687" s="549"/>
      <c r="N4687" s="549"/>
      <c r="O4687" s="549"/>
      <c r="P4687" s="549"/>
      <c r="Q4687" s="1059"/>
      <c r="R4687" s="1059"/>
    </row>
    <row r="4688" spans="1:18" ht="17.399999999999999">
      <c r="A4688" s="549"/>
      <c r="B4688" s="549"/>
      <c r="C4688" s="549"/>
      <c r="D4688" s="549"/>
      <c r="E4688" s="549"/>
      <c r="F4688" s="549"/>
      <c r="G4688" s="549" t="s">
        <v>21</v>
      </c>
      <c r="H4688" s="549" t="s">
        <v>179</v>
      </c>
      <c r="I4688" s="558">
        <v>33.799999999999997</v>
      </c>
      <c r="J4688" s="567">
        <v>7.8</v>
      </c>
      <c r="K4688" s="648">
        <v>20</v>
      </c>
      <c r="L4688" s="552">
        <f t="shared" si="917"/>
        <v>5.2727999999999993</v>
      </c>
      <c r="M4688" s="549"/>
      <c r="N4688" s="549"/>
      <c r="O4688" s="549"/>
      <c r="P4688" s="549"/>
      <c r="Q4688" s="1059"/>
      <c r="R4688" s="1059"/>
    </row>
    <row r="4689" spans="1:18" ht="17.399999999999999">
      <c r="A4689" s="549"/>
      <c r="B4689" s="549"/>
      <c r="C4689" s="549"/>
      <c r="D4689" s="549"/>
      <c r="E4689" s="549"/>
      <c r="F4689" s="549"/>
      <c r="G4689" s="549" t="s">
        <v>21</v>
      </c>
      <c r="H4689" s="549" t="s">
        <v>179</v>
      </c>
      <c r="I4689" s="558">
        <v>33.799999999999997</v>
      </c>
      <c r="J4689" s="567">
        <v>8.1999999999999993</v>
      </c>
      <c r="K4689" s="648">
        <v>18</v>
      </c>
      <c r="L4689" s="552">
        <f t="shared" si="917"/>
        <v>4.9888799999999991</v>
      </c>
      <c r="M4689" s="549"/>
      <c r="N4689" s="549"/>
      <c r="O4689" s="549"/>
      <c r="P4689" s="549"/>
      <c r="Q4689" s="1059"/>
      <c r="R4689" s="1059"/>
    </row>
    <row r="4690" spans="1:18" ht="17.399999999999999">
      <c r="A4690" s="549"/>
      <c r="B4690" s="549"/>
      <c r="C4690" s="549"/>
      <c r="D4690" s="549"/>
      <c r="E4690" s="549"/>
      <c r="F4690" s="549"/>
      <c r="G4690" s="549" t="s">
        <v>21</v>
      </c>
      <c r="H4690" s="549" t="s">
        <v>179</v>
      </c>
      <c r="I4690" s="558">
        <v>33.799999999999997</v>
      </c>
      <c r="J4690" s="567">
        <v>8.75</v>
      </c>
      <c r="K4690" s="648">
        <v>47</v>
      </c>
      <c r="L4690" s="552">
        <f t="shared" si="917"/>
        <v>13.90025</v>
      </c>
      <c r="M4690" s="549"/>
      <c r="N4690" s="549"/>
      <c r="O4690" s="549"/>
      <c r="P4690" s="549"/>
      <c r="Q4690" s="1059"/>
      <c r="R4690" s="1059"/>
    </row>
    <row r="4691" spans="1:18" ht="17.399999999999999">
      <c r="A4691" s="549"/>
      <c r="B4691" s="549"/>
      <c r="C4691" s="549"/>
      <c r="D4691" s="549"/>
      <c r="E4691" s="549"/>
      <c r="F4691" s="549"/>
      <c r="G4691" s="549" t="s">
        <v>21</v>
      </c>
      <c r="H4691" s="549" t="s">
        <v>179</v>
      </c>
      <c r="I4691" s="558">
        <v>33.799999999999997</v>
      </c>
      <c r="J4691" s="567">
        <v>9</v>
      </c>
      <c r="K4691" s="648">
        <v>10</v>
      </c>
      <c r="L4691" s="552">
        <f t="shared" si="917"/>
        <v>3.0419999999999998</v>
      </c>
      <c r="M4691" s="549"/>
      <c r="N4691" s="549"/>
      <c r="O4691" s="549"/>
      <c r="P4691" s="549"/>
      <c r="Q4691" s="1059"/>
      <c r="R4691" s="1059"/>
    </row>
    <row r="4692" spans="1:18" ht="17.399999999999999">
      <c r="A4692" s="549"/>
      <c r="B4692" s="549"/>
      <c r="C4692" s="549"/>
      <c r="D4692" s="549"/>
      <c r="E4692" s="549"/>
      <c r="F4692" s="549"/>
      <c r="G4692" s="549" t="s">
        <v>21</v>
      </c>
      <c r="H4692" s="549" t="s">
        <v>179</v>
      </c>
      <c r="I4692" s="558">
        <v>33.799999999999997</v>
      </c>
      <c r="J4692" s="567">
        <v>10.3</v>
      </c>
      <c r="K4692" s="648">
        <v>29</v>
      </c>
      <c r="L4692" s="552">
        <f t="shared" si="917"/>
        <v>10.09606</v>
      </c>
      <c r="M4692" s="549"/>
      <c r="N4692" s="549"/>
      <c r="O4692" s="549"/>
      <c r="P4692" s="549"/>
      <c r="Q4692" s="1059"/>
      <c r="R4692" s="1059"/>
    </row>
    <row r="4693" spans="1:18" ht="17.399999999999999">
      <c r="A4693" s="549"/>
      <c r="B4693" s="549"/>
      <c r="C4693" s="549"/>
      <c r="D4693" s="549"/>
      <c r="E4693" s="549"/>
      <c r="F4693" s="549"/>
      <c r="G4693" s="549" t="s">
        <v>21</v>
      </c>
      <c r="H4693" s="549" t="s">
        <v>179</v>
      </c>
      <c r="I4693" s="558">
        <v>33.799999999999997</v>
      </c>
      <c r="J4693" s="567">
        <v>11.1</v>
      </c>
      <c r="K4693" s="648">
        <v>6</v>
      </c>
      <c r="L4693" s="552">
        <f t="shared" si="917"/>
        <v>2.25108</v>
      </c>
      <c r="M4693" s="549"/>
      <c r="N4693" s="549"/>
      <c r="O4693" s="549"/>
      <c r="P4693" s="549"/>
      <c r="Q4693" s="1059"/>
      <c r="R4693" s="1059"/>
    </row>
    <row r="4694" spans="1:18" ht="17.399999999999999">
      <c r="A4694" s="549"/>
      <c r="B4694" s="549"/>
      <c r="C4694" s="549"/>
      <c r="D4694" s="549"/>
      <c r="E4694" s="549"/>
      <c r="F4694" s="549"/>
      <c r="G4694" s="549" t="s">
        <v>21</v>
      </c>
      <c r="H4694" s="549" t="s">
        <v>179</v>
      </c>
      <c r="I4694" s="558">
        <v>33.799999999999997</v>
      </c>
      <c r="J4694" s="567">
        <v>11.2</v>
      </c>
      <c r="K4694" s="648">
        <v>24</v>
      </c>
      <c r="L4694" s="552">
        <f t="shared" si="917"/>
        <v>9.0854399999999984</v>
      </c>
      <c r="M4694" s="549"/>
      <c r="N4694" s="549"/>
      <c r="O4694" s="549"/>
      <c r="P4694" s="549"/>
      <c r="Q4694" s="1059"/>
      <c r="R4694" s="1059"/>
    </row>
    <row r="4695" spans="1:18" ht="17.399999999999999">
      <c r="A4695" s="549"/>
      <c r="B4695" s="549"/>
      <c r="C4695" s="549"/>
      <c r="D4695" s="549"/>
      <c r="E4695" s="549"/>
      <c r="F4695" s="549"/>
      <c r="G4695" s="549" t="s">
        <v>21</v>
      </c>
      <c r="H4695" s="549" t="s">
        <v>179</v>
      </c>
      <c r="I4695" s="558">
        <v>33.799999999999997</v>
      </c>
      <c r="J4695" s="567">
        <v>11.8</v>
      </c>
      <c r="K4695" s="648">
        <v>5</v>
      </c>
      <c r="L4695" s="552">
        <f t="shared" si="917"/>
        <v>1.9941999999999998</v>
      </c>
      <c r="M4695" s="549"/>
      <c r="N4695" s="549"/>
      <c r="O4695" s="549"/>
      <c r="P4695" s="549"/>
      <c r="Q4695" s="1059"/>
      <c r="R4695" s="1059"/>
    </row>
    <row r="4696" spans="1:18" ht="17.399999999999999">
      <c r="A4696" s="549"/>
      <c r="B4696" s="549"/>
      <c r="C4696" s="549"/>
      <c r="D4696" s="549"/>
      <c r="E4696" s="549"/>
      <c r="F4696" s="549"/>
      <c r="G4696" s="549"/>
      <c r="H4696" s="549"/>
      <c r="I4696" s="558"/>
      <c r="J4696" s="567"/>
      <c r="K4696" s="648">
        <f t="shared" ref="K4696:L4696" si="918">SUM(K4685:K4695)</f>
        <v>329</v>
      </c>
      <c r="L4696" s="567">
        <f t="shared" si="918"/>
        <v>88.598250000000007</v>
      </c>
      <c r="M4696" s="549"/>
      <c r="N4696" s="549"/>
      <c r="O4696" s="549"/>
      <c r="P4696" s="549"/>
      <c r="Q4696" s="1059"/>
      <c r="R4696" s="1059"/>
    </row>
    <row r="4697" spans="1:18" ht="17.399999999999999">
      <c r="A4697" s="547" t="s">
        <v>445</v>
      </c>
      <c r="B4697" s="547" t="s">
        <v>488</v>
      </c>
      <c r="C4697" s="547" t="s">
        <v>19</v>
      </c>
      <c r="D4697" s="547" t="s">
        <v>20</v>
      </c>
      <c r="E4697" s="547" t="s">
        <v>47</v>
      </c>
      <c r="F4697" s="549"/>
      <c r="G4697" s="549" t="s">
        <v>21</v>
      </c>
      <c r="H4697" s="549" t="s">
        <v>180</v>
      </c>
      <c r="I4697" s="558">
        <v>35.9</v>
      </c>
      <c r="J4697" s="567">
        <v>6.2</v>
      </c>
      <c r="K4697" s="648">
        <v>3</v>
      </c>
      <c r="L4697" s="552">
        <f t="shared" ref="L4697:L4702" si="919">(I4697*J4697*K4697/1000)</f>
        <v>0.66774</v>
      </c>
      <c r="M4697" s="549"/>
      <c r="N4697" s="549"/>
      <c r="O4697" s="549"/>
      <c r="P4697" s="549"/>
      <c r="Q4697" s="1059"/>
      <c r="R4697" s="1059"/>
    </row>
    <row r="4698" spans="1:18" ht="17.399999999999999">
      <c r="A4698" s="547"/>
      <c r="B4698" s="752" t="s">
        <v>439</v>
      </c>
      <c r="C4698" s="547"/>
      <c r="D4698" s="547"/>
      <c r="E4698" s="547"/>
      <c r="F4698" s="549"/>
      <c r="G4698" s="549" t="s">
        <v>21</v>
      </c>
      <c r="H4698" s="549" t="s">
        <v>180</v>
      </c>
      <c r="I4698" s="558">
        <v>35.9</v>
      </c>
      <c r="J4698" s="567">
        <v>6.8</v>
      </c>
      <c r="K4698" s="648">
        <v>15</v>
      </c>
      <c r="L4698" s="552">
        <f t="shared" si="919"/>
        <v>3.6617999999999999</v>
      </c>
      <c r="M4698" s="549"/>
      <c r="N4698" s="549"/>
      <c r="O4698" s="549"/>
      <c r="P4698" s="549"/>
      <c r="Q4698" s="1059"/>
      <c r="R4698" s="1059"/>
    </row>
    <row r="4699" spans="1:18" ht="17.399999999999999">
      <c r="A4699" s="549"/>
      <c r="B4699" s="549"/>
      <c r="C4699" s="549"/>
      <c r="D4699" s="549"/>
      <c r="E4699" s="549"/>
      <c r="F4699" s="549"/>
      <c r="G4699" s="549" t="s">
        <v>21</v>
      </c>
      <c r="H4699" s="549" t="s">
        <v>180</v>
      </c>
      <c r="I4699" s="558">
        <v>35.9</v>
      </c>
      <c r="J4699" s="567">
        <v>6.9</v>
      </c>
      <c r="K4699" s="648">
        <v>20</v>
      </c>
      <c r="L4699" s="552">
        <f t="shared" si="919"/>
        <v>4.9542000000000002</v>
      </c>
      <c r="M4699" s="549"/>
      <c r="N4699" s="549"/>
      <c r="O4699" s="549"/>
      <c r="P4699" s="549"/>
      <c r="Q4699" s="1059"/>
      <c r="R4699" s="1059"/>
    </row>
    <row r="4700" spans="1:18" ht="17.399999999999999">
      <c r="A4700" s="549"/>
      <c r="B4700" s="549"/>
      <c r="C4700" s="549"/>
      <c r="D4700" s="549"/>
      <c r="E4700" s="549"/>
      <c r="F4700" s="549"/>
      <c r="G4700" s="549" t="s">
        <v>21</v>
      </c>
      <c r="H4700" s="549" t="s">
        <v>180</v>
      </c>
      <c r="I4700" s="558">
        <v>35.9</v>
      </c>
      <c r="J4700" s="567">
        <v>8.5</v>
      </c>
      <c r="K4700" s="648">
        <v>1</v>
      </c>
      <c r="L4700" s="552">
        <f t="shared" si="919"/>
        <v>0.30514999999999998</v>
      </c>
      <c r="M4700" s="549"/>
      <c r="N4700" s="549"/>
      <c r="O4700" s="549"/>
      <c r="P4700" s="549"/>
      <c r="Q4700" s="1059"/>
      <c r="R4700" s="1059"/>
    </row>
    <row r="4701" spans="1:18" ht="17.399999999999999">
      <c r="A4701" s="549"/>
      <c r="B4701" s="549"/>
      <c r="C4701" s="549"/>
      <c r="D4701" s="549"/>
      <c r="E4701" s="549"/>
      <c r="F4701" s="549"/>
      <c r="G4701" s="549" t="s">
        <v>21</v>
      </c>
      <c r="H4701" s="549" t="s">
        <v>180</v>
      </c>
      <c r="I4701" s="558">
        <v>35.9</v>
      </c>
      <c r="J4701" s="567">
        <v>11</v>
      </c>
      <c r="K4701" s="648">
        <v>7</v>
      </c>
      <c r="L4701" s="552">
        <f t="shared" si="919"/>
        <v>2.7642999999999995</v>
      </c>
      <c r="M4701" s="549"/>
      <c r="N4701" s="549"/>
      <c r="O4701" s="549"/>
      <c r="P4701" s="549"/>
      <c r="Q4701" s="1059"/>
      <c r="R4701" s="1059"/>
    </row>
    <row r="4702" spans="1:18" ht="17.399999999999999">
      <c r="A4702" s="549"/>
      <c r="B4702" s="549"/>
      <c r="C4702" s="549"/>
      <c r="D4702" s="549"/>
      <c r="E4702" s="549"/>
      <c r="F4702" s="549"/>
      <c r="G4702" s="549" t="s">
        <v>21</v>
      </c>
      <c r="H4702" s="549" t="s">
        <v>180</v>
      </c>
      <c r="I4702" s="558">
        <v>35.9</v>
      </c>
      <c r="J4702" s="567">
        <v>12</v>
      </c>
      <c r="K4702" s="648">
        <v>7</v>
      </c>
      <c r="L4702" s="552">
        <f t="shared" si="919"/>
        <v>3.0155999999999996</v>
      </c>
      <c r="M4702" s="549"/>
      <c r="N4702" s="549"/>
      <c r="O4702" s="549"/>
      <c r="P4702" s="549"/>
      <c r="Q4702" s="1059"/>
      <c r="R4702" s="1059"/>
    </row>
    <row r="4703" spans="1:18" ht="17.399999999999999">
      <c r="A4703" s="549"/>
      <c r="B4703" s="549"/>
      <c r="C4703" s="549"/>
      <c r="D4703" s="549"/>
      <c r="E4703" s="549"/>
      <c r="F4703" s="549"/>
      <c r="G4703" s="549"/>
      <c r="H4703" s="549"/>
      <c r="I4703" s="558"/>
      <c r="J4703" s="567"/>
      <c r="K4703" s="648">
        <f t="shared" ref="K4703:L4703" si="920">SUM(K4697:K4702)</f>
        <v>53</v>
      </c>
      <c r="L4703" s="567">
        <f t="shared" si="920"/>
        <v>15.368789999999997</v>
      </c>
      <c r="M4703" s="549"/>
      <c r="N4703" s="549"/>
      <c r="O4703" s="549"/>
      <c r="P4703" s="549"/>
      <c r="Q4703" s="1059"/>
      <c r="R4703" s="1059"/>
    </row>
    <row r="4704" spans="1:18" ht="17.399999999999999">
      <c r="A4704" s="547" t="s">
        <v>445</v>
      </c>
      <c r="B4704" s="547" t="s">
        <v>488</v>
      </c>
      <c r="C4704" s="547" t="s">
        <v>19</v>
      </c>
      <c r="D4704" s="547" t="s">
        <v>20</v>
      </c>
      <c r="E4704" s="547" t="s">
        <v>47</v>
      </c>
      <c r="F4704" s="549"/>
      <c r="G4704" s="549" t="s">
        <v>21</v>
      </c>
      <c r="H4704" s="549" t="s">
        <v>181</v>
      </c>
      <c r="I4704" s="558">
        <v>40.1</v>
      </c>
      <c r="J4704" s="567">
        <v>8.4</v>
      </c>
      <c r="K4704" s="648">
        <v>6</v>
      </c>
      <c r="L4704" s="552">
        <f t="shared" ref="L4704:L4705" si="921">(I4704*J4704*K4704/1000)</f>
        <v>2.0210400000000002</v>
      </c>
      <c r="M4704" s="549"/>
      <c r="N4704" s="549"/>
      <c r="O4704" s="549"/>
      <c r="P4704" s="549"/>
      <c r="Q4704" s="1059"/>
      <c r="R4704" s="1059"/>
    </row>
    <row r="4705" spans="1:18" ht="17.399999999999999">
      <c r="A4705" s="547"/>
      <c r="B4705" s="752" t="s">
        <v>439</v>
      </c>
      <c r="C4705" s="547"/>
      <c r="D4705" s="547"/>
      <c r="E4705" s="547"/>
      <c r="F4705" s="549"/>
      <c r="G4705" s="549" t="s">
        <v>21</v>
      </c>
      <c r="H4705" s="549" t="s">
        <v>181</v>
      </c>
      <c r="I4705" s="558">
        <v>40.1</v>
      </c>
      <c r="J4705" s="567">
        <v>9.8000000000000007</v>
      </c>
      <c r="K4705" s="648">
        <v>4</v>
      </c>
      <c r="L4705" s="552">
        <f t="shared" si="921"/>
        <v>1.57192</v>
      </c>
      <c r="M4705" s="549"/>
      <c r="N4705" s="549"/>
      <c r="O4705" s="549"/>
      <c r="P4705" s="549"/>
      <c r="Q4705" s="1059"/>
      <c r="R4705" s="1059"/>
    </row>
    <row r="4706" spans="1:18" ht="17.399999999999999">
      <c r="A4706" s="549"/>
      <c r="B4706" s="549"/>
      <c r="C4706" s="549"/>
      <c r="D4706" s="549"/>
      <c r="E4706" s="549"/>
      <c r="F4706" s="549"/>
      <c r="G4706" s="549"/>
      <c r="H4706" s="549"/>
      <c r="I4706" s="558"/>
      <c r="J4706" s="567"/>
      <c r="K4706" s="648">
        <f t="shared" ref="K4706:L4706" si="922">SUM(K4704:K4705)</f>
        <v>10</v>
      </c>
      <c r="L4706" s="567">
        <f t="shared" si="922"/>
        <v>3.5929600000000002</v>
      </c>
      <c r="M4706" s="549"/>
      <c r="N4706" s="549"/>
      <c r="O4706" s="549"/>
      <c r="P4706" s="549"/>
      <c r="Q4706" s="1059"/>
      <c r="R4706" s="1059"/>
    </row>
    <row r="4707" spans="1:18" ht="17.399999999999999">
      <c r="A4707" s="547" t="s">
        <v>445</v>
      </c>
      <c r="B4707" s="547" t="s">
        <v>488</v>
      </c>
      <c r="C4707" s="547" t="s">
        <v>19</v>
      </c>
      <c r="D4707" s="547" t="s">
        <v>20</v>
      </c>
      <c r="E4707" s="547" t="s">
        <v>47</v>
      </c>
      <c r="F4707" s="549"/>
      <c r="G4707" s="549" t="s">
        <v>21</v>
      </c>
      <c r="H4707" s="549" t="s">
        <v>182</v>
      </c>
      <c r="I4707" s="558">
        <v>44.2</v>
      </c>
      <c r="J4707" s="567">
        <v>8.5</v>
      </c>
      <c r="K4707" s="648">
        <v>16</v>
      </c>
      <c r="L4707" s="552">
        <f>(I4707*J4707*K4707/1000)</f>
        <v>6.0112000000000005</v>
      </c>
      <c r="M4707" s="549"/>
      <c r="N4707" s="549"/>
      <c r="O4707" s="549"/>
      <c r="P4707" s="549"/>
      <c r="Q4707" s="1059"/>
      <c r="R4707" s="1059"/>
    </row>
    <row r="4708" spans="1:18" ht="17.399999999999999">
      <c r="A4708" s="547"/>
      <c r="B4708" s="752" t="s">
        <v>439</v>
      </c>
      <c r="C4708" s="547"/>
      <c r="D4708" s="547"/>
      <c r="E4708" s="547"/>
      <c r="F4708" s="549"/>
      <c r="G4708" s="549"/>
      <c r="H4708" s="549"/>
      <c r="I4708" s="558"/>
      <c r="J4708" s="567"/>
      <c r="K4708" s="648">
        <f t="shared" ref="K4708:L4708" si="923">SUM(K4707)</f>
        <v>16</v>
      </c>
      <c r="L4708" s="567">
        <f t="shared" si="923"/>
        <v>6.0112000000000005</v>
      </c>
      <c r="M4708" s="549"/>
      <c r="N4708" s="549"/>
      <c r="O4708" s="549"/>
      <c r="P4708" s="549"/>
      <c r="Q4708" s="1059"/>
      <c r="R4708" s="1059"/>
    </row>
    <row r="4709" spans="1:18" ht="17.399999999999999">
      <c r="A4709" s="547" t="s">
        <v>445</v>
      </c>
      <c r="B4709" s="547" t="s">
        <v>488</v>
      </c>
      <c r="C4709" s="547" t="s">
        <v>19</v>
      </c>
      <c r="D4709" s="547" t="s">
        <v>20</v>
      </c>
      <c r="E4709" s="547" t="s">
        <v>47</v>
      </c>
      <c r="F4709" s="549"/>
      <c r="G4709" s="549" t="s">
        <v>21</v>
      </c>
      <c r="H4709" s="549" t="s">
        <v>70</v>
      </c>
      <c r="I4709" s="558">
        <v>5.76</v>
      </c>
      <c r="J4709" s="567">
        <v>10</v>
      </c>
      <c r="K4709" s="648">
        <v>45</v>
      </c>
      <c r="L4709" s="552">
        <f t="shared" ref="L4709:L4714" si="924">(I4709*J4709*K4709/1000)</f>
        <v>2.5919999999999996</v>
      </c>
      <c r="M4709" s="549"/>
      <c r="N4709" s="549"/>
      <c r="O4709" s="549"/>
      <c r="P4709" s="549"/>
      <c r="Q4709" s="1059"/>
      <c r="R4709" s="1059"/>
    </row>
    <row r="4710" spans="1:18" ht="17.399999999999999">
      <c r="A4710" s="547"/>
      <c r="B4710" s="752" t="s">
        <v>439</v>
      </c>
      <c r="C4710" s="547"/>
      <c r="D4710" s="547"/>
      <c r="E4710" s="547"/>
      <c r="F4710" s="549"/>
      <c r="G4710" s="549" t="s">
        <v>21</v>
      </c>
      <c r="H4710" s="549" t="s">
        <v>70</v>
      </c>
      <c r="I4710" s="558">
        <v>5.76</v>
      </c>
      <c r="J4710" s="567">
        <v>10.5</v>
      </c>
      <c r="K4710" s="648">
        <v>11</v>
      </c>
      <c r="L4710" s="552">
        <f t="shared" si="924"/>
        <v>0.66527999999999998</v>
      </c>
      <c r="M4710" s="549"/>
      <c r="N4710" s="549"/>
      <c r="O4710" s="549"/>
      <c r="P4710" s="549"/>
      <c r="Q4710" s="1059"/>
      <c r="R4710" s="1059"/>
    </row>
    <row r="4711" spans="1:18" ht="17.399999999999999">
      <c r="A4711" s="549"/>
      <c r="B4711" s="549"/>
      <c r="C4711" s="549"/>
      <c r="D4711" s="549"/>
      <c r="E4711" s="549"/>
      <c r="F4711" s="549"/>
      <c r="G4711" s="549" t="s">
        <v>21</v>
      </c>
      <c r="H4711" s="549" t="s">
        <v>70</v>
      </c>
      <c r="I4711" s="558">
        <v>5.76</v>
      </c>
      <c r="J4711" s="567">
        <v>11</v>
      </c>
      <c r="K4711" s="648">
        <v>32</v>
      </c>
      <c r="L4711" s="552">
        <f t="shared" si="924"/>
        <v>2.02752</v>
      </c>
      <c r="M4711" s="549"/>
      <c r="N4711" s="549"/>
      <c r="O4711" s="549"/>
      <c r="P4711" s="549"/>
      <c r="Q4711" s="1059"/>
      <c r="R4711" s="1059"/>
    </row>
    <row r="4712" spans="1:18" ht="17.399999999999999">
      <c r="A4712" s="549"/>
      <c r="B4712" s="549"/>
      <c r="C4712" s="549"/>
      <c r="D4712" s="549"/>
      <c r="E4712" s="549"/>
      <c r="F4712" s="549"/>
      <c r="G4712" s="549" t="s">
        <v>21</v>
      </c>
      <c r="H4712" s="549" t="s">
        <v>70</v>
      </c>
      <c r="I4712" s="558">
        <v>5.76</v>
      </c>
      <c r="J4712" s="567">
        <v>11.3</v>
      </c>
      <c r="K4712" s="648">
        <v>78</v>
      </c>
      <c r="L4712" s="552">
        <f t="shared" si="924"/>
        <v>5.0768640000000005</v>
      </c>
      <c r="M4712" s="549"/>
      <c r="N4712" s="549"/>
      <c r="O4712" s="549"/>
      <c r="P4712" s="549"/>
      <c r="Q4712" s="1059"/>
      <c r="R4712" s="1059"/>
    </row>
    <row r="4713" spans="1:18" ht="17.399999999999999">
      <c r="A4713" s="549"/>
      <c r="B4713" s="549"/>
      <c r="C4713" s="549"/>
      <c r="D4713" s="549"/>
      <c r="E4713" s="549"/>
      <c r="F4713" s="549"/>
      <c r="G4713" s="549" t="s">
        <v>21</v>
      </c>
      <c r="H4713" s="549" t="s">
        <v>70</v>
      </c>
      <c r="I4713" s="558">
        <v>5.76</v>
      </c>
      <c r="J4713" s="567">
        <v>11.5</v>
      </c>
      <c r="K4713" s="648">
        <v>29</v>
      </c>
      <c r="L4713" s="552">
        <f t="shared" si="924"/>
        <v>1.9209599999999998</v>
      </c>
      <c r="M4713" s="549"/>
      <c r="N4713" s="549"/>
      <c r="O4713" s="549"/>
      <c r="P4713" s="549"/>
      <c r="Q4713" s="1059"/>
      <c r="R4713" s="1059"/>
    </row>
    <row r="4714" spans="1:18" ht="17.399999999999999">
      <c r="A4714" s="549"/>
      <c r="B4714" s="549"/>
      <c r="C4714" s="549"/>
      <c r="D4714" s="549"/>
      <c r="E4714" s="549"/>
      <c r="F4714" s="549"/>
      <c r="G4714" s="549" t="s">
        <v>21</v>
      </c>
      <c r="H4714" s="549" t="s">
        <v>70</v>
      </c>
      <c r="I4714" s="558">
        <v>5.76</v>
      </c>
      <c r="J4714" s="567">
        <v>12</v>
      </c>
      <c r="K4714" s="648">
        <v>56</v>
      </c>
      <c r="L4714" s="552">
        <f t="shared" si="924"/>
        <v>3.8707200000000004</v>
      </c>
      <c r="M4714" s="549"/>
      <c r="N4714" s="549"/>
      <c r="O4714" s="549"/>
      <c r="P4714" s="549"/>
      <c r="Q4714" s="1059"/>
      <c r="R4714" s="1059"/>
    </row>
    <row r="4715" spans="1:18" ht="17.399999999999999">
      <c r="A4715" s="549"/>
      <c r="B4715" s="549"/>
      <c r="C4715" s="549"/>
      <c r="D4715" s="549"/>
      <c r="E4715" s="549"/>
      <c r="F4715" s="549"/>
      <c r="G4715" s="549"/>
      <c r="H4715" s="549"/>
      <c r="I4715" s="558"/>
      <c r="J4715" s="567"/>
      <c r="K4715" s="648">
        <f t="shared" ref="K4715:L4715" si="925">SUM(K4709:K4714)</f>
        <v>251</v>
      </c>
      <c r="L4715" s="567">
        <f t="shared" si="925"/>
        <v>16.153344000000001</v>
      </c>
      <c r="M4715" s="549"/>
      <c r="N4715" s="549"/>
      <c r="O4715" s="549"/>
      <c r="P4715" s="549"/>
      <c r="Q4715" s="1059"/>
      <c r="R4715" s="1059"/>
    </row>
    <row r="4716" spans="1:18" ht="17.399999999999999">
      <c r="A4716" s="547" t="s">
        <v>445</v>
      </c>
      <c r="B4716" s="547" t="s">
        <v>488</v>
      </c>
      <c r="C4716" s="547" t="s">
        <v>19</v>
      </c>
      <c r="D4716" s="547" t="s">
        <v>20</v>
      </c>
      <c r="E4716" s="547" t="s">
        <v>47</v>
      </c>
      <c r="F4716" s="549"/>
      <c r="G4716" s="549" t="s">
        <v>21</v>
      </c>
      <c r="H4716" s="549" t="s">
        <v>69</v>
      </c>
      <c r="I4716" s="558">
        <v>6.85</v>
      </c>
      <c r="J4716" s="567">
        <v>9.5</v>
      </c>
      <c r="K4716" s="648">
        <v>52</v>
      </c>
      <c r="L4716" s="552">
        <f t="shared" ref="L4716:L4722" si="926">(I4716*J4716*K4716/1000)</f>
        <v>3.3839000000000001</v>
      </c>
      <c r="M4716" s="549"/>
      <c r="N4716" s="549"/>
      <c r="O4716" s="549"/>
      <c r="P4716" s="549"/>
      <c r="Q4716" s="1059"/>
      <c r="R4716" s="1059"/>
    </row>
    <row r="4717" spans="1:18" ht="17.399999999999999">
      <c r="A4717" s="547"/>
      <c r="B4717" s="752" t="s">
        <v>439</v>
      </c>
      <c r="C4717" s="547"/>
      <c r="D4717" s="547"/>
      <c r="E4717" s="547"/>
      <c r="F4717" s="549"/>
      <c r="G4717" s="549" t="s">
        <v>21</v>
      </c>
      <c r="H4717" s="549" t="s">
        <v>69</v>
      </c>
      <c r="I4717" s="558">
        <v>6.85</v>
      </c>
      <c r="J4717" s="567">
        <v>10</v>
      </c>
      <c r="K4717" s="648">
        <v>43</v>
      </c>
      <c r="L4717" s="552">
        <f t="shared" si="926"/>
        <v>2.9455</v>
      </c>
      <c r="M4717" s="549"/>
      <c r="N4717" s="549"/>
      <c r="O4717" s="549"/>
      <c r="P4717" s="549"/>
      <c r="Q4717" s="1059"/>
      <c r="R4717" s="1059"/>
    </row>
    <row r="4718" spans="1:18" ht="17.399999999999999">
      <c r="A4718" s="549"/>
      <c r="B4718" s="549"/>
      <c r="C4718" s="549"/>
      <c r="D4718" s="549"/>
      <c r="E4718" s="549"/>
      <c r="F4718" s="549"/>
      <c r="G4718" s="549" t="s">
        <v>21</v>
      </c>
      <c r="H4718" s="549" t="s">
        <v>69</v>
      </c>
      <c r="I4718" s="558">
        <v>6.85</v>
      </c>
      <c r="J4718" s="567">
        <v>10.5</v>
      </c>
      <c r="K4718" s="648">
        <v>60</v>
      </c>
      <c r="L4718" s="552">
        <f t="shared" si="926"/>
        <v>4.3155000000000001</v>
      </c>
      <c r="M4718" s="549"/>
      <c r="N4718" s="549"/>
      <c r="O4718" s="549"/>
      <c r="P4718" s="549"/>
      <c r="Q4718" s="1059"/>
      <c r="R4718" s="1059"/>
    </row>
    <row r="4719" spans="1:18" ht="17.399999999999999">
      <c r="A4719" s="549"/>
      <c r="B4719" s="549"/>
      <c r="C4719" s="549"/>
      <c r="D4719" s="549"/>
      <c r="E4719" s="549"/>
      <c r="F4719" s="549"/>
      <c r="G4719" s="549" t="s">
        <v>21</v>
      </c>
      <c r="H4719" s="549" t="s">
        <v>69</v>
      </c>
      <c r="I4719" s="558">
        <v>6.85</v>
      </c>
      <c r="J4719" s="567">
        <v>10.8</v>
      </c>
      <c r="K4719" s="648">
        <v>12</v>
      </c>
      <c r="L4719" s="552">
        <f t="shared" si="926"/>
        <v>0.88775999999999999</v>
      </c>
      <c r="M4719" s="549"/>
      <c r="N4719" s="549"/>
      <c r="O4719" s="549"/>
      <c r="P4719" s="549"/>
      <c r="Q4719" s="1059"/>
      <c r="R4719" s="1059"/>
    </row>
    <row r="4720" spans="1:18" ht="17.399999999999999">
      <c r="A4720" s="549"/>
      <c r="B4720" s="549"/>
      <c r="C4720" s="549"/>
      <c r="D4720" s="549"/>
      <c r="E4720" s="549"/>
      <c r="F4720" s="549"/>
      <c r="G4720" s="549" t="s">
        <v>21</v>
      </c>
      <c r="H4720" s="549" t="s">
        <v>69</v>
      </c>
      <c r="I4720" s="558">
        <v>6.85</v>
      </c>
      <c r="J4720" s="567">
        <v>11</v>
      </c>
      <c r="K4720" s="648">
        <v>33</v>
      </c>
      <c r="L4720" s="552">
        <f t="shared" si="926"/>
        <v>2.4865499999999998</v>
      </c>
      <c r="M4720" s="549"/>
      <c r="N4720" s="549"/>
      <c r="O4720" s="549"/>
      <c r="P4720" s="549"/>
      <c r="Q4720" s="1059"/>
      <c r="R4720" s="1059"/>
    </row>
    <row r="4721" spans="1:18" ht="17.399999999999999">
      <c r="A4721" s="549"/>
      <c r="B4721" s="549"/>
      <c r="C4721" s="549"/>
      <c r="D4721" s="549"/>
      <c r="E4721" s="549"/>
      <c r="F4721" s="549"/>
      <c r="G4721" s="549" t="s">
        <v>21</v>
      </c>
      <c r="H4721" s="549" t="s">
        <v>69</v>
      </c>
      <c r="I4721" s="558">
        <v>6.85</v>
      </c>
      <c r="J4721" s="567">
        <v>11.5</v>
      </c>
      <c r="K4721" s="648">
        <v>100</v>
      </c>
      <c r="L4721" s="552">
        <f t="shared" si="926"/>
        <v>7.8774999999999995</v>
      </c>
      <c r="M4721" s="549"/>
      <c r="N4721" s="549"/>
      <c r="O4721" s="549"/>
      <c r="P4721" s="549"/>
      <c r="Q4721" s="1059"/>
      <c r="R4721" s="1059"/>
    </row>
    <row r="4722" spans="1:18" ht="17.399999999999999">
      <c r="A4722" s="549"/>
      <c r="B4722" s="549"/>
      <c r="C4722" s="549"/>
      <c r="D4722" s="549"/>
      <c r="E4722" s="549"/>
      <c r="F4722" s="549"/>
      <c r="G4722" s="549" t="s">
        <v>21</v>
      </c>
      <c r="H4722" s="549" t="s">
        <v>69</v>
      </c>
      <c r="I4722" s="558">
        <v>6.85</v>
      </c>
      <c r="J4722" s="567">
        <v>12</v>
      </c>
      <c r="K4722" s="648">
        <v>19</v>
      </c>
      <c r="L4722" s="552">
        <f t="shared" si="926"/>
        <v>1.5617999999999996</v>
      </c>
      <c r="M4722" s="549"/>
      <c r="N4722" s="549"/>
      <c r="O4722" s="549"/>
      <c r="P4722" s="549"/>
      <c r="Q4722" s="1059"/>
      <c r="R4722" s="1059"/>
    </row>
    <row r="4723" spans="1:18" ht="17.399999999999999">
      <c r="A4723" s="549"/>
      <c r="B4723" s="549"/>
      <c r="C4723" s="549"/>
      <c r="D4723" s="549"/>
      <c r="E4723" s="549"/>
      <c r="F4723" s="549"/>
      <c r="G4723" s="549"/>
      <c r="H4723" s="549"/>
      <c r="I4723" s="558"/>
      <c r="J4723" s="567"/>
      <c r="K4723" s="648">
        <f t="shared" ref="K4723:L4723" si="927">SUM(K4716:K4722)</f>
        <v>319</v>
      </c>
      <c r="L4723" s="567">
        <f t="shared" si="927"/>
        <v>23.458509999999997</v>
      </c>
      <c r="M4723" s="549"/>
      <c r="N4723" s="549"/>
      <c r="O4723" s="549"/>
      <c r="P4723" s="549"/>
      <c r="Q4723" s="1059"/>
      <c r="R4723" s="1059"/>
    </row>
    <row r="4724" spans="1:18" ht="17.399999999999999">
      <c r="A4724" s="547" t="s">
        <v>445</v>
      </c>
      <c r="B4724" s="547" t="s">
        <v>488</v>
      </c>
      <c r="C4724" s="547" t="s">
        <v>19</v>
      </c>
      <c r="D4724" s="547" t="s">
        <v>20</v>
      </c>
      <c r="E4724" s="547" t="s">
        <v>47</v>
      </c>
      <c r="F4724" s="549"/>
      <c r="G4724" s="549" t="s">
        <v>21</v>
      </c>
      <c r="H4724" s="549" t="s">
        <v>130</v>
      </c>
      <c r="I4724" s="558">
        <v>6.17</v>
      </c>
      <c r="J4724" s="567">
        <v>11.3</v>
      </c>
      <c r="K4724" s="648">
        <v>38</v>
      </c>
      <c r="L4724" s="552">
        <f t="shared" ref="L4724:L4725" si="928">(I4724*J4724*K4724/1000)</f>
        <v>2.6493980000000001</v>
      </c>
      <c r="M4724" s="549"/>
      <c r="N4724" s="549"/>
      <c r="O4724" s="549"/>
      <c r="P4724" s="549"/>
      <c r="Q4724" s="1059"/>
      <c r="R4724" s="1059"/>
    </row>
    <row r="4725" spans="1:18" ht="17.399999999999999">
      <c r="A4725" s="547"/>
      <c r="B4725" s="752" t="s">
        <v>439</v>
      </c>
      <c r="C4725" s="547"/>
      <c r="D4725" s="547"/>
      <c r="E4725" s="547"/>
      <c r="F4725" s="549"/>
      <c r="G4725" s="549" t="s">
        <v>21</v>
      </c>
      <c r="H4725" s="549" t="s">
        <v>130</v>
      </c>
      <c r="I4725" s="558">
        <v>6.17</v>
      </c>
      <c r="J4725" s="567">
        <v>12</v>
      </c>
      <c r="K4725" s="648">
        <v>19</v>
      </c>
      <c r="L4725" s="552">
        <f t="shared" si="928"/>
        <v>1.4067599999999998</v>
      </c>
      <c r="M4725" s="549"/>
      <c r="N4725" s="549"/>
      <c r="O4725" s="549"/>
      <c r="P4725" s="549"/>
      <c r="Q4725" s="1059"/>
      <c r="R4725" s="1059"/>
    </row>
    <row r="4726" spans="1:18" ht="17.399999999999999">
      <c r="A4726" s="549"/>
      <c r="B4726" s="549"/>
      <c r="C4726" s="549"/>
      <c r="D4726" s="549"/>
      <c r="E4726" s="549"/>
      <c r="F4726" s="549"/>
      <c r="G4726" s="549"/>
      <c r="H4726" s="549"/>
      <c r="I4726" s="558"/>
      <c r="J4726" s="567"/>
      <c r="K4726" s="648">
        <f t="shared" ref="K4726:L4726" si="929">SUM(K4724:K4725)</f>
        <v>57</v>
      </c>
      <c r="L4726" s="567">
        <f t="shared" si="929"/>
        <v>4.0561579999999999</v>
      </c>
      <c r="M4726" s="549"/>
      <c r="N4726" s="549"/>
      <c r="O4726" s="549"/>
      <c r="P4726" s="549"/>
      <c r="Q4726" s="1059"/>
      <c r="R4726" s="1059"/>
    </row>
    <row r="4727" spans="1:18" ht="17.399999999999999">
      <c r="A4727" s="547" t="s">
        <v>445</v>
      </c>
      <c r="B4727" s="547" t="s">
        <v>488</v>
      </c>
      <c r="C4727" s="547" t="s">
        <v>19</v>
      </c>
      <c r="D4727" s="547" t="s">
        <v>20</v>
      </c>
      <c r="E4727" s="547" t="s">
        <v>47</v>
      </c>
      <c r="F4727" s="549"/>
      <c r="G4727" s="549" t="s">
        <v>21</v>
      </c>
      <c r="H4727" s="549" t="s">
        <v>131</v>
      </c>
      <c r="I4727" s="558">
        <v>7.34</v>
      </c>
      <c r="J4727" s="567">
        <v>10</v>
      </c>
      <c r="K4727" s="648">
        <v>36</v>
      </c>
      <c r="L4727" s="552">
        <f t="shared" ref="L4727:L4734" si="930">(I4727*J4727*K4727/1000)</f>
        <v>2.6424000000000003</v>
      </c>
      <c r="M4727" s="549"/>
      <c r="N4727" s="549"/>
      <c r="O4727" s="549"/>
      <c r="P4727" s="549"/>
      <c r="Q4727" s="1059"/>
      <c r="R4727" s="1059"/>
    </row>
    <row r="4728" spans="1:18" ht="17.399999999999999">
      <c r="A4728" s="547"/>
      <c r="B4728" s="752" t="s">
        <v>439</v>
      </c>
      <c r="C4728" s="547"/>
      <c r="D4728" s="547"/>
      <c r="E4728" s="547"/>
      <c r="F4728" s="549"/>
      <c r="G4728" s="549" t="s">
        <v>21</v>
      </c>
      <c r="H4728" s="549" t="s">
        <v>131</v>
      </c>
      <c r="I4728" s="558">
        <v>7.34</v>
      </c>
      <c r="J4728" s="567">
        <v>10.5</v>
      </c>
      <c r="K4728" s="648">
        <v>75</v>
      </c>
      <c r="L4728" s="552">
        <f t="shared" si="930"/>
        <v>5.7802499999999988</v>
      </c>
      <c r="M4728" s="549"/>
      <c r="N4728" s="549"/>
      <c r="O4728" s="549"/>
      <c r="P4728" s="549"/>
      <c r="Q4728" s="1059"/>
      <c r="R4728" s="1059"/>
    </row>
    <row r="4729" spans="1:18" ht="17.399999999999999">
      <c r="A4729" s="549"/>
      <c r="B4729" s="549"/>
      <c r="C4729" s="549"/>
      <c r="D4729" s="549"/>
      <c r="E4729" s="549"/>
      <c r="F4729" s="549"/>
      <c r="G4729" s="549" t="s">
        <v>21</v>
      </c>
      <c r="H4729" s="549" t="s">
        <v>131</v>
      </c>
      <c r="I4729" s="558">
        <v>7.34</v>
      </c>
      <c r="J4729" s="567">
        <v>10.7</v>
      </c>
      <c r="K4729" s="648">
        <v>38</v>
      </c>
      <c r="L4729" s="552">
        <f t="shared" si="930"/>
        <v>2.9844439999999999</v>
      </c>
      <c r="M4729" s="549"/>
      <c r="N4729" s="549"/>
      <c r="O4729" s="549"/>
      <c r="P4729" s="549"/>
      <c r="Q4729" s="1059"/>
      <c r="R4729" s="1059"/>
    </row>
    <row r="4730" spans="1:18" ht="17.399999999999999">
      <c r="A4730" s="549"/>
      <c r="B4730" s="549"/>
      <c r="C4730" s="549"/>
      <c r="D4730" s="549"/>
      <c r="E4730" s="549"/>
      <c r="F4730" s="549"/>
      <c r="G4730" s="549" t="s">
        <v>21</v>
      </c>
      <c r="H4730" s="549" t="s">
        <v>131</v>
      </c>
      <c r="I4730" s="558">
        <v>7.34</v>
      </c>
      <c r="J4730" s="567">
        <v>11</v>
      </c>
      <c r="K4730" s="648">
        <v>67</v>
      </c>
      <c r="L4730" s="552">
        <f t="shared" si="930"/>
        <v>5.4095800000000001</v>
      </c>
      <c r="M4730" s="549"/>
      <c r="N4730" s="549"/>
      <c r="O4730" s="549"/>
      <c r="P4730" s="549"/>
      <c r="Q4730" s="1059"/>
      <c r="R4730" s="1059"/>
    </row>
    <row r="4731" spans="1:18" ht="17.399999999999999">
      <c r="A4731" s="549"/>
      <c r="B4731" s="549"/>
      <c r="C4731" s="549"/>
      <c r="D4731" s="549"/>
      <c r="E4731" s="549"/>
      <c r="F4731" s="549"/>
      <c r="G4731" s="549" t="s">
        <v>21</v>
      </c>
      <c r="H4731" s="549" t="s">
        <v>131</v>
      </c>
      <c r="I4731" s="558">
        <v>7.34</v>
      </c>
      <c r="J4731" s="567">
        <v>11.2</v>
      </c>
      <c r="K4731" s="648">
        <v>28</v>
      </c>
      <c r="L4731" s="552">
        <f t="shared" si="930"/>
        <v>2.3018239999999999</v>
      </c>
      <c r="M4731" s="549"/>
      <c r="N4731" s="549"/>
      <c r="O4731" s="549"/>
      <c r="P4731" s="549"/>
      <c r="Q4731" s="1059"/>
      <c r="R4731" s="1059"/>
    </row>
    <row r="4732" spans="1:18" ht="17.399999999999999">
      <c r="A4732" s="549"/>
      <c r="B4732" s="549"/>
      <c r="C4732" s="549"/>
      <c r="D4732" s="549"/>
      <c r="E4732" s="549"/>
      <c r="F4732" s="549"/>
      <c r="G4732" s="549" t="s">
        <v>21</v>
      </c>
      <c r="H4732" s="549" t="s">
        <v>131</v>
      </c>
      <c r="I4732" s="558">
        <v>7.34</v>
      </c>
      <c r="J4732" s="567">
        <v>11.5</v>
      </c>
      <c r="K4732" s="648">
        <v>27</v>
      </c>
      <c r="L4732" s="552">
        <f t="shared" si="930"/>
        <v>2.2790699999999999</v>
      </c>
      <c r="M4732" s="549"/>
      <c r="N4732" s="549"/>
      <c r="O4732" s="549"/>
      <c r="P4732" s="549"/>
      <c r="Q4732" s="1059"/>
      <c r="R4732" s="1059"/>
    </row>
    <row r="4733" spans="1:18" ht="17.399999999999999">
      <c r="A4733" s="549"/>
      <c r="B4733" s="549"/>
      <c r="C4733" s="549"/>
      <c r="D4733" s="549"/>
      <c r="E4733" s="549"/>
      <c r="F4733" s="549"/>
      <c r="G4733" s="549" t="s">
        <v>21</v>
      </c>
      <c r="H4733" s="549" t="s">
        <v>131</v>
      </c>
      <c r="I4733" s="558">
        <v>7.34</v>
      </c>
      <c r="J4733" s="567">
        <v>11.8</v>
      </c>
      <c r="K4733" s="648">
        <v>44</v>
      </c>
      <c r="L4733" s="552">
        <f t="shared" si="930"/>
        <v>3.8109280000000005</v>
      </c>
      <c r="M4733" s="549"/>
      <c r="N4733" s="549"/>
      <c r="O4733" s="549"/>
      <c r="P4733" s="549"/>
      <c r="Q4733" s="1059"/>
      <c r="R4733" s="1059"/>
    </row>
    <row r="4734" spans="1:18" ht="17.399999999999999">
      <c r="A4734" s="549"/>
      <c r="B4734" s="549"/>
      <c r="C4734" s="549"/>
      <c r="D4734" s="549"/>
      <c r="E4734" s="549"/>
      <c r="F4734" s="549"/>
      <c r="G4734" s="549" t="s">
        <v>21</v>
      </c>
      <c r="H4734" s="549" t="s">
        <v>131</v>
      </c>
      <c r="I4734" s="558">
        <v>7.34</v>
      </c>
      <c r="J4734" s="567">
        <v>12</v>
      </c>
      <c r="K4734" s="648">
        <v>112</v>
      </c>
      <c r="L4734" s="552">
        <f t="shared" si="930"/>
        <v>9.86496</v>
      </c>
      <c r="M4734" s="549"/>
      <c r="N4734" s="549"/>
      <c r="O4734" s="549"/>
      <c r="P4734" s="549"/>
      <c r="Q4734" s="1059"/>
      <c r="R4734" s="1059"/>
    </row>
    <row r="4735" spans="1:18" ht="17.399999999999999">
      <c r="A4735" s="549"/>
      <c r="B4735" s="549"/>
      <c r="C4735" s="549"/>
      <c r="D4735" s="549"/>
      <c r="E4735" s="549"/>
      <c r="F4735" s="549"/>
      <c r="G4735" s="549"/>
      <c r="H4735" s="549"/>
      <c r="I4735" s="558"/>
      <c r="J4735" s="567"/>
      <c r="K4735" s="648">
        <f t="shared" ref="K4735:L4735" si="931">SUM(K4727:K4734)</f>
        <v>427</v>
      </c>
      <c r="L4735" s="567">
        <f t="shared" si="931"/>
        <v>35.073456</v>
      </c>
      <c r="M4735" s="549"/>
      <c r="N4735" s="549"/>
      <c r="O4735" s="549"/>
      <c r="P4735" s="549"/>
      <c r="Q4735" s="1059"/>
      <c r="R4735" s="1059"/>
    </row>
    <row r="4736" spans="1:18" ht="17.399999999999999">
      <c r="A4736" s="549"/>
      <c r="B4736" s="549"/>
      <c r="C4736" s="549"/>
      <c r="D4736" s="549"/>
      <c r="E4736" s="549"/>
      <c r="F4736" s="549"/>
      <c r="G4736" s="549"/>
      <c r="H4736" s="549"/>
      <c r="I4736" s="560"/>
      <c r="J4736" s="549"/>
      <c r="K4736" s="561"/>
      <c r="L4736" s="560"/>
      <c r="M4736" s="549"/>
      <c r="N4736" s="549"/>
      <c r="O4736" s="549"/>
      <c r="P4736" s="549"/>
      <c r="Q4736" s="1059"/>
      <c r="R4736" s="1059"/>
    </row>
    <row r="4737" spans="1:18" ht="17.399999999999999">
      <c r="A4737" s="547" t="s">
        <v>445</v>
      </c>
      <c r="B4737" s="547" t="s">
        <v>488</v>
      </c>
      <c r="C4737" s="547" t="s">
        <v>19</v>
      </c>
      <c r="D4737" s="547" t="s">
        <v>60</v>
      </c>
      <c r="E4737" s="547" t="s">
        <v>323</v>
      </c>
      <c r="F4737" s="549"/>
      <c r="G4737" s="549" t="s">
        <v>61</v>
      </c>
      <c r="H4737" s="549" t="s">
        <v>124</v>
      </c>
      <c r="I4737" s="558">
        <v>19.8</v>
      </c>
      <c r="J4737" s="567">
        <v>6</v>
      </c>
      <c r="K4737" s="648">
        <v>2</v>
      </c>
      <c r="L4737" s="552">
        <f>(I4737*J4737*K4737/1000)</f>
        <v>0.23760000000000003</v>
      </c>
      <c r="M4737" s="549"/>
      <c r="N4737" s="549"/>
      <c r="O4737" s="549"/>
      <c r="P4737" s="549"/>
      <c r="Q4737" s="1059"/>
      <c r="R4737" s="1059"/>
    </row>
    <row r="4738" spans="1:18" ht="17.399999999999999">
      <c r="A4738" s="547"/>
      <c r="B4738" s="752" t="s">
        <v>439</v>
      </c>
      <c r="C4738" s="547"/>
      <c r="D4738" s="547"/>
      <c r="E4738" s="547"/>
      <c r="F4738" s="549"/>
      <c r="G4738" s="549"/>
      <c r="H4738" s="549"/>
      <c r="I4738" s="558"/>
      <c r="J4738" s="567"/>
      <c r="K4738" s="648">
        <f t="shared" ref="K4738:L4738" si="932">SUM(K4737)</f>
        <v>2</v>
      </c>
      <c r="L4738" s="567">
        <f t="shared" si="932"/>
        <v>0.23760000000000003</v>
      </c>
      <c r="M4738" s="549"/>
      <c r="N4738" s="549"/>
      <c r="O4738" s="549"/>
      <c r="P4738" s="549"/>
      <c r="Q4738" s="1059"/>
      <c r="R4738" s="1059"/>
    </row>
    <row r="4739" spans="1:18" ht="17.399999999999999">
      <c r="A4739" s="547" t="s">
        <v>445</v>
      </c>
      <c r="B4739" s="547" t="s">
        <v>488</v>
      </c>
      <c r="C4739" s="547" t="s">
        <v>19</v>
      </c>
      <c r="D4739" s="547" t="s">
        <v>60</v>
      </c>
      <c r="E4739" s="547" t="s">
        <v>323</v>
      </c>
      <c r="F4739" s="549"/>
      <c r="G4739" s="549" t="s">
        <v>61</v>
      </c>
      <c r="H4739" s="549" t="s">
        <v>70</v>
      </c>
      <c r="I4739" s="558">
        <v>5.76</v>
      </c>
      <c r="J4739" s="567">
        <v>11.5</v>
      </c>
      <c r="K4739" s="648">
        <v>8</v>
      </c>
      <c r="L4739" s="552">
        <f>(I4739*J4739*K4739/1000)</f>
        <v>0.52991999999999995</v>
      </c>
      <c r="M4739" s="549"/>
      <c r="N4739" s="549"/>
      <c r="O4739" s="549"/>
      <c r="P4739" s="549"/>
      <c r="Q4739" s="1059"/>
      <c r="R4739" s="1059"/>
    </row>
    <row r="4740" spans="1:18" ht="17.399999999999999">
      <c r="A4740" s="547"/>
      <c r="B4740" s="752" t="s">
        <v>439</v>
      </c>
      <c r="C4740" s="547"/>
      <c r="D4740" s="547"/>
      <c r="E4740" s="547"/>
      <c r="F4740" s="549"/>
      <c r="G4740" s="549"/>
      <c r="H4740" s="549"/>
      <c r="I4740" s="558"/>
      <c r="J4740" s="567"/>
      <c r="K4740" s="648">
        <f t="shared" ref="K4740:L4740" si="933">SUM(K4739)</f>
        <v>8</v>
      </c>
      <c r="L4740" s="567">
        <f t="shared" si="933"/>
        <v>0.52991999999999995</v>
      </c>
      <c r="M4740" s="549"/>
      <c r="N4740" s="549"/>
      <c r="O4740" s="549"/>
      <c r="P4740" s="549"/>
      <c r="Q4740" s="1059"/>
      <c r="R4740" s="1059"/>
    </row>
    <row r="4741" spans="1:18" ht="17.399999999999999">
      <c r="A4741" s="547" t="s">
        <v>445</v>
      </c>
      <c r="B4741" s="547" t="s">
        <v>488</v>
      </c>
      <c r="C4741" s="547" t="s">
        <v>19</v>
      </c>
      <c r="D4741" s="547" t="s">
        <v>60</v>
      </c>
      <c r="E4741" s="547" t="s">
        <v>323</v>
      </c>
      <c r="F4741" s="549"/>
      <c r="G4741" s="549" t="s">
        <v>61</v>
      </c>
      <c r="H4741" s="549" t="s">
        <v>69</v>
      </c>
      <c r="I4741" s="558">
        <v>6.85</v>
      </c>
      <c r="J4741" s="567">
        <v>11.7</v>
      </c>
      <c r="K4741" s="648">
        <v>14</v>
      </c>
      <c r="L4741" s="552">
        <f>(I4741*J4741*K4741/1000)</f>
        <v>1.1220300000000001</v>
      </c>
      <c r="M4741" s="549"/>
      <c r="N4741" s="549"/>
      <c r="O4741" s="549"/>
      <c r="P4741" s="549"/>
      <c r="Q4741" s="1059"/>
      <c r="R4741" s="1059"/>
    </row>
    <row r="4742" spans="1:18" ht="17.399999999999999">
      <c r="A4742" s="547"/>
      <c r="B4742" s="752" t="s">
        <v>439</v>
      </c>
      <c r="C4742" s="547"/>
      <c r="D4742" s="547"/>
      <c r="E4742" s="547"/>
      <c r="F4742" s="549"/>
      <c r="G4742" s="549"/>
      <c r="H4742" s="549"/>
      <c r="I4742" s="558"/>
      <c r="J4742" s="567"/>
      <c r="K4742" s="648">
        <f t="shared" ref="K4742:L4742" si="934">SUM(K4741)</f>
        <v>14</v>
      </c>
      <c r="L4742" s="567">
        <f t="shared" si="934"/>
        <v>1.1220300000000001</v>
      </c>
      <c r="M4742" s="549"/>
      <c r="N4742" s="549"/>
      <c r="O4742" s="549"/>
      <c r="P4742" s="549"/>
      <c r="Q4742" s="1059"/>
      <c r="R4742" s="1059"/>
    </row>
    <row r="4743" spans="1:18" ht="17.399999999999999">
      <c r="A4743" s="547" t="s">
        <v>445</v>
      </c>
      <c r="B4743" s="547" t="s">
        <v>488</v>
      </c>
      <c r="C4743" s="547" t="s">
        <v>19</v>
      </c>
      <c r="D4743" s="547" t="s">
        <v>60</v>
      </c>
      <c r="E4743" s="547" t="s">
        <v>323</v>
      </c>
      <c r="F4743" s="549"/>
      <c r="G4743" s="549" t="s">
        <v>61</v>
      </c>
      <c r="H4743" s="549" t="s">
        <v>130</v>
      </c>
      <c r="I4743" s="558">
        <v>6.17</v>
      </c>
      <c r="J4743" s="567">
        <v>10.5</v>
      </c>
      <c r="K4743" s="648">
        <v>8</v>
      </c>
      <c r="L4743" s="552">
        <f>(I4743*J4743*K4743/1000)</f>
        <v>0.51827999999999996</v>
      </c>
      <c r="M4743" s="549"/>
      <c r="N4743" s="549"/>
      <c r="O4743" s="549"/>
      <c r="P4743" s="549"/>
      <c r="Q4743" s="1059"/>
      <c r="R4743" s="1059"/>
    </row>
    <row r="4744" spans="1:18" ht="17.399999999999999">
      <c r="A4744" s="547"/>
      <c r="B4744" s="752" t="s">
        <v>439</v>
      </c>
      <c r="C4744" s="547"/>
      <c r="D4744" s="547"/>
      <c r="E4744" s="547"/>
      <c r="F4744" s="549"/>
      <c r="G4744" s="549"/>
      <c r="H4744" s="549"/>
      <c r="I4744" s="558"/>
      <c r="J4744" s="567"/>
      <c r="K4744" s="648">
        <f t="shared" ref="K4744:L4744" si="935">SUM(K4743)</f>
        <v>8</v>
      </c>
      <c r="L4744" s="567">
        <f t="shared" si="935"/>
        <v>0.51827999999999996</v>
      </c>
      <c r="M4744" s="549"/>
      <c r="N4744" s="549"/>
      <c r="O4744" s="549"/>
      <c r="P4744" s="549"/>
      <c r="Q4744" s="1059"/>
      <c r="R4744" s="1059"/>
    </row>
    <row r="4745" spans="1:18" ht="17.399999999999999">
      <c r="A4745" s="547" t="s">
        <v>445</v>
      </c>
      <c r="B4745" s="547" t="s">
        <v>488</v>
      </c>
      <c r="C4745" s="547" t="s">
        <v>19</v>
      </c>
      <c r="D4745" s="547" t="s">
        <v>60</v>
      </c>
      <c r="E4745" s="547" t="s">
        <v>323</v>
      </c>
      <c r="F4745" s="549"/>
      <c r="G4745" s="549" t="s">
        <v>61</v>
      </c>
      <c r="H4745" s="549" t="s">
        <v>131</v>
      </c>
      <c r="I4745" s="558">
        <v>7.34</v>
      </c>
      <c r="J4745" s="567">
        <v>10.5</v>
      </c>
      <c r="K4745" s="648">
        <v>13</v>
      </c>
      <c r="L4745" s="552">
        <f>(I4745*J4745*K4745/1000)</f>
        <v>1.0019099999999999</v>
      </c>
      <c r="M4745" s="549"/>
      <c r="N4745" s="549"/>
      <c r="O4745" s="549"/>
      <c r="P4745" s="549"/>
      <c r="Q4745" s="1059"/>
      <c r="R4745" s="1059"/>
    </row>
    <row r="4746" spans="1:18" ht="17.399999999999999">
      <c r="A4746" s="547"/>
      <c r="B4746" s="752" t="s">
        <v>439</v>
      </c>
      <c r="C4746" s="547"/>
      <c r="D4746" s="547"/>
      <c r="E4746" s="547"/>
      <c r="F4746" s="549"/>
      <c r="G4746" s="549"/>
      <c r="H4746" s="549"/>
      <c r="I4746" s="558"/>
      <c r="J4746" s="567"/>
      <c r="K4746" s="648">
        <f t="shared" ref="K4746:L4746" si="936">SUM(K4745)</f>
        <v>13</v>
      </c>
      <c r="L4746" s="567">
        <f t="shared" si="936"/>
        <v>1.0019099999999999</v>
      </c>
      <c r="M4746" s="549"/>
      <c r="N4746" s="549"/>
      <c r="O4746" s="549"/>
      <c r="P4746" s="549"/>
      <c r="Q4746" s="1059"/>
      <c r="R4746" s="1059"/>
    </row>
    <row r="4747" spans="1:18" ht="17.399999999999999">
      <c r="A4747" s="549"/>
      <c r="B4747" s="549"/>
      <c r="C4747" s="549"/>
      <c r="D4747" s="549"/>
      <c r="E4747" s="549"/>
      <c r="F4747" s="549"/>
      <c r="G4747" s="549"/>
      <c r="H4747" s="549"/>
      <c r="I4747" s="560"/>
      <c r="J4747" s="549"/>
      <c r="K4747" s="561"/>
      <c r="L4747" s="560"/>
      <c r="M4747" s="549"/>
      <c r="N4747" s="549"/>
      <c r="O4747" s="549"/>
      <c r="P4747" s="549"/>
      <c r="Q4747" s="1059"/>
      <c r="R4747" s="1059"/>
    </row>
    <row r="4748" spans="1:18" ht="17.399999999999999">
      <c r="A4748" s="547" t="s">
        <v>445</v>
      </c>
      <c r="B4748" s="547" t="s">
        <v>490</v>
      </c>
      <c r="C4748" s="547" t="s">
        <v>19</v>
      </c>
      <c r="D4748" s="547" t="s">
        <v>60</v>
      </c>
      <c r="E4748" s="547" t="s">
        <v>247</v>
      </c>
      <c r="F4748" s="549"/>
      <c r="G4748" s="549" t="s">
        <v>61</v>
      </c>
      <c r="H4748" s="549" t="s">
        <v>120</v>
      </c>
      <c r="I4748" s="558">
        <v>18.2</v>
      </c>
      <c r="J4748" s="567">
        <v>12</v>
      </c>
      <c r="K4748" s="648">
        <v>5</v>
      </c>
      <c r="L4748" s="552">
        <f>(I4748*J4748*K4748/1000)</f>
        <v>1.0920000000000001</v>
      </c>
      <c r="M4748" s="549"/>
      <c r="N4748" s="549"/>
      <c r="O4748" s="549"/>
      <c r="P4748" s="549"/>
      <c r="Q4748" s="1059"/>
      <c r="R4748" s="1059"/>
    </row>
    <row r="4749" spans="1:18" ht="17.399999999999999">
      <c r="A4749" s="547"/>
      <c r="B4749" s="549" t="s">
        <v>52</v>
      </c>
      <c r="C4749" s="547"/>
      <c r="D4749" s="547"/>
      <c r="E4749" s="547"/>
      <c r="F4749" s="549"/>
      <c r="G4749" s="549"/>
      <c r="H4749" s="549"/>
      <c r="I4749" s="558"/>
      <c r="J4749" s="567"/>
      <c r="K4749" s="648">
        <f t="shared" ref="K4749:L4749" si="937">SUM(K4748)</f>
        <v>5</v>
      </c>
      <c r="L4749" s="567">
        <f t="shared" si="937"/>
        <v>1.0920000000000001</v>
      </c>
      <c r="M4749" s="549"/>
      <c r="N4749" s="549"/>
      <c r="O4749" s="549"/>
      <c r="P4749" s="549"/>
      <c r="Q4749" s="1059"/>
      <c r="R4749" s="1059"/>
    </row>
    <row r="4750" spans="1:18" ht="17.399999999999999">
      <c r="A4750" s="549"/>
      <c r="B4750" s="549"/>
      <c r="C4750" s="549"/>
      <c r="D4750" s="549"/>
      <c r="E4750" s="549"/>
      <c r="F4750" s="549"/>
      <c r="G4750" s="549"/>
      <c r="H4750" s="549"/>
      <c r="I4750" s="560"/>
      <c r="J4750" s="549"/>
      <c r="K4750" s="561"/>
      <c r="L4750" s="560"/>
      <c r="M4750" s="549"/>
      <c r="N4750" s="549"/>
      <c r="O4750" s="549"/>
      <c r="P4750" s="549"/>
      <c r="Q4750" s="1059"/>
      <c r="R4750" s="1059"/>
    </row>
    <row r="4751" spans="1:18" ht="17.399999999999999">
      <c r="A4751" s="547" t="s">
        <v>445</v>
      </c>
      <c r="B4751" s="547" t="s">
        <v>519</v>
      </c>
      <c r="C4751" s="547" t="s">
        <v>19</v>
      </c>
      <c r="D4751" s="547" t="s">
        <v>20</v>
      </c>
      <c r="E4751" s="547" t="s">
        <v>57</v>
      </c>
      <c r="F4751" s="549"/>
      <c r="G4751" s="549" t="s">
        <v>21</v>
      </c>
      <c r="H4751" s="549" t="s">
        <v>120</v>
      </c>
      <c r="I4751" s="558">
        <v>18.2</v>
      </c>
      <c r="J4751" s="567">
        <v>6.1</v>
      </c>
      <c r="K4751" s="648">
        <v>34</v>
      </c>
      <c r="L4751" s="552">
        <f t="shared" ref="L4751:L4756" si="938">(I4751*J4751*K4751/1000)</f>
        <v>3.77468</v>
      </c>
      <c r="M4751" s="549"/>
      <c r="N4751" s="549"/>
      <c r="O4751" s="549"/>
      <c r="P4751" s="549"/>
      <c r="Q4751" s="1059"/>
      <c r="R4751" s="1059"/>
    </row>
    <row r="4752" spans="1:18" ht="17.399999999999999">
      <c r="A4752" s="547"/>
      <c r="B4752" s="549" t="s">
        <v>423</v>
      </c>
      <c r="C4752" s="547"/>
      <c r="D4752" s="547"/>
      <c r="E4752" s="547"/>
      <c r="F4752" s="549"/>
      <c r="G4752" s="549" t="s">
        <v>21</v>
      </c>
      <c r="H4752" s="549" t="s">
        <v>120</v>
      </c>
      <c r="I4752" s="558">
        <v>18.2</v>
      </c>
      <c r="J4752" s="567">
        <v>8.4</v>
      </c>
      <c r="K4752" s="648">
        <v>29</v>
      </c>
      <c r="L4752" s="552">
        <f t="shared" si="938"/>
        <v>4.4335199999999997</v>
      </c>
      <c r="M4752" s="549"/>
      <c r="N4752" s="549"/>
      <c r="O4752" s="549"/>
      <c r="P4752" s="549"/>
      <c r="Q4752" s="1059"/>
      <c r="R4752" s="1059"/>
    </row>
    <row r="4753" spans="1:18" ht="17.399999999999999">
      <c r="A4753" s="549"/>
      <c r="B4753" s="549"/>
      <c r="C4753" s="549"/>
      <c r="D4753" s="549"/>
      <c r="E4753" s="549"/>
      <c r="F4753" s="549"/>
      <c r="G4753" s="549" t="s">
        <v>21</v>
      </c>
      <c r="H4753" s="549" t="s">
        <v>120</v>
      </c>
      <c r="I4753" s="558">
        <v>18.2</v>
      </c>
      <c r="J4753" s="567">
        <v>9.5</v>
      </c>
      <c r="K4753" s="648">
        <v>28</v>
      </c>
      <c r="L4753" s="552">
        <f t="shared" si="938"/>
        <v>4.8411999999999997</v>
      </c>
      <c r="M4753" s="549"/>
      <c r="N4753" s="549"/>
      <c r="O4753" s="549"/>
      <c r="P4753" s="549"/>
      <c r="Q4753" s="1059"/>
      <c r="R4753" s="1059"/>
    </row>
    <row r="4754" spans="1:18" ht="17.399999999999999">
      <c r="A4754" s="549"/>
      <c r="B4754" s="549"/>
      <c r="C4754" s="549"/>
      <c r="D4754" s="549"/>
      <c r="E4754" s="549"/>
      <c r="F4754" s="549"/>
      <c r="G4754" s="549" t="s">
        <v>21</v>
      </c>
      <c r="H4754" s="549" t="s">
        <v>120</v>
      </c>
      <c r="I4754" s="558">
        <v>18.2</v>
      </c>
      <c r="J4754" s="567">
        <v>10</v>
      </c>
      <c r="K4754" s="648">
        <v>26</v>
      </c>
      <c r="L4754" s="552">
        <f t="shared" si="938"/>
        <v>4.7320000000000002</v>
      </c>
      <c r="M4754" s="549"/>
      <c r="N4754" s="549"/>
      <c r="O4754" s="549"/>
      <c r="P4754" s="549"/>
      <c r="Q4754" s="1059"/>
      <c r="R4754" s="1059"/>
    </row>
    <row r="4755" spans="1:18" ht="17.399999999999999">
      <c r="A4755" s="549"/>
      <c r="B4755" s="549"/>
      <c r="C4755" s="549"/>
      <c r="D4755" s="549"/>
      <c r="E4755" s="549"/>
      <c r="F4755" s="549"/>
      <c r="G4755" s="549" t="s">
        <v>21</v>
      </c>
      <c r="H4755" s="549" t="s">
        <v>120</v>
      </c>
      <c r="I4755" s="558">
        <v>18.2</v>
      </c>
      <c r="J4755" s="567">
        <v>10.5</v>
      </c>
      <c r="K4755" s="648">
        <v>56</v>
      </c>
      <c r="L4755" s="552">
        <f t="shared" si="938"/>
        <v>10.701600000000001</v>
      </c>
      <c r="M4755" s="549"/>
      <c r="N4755" s="549"/>
      <c r="O4755" s="549"/>
      <c r="P4755" s="549"/>
      <c r="Q4755" s="1059"/>
      <c r="R4755" s="1059"/>
    </row>
    <row r="4756" spans="1:18" ht="17.399999999999999">
      <c r="A4756" s="549"/>
      <c r="B4756" s="549"/>
      <c r="C4756" s="549"/>
      <c r="D4756" s="549"/>
      <c r="E4756" s="549"/>
      <c r="F4756" s="549"/>
      <c r="G4756" s="549" t="s">
        <v>21</v>
      </c>
      <c r="H4756" s="549" t="s">
        <v>120</v>
      </c>
      <c r="I4756" s="558">
        <v>18.2</v>
      </c>
      <c r="J4756" s="567">
        <v>11.9</v>
      </c>
      <c r="K4756" s="648">
        <v>24</v>
      </c>
      <c r="L4756" s="552">
        <f t="shared" si="938"/>
        <v>5.1979199999999999</v>
      </c>
      <c r="M4756" s="549"/>
      <c r="N4756" s="549"/>
      <c r="O4756" s="549"/>
      <c r="P4756" s="549"/>
      <c r="Q4756" s="1059"/>
      <c r="R4756" s="1059"/>
    </row>
    <row r="4757" spans="1:18" ht="17.399999999999999">
      <c r="A4757" s="549"/>
      <c r="B4757" s="549"/>
      <c r="C4757" s="549"/>
      <c r="D4757" s="549"/>
      <c r="E4757" s="549"/>
      <c r="F4757" s="549"/>
      <c r="G4757" s="549"/>
      <c r="H4757" s="549"/>
      <c r="I4757" s="558"/>
      <c r="J4757" s="567"/>
      <c r="K4757" s="648">
        <f>SUM(K4751:K4756)</f>
        <v>197</v>
      </c>
      <c r="L4757" s="567">
        <f t="shared" ref="L4757" si="939">SUM(L4751:L4756)</f>
        <v>33.68092</v>
      </c>
      <c r="M4757" s="549"/>
      <c r="N4757" s="549"/>
      <c r="O4757" s="549"/>
      <c r="P4757" s="549"/>
      <c r="Q4757" s="1059"/>
      <c r="R4757" s="1059"/>
    </row>
    <row r="4758" spans="1:18" ht="17.399999999999999">
      <c r="A4758" s="547" t="s">
        <v>445</v>
      </c>
      <c r="B4758" s="547" t="s">
        <v>519</v>
      </c>
      <c r="C4758" s="547" t="s">
        <v>19</v>
      </c>
      <c r="D4758" s="547" t="s">
        <v>20</v>
      </c>
      <c r="E4758" s="547" t="s">
        <v>57</v>
      </c>
      <c r="F4758" s="549"/>
      <c r="G4758" s="549" t="s">
        <v>21</v>
      </c>
      <c r="H4758" s="549" t="s">
        <v>122</v>
      </c>
      <c r="I4758" s="558">
        <v>14.7</v>
      </c>
      <c r="J4758" s="567">
        <v>8.1999999999999993</v>
      </c>
      <c r="K4758" s="648">
        <v>117</v>
      </c>
      <c r="L4758" s="552">
        <f t="shared" ref="L4758:L4761" si="940">(I4758*J4758*K4758/1000)</f>
        <v>14.103179999999996</v>
      </c>
      <c r="M4758" s="549"/>
      <c r="N4758" s="549"/>
      <c r="O4758" s="549"/>
      <c r="P4758" s="549"/>
      <c r="Q4758" s="1059"/>
      <c r="R4758" s="1059"/>
    </row>
    <row r="4759" spans="1:18" ht="17.399999999999999">
      <c r="A4759" s="547"/>
      <c r="B4759" s="549" t="s">
        <v>423</v>
      </c>
      <c r="C4759" s="547"/>
      <c r="D4759" s="547"/>
      <c r="E4759" s="547"/>
      <c r="F4759" s="549"/>
      <c r="G4759" s="549" t="s">
        <v>21</v>
      </c>
      <c r="H4759" s="549" t="s">
        <v>122</v>
      </c>
      <c r="I4759" s="558">
        <v>14.7</v>
      </c>
      <c r="J4759" s="567">
        <v>8.3000000000000007</v>
      </c>
      <c r="K4759" s="648">
        <v>28</v>
      </c>
      <c r="L4759" s="552">
        <f t="shared" si="940"/>
        <v>3.41628</v>
      </c>
      <c r="M4759" s="549"/>
      <c r="N4759" s="549"/>
      <c r="O4759" s="549"/>
      <c r="P4759" s="549"/>
      <c r="Q4759" s="1059"/>
      <c r="R4759" s="1059"/>
    </row>
    <row r="4760" spans="1:18" ht="17.399999999999999">
      <c r="A4760" s="549"/>
      <c r="B4760" s="549"/>
      <c r="C4760" s="549"/>
      <c r="D4760" s="549"/>
      <c r="E4760" s="549"/>
      <c r="F4760" s="549"/>
      <c r="G4760" s="549" t="s">
        <v>21</v>
      </c>
      <c r="H4760" s="549" t="s">
        <v>122</v>
      </c>
      <c r="I4760" s="558">
        <v>14.7</v>
      </c>
      <c r="J4760" s="567">
        <v>9.1999999999999993</v>
      </c>
      <c r="K4760" s="648">
        <v>3</v>
      </c>
      <c r="L4760" s="552">
        <f t="shared" si="940"/>
        <v>0.40571999999999991</v>
      </c>
      <c r="M4760" s="549"/>
      <c r="N4760" s="549"/>
      <c r="O4760" s="549"/>
      <c r="P4760" s="549"/>
      <c r="Q4760" s="1059"/>
      <c r="R4760" s="1059"/>
    </row>
    <row r="4761" spans="1:18" ht="17.399999999999999">
      <c r="A4761" s="549"/>
      <c r="B4761" s="549"/>
      <c r="C4761" s="549"/>
      <c r="D4761" s="549"/>
      <c r="E4761" s="549"/>
      <c r="F4761" s="549"/>
      <c r="G4761" s="549" t="s">
        <v>21</v>
      </c>
      <c r="H4761" s="549" t="s">
        <v>122</v>
      </c>
      <c r="I4761" s="558">
        <v>14.7</v>
      </c>
      <c r="J4761" s="567">
        <v>11.5</v>
      </c>
      <c r="K4761" s="648">
        <v>10</v>
      </c>
      <c r="L4761" s="552">
        <f t="shared" si="940"/>
        <v>1.6904999999999997</v>
      </c>
      <c r="M4761" s="549"/>
      <c r="N4761" s="549"/>
      <c r="O4761" s="549"/>
      <c r="P4761" s="549"/>
      <c r="Q4761" s="1059"/>
      <c r="R4761" s="1059"/>
    </row>
    <row r="4762" spans="1:18" ht="17.399999999999999">
      <c r="A4762" s="549"/>
      <c r="B4762" s="549"/>
      <c r="C4762" s="549"/>
      <c r="D4762" s="549"/>
      <c r="E4762" s="549"/>
      <c r="F4762" s="549"/>
      <c r="G4762" s="549"/>
      <c r="H4762" s="549"/>
      <c r="I4762" s="558"/>
      <c r="J4762" s="567"/>
      <c r="K4762" s="648">
        <f>SUM(K4758:K4761)</f>
        <v>158</v>
      </c>
      <c r="L4762" s="567">
        <f t="shared" ref="L4762" si="941">SUM(L4758:L4761)</f>
        <v>19.615679999999994</v>
      </c>
      <c r="M4762" s="549"/>
      <c r="N4762" s="549"/>
      <c r="O4762" s="549"/>
      <c r="P4762" s="549"/>
      <c r="Q4762" s="1059"/>
      <c r="R4762" s="1059"/>
    </row>
    <row r="4763" spans="1:18" ht="17.399999999999999">
      <c r="A4763" s="547" t="s">
        <v>445</v>
      </c>
      <c r="B4763" s="547" t="s">
        <v>519</v>
      </c>
      <c r="C4763" s="547" t="s">
        <v>19</v>
      </c>
      <c r="D4763" s="547" t="s">
        <v>20</v>
      </c>
      <c r="E4763" s="547" t="s">
        <v>57</v>
      </c>
      <c r="F4763" s="549"/>
      <c r="G4763" s="549" t="s">
        <v>21</v>
      </c>
      <c r="H4763" s="549" t="s">
        <v>124</v>
      </c>
      <c r="I4763" s="558">
        <v>19.8</v>
      </c>
      <c r="J4763" s="567">
        <v>7.2</v>
      </c>
      <c r="K4763" s="648">
        <v>10</v>
      </c>
      <c r="L4763" s="552">
        <f t="shared" ref="L4763:L4765" si="942">(I4763*J4763*K4763/1000)</f>
        <v>1.4256</v>
      </c>
      <c r="M4763" s="549"/>
      <c r="N4763" s="549"/>
      <c r="O4763" s="549"/>
      <c r="P4763" s="549"/>
      <c r="Q4763" s="1059"/>
      <c r="R4763" s="1059"/>
    </row>
    <row r="4764" spans="1:18" ht="17.399999999999999">
      <c r="A4764" s="547"/>
      <c r="B4764" s="549" t="s">
        <v>423</v>
      </c>
      <c r="C4764" s="547"/>
      <c r="D4764" s="547"/>
      <c r="E4764" s="547"/>
      <c r="F4764" s="549"/>
      <c r="G4764" s="549" t="s">
        <v>21</v>
      </c>
      <c r="H4764" s="549" t="s">
        <v>124</v>
      </c>
      <c r="I4764" s="558">
        <v>19.8</v>
      </c>
      <c r="J4764" s="567">
        <v>11.7</v>
      </c>
      <c r="K4764" s="648">
        <v>26</v>
      </c>
      <c r="L4764" s="552">
        <f t="shared" si="942"/>
        <v>6.0231599999999998</v>
      </c>
      <c r="M4764" s="549"/>
      <c r="N4764" s="549"/>
      <c r="O4764" s="549"/>
      <c r="P4764" s="549"/>
      <c r="Q4764" s="1059"/>
      <c r="R4764" s="1059"/>
    </row>
    <row r="4765" spans="1:18" ht="17.399999999999999">
      <c r="A4765" s="549"/>
      <c r="B4765" s="549"/>
      <c r="C4765" s="549"/>
      <c r="D4765" s="549"/>
      <c r="E4765" s="549"/>
      <c r="F4765" s="549"/>
      <c r="G4765" s="549" t="s">
        <v>21</v>
      </c>
      <c r="H4765" s="549" t="s">
        <v>124</v>
      </c>
      <c r="I4765" s="558">
        <v>19.8</v>
      </c>
      <c r="J4765" s="567">
        <v>11.8</v>
      </c>
      <c r="K4765" s="648">
        <v>30</v>
      </c>
      <c r="L4765" s="552">
        <f t="shared" si="942"/>
        <v>7.0092000000000008</v>
      </c>
      <c r="M4765" s="549"/>
      <c r="N4765" s="549"/>
      <c r="O4765" s="549"/>
      <c r="P4765" s="549"/>
      <c r="Q4765" s="1059"/>
      <c r="R4765" s="1059"/>
    </row>
    <row r="4766" spans="1:18" ht="17.399999999999999">
      <c r="A4766" s="549"/>
      <c r="B4766" s="549"/>
      <c r="C4766" s="549"/>
      <c r="D4766" s="549"/>
      <c r="E4766" s="549"/>
      <c r="F4766" s="549"/>
      <c r="G4766" s="549"/>
      <c r="H4766" s="549"/>
      <c r="I4766" s="558"/>
      <c r="J4766" s="567"/>
      <c r="K4766" s="648">
        <f>SUM(K4763:K4765)</f>
        <v>66</v>
      </c>
      <c r="L4766" s="567">
        <f t="shared" ref="L4766" si="943">SUM(L4763:L4765)</f>
        <v>14.45796</v>
      </c>
      <c r="M4766" s="549"/>
      <c r="N4766" s="549"/>
      <c r="O4766" s="549"/>
      <c r="P4766" s="549"/>
      <c r="Q4766" s="1059"/>
      <c r="R4766" s="1059"/>
    </row>
    <row r="4767" spans="1:18" ht="17.399999999999999">
      <c r="A4767" s="547" t="s">
        <v>445</v>
      </c>
      <c r="B4767" s="547" t="s">
        <v>519</v>
      </c>
      <c r="C4767" s="547" t="s">
        <v>19</v>
      </c>
      <c r="D4767" s="547" t="s">
        <v>20</v>
      </c>
      <c r="E4767" s="547" t="s">
        <v>57</v>
      </c>
      <c r="F4767" s="549"/>
      <c r="G4767" s="549" t="s">
        <v>21</v>
      </c>
      <c r="H4767" s="549" t="s">
        <v>126</v>
      </c>
      <c r="I4767" s="558">
        <v>23.6</v>
      </c>
      <c r="J4767" s="567">
        <v>7.8</v>
      </c>
      <c r="K4767" s="648">
        <v>26</v>
      </c>
      <c r="L4767" s="552">
        <f t="shared" ref="L4767:L4771" si="944">(I4767*J4767*K4767/1000)</f>
        <v>4.7860800000000001</v>
      </c>
      <c r="M4767" s="549"/>
      <c r="N4767" s="549"/>
      <c r="O4767" s="549"/>
      <c r="P4767" s="549"/>
      <c r="Q4767" s="1059"/>
      <c r="R4767" s="1059"/>
    </row>
    <row r="4768" spans="1:18" ht="17.399999999999999">
      <c r="A4768" s="547"/>
      <c r="B4768" s="549" t="s">
        <v>423</v>
      </c>
      <c r="C4768" s="547"/>
      <c r="D4768" s="547"/>
      <c r="E4768" s="547"/>
      <c r="F4768" s="549"/>
      <c r="G4768" s="549" t="s">
        <v>21</v>
      </c>
      <c r="H4768" s="549" t="s">
        <v>126</v>
      </c>
      <c r="I4768" s="558">
        <v>23.6</v>
      </c>
      <c r="J4768" s="567">
        <v>8</v>
      </c>
      <c r="K4768" s="648">
        <v>35</v>
      </c>
      <c r="L4768" s="552">
        <f t="shared" si="944"/>
        <v>6.6079999999999997</v>
      </c>
      <c r="M4768" s="549"/>
      <c r="N4768" s="549"/>
      <c r="O4768" s="549"/>
      <c r="P4768" s="549"/>
      <c r="Q4768" s="1059"/>
      <c r="R4768" s="1059"/>
    </row>
    <row r="4769" spans="1:18" ht="17.399999999999999">
      <c r="A4769" s="549"/>
      <c r="B4769" s="549"/>
      <c r="C4769" s="549"/>
      <c r="D4769" s="549"/>
      <c r="E4769" s="549"/>
      <c r="F4769" s="549"/>
      <c r="G4769" s="549" t="s">
        <v>21</v>
      </c>
      <c r="H4769" s="549" t="s">
        <v>126</v>
      </c>
      <c r="I4769" s="558">
        <v>23.6</v>
      </c>
      <c r="J4769" s="567">
        <v>9.5</v>
      </c>
      <c r="K4769" s="648">
        <v>37</v>
      </c>
      <c r="L4769" s="552">
        <f t="shared" si="944"/>
        <v>8.2954000000000008</v>
      </c>
      <c r="M4769" s="549"/>
      <c r="N4769" s="549"/>
      <c r="O4769" s="549"/>
      <c r="P4769" s="549"/>
      <c r="Q4769" s="1059"/>
      <c r="R4769" s="1059"/>
    </row>
    <row r="4770" spans="1:18" ht="17.399999999999999">
      <c r="A4770" s="549"/>
      <c r="B4770" s="549"/>
      <c r="C4770" s="549"/>
      <c r="D4770" s="549"/>
      <c r="E4770" s="549"/>
      <c r="F4770" s="549"/>
      <c r="G4770" s="549" t="s">
        <v>21</v>
      </c>
      <c r="H4770" s="549" t="s">
        <v>126</v>
      </c>
      <c r="I4770" s="558">
        <v>23.6</v>
      </c>
      <c r="J4770" s="567">
        <v>10.9</v>
      </c>
      <c r="K4770" s="648">
        <v>14</v>
      </c>
      <c r="L4770" s="552">
        <f t="shared" si="944"/>
        <v>3.6013600000000001</v>
      </c>
      <c r="M4770" s="549"/>
      <c r="N4770" s="549"/>
      <c r="O4770" s="549"/>
      <c r="P4770" s="549"/>
      <c r="Q4770" s="1059"/>
      <c r="R4770" s="1059"/>
    </row>
    <row r="4771" spans="1:18" ht="17.399999999999999">
      <c r="A4771" s="549"/>
      <c r="B4771" s="549"/>
      <c r="C4771" s="549"/>
      <c r="D4771" s="549"/>
      <c r="E4771" s="549"/>
      <c r="F4771" s="549"/>
      <c r="G4771" s="549" t="s">
        <v>21</v>
      </c>
      <c r="H4771" s="549" t="s">
        <v>126</v>
      </c>
      <c r="I4771" s="558">
        <v>23.6</v>
      </c>
      <c r="J4771" s="567">
        <v>11.6</v>
      </c>
      <c r="K4771" s="648">
        <v>22</v>
      </c>
      <c r="L4771" s="552">
        <f t="shared" si="944"/>
        <v>6.0227199999999996</v>
      </c>
      <c r="M4771" s="549"/>
      <c r="N4771" s="549"/>
      <c r="O4771" s="549"/>
      <c r="P4771" s="549"/>
      <c r="Q4771" s="1059"/>
      <c r="R4771" s="1059"/>
    </row>
    <row r="4772" spans="1:18" ht="17.399999999999999">
      <c r="A4772" s="549"/>
      <c r="B4772" s="549"/>
      <c r="C4772" s="549"/>
      <c r="D4772" s="549"/>
      <c r="E4772" s="549"/>
      <c r="F4772" s="549"/>
      <c r="G4772" s="549"/>
      <c r="H4772" s="549"/>
      <c r="I4772" s="558"/>
      <c r="J4772" s="567"/>
      <c r="K4772" s="648">
        <f>SUM(K4767:K4771)</f>
        <v>134</v>
      </c>
      <c r="L4772" s="567">
        <f t="shared" ref="L4772" si="945">SUM(L4767:L4771)</f>
        <v>29.313559999999999</v>
      </c>
      <c r="M4772" s="549"/>
      <c r="N4772" s="549"/>
      <c r="O4772" s="549"/>
      <c r="P4772" s="549"/>
      <c r="Q4772" s="1059"/>
      <c r="R4772" s="1059"/>
    </row>
    <row r="4773" spans="1:18" ht="17.399999999999999">
      <c r="A4773" s="547" t="s">
        <v>445</v>
      </c>
      <c r="B4773" s="547" t="s">
        <v>519</v>
      </c>
      <c r="C4773" s="547" t="s">
        <v>19</v>
      </c>
      <c r="D4773" s="547" t="s">
        <v>20</v>
      </c>
      <c r="E4773" s="547" t="s">
        <v>57</v>
      </c>
      <c r="F4773" s="549"/>
      <c r="G4773" s="549" t="s">
        <v>21</v>
      </c>
      <c r="H4773" s="549" t="s">
        <v>177</v>
      </c>
      <c r="I4773" s="558">
        <v>27.3</v>
      </c>
      <c r="J4773" s="567">
        <v>10.8</v>
      </c>
      <c r="K4773" s="648">
        <v>56</v>
      </c>
      <c r="L4773" s="552">
        <f t="shared" ref="L4773:L4774" si="946">(I4773*J4773*K4773/1000)</f>
        <v>16.511040000000001</v>
      </c>
      <c r="M4773" s="549"/>
      <c r="N4773" s="549"/>
      <c r="O4773" s="549"/>
      <c r="P4773" s="549"/>
      <c r="Q4773" s="1059"/>
      <c r="R4773" s="1059"/>
    </row>
    <row r="4774" spans="1:18" ht="17.399999999999999">
      <c r="A4774" s="547"/>
      <c r="B4774" s="549" t="s">
        <v>423</v>
      </c>
      <c r="C4774" s="547"/>
      <c r="D4774" s="547"/>
      <c r="E4774" s="547"/>
      <c r="F4774" s="549"/>
      <c r="G4774" s="549" t="s">
        <v>21</v>
      </c>
      <c r="H4774" s="549" t="s">
        <v>177</v>
      </c>
      <c r="I4774" s="558">
        <v>27.3</v>
      </c>
      <c r="J4774" s="567">
        <v>11.7</v>
      </c>
      <c r="K4774" s="648">
        <v>6</v>
      </c>
      <c r="L4774" s="552">
        <f t="shared" si="946"/>
        <v>1.9164599999999998</v>
      </c>
      <c r="M4774" s="549"/>
      <c r="N4774" s="549"/>
      <c r="O4774" s="549"/>
      <c r="P4774" s="549"/>
      <c r="Q4774" s="1059"/>
      <c r="R4774" s="1059"/>
    </row>
    <row r="4775" spans="1:18" ht="17.399999999999999">
      <c r="A4775" s="549"/>
      <c r="B4775" s="549"/>
      <c r="C4775" s="549"/>
      <c r="D4775" s="549"/>
      <c r="E4775" s="549"/>
      <c r="F4775" s="549"/>
      <c r="G4775" s="549"/>
      <c r="H4775" s="549"/>
      <c r="I4775" s="558"/>
      <c r="J4775" s="567"/>
      <c r="K4775" s="648">
        <f>SUM(K4773:K4774)</f>
        <v>62</v>
      </c>
      <c r="L4775" s="567">
        <f t="shared" ref="L4775" si="947">SUM(L4773:L4774)</f>
        <v>18.427500000000002</v>
      </c>
      <c r="M4775" s="549"/>
      <c r="N4775" s="549"/>
      <c r="O4775" s="549"/>
      <c r="P4775" s="549"/>
      <c r="Q4775" s="1059"/>
      <c r="R4775" s="1059"/>
    </row>
    <row r="4776" spans="1:18" ht="17.399999999999999">
      <c r="A4776" s="547" t="s">
        <v>445</v>
      </c>
      <c r="B4776" s="547" t="s">
        <v>519</v>
      </c>
      <c r="C4776" s="547" t="s">
        <v>19</v>
      </c>
      <c r="D4776" s="547" t="s">
        <v>20</v>
      </c>
      <c r="E4776" s="547" t="s">
        <v>57</v>
      </c>
      <c r="F4776" s="549"/>
      <c r="G4776" s="549" t="s">
        <v>21</v>
      </c>
      <c r="H4776" s="549" t="s">
        <v>179</v>
      </c>
      <c r="I4776" s="558">
        <v>33.799999999999997</v>
      </c>
      <c r="J4776" s="567">
        <v>8.1999999999999993</v>
      </c>
      <c r="K4776" s="648">
        <v>26</v>
      </c>
      <c r="L4776" s="552">
        <f t="shared" ref="L4776:L4778" si="948">(I4776*J4776*K4776/1000)</f>
        <v>7.2061599999999988</v>
      </c>
      <c r="M4776" s="549"/>
      <c r="N4776" s="549"/>
      <c r="O4776" s="549"/>
      <c r="P4776" s="549"/>
      <c r="Q4776" s="1059"/>
      <c r="R4776" s="1059"/>
    </row>
    <row r="4777" spans="1:18" ht="17.399999999999999">
      <c r="A4777" s="547"/>
      <c r="B4777" s="549" t="s">
        <v>423</v>
      </c>
      <c r="C4777" s="547"/>
      <c r="D4777" s="547"/>
      <c r="E4777" s="547"/>
      <c r="F4777" s="549"/>
      <c r="G4777" s="549" t="s">
        <v>21</v>
      </c>
      <c r="H4777" s="549" t="s">
        <v>179</v>
      </c>
      <c r="I4777" s="558">
        <v>33.799999999999997</v>
      </c>
      <c r="J4777" s="567">
        <v>9.8000000000000007</v>
      </c>
      <c r="K4777" s="648">
        <v>18</v>
      </c>
      <c r="L4777" s="552">
        <f t="shared" si="948"/>
        <v>5.9623200000000001</v>
      </c>
      <c r="M4777" s="549"/>
      <c r="N4777" s="549"/>
      <c r="O4777" s="549"/>
      <c r="P4777" s="549"/>
      <c r="Q4777" s="1059"/>
      <c r="R4777" s="1059"/>
    </row>
    <row r="4778" spans="1:18" ht="17.399999999999999">
      <c r="A4778" s="549"/>
      <c r="B4778" s="549"/>
      <c r="C4778" s="549"/>
      <c r="D4778" s="549"/>
      <c r="E4778" s="549"/>
      <c r="F4778" s="549"/>
      <c r="G4778" s="549" t="s">
        <v>21</v>
      </c>
      <c r="H4778" s="549" t="s">
        <v>179</v>
      </c>
      <c r="I4778" s="558">
        <v>33.799999999999997</v>
      </c>
      <c r="J4778" s="567">
        <v>11.1</v>
      </c>
      <c r="K4778" s="648">
        <v>26</v>
      </c>
      <c r="L4778" s="552">
        <f t="shared" si="948"/>
        <v>9.7546799999999987</v>
      </c>
      <c r="M4778" s="549"/>
      <c r="N4778" s="549"/>
      <c r="O4778" s="549"/>
      <c r="P4778" s="549"/>
      <c r="Q4778" s="1059"/>
      <c r="R4778" s="1059"/>
    </row>
    <row r="4779" spans="1:18" ht="17.399999999999999">
      <c r="A4779" s="549"/>
      <c r="B4779" s="549"/>
      <c r="C4779" s="549"/>
      <c r="D4779" s="549"/>
      <c r="E4779" s="549"/>
      <c r="F4779" s="549"/>
      <c r="G4779" s="549"/>
      <c r="H4779" s="549"/>
      <c r="I4779" s="558"/>
      <c r="J4779" s="567"/>
      <c r="K4779" s="648">
        <f>SUM(K4776:K4778)</f>
        <v>70</v>
      </c>
      <c r="L4779" s="567">
        <f t="shared" ref="L4779" si="949">SUM(L4776:L4778)</f>
        <v>22.923159999999996</v>
      </c>
      <c r="M4779" s="549"/>
      <c r="N4779" s="549"/>
      <c r="O4779" s="549"/>
      <c r="P4779" s="549"/>
      <c r="Q4779" s="1059"/>
      <c r="R4779" s="1059"/>
    </row>
    <row r="4780" spans="1:18" ht="17.399999999999999">
      <c r="A4780" s="547" t="s">
        <v>445</v>
      </c>
      <c r="B4780" s="547" t="s">
        <v>519</v>
      </c>
      <c r="C4780" s="547" t="s">
        <v>19</v>
      </c>
      <c r="D4780" s="547" t="s">
        <v>20</v>
      </c>
      <c r="E4780" s="547" t="s">
        <v>57</v>
      </c>
      <c r="F4780" s="549"/>
      <c r="G4780" s="549" t="s">
        <v>21</v>
      </c>
      <c r="H4780" s="549" t="s">
        <v>181</v>
      </c>
      <c r="I4780" s="558">
        <v>40.1</v>
      </c>
      <c r="J4780" s="567">
        <v>6.6</v>
      </c>
      <c r="K4780" s="648">
        <v>28</v>
      </c>
      <c r="L4780" s="552">
        <f t="shared" ref="L4780:L4781" si="950">(I4780*J4780*K4780/1000)</f>
        <v>7.4104799999999997</v>
      </c>
      <c r="M4780" s="549"/>
      <c r="N4780" s="549"/>
      <c r="O4780" s="549"/>
      <c r="P4780" s="549"/>
      <c r="Q4780" s="1059"/>
      <c r="R4780" s="1059"/>
    </row>
    <row r="4781" spans="1:18" ht="17.399999999999999">
      <c r="A4781" s="547"/>
      <c r="B4781" s="549" t="s">
        <v>423</v>
      </c>
      <c r="C4781" s="547"/>
      <c r="D4781" s="547"/>
      <c r="E4781" s="547"/>
      <c r="F4781" s="549"/>
      <c r="G4781" s="549" t="s">
        <v>21</v>
      </c>
      <c r="H4781" s="549" t="s">
        <v>181</v>
      </c>
      <c r="I4781" s="558">
        <v>40.1</v>
      </c>
      <c r="J4781" s="567">
        <v>10.3</v>
      </c>
      <c r="K4781" s="648">
        <v>6</v>
      </c>
      <c r="L4781" s="552">
        <f t="shared" si="950"/>
        <v>2.4781800000000005</v>
      </c>
      <c r="M4781" s="549"/>
      <c r="N4781" s="549"/>
      <c r="O4781" s="549"/>
      <c r="P4781" s="549"/>
      <c r="Q4781" s="1059"/>
      <c r="R4781" s="1059"/>
    </row>
    <row r="4782" spans="1:18" ht="17.399999999999999">
      <c r="A4782" s="549"/>
      <c r="B4782" s="549"/>
      <c r="C4782" s="549"/>
      <c r="D4782" s="549"/>
      <c r="E4782" s="549"/>
      <c r="F4782" s="549"/>
      <c r="G4782" s="549"/>
      <c r="H4782" s="549"/>
      <c r="I4782" s="558"/>
      <c r="J4782" s="567"/>
      <c r="K4782" s="648">
        <f>SUM(K4780:K4781)</f>
        <v>34</v>
      </c>
      <c r="L4782" s="567">
        <f t="shared" ref="L4782" si="951">SUM(L4780:L4781)</f>
        <v>9.8886599999999998</v>
      </c>
      <c r="M4782" s="549"/>
      <c r="N4782" s="549"/>
      <c r="O4782" s="549"/>
      <c r="P4782" s="549"/>
      <c r="Q4782" s="1059"/>
      <c r="R4782" s="1059"/>
    </row>
    <row r="4783" spans="1:18" ht="17.399999999999999">
      <c r="A4783" s="547" t="s">
        <v>445</v>
      </c>
      <c r="B4783" s="547" t="s">
        <v>519</v>
      </c>
      <c r="C4783" s="547" t="s">
        <v>19</v>
      </c>
      <c r="D4783" s="547" t="s">
        <v>20</v>
      </c>
      <c r="E4783" s="547" t="s">
        <v>57</v>
      </c>
      <c r="F4783" s="549"/>
      <c r="G4783" s="549" t="s">
        <v>21</v>
      </c>
      <c r="H4783" s="549" t="s">
        <v>131</v>
      </c>
      <c r="I4783" s="558">
        <v>7.34</v>
      </c>
      <c r="J4783" s="567">
        <v>9.35</v>
      </c>
      <c r="K4783" s="648">
        <v>13</v>
      </c>
      <c r="L4783" s="552">
        <f t="shared" ref="L4783:L4787" si="952">(I4783*J4783*K4783/1000)</f>
        <v>0.89217699999999989</v>
      </c>
      <c r="M4783" s="549"/>
      <c r="N4783" s="549"/>
      <c r="O4783" s="549"/>
      <c r="P4783" s="549"/>
      <c r="Q4783" s="1059"/>
      <c r="R4783" s="1059"/>
    </row>
    <row r="4784" spans="1:18" ht="17.399999999999999">
      <c r="A4784" s="547"/>
      <c r="B4784" s="549" t="s">
        <v>423</v>
      </c>
      <c r="C4784" s="547"/>
      <c r="D4784" s="547"/>
      <c r="E4784" s="547"/>
      <c r="F4784" s="549"/>
      <c r="G4784" s="549" t="s">
        <v>21</v>
      </c>
      <c r="H4784" s="549" t="s">
        <v>131</v>
      </c>
      <c r="I4784" s="558">
        <v>7.34</v>
      </c>
      <c r="J4784" s="567">
        <v>10</v>
      </c>
      <c r="K4784" s="648">
        <v>49</v>
      </c>
      <c r="L4784" s="552">
        <f t="shared" si="952"/>
        <v>3.5966000000000005</v>
      </c>
      <c r="M4784" s="549"/>
      <c r="N4784" s="549"/>
      <c r="O4784" s="549"/>
      <c r="P4784" s="549"/>
      <c r="Q4784" s="1059"/>
      <c r="R4784" s="1059"/>
    </row>
    <row r="4785" spans="1:18" ht="17.399999999999999">
      <c r="A4785" s="549"/>
      <c r="B4785" s="549"/>
      <c r="C4785" s="549"/>
      <c r="D4785" s="549"/>
      <c r="E4785" s="549"/>
      <c r="F4785" s="549"/>
      <c r="G4785" s="549" t="s">
        <v>21</v>
      </c>
      <c r="H4785" s="549" t="s">
        <v>131</v>
      </c>
      <c r="I4785" s="558">
        <v>7.34</v>
      </c>
      <c r="J4785" s="567">
        <v>11</v>
      </c>
      <c r="K4785" s="648">
        <v>58</v>
      </c>
      <c r="L4785" s="552">
        <f t="shared" si="952"/>
        <v>4.6829200000000002</v>
      </c>
      <c r="M4785" s="549"/>
      <c r="N4785" s="549"/>
      <c r="O4785" s="549"/>
      <c r="P4785" s="549"/>
      <c r="Q4785" s="1059"/>
      <c r="R4785" s="1059"/>
    </row>
    <row r="4786" spans="1:18" ht="17.399999999999999">
      <c r="A4786" s="549"/>
      <c r="B4786" s="549"/>
      <c r="C4786" s="549"/>
      <c r="D4786" s="549"/>
      <c r="E4786" s="549"/>
      <c r="F4786" s="549"/>
      <c r="G4786" s="549" t="s">
        <v>21</v>
      </c>
      <c r="H4786" s="549" t="s">
        <v>131</v>
      </c>
      <c r="I4786" s="558">
        <v>7.34</v>
      </c>
      <c r="J4786" s="567">
        <v>11.5</v>
      </c>
      <c r="K4786" s="648">
        <v>16</v>
      </c>
      <c r="L4786" s="552">
        <f t="shared" si="952"/>
        <v>1.35056</v>
      </c>
      <c r="M4786" s="549"/>
      <c r="N4786" s="549"/>
      <c r="O4786" s="549"/>
      <c r="P4786" s="549"/>
      <c r="Q4786" s="1059"/>
      <c r="R4786" s="1059"/>
    </row>
    <row r="4787" spans="1:18" ht="17.399999999999999">
      <c r="A4787" s="549"/>
      <c r="B4787" s="549"/>
      <c r="C4787" s="549"/>
      <c r="D4787" s="549"/>
      <c r="E4787" s="549"/>
      <c r="F4787" s="549"/>
      <c r="G4787" s="549" t="s">
        <v>21</v>
      </c>
      <c r="H4787" s="549" t="s">
        <v>131</v>
      </c>
      <c r="I4787" s="558">
        <v>7.34</v>
      </c>
      <c r="J4787" s="567">
        <v>12</v>
      </c>
      <c r="K4787" s="648">
        <v>85</v>
      </c>
      <c r="L4787" s="552">
        <f t="shared" si="952"/>
        <v>7.4868000000000006</v>
      </c>
      <c r="M4787" s="549"/>
      <c r="N4787" s="549"/>
      <c r="O4787" s="549"/>
      <c r="P4787" s="549"/>
      <c r="Q4787" s="1059"/>
      <c r="R4787" s="1059"/>
    </row>
    <row r="4788" spans="1:18" ht="17.399999999999999">
      <c r="A4788" s="549"/>
      <c r="B4788" s="549"/>
      <c r="C4788" s="549"/>
      <c r="D4788" s="549"/>
      <c r="E4788" s="549"/>
      <c r="F4788" s="549"/>
      <c r="G4788" s="549"/>
      <c r="H4788" s="549"/>
      <c r="I4788" s="558"/>
      <c r="J4788" s="567"/>
      <c r="K4788" s="648">
        <f t="shared" ref="K4788:L4788" si="953">SUM(K4783:K4787)</f>
        <v>221</v>
      </c>
      <c r="L4788" s="567">
        <f t="shared" si="953"/>
        <v>18.009057000000002</v>
      </c>
      <c r="M4788" s="549"/>
      <c r="N4788" s="549"/>
      <c r="O4788" s="549"/>
      <c r="P4788" s="549"/>
      <c r="Q4788" s="1059"/>
      <c r="R4788" s="1059"/>
    </row>
    <row r="4789" spans="1:18" ht="17.399999999999999">
      <c r="A4789" s="549"/>
      <c r="B4789" s="549"/>
      <c r="C4789" s="549"/>
      <c r="D4789" s="549"/>
      <c r="E4789" s="549"/>
      <c r="F4789" s="549"/>
      <c r="G4789" s="549"/>
      <c r="H4789" s="549"/>
      <c r="I4789" s="560"/>
      <c r="J4789" s="549"/>
      <c r="K4789" s="561"/>
      <c r="L4789" s="560"/>
      <c r="M4789" s="549"/>
      <c r="N4789" s="549"/>
      <c r="O4789" s="549"/>
      <c r="P4789" s="549"/>
      <c r="Q4789" s="1059"/>
      <c r="R4789" s="1059"/>
    </row>
    <row r="4790" spans="1:18" ht="17.399999999999999">
      <c r="A4790" s="547" t="s">
        <v>445</v>
      </c>
      <c r="B4790" s="547" t="s">
        <v>519</v>
      </c>
      <c r="C4790" s="547" t="s">
        <v>19</v>
      </c>
      <c r="D4790" s="547" t="s">
        <v>60</v>
      </c>
      <c r="E4790" s="547" t="s">
        <v>90</v>
      </c>
      <c r="F4790" s="549"/>
      <c r="G4790" s="549" t="s">
        <v>61</v>
      </c>
      <c r="H4790" s="549" t="s">
        <v>120</v>
      </c>
      <c r="I4790" s="558">
        <v>18.2</v>
      </c>
      <c r="J4790" s="567">
        <v>7.5</v>
      </c>
      <c r="K4790" s="648">
        <v>48</v>
      </c>
      <c r="L4790" s="552">
        <f t="shared" ref="L4790:L4792" si="954">(I4790*J4790*K4790/1000)</f>
        <v>6.5519999999999996</v>
      </c>
      <c r="M4790" s="549"/>
      <c r="N4790" s="549"/>
      <c r="O4790" s="549"/>
      <c r="P4790" s="549"/>
      <c r="Q4790" s="1059"/>
      <c r="R4790" s="1059"/>
    </row>
    <row r="4791" spans="1:18" ht="17.399999999999999">
      <c r="A4791" s="547"/>
      <c r="B4791" s="549" t="s">
        <v>423</v>
      </c>
      <c r="C4791" s="547"/>
      <c r="D4791" s="547"/>
      <c r="E4791" s="547"/>
      <c r="F4791" s="549"/>
      <c r="G4791" s="549" t="s">
        <v>61</v>
      </c>
      <c r="H4791" s="549" t="s">
        <v>120</v>
      </c>
      <c r="I4791" s="558">
        <v>18.2</v>
      </c>
      <c r="J4791" s="567">
        <v>9.6</v>
      </c>
      <c r="K4791" s="648">
        <v>24</v>
      </c>
      <c r="L4791" s="552">
        <f t="shared" si="954"/>
        <v>4.1932799999999997</v>
      </c>
      <c r="M4791" s="549"/>
      <c r="N4791" s="549"/>
      <c r="O4791" s="549"/>
      <c r="P4791" s="549"/>
      <c r="Q4791" s="1059"/>
      <c r="R4791" s="1059"/>
    </row>
    <row r="4792" spans="1:18" ht="17.399999999999999">
      <c r="A4792" s="549"/>
      <c r="B4792" s="549"/>
      <c r="C4792" s="549"/>
      <c r="D4792" s="549"/>
      <c r="E4792" s="549"/>
      <c r="F4792" s="549"/>
      <c r="G4792" s="549" t="s">
        <v>61</v>
      </c>
      <c r="H4792" s="549" t="s">
        <v>120</v>
      </c>
      <c r="I4792" s="558">
        <v>18.2</v>
      </c>
      <c r="J4792" s="567">
        <v>11.4</v>
      </c>
      <c r="K4792" s="648">
        <v>40</v>
      </c>
      <c r="L4792" s="552">
        <f t="shared" si="954"/>
        <v>8.299199999999999</v>
      </c>
      <c r="M4792" s="549"/>
      <c r="N4792" s="549"/>
      <c r="O4792" s="549"/>
      <c r="P4792" s="549"/>
      <c r="Q4792" s="1059"/>
      <c r="R4792" s="1059"/>
    </row>
    <row r="4793" spans="1:18" ht="17.399999999999999">
      <c r="A4793" s="549"/>
      <c r="B4793" s="549"/>
      <c r="C4793" s="549"/>
      <c r="D4793" s="549"/>
      <c r="E4793" s="549"/>
      <c r="F4793" s="549"/>
      <c r="G4793" s="549"/>
      <c r="H4793" s="549"/>
      <c r="I4793" s="558"/>
      <c r="J4793" s="567"/>
      <c r="K4793" s="648">
        <f t="shared" ref="K4793:L4793" si="955">SUM(K4790:K4792)</f>
        <v>112</v>
      </c>
      <c r="L4793" s="567">
        <f t="shared" si="955"/>
        <v>19.04448</v>
      </c>
      <c r="M4793" s="549"/>
      <c r="N4793" s="549"/>
      <c r="O4793" s="549"/>
      <c r="P4793" s="549"/>
      <c r="Q4793" s="1059"/>
      <c r="R4793" s="1059"/>
    </row>
    <row r="4794" spans="1:18" ht="17.399999999999999">
      <c r="A4794" s="547" t="s">
        <v>445</v>
      </c>
      <c r="B4794" s="547" t="s">
        <v>519</v>
      </c>
      <c r="C4794" s="547" t="s">
        <v>19</v>
      </c>
      <c r="D4794" s="547" t="s">
        <v>60</v>
      </c>
      <c r="E4794" s="547" t="s">
        <v>90</v>
      </c>
      <c r="F4794" s="549"/>
      <c r="G4794" s="549" t="s">
        <v>61</v>
      </c>
      <c r="H4794" s="549" t="s">
        <v>122</v>
      </c>
      <c r="I4794" s="558">
        <v>14.7</v>
      </c>
      <c r="J4794" s="567">
        <v>6.9</v>
      </c>
      <c r="K4794" s="648">
        <v>52</v>
      </c>
      <c r="L4794" s="552">
        <f>(I4794*J4794*K4794/1000)</f>
        <v>5.2743600000000006</v>
      </c>
      <c r="M4794" s="549"/>
      <c r="N4794" s="549"/>
      <c r="O4794" s="549"/>
      <c r="P4794" s="549"/>
      <c r="Q4794" s="1059"/>
      <c r="R4794" s="1059"/>
    </row>
    <row r="4795" spans="1:18" ht="17.399999999999999">
      <c r="A4795" s="547"/>
      <c r="B4795" s="549" t="s">
        <v>423</v>
      </c>
      <c r="C4795" s="547"/>
      <c r="D4795" s="547"/>
      <c r="E4795" s="547"/>
      <c r="F4795" s="549"/>
      <c r="G4795" s="549"/>
      <c r="H4795" s="549"/>
      <c r="I4795" s="558"/>
      <c r="J4795" s="567"/>
      <c r="K4795" s="648">
        <f t="shared" ref="K4795:L4795" si="956">SUM(K4794)</f>
        <v>52</v>
      </c>
      <c r="L4795" s="567">
        <f t="shared" si="956"/>
        <v>5.2743600000000006</v>
      </c>
      <c r="M4795" s="549"/>
      <c r="N4795" s="549"/>
      <c r="O4795" s="549"/>
      <c r="P4795" s="549"/>
      <c r="Q4795" s="1059"/>
      <c r="R4795" s="1059"/>
    </row>
    <row r="4796" spans="1:18" ht="17.399999999999999">
      <c r="A4796" s="547" t="s">
        <v>445</v>
      </c>
      <c r="B4796" s="547" t="s">
        <v>519</v>
      </c>
      <c r="C4796" s="547" t="s">
        <v>19</v>
      </c>
      <c r="D4796" s="547" t="s">
        <v>60</v>
      </c>
      <c r="E4796" s="547" t="s">
        <v>90</v>
      </c>
      <c r="F4796" s="549"/>
      <c r="G4796" s="549" t="s">
        <v>61</v>
      </c>
      <c r="H4796" s="549" t="s">
        <v>124</v>
      </c>
      <c r="I4796" s="558">
        <v>19.8</v>
      </c>
      <c r="J4796" s="567">
        <v>6.7</v>
      </c>
      <c r="K4796" s="648">
        <v>28</v>
      </c>
      <c r="L4796" s="552">
        <f t="shared" ref="L4796:L4797" si="957">(I4796*J4796*K4796/1000)</f>
        <v>3.71448</v>
      </c>
      <c r="M4796" s="549"/>
      <c r="N4796" s="549"/>
      <c r="O4796" s="549"/>
      <c r="P4796" s="549"/>
      <c r="Q4796" s="1059"/>
      <c r="R4796" s="1059"/>
    </row>
    <row r="4797" spans="1:18" ht="17.399999999999999">
      <c r="A4797" s="547"/>
      <c r="B4797" s="549" t="s">
        <v>423</v>
      </c>
      <c r="C4797" s="547"/>
      <c r="D4797" s="547"/>
      <c r="E4797" s="547"/>
      <c r="F4797" s="549"/>
      <c r="G4797" s="549" t="s">
        <v>61</v>
      </c>
      <c r="H4797" s="549" t="s">
        <v>124</v>
      </c>
      <c r="I4797" s="558">
        <v>19.8</v>
      </c>
      <c r="J4797" s="567">
        <v>12</v>
      </c>
      <c r="K4797" s="648">
        <v>56</v>
      </c>
      <c r="L4797" s="552">
        <f t="shared" si="957"/>
        <v>13.305600000000002</v>
      </c>
      <c r="M4797" s="549"/>
      <c r="N4797" s="549"/>
      <c r="O4797" s="549"/>
      <c r="P4797" s="549"/>
      <c r="Q4797" s="1059"/>
      <c r="R4797" s="1059"/>
    </row>
    <row r="4798" spans="1:18" ht="17.399999999999999">
      <c r="A4798" s="549"/>
      <c r="B4798" s="549"/>
      <c r="C4798" s="549"/>
      <c r="D4798" s="549"/>
      <c r="E4798" s="549"/>
      <c r="F4798" s="549"/>
      <c r="G4798" s="549"/>
      <c r="H4798" s="549"/>
      <c r="I4798" s="558"/>
      <c r="J4798" s="567"/>
      <c r="K4798" s="648">
        <f t="shared" ref="K4798:L4798" si="958">SUM(K4796:K4797)</f>
        <v>84</v>
      </c>
      <c r="L4798" s="567">
        <f t="shared" si="958"/>
        <v>17.02008</v>
      </c>
      <c r="M4798" s="549"/>
      <c r="N4798" s="549"/>
      <c r="O4798" s="549"/>
      <c r="P4798" s="549"/>
      <c r="Q4798" s="1059"/>
      <c r="R4798" s="1059"/>
    </row>
    <row r="4799" spans="1:18" ht="17.399999999999999">
      <c r="A4799" s="549"/>
      <c r="B4799" s="549"/>
      <c r="C4799" s="549"/>
      <c r="D4799" s="549"/>
      <c r="E4799" s="549"/>
      <c r="F4799" s="549"/>
      <c r="G4799" s="549"/>
      <c r="H4799" s="549"/>
      <c r="I4799" s="560"/>
      <c r="J4799" s="549"/>
      <c r="K4799" s="561"/>
      <c r="L4799" s="560"/>
      <c r="M4799" s="549"/>
      <c r="N4799" s="549"/>
      <c r="O4799" s="549"/>
      <c r="P4799" s="549"/>
      <c r="Q4799" s="1059"/>
      <c r="R4799" s="1059"/>
    </row>
    <row r="4800" spans="1:18" ht="17.399999999999999">
      <c r="A4800" s="547" t="s">
        <v>481</v>
      </c>
      <c r="B4800" s="547" t="s">
        <v>520</v>
      </c>
      <c r="C4800" s="547" t="s">
        <v>19</v>
      </c>
      <c r="D4800" s="547" t="s">
        <v>20</v>
      </c>
      <c r="E4800" s="547" t="s">
        <v>57</v>
      </c>
      <c r="F4800" s="549"/>
      <c r="G4800" s="549" t="s">
        <v>21</v>
      </c>
      <c r="H4800" s="549" t="s">
        <v>120</v>
      </c>
      <c r="I4800" s="558">
        <v>18.2</v>
      </c>
      <c r="J4800" s="567">
        <v>6.2</v>
      </c>
      <c r="K4800" s="648">
        <v>260</v>
      </c>
      <c r="L4800" s="552">
        <f>(I4800*J4800*K4800/1000)</f>
        <v>29.3384</v>
      </c>
      <c r="M4800" s="549"/>
      <c r="N4800" s="549"/>
      <c r="O4800" s="549"/>
      <c r="P4800" s="549"/>
      <c r="Q4800" s="1059"/>
      <c r="R4800" s="1059"/>
    </row>
    <row r="4801" spans="1:18" ht="17.399999999999999">
      <c r="A4801" s="547"/>
      <c r="B4801" s="560" t="s">
        <v>443</v>
      </c>
      <c r="C4801" s="547"/>
      <c r="D4801" s="547"/>
      <c r="E4801" s="547"/>
      <c r="F4801" s="549"/>
      <c r="G4801" s="549" t="s">
        <v>21</v>
      </c>
      <c r="H4801" s="549" t="s">
        <v>120</v>
      </c>
      <c r="I4801" s="558">
        <v>18.2</v>
      </c>
      <c r="J4801" s="567">
        <v>8.5</v>
      </c>
      <c r="K4801" s="648">
        <v>174</v>
      </c>
      <c r="L4801" s="552">
        <f>(I4801*J4801*K4801/1000)</f>
        <v>26.9178</v>
      </c>
      <c r="M4801" s="549"/>
      <c r="N4801" s="549"/>
      <c r="O4801" s="549"/>
      <c r="P4801" s="549"/>
      <c r="Q4801" s="1059"/>
      <c r="R4801" s="1059"/>
    </row>
    <row r="4802" spans="1:18" ht="17.399999999999999">
      <c r="A4802" s="549"/>
      <c r="B4802" s="549"/>
      <c r="C4802" s="549"/>
      <c r="D4802" s="549"/>
      <c r="E4802" s="549"/>
      <c r="F4802" s="549"/>
      <c r="G4802" s="549" t="s">
        <v>21</v>
      </c>
      <c r="H4802" s="549" t="s">
        <v>120</v>
      </c>
      <c r="I4802" s="558">
        <v>18.2</v>
      </c>
      <c r="J4802" s="567">
        <v>9.6999999999999993</v>
      </c>
      <c r="K4802" s="648">
        <v>17</v>
      </c>
      <c r="L4802" s="552">
        <f>(I4802*J4802*K4802/1000)</f>
        <v>3.0011799999999997</v>
      </c>
      <c r="M4802" s="549"/>
      <c r="N4802" s="549"/>
      <c r="O4802" s="549"/>
      <c r="P4802" s="549"/>
      <c r="Q4802" s="1059"/>
      <c r="R4802" s="1059"/>
    </row>
    <row r="4803" spans="1:18" ht="17.399999999999999">
      <c r="A4803" s="549"/>
      <c r="B4803" s="549"/>
      <c r="C4803" s="549"/>
      <c r="D4803" s="549"/>
      <c r="E4803" s="549"/>
      <c r="F4803" s="549"/>
      <c r="G4803" s="549" t="s">
        <v>21</v>
      </c>
      <c r="H4803" s="549" t="s">
        <v>120</v>
      </c>
      <c r="I4803" s="558">
        <v>18.2</v>
      </c>
      <c r="J4803" s="567">
        <v>9.8000000000000007</v>
      </c>
      <c r="K4803" s="648">
        <v>39</v>
      </c>
      <c r="L4803" s="552">
        <f>(I4803*J4803*K4803/1000)</f>
        <v>6.9560400000000007</v>
      </c>
      <c r="M4803" s="549"/>
      <c r="N4803" s="549"/>
      <c r="O4803" s="549"/>
      <c r="P4803" s="549"/>
      <c r="Q4803" s="1059"/>
      <c r="R4803" s="1059"/>
    </row>
    <row r="4804" spans="1:18" ht="17.399999999999999">
      <c r="A4804" s="549"/>
      <c r="B4804" s="549"/>
      <c r="C4804" s="549"/>
      <c r="D4804" s="549"/>
      <c r="E4804" s="549"/>
      <c r="F4804" s="549"/>
      <c r="G4804" s="549" t="s">
        <v>21</v>
      </c>
      <c r="H4804" s="549" t="s">
        <v>120</v>
      </c>
      <c r="I4804" s="558">
        <v>18.2</v>
      </c>
      <c r="J4804" s="567">
        <v>11.1</v>
      </c>
      <c r="K4804" s="648">
        <v>88</v>
      </c>
      <c r="L4804" s="552">
        <f>(I4804*J4804*K4804/1000)</f>
        <v>17.777759999999997</v>
      </c>
      <c r="M4804" s="549"/>
      <c r="N4804" s="549"/>
      <c r="O4804" s="549"/>
      <c r="P4804" s="549"/>
      <c r="Q4804" s="1059"/>
      <c r="R4804" s="1059"/>
    </row>
    <row r="4805" spans="1:18" ht="17.399999999999999">
      <c r="A4805" s="549"/>
      <c r="B4805" s="549"/>
      <c r="C4805" s="549"/>
      <c r="D4805" s="549"/>
      <c r="E4805" s="549"/>
      <c r="F4805" s="549"/>
      <c r="G4805" s="650"/>
      <c r="H4805" s="549"/>
      <c r="I4805" s="558"/>
      <c r="J4805" s="567"/>
      <c r="K4805" s="648">
        <f t="shared" ref="K4805:L4805" si="959">SUM(K4800:K4804)</f>
        <v>578</v>
      </c>
      <c r="L4805" s="567">
        <f t="shared" si="959"/>
        <v>83.99118</v>
      </c>
      <c r="M4805" s="549"/>
      <c r="N4805" s="549"/>
      <c r="O4805" s="549"/>
      <c r="P4805" s="549"/>
      <c r="Q4805" s="1059"/>
      <c r="R4805" s="1059"/>
    </row>
    <row r="4806" spans="1:18" ht="17.399999999999999">
      <c r="A4806" s="547" t="s">
        <v>481</v>
      </c>
      <c r="B4806" s="547" t="s">
        <v>520</v>
      </c>
      <c r="C4806" s="547" t="s">
        <v>19</v>
      </c>
      <c r="D4806" s="547" t="s">
        <v>20</v>
      </c>
      <c r="E4806" s="547" t="s">
        <v>57</v>
      </c>
      <c r="F4806" s="549"/>
      <c r="G4806" s="549" t="s">
        <v>21</v>
      </c>
      <c r="H4806" s="549" t="s">
        <v>69</v>
      </c>
      <c r="I4806" s="558">
        <v>6.85</v>
      </c>
      <c r="J4806" s="567">
        <v>7</v>
      </c>
      <c r="K4806" s="648">
        <v>121</v>
      </c>
      <c r="L4806" s="552">
        <f>(I4806*J4806*K4806/1000)</f>
        <v>5.8019499999999997</v>
      </c>
      <c r="M4806" s="549"/>
      <c r="N4806" s="549"/>
      <c r="O4806" s="549"/>
      <c r="P4806" s="549"/>
      <c r="Q4806" s="1059"/>
      <c r="R4806" s="1059"/>
    </row>
    <row r="4807" spans="1:18" ht="17.399999999999999">
      <c r="A4807" s="547"/>
      <c r="B4807" s="560" t="s">
        <v>443</v>
      </c>
      <c r="C4807" s="547"/>
      <c r="D4807" s="547"/>
      <c r="E4807" s="547"/>
      <c r="F4807" s="549"/>
      <c r="G4807" s="549" t="s">
        <v>21</v>
      </c>
      <c r="H4807" s="549" t="s">
        <v>69</v>
      </c>
      <c r="I4807" s="558">
        <v>6.85</v>
      </c>
      <c r="J4807" s="567">
        <v>8.5</v>
      </c>
      <c r="K4807" s="648">
        <v>181</v>
      </c>
      <c r="L4807" s="552">
        <f>(I4807*J4807*K4807/1000)</f>
        <v>10.538724999999998</v>
      </c>
      <c r="M4807" s="549"/>
      <c r="N4807" s="549"/>
      <c r="O4807" s="549"/>
      <c r="P4807" s="549"/>
      <c r="Q4807" s="1059"/>
      <c r="R4807" s="1059"/>
    </row>
    <row r="4808" spans="1:18" ht="17.399999999999999">
      <c r="A4808" s="549"/>
      <c r="B4808" s="549"/>
      <c r="C4808" s="549"/>
      <c r="D4808" s="549"/>
      <c r="E4808" s="549"/>
      <c r="F4808" s="549"/>
      <c r="G4808" s="549" t="s">
        <v>21</v>
      </c>
      <c r="H4808" s="549" t="s">
        <v>69</v>
      </c>
      <c r="I4808" s="558">
        <v>6.85</v>
      </c>
      <c r="J4808" s="567">
        <v>12</v>
      </c>
      <c r="K4808" s="648">
        <v>787</v>
      </c>
      <c r="L4808" s="552">
        <f>(I4808*J4808*K4808/1000)</f>
        <v>64.691399999999987</v>
      </c>
      <c r="M4808" s="549"/>
      <c r="N4808" s="549"/>
      <c r="O4808" s="549"/>
      <c r="P4808" s="549"/>
      <c r="Q4808" s="1059"/>
      <c r="R4808" s="1059"/>
    </row>
    <row r="4809" spans="1:18" ht="17.399999999999999">
      <c r="A4809" s="549"/>
      <c r="B4809" s="549"/>
      <c r="C4809" s="549"/>
      <c r="D4809" s="549"/>
      <c r="E4809" s="549"/>
      <c r="F4809" s="549"/>
      <c r="G4809" s="650"/>
      <c r="H4809" s="549"/>
      <c r="I4809" s="558"/>
      <c r="J4809" s="567"/>
      <c r="K4809" s="648">
        <f t="shared" ref="K4809:L4809" si="960">SUM(K4806:K4808)</f>
        <v>1089</v>
      </c>
      <c r="L4809" s="567">
        <f t="shared" si="960"/>
        <v>81.032074999999992</v>
      </c>
      <c r="M4809" s="549"/>
      <c r="N4809" s="549"/>
      <c r="O4809" s="549"/>
      <c r="P4809" s="549"/>
      <c r="Q4809" s="1059"/>
      <c r="R4809" s="1059"/>
    </row>
    <row r="4810" spans="1:18" ht="17.399999999999999">
      <c r="A4810" s="547" t="s">
        <v>481</v>
      </c>
      <c r="B4810" s="547" t="s">
        <v>520</v>
      </c>
      <c r="C4810" s="547" t="s">
        <v>19</v>
      </c>
      <c r="D4810" s="547" t="s">
        <v>20</v>
      </c>
      <c r="E4810" s="547" t="s">
        <v>57</v>
      </c>
      <c r="F4810" s="549"/>
      <c r="G4810" s="549" t="s">
        <v>21</v>
      </c>
      <c r="H4810" s="549" t="s">
        <v>131</v>
      </c>
      <c r="I4810" s="558">
        <v>7.34</v>
      </c>
      <c r="J4810" s="567">
        <v>7.6</v>
      </c>
      <c r="K4810" s="648">
        <v>20</v>
      </c>
      <c r="L4810" s="552">
        <f>(I4810*J4810*K4810/1000)</f>
        <v>1.11568</v>
      </c>
      <c r="M4810" s="549"/>
      <c r="N4810" s="549"/>
      <c r="O4810" s="549"/>
      <c r="P4810" s="549"/>
      <c r="Q4810" s="1059"/>
      <c r="R4810" s="1059"/>
    </row>
    <row r="4811" spans="1:18" ht="17.399999999999999">
      <c r="A4811" s="547"/>
      <c r="B4811" s="560" t="s">
        <v>443</v>
      </c>
      <c r="C4811" s="547"/>
      <c r="D4811" s="547"/>
      <c r="E4811" s="547"/>
      <c r="F4811" s="549"/>
      <c r="G4811" s="549" t="s">
        <v>21</v>
      </c>
      <c r="H4811" s="549" t="s">
        <v>131</v>
      </c>
      <c r="I4811" s="558">
        <v>7.34</v>
      </c>
      <c r="J4811" s="567">
        <v>9.1</v>
      </c>
      <c r="K4811" s="648">
        <v>345</v>
      </c>
      <c r="L4811" s="552">
        <f>(I4811*J4811*K4811/1000)</f>
        <v>23.04393</v>
      </c>
      <c r="M4811" s="549"/>
      <c r="N4811" s="549"/>
      <c r="O4811" s="549"/>
      <c r="P4811" s="549"/>
      <c r="Q4811" s="1059"/>
      <c r="R4811" s="1059"/>
    </row>
    <row r="4812" spans="1:18" ht="17.399999999999999">
      <c r="A4812" s="549"/>
      <c r="B4812" s="549"/>
      <c r="C4812" s="549"/>
      <c r="D4812" s="549"/>
      <c r="E4812" s="549"/>
      <c r="F4812" s="549"/>
      <c r="G4812" s="650"/>
      <c r="H4812" s="549"/>
      <c r="I4812" s="558"/>
      <c r="J4812" s="567"/>
      <c r="K4812" s="648">
        <f t="shared" ref="K4812:L4812" si="961">SUM(K4810:K4811)</f>
        <v>365</v>
      </c>
      <c r="L4812" s="567">
        <f t="shared" si="961"/>
        <v>24.159610000000001</v>
      </c>
      <c r="M4812" s="549"/>
      <c r="N4812" s="549"/>
      <c r="O4812" s="549"/>
      <c r="P4812" s="549"/>
      <c r="Q4812" s="1059"/>
      <c r="R4812" s="1059"/>
    </row>
    <row r="4813" spans="1:18" ht="17.399999999999999">
      <c r="A4813" s="547" t="s">
        <v>481</v>
      </c>
      <c r="B4813" s="547" t="s">
        <v>520</v>
      </c>
      <c r="C4813" s="547" t="s">
        <v>19</v>
      </c>
      <c r="D4813" s="547" t="s">
        <v>20</v>
      </c>
      <c r="E4813" s="547" t="s">
        <v>57</v>
      </c>
      <c r="F4813" s="549"/>
      <c r="G4813" s="549" t="s">
        <v>21</v>
      </c>
      <c r="H4813" s="549" t="s">
        <v>322</v>
      </c>
      <c r="I4813" s="558">
        <v>9.6300000000000008</v>
      </c>
      <c r="J4813" s="567">
        <v>11</v>
      </c>
      <c r="K4813" s="648">
        <v>112</v>
      </c>
      <c r="L4813" s="552">
        <f>(I4813*J4813*K4813/1000)</f>
        <v>11.86416</v>
      </c>
      <c r="M4813" s="549"/>
      <c r="N4813" s="549"/>
      <c r="O4813" s="549"/>
      <c r="P4813" s="549"/>
      <c r="Q4813" s="1059"/>
      <c r="R4813" s="1059"/>
    </row>
    <row r="4814" spans="1:18" ht="17.399999999999999">
      <c r="A4814" s="547"/>
      <c r="B4814" s="560" t="s">
        <v>443</v>
      </c>
      <c r="C4814" s="547"/>
      <c r="D4814" s="547"/>
      <c r="E4814" s="547"/>
      <c r="F4814" s="549"/>
      <c r="G4814" s="650"/>
      <c r="H4814" s="549"/>
      <c r="I4814" s="558"/>
      <c r="J4814" s="567"/>
      <c r="K4814" s="648">
        <f t="shared" ref="K4814:L4814" si="962">SUM(K4813)</f>
        <v>112</v>
      </c>
      <c r="L4814" s="567">
        <f t="shared" si="962"/>
        <v>11.86416</v>
      </c>
      <c r="M4814" s="549"/>
      <c r="N4814" s="549"/>
      <c r="O4814" s="549"/>
      <c r="P4814" s="549"/>
      <c r="Q4814" s="1059"/>
      <c r="R4814" s="1059"/>
    </row>
    <row r="4815" spans="1:18" ht="17.399999999999999">
      <c r="A4815" s="549"/>
      <c r="B4815" s="549"/>
      <c r="C4815" s="549"/>
      <c r="D4815" s="549"/>
      <c r="E4815" s="549"/>
      <c r="F4815" s="549"/>
      <c r="G4815" s="549"/>
      <c r="H4815" s="549"/>
      <c r="I4815" s="560"/>
      <c r="J4815" s="549"/>
      <c r="K4815" s="561"/>
      <c r="L4815" s="560"/>
      <c r="M4815" s="549"/>
      <c r="N4815" s="549"/>
      <c r="O4815" s="549"/>
      <c r="P4815" s="549"/>
      <c r="Q4815" s="1059"/>
      <c r="R4815" s="1059"/>
    </row>
    <row r="4816" spans="1:18" ht="17.399999999999999">
      <c r="A4816" s="547" t="s">
        <v>481</v>
      </c>
      <c r="B4816" s="547" t="s">
        <v>520</v>
      </c>
      <c r="C4816" s="547" t="s">
        <v>19</v>
      </c>
      <c r="D4816" s="547" t="s">
        <v>20</v>
      </c>
      <c r="E4816" s="547" t="s">
        <v>175</v>
      </c>
      <c r="F4816" s="549"/>
      <c r="G4816" s="549" t="s">
        <v>21</v>
      </c>
      <c r="H4816" s="549" t="s">
        <v>120</v>
      </c>
      <c r="I4816" s="558">
        <v>18.2</v>
      </c>
      <c r="J4816" s="567">
        <v>6.1</v>
      </c>
      <c r="K4816" s="648">
        <v>17</v>
      </c>
      <c r="L4816" s="552">
        <f>(I4816*J4816*K4816/1000)</f>
        <v>1.88734</v>
      </c>
      <c r="M4816" s="549"/>
      <c r="N4816" s="549"/>
      <c r="O4816" s="549"/>
      <c r="P4816" s="549"/>
      <c r="Q4816" s="1059"/>
      <c r="R4816" s="1059"/>
    </row>
    <row r="4817" spans="1:18" ht="17.399999999999999">
      <c r="A4817" s="547"/>
      <c r="B4817" s="560" t="s">
        <v>443</v>
      </c>
      <c r="C4817" s="547"/>
      <c r="D4817" s="547"/>
      <c r="E4817" s="547"/>
      <c r="F4817" s="549"/>
      <c r="G4817" s="650"/>
      <c r="H4817" s="549"/>
      <c r="I4817" s="558"/>
      <c r="J4817" s="567"/>
      <c r="K4817" s="648">
        <f t="shared" ref="K4817:L4817" si="963">SUM(K4816)</f>
        <v>17</v>
      </c>
      <c r="L4817" s="567">
        <f t="shared" si="963"/>
        <v>1.88734</v>
      </c>
      <c r="M4817" s="549"/>
      <c r="N4817" s="549"/>
      <c r="O4817" s="549"/>
      <c r="P4817" s="549"/>
      <c r="Q4817" s="1059"/>
      <c r="R4817" s="1059"/>
    </row>
    <row r="4818" spans="1:18" ht="17.399999999999999">
      <c r="A4818" s="547" t="s">
        <v>481</v>
      </c>
      <c r="B4818" s="547" t="s">
        <v>520</v>
      </c>
      <c r="C4818" s="547" t="s">
        <v>19</v>
      </c>
      <c r="D4818" s="547" t="s">
        <v>20</v>
      </c>
      <c r="E4818" s="547" t="s">
        <v>175</v>
      </c>
      <c r="F4818" s="549"/>
      <c r="G4818" s="549" t="s">
        <v>21</v>
      </c>
      <c r="H4818" s="549" t="s">
        <v>229</v>
      </c>
      <c r="I4818" s="558">
        <v>21.6</v>
      </c>
      <c r="J4818" s="567">
        <v>6.3</v>
      </c>
      <c r="K4818" s="648">
        <v>10</v>
      </c>
      <c r="L4818" s="552">
        <f>(I4818*J4818*K4818/1000)</f>
        <v>1.3608000000000002</v>
      </c>
      <c r="M4818" s="549"/>
      <c r="N4818" s="549"/>
      <c r="O4818" s="549"/>
      <c r="P4818" s="549"/>
      <c r="Q4818" s="1059"/>
      <c r="R4818" s="1059"/>
    </row>
    <row r="4819" spans="1:18" ht="17.399999999999999">
      <c r="A4819" s="547"/>
      <c r="B4819" s="560" t="s">
        <v>443</v>
      </c>
      <c r="C4819" s="547"/>
      <c r="D4819" s="547"/>
      <c r="E4819" s="547"/>
      <c r="F4819" s="549"/>
      <c r="G4819" s="650"/>
      <c r="H4819" s="549"/>
      <c r="I4819" s="558"/>
      <c r="J4819" s="567"/>
      <c r="K4819" s="648">
        <f t="shared" ref="K4819:L4819" si="964">SUM(K4818)</f>
        <v>10</v>
      </c>
      <c r="L4819" s="567">
        <f t="shared" si="964"/>
        <v>1.3608000000000002</v>
      </c>
      <c r="M4819" s="549"/>
      <c r="N4819" s="549"/>
      <c r="O4819" s="549"/>
      <c r="P4819" s="549"/>
      <c r="Q4819" s="1059"/>
      <c r="R4819" s="1059"/>
    </row>
    <row r="4820" spans="1:18" ht="17.399999999999999">
      <c r="A4820" s="547" t="s">
        <v>481</v>
      </c>
      <c r="B4820" s="547" t="s">
        <v>520</v>
      </c>
      <c r="C4820" s="547" t="s">
        <v>19</v>
      </c>
      <c r="D4820" s="547" t="s">
        <v>20</v>
      </c>
      <c r="E4820" s="547" t="s">
        <v>175</v>
      </c>
      <c r="F4820" s="549"/>
      <c r="G4820" s="549" t="s">
        <v>21</v>
      </c>
      <c r="H4820" s="549" t="s">
        <v>178</v>
      </c>
      <c r="I4820" s="558">
        <v>31.6</v>
      </c>
      <c r="J4820" s="567">
        <v>9.4</v>
      </c>
      <c r="K4820" s="648">
        <v>32</v>
      </c>
      <c r="L4820" s="552">
        <f>(I4820*J4820*K4820/1000)</f>
        <v>9.5052800000000008</v>
      </c>
      <c r="M4820" s="549"/>
      <c r="N4820" s="549"/>
      <c r="O4820" s="549"/>
      <c r="P4820" s="549"/>
      <c r="Q4820" s="1059"/>
      <c r="R4820" s="1059"/>
    </row>
    <row r="4821" spans="1:18" ht="17.399999999999999">
      <c r="A4821" s="547"/>
      <c r="B4821" s="560" t="s">
        <v>443</v>
      </c>
      <c r="C4821" s="547"/>
      <c r="D4821" s="547"/>
      <c r="E4821" s="547"/>
      <c r="F4821" s="549"/>
      <c r="G4821" s="549" t="s">
        <v>21</v>
      </c>
      <c r="H4821" s="549" t="s">
        <v>178</v>
      </c>
      <c r="I4821" s="558">
        <v>31.6</v>
      </c>
      <c r="J4821" s="567">
        <v>9.6999999999999993</v>
      </c>
      <c r="K4821" s="648">
        <v>8</v>
      </c>
      <c r="L4821" s="552">
        <f>(I4821*J4821*K4821/1000)</f>
        <v>2.4521599999999997</v>
      </c>
      <c r="M4821" s="549"/>
      <c r="N4821" s="549"/>
      <c r="O4821" s="549"/>
      <c r="P4821" s="549"/>
      <c r="Q4821" s="1059"/>
      <c r="R4821" s="1059"/>
    </row>
    <row r="4822" spans="1:18" ht="17.399999999999999">
      <c r="A4822" s="549"/>
      <c r="B4822" s="549"/>
      <c r="C4822" s="549"/>
      <c r="D4822" s="549"/>
      <c r="E4822" s="549"/>
      <c r="F4822" s="549"/>
      <c r="G4822" s="650"/>
      <c r="H4822" s="549"/>
      <c r="I4822" s="558"/>
      <c r="J4822" s="567"/>
      <c r="K4822" s="648">
        <f t="shared" ref="K4822:L4822" si="965">SUM(K4820:K4821)</f>
        <v>40</v>
      </c>
      <c r="L4822" s="567">
        <f t="shared" si="965"/>
        <v>11.95744</v>
      </c>
      <c r="M4822" s="549"/>
      <c r="N4822" s="549"/>
      <c r="O4822" s="549"/>
      <c r="P4822" s="549"/>
      <c r="Q4822" s="1059"/>
      <c r="R4822" s="1059"/>
    </row>
    <row r="4823" spans="1:18" ht="17.399999999999999">
      <c r="A4823" s="547" t="s">
        <v>481</v>
      </c>
      <c r="B4823" s="547" t="s">
        <v>520</v>
      </c>
      <c r="C4823" s="547" t="s">
        <v>19</v>
      </c>
      <c r="D4823" s="547" t="s">
        <v>20</v>
      </c>
      <c r="E4823" s="547" t="s">
        <v>175</v>
      </c>
      <c r="F4823" s="549"/>
      <c r="G4823" s="549" t="s">
        <v>21</v>
      </c>
      <c r="H4823" s="549" t="s">
        <v>179</v>
      </c>
      <c r="I4823" s="558">
        <v>33.799999999999997</v>
      </c>
      <c r="J4823" s="567">
        <v>6.2</v>
      </c>
      <c r="K4823" s="648">
        <v>16</v>
      </c>
      <c r="L4823" s="552">
        <f t="shared" ref="L4823:L4829" si="966">(I4823*J4823*K4823/1000)</f>
        <v>3.3529599999999999</v>
      </c>
      <c r="M4823" s="549"/>
      <c r="N4823" s="549"/>
      <c r="O4823" s="549"/>
      <c r="P4823" s="549"/>
      <c r="Q4823" s="1059"/>
      <c r="R4823" s="1059"/>
    </row>
    <row r="4824" spans="1:18" ht="17.399999999999999">
      <c r="A4824" s="547"/>
      <c r="B4824" s="560" t="s">
        <v>443</v>
      </c>
      <c r="C4824" s="547"/>
      <c r="D4824" s="547"/>
      <c r="E4824" s="547"/>
      <c r="F4824" s="549"/>
      <c r="G4824" s="549" t="s">
        <v>21</v>
      </c>
      <c r="H4824" s="549" t="s">
        <v>179</v>
      </c>
      <c r="I4824" s="558">
        <v>33.799999999999997</v>
      </c>
      <c r="J4824" s="567">
        <v>7.3</v>
      </c>
      <c r="K4824" s="648">
        <v>5</v>
      </c>
      <c r="L4824" s="552">
        <f t="shared" si="966"/>
        <v>1.2336999999999998</v>
      </c>
      <c r="M4824" s="549"/>
      <c r="N4824" s="549"/>
      <c r="O4824" s="549"/>
      <c r="P4824" s="549"/>
      <c r="Q4824" s="1059"/>
      <c r="R4824" s="1059"/>
    </row>
    <row r="4825" spans="1:18" ht="17.399999999999999">
      <c r="A4825" s="549"/>
      <c r="B4825" s="549"/>
      <c r="C4825" s="549"/>
      <c r="D4825" s="549"/>
      <c r="E4825" s="549"/>
      <c r="F4825" s="549"/>
      <c r="G4825" s="549" t="s">
        <v>21</v>
      </c>
      <c r="H4825" s="549" t="s">
        <v>179</v>
      </c>
      <c r="I4825" s="558">
        <v>33.799999999999997</v>
      </c>
      <c r="J4825" s="567">
        <v>8.9</v>
      </c>
      <c r="K4825" s="648">
        <v>16</v>
      </c>
      <c r="L4825" s="552">
        <f t="shared" si="966"/>
        <v>4.8131199999999996</v>
      </c>
      <c r="M4825" s="549"/>
      <c r="N4825" s="549"/>
      <c r="O4825" s="549"/>
      <c r="P4825" s="549"/>
      <c r="Q4825" s="1059"/>
      <c r="R4825" s="1059"/>
    </row>
    <row r="4826" spans="1:18" ht="17.399999999999999">
      <c r="A4826" s="549"/>
      <c r="B4826" s="549"/>
      <c r="C4826" s="549"/>
      <c r="D4826" s="549"/>
      <c r="E4826" s="549"/>
      <c r="F4826" s="549"/>
      <c r="G4826" s="549" t="s">
        <v>21</v>
      </c>
      <c r="H4826" s="549" t="s">
        <v>179</v>
      </c>
      <c r="I4826" s="558">
        <v>33.799999999999997</v>
      </c>
      <c r="J4826" s="567">
        <v>9.1999999999999993</v>
      </c>
      <c r="K4826" s="648">
        <v>4</v>
      </c>
      <c r="L4826" s="552">
        <f t="shared" si="966"/>
        <v>1.2438399999999996</v>
      </c>
      <c r="M4826" s="549"/>
      <c r="N4826" s="549"/>
      <c r="O4826" s="549"/>
      <c r="P4826" s="549"/>
      <c r="Q4826" s="1059"/>
      <c r="R4826" s="1059"/>
    </row>
    <row r="4827" spans="1:18" ht="17.399999999999999">
      <c r="A4827" s="549"/>
      <c r="B4827" s="549"/>
      <c r="C4827" s="549"/>
      <c r="D4827" s="549"/>
      <c r="E4827" s="549"/>
      <c r="F4827" s="549"/>
      <c r="G4827" s="549" t="s">
        <v>21</v>
      </c>
      <c r="H4827" s="549" t="s">
        <v>179</v>
      </c>
      <c r="I4827" s="558">
        <v>33.799999999999997</v>
      </c>
      <c r="J4827" s="567">
        <v>9.6</v>
      </c>
      <c r="K4827" s="648">
        <v>16</v>
      </c>
      <c r="L4827" s="552">
        <f t="shared" si="966"/>
        <v>5.191679999999999</v>
      </c>
      <c r="M4827" s="549"/>
      <c r="N4827" s="549"/>
      <c r="O4827" s="549"/>
      <c r="P4827" s="549"/>
      <c r="Q4827" s="1059"/>
      <c r="R4827" s="1059"/>
    </row>
    <row r="4828" spans="1:18" ht="17.399999999999999">
      <c r="A4828" s="549"/>
      <c r="B4828" s="549"/>
      <c r="C4828" s="549"/>
      <c r="D4828" s="549"/>
      <c r="E4828" s="549"/>
      <c r="F4828" s="549"/>
      <c r="G4828" s="549" t="s">
        <v>21</v>
      </c>
      <c r="H4828" s="549" t="s">
        <v>179</v>
      </c>
      <c r="I4828" s="558">
        <v>33.799999999999997</v>
      </c>
      <c r="J4828" s="567">
        <v>11.5</v>
      </c>
      <c r="K4828" s="648">
        <v>4</v>
      </c>
      <c r="L4828" s="552">
        <f t="shared" si="966"/>
        <v>1.5548</v>
      </c>
      <c r="M4828" s="549"/>
      <c r="N4828" s="549"/>
      <c r="O4828" s="549"/>
      <c r="P4828" s="549"/>
      <c r="Q4828" s="1059"/>
      <c r="R4828" s="1059"/>
    </row>
    <row r="4829" spans="1:18" ht="17.399999999999999">
      <c r="A4829" s="549"/>
      <c r="B4829" s="549"/>
      <c r="C4829" s="549"/>
      <c r="D4829" s="549"/>
      <c r="E4829" s="549"/>
      <c r="F4829" s="549"/>
      <c r="G4829" s="549" t="s">
        <v>21</v>
      </c>
      <c r="H4829" s="549" t="s">
        <v>179</v>
      </c>
      <c r="I4829" s="558">
        <v>33.799999999999997</v>
      </c>
      <c r="J4829" s="567">
        <v>12</v>
      </c>
      <c r="K4829" s="648">
        <v>12</v>
      </c>
      <c r="L4829" s="552">
        <f t="shared" si="966"/>
        <v>4.8671999999999995</v>
      </c>
      <c r="M4829" s="549"/>
      <c r="N4829" s="549"/>
      <c r="O4829" s="549"/>
      <c r="P4829" s="549"/>
      <c r="Q4829" s="1059"/>
      <c r="R4829" s="1059"/>
    </row>
    <row r="4830" spans="1:18" ht="17.399999999999999">
      <c r="A4830" s="549"/>
      <c r="B4830" s="549"/>
      <c r="C4830" s="549"/>
      <c r="D4830" s="549"/>
      <c r="E4830" s="549"/>
      <c r="F4830" s="549"/>
      <c r="G4830" s="650"/>
      <c r="H4830" s="549"/>
      <c r="I4830" s="558"/>
      <c r="J4830" s="567"/>
      <c r="K4830" s="648">
        <f t="shared" ref="K4830:L4830" si="967">SUM(K4823:K4829)</f>
        <v>73</v>
      </c>
      <c r="L4830" s="567">
        <f t="shared" si="967"/>
        <v>22.257299999999997</v>
      </c>
      <c r="M4830" s="549"/>
      <c r="N4830" s="549"/>
      <c r="O4830" s="549"/>
      <c r="P4830" s="549"/>
      <c r="Q4830" s="1059"/>
      <c r="R4830" s="1059"/>
    </row>
    <row r="4831" spans="1:18" ht="17.399999999999999">
      <c r="A4831" s="547" t="s">
        <v>481</v>
      </c>
      <c r="B4831" s="547" t="s">
        <v>520</v>
      </c>
      <c r="C4831" s="547" t="s">
        <v>19</v>
      </c>
      <c r="D4831" s="547" t="s">
        <v>20</v>
      </c>
      <c r="E4831" s="547" t="s">
        <v>175</v>
      </c>
      <c r="F4831" s="549"/>
      <c r="G4831" s="549" t="s">
        <v>21</v>
      </c>
      <c r="H4831" s="549" t="s">
        <v>180</v>
      </c>
      <c r="I4831" s="558">
        <v>35.9</v>
      </c>
      <c r="J4831" s="567">
        <v>6.6</v>
      </c>
      <c r="K4831" s="648">
        <v>14</v>
      </c>
      <c r="L4831" s="552">
        <f>(I4831*J4831*K4831/1000)</f>
        <v>3.3171599999999994</v>
      </c>
      <c r="M4831" s="549"/>
      <c r="N4831" s="549"/>
      <c r="O4831" s="549"/>
      <c r="P4831" s="549"/>
      <c r="Q4831" s="1059"/>
      <c r="R4831" s="1059"/>
    </row>
    <row r="4832" spans="1:18" ht="17.399999999999999">
      <c r="A4832" s="547"/>
      <c r="B4832" s="560" t="s">
        <v>443</v>
      </c>
      <c r="C4832" s="547"/>
      <c r="D4832" s="547"/>
      <c r="E4832" s="547"/>
      <c r="F4832" s="549"/>
      <c r="G4832" s="650"/>
      <c r="H4832" s="549"/>
      <c r="I4832" s="558"/>
      <c r="J4832" s="567"/>
      <c r="K4832" s="648">
        <f t="shared" ref="K4832:L4832" si="968">SUM(K4831)</f>
        <v>14</v>
      </c>
      <c r="L4832" s="567">
        <f t="shared" si="968"/>
        <v>3.3171599999999994</v>
      </c>
      <c r="M4832" s="549"/>
      <c r="N4832" s="549"/>
      <c r="O4832" s="549"/>
      <c r="P4832" s="549"/>
      <c r="Q4832" s="1059"/>
      <c r="R4832" s="1059"/>
    </row>
    <row r="4833" spans="1:18" ht="17.399999999999999">
      <c r="A4833" s="547" t="s">
        <v>481</v>
      </c>
      <c r="B4833" s="547" t="s">
        <v>520</v>
      </c>
      <c r="C4833" s="547" t="s">
        <v>19</v>
      </c>
      <c r="D4833" s="547" t="s">
        <v>20</v>
      </c>
      <c r="E4833" s="547" t="s">
        <v>175</v>
      </c>
      <c r="F4833" s="549"/>
      <c r="G4833" s="549" t="s">
        <v>21</v>
      </c>
      <c r="H4833" s="549" t="s">
        <v>69</v>
      </c>
      <c r="I4833" s="558">
        <v>6.85</v>
      </c>
      <c r="J4833" s="567">
        <v>9.1999999999999993</v>
      </c>
      <c r="K4833" s="648">
        <v>26</v>
      </c>
      <c r="L4833" s="552">
        <f>(I4833*J4833*K4833/1000)</f>
        <v>1.6385199999999998</v>
      </c>
      <c r="M4833" s="549"/>
      <c r="N4833" s="549"/>
      <c r="O4833" s="549"/>
      <c r="P4833" s="549"/>
      <c r="Q4833" s="1059"/>
      <c r="R4833" s="1059"/>
    </row>
    <row r="4834" spans="1:18" ht="17.399999999999999">
      <c r="A4834" s="547"/>
      <c r="B4834" s="560" t="s">
        <v>443</v>
      </c>
      <c r="C4834" s="547"/>
      <c r="D4834" s="547"/>
      <c r="E4834" s="547"/>
      <c r="F4834" s="549"/>
      <c r="G4834" s="549" t="s">
        <v>21</v>
      </c>
      <c r="H4834" s="549" t="s">
        <v>69</v>
      </c>
      <c r="I4834" s="558">
        <v>6.85</v>
      </c>
      <c r="J4834" s="567">
        <v>12</v>
      </c>
      <c r="K4834" s="648">
        <v>42</v>
      </c>
      <c r="L4834" s="552">
        <f>(I4834*J4834*K4834/1000)</f>
        <v>3.4523999999999995</v>
      </c>
      <c r="M4834" s="549"/>
      <c r="N4834" s="549"/>
      <c r="O4834" s="549"/>
      <c r="P4834" s="549"/>
      <c r="Q4834" s="1059"/>
      <c r="R4834" s="1059"/>
    </row>
    <row r="4835" spans="1:18" ht="17.399999999999999">
      <c r="A4835" s="549"/>
      <c r="B4835" s="549"/>
      <c r="C4835" s="549"/>
      <c r="D4835" s="549"/>
      <c r="E4835" s="549"/>
      <c r="F4835" s="549"/>
      <c r="G4835" s="650"/>
      <c r="H4835" s="549"/>
      <c r="I4835" s="558"/>
      <c r="J4835" s="567"/>
      <c r="K4835" s="648">
        <f t="shared" ref="K4835:L4835" si="969">SUM(K4833:K4834)</f>
        <v>68</v>
      </c>
      <c r="L4835" s="567">
        <f t="shared" si="969"/>
        <v>5.0909199999999988</v>
      </c>
      <c r="M4835" s="549"/>
      <c r="N4835" s="549"/>
      <c r="O4835" s="549"/>
      <c r="P4835" s="549"/>
      <c r="Q4835" s="1059"/>
      <c r="R4835" s="1059"/>
    </row>
    <row r="4836" spans="1:18" ht="17.399999999999999">
      <c r="A4836" s="547" t="s">
        <v>481</v>
      </c>
      <c r="B4836" s="547" t="s">
        <v>520</v>
      </c>
      <c r="C4836" s="547" t="s">
        <v>19</v>
      </c>
      <c r="D4836" s="547" t="s">
        <v>20</v>
      </c>
      <c r="E4836" s="547" t="s">
        <v>175</v>
      </c>
      <c r="F4836" s="549"/>
      <c r="G4836" s="549" t="s">
        <v>21</v>
      </c>
      <c r="H4836" s="549" t="s">
        <v>131</v>
      </c>
      <c r="I4836" s="558">
        <v>7.34</v>
      </c>
      <c r="J4836" s="567">
        <v>9.1</v>
      </c>
      <c r="K4836" s="648">
        <v>105</v>
      </c>
      <c r="L4836" s="552">
        <f>(I4836*J4836*K4836/1000)</f>
        <v>7.0133700000000001</v>
      </c>
      <c r="M4836" s="549"/>
      <c r="N4836" s="549"/>
      <c r="O4836" s="549"/>
      <c r="P4836" s="549"/>
      <c r="Q4836" s="1059"/>
      <c r="R4836" s="1059"/>
    </row>
    <row r="4837" spans="1:18" ht="17.399999999999999">
      <c r="A4837" s="547"/>
      <c r="B4837" s="560" t="s">
        <v>443</v>
      </c>
      <c r="C4837" s="547"/>
      <c r="D4837" s="547"/>
      <c r="E4837" s="547"/>
      <c r="F4837" s="549"/>
      <c r="G4837" s="549" t="s">
        <v>21</v>
      </c>
      <c r="H4837" s="549" t="s">
        <v>131</v>
      </c>
      <c r="I4837" s="558">
        <v>7.34</v>
      </c>
      <c r="J4837" s="567">
        <v>12</v>
      </c>
      <c r="K4837" s="648">
        <v>118</v>
      </c>
      <c r="L4837" s="552">
        <f>(I4837*J4837*K4837/1000)</f>
        <v>10.39344</v>
      </c>
      <c r="M4837" s="549"/>
      <c r="N4837" s="549"/>
      <c r="O4837" s="549"/>
      <c r="P4837" s="549"/>
      <c r="Q4837" s="1059"/>
      <c r="R4837" s="1059"/>
    </row>
    <row r="4838" spans="1:18" ht="17.399999999999999">
      <c r="A4838" s="549"/>
      <c r="B4838" s="549"/>
      <c r="C4838" s="549"/>
      <c r="D4838" s="549"/>
      <c r="E4838" s="549"/>
      <c r="F4838" s="549"/>
      <c r="G4838" s="650"/>
      <c r="H4838" s="549"/>
      <c r="I4838" s="558"/>
      <c r="J4838" s="567"/>
      <c r="K4838" s="648">
        <f t="shared" ref="K4838:L4838" si="970">SUM(K4836:K4837)</f>
        <v>223</v>
      </c>
      <c r="L4838" s="567">
        <f t="shared" si="970"/>
        <v>17.40681</v>
      </c>
      <c r="M4838" s="549"/>
      <c r="N4838" s="549"/>
      <c r="O4838" s="549"/>
      <c r="P4838" s="549"/>
      <c r="Q4838" s="1059"/>
      <c r="R4838" s="1059"/>
    </row>
    <row r="4839" spans="1:18" ht="17.399999999999999">
      <c r="A4839" s="547" t="s">
        <v>481</v>
      </c>
      <c r="B4839" s="547" t="s">
        <v>520</v>
      </c>
      <c r="C4839" s="547" t="s">
        <v>19</v>
      </c>
      <c r="D4839" s="547" t="s">
        <v>20</v>
      </c>
      <c r="E4839" s="547" t="s">
        <v>175</v>
      </c>
      <c r="F4839" s="549"/>
      <c r="G4839" s="549" t="s">
        <v>21</v>
      </c>
      <c r="H4839" s="549" t="s">
        <v>521</v>
      </c>
      <c r="I4839" s="558">
        <v>8.49</v>
      </c>
      <c r="J4839" s="567">
        <v>6.5</v>
      </c>
      <c r="K4839" s="648">
        <v>24</v>
      </c>
      <c r="L4839" s="552">
        <f>(I4839*J4839*K4839/1000)</f>
        <v>1.3244400000000001</v>
      </c>
      <c r="M4839" s="549"/>
      <c r="N4839" s="549"/>
      <c r="O4839" s="549"/>
      <c r="P4839" s="549"/>
      <c r="Q4839" s="1059"/>
      <c r="R4839" s="1059"/>
    </row>
    <row r="4840" spans="1:18" ht="17.399999999999999">
      <c r="A4840" s="547"/>
      <c r="B4840" s="560" t="s">
        <v>443</v>
      </c>
      <c r="C4840" s="547"/>
      <c r="D4840" s="547"/>
      <c r="E4840" s="547"/>
      <c r="F4840" s="549"/>
      <c r="G4840" s="549" t="s">
        <v>21</v>
      </c>
      <c r="H4840" s="549" t="s">
        <v>521</v>
      </c>
      <c r="I4840" s="558">
        <v>8.49</v>
      </c>
      <c r="J4840" s="567">
        <v>10.5</v>
      </c>
      <c r="K4840" s="648">
        <v>99</v>
      </c>
      <c r="L4840" s="552">
        <f>(I4840*J4840*K4840/1000)</f>
        <v>8.8253550000000001</v>
      </c>
      <c r="M4840" s="549"/>
      <c r="N4840" s="549"/>
      <c r="O4840" s="549"/>
      <c r="P4840" s="549"/>
      <c r="Q4840" s="1059"/>
      <c r="R4840" s="1059"/>
    </row>
    <row r="4841" spans="1:18" ht="17.399999999999999">
      <c r="A4841" s="549"/>
      <c r="B4841" s="549"/>
      <c r="C4841" s="549"/>
      <c r="D4841" s="549"/>
      <c r="E4841" s="549"/>
      <c r="F4841" s="549"/>
      <c r="G4841" s="549" t="s">
        <v>21</v>
      </c>
      <c r="H4841" s="549" t="s">
        <v>521</v>
      </c>
      <c r="I4841" s="558">
        <v>8.49</v>
      </c>
      <c r="J4841" s="567">
        <v>11.5</v>
      </c>
      <c r="K4841" s="648">
        <v>38</v>
      </c>
      <c r="L4841" s="552">
        <f>(I4841*J4841*K4841/1000)</f>
        <v>3.7101299999999999</v>
      </c>
      <c r="M4841" s="549"/>
      <c r="N4841" s="549"/>
      <c r="O4841" s="549"/>
      <c r="P4841" s="549"/>
      <c r="Q4841" s="1059"/>
      <c r="R4841" s="1059"/>
    </row>
    <row r="4842" spans="1:18" ht="17.399999999999999">
      <c r="A4842" s="549"/>
      <c r="B4842" s="549"/>
      <c r="C4842" s="549"/>
      <c r="D4842" s="549"/>
      <c r="E4842" s="549"/>
      <c r="F4842" s="549"/>
      <c r="G4842" s="650"/>
      <c r="H4842" s="549"/>
      <c r="I4842" s="558"/>
      <c r="J4842" s="567"/>
      <c r="K4842" s="648">
        <f t="shared" ref="K4842:L4842" si="971">SUM(K4839:K4841)</f>
        <v>161</v>
      </c>
      <c r="L4842" s="567">
        <f t="shared" si="971"/>
        <v>13.859925</v>
      </c>
      <c r="M4842" s="549"/>
      <c r="N4842" s="549"/>
      <c r="O4842" s="549"/>
      <c r="P4842" s="549"/>
      <c r="Q4842" s="1059"/>
      <c r="R4842" s="1059"/>
    </row>
    <row r="4843" spans="1:18" ht="17.399999999999999">
      <c r="A4843" s="547" t="s">
        <v>481</v>
      </c>
      <c r="B4843" s="547" t="s">
        <v>520</v>
      </c>
      <c r="C4843" s="547" t="s">
        <v>19</v>
      </c>
      <c r="D4843" s="547" t="s">
        <v>20</v>
      </c>
      <c r="E4843" s="547" t="s">
        <v>175</v>
      </c>
      <c r="F4843" s="549"/>
      <c r="G4843" s="549" t="s">
        <v>21</v>
      </c>
      <c r="H4843" s="549" t="s">
        <v>322</v>
      </c>
      <c r="I4843" s="558">
        <v>9.6300000000000008</v>
      </c>
      <c r="J4843" s="567">
        <v>10</v>
      </c>
      <c r="K4843" s="648">
        <v>32</v>
      </c>
      <c r="L4843" s="552">
        <f>(I4843*J4843*K4843/1000)</f>
        <v>3.0816000000000003</v>
      </c>
      <c r="M4843" s="549"/>
      <c r="N4843" s="549"/>
      <c r="O4843" s="549"/>
      <c r="P4843" s="549"/>
      <c r="Q4843" s="1059"/>
      <c r="R4843" s="1059"/>
    </row>
    <row r="4844" spans="1:18" ht="17.399999999999999">
      <c r="A4844" s="547"/>
      <c r="B4844" s="560" t="s">
        <v>443</v>
      </c>
      <c r="C4844" s="547"/>
      <c r="D4844" s="547"/>
      <c r="E4844" s="547"/>
      <c r="F4844" s="549"/>
      <c r="G4844" s="650"/>
      <c r="H4844" s="549"/>
      <c r="I4844" s="558"/>
      <c r="J4844" s="567"/>
      <c r="K4844" s="648">
        <f t="shared" ref="K4844:L4844" si="972">SUM(K4843)</f>
        <v>32</v>
      </c>
      <c r="L4844" s="567">
        <f t="shared" si="972"/>
        <v>3.0816000000000003</v>
      </c>
      <c r="M4844" s="549"/>
      <c r="N4844" s="549"/>
      <c r="O4844" s="549"/>
      <c r="P4844" s="549"/>
      <c r="Q4844" s="1059"/>
      <c r="R4844" s="1059"/>
    </row>
    <row r="4845" spans="1:18" ht="17.399999999999999">
      <c r="A4845" s="549"/>
      <c r="B4845" s="549"/>
      <c r="C4845" s="549"/>
      <c r="D4845" s="549"/>
      <c r="E4845" s="549"/>
      <c r="F4845" s="549"/>
      <c r="G4845" s="549"/>
      <c r="H4845" s="549"/>
      <c r="I4845" s="560"/>
      <c r="J4845" s="549"/>
      <c r="K4845" s="561"/>
      <c r="L4845" s="560"/>
      <c r="M4845" s="549"/>
      <c r="N4845" s="549"/>
      <c r="O4845" s="549"/>
      <c r="P4845" s="549"/>
      <c r="Q4845" s="1059"/>
      <c r="R4845" s="1059"/>
    </row>
    <row r="4846" spans="1:18" ht="17.399999999999999">
      <c r="A4846" s="547" t="s">
        <v>481</v>
      </c>
      <c r="B4846" s="547" t="s">
        <v>520</v>
      </c>
      <c r="C4846" s="547" t="s">
        <v>19</v>
      </c>
      <c r="D4846" s="547" t="s">
        <v>60</v>
      </c>
      <c r="E4846" s="547" t="s">
        <v>247</v>
      </c>
      <c r="F4846" s="549"/>
      <c r="G4846" s="549" t="s">
        <v>61</v>
      </c>
      <c r="H4846" s="549" t="s">
        <v>122</v>
      </c>
      <c r="I4846" s="558">
        <v>14.7</v>
      </c>
      <c r="J4846" s="567">
        <v>6</v>
      </c>
      <c r="K4846" s="648">
        <v>5</v>
      </c>
      <c r="L4846" s="552">
        <f>(I4846*J4846*K4846/1000)</f>
        <v>0.44099999999999995</v>
      </c>
      <c r="M4846" s="549"/>
      <c r="N4846" s="549"/>
      <c r="O4846" s="549"/>
      <c r="P4846" s="549"/>
      <c r="Q4846" s="1059"/>
      <c r="R4846" s="1059"/>
    </row>
    <row r="4847" spans="1:18" ht="17.399999999999999">
      <c r="A4847" s="547"/>
      <c r="B4847" s="560" t="s">
        <v>443</v>
      </c>
      <c r="C4847" s="547"/>
      <c r="D4847" s="547"/>
      <c r="E4847" s="547"/>
      <c r="F4847" s="549"/>
      <c r="G4847" s="650"/>
      <c r="H4847" s="549"/>
      <c r="I4847" s="558"/>
      <c r="J4847" s="567"/>
      <c r="K4847" s="648">
        <f t="shared" ref="K4847:L4847" si="973">SUM(K4846)</f>
        <v>5</v>
      </c>
      <c r="L4847" s="567">
        <f t="shared" si="973"/>
        <v>0.44099999999999995</v>
      </c>
      <c r="M4847" s="549"/>
      <c r="N4847" s="549"/>
      <c r="O4847" s="549"/>
      <c r="P4847" s="549"/>
      <c r="Q4847" s="1059"/>
      <c r="R4847" s="1059"/>
    </row>
    <row r="4848" spans="1:18" ht="17.399999999999999">
      <c r="A4848" s="547" t="s">
        <v>481</v>
      </c>
      <c r="B4848" s="547" t="s">
        <v>520</v>
      </c>
      <c r="C4848" s="547" t="s">
        <v>19</v>
      </c>
      <c r="D4848" s="547" t="s">
        <v>60</v>
      </c>
      <c r="E4848" s="547" t="s">
        <v>247</v>
      </c>
      <c r="F4848" s="549"/>
      <c r="G4848" s="549" t="s">
        <v>61</v>
      </c>
      <c r="H4848" s="549" t="s">
        <v>69</v>
      </c>
      <c r="I4848" s="558">
        <v>6.85</v>
      </c>
      <c r="J4848" s="567">
        <v>11.4</v>
      </c>
      <c r="K4848" s="648">
        <v>65</v>
      </c>
      <c r="L4848" s="552">
        <f>(I4848*J4848*K4848/1000)</f>
        <v>5.07585</v>
      </c>
      <c r="M4848" s="549"/>
      <c r="N4848" s="549"/>
      <c r="O4848" s="549"/>
      <c r="P4848" s="549"/>
      <c r="Q4848" s="1059"/>
      <c r="R4848" s="1059"/>
    </row>
    <row r="4849" spans="1:18" ht="17.399999999999999">
      <c r="A4849" s="547"/>
      <c r="B4849" s="560" t="s">
        <v>443</v>
      </c>
      <c r="C4849" s="547"/>
      <c r="D4849" s="547"/>
      <c r="E4849" s="547"/>
      <c r="F4849" s="549"/>
      <c r="G4849" s="650"/>
      <c r="H4849" s="549"/>
      <c r="I4849" s="558"/>
      <c r="J4849" s="567"/>
      <c r="K4849" s="648">
        <f t="shared" ref="K4849:L4849" si="974">SUM(K4848)</f>
        <v>65</v>
      </c>
      <c r="L4849" s="567">
        <f t="shared" si="974"/>
        <v>5.07585</v>
      </c>
      <c r="M4849" s="549"/>
      <c r="N4849" s="549"/>
      <c r="O4849" s="549"/>
      <c r="P4849" s="549"/>
      <c r="Q4849" s="1059"/>
      <c r="R4849" s="1059"/>
    </row>
    <row r="4850" spans="1:18" ht="17.399999999999999">
      <c r="A4850" s="549"/>
      <c r="B4850" s="549"/>
      <c r="C4850" s="549"/>
      <c r="D4850" s="549"/>
      <c r="E4850" s="549"/>
      <c r="F4850" s="549"/>
      <c r="G4850" s="549"/>
      <c r="H4850" s="549"/>
      <c r="I4850" s="560"/>
      <c r="J4850" s="549"/>
      <c r="K4850" s="561"/>
      <c r="L4850" s="560"/>
      <c r="M4850" s="549"/>
      <c r="N4850" s="549"/>
      <c r="O4850" s="549"/>
      <c r="P4850" s="549"/>
      <c r="Q4850" s="1059"/>
      <c r="R4850" s="1059"/>
    </row>
    <row r="4851" spans="1:18" ht="17.399999999999999">
      <c r="A4851" s="549"/>
      <c r="B4851" s="549"/>
      <c r="C4851" s="549"/>
      <c r="D4851" s="549"/>
      <c r="E4851" s="549"/>
      <c r="F4851" s="549"/>
      <c r="G4851" s="549"/>
      <c r="H4851" s="549"/>
      <c r="I4851" s="560"/>
      <c r="J4851" s="549"/>
      <c r="K4851" s="561"/>
      <c r="L4851" s="560"/>
      <c r="M4851" s="549"/>
      <c r="N4851" s="549"/>
      <c r="O4851" s="549"/>
      <c r="P4851" s="549"/>
      <c r="Q4851" s="1059"/>
      <c r="R4851" s="1059"/>
    </row>
    <row r="4852" spans="1:18" ht="17.399999999999999">
      <c r="A4852" s="547" t="s">
        <v>523</v>
      </c>
      <c r="B4852" s="547" t="s">
        <v>522</v>
      </c>
      <c r="C4852" s="547" t="s">
        <v>19</v>
      </c>
      <c r="D4852" s="547" t="s">
        <v>60</v>
      </c>
      <c r="E4852" s="547" t="s">
        <v>270</v>
      </c>
      <c r="F4852" s="549"/>
      <c r="G4852" s="549" t="s">
        <v>61</v>
      </c>
      <c r="H4852" s="549" t="s">
        <v>274</v>
      </c>
      <c r="I4852" s="558">
        <v>9</v>
      </c>
      <c r="J4852" s="567">
        <v>11.5</v>
      </c>
      <c r="K4852" s="648">
        <v>63</v>
      </c>
      <c r="L4852" s="552">
        <f>(I4852*J4852*K4852/1000)</f>
        <v>6.5205000000000002</v>
      </c>
      <c r="M4852" s="549"/>
      <c r="N4852" s="549"/>
      <c r="O4852" s="549"/>
      <c r="P4852" s="549"/>
      <c r="Q4852" s="1059"/>
      <c r="R4852" s="1059"/>
    </row>
    <row r="4853" spans="1:18" ht="17.399999999999999">
      <c r="A4853" s="550"/>
      <c r="B4853" s="549" t="s">
        <v>271</v>
      </c>
      <c r="C4853" s="550"/>
      <c r="D4853" s="550"/>
      <c r="E4853" s="548"/>
      <c r="F4853" s="549"/>
      <c r="G4853" s="549"/>
      <c r="H4853" s="549"/>
      <c r="I4853" s="558"/>
      <c r="J4853" s="567"/>
      <c r="K4853" s="648">
        <f>SUM(K4852:K4852)</f>
        <v>63</v>
      </c>
      <c r="L4853" s="567">
        <f>SUM(L4852:L4852)</f>
        <v>6.5205000000000002</v>
      </c>
      <c r="M4853" s="549"/>
      <c r="N4853" s="549"/>
      <c r="O4853" s="549"/>
      <c r="P4853" s="549"/>
      <c r="Q4853" s="1059"/>
      <c r="R4853" s="1059"/>
    </row>
    <row r="4854" spans="1:18" ht="17.399999999999999">
      <c r="A4854" s="549"/>
      <c r="B4854" s="549"/>
      <c r="C4854" s="549"/>
      <c r="D4854" s="549"/>
      <c r="E4854" s="549"/>
      <c r="F4854" s="549"/>
      <c r="G4854" s="549"/>
      <c r="H4854" s="549"/>
      <c r="I4854" s="560"/>
      <c r="J4854" s="549"/>
      <c r="K4854" s="561"/>
      <c r="L4854" s="560"/>
      <c r="M4854" s="549"/>
      <c r="N4854" s="549"/>
      <c r="O4854" s="549"/>
      <c r="P4854" s="549"/>
      <c r="Q4854" s="1059"/>
      <c r="R4854" s="1059"/>
    </row>
    <row r="4855" spans="1:18" ht="17.399999999999999">
      <c r="A4855" s="547" t="s">
        <v>523</v>
      </c>
      <c r="B4855" s="547" t="s">
        <v>496</v>
      </c>
      <c r="C4855" s="547" t="s">
        <v>19</v>
      </c>
      <c r="D4855" s="547" t="s">
        <v>20</v>
      </c>
      <c r="E4855" s="547" t="s">
        <v>359</v>
      </c>
      <c r="F4855" s="549"/>
      <c r="G4855" s="549" t="s">
        <v>21</v>
      </c>
      <c r="H4855" s="549" t="s">
        <v>177</v>
      </c>
      <c r="I4855" s="558">
        <v>27.3</v>
      </c>
      <c r="J4855" s="567">
        <v>8.8000000000000007</v>
      </c>
      <c r="K4855" s="648">
        <v>36</v>
      </c>
      <c r="L4855" s="552">
        <f>(I4855*J4855*K4855/1000)</f>
        <v>8.6486400000000021</v>
      </c>
      <c r="M4855" s="549"/>
      <c r="N4855" s="549"/>
      <c r="O4855" s="549"/>
      <c r="P4855" s="549"/>
      <c r="Q4855" s="1059"/>
      <c r="R4855" s="1059"/>
    </row>
    <row r="4856" spans="1:18" ht="17.399999999999999">
      <c r="A4856" s="550"/>
      <c r="B4856" s="549" t="s">
        <v>277</v>
      </c>
      <c r="C4856" s="550"/>
      <c r="D4856" s="550"/>
      <c r="E4856" s="548"/>
      <c r="F4856" s="549"/>
      <c r="G4856" s="549" t="s">
        <v>21</v>
      </c>
      <c r="H4856" s="549" t="s">
        <v>177</v>
      </c>
      <c r="I4856" s="558">
        <v>27.3</v>
      </c>
      <c r="J4856" s="567">
        <v>9.25</v>
      </c>
      <c r="K4856" s="648">
        <v>10</v>
      </c>
      <c r="L4856" s="552">
        <f>(I4856*J4856*K4856/1000)</f>
        <v>2.5252500000000002</v>
      </c>
      <c r="M4856" s="549"/>
      <c r="N4856" s="549"/>
      <c r="O4856" s="549"/>
      <c r="P4856" s="549"/>
      <c r="Q4856" s="1059"/>
      <c r="R4856" s="1059"/>
    </row>
    <row r="4857" spans="1:18" ht="17.399999999999999">
      <c r="A4857" s="549"/>
      <c r="B4857" s="549"/>
      <c r="C4857" s="549"/>
      <c r="D4857" s="549"/>
      <c r="E4857" s="549"/>
      <c r="F4857" s="549"/>
      <c r="G4857" s="549"/>
      <c r="H4857" s="549"/>
      <c r="I4857" s="558"/>
      <c r="J4857" s="567"/>
      <c r="K4857" s="648">
        <f t="shared" ref="K4857:L4857" si="975">SUM(K4855:K4856)</f>
        <v>46</v>
      </c>
      <c r="L4857" s="567">
        <f t="shared" si="975"/>
        <v>11.173890000000002</v>
      </c>
      <c r="M4857" s="549"/>
      <c r="N4857" s="549"/>
      <c r="O4857" s="549"/>
      <c r="P4857" s="549"/>
      <c r="Q4857" s="1059"/>
      <c r="R4857" s="1059"/>
    </row>
    <row r="4858" spans="1:18" ht="17.399999999999999">
      <c r="A4858" s="547" t="s">
        <v>523</v>
      </c>
      <c r="B4858" s="547" t="s">
        <v>496</v>
      </c>
      <c r="C4858" s="547" t="s">
        <v>19</v>
      </c>
      <c r="D4858" s="547" t="s">
        <v>20</v>
      </c>
      <c r="E4858" s="547" t="s">
        <v>359</v>
      </c>
      <c r="F4858" s="549"/>
      <c r="G4858" s="549" t="s">
        <v>21</v>
      </c>
      <c r="H4858" s="549" t="s">
        <v>518</v>
      </c>
      <c r="I4858" s="558">
        <v>29.5</v>
      </c>
      <c r="J4858" s="567">
        <v>9.75</v>
      </c>
      <c r="K4858" s="648">
        <v>49</v>
      </c>
      <c r="L4858" s="552">
        <f>(I4858*J4858*K4858/1000)</f>
        <v>14.093624999999999</v>
      </c>
      <c r="M4858" s="549"/>
      <c r="N4858" s="549"/>
      <c r="O4858" s="549"/>
      <c r="P4858" s="549"/>
      <c r="Q4858" s="1059"/>
      <c r="R4858" s="1059"/>
    </row>
    <row r="4859" spans="1:18" ht="17.399999999999999">
      <c r="A4859" s="550"/>
      <c r="B4859" s="549" t="s">
        <v>277</v>
      </c>
      <c r="C4859" s="550"/>
      <c r="D4859" s="550"/>
      <c r="E4859" s="548"/>
      <c r="F4859" s="549"/>
      <c r="G4859" s="549" t="s">
        <v>21</v>
      </c>
      <c r="H4859" s="549" t="s">
        <v>518</v>
      </c>
      <c r="I4859" s="558">
        <v>29.5</v>
      </c>
      <c r="J4859" s="567">
        <v>11</v>
      </c>
      <c r="K4859" s="648">
        <v>39</v>
      </c>
      <c r="L4859" s="552">
        <f>(I4859*J4859*K4859/1000)</f>
        <v>12.6555</v>
      </c>
      <c r="M4859" s="549"/>
      <c r="N4859" s="549"/>
      <c r="O4859" s="549"/>
      <c r="P4859" s="549"/>
      <c r="Q4859" s="1059"/>
      <c r="R4859" s="1059"/>
    </row>
    <row r="4860" spans="1:18" ht="17.399999999999999">
      <c r="A4860" s="549"/>
      <c r="B4860" s="549"/>
      <c r="C4860" s="549"/>
      <c r="D4860" s="549"/>
      <c r="E4860" s="549"/>
      <c r="F4860" s="549"/>
      <c r="G4860" s="549" t="s">
        <v>21</v>
      </c>
      <c r="H4860" s="549" t="s">
        <v>518</v>
      </c>
      <c r="I4860" s="558">
        <v>29.5</v>
      </c>
      <c r="J4860" s="567">
        <v>12</v>
      </c>
      <c r="K4860" s="648">
        <v>10</v>
      </c>
      <c r="L4860" s="552">
        <f>(I4860*J4860*K4860/1000)</f>
        <v>3.54</v>
      </c>
      <c r="M4860" s="549"/>
      <c r="N4860" s="549"/>
      <c r="O4860" s="549"/>
      <c r="P4860" s="549"/>
      <c r="Q4860" s="1059"/>
      <c r="R4860" s="1059"/>
    </row>
    <row r="4861" spans="1:18" ht="17.399999999999999">
      <c r="A4861" s="549"/>
      <c r="B4861" s="549"/>
      <c r="C4861" s="549"/>
      <c r="D4861" s="549"/>
      <c r="E4861" s="549"/>
      <c r="F4861" s="549"/>
      <c r="G4861" s="549"/>
      <c r="H4861" s="549"/>
      <c r="I4861" s="558"/>
      <c r="J4861" s="567"/>
      <c r="K4861" s="648">
        <f t="shared" ref="K4861:L4861" si="976">SUM(K4858:K4860)</f>
        <v>98</v>
      </c>
      <c r="L4861" s="567">
        <f t="shared" si="976"/>
        <v>30.289124999999999</v>
      </c>
      <c r="M4861" s="549"/>
      <c r="N4861" s="549"/>
      <c r="O4861" s="549"/>
      <c r="P4861" s="549"/>
      <c r="Q4861" s="1059"/>
      <c r="R4861" s="1059"/>
    </row>
    <row r="4862" spans="1:18" ht="17.399999999999999">
      <c r="A4862" s="547" t="s">
        <v>523</v>
      </c>
      <c r="B4862" s="547" t="s">
        <v>496</v>
      </c>
      <c r="C4862" s="547" t="s">
        <v>19</v>
      </c>
      <c r="D4862" s="547" t="s">
        <v>20</v>
      </c>
      <c r="E4862" s="547" t="s">
        <v>359</v>
      </c>
      <c r="F4862" s="549"/>
      <c r="G4862" s="549" t="s">
        <v>21</v>
      </c>
      <c r="H4862" s="549" t="s">
        <v>180</v>
      </c>
      <c r="I4862" s="558">
        <v>35.840000000000003</v>
      </c>
      <c r="J4862" s="567">
        <v>11.4</v>
      </c>
      <c r="K4862" s="648">
        <v>10</v>
      </c>
      <c r="L4862" s="552">
        <f>(I4862*J4862*K4862/1000)</f>
        <v>4.0857600000000005</v>
      </c>
      <c r="M4862" s="549"/>
      <c r="N4862" s="549"/>
      <c r="O4862" s="549"/>
      <c r="P4862" s="549"/>
      <c r="Q4862" s="1059"/>
      <c r="R4862" s="1059"/>
    </row>
    <row r="4863" spans="1:18" ht="17.399999999999999">
      <c r="A4863" s="550"/>
      <c r="B4863" s="549" t="s">
        <v>277</v>
      </c>
      <c r="C4863" s="550"/>
      <c r="D4863" s="550"/>
      <c r="E4863" s="548"/>
      <c r="F4863" s="549"/>
      <c r="G4863" s="549"/>
      <c r="H4863" s="549"/>
      <c r="I4863" s="558"/>
      <c r="J4863" s="567"/>
      <c r="K4863" s="648">
        <f>SUM(K4862)</f>
        <v>10</v>
      </c>
      <c r="L4863" s="567">
        <f>SUM(L4862)</f>
        <v>4.0857600000000005</v>
      </c>
      <c r="M4863" s="549"/>
      <c r="N4863" s="549"/>
      <c r="O4863" s="549"/>
      <c r="P4863" s="549"/>
      <c r="Q4863" s="1059"/>
      <c r="R4863" s="1059"/>
    </row>
    <row r="4864" spans="1:18" ht="17.399999999999999">
      <c r="A4864" s="549"/>
      <c r="B4864" s="549"/>
      <c r="C4864" s="549"/>
      <c r="D4864" s="549"/>
      <c r="E4864" s="549"/>
      <c r="F4864" s="549"/>
      <c r="G4864" s="549"/>
      <c r="H4864" s="549"/>
      <c r="I4864" s="560"/>
      <c r="J4864" s="549"/>
      <c r="K4864" s="561"/>
      <c r="L4864" s="560"/>
      <c r="M4864" s="549"/>
      <c r="N4864" s="549"/>
      <c r="O4864" s="549"/>
      <c r="P4864" s="549"/>
      <c r="Q4864" s="1059"/>
      <c r="R4864" s="1059"/>
    </row>
    <row r="4865" spans="1:18" ht="17.399999999999999">
      <c r="A4865" s="547" t="s">
        <v>523</v>
      </c>
      <c r="B4865" s="547" t="s">
        <v>524</v>
      </c>
      <c r="C4865" s="547" t="s">
        <v>19</v>
      </c>
      <c r="D4865" s="547" t="s">
        <v>20</v>
      </c>
      <c r="E4865" s="547" t="s">
        <v>367</v>
      </c>
      <c r="F4865" s="549"/>
      <c r="G4865" s="549" t="s">
        <v>444</v>
      </c>
      <c r="H4865" s="549" t="s">
        <v>176</v>
      </c>
      <c r="I4865" s="558">
        <v>23</v>
      </c>
      <c r="J4865" s="567">
        <v>12</v>
      </c>
      <c r="K4865" s="648">
        <v>10</v>
      </c>
      <c r="L4865" s="552">
        <f t="shared" ref="L4865:L4866" si="977">(I4865*J4865*K4865/1000)</f>
        <v>2.76</v>
      </c>
      <c r="M4865" s="549"/>
      <c r="N4865" s="549"/>
      <c r="O4865" s="549"/>
      <c r="P4865" s="549"/>
      <c r="Q4865" s="1059"/>
      <c r="R4865" s="1059"/>
    </row>
    <row r="4866" spans="1:18" ht="17.399999999999999">
      <c r="A4866" s="550"/>
      <c r="B4866" s="549" t="s">
        <v>88</v>
      </c>
      <c r="C4866" s="550"/>
      <c r="D4866" s="550"/>
      <c r="E4866" s="548"/>
      <c r="F4866" s="549"/>
      <c r="G4866" s="549"/>
      <c r="H4866" s="549"/>
      <c r="I4866" s="558"/>
      <c r="J4866" s="567"/>
      <c r="K4866" s="648"/>
      <c r="L4866" s="552">
        <f t="shared" si="977"/>
        <v>0</v>
      </c>
      <c r="M4866" s="549"/>
      <c r="N4866" s="549"/>
      <c r="O4866" s="549"/>
      <c r="P4866" s="549"/>
      <c r="Q4866" s="1059"/>
      <c r="R4866" s="1059"/>
    </row>
    <row r="4867" spans="1:18" ht="17.399999999999999">
      <c r="A4867" s="549"/>
      <c r="B4867" s="549"/>
      <c r="C4867" s="549"/>
      <c r="D4867" s="549"/>
      <c r="E4867" s="549"/>
      <c r="F4867" s="549"/>
      <c r="G4867" s="549"/>
      <c r="H4867" s="549"/>
      <c r="I4867" s="558"/>
      <c r="J4867" s="567"/>
      <c r="K4867" s="648">
        <f>SUM(K4865:K4866)</f>
        <v>10</v>
      </c>
      <c r="L4867" s="567">
        <f>SUM(L4865:L4866)</f>
        <v>2.76</v>
      </c>
      <c r="M4867" s="549"/>
      <c r="N4867" s="549"/>
      <c r="O4867" s="549"/>
      <c r="P4867" s="549"/>
      <c r="Q4867" s="1059"/>
      <c r="R4867" s="1059"/>
    </row>
    <row r="4868" spans="1:18" ht="17.399999999999999">
      <c r="A4868" s="547" t="s">
        <v>523</v>
      </c>
      <c r="B4868" s="547" t="s">
        <v>524</v>
      </c>
      <c r="C4868" s="547" t="s">
        <v>19</v>
      </c>
      <c r="D4868" s="547" t="s">
        <v>20</v>
      </c>
      <c r="E4868" s="547" t="s">
        <v>367</v>
      </c>
      <c r="F4868" s="549"/>
      <c r="G4868" s="549" t="s">
        <v>444</v>
      </c>
      <c r="H4868" s="549" t="s">
        <v>178</v>
      </c>
      <c r="I4868" s="558">
        <v>31.6</v>
      </c>
      <c r="J4868" s="567">
        <v>12</v>
      </c>
      <c r="K4868" s="648">
        <v>10</v>
      </c>
      <c r="L4868" s="552">
        <f t="shared" ref="L4868:L4869" si="978">(I4868*J4868*K4868/1000)</f>
        <v>3.7920000000000003</v>
      </c>
      <c r="M4868" s="549"/>
      <c r="N4868" s="549"/>
      <c r="O4868" s="549"/>
      <c r="P4868" s="549"/>
      <c r="Q4868" s="1059"/>
      <c r="R4868" s="1059"/>
    </row>
    <row r="4869" spans="1:18" ht="17.399999999999999">
      <c r="A4869" s="550"/>
      <c r="B4869" s="549" t="s">
        <v>88</v>
      </c>
      <c r="C4869" s="550"/>
      <c r="D4869" s="550"/>
      <c r="E4869" s="548"/>
      <c r="F4869" s="549"/>
      <c r="G4869" s="549"/>
      <c r="H4869" s="549"/>
      <c r="I4869" s="558"/>
      <c r="J4869" s="567"/>
      <c r="K4869" s="648"/>
      <c r="L4869" s="552">
        <f t="shared" si="978"/>
        <v>0</v>
      </c>
      <c r="M4869" s="549"/>
      <c r="N4869" s="549"/>
      <c r="O4869" s="549"/>
      <c r="P4869" s="549"/>
      <c r="Q4869" s="1059"/>
      <c r="R4869" s="1059"/>
    </row>
    <row r="4870" spans="1:18" ht="17.399999999999999">
      <c r="A4870" s="549"/>
      <c r="B4870" s="549"/>
      <c r="C4870" s="549"/>
      <c r="D4870" s="549"/>
      <c r="E4870" s="549"/>
      <c r="F4870" s="549"/>
      <c r="G4870" s="549"/>
      <c r="H4870" s="549"/>
      <c r="I4870" s="558"/>
      <c r="J4870" s="567"/>
      <c r="K4870" s="648">
        <f>SUM(K4868:K4869)</f>
        <v>10</v>
      </c>
      <c r="L4870" s="567">
        <f>SUM(L4868:L4869)</f>
        <v>3.7920000000000003</v>
      </c>
      <c r="M4870" s="549"/>
      <c r="N4870" s="549"/>
      <c r="O4870" s="549"/>
      <c r="P4870" s="549"/>
      <c r="Q4870" s="1059"/>
      <c r="R4870" s="1059"/>
    </row>
    <row r="4871" spans="1:18" ht="17.399999999999999">
      <c r="A4871" s="547" t="s">
        <v>523</v>
      </c>
      <c r="B4871" s="547" t="s">
        <v>524</v>
      </c>
      <c r="C4871" s="547" t="s">
        <v>19</v>
      </c>
      <c r="D4871" s="547" t="s">
        <v>20</v>
      </c>
      <c r="E4871" s="547" t="s">
        <v>367</v>
      </c>
      <c r="F4871" s="549"/>
      <c r="G4871" s="549" t="s">
        <v>61</v>
      </c>
      <c r="H4871" s="549" t="s">
        <v>120</v>
      </c>
      <c r="I4871" s="558">
        <v>18.2</v>
      </c>
      <c r="J4871" s="567">
        <v>12</v>
      </c>
      <c r="K4871" s="648">
        <v>10</v>
      </c>
      <c r="L4871" s="552">
        <f t="shared" ref="L4871:L4872" si="979">(I4871*J4871*K4871/1000)</f>
        <v>2.1840000000000002</v>
      </c>
      <c r="M4871" s="549"/>
      <c r="N4871" s="549"/>
      <c r="O4871" s="549"/>
      <c r="P4871" s="549"/>
      <c r="Q4871" s="1059"/>
      <c r="R4871" s="1059"/>
    </row>
    <row r="4872" spans="1:18" ht="17.399999999999999">
      <c r="A4872" s="550"/>
      <c r="B4872" s="549" t="s">
        <v>88</v>
      </c>
      <c r="C4872" s="550"/>
      <c r="D4872" s="550"/>
      <c r="E4872" s="548"/>
      <c r="F4872" s="549"/>
      <c r="G4872" s="549"/>
      <c r="H4872" s="549"/>
      <c r="I4872" s="558"/>
      <c r="J4872" s="567"/>
      <c r="K4872" s="648"/>
      <c r="L4872" s="552">
        <f t="shared" si="979"/>
        <v>0</v>
      </c>
      <c r="M4872" s="549"/>
      <c r="N4872" s="549"/>
      <c r="O4872" s="549"/>
      <c r="P4872" s="549"/>
      <c r="Q4872" s="1059"/>
      <c r="R4872" s="1059"/>
    </row>
    <row r="4873" spans="1:18" ht="17.399999999999999">
      <c r="A4873" s="549"/>
      <c r="B4873" s="549"/>
      <c r="C4873" s="549"/>
      <c r="D4873" s="549"/>
      <c r="E4873" s="549"/>
      <c r="F4873" s="549"/>
      <c r="G4873" s="549"/>
      <c r="H4873" s="549"/>
      <c r="I4873" s="558"/>
      <c r="J4873" s="567"/>
      <c r="K4873" s="648">
        <f>SUM(K4871:K4872)</f>
        <v>10</v>
      </c>
      <c r="L4873" s="567">
        <f>SUM(L4871:L4872)</f>
        <v>2.1840000000000002</v>
      </c>
      <c r="M4873" s="549"/>
      <c r="N4873" s="549"/>
      <c r="O4873" s="549"/>
      <c r="P4873" s="549"/>
      <c r="Q4873" s="1059"/>
      <c r="R4873" s="1059"/>
    </row>
    <row r="4874" spans="1:18" ht="17.399999999999999">
      <c r="A4874" s="547" t="s">
        <v>523</v>
      </c>
      <c r="B4874" s="547" t="s">
        <v>524</v>
      </c>
      <c r="C4874" s="547" t="s">
        <v>19</v>
      </c>
      <c r="D4874" s="547" t="s">
        <v>60</v>
      </c>
      <c r="E4874" s="547" t="s">
        <v>62</v>
      </c>
      <c r="F4874" s="549"/>
      <c r="G4874" s="549" t="s">
        <v>61</v>
      </c>
      <c r="H4874" s="549" t="s">
        <v>122</v>
      </c>
      <c r="I4874" s="558">
        <v>14.7</v>
      </c>
      <c r="J4874" s="567">
        <v>12</v>
      </c>
      <c r="K4874" s="648">
        <v>104</v>
      </c>
      <c r="L4874" s="552">
        <f t="shared" ref="L4874:L4875" si="980">(I4874*J4874*K4874/1000)</f>
        <v>18.345599999999997</v>
      </c>
      <c r="M4874" s="549"/>
      <c r="N4874" s="549"/>
      <c r="O4874" s="549"/>
      <c r="P4874" s="549"/>
      <c r="Q4874" s="1059"/>
      <c r="R4874" s="1059"/>
    </row>
    <row r="4875" spans="1:18" ht="17.399999999999999">
      <c r="A4875" s="550"/>
      <c r="B4875" s="549" t="s">
        <v>88</v>
      </c>
      <c r="C4875" s="550"/>
      <c r="D4875" s="550"/>
      <c r="E4875" s="548"/>
      <c r="F4875" s="549"/>
      <c r="G4875" s="549"/>
      <c r="H4875" s="549"/>
      <c r="I4875" s="558"/>
      <c r="J4875" s="567"/>
      <c r="K4875" s="648"/>
      <c r="L4875" s="552">
        <f t="shared" si="980"/>
        <v>0</v>
      </c>
      <c r="M4875" s="549"/>
      <c r="N4875" s="549"/>
      <c r="O4875" s="549"/>
      <c r="P4875" s="549"/>
      <c r="Q4875" s="1059"/>
      <c r="R4875" s="1059"/>
    </row>
    <row r="4876" spans="1:18" ht="17.399999999999999">
      <c r="A4876" s="549"/>
      <c r="B4876" s="549"/>
      <c r="C4876" s="549"/>
      <c r="D4876" s="549"/>
      <c r="E4876" s="549"/>
      <c r="F4876" s="549"/>
      <c r="G4876" s="549"/>
      <c r="H4876" s="549"/>
      <c r="I4876" s="558"/>
      <c r="J4876" s="567"/>
      <c r="K4876" s="648">
        <f>SUM(K4874:K4875)</f>
        <v>104</v>
      </c>
      <c r="L4876" s="567">
        <f>SUM(L4874:L4875)</f>
        <v>18.345599999999997</v>
      </c>
      <c r="M4876" s="549"/>
      <c r="N4876" s="549"/>
      <c r="O4876" s="549"/>
      <c r="P4876" s="549"/>
      <c r="Q4876" s="1059"/>
      <c r="R4876" s="1059"/>
    </row>
    <row r="4877" spans="1:18" ht="17.399999999999999">
      <c r="A4877" s="547" t="s">
        <v>523</v>
      </c>
      <c r="B4877" s="547" t="s">
        <v>524</v>
      </c>
      <c r="C4877" s="547" t="s">
        <v>19</v>
      </c>
      <c r="D4877" s="547" t="s">
        <v>60</v>
      </c>
      <c r="E4877" s="547" t="s">
        <v>62</v>
      </c>
      <c r="F4877" s="549"/>
      <c r="G4877" s="549" t="s">
        <v>61</v>
      </c>
      <c r="H4877" s="549" t="s">
        <v>123</v>
      </c>
      <c r="I4877" s="558">
        <v>16.5</v>
      </c>
      <c r="J4877" s="567">
        <v>12</v>
      </c>
      <c r="K4877" s="648">
        <v>30</v>
      </c>
      <c r="L4877" s="552">
        <f t="shared" ref="L4877:L4878" si="981">(I4877*J4877*K4877/1000)</f>
        <v>5.94</v>
      </c>
      <c r="M4877" s="549"/>
      <c r="N4877" s="549"/>
      <c r="O4877" s="549"/>
      <c r="P4877" s="549"/>
      <c r="Q4877" s="1059"/>
      <c r="R4877" s="1059"/>
    </row>
    <row r="4878" spans="1:18" ht="17.399999999999999">
      <c r="A4878" s="550"/>
      <c r="B4878" s="549" t="s">
        <v>88</v>
      </c>
      <c r="C4878" s="550"/>
      <c r="D4878" s="550"/>
      <c r="E4878" s="548"/>
      <c r="F4878" s="549"/>
      <c r="G4878" s="549"/>
      <c r="H4878" s="549"/>
      <c r="I4878" s="558"/>
      <c r="J4878" s="567"/>
      <c r="K4878" s="648"/>
      <c r="L4878" s="552">
        <f t="shared" si="981"/>
        <v>0</v>
      </c>
      <c r="M4878" s="549"/>
      <c r="N4878" s="549"/>
      <c r="O4878" s="549"/>
      <c r="P4878" s="549"/>
      <c r="Q4878" s="1059"/>
      <c r="R4878" s="1059"/>
    </row>
    <row r="4879" spans="1:18" ht="17.399999999999999">
      <c r="A4879" s="549"/>
      <c r="B4879" s="549"/>
      <c r="C4879" s="549"/>
      <c r="D4879" s="549"/>
      <c r="E4879" s="549"/>
      <c r="F4879" s="549"/>
      <c r="G4879" s="549"/>
      <c r="H4879" s="549"/>
      <c r="I4879" s="558"/>
      <c r="J4879" s="567"/>
      <c r="K4879" s="648">
        <f>SUM(K4877:K4878)</f>
        <v>30</v>
      </c>
      <c r="L4879" s="567">
        <f>SUM(L4877:L4878)</f>
        <v>5.94</v>
      </c>
      <c r="M4879" s="549"/>
      <c r="N4879" s="549"/>
      <c r="O4879" s="549"/>
      <c r="P4879" s="549"/>
      <c r="Q4879" s="1059"/>
      <c r="R4879" s="1059"/>
    </row>
    <row r="4880" spans="1:18" ht="17.399999999999999">
      <c r="A4880" s="549"/>
      <c r="B4880" s="549"/>
      <c r="C4880" s="549"/>
      <c r="D4880" s="549"/>
      <c r="E4880" s="549"/>
      <c r="F4880" s="549"/>
      <c r="G4880" s="549"/>
      <c r="H4880" s="549"/>
      <c r="I4880" s="560"/>
      <c r="J4880" s="549"/>
      <c r="K4880" s="561"/>
      <c r="L4880" s="560"/>
      <c r="M4880" s="549"/>
      <c r="N4880" s="549"/>
      <c r="O4880" s="549"/>
      <c r="P4880" s="549"/>
      <c r="Q4880" s="1059"/>
      <c r="R4880" s="1059"/>
    </row>
    <row r="4881" spans="1:18" ht="17.399999999999999">
      <c r="A4881" s="547" t="s">
        <v>523</v>
      </c>
      <c r="B4881" s="547" t="s">
        <v>525</v>
      </c>
      <c r="C4881" s="547" t="s">
        <v>19</v>
      </c>
      <c r="D4881" s="547" t="s">
        <v>20</v>
      </c>
      <c r="E4881" s="547" t="s">
        <v>47</v>
      </c>
      <c r="F4881" s="549"/>
      <c r="G4881" s="549" t="s">
        <v>21</v>
      </c>
      <c r="H4881" s="549" t="s">
        <v>120</v>
      </c>
      <c r="I4881" s="558">
        <v>18.2</v>
      </c>
      <c r="J4881" s="567">
        <v>8.5</v>
      </c>
      <c r="K4881" s="648">
        <v>2</v>
      </c>
      <c r="L4881" s="552">
        <f>(I4881*J4881*K4881/1000)</f>
        <v>0.30939999999999995</v>
      </c>
      <c r="M4881" s="549"/>
      <c r="N4881" s="549"/>
      <c r="O4881" s="549"/>
      <c r="P4881" s="549"/>
      <c r="Q4881" s="1059"/>
      <c r="R4881" s="1059"/>
    </row>
    <row r="4882" spans="1:18" ht="17.399999999999999">
      <c r="A4882" s="547"/>
      <c r="B4882" s="752" t="s">
        <v>439</v>
      </c>
      <c r="C4882" s="547"/>
      <c r="D4882" s="547"/>
      <c r="E4882" s="547"/>
      <c r="F4882" s="549"/>
      <c r="G4882" s="549"/>
      <c r="H4882" s="549"/>
      <c r="I4882" s="558"/>
      <c r="J4882" s="567"/>
      <c r="K4882" s="648">
        <f t="shared" ref="K4882:L4882" si="982">SUM(K4881)</f>
        <v>2</v>
      </c>
      <c r="L4882" s="567">
        <f t="shared" si="982"/>
        <v>0.30939999999999995</v>
      </c>
      <c r="M4882" s="549"/>
      <c r="N4882" s="549"/>
      <c r="O4882" s="549"/>
      <c r="P4882" s="549"/>
      <c r="Q4882" s="1059"/>
      <c r="R4882" s="1059"/>
    </row>
    <row r="4883" spans="1:18" ht="17.399999999999999">
      <c r="A4883" s="547" t="s">
        <v>523</v>
      </c>
      <c r="B4883" s="547" t="s">
        <v>525</v>
      </c>
      <c r="C4883" s="547" t="s">
        <v>19</v>
      </c>
      <c r="D4883" s="547" t="s">
        <v>20</v>
      </c>
      <c r="E4883" s="547" t="s">
        <v>47</v>
      </c>
      <c r="F4883" s="549"/>
      <c r="G4883" s="549" t="s">
        <v>21</v>
      </c>
      <c r="H4883" s="549" t="s">
        <v>126</v>
      </c>
      <c r="I4883" s="558">
        <v>23.6</v>
      </c>
      <c r="J4883" s="567">
        <v>12</v>
      </c>
      <c r="K4883" s="648">
        <v>1</v>
      </c>
      <c r="L4883" s="552">
        <f>(I4883*J4883*K4883/1000)</f>
        <v>0.28320000000000006</v>
      </c>
      <c r="M4883" s="549"/>
      <c r="N4883" s="549"/>
      <c r="O4883" s="549"/>
      <c r="P4883" s="549"/>
      <c r="Q4883" s="1059"/>
      <c r="R4883" s="1059"/>
    </row>
    <row r="4884" spans="1:18" ht="17.399999999999999">
      <c r="A4884" s="547"/>
      <c r="B4884" s="752" t="s">
        <v>439</v>
      </c>
      <c r="C4884" s="547"/>
      <c r="D4884" s="547"/>
      <c r="E4884" s="547"/>
      <c r="F4884" s="549"/>
      <c r="G4884" s="549"/>
      <c r="H4884" s="549"/>
      <c r="I4884" s="558"/>
      <c r="J4884" s="567"/>
      <c r="K4884" s="648">
        <f t="shared" ref="K4884:L4884" si="983">SUM(K4883)</f>
        <v>1</v>
      </c>
      <c r="L4884" s="567">
        <f t="shared" si="983"/>
        <v>0.28320000000000006</v>
      </c>
      <c r="M4884" s="549"/>
      <c r="N4884" s="549"/>
      <c r="O4884" s="549"/>
      <c r="P4884" s="549"/>
      <c r="Q4884" s="1059"/>
      <c r="R4884" s="1059"/>
    </row>
    <row r="4885" spans="1:18" ht="17.399999999999999">
      <c r="A4885" s="547" t="s">
        <v>523</v>
      </c>
      <c r="B4885" s="547" t="s">
        <v>525</v>
      </c>
      <c r="C4885" s="547" t="s">
        <v>19</v>
      </c>
      <c r="D4885" s="547" t="s">
        <v>20</v>
      </c>
      <c r="E4885" s="547" t="s">
        <v>47</v>
      </c>
      <c r="F4885" s="549"/>
      <c r="G4885" s="549" t="s">
        <v>21</v>
      </c>
      <c r="H4885" s="549" t="s">
        <v>178</v>
      </c>
      <c r="I4885" s="558">
        <v>31.6</v>
      </c>
      <c r="J4885" s="567">
        <v>8</v>
      </c>
      <c r="K4885" s="648">
        <v>4</v>
      </c>
      <c r="L4885" s="552">
        <f>(I4885*J4885*K4885/1000)</f>
        <v>1.0112000000000001</v>
      </c>
      <c r="M4885" s="549"/>
      <c r="N4885" s="549"/>
      <c r="O4885" s="549"/>
      <c r="P4885" s="549"/>
      <c r="Q4885" s="1059"/>
      <c r="R4885" s="1059"/>
    </row>
    <row r="4886" spans="1:18" ht="17.399999999999999">
      <c r="A4886" s="547"/>
      <c r="B4886" s="752" t="s">
        <v>439</v>
      </c>
      <c r="C4886" s="547"/>
      <c r="D4886" s="547"/>
      <c r="E4886" s="547"/>
      <c r="F4886" s="549"/>
      <c r="G4886" s="549"/>
      <c r="H4886" s="549"/>
      <c r="I4886" s="558"/>
      <c r="J4886" s="567"/>
      <c r="K4886" s="648">
        <f t="shared" ref="K4886:L4886" si="984">SUM(K4885)</f>
        <v>4</v>
      </c>
      <c r="L4886" s="567">
        <f t="shared" si="984"/>
        <v>1.0112000000000001</v>
      </c>
      <c r="M4886" s="549"/>
      <c r="N4886" s="549"/>
      <c r="O4886" s="549"/>
      <c r="P4886" s="549"/>
      <c r="Q4886" s="1059"/>
      <c r="R4886" s="1059"/>
    </row>
    <row r="4887" spans="1:18" ht="17.399999999999999">
      <c r="A4887" s="547" t="s">
        <v>523</v>
      </c>
      <c r="B4887" s="547" t="s">
        <v>525</v>
      </c>
      <c r="C4887" s="547" t="s">
        <v>19</v>
      </c>
      <c r="D4887" s="547" t="s">
        <v>20</v>
      </c>
      <c r="E4887" s="547" t="s">
        <v>47</v>
      </c>
      <c r="F4887" s="549"/>
      <c r="G4887" s="549" t="s">
        <v>21</v>
      </c>
      <c r="H4887" s="549" t="s">
        <v>180</v>
      </c>
      <c r="I4887" s="558">
        <v>35.9</v>
      </c>
      <c r="J4887" s="567">
        <v>10.5</v>
      </c>
      <c r="K4887" s="648">
        <v>10</v>
      </c>
      <c r="L4887" s="552">
        <f>(I4887*J4887*K4887/1000)</f>
        <v>3.7694999999999999</v>
      </c>
      <c r="M4887" s="549"/>
      <c r="N4887" s="549"/>
      <c r="O4887" s="549"/>
      <c r="P4887" s="549"/>
      <c r="Q4887" s="1059"/>
      <c r="R4887" s="1059"/>
    </row>
    <row r="4888" spans="1:18" ht="17.399999999999999">
      <c r="A4888" s="547"/>
      <c r="B4888" s="752" t="s">
        <v>439</v>
      </c>
      <c r="C4888" s="547"/>
      <c r="D4888" s="547"/>
      <c r="E4888" s="547"/>
      <c r="F4888" s="549"/>
      <c r="G4888" s="549"/>
      <c r="H4888" s="549"/>
      <c r="I4888" s="558"/>
      <c r="J4888" s="567"/>
      <c r="K4888" s="648">
        <f t="shared" ref="K4888:L4888" si="985">SUM(K4887)</f>
        <v>10</v>
      </c>
      <c r="L4888" s="567">
        <f t="shared" si="985"/>
        <v>3.7694999999999999</v>
      </c>
      <c r="M4888" s="549"/>
      <c r="N4888" s="549"/>
      <c r="O4888" s="549"/>
      <c r="P4888" s="549"/>
      <c r="Q4888" s="1059"/>
      <c r="R4888" s="1059"/>
    </row>
    <row r="4889" spans="1:18" ht="17.399999999999999">
      <c r="A4889" s="547" t="s">
        <v>523</v>
      </c>
      <c r="B4889" s="547" t="s">
        <v>525</v>
      </c>
      <c r="C4889" s="547" t="s">
        <v>19</v>
      </c>
      <c r="D4889" s="547" t="s">
        <v>20</v>
      </c>
      <c r="E4889" s="547" t="s">
        <v>47</v>
      </c>
      <c r="F4889" s="549"/>
      <c r="G4889" s="549" t="s">
        <v>21</v>
      </c>
      <c r="H4889" s="549" t="s">
        <v>69</v>
      </c>
      <c r="I4889" s="558">
        <v>6.85</v>
      </c>
      <c r="J4889" s="567">
        <v>12</v>
      </c>
      <c r="K4889" s="648">
        <v>17</v>
      </c>
      <c r="L4889" s="552">
        <f>(I4889*J4889*K4889/1000)</f>
        <v>1.3973999999999998</v>
      </c>
      <c r="M4889" s="549"/>
      <c r="N4889" s="549"/>
      <c r="O4889" s="549"/>
      <c r="P4889" s="549"/>
      <c r="Q4889" s="1059"/>
      <c r="R4889" s="1059"/>
    </row>
    <row r="4890" spans="1:18" ht="17.399999999999999">
      <c r="A4890" s="547"/>
      <c r="B4890" s="752" t="s">
        <v>439</v>
      </c>
      <c r="C4890" s="547"/>
      <c r="D4890" s="547"/>
      <c r="E4890" s="547"/>
      <c r="F4890" s="549"/>
      <c r="G4890" s="549"/>
      <c r="H4890" s="549"/>
      <c r="I4890" s="558"/>
      <c r="J4890" s="567"/>
      <c r="K4890" s="648">
        <f t="shared" ref="K4890:L4890" si="986">SUM(K4889)</f>
        <v>17</v>
      </c>
      <c r="L4890" s="567">
        <f t="shared" si="986"/>
        <v>1.3973999999999998</v>
      </c>
      <c r="M4890" s="549"/>
      <c r="N4890" s="549"/>
      <c r="O4890" s="549"/>
      <c r="P4890" s="549"/>
      <c r="Q4890" s="1059"/>
      <c r="R4890" s="1059"/>
    </row>
    <row r="4891" spans="1:18" ht="17.399999999999999">
      <c r="A4891" s="547" t="s">
        <v>523</v>
      </c>
      <c r="B4891" s="547" t="s">
        <v>525</v>
      </c>
      <c r="C4891" s="547" t="s">
        <v>19</v>
      </c>
      <c r="D4891" s="547" t="s">
        <v>20</v>
      </c>
      <c r="E4891" s="547" t="s">
        <v>47</v>
      </c>
      <c r="F4891" s="549"/>
      <c r="G4891" s="549" t="s">
        <v>21</v>
      </c>
      <c r="H4891" s="549" t="s">
        <v>131</v>
      </c>
      <c r="I4891" s="558">
        <v>7.34</v>
      </c>
      <c r="J4891" s="567">
        <v>11</v>
      </c>
      <c r="K4891" s="648">
        <v>7</v>
      </c>
      <c r="L4891" s="552">
        <f>(I4891*J4891*K4891/1000)</f>
        <v>0.5651799999999999</v>
      </c>
      <c r="M4891" s="549"/>
      <c r="N4891" s="549"/>
      <c r="O4891" s="549"/>
      <c r="P4891" s="549"/>
      <c r="Q4891" s="1059"/>
      <c r="R4891" s="1059"/>
    </row>
    <row r="4892" spans="1:18" ht="17.399999999999999">
      <c r="A4892" s="547"/>
      <c r="B4892" s="752" t="s">
        <v>439</v>
      </c>
      <c r="C4892" s="547"/>
      <c r="D4892" s="547"/>
      <c r="E4892" s="547"/>
      <c r="F4892" s="549"/>
      <c r="G4892" s="549"/>
      <c r="H4892" s="549"/>
      <c r="I4892" s="558"/>
      <c r="J4892" s="567"/>
      <c r="K4892" s="648">
        <f t="shared" ref="K4892:L4892" si="987">SUM(K4891)</f>
        <v>7</v>
      </c>
      <c r="L4892" s="567">
        <f t="shared" si="987"/>
        <v>0.5651799999999999</v>
      </c>
      <c r="M4892" s="549"/>
      <c r="N4892" s="549"/>
      <c r="O4892" s="549"/>
      <c r="P4892" s="549"/>
      <c r="Q4892" s="1059"/>
      <c r="R4892" s="1059"/>
    </row>
    <row r="4893" spans="1:18" ht="17.399999999999999">
      <c r="A4893" s="549"/>
      <c r="B4893" s="549"/>
      <c r="C4893" s="549"/>
      <c r="D4893" s="549"/>
      <c r="E4893" s="549"/>
      <c r="F4893" s="549"/>
      <c r="G4893" s="549"/>
      <c r="H4893" s="549"/>
      <c r="I4893" s="560"/>
      <c r="J4893" s="549"/>
      <c r="K4893" s="561"/>
      <c r="L4893" s="560"/>
      <c r="M4893" s="549"/>
      <c r="N4893" s="549"/>
      <c r="O4893" s="549"/>
      <c r="P4893" s="549"/>
      <c r="Q4893" s="1059"/>
      <c r="R4893" s="1059"/>
    </row>
    <row r="4894" spans="1:18" ht="17.399999999999999">
      <c r="A4894" s="547" t="s">
        <v>523</v>
      </c>
      <c r="B4894" s="547" t="s">
        <v>525</v>
      </c>
      <c r="C4894" s="547" t="s">
        <v>19</v>
      </c>
      <c r="D4894" s="547" t="s">
        <v>60</v>
      </c>
      <c r="E4894" s="547" t="s">
        <v>323</v>
      </c>
      <c r="F4894" s="549"/>
      <c r="G4894" s="549" t="s">
        <v>61</v>
      </c>
      <c r="H4894" s="549" t="s">
        <v>70</v>
      </c>
      <c r="I4894" s="558">
        <v>5.76</v>
      </c>
      <c r="J4894" s="567">
        <v>11.5</v>
      </c>
      <c r="K4894" s="648">
        <v>15</v>
      </c>
      <c r="L4894" s="552">
        <f>(I4894*J4894*K4894/1000)</f>
        <v>0.99359999999999993</v>
      </c>
      <c r="M4894" s="549"/>
      <c r="N4894" s="549"/>
      <c r="O4894" s="549"/>
      <c r="P4894" s="549"/>
      <c r="Q4894" s="1059"/>
      <c r="R4894" s="1059"/>
    </row>
    <row r="4895" spans="1:18" ht="17.399999999999999">
      <c r="A4895" s="547"/>
      <c r="B4895" s="752" t="s">
        <v>439</v>
      </c>
      <c r="C4895" s="547"/>
      <c r="D4895" s="547"/>
      <c r="E4895" s="547"/>
      <c r="F4895" s="549"/>
      <c r="G4895" s="549"/>
      <c r="H4895" s="549"/>
      <c r="I4895" s="558"/>
      <c r="J4895" s="567"/>
      <c r="K4895" s="648">
        <f t="shared" ref="K4895:L4895" si="988">SUM(K4894)</f>
        <v>15</v>
      </c>
      <c r="L4895" s="567">
        <f t="shared" si="988"/>
        <v>0.99359999999999993</v>
      </c>
      <c r="M4895" s="549"/>
      <c r="N4895" s="549"/>
      <c r="O4895" s="549"/>
      <c r="P4895" s="549"/>
      <c r="Q4895" s="1059"/>
      <c r="R4895" s="1059"/>
    </row>
    <row r="4896" spans="1:18" ht="17.399999999999999">
      <c r="A4896" s="547" t="s">
        <v>523</v>
      </c>
      <c r="B4896" s="547" t="s">
        <v>525</v>
      </c>
      <c r="C4896" s="547" t="s">
        <v>19</v>
      </c>
      <c r="D4896" s="547" t="s">
        <v>60</v>
      </c>
      <c r="E4896" s="547" t="s">
        <v>323</v>
      </c>
      <c r="F4896" s="549"/>
      <c r="G4896" s="549" t="s">
        <v>61</v>
      </c>
      <c r="H4896" s="549" t="s">
        <v>131</v>
      </c>
      <c r="I4896" s="558">
        <v>7.34</v>
      </c>
      <c r="J4896" s="567">
        <v>10.5</v>
      </c>
      <c r="K4896" s="648">
        <v>1</v>
      </c>
      <c r="L4896" s="552">
        <f>(I4896*J4896*K4896/1000)</f>
        <v>7.707E-2</v>
      </c>
      <c r="M4896" s="549"/>
      <c r="N4896" s="549"/>
      <c r="O4896" s="549"/>
      <c r="P4896" s="549"/>
      <c r="Q4896" s="1059"/>
      <c r="R4896" s="1059"/>
    </row>
    <row r="4897" spans="1:18" ht="17.399999999999999">
      <c r="A4897" s="547"/>
      <c r="B4897" s="752" t="s">
        <v>439</v>
      </c>
      <c r="C4897" s="547"/>
      <c r="D4897" s="547"/>
      <c r="E4897" s="547"/>
      <c r="F4897" s="549"/>
      <c r="G4897" s="549"/>
      <c r="H4897" s="549"/>
      <c r="I4897" s="558"/>
      <c r="J4897" s="567"/>
      <c r="K4897" s="648">
        <f t="shared" ref="K4897:L4897" si="989">SUM(K4896)</f>
        <v>1</v>
      </c>
      <c r="L4897" s="567">
        <f t="shared" si="989"/>
        <v>7.707E-2</v>
      </c>
      <c r="M4897" s="549"/>
      <c r="N4897" s="549"/>
      <c r="O4897" s="549"/>
      <c r="P4897" s="549"/>
      <c r="Q4897" s="1059"/>
      <c r="R4897" s="1059"/>
    </row>
    <row r="4898" spans="1:18" ht="17.399999999999999">
      <c r="A4898" s="549"/>
      <c r="B4898" s="549"/>
      <c r="C4898" s="549"/>
      <c r="D4898" s="549"/>
      <c r="E4898" s="549"/>
      <c r="F4898" s="549"/>
      <c r="G4898" s="549"/>
      <c r="H4898" s="549"/>
      <c r="I4898" s="560"/>
      <c r="J4898" s="549"/>
      <c r="K4898" s="561"/>
      <c r="L4898" s="560"/>
      <c r="M4898" s="549"/>
      <c r="N4898" s="549"/>
      <c r="O4898" s="549"/>
      <c r="P4898" s="549"/>
      <c r="Q4898" s="1059"/>
      <c r="R4898" s="1059"/>
    </row>
    <row r="4899" spans="1:18" ht="17.399999999999999">
      <c r="A4899" s="547" t="s">
        <v>523</v>
      </c>
      <c r="B4899" s="547" t="s">
        <v>526</v>
      </c>
      <c r="C4899" s="547" t="s">
        <v>19</v>
      </c>
      <c r="D4899" s="547" t="s">
        <v>60</v>
      </c>
      <c r="E4899" s="547" t="s">
        <v>270</v>
      </c>
      <c r="F4899" s="549"/>
      <c r="G4899" s="549" t="s">
        <v>61</v>
      </c>
      <c r="H4899" s="549" t="s">
        <v>322</v>
      </c>
      <c r="I4899" s="558">
        <v>9.65</v>
      </c>
      <c r="J4899" s="567">
        <v>8</v>
      </c>
      <c r="K4899" s="648">
        <v>32</v>
      </c>
      <c r="L4899" s="552">
        <f t="shared" ref="L4899:L4902" si="990">(I4899*J4899*K4899/1000)</f>
        <v>2.4704000000000002</v>
      </c>
      <c r="M4899" s="549"/>
      <c r="N4899" s="549"/>
      <c r="O4899" s="549"/>
      <c r="P4899" s="549"/>
      <c r="Q4899" s="1059"/>
      <c r="R4899" s="1059"/>
    </row>
    <row r="4900" spans="1:18" ht="17.399999999999999">
      <c r="A4900" s="550"/>
      <c r="B4900" s="549" t="s">
        <v>271</v>
      </c>
      <c r="C4900" s="550"/>
      <c r="D4900" s="550"/>
      <c r="E4900" s="548"/>
      <c r="F4900" s="549"/>
      <c r="G4900" s="549" t="s">
        <v>61</v>
      </c>
      <c r="H4900" s="549" t="s">
        <v>322</v>
      </c>
      <c r="I4900" s="558">
        <v>9.65</v>
      </c>
      <c r="J4900" s="567">
        <v>11.5</v>
      </c>
      <c r="K4900" s="648">
        <v>86</v>
      </c>
      <c r="L4900" s="552">
        <f t="shared" si="990"/>
        <v>9.5438500000000008</v>
      </c>
      <c r="M4900" s="549"/>
      <c r="N4900" s="549"/>
      <c r="O4900" s="549"/>
      <c r="P4900" s="549"/>
      <c r="Q4900" s="1059"/>
      <c r="R4900" s="1059"/>
    </row>
    <row r="4901" spans="1:18" ht="17.399999999999999">
      <c r="A4901" s="549"/>
      <c r="B4901" s="549"/>
      <c r="C4901" s="549"/>
      <c r="D4901" s="549"/>
      <c r="E4901" s="549"/>
      <c r="F4901" s="549"/>
      <c r="G4901" s="549" t="s">
        <v>61</v>
      </c>
      <c r="H4901" s="549" t="s">
        <v>322</v>
      </c>
      <c r="I4901" s="558">
        <v>9.65</v>
      </c>
      <c r="J4901" s="567">
        <v>12</v>
      </c>
      <c r="K4901" s="648">
        <v>106</v>
      </c>
      <c r="L4901" s="552">
        <f t="shared" si="990"/>
        <v>12.274800000000001</v>
      </c>
      <c r="M4901" s="549"/>
      <c r="N4901" s="549"/>
      <c r="O4901" s="549"/>
      <c r="P4901" s="549"/>
      <c r="Q4901" s="1059"/>
      <c r="R4901" s="1059"/>
    </row>
    <row r="4902" spans="1:18" ht="17.399999999999999">
      <c r="A4902" s="549"/>
      <c r="B4902" s="549"/>
      <c r="C4902" s="549"/>
      <c r="D4902" s="549"/>
      <c r="E4902" s="549"/>
      <c r="F4902" s="549"/>
      <c r="G4902" s="549" t="s">
        <v>61</v>
      </c>
      <c r="H4902" s="549" t="s">
        <v>322</v>
      </c>
      <c r="I4902" s="558">
        <v>9.65</v>
      </c>
      <c r="J4902" s="567"/>
      <c r="K4902" s="648"/>
      <c r="L4902" s="552">
        <f t="shared" si="990"/>
        <v>0</v>
      </c>
      <c r="M4902" s="549"/>
      <c r="N4902" s="549"/>
      <c r="O4902" s="549"/>
      <c r="P4902" s="549"/>
      <c r="Q4902" s="1059"/>
      <c r="R4902" s="1059"/>
    </row>
    <row r="4903" spans="1:18" ht="17.399999999999999">
      <c r="A4903" s="549"/>
      <c r="B4903" s="549"/>
      <c r="C4903" s="549"/>
      <c r="D4903" s="549"/>
      <c r="E4903" s="549"/>
      <c r="F4903" s="549"/>
      <c r="G4903" s="549"/>
      <c r="H4903" s="549"/>
      <c r="I4903" s="558"/>
      <c r="J4903" s="567"/>
      <c r="K4903" s="648">
        <f>SUM(K4899:K4902)</f>
        <v>224</v>
      </c>
      <c r="L4903" s="567">
        <f>SUM(L4899:L4902)</f>
        <v>24.289050000000003</v>
      </c>
      <c r="M4903" s="549"/>
      <c r="N4903" s="549"/>
      <c r="O4903" s="549"/>
      <c r="P4903" s="549"/>
      <c r="Q4903" s="1059"/>
      <c r="R4903" s="1059"/>
    </row>
    <row r="4904" spans="1:18" ht="17.399999999999999">
      <c r="A4904" s="549"/>
      <c r="B4904" s="549"/>
      <c r="C4904" s="549"/>
      <c r="D4904" s="549"/>
      <c r="E4904" s="549"/>
      <c r="F4904" s="549"/>
      <c r="G4904" s="549"/>
      <c r="H4904" s="549"/>
      <c r="I4904" s="560"/>
      <c r="J4904" s="549"/>
      <c r="K4904" s="561"/>
      <c r="L4904" s="560"/>
      <c r="M4904" s="549"/>
      <c r="N4904" s="549"/>
      <c r="O4904" s="549"/>
      <c r="P4904" s="549"/>
      <c r="Q4904" s="1059"/>
      <c r="R4904" s="1059"/>
    </row>
    <row r="4905" spans="1:18" ht="17.399999999999999">
      <c r="A4905" s="549"/>
      <c r="B4905" s="549"/>
      <c r="C4905" s="549"/>
      <c r="D4905" s="549"/>
      <c r="E4905" s="549"/>
      <c r="F4905" s="549"/>
      <c r="G4905" s="549"/>
      <c r="H4905" s="549"/>
      <c r="I4905" s="560"/>
      <c r="J4905" s="549"/>
      <c r="K4905" s="561"/>
      <c r="L4905" s="560"/>
      <c r="M4905" s="549"/>
      <c r="N4905" s="549"/>
      <c r="O4905" s="549"/>
      <c r="P4905" s="549"/>
      <c r="Q4905" s="1059"/>
      <c r="R4905" s="1059"/>
    </row>
    <row r="4906" spans="1:18" ht="17.399999999999999">
      <c r="A4906" s="549"/>
      <c r="B4906" s="549"/>
      <c r="C4906" s="549"/>
      <c r="D4906" s="549"/>
      <c r="E4906" s="549"/>
      <c r="F4906" s="549"/>
      <c r="G4906" s="549"/>
      <c r="H4906" s="549"/>
      <c r="I4906" s="560"/>
      <c r="J4906" s="549"/>
      <c r="K4906" s="561"/>
      <c r="L4906" s="560"/>
      <c r="M4906" s="549"/>
      <c r="N4906" s="549"/>
      <c r="O4906" s="549"/>
      <c r="P4906" s="549"/>
      <c r="Q4906" s="1059"/>
      <c r="R4906" s="1059"/>
    </row>
    <row r="4907" spans="1:18" ht="17.399999999999999">
      <c r="A4907" s="549"/>
      <c r="B4907" s="549"/>
      <c r="C4907" s="549"/>
      <c r="D4907" s="549"/>
      <c r="E4907" s="549"/>
      <c r="F4907" s="549"/>
      <c r="G4907" s="549"/>
      <c r="H4907" s="549"/>
      <c r="I4907" s="560"/>
      <c r="J4907" s="549"/>
      <c r="K4907" s="561"/>
      <c r="L4907" s="560"/>
      <c r="M4907" s="549"/>
      <c r="N4907" s="549"/>
      <c r="O4907" s="549"/>
      <c r="P4907" s="549"/>
      <c r="Q4907" s="1059"/>
      <c r="R4907" s="1059"/>
    </row>
    <row r="4908" spans="1:18" ht="17.399999999999999">
      <c r="A4908" s="549"/>
      <c r="B4908" s="549"/>
      <c r="C4908" s="549"/>
      <c r="D4908" s="549"/>
      <c r="E4908" s="549"/>
      <c r="F4908" s="549"/>
      <c r="G4908" s="549"/>
      <c r="H4908" s="549"/>
      <c r="I4908" s="560"/>
      <c r="J4908" s="549"/>
      <c r="K4908" s="561"/>
      <c r="L4908" s="560"/>
      <c r="M4908" s="549"/>
      <c r="N4908" s="549"/>
      <c r="O4908" s="549"/>
      <c r="P4908" s="549"/>
      <c r="Q4908" s="1059"/>
      <c r="R4908" s="1059"/>
    </row>
    <row r="4909" spans="1:18" ht="17.399999999999999">
      <c r="A4909" s="547" t="s">
        <v>523</v>
      </c>
      <c r="B4909" s="547" t="s">
        <v>527</v>
      </c>
      <c r="C4909" s="547" t="s">
        <v>19</v>
      </c>
      <c r="D4909" s="547" t="s">
        <v>20</v>
      </c>
      <c r="E4909" s="547" t="s">
        <v>359</v>
      </c>
      <c r="F4909" s="549"/>
      <c r="G4909" s="549" t="s">
        <v>21</v>
      </c>
      <c r="H4909" s="549" t="s">
        <v>123</v>
      </c>
      <c r="I4909" s="558">
        <v>16.5</v>
      </c>
      <c r="J4909" s="567">
        <v>8.25</v>
      </c>
      <c r="K4909" s="648">
        <v>1</v>
      </c>
      <c r="L4909" s="552">
        <f>(I4909*J4909*K4909/1000)</f>
        <v>0.136125</v>
      </c>
      <c r="M4909" s="549"/>
      <c r="N4909" s="549"/>
      <c r="O4909" s="549"/>
      <c r="P4909" s="549"/>
      <c r="Q4909" s="1059"/>
      <c r="R4909" s="1059"/>
    </row>
    <row r="4910" spans="1:18" ht="17.399999999999999">
      <c r="A4910" s="549"/>
      <c r="B4910" s="549" t="s">
        <v>453</v>
      </c>
      <c r="C4910" s="549"/>
      <c r="D4910" s="549"/>
      <c r="E4910" s="549"/>
      <c r="F4910" s="549"/>
      <c r="G4910" s="549"/>
      <c r="H4910" s="549"/>
      <c r="I4910" s="558"/>
      <c r="J4910" s="567"/>
      <c r="K4910" s="648">
        <f>SUM(K4909:K4909)</f>
        <v>1</v>
      </c>
      <c r="L4910" s="567">
        <f>SUM(L4909:L4909)</f>
        <v>0.136125</v>
      </c>
      <c r="M4910" s="549"/>
      <c r="N4910" s="549"/>
      <c r="O4910" s="549"/>
      <c r="P4910" s="549"/>
      <c r="Q4910" s="1059"/>
      <c r="R4910" s="1059"/>
    </row>
    <row r="4911" spans="1:18" ht="17.399999999999999">
      <c r="A4911" s="549"/>
      <c r="B4911" s="549"/>
      <c r="C4911" s="549"/>
      <c r="D4911" s="549"/>
      <c r="E4911" s="549"/>
      <c r="F4911" s="549"/>
      <c r="G4911" s="549"/>
      <c r="H4911" s="549"/>
      <c r="I4911" s="560"/>
      <c r="J4911" s="549"/>
      <c r="K4911" s="561"/>
      <c r="L4911" s="560"/>
      <c r="M4911" s="549"/>
      <c r="N4911" s="549"/>
      <c r="O4911" s="549"/>
      <c r="P4911" s="549"/>
      <c r="Q4911" s="1059"/>
      <c r="R4911" s="1059"/>
    </row>
    <row r="4912" spans="1:18" ht="17.399999999999999">
      <c r="A4912" s="549"/>
      <c r="B4912" s="549"/>
      <c r="C4912" s="549"/>
      <c r="D4912" s="549"/>
      <c r="E4912" s="549"/>
      <c r="F4912" s="549"/>
      <c r="G4912" s="549"/>
      <c r="H4912" s="549"/>
      <c r="I4912" s="560"/>
      <c r="J4912" s="549"/>
      <c r="K4912" s="561"/>
      <c r="L4912" s="560"/>
      <c r="M4912" s="549"/>
      <c r="N4912" s="549"/>
      <c r="O4912" s="549"/>
      <c r="P4912" s="549"/>
      <c r="Q4912" s="1059"/>
      <c r="R4912" s="1059"/>
    </row>
    <row r="4913" spans="1:18" ht="17.399999999999999">
      <c r="A4913" s="547" t="s">
        <v>523</v>
      </c>
      <c r="B4913" s="547" t="s">
        <v>527</v>
      </c>
      <c r="C4913" s="547" t="s">
        <v>19</v>
      </c>
      <c r="D4913" s="547" t="s">
        <v>20</v>
      </c>
      <c r="E4913" s="547" t="s">
        <v>47</v>
      </c>
      <c r="F4913" s="549"/>
      <c r="G4913" s="549" t="s">
        <v>21</v>
      </c>
      <c r="H4913" s="549" t="s">
        <v>131</v>
      </c>
      <c r="I4913" s="558">
        <v>7.34</v>
      </c>
      <c r="J4913" s="647">
        <v>9.25</v>
      </c>
      <c r="K4913" s="648">
        <v>12</v>
      </c>
      <c r="L4913" s="552">
        <f>(I4913*J4913*K4913/1000)</f>
        <v>0.81474000000000002</v>
      </c>
      <c r="M4913" s="549"/>
      <c r="N4913" s="549"/>
      <c r="O4913" s="549"/>
      <c r="P4913" s="549"/>
      <c r="Q4913" s="1059"/>
      <c r="R4913" s="1059"/>
    </row>
    <row r="4914" spans="1:18" ht="17.399999999999999">
      <c r="A4914" s="549"/>
      <c r="B4914" s="549" t="s">
        <v>439</v>
      </c>
      <c r="C4914" s="549"/>
      <c r="D4914" s="549"/>
      <c r="E4914" s="549"/>
      <c r="F4914" s="549"/>
      <c r="G4914" s="549"/>
      <c r="H4914" s="549"/>
      <c r="I4914" s="558"/>
      <c r="J4914" s="647"/>
      <c r="K4914" s="648">
        <f>SUM(K4913:K4913)</f>
        <v>12</v>
      </c>
      <c r="L4914" s="567">
        <f>SUM(L4913:L4913)</f>
        <v>0.81474000000000002</v>
      </c>
      <c r="M4914" s="549"/>
      <c r="N4914" s="549"/>
      <c r="O4914" s="549"/>
      <c r="P4914" s="549"/>
      <c r="Q4914" s="1059"/>
      <c r="R4914" s="1059"/>
    </row>
    <row r="4915" spans="1:18" ht="17.399999999999999">
      <c r="A4915" s="549"/>
      <c r="B4915" s="549"/>
      <c r="C4915" s="549"/>
      <c r="D4915" s="549"/>
      <c r="E4915" s="549"/>
      <c r="F4915" s="549"/>
      <c r="G4915" s="549"/>
      <c r="H4915" s="549"/>
      <c r="I4915" s="560"/>
      <c r="J4915" s="647"/>
      <c r="K4915" s="561"/>
      <c r="L4915" s="560"/>
      <c r="M4915" s="549"/>
      <c r="N4915" s="549"/>
      <c r="O4915" s="549"/>
      <c r="P4915" s="549"/>
      <c r="Q4915" s="1059"/>
      <c r="R4915" s="1059"/>
    </row>
    <row r="4916" spans="1:18" ht="17.399999999999999">
      <c r="A4916" s="547" t="s">
        <v>523</v>
      </c>
      <c r="B4916" s="547" t="s">
        <v>527</v>
      </c>
      <c r="C4916" s="547" t="s">
        <v>19</v>
      </c>
      <c r="D4916" s="547" t="s">
        <v>20</v>
      </c>
      <c r="E4916" s="547" t="s">
        <v>47</v>
      </c>
      <c r="F4916" s="549"/>
      <c r="G4916" s="549" t="s">
        <v>21</v>
      </c>
      <c r="H4916" s="549" t="s">
        <v>126</v>
      </c>
      <c r="I4916" s="558">
        <v>23.6</v>
      </c>
      <c r="J4916" s="647">
        <v>6</v>
      </c>
      <c r="K4916" s="648">
        <v>1</v>
      </c>
      <c r="L4916" s="552">
        <f>(I4916*J4916*K4916/1000)</f>
        <v>0.14160000000000003</v>
      </c>
      <c r="M4916" s="549"/>
      <c r="N4916" s="549"/>
      <c r="O4916" s="549"/>
      <c r="P4916" s="549"/>
      <c r="Q4916" s="1059"/>
      <c r="R4916" s="1059"/>
    </row>
    <row r="4917" spans="1:18" ht="17.399999999999999">
      <c r="A4917" s="549"/>
      <c r="B4917" s="549" t="s">
        <v>439</v>
      </c>
      <c r="C4917" s="549"/>
      <c r="D4917" s="549"/>
      <c r="E4917" s="549"/>
      <c r="F4917" s="549"/>
      <c r="G4917" s="549"/>
      <c r="H4917" s="549"/>
      <c r="I4917" s="558"/>
      <c r="J4917" s="567"/>
      <c r="K4917" s="648">
        <f>SUM(K4916:K4916)</f>
        <v>1</v>
      </c>
      <c r="L4917" s="567">
        <f>SUM(L4916:L4916)</f>
        <v>0.14160000000000003</v>
      </c>
      <c r="M4917" s="549"/>
      <c r="N4917" s="549"/>
      <c r="O4917" s="549"/>
      <c r="P4917" s="549"/>
      <c r="Q4917" s="1059"/>
      <c r="R4917" s="1059"/>
    </row>
    <row r="4918" spans="1:18" ht="17.399999999999999">
      <c r="A4918" s="549"/>
      <c r="B4918" s="549"/>
      <c r="C4918" s="549"/>
      <c r="D4918" s="549"/>
      <c r="E4918" s="549"/>
      <c r="F4918" s="549"/>
      <c r="G4918" s="549"/>
      <c r="H4918" s="549"/>
      <c r="I4918" s="560"/>
      <c r="J4918" s="549"/>
      <c r="K4918" s="561"/>
      <c r="L4918" s="560"/>
      <c r="M4918" s="549"/>
      <c r="N4918" s="549"/>
      <c r="O4918" s="549"/>
      <c r="P4918" s="549"/>
      <c r="Q4918" s="1059"/>
      <c r="R4918" s="1059"/>
    </row>
    <row r="4919" spans="1:18" ht="17.399999999999999">
      <c r="A4919" s="547" t="s">
        <v>523</v>
      </c>
      <c r="B4919" s="547" t="s">
        <v>527</v>
      </c>
      <c r="C4919" s="547" t="s">
        <v>19</v>
      </c>
      <c r="D4919" s="547" t="s">
        <v>20</v>
      </c>
      <c r="E4919" s="547" t="s">
        <v>47</v>
      </c>
      <c r="F4919" s="549"/>
      <c r="G4919" s="549" t="s">
        <v>21</v>
      </c>
      <c r="H4919" s="549" t="s">
        <v>180</v>
      </c>
      <c r="I4919" s="558">
        <v>35.9</v>
      </c>
      <c r="J4919" s="647">
        <v>11.5</v>
      </c>
      <c r="K4919" s="648">
        <v>4</v>
      </c>
      <c r="L4919" s="552">
        <f>(I4919*J4919*K4919/1000)</f>
        <v>1.6513999999999998</v>
      </c>
      <c r="M4919" s="549"/>
      <c r="N4919" s="549"/>
      <c r="O4919" s="549"/>
      <c r="P4919" s="549"/>
      <c r="Q4919" s="1059"/>
      <c r="R4919" s="1059"/>
    </row>
    <row r="4920" spans="1:18" ht="17.399999999999999">
      <c r="A4920" s="549"/>
      <c r="B4920" s="549" t="s">
        <v>439</v>
      </c>
      <c r="C4920" s="549"/>
      <c r="D4920" s="549"/>
      <c r="E4920" s="549"/>
      <c r="F4920" s="549"/>
      <c r="G4920" s="549"/>
      <c r="H4920" s="549"/>
      <c r="I4920" s="558"/>
      <c r="J4920" s="567"/>
      <c r="K4920" s="648">
        <f>SUM(K4919:K4919)</f>
        <v>4</v>
      </c>
      <c r="L4920" s="567">
        <f>SUM(L4919:L4919)</f>
        <v>1.6513999999999998</v>
      </c>
      <c r="M4920" s="549"/>
      <c r="N4920" s="549"/>
      <c r="O4920" s="549"/>
      <c r="P4920" s="549"/>
      <c r="Q4920" s="1059"/>
      <c r="R4920" s="1059"/>
    </row>
    <row r="4921" spans="1:18" ht="17.399999999999999">
      <c r="A4921" s="549"/>
      <c r="B4921" s="549"/>
      <c r="C4921" s="549"/>
      <c r="D4921" s="549"/>
      <c r="E4921" s="549"/>
      <c r="F4921" s="549"/>
      <c r="G4921" s="549"/>
      <c r="H4921" s="549"/>
      <c r="I4921" s="560"/>
      <c r="J4921" s="549"/>
      <c r="K4921" s="561"/>
      <c r="L4921" s="560"/>
      <c r="M4921" s="549"/>
      <c r="N4921" s="549"/>
      <c r="O4921" s="549"/>
      <c r="P4921" s="549"/>
      <c r="Q4921" s="1059"/>
      <c r="R4921" s="1059"/>
    </row>
    <row r="4922" spans="1:18" ht="17.399999999999999">
      <c r="A4922" s="547" t="s">
        <v>523</v>
      </c>
      <c r="B4922" s="547" t="s">
        <v>527</v>
      </c>
      <c r="C4922" s="547" t="s">
        <v>19</v>
      </c>
      <c r="D4922" s="547" t="s">
        <v>20</v>
      </c>
      <c r="E4922" s="547" t="s">
        <v>47</v>
      </c>
      <c r="F4922" s="549"/>
      <c r="G4922" s="549" t="s">
        <v>21</v>
      </c>
      <c r="H4922" s="549" t="s">
        <v>181</v>
      </c>
      <c r="I4922" s="558">
        <v>40.1</v>
      </c>
      <c r="J4922" s="647">
        <v>6</v>
      </c>
      <c r="K4922" s="648">
        <v>1</v>
      </c>
      <c r="L4922" s="552">
        <f>(I4922*J4922*K4922/1000)</f>
        <v>0.24060000000000004</v>
      </c>
      <c r="M4922" s="549"/>
      <c r="N4922" s="549"/>
      <c r="O4922" s="549"/>
      <c r="P4922" s="549"/>
      <c r="Q4922" s="1059"/>
      <c r="R4922" s="1059"/>
    </row>
    <row r="4923" spans="1:18" ht="17.399999999999999">
      <c r="A4923" s="549"/>
      <c r="B4923" s="549" t="s">
        <v>439</v>
      </c>
      <c r="C4923" s="549"/>
      <c r="D4923" s="549"/>
      <c r="E4923" s="549"/>
      <c r="F4923" s="549"/>
      <c r="G4923" s="549"/>
      <c r="H4923" s="549"/>
      <c r="I4923" s="558"/>
      <c r="J4923" s="567"/>
      <c r="K4923" s="648">
        <f>SUM(K4922:K4922)</f>
        <v>1</v>
      </c>
      <c r="L4923" s="567">
        <f>SUM(L4922:L4922)</f>
        <v>0.24060000000000004</v>
      </c>
      <c r="M4923" s="549"/>
      <c r="N4923" s="549"/>
      <c r="O4923" s="549"/>
      <c r="P4923" s="549"/>
      <c r="Q4923" s="1059"/>
      <c r="R4923" s="1059"/>
    </row>
    <row r="4924" spans="1:18" ht="17.399999999999999">
      <c r="A4924" s="549"/>
      <c r="B4924" s="549"/>
      <c r="C4924" s="549"/>
      <c r="D4924" s="549"/>
      <c r="E4924" s="549"/>
      <c r="F4924" s="549"/>
      <c r="G4924" s="549"/>
      <c r="H4924" s="549"/>
      <c r="I4924" s="560"/>
      <c r="J4924" s="549"/>
      <c r="K4924" s="561"/>
      <c r="L4924" s="560"/>
      <c r="M4924" s="549"/>
      <c r="N4924" s="549"/>
      <c r="O4924" s="549"/>
      <c r="P4924" s="549"/>
      <c r="Q4924" s="1059"/>
      <c r="R4924" s="1059"/>
    </row>
    <row r="4925" spans="1:18" ht="17.399999999999999">
      <c r="A4925" s="549"/>
      <c r="B4925" s="549"/>
      <c r="C4925" s="549"/>
      <c r="D4925" s="549"/>
      <c r="E4925" s="549"/>
      <c r="F4925" s="549"/>
      <c r="G4925" s="549"/>
      <c r="H4925" s="549"/>
      <c r="I4925" s="560"/>
      <c r="J4925" s="549"/>
      <c r="K4925" s="561"/>
      <c r="L4925" s="560"/>
      <c r="M4925" s="549"/>
      <c r="N4925" s="549"/>
      <c r="O4925" s="549"/>
      <c r="P4925" s="549"/>
      <c r="Q4925" s="1059"/>
      <c r="R4925" s="1059"/>
    </row>
    <row r="4929" spans="1:19" ht="17.399999999999999">
      <c r="A4929" s="711" t="s">
        <v>48</v>
      </c>
      <c r="B4929" s="711"/>
      <c r="C4929" s="712"/>
      <c r="D4929" s="712"/>
      <c r="E4929" s="712"/>
      <c r="F4929" s="713"/>
      <c r="G4929" s="712"/>
      <c r="H4929" s="712"/>
      <c r="I4929" s="714"/>
      <c r="J4929" s="715"/>
      <c r="K4929" s="716"/>
      <c r="L4929" s="1978" t="s">
        <v>0</v>
      </c>
      <c r="M4929" s="1978"/>
      <c r="N4929" s="1978"/>
      <c r="O4929" s="1978"/>
      <c r="P4929" s="717"/>
      <c r="Q4929" s="717"/>
      <c r="R4929" s="717"/>
    </row>
    <row r="4930" spans="1:19" ht="17.399999999999999">
      <c r="A4930" s="718" t="s">
        <v>1</v>
      </c>
      <c r="B4930" s="718"/>
      <c r="C4930" s="718"/>
      <c r="D4930" s="719" t="s">
        <v>2</v>
      </c>
      <c r="E4930" s="719"/>
      <c r="F4930" s="720"/>
      <c r="G4930" s="720"/>
      <c r="H4930" s="720"/>
      <c r="I4930" s="721"/>
      <c r="J4930" s="837"/>
      <c r="K4930" s="723" t="s">
        <v>3</v>
      </c>
      <c r="L4930" s="837"/>
      <c r="M4930" s="718"/>
      <c r="N4930" s="720"/>
      <c r="O4930" s="718"/>
      <c r="P4930" s="724"/>
      <c r="Q4930" s="1059"/>
      <c r="R4930" s="1059"/>
    </row>
    <row r="4931" spans="1:19" ht="52.2">
      <c r="A4931" s="640" t="s">
        <v>4</v>
      </c>
      <c r="B4931" s="640" t="s">
        <v>5</v>
      </c>
      <c r="C4931" s="640" t="s">
        <v>6</v>
      </c>
      <c r="D4931" s="640" t="s">
        <v>7</v>
      </c>
      <c r="E4931" s="640" t="s">
        <v>8</v>
      </c>
      <c r="F4931" s="641" t="s">
        <v>9</v>
      </c>
      <c r="G4931" s="642" t="s">
        <v>10</v>
      </c>
      <c r="H4931" s="642" t="s">
        <v>11</v>
      </c>
      <c r="I4931" s="643" t="s">
        <v>12</v>
      </c>
      <c r="J4931" s="644" t="s">
        <v>13</v>
      </c>
      <c r="K4931" s="645" t="s">
        <v>14</v>
      </c>
      <c r="L4931" s="646" t="s">
        <v>15</v>
      </c>
      <c r="M4931" s="641" t="s">
        <v>16</v>
      </c>
      <c r="N4931" s="641" t="s">
        <v>17</v>
      </c>
      <c r="O4931" s="642" t="s">
        <v>18</v>
      </c>
      <c r="P4931" s="641" t="s">
        <v>192</v>
      </c>
      <c r="Q4931" s="1063"/>
      <c r="R4931" s="1063"/>
    </row>
    <row r="4932" spans="1:19" s="497" customFormat="1" ht="17.399999999999999">
      <c r="A4932" s="549"/>
      <c r="B4932" s="549"/>
      <c r="C4932" s="549"/>
      <c r="D4932" s="549"/>
      <c r="E4932" s="549"/>
      <c r="F4932" s="549"/>
      <c r="G4932" s="549"/>
      <c r="H4932" s="549"/>
      <c r="I4932" s="558"/>
      <c r="J4932" s="567"/>
      <c r="K4932" s="648"/>
      <c r="L4932" s="567"/>
      <c r="M4932" s="549"/>
      <c r="N4932" s="549"/>
      <c r="O4932" s="549"/>
      <c r="P4932" s="549"/>
      <c r="Q4932" s="1059"/>
      <c r="R4932" s="1059"/>
    </row>
    <row r="4933" spans="1:19" ht="17.399999999999999">
      <c r="A4933" s="547" t="s">
        <v>445</v>
      </c>
      <c r="B4933" s="547" t="s">
        <v>487</v>
      </c>
      <c r="C4933" s="547" t="s">
        <v>19</v>
      </c>
      <c r="D4933" s="547" t="s">
        <v>20</v>
      </c>
      <c r="E4933" s="547" t="s">
        <v>47</v>
      </c>
      <c r="F4933" s="548">
        <v>13</v>
      </c>
      <c r="G4933" s="549" t="s">
        <v>21</v>
      </c>
      <c r="H4933" s="599" t="s">
        <v>120</v>
      </c>
      <c r="I4933" s="558">
        <v>18.2</v>
      </c>
      <c r="J4933" s="567">
        <v>6.1</v>
      </c>
      <c r="K4933" s="648">
        <v>26</v>
      </c>
      <c r="L4933" s="552">
        <f t="shared" ref="L4933:L4940" si="991">(I4933*J4933*K4933/1000)</f>
        <v>2.88652</v>
      </c>
      <c r="M4933" s="549"/>
      <c r="N4933" s="549"/>
      <c r="O4933" s="549"/>
      <c r="P4933" s="549"/>
      <c r="Q4933" s="1059"/>
      <c r="R4933" s="1059"/>
      <c r="S4933" s="497" t="s">
        <v>568</v>
      </c>
    </row>
    <row r="4934" spans="1:19" ht="17.399999999999999">
      <c r="A4934" s="547"/>
      <c r="B4934" s="752" t="s">
        <v>439</v>
      </c>
      <c r="C4934" s="547"/>
      <c r="D4934" s="547"/>
      <c r="E4934" s="547"/>
      <c r="F4934" s="549"/>
      <c r="G4934" s="549" t="s">
        <v>21</v>
      </c>
      <c r="H4934" s="549" t="s">
        <v>120</v>
      </c>
      <c r="I4934" s="558">
        <v>18.2</v>
      </c>
      <c r="J4934" s="567">
        <v>7.5</v>
      </c>
      <c r="K4934" s="648">
        <v>4</v>
      </c>
      <c r="L4934" s="552">
        <f t="shared" si="991"/>
        <v>0.54600000000000004</v>
      </c>
      <c r="M4934" s="549"/>
      <c r="N4934" s="549"/>
      <c r="O4934" s="567">
        <v>6.9</v>
      </c>
      <c r="P4934" s="549"/>
      <c r="Q4934" s="1059"/>
      <c r="R4934" s="1059"/>
    </row>
    <row r="4935" spans="1:19" ht="17.399999999999999">
      <c r="A4935" s="549"/>
      <c r="B4935" s="549"/>
      <c r="C4935" s="549"/>
      <c r="D4935" s="549"/>
      <c r="E4935" s="549"/>
      <c r="F4935" s="549"/>
      <c r="G4935" s="549" t="s">
        <v>21</v>
      </c>
      <c r="H4935" s="549" t="s">
        <v>120</v>
      </c>
      <c r="I4935" s="558">
        <v>18.2</v>
      </c>
      <c r="J4935" s="567">
        <v>8.5</v>
      </c>
      <c r="K4935" s="648">
        <v>15</v>
      </c>
      <c r="L4935" s="552">
        <f t="shared" si="991"/>
        <v>2.3205</v>
      </c>
      <c r="M4935" s="549"/>
      <c r="N4935" s="549"/>
      <c r="O4935" s="549"/>
      <c r="P4935" s="549"/>
      <c r="Q4935" s="1059"/>
      <c r="R4935" s="1059"/>
    </row>
    <row r="4936" spans="1:19" ht="17.399999999999999">
      <c r="A4936" s="549"/>
      <c r="B4936" s="549"/>
      <c r="C4936" s="549"/>
      <c r="D4936" s="549"/>
      <c r="E4936" s="549"/>
      <c r="F4936" s="549"/>
      <c r="G4936" s="549" t="s">
        <v>21</v>
      </c>
      <c r="H4936" s="549" t="s">
        <v>120</v>
      </c>
      <c r="I4936" s="558">
        <v>18.2</v>
      </c>
      <c r="J4936" s="567">
        <v>10</v>
      </c>
      <c r="K4936" s="648">
        <v>58</v>
      </c>
      <c r="L4936" s="552">
        <f t="shared" si="991"/>
        <v>10.555999999999999</v>
      </c>
      <c r="M4936" s="549"/>
      <c r="N4936" s="549"/>
      <c r="O4936" s="549"/>
      <c r="P4936" s="549"/>
      <c r="Q4936" s="1059"/>
      <c r="R4936" s="1059"/>
    </row>
    <row r="4937" spans="1:19" ht="17.399999999999999">
      <c r="A4937" s="549"/>
      <c r="B4937" s="549"/>
      <c r="C4937" s="549"/>
      <c r="D4937" s="549"/>
      <c r="E4937" s="549"/>
      <c r="F4937" s="549"/>
      <c r="G4937" s="549" t="s">
        <v>21</v>
      </c>
      <c r="H4937" s="549" t="s">
        <v>120</v>
      </c>
      <c r="I4937" s="558">
        <v>18.2</v>
      </c>
      <c r="J4937" s="567">
        <v>10.9</v>
      </c>
      <c r="K4937" s="648">
        <v>29</v>
      </c>
      <c r="L4937" s="552">
        <f t="shared" si="991"/>
        <v>5.7530199999999994</v>
      </c>
      <c r="M4937" s="549"/>
      <c r="N4937" s="549"/>
      <c r="O4937" s="549"/>
      <c r="P4937" s="549"/>
      <c r="Q4937" s="1059"/>
      <c r="R4937" s="1059"/>
    </row>
    <row r="4938" spans="1:19" ht="17.399999999999999">
      <c r="A4938" s="549"/>
      <c r="B4938" s="549"/>
      <c r="C4938" s="549"/>
      <c r="D4938" s="549"/>
      <c r="E4938" s="549"/>
      <c r="F4938" s="549"/>
      <c r="G4938" s="549" t="s">
        <v>21</v>
      </c>
      <c r="H4938" s="549" t="s">
        <v>120</v>
      </c>
      <c r="I4938" s="558">
        <v>18.2</v>
      </c>
      <c r="J4938" s="567">
        <v>11.1</v>
      </c>
      <c r="K4938" s="648">
        <v>9</v>
      </c>
      <c r="L4938" s="552">
        <f t="shared" si="991"/>
        <v>1.8181799999999999</v>
      </c>
      <c r="M4938" s="549"/>
      <c r="N4938" s="549"/>
      <c r="O4938" s="549"/>
      <c r="P4938" s="549"/>
      <c r="Q4938" s="1059"/>
      <c r="R4938" s="1059"/>
    </row>
    <row r="4939" spans="1:19" ht="17.399999999999999">
      <c r="A4939" s="549"/>
      <c r="B4939" s="549"/>
      <c r="C4939" s="549"/>
      <c r="D4939" s="549"/>
      <c r="E4939" s="549"/>
      <c r="F4939" s="549"/>
      <c r="G4939" s="549" t="s">
        <v>21</v>
      </c>
      <c r="H4939" s="549" t="s">
        <v>120</v>
      </c>
      <c r="I4939" s="558">
        <v>18.2</v>
      </c>
      <c r="J4939" s="567">
        <v>11.5</v>
      </c>
      <c r="K4939" s="648">
        <v>22</v>
      </c>
      <c r="L4939" s="552">
        <f t="shared" si="991"/>
        <v>4.6045999999999996</v>
      </c>
      <c r="M4939" s="549"/>
      <c r="N4939" s="549"/>
      <c r="O4939" s="549"/>
      <c r="P4939" s="549"/>
      <c r="Q4939" s="1059"/>
      <c r="R4939" s="1059"/>
    </row>
    <row r="4940" spans="1:19" ht="17.399999999999999">
      <c r="A4940" s="549"/>
      <c r="B4940" s="549"/>
      <c r="C4940" s="549"/>
      <c r="D4940" s="549"/>
      <c r="E4940" s="549"/>
      <c r="F4940" s="549"/>
      <c r="G4940" s="549" t="s">
        <v>21</v>
      </c>
      <c r="H4940" s="549" t="s">
        <v>120</v>
      </c>
      <c r="I4940" s="558">
        <v>18.2</v>
      </c>
      <c r="J4940" s="567">
        <v>12</v>
      </c>
      <c r="K4940" s="648">
        <v>20</v>
      </c>
      <c r="L4940" s="552">
        <f t="shared" si="991"/>
        <v>4.3680000000000003</v>
      </c>
      <c r="M4940" s="549"/>
      <c r="N4940" s="549"/>
      <c r="O4940" s="549"/>
      <c r="P4940" s="549"/>
      <c r="Q4940" s="1059"/>
      <c r="R4940" s="1059"/>
    </row>
    <row r="4941" spans="1:19" ht="17.399999999999999">
      <c r="A4941" s="549"/>
      <c r="B4941" s="549"/>
      <c r="C4941" s="549"/>
      <c r="D4941" s="549"/>
      <c r="E4941" s="549"/>
      <c r="F4941" s="549"/>
      <c r="G4941" s="549"/>
      <c r="H4941" s="549"/>
      <c r="I4941" s="558"/>
      <c r="J4941" s="567"/>
      <c r="K4941" s="648">
        <f>SUM(K4933:K4940)</f>
        <v>183</v>
      </c>
      <c r="L4941" s="732">
        <f>SUM(L4933:L4940)</f>
        <v>32.852820000000001</v>
      </c>
      <c r="M4941" s="549"/>
      <c r="N4941" s="549"/>
      <c r="O4941" s="549"/>
      <c r="P4941" s="549"/>
      <c r="Q4941" s="1059"/>
      <c r="R4941" s="1059"/>
    </row>
    <row r="4942" spans="1:19" s="497" customFormat="1" ht="17.399999999999999">
      <c r="A4942" s="549"/>
      <c r="B4942" s="549"/>
      <c r="C4942" s="549"/>
      <c r="D4942" s="549"/>
      <c r="E4942" s="549"/>
      <c r="F4942" s="549"/>
      <c r="G4942" s="549"/>
      <c r="H4942" s="549"/>
      <c r="I4942" s="558"/>
      <c r="J4942" s="567"/>
      <c r="K4942" s="648"/>
      <c r="L4942" s="567"/>
      <c r="M4942" s="549"/>
      <c r="N4942" s="549"/>
      <c r="O4942" s="549"/>
      <c r="P4942" s="549"/>
      <c r="Q4942" s="1059"/>
      <c r="R4942" s="1059"/>
    </row>
    <row r="4943" spans="1:19" ht="17.399999999999999">
      <c r="A4943" s="547" t="s">
        <v>445</v>
      </c>
      <c r="B4943" s="547" t="s">
        <v>517</v>
      </c>
      <c r="C4943" s="547" t="s">
        <v>19</v>
      </c>
      <c r="D4943" s="547" t="s">
        <v>20</v>
      </c>
      <c r="E4943" s="547" t="s">
        <v>57</v>
      </c>
      <c r="F4943" s="548">
        <v>13</v>
      </c>
      <c r="G4943" s="549" t="s">
        <v>21</v>
      </c>
      <c r="H4943" s="599" t="s">
        <v>120</v>
      </c>
      <c r="I4943" s="558">
        <v>18.2</v>
      </c>
      <c r="J4943" s="567">
        <v>9.1</v>
      </c>
      <c r="K4943" s="648">
        <v>148</v>
      </c>
      <c r="L4943" s="552">
        <f>(I4943*J4943*K4943/1000)</f>
        <v>24.511759999999995</v>
      </c>
      <c r="M4943" s="549"/>
      <c r="N4943" s="549"/>
      <c r="O4943" s="549"/>
      <c r="P4943" s="549"/>
      <c r="Q4943" s="1059"/>
      <c r="R4943" s="1059"/>
      <c r="S4943" s="497" t="s">
        <v>568</v>
      </c>
    </row>
    <row r="4944" spans="1:19" ht="17.399999999999999">
      <c r="A4944" s="547"/>
      <c r="B4944" s="549" t="s">
        <v>423</v>
      </c>
      <c r="C4944" s="547"/>
      <c r="D4944" s="547"/>
      <c r="E4944" s="547"/>
      <c r="F4944" s="549"/>
      <c r="G4944" s="549"/>
      <c r="H4944" s="549"/>
      <c r="I4944" s="558"/>
      <c r="J4944" s="567"/>
      <c r="K4944" s="648">
        <f t="shared" ref="K4944:L4944" si="992">SUM(K4943)</f>
        <v>148</v>
      </c>
      <c r="L4944" s="732">
        <f t="shared" si="992"/>
        <v>24.511759999999995</v>
      </c>
      <c r="M4944" s="549"/>
      <c r="N4944" s="549"/>
      <c r="O4944" s="549"/>
      <c r="P4944" s="549"/>
      <c r="Q4944" s="1059"/>
      <c r="R4944" s="1059"/>
    </row>
    <row r="4945" spans="1:19" s="497" customFormat="1" ht="17.399999999999999">
      <c r="A4945" s="547"/>
      <c r="B4945" s="549"/>
      <c r="C4945" s="547"/>
      <c r="D4945" s="547"/>
      <c r="E4945" s="547"/>
      <c r="F4945" s="549"/>
      <c r="G4945" s="549"/>
      <c r="H4945" s="549"/>
      <c r="I4945" s="558"/>
      <c r="J4945" s="567"/>
      <c r="K4945" s="648"/>
      <c r="L4945" s="567"/>
      <c r="M4945" s="549"/>
      <c r="N4945" s="549"/>
      <c r="O4945" s="549"/>
      <c r="P4945" s="549"/>
      <c r="Q4945" s="1059"/>
      <c r="R4945" s="1059"/>
    </row>
    <row r="4946" spans="1:19" ht="17.399999999999999">
      <c r="A4946" s="547" t="s">
        <v>445</v>
      </c>
      <c r="B4946" s="547" t="s">
        <v>488</v>
      </c>
      <c r="C4946" s="547" t="s">
        <v>19</v>
      </c>
      <c r="D4946" s="547" t="s">
        <v>20</v>
      </c>
      <c r="E4946" s="547" t="s">
        <v>47</v>
      </c>
      <c r="F4946" s="548">
        <v>13</v>
      </c>
      <c r="G4946" s="549" t="s">
        <v>21</v>
      </c>
      <c r="H4946" s="599" t="s">
        <v>120</v>
      </c>
      <c r="I4946" s="558">
        <v>18.2</v>
      </c>
      <c r="J4946" s="567">
        <v>7.5</v>
      </c>
      <c r="K4946" s="648">
        <v>7</v>
      </c>
      <c r="L4946" s="552">
        <f t="shared" ref="L4946:L4951" si="993">(I4946*J4946*K4946/1000)</f>
        <v>0.95550000000000002</v>
      </c>
      <c r="M4946" s="549"/>
      <c r="N4946" s="549"/>
      <c r="O4946" s="567">
        <v>6.9</v>
      </c>
      <c r="P4946" s="549"/>
      <c r="Q4946" s="1059"/>
      <c r="R4946" s="1059"/>
      <c r="S4946" s="497" t="s">
        <v>568</v>
      </c>
    </row>
    <row r="4947" spans="1:19" ht="17.399999999999999">
      <c r="A4947" s="547"/>
      <c r="B4947" s="752" t="s">
        <v>439</v>
      </c>
      <c r="C4947" s="547"/>
      <c r="D4947" s="547"/>
      <c r="E4947" s="547"/>
      <c r="F4947" s="549"/>
      <c r="G4947" s="549" t="s">
        <v>21</v>
      </c>
      <c r="H4947" s="549" t="s">
        <v>120</v>
      </c>
      <c r="I4947" s="558">
        <v>18.2</v>
      </c>
      <c r="J4947" s="567">
        <v>7.5</v>
      </c>
      <c r="K4947" s="648">
        <v>16</v>
      </c>
      <c r="L4947" s="552">
        <f t="shared" si="993"/>
        <v>2.1840000000000002</v>
      </c>
      <c r="M4947" s="549"/>
      <c r="N4947" s="549"/>
      <c r="O4947" s="549"/>
      <c r="P4947" s="549"/>
      <c r="Q4947" s="1059"/>
      <c r="R4947" s="1059"/>
    </row>
    <row r="4948" spans="1:19" ht="17.399999999999999">
      <c r="A4948" s="549"/>
      <c r="B4948" s="549"/>
      <c r="C4948" s="549"/>
      <c r="D4948" s="549"/>
      <c r="E4948" s="549"/>
      <c r="F4948" s="549"/>
      <c r="G4948" s="549" t="s">
        <v>21</v>
      </c>
      <c r="H4948" s="549" t="s">
        <v>120</v>
      </c>
      <c r="I4948" s="558">
        <v>18.2</v>
      </c>
      <c r="J4948" s="567">
        <v>8.5</v>
      </c>
      <c r="K4948" s="648">
        <v>13</v>
      </c>
      <c r="L4948" s="552">
        <f t="shared" si="993"/>
        <v>2.0110999999999999</v>
      </c>
      <c r="M4948" s="549"/>
      <c r="N4948" s="549"/>
      <c r="O4948" s="549"/>
      <c r="P4948" s="549"/>
      <c r="Q4948" s="1059"/>
      <c r="R4948" s="1059"/>
    </row>
    <row r="4949" spans="1:19" ht="17.399999999999999">
      <c r="A4949" s="549"/>
      <c r="B4949" s="549"/>
      <c r="C4949" s="549"/>
      <c r="D4949" s="549"/>
      <c r="E4949" s="549"/>
      <c r="F4949" s="549"/>
      <c r="G4949" s="549" t="s">
        <v>21</v>
      </c>
      <c r="H4949" s="549" t="s">
        <v>120</v>
      </c>
      <c r="I4949" s="558">
        <v>18.2</v>
      </c>
      <c r="J4949" s="567">
        <v>9.8000000000000007</v>
      </c>
      <c r="K4949" s="648">
        <v>32</v>
      </c>
      <c r="L4949" s="552">
        <f t="shared" si="993"/>
        <v>5.7075200000000006</v>
      </c>
      <c r="M4949" s="549"/>
      <c r="N4949" s="549"/>
      <c r="O4949" s="549"/>
      <c r="P4949" s="549"/>
      <c r="Q4949" s="1059"/>
      <c r="R4949" s="1059"/>
    </row>
    <row r="4950" spans="1:19" ht="17.399999999999999">
      <c r="A4950" s="549"/>
      <c r="B4950" s="549"/>
      <c r="C4950" s="549"/>
      <c r="D4950" s="549"/>
      <c r="E4950" s="549"/>
      <c r="F4950" s="549"/>
      <c r="G4950" s="549" t="s">
        <v>21</v>
      </c>
      <c r="H4950" s="549" t="s">
        <v>120</v>
      </c>
      <c r="I4950" s="558">
        <v>18.2</v>
      </c>
      <c r="J4950" s="567">
        <v>10.9</v>
      </c>
      <c r="K4950" s="648">
        <v>16</v>
      </c>
      <c r="L4950" s="552">
        <f t="shared" si="993"/>
        <v>3.17408</v>
      </c>
      <c r="M4950" s="549"/>
      <c r="N4950" s="549"/>
      <c r="O4950" s="567">
        <v>10.8</v>
      </c>
      <c r="P4950" s="549"/>
      <c r="Q4950" s="1059"/>
      <c r="R4950" s="1059"/>
    </row>
    <row r="4951" spans="1:19" ht="17.399999999999999">
      <c r="A4951" s="549"/>
      <c r="B4951" s="549"/>
      <c r="C4951" s="549"/>
      <c r="D4951" s="549"/>
      <c r="E4951" s="549"/>
      <c r="F4951" s="549"/>
      <c r="G4951" s="549" t="s">
        <v>21</v>
      </c>
      <c r="H4951" s="549" t="s">
        <v>120</v>
      </c>
      <c r="I4951" s="558">
        <v>18.2</v>
      </c>
      <c r="J4951" s="567">
        <v>11.1</v>
      </c>
      <c r="K4951" s="648">
        <v>12</v>
      </c>
      <c r="L4951" s="552">
        <f t="shared" si="993"/>
        <v>2.4242399999999997</v>
      </c>
      <c r="M4951" s="549"/>
      <c r="N4951" s="549"/>
      <c r="O4951" s="549"/>
      <c r="P4951" s="549"/>
      <c r="Q4951" s="1059"/>
      <c r="R4951" s="1059"/>
    </row>
    <row r="4952" spans="1:19" ht="17.399999999999999">
      <c r="A4952" s="549"/>
      <c r="B4952" s="549"/>
      <c r="C4952" s="549"/>
      <c r="D4952" s="549"/>
      <c r="E4952" s="549"/>
      <c r="F4952" s="549"/>
      <c r="G4952" s="549"/>
      <c r="H4952" s="549"/>
      <c r="I4952" s="558"/>
      <c r="J4952" s="567"/>
      <c r="K4952" s="648">
        <f t="shared" ref="K4952:L4952" si="994">SUM(K4946:K4951)</f>
        <v>96</v>
      </c>
      <c r="L4952" s="732">
        <f t="shared" si="994"/>
        <v>16.456440000000001</v>
      </c>
      <c r="M4952" s="549"/>
      <c r="N4952" s="549"/>
      <c r="O4952" s="549"/>
      <c r="P4952" s="549"/>
      <c r="Q4952" s="1059"/>
      <c r="R4952" s="1059"/>
    </row>
    <row r="4953" spans="1:19" ht="17.399999999999999">
      <c r="A4953" s="549"/>
      <c r="B4953" s="549"/>
      <c r="C4953" s="549"/>
      <c r="D4953" s="549"/>
      <c r="E4953" s="549"/>
      <c r="F4953" s="549"/>
      <c r="G4953" s="549"/>
      <c r="H4953" s="549"/>
      <c r="I4953" s="560"/>
      <c r="J4953" s="549"/>
      <c r="K4953" s="561"/>
      <c r="L4953" s="560"/>
      <c r="M4953" s="549"/>
      <c r="N4953" s="549"/>
      <c r="O4953" s="549"/>
      <c r="P4953" s="549"/>
      <c r="Q4953" s="1059"/>
      <c r="R4953" s="1059"/>
    </row>
    <row r="4954" spans="1:19" ht="17.399999999999999">
      <c r="A4954" s="547" t="s">
        <v>481</v>
      </c>
      <c r="B4954" s="547" t="s">
        <v>520</v>
      </c>
      <c r="C4954" s="547" t="s">
        <v>19</v>
      </c>
      <c r="D4954" s="547" t="s">
        <v>20</v>
      </c>
      <c r="E4954" s="547" t="s">
        <v>57</v>
      </c>
      <c r="F4954" s="548">
        <v>13</v>
      </c>
      <c r="G4954" s="549" t="s">
        <v>21</v>
      </c>
      <c r="H4954" s="599" t="s">
        <v>120</v>
      </c>
      <c r="I4954" s="558">
        <v>18.2</v>
      </c>
      <c r="J4954" s="567">
        <v>6.2</v>
      </c>
      <c r="K4954" s="648">
        <v>260</v>
      </c>
      <c r="L4954" s="552">
        <f>(I4954*J4954*K4954/1000)</f>
        <v>29.3384</v>
      </c>
      <c r="M4954" s="549"/>
      <c r="N4954" s="549"/>
      <c r="O4954" s="549"/>
      <c r="P4954" s="549"/>
      <c r="Q4954" s="1059"/>
      <c r="R4954" s="1059"/>
      <c r="S4954" s="497" t="s">
        <v>568</v>
      </c>
    </row>
    <row r="4955" spans="1:19" ht="17.399999999999999">
      <c r="A4955" s="547"/>
      <c r="B4955" s="560" t="s">
        <v>443</v>
      </c>
      <c r="C4955" s="547"/>
      <c r="D4955" s="547"/>
      <c r="E4955" s="547"/>
      <c r="F4955" s="549"/>
      <c r="G4955" s="549" t="s">
        <v>21</v>
      </c>
      <c r="H4955" s="549" t="s">
        <v>120</v>
      </c>
      <c r="I4955" s="558">
        <v>18.2</v>
      </c>
      <c r="J4955" s="567">
        <v>8.5</v>
      </c>
      <c r="K4955" s="648">
        <v>174</v>
      </c>
      <c r="L4955" s="552">
        <f>(I4955*J4955*K4955/1000)</f>
        <v>26.9178</v>
      </c>
      <c r="M4955" s="549"/>
      <c r="N4955" s="549"/>
      <c r="O4955" s="549"/>
      <c r="P4955" s="549"/>
      <c r="Q4955" s="1059"/>
      <c r="R4955" s="1059"/>
    </row>
    <row r="4956" spans="1:19" ht="17.399999999999999">
      <c r="A4956" s="549"/>
      <c r="B4956" s="549"/>
      <c r="C4956" s="549"/>
      <c r="D4956" s="549"/>
      <c r="E4956" s="549"/>
      <c r="F4956" s="549"/>
      <c r="G4956" s="549" t="s">
        <v>21</v>
      </c>
      <c r="H4956" s="549" t="s">
        <v>120</v>
      </c>
      <c r="I4956" s="558">
        <v>18.2</v>
      </c>
      <c r="J4956" s="567">
        <v>9.8000000000000007</v>
      </c>
      <c r="K4956" s="648">
        <v>17</v>
      </c>
      <c r="L4956" s="552">
        <f>(I4956*J4956*K4956/1000)</f>
        <v>3.0321200000000004</v>
      </c>
      <c r="M4956" s="549"/>
      <c r="N4956" s="549"/>
      <c r="O4956" s="567">
        <v>9.6999999999999993</v>
      </c>
      <c r="P4956" s="549"/>
      <c r="Q4956" s="1059"/>
      <c r="R4956" s="1059"/>
    </row>
    <row r="4957" spans="1:19" ht="17.399999999999999">
      <c r="A4957" s="549"/>
      <c r="B4957" s="549"/>
      <c r="C4957" s="549"/>
      <c r="D4957" s="549"/>
      <c r="E4957" s="549"/>
      <c r="F4957" s="549"/>
      <c r="G4957" s="549" t="s">
        <v>21</v>
      </c>
      <c r="H4957" s="549" t="s">
        <v>120</v>
      </c>
      <c r="I4957" s="558">
        <v>18.2</v>
      </c>
      <c r="J4957" s="567">
        <v>9.8000000000000007</v>
      </c>
      <c r="K4957" s="648">
        <v>39</v>
      </c>
      <c r="L4957" s="552">
        <f>(I4957*J4957*K4957/1000)</f>
        <v>6.9560400000000007</v>
      </c>
      <c r="M4957" s="549"/>
      <c r="N4957" s="549"/>
      <c r="O4957" s="549"/>
      <c r="P4957" s="549"/>
      <c r="Q4957" s="1059"/>
      <c r="R4957" s="1059"/>
    </row>
    <row r="4958" spans="1:19" ht="17.399999999999999">
      <c r="A4958" s="549"/>
      <c r="B4958" s="549"/>
      <c r="C4958" s="549"/>
      <c r="D4958" s="549"/>
      <c r="E4958" s="549"/>
      <c r="F4958" s="549"/>
      <c r="G4958" s="549" t="s">
        <v>21</v>
      </c>
      <c r="H4958" s="549" t="s">
        <v>120</v>
      </c>
      <c r="I4958" s="558">
        <v>18.2</v>
      </c>
      <c r="J4958" s="567">
        <v>11.1</v>
      </c>
      <c r="K4958" s="648">
        <v>88</v>
      </c>
      <c r="L4958" s="552">
        <f>(I4958*J4958*K4958/1000)</f>
        <v>17.777759999999997</v>
      </c>
      <c r="M4958" s="549"/>
      <c r="N4958" s="549"/>
      <c r="O4958" s="549"/>
      <c r="P4958" s="549"/>
      <c r="Q4958" s="1059"/>
      <c r="R4958" s="1059"/>
    </row>
    <row r="4959" spans="1:19" ht="17.399999999999999">
      <c r="A4959" s="549"/>
      <c r="B4959" s="549"/>
      <c r="C4959" s="549"/>
      <c r="D4959" s="549"/>
      <c r="E4959" s="549"/>
      <c r="F4959" s="549"/>
      <c r="G4959" s="650"/>
      <c r="H4959" s="549"/>
      <c r="I4959" s="558"/>
      <c r="J4959" s="567"/>
      <c r="K4959" s="648">
        <f t="shared" ref="K4959:L4959" si="995">SUM(K4954:K4958)</f>
        <v>578</v>
      </c>
      <c r="L4959" s="732">
        <f t="shared" si="995"/>
        <v>84.022120000000001</v>
      </c>
      <c r="M4959" s="549"/>
      <c r="N4959" s="549"/>
      <c r="O4959" s="549"/>
      <c r="P4959" s="549"/>
      <c r="Q4959" s="1059"/>
      <c r="R4959" s="1059"/>
    </row>
    <row r="4960" spans="1:19" ht="17.399999999999999">
      <c r="A4960" s="549"/>
      <c r="B4960" s="549"/>
      <c r="C4960" s="549"/>
      <c r="D4960" s="549"/>
      <c r="E4960" s="549"/>
      <c r="F4960" s="549"/>
      <c r="G4960" s="549"/>
      <c r="H4960" s="549"/>
      <c r="I4960" s="560"/>
      <c r="J4960" s="549"/>
      <c r="K4960" s="561"/>
      <c r="L4960" s="560"/>
      <c r="M4960" s="549"/>
      <c r="N4960" s="549"/>
      <c r="O4960" s="549"/>
      <c r="P4960" s="549"/>
      <c r="Q4960" s="1059"/>
      <c r="R4960" s="1059"/>
    </row>
    <row r="4961" spans="1:19" ht="17.399999999999999">
      <c r="A4961" s="547" t="s">
        <v>481</v>
      </c>
      <c r="B4961" s="547" t="s">
        <v>520</v>
      </c>
      <c r="C4961" s="547" t="s">
        <v>19</v>
      </c>
      <c r="D4961" s="547" t="s">
        <v>20</v>
      </c>
      <c r="E4961" s="547" t="s">
        <v>175</v>
      </c>
      <c r="F4961" s="548">
        <v>13</v>
      </c>
      <c r="G4961" s="549" t="s">
        <v>21</v>
      </c>
      <c r="H4961" s="599" t="s">
        <v>120</v>
      </c>
      <c r="I4961" s="558">
        <v>18.2</v>
      </c>
      <c r="J4961" s="567">
        <v>6.1</v>
      </c>
      <c r="K4961" s="648">
        <v>17</v>
      </c>
      <c r="L4961" s="552">
        <f>(I4961*J4961*K4961/1000)</f>
        <v>1.88734</v>
      </c>
      <c r="M4961" s="549"/>
      <c r="N4961" s="549"/>
      <c r="O4961" s="549"/>
      <c r="P4961" s="549"/>
      <c r="Q4961" s="1059"/>
      <c r="R4961" s="1059"/>
      <c r="S4961" s="497" t="s">
        <v>568</v>
      </c>
    </row>
    <row r="4962" spans="1:19" ht="17.399999999999999">
      <c r="A4962" s="547"/>
      <c r="B4962" s="560" t="s">
        <v>443</v>
      </c>
      <c r="C4962" s="547"/>
      <c r="D4962" s="547"/>
      <c r="E4962" s="547"/>
      <c r="F4962" s="549"/>
      <c r="G4962" s="650"/>
      <c r="H4962" s="549"/>
      <c r="I4962" s="558"/>
      <c r="J4962" s="567"/>
      <c r="K4962" s="648">
        <f t="shared" ref="K4962:L4962" si="996">SUM(K4961)</f>
        <v>17</v>
      </c>
      <c r="L4962" s="732">
        <f t="shared" si="996"/>
        <v>1.88734</v>
      </c>
      <c r="M4962" s="549"/>
      <c r="N4962" s="549"/>
      <c r="O4962" s="549"/>
      <c r="P4962" s="549"/>
      <c r="Q4962" s="1059"/>
      <c r="R4962" s="1059"/>
    </row>
    <row r="4963" spans="1:19" s="497" customFormat="1" ht="17.399999999999999">
      <c r="A4963" s="547"/>
      <c r="B4963" s="560"/>
      <c r="C4963" s="547"/>
      <c r="D4963" s="547"/>
      <c r="E4963" s="547"/>
      <c r="F4963" s="549"/>
      <c r="G4963" s="650"/>
      <c r="H4963" s="549"/>
      <c r="I4963" s="558"/>
      <c r="J4963" s="567"/>
      <c r="K4963" s="648"/>
      <c r="L4963" s="567"/>
      <c r="M4963" s="549"/>
      <c r="N4963" s="549"/>
      <c r="O4963" s="549"/>
      <c r="P4963" s="549"/>
      <c r="Q4963" s="1059"/>
      <c r="R4963" s="1059"/>
    </row>
    <row r="4964" spans="1:19" ht="17.399999999999999">
      <c r="A4964" s="547" t="s">
        <v>523</v>
      </c>
      <c r="B4964" s="547" t="s">
        <v>525</v>
      </c>
      <c r="C4964" s="547" t="s">
        <v>19</v>
      </c>
      <c r="D4964" s="547" t="s">
        <v>20</v>
      </c>
      <c r="E4964" s="547" t="s">
        <v>47</v>
      </c>
      <c r="F4964" s="548">
        <v>13</v>
      </c>
      <c r="G4964" s="549" t="s">
        <v>21</v>
      </c>
      <c r="H4964" s="599" t="s">
        <v>120</v>
      </c>
      <c r="I4964" s="558">
        <v>18.2</v>
      </c>
      <c r="J4964" s="567">
        <v>8.5</v>
      </c>
      <c r="K4964" s="648">
        <v>2</v>
      </c>
      <c r="L4964" s="552">
        <f>(I4964*J4964*K4964/1000)</f>
        <v>0.30939999999999995</v>
      </c>
      <c r="M4964" s="549"/>
      <c r="N4964" s="549"/>
      <c r="O4964" s="549"/>
      <c r="P4964" s="549"/>
      <c r="Q4964" s="1059"/>
      <c r="R4964" s="1059"/>
      <c r="S4964" s="497" t="s">
        <v>568</v>
      </c>
    </row>
    <row r="4965" spans="1:19" ht="17.399999999999999">
      <c r="A4965" s="547"/>
      <c r="B4965" s="752" t="s">
        <v>439</v>
      </c>
      <c r="C4965" s="547"/>
      <c r="D4965" s="547"/>
      <c r="E4965" s="547"/>
      <c r="F4965" s="549"/>
      <c r="G4965" s="549"/>
      <c r="H4965" s="549"/>
      <c r="I4965" s="558"/>
      <c r="J4965" s="567"/>
      <c r="K4965" s="648">
        <f>SUM(K4964)</f>
        <v>2</v>
      </c>
      <c r="L4965" s="732">
        <f>SUM(L4964)</f>
        <v>0.30939999999999995</v>
      </c>
      <c r="M4965" s="549"/>
      <c r="N4965" s="549"/>
      <c r="O4965" s="549"/>
      <c r="P4965" s="549"/>
      <c r="Q4965" s="1059"/>
      <c r="R4965" s="1059"/>
    </row>
    <row r="4966" spans="1:19" s="497" customFormat="1" ht="17.399999999999999">
      <c r="A4966" s="547"/>
      <c r="B4966" s="752"/>
      <c r="C4966" s="547"/>
      <c r="D4966" s="547"/>
      <c r="E4966" s="547"/>
      <c r="F4966" s="549"/>
      <c r="G4966" s="549"/>
      <c r="H4966" s="549"/>
      <c r="I4966" s="558"/>
      <c r="J4966" s="567"/>
      <c r="K4966" s="648">
        <f>SUM(K4933:K4965)/2</f>
        <v>1024</v>
      </c>
      <c r="L4966" s="567">
        <f>SUM(L4933:L4965)/2</f>
        <v>160.03987999999998</v>
      </c>
      <c r="M4966" s="549"/>
      <c r="N4966" s="549"/>
      <c r="O4966" s="549"/>
      <c r="P4966" s="549"/>
      <c r="Q4966" s="1059"/>
      <c r="R4966" s="1059"/>
    </row>
    <row r="4967" spans="1:19" s="497" customFormat="1" ht="17.399999999999999">
      <c r="A4967" s="547"/>
      <c r="B4967" s="752"/>
      <c r="C4967" s="547"/>
      <c r="D4967" s="547"/>
      <c r="E4967" s="547"/>
      <c r="F4967" s="549"/>
      <c r="G4967" s="549"/>
      <c r="H4967" s="549"/>
      <c r="I4967" s="558"/>
      <c r="J4967" s="567"/>
      <c r="K4967" s="648"/>
      <c r="L4967" s="567"/>
      <c r="M4967" s="549"/>
      <c r="N4967" s="549"/>
      <c r="O4967" s="549"/>
      <c r="P4967" s="549"/>
      <c r="Q4967" s="1059"/>
      <c r="R4967" s="1059"/>
    </row>
    <row r="4968" spans="1:19" ht="17.399999999999999">
      <c r="A4968" s="549"/>
      <c r="B4968" s="549"/>
      <c r="C4968" s="549"/>
      <c r="D4968" s="549"/>
      <c r="E4968" s="549"/>
      <c r="F4968" s="549"/>
      <c r="G4968" s="549"/>
      <c r="H4968" s="549"/>
      <c r="I4968" s="560"/>
      <c r="J4968" s="549"/>
      <c r="K4968" s="561"/>
      <c r="L4968" s="560"/>
      <c r="M4968" s="549"/>
      <c r="N4968" s="549"/>
      <c r="O4968" s="549"/>
      <c r="P4968" s="549"/>
      <c r="Q4968" s="1059"/>
      <c r="R4968" s="1059"/>
    </row>
    <row r="4969" spans="1:19" ht="17.399999999999999">
      <c r="A4969" s="547" t="s">
        <v>481</v>
      </c>
      <c r="B4969" s="547" t="s">
        <v>520</v>
      </c>
      <c r="C4969" s="547" t="s">
        <v>19</v>
      </c>
      <c r="D4969" s="547" t="s">
        <v>20</v>
      </c>
      <c r="E4969" s="547" t="s">
        <v>175</v>
      </c>
      <c r="F4969" s="548">
        <v>13</v>
      </c>
      <c r="G4969" s="549" t="s">
        <v>21</v>
      </c>
      <c r="H4969" s="599" t="s">
        <v>229</v>
      </c>
      <c r="I4969" s="558">
        <v>21.6</v>
      </c>
      <c r="J4969" s="567">
        <v>6.3</v>
      </c>
      <c r="K4969" s="648">
        <v>10</v>
      </c>
      <c r="L4969" s="552">
        <f>(I4969*J4969*K4969/1000)</f>
        <v>1.3608000000000002</v>
      </c>
      <c r="M4969" s="549">
        <v>10</v>
      </c>
      <c r="N4969" s="567">
        <f>J4969*M4969*I4969/1000</f>
        <v>1.3608000000000002</v>
      </c>
      <c r="O4969" s="549"/>
      <c r="P4969" s="549"/>
      <c r="Q4969" s="1059"/>
      <c r="R4969" s="1059"/>
      <c r="S4969" s="497" t="s">
        <v>569</v>
      </c>
    </row>
    <row r="4970" spans="1:19" ht="17.399999999999999">
      <c r="A4970" s="547"/>
      <c r="B4970" s="560" t="s">
        <v>443</v>
      </c>
      <c r="C4970" s="547"/>
      <c r="D4970" s="547"/>
      <c r="E4970" s="547"/>
      <c r="F4970" s="549"/>
      <c r="G4970" s="650"/>
      <c r="H4970" s="549"/>
      <c r="I4970" s="558"/>
      <c r="J4970" s="567"/>
      <c r="K4970" s="648">
        <f t="shared" ref="K4970:N4970" si="997">SUM(K4969)</f>
        <v>10</v>
      </c>
      <c r="L4970" s="732">
        <f t="shared" si="997"/>
        <v>1.3608000000000002</v>
      </c>
      <c r="M4970" s="648">
        <f t="shared" si="997"/>
        <v>10</v>
      </c>
      <c r="N4970" s="732">
        <f t="shared" si="997"/>
        <v>1.3608000000000002</v>
      </c>
      <c r="O4970" s="549"/>
      <c r="P4970" s="549"/>
      <c r="Q4970" s="1059"/>
      <c r="R4970" s="1059"/>
    </row>
    <row r="4971" spans="1:19" s="497" customFormat="1" ht="17.399999999999999">
      <c r="A4971" s="547"/>
      <c r="B4971" s="560"/>
      <c r="C4971" s="547"/>
      <c r="D4971" s="547"/>
      <c r="E4971" s="547"/>
      <c r="F4971" s="549"/>
      <c r="G4971" s="650"/>
      <c r="H4971" s="549"/>
      <c r="I4971" s="558"/>
      <c r="J4971" s="567"/>
      <c r="K4971" s="648"/>
      <c r="L4971" s="567"/>
      <c r="M4971" s="549"/>
      <c r="N4971" s="549"/>
      <c r="O4971" s="549"/>
      <c r="P4971" s="549"/>
      <c r="Q4971" s="1059"/>
      <c r="R4971" s="1059"/>
    </row>
    <row r="4972" spans="1:19" s="497" customFormat="1" ht="17.399999999999999">
      <c r="A4972" s="549"/>
      <c r="B4972" s="549"/>
      <c r="C4972" s="549"/>
      <c r="D4972" s="549"/>
      <c r="E4972" s="549"/>
      <c r="F4972" s="549"/>
      <c r="G4972" s="549"/>
      <c r="H4972" s="549"/>
      <c r="I4972" s="560"/>
      <c r="J4972" s="549"/>
      <c r="K4972" s="561"/>
      <c r="L4972" s="560"/>
      <c r="M4972" s="549"/>
      <c r="N4972" s="549"/>
      <c r="O4972" s="549"/>
      <c r="P4972" s="549"/>
      <c r="Q4972" s="1059"/>
      <c r="R4972" s="1059"/>
    </row>
    <row r="4973" spans="1:19" ht="17.399999999999999">
      <c r="A4973" s="547" t="s">
        <v>411</v>
      </c>
      <c r="B4973" s="547" t="s">
        <v>486</v>
      </c>
      <c r="C4973" s="547" t="s">
        <v>19</v>
      </c>
      <c r="D4973" s="547" t="s">
        <v>20</v>
      </c>
      <c r="E4973" s="547" t="s">
        <v>359</v>
      </c>
      <c r="F4973" s="548">
        <v>13</v>
      </c>
      <c r="G4973" s="549" t="s">
        <v>21</v>
      </c>
      <c r="H4973" s="599" t="s">
        <v>123</v>
      </c>
      <c r="I4973" s="558">
        <v>16.5</v>
      </c>
      <c r="J4973" s="567">
        <v>11</v>
      </c>
      <c r="K4973" s="648">
        <v>3</v>
      </c>
      <c r="L4973" s="552">
        <f>(I4973*J4973*K4973/1000)</f>
        <v>0.54449999999999998</v>
      </c>
      <c r="M4973" s="549"/>
      <c r="N4973" s="549"/>
      <c r="O4973" s="647">
        <v>9.65</v>
      </c>
      <c r="P4973" s="549"/>
      <c r="Q4973" s="1059"/>
      <c r="R4973" s="1059"/>
      <c r="S4973" s="497" t="s">
        <v>568</v>
      </c>
    </row>
    <row r="4974" spans="1:19" ht="17.399999999999999">
      <c r="A4974" s="550"/>
      <c r="B4974" s="549" t="s">
        <v>331</v>
      </c>
      <c r="C4974" s="550"/>
      <c r="D4974" s="550"/>
      <c r="E4974" s="548"/>
      <c r="F4974" s="549"/>
      <c r="G4974" s="549"/>
      <c r="H4974" s="549"/>
      <c r="I4974" s="558"/>
      <c r="J4974" s="647"/>
      <c r="K4974" s="648">
        <f t="shared" ref="K4974:L4974" si="998">SUM(K4973)</f>
        <v>3</v>
      </c>
      <c r="L4974" s="732">
        <f t="shared" si="998"/>
        <v>0.54449999999999998</v>
      </c>
      <c r="M4974" s="549"/>
      <c r="N4974" s="549"/>
      <c r="O4974" s="549"/>
      <c r="P4974" s="549"/>
      <c r="Q4974" s="1059"/>
      <c r="R4974" s="1059"/>
    </row>
    <row r="4975" spans="1:19" ht="17.399999999999999">
      <c r="A4975" s="550"/>
      <c r="B4975" s="549"/>
      <c r="C4975" s="550"/>
      <c r="D4975" s="550"/>
      <c r="E4975" s="548"/>
      <c r="F4975" s="549"/>
      <c r="G4975" s="549"/>
      <c r="H4975" s="549"/>
      <c r="I4975" s="558"/>
      <c r="J4975" s="647"/>
      <c r="K4975" s="648"/>
      <c r="L4975" s="567"/>
      <c r="M4975" s="549"/>
      <c r="N4975" s="549"/>
      <c r="O4975" s="549"/>
      <c r="P4975" s="549"/>
      <c r="Q4975" s="1059"/>
      <c r="R4975" s="1059"/>
    </row>
    <row r="4976" spans="1:19" ht="17.399999999999999">
      <c r="A4976" s="547" t="s">
        <v>523</v>
      </c>
      <c r="B4976" s="547" t="s">
        <v>527</v>
      </c>
      <c r="C4976" s="547" t="s">
        <v>19</v>
      </c>
      <c r="D4976" s="547" t="s">
        <v>20</v>
      </c>
      <c r="E4976" s="547" t="s">
        <v>359</v>
      </c>
      <c r="F4976" s="548">
        <v>13</v>
      </c>
      <c r="G4976" s="549" t="s">
        <v>21</v>
      </c>
      <c r="H4976" s="599" t="s">
        <v>123</v>
      </c>
      <c r="I4976" s="558">
        <v>16.5</v>
      </c>
      <c r="J4976" s="567">
        <v>8.3000000000000007</v>
      </c>
      <c r="K4976" s="648">
        <v>1</v>
      </c>
      <c r="L4976" s="552">
        <f>(I4976*J4976*K4976/1000)</f>
        <v>0.13695000000000002</v>
      </c>
      <c r="M4976" s="549"/>
      <c r="N4976" s="549"/>
      <c r="O4976" s="567">
        <v>8.25</v>
      </c>
      <c r="P4976" s="549"/>
      <c r="Q4976" s="1059"/>
      <c r="R4976" s="1059"/>
      <c r="S4976" s="497" t="s">
        <v>568</v>
      </c>
    </row>
    <row r="4977" spans="1:19" ht="17.399999999999999">
      <c r="A4977" s="549"/>
      <c r="B4977" s="549" t="s">
        <v>453</v>
      </c>
      <c r="C4977" s="549"/>
      <c r="D4977" s="549"/>
      <c r="E4977" s="549"/>
      <c r="F4977" s="549"/>
      <c r="G4977" s="549"/>
      <c r="H4977" s="549"/>
      <c r="I4977" s="558"/>
      <c r="J4977" s="567"/>
      <c r="K4977" s="648">
        <f>SUM(K4976:K4976)</f>
        <v>1</v>
      </c>
      <c r="L4977" s="732">
        <f>SUM(L4976:L4976)</f>
        <v>0.13695000000000002</v>
      </c>
      <c r="M4977" s="549"/>
      <c r="N4977" s="549"/>
      <c r="O4977" s="549"/>
      <c r="P4977" s="549"/>
      <c r="Q4977" s="1059"/>
      <c r="R4977" s="1059"/>
    </row>
    <row r="4978" spans="1:19" s="497" customFormat="1" ht="17.399999999999999">
      <c r="A4978" s="549"/>
      <c r="B4978" s="549"/>
      <c r="C4978" s="549"/>
      <c r="D4978" s="549"/>
      <c r="E4978" s="549"/>
      <c r="F4978" s="549"/>
      <c r="G4978" s="549"/>
      <c r="H4978" s="549"/>
      <c r="I4978" s="558"/>
      <c r="J4978" s="567"/>
      <c r="K4978" s="648"/>
      <c r="L4978" s="567"/>
      <c r="M4978" s="549"/>
      <c r="N4978" s="549"/>
      <c r="O4978" s="549"/>
      <c r="P4978" s="549"/>
      <c r="Q4978" s="1059"/>
      <c r="R4978" s="1059"/>
    </row>
    <row r="4979" spans="1:19" ht="17.399999999999999">
      <c r="A4979" s="547" t="s">
        <v>445</v>
      </c>
      <c r="B4979" s="547" t="s">
        <v>487</v>
      </c>
      <c r="C4979" s="547" t="s">
        <v>19</v>
      </c>
      <c r="D4979" s="547" t="s">
        <v>20</v>
      </c>
      <c r="E4979" s="547" t="s">
        <v>47</v>
      </c>
      <c r="F4979" s="548">
        <v>13</v>
      </c>
      <c r="G4979" s="549" t="s">
        <v>21</v>
      </c>
      <c r="H4979" s="599" t="s">
        <v>123</v>
      </c>
      <c r="I4979" s="558">
        <v>16.5</v>
      </c>
      <c r="J4979" s="567">
        <v>8.3000000000000007</v>
      </c>
      <c r="K4979" s="648">
        <v>23</v>
      </c>
      <c r="L4979" s="552">
        <f t="shared" ref="L4979:L4983" si="999">(I4979*J4979*K4979/1000)</f>
        <v>3.1498500000000003</v>
      </c>
      <c r="M4979" s="549"/>
      <c r="N4979" s="549"/>
      <c r="O4979" s="549"/>
      <c r="P4979" s="549"/>
      <c r="Q4979" s="1059"/>
      <c r="R4979" s="1059"/>
      <c r="S4979" s="497" t="s">
        <v>568</v>
      </c>
    </row>
    <row r="4980" spans="1:19" ht="17.399999999999999">
      <c r="A4980" s="547"/>
      <c r="B4980" s="752" t="s">
        <v>439</v>
      </c>
      <c r="C4980" s="547"/>
      <c r="D4980" s="547"/>
      <c r="E4980" s="547"/>
      <c r="F4980" s="549"/>
      <c r="G4980" s="549" t="s">
        <v>21</v>
      </c>
      <c r="H4980" s="549" t="s">
        <v>123</v>
      </c>
      <c r="I4980" s="558">
        <v>16.5</v>
      </c>
      <c r="J4980" s="567">
        <v>9.1999999999999993</v>
      </c>
      <c r="K4980" s="648">
        <v>22</v>
      </c>
      <c r="L4980" s="552">
        <f t="shared" si="999"/>
        <v>3.3395999999999995</v>
      </c>
      <c r="M4980" s="549"/>
      <c r="N4980" s="549"/>
      <c r="O4980" s="549"/>
      <c r="P4980" s="549"/>
      <c r="Q4980" s="1059"/>
      <c r="R4980" s="1059"/>
    </row>
    <row r="4981" spans="1:19" ht="17.399999999999999">
      <c r="A4981" s="549"/>
      <c r="B4981" s="549"/>
      <c r="C4981" s="549"/>
      <c r="D4981" s="549"/>
      <c r="E4981" s="549"/>
      <c r="F4981" s="549"/>
      <c r="G4981" s="549" t="s">
        <v>21</v>
      </c>
      <c r="H4981" s="549" t="s">
        <v>123</v>
      </c>
      <c r="I4981" s="558">
        <v>16.5</v>
      </c>
      <c r="J4981" s="567">
        <v>9.6</v>
      </c>
      <c r="K4981" s="648">
        <v>50</v>
      </c>
      <c r="L4981" s="552">
        <f t="shared" si="999"/>
        <v>7.92</v>
      </c>
      <c r="M4981" s="549"/>
      <c r="N4981" s="549"/>
      <c r="O4981" s="549"/>
      <c r="P4981" s="549"/>
      <c r="Q4981" s="1059"/>
      <c r="R4981" s="1059"/>
    </row>
    <row r="4982" spans="1:19" ht="17.399999999999999">
      <c r="A4982" s="549"/>
      <c r="B4982" s="549"/>
      <c r="C4982" s="549"/>
      <c r="D4982" s="549"/>
      <c r="E4982" s="549"/>
      <c r="F4982" s="549"/>
      <c r="G4982" s="549" t="s">
        <v>21</v>
      </c>
      <c r="H4982" s="549" t="s">
        <v>123</v>
      </c>
      <c r="I4982" s="558">
        <v>16.5</v>
      </c>
      <c r="J4982" s="567">
        <v>11</v>
      </c>
      <c r="K4982" s="648">
        <v>7</v>
      </c>
      <c r="L4982" s="552">
        <f t="shared" si="999"/>
        <v>1.2705</v>
      </c>
      <c r="M4982" s="549"/>
      <c r="N4982" s="549"/>
      <c r="O4982" s="549"/>
      <c r="P4982" s="549"/>
      <c r="Q4982" s="1059"/>
      <c r="R4982" s="1059"/>
    </row>
    <row r="4983" spans="1:19" ht="17.399999999999999">
      <c r="A4983" s="549"/>
      <c r="B4983" s="549"/>
      <c r="C4983" s="549"/>
      <c r="D4983" s="549"/>
      <c r="E4983" s="549"/>
      <c r="F4983" s="549"/>
      <c r="G4983" s="549" t="s">
        <v>21</v>
      </c>
      <c r="H4983" s="549" t="s">
        <v>123</v>
      </c>
      <c r="I4983" s="558">
        <v>16.5</v>
      </c>
      <c r="J4983" s="567">
        <v>12</v>
      </c>
      <c r="K4983" s="648">
        <v>11</v>
      </c>
      <c r="L4983" s="552">
        <f t="shared" si="999"/>
        <v>2.1779999999999999</v>
      </c>
      <c r="M4983" s="549"/>
      <c r="N4983" s="549"/>
      <c r="O4983" s="549"/>
      <c r="P4983" s="549"/>
      <c r="Q4983" s="1059"/>
      <c r="R4983" s="1059"/>
    </row>
    <row r="4984" spans="1:19" ht="17.399999999999999">
      <c r="A4984" s="549"/>
      <c r="B4984" s="549"/>
      <c r="C4984" s="549"/>
      <c r="D4984" s="549"/>
      <c r="E4984" s="549"/>
      <c r="F4984" s="549"/>
      <c r="G4984" s="549"/>
      <c r="H4984" s="549"/>
      <c r="I4984" s="558"/>
      <c r="J4984" s="567"/>
      <c r="K4984" s="648">
        <f t="shared" ref="K4984:L4984" si="1000">SUM(K4979:K4983)</f>
        <v>113</v>
      </c>
      <c r="L4984" s="732">
        <f t="shared" si="1000"/>
        <v>17.857949999999999</v>
      </c>
      <c r="M4984" s="549"/>
      <c r="N4984" s="549"/>
      <c r="O4984" s="549"/>
      <c r="P4984" s="549"/>
      <c r="Q4984" s="1059"/>
      <c r="R4984" s="1059"/>
    </row>
    <row r="4985" spans="1:19" ht="17.399999999999999">
      <c r="A4985" s="549"/>
      <c r="B4985" s="549"/>
      <c r="C4985" s="549"/>
      <c r="D4985" s="549"/>
      <c r="E4985" s="549"/>
      <c r="F4985" s="549"/>
      <c r="G4985" s="549"/>
      <c r="H4985" s="549"/>
      <c r="I4985" s="560"/>
      <c r="J4985" s="549"/>
      <c r="K4985" s="561"/>
      <c r="L4985" s="560"/>
      <c r="M4985" s="549"/>
      <c r="N4985" s="549"/>
      <c r="O4985" s="549"/>
      <c r="P4985" s="549"/>
      <c r="Q4985" s="1059"/>
      <c r="R4985" s="1059"/>
    </row>
    <row r="4986" spans="1:19" ht="17.399999999999999">
      <c r="A4986" s="547" t="s">
        <v>445</v>
      </c>
      <c r="B4986" s="547" t="s">
        <v>488</v>
      </c>
      <c r="C4986" s="547" t="s">
        <v>19</v>
      </c>
      <c r="D4986" s="547" t="s">
        <v>20</v>
      </c>
      <c r="E4986" s="547" t="s">
        <v>47</v>
      </c>
      <c r="F4986" s="548">
        <v>13</v>
      </c>
      <c r="G4986" s="549" t="s">
        <v>21</v>
      </c>
      <c r="H4986" s="599" t="s">
        <v>123</v>
      </c>
      <c r="I4986" s="558">
        <v>16.5</v>
      </c>
      <c r="J4986" s="567">
        <v>6.9</v>
      </c>
      <c r="K4986" s="648">
        <v>30</v>
      </c>
      <c r="L4986" s="552">
        <f t="shared" ref="L4986:L4990" si="1001">(I4986*J4986*K4986/1000)</f>
        <v>3.4155000000000006</v>
      </c>
      <c r="M4986" s="549"/>
      <c r="N4986" s="549"/>
      <c r="O4986" s="549"/>
      <c r="P4986" s="549"/>
      <c r="Q4986" s="1059"/>
      <c r="R4986" s="1059"/>
      <c r="S4986" s="497" t="s">
        <v>568</v>
      </c>
    </row>
    <row r="4987" spans="1:19" ht="17.399999999999999">
      <c r="A4987" s="547"/>
      <c r="B4987" s="752" t="s">
        <v>439</v>
      </c>
      <c r="C4987" s="547"/>
      <c r="D4987" s="547"/>
      <c r="E4987" s="547"/>
      <c r="F4987" s="549"/>
      <c r="G4987" s="549" t="s">
        <v>21</v>
      </c>
      <c r="H4987" s="549" t="s">
        <v>123</v>
      </c>
      <c r="I4987" s="558">
        <v>16.5</v>
      </c>
      <c r="J4987" s="567">
        <v>8.3000000000000007</v>
      </c>
      <c r="K4987" s="648">
        <v>12</v>
      </c>
      <c r="L4987" s="552">
        <f t="shared" si="1001"/>
        <v>1.6434000000000002</v>
      </c>
      <c r="M4987" s="549"/>
      <c r="N4987" s="549"/>
      <c r="O4987" s="549"/>
      <c r="P4987" s="549"/>
      <c r="Q4987" s="1059"/>
      <c r="R4987" s="1059"/>
    </row>
    <row r="4988" spans="1:19" ht="17.399999999999999">
      <c r="A4988" s="549"/>
      <c r="B4988" s="549"/>
      <c r="C4988" s="549"/>
      <c r="D4988" s="549"/>
      <c r="E4988" s="549"/>
      <c r="F4988" s="549"/>
      <c r="G4988" s="549" t="s">
        <v>21</v>
      </c>
      <c r="H4988" s="549" t="s">
        <v>123</v>
      </c>
      <c r="I4988" s="558">
        <v>16.5</v>
      </c>
      <c r="J4988" s="567">
        <v>9.1999999999999993</v>
      </c>
      <c r="K4988" s="648">
        <v>9</v>
      </c>
      <c r="L4988" s="552">
        <f t="shared" si="1001"/>
        <v>1.3661999999999999</v>
      </c>
      <c r="M4988" s="549"/>
      <c r="N4988" s="549"/>
      <c r="O4988" s="549"/>
      <c r="P4988" s="549"/>
      <c r="Q4988" s="1059"/>
      <c r="R4988" s="1059"/>
    </row>
    <row r="4989" spans="1:19" ht="17.399999999999999">
      <c r="A4989" s="549"/>
      <c r="B4989" s="549"/>
      <c r="C4989" s="549"/>
      <c r="D4989" s="549"/>
      <c r="E4989" s="549"/>
      <c r="F4989" s="549"/>
      <c r="G4989" s="549" t="s">
        <v>21</v>
      </c>
      <c r="H4989" s="549" t="s">
        <v>123</v>
      </c>
      <c r="I4989" s="558">
        <v>16.5</v>
      </c>
      <c r="J4989" s="567">
        <v>11</v>
      </c>
      <c r="K4989" s="648">
        <v>38</v>
      </c>
      <c r="L4989" s="552">
        <f t="shared" si="1001"/>
        <v>6.8970000000000002</v>
      </c>
      <c r="M4989" s="549"/>
      <c r="N4989" s="549"/>
      <c r="O4989" s="549"/>
      <c r="P4989" s="549"/>
      <c r="Q4989" s="1059"/>
      <c r="R4989" s="1059"/>
    </row>
    <row r="4990" spans="1:19" ht="17.399999999999999">
      <c r="A4990" s="549"/>
      <c r="B4990" s="549"/>
      <c r="C4990" s="549"/>
      <c r="D4990" s="549"/>
      <c r="E4990" s="549"/>
      <c r="F4990" s="549"/>
      <c r="G4990" s="549" t="s">
        <v>21</v>
      </c>
      <c r="H4990" s="549" t="s">
        <v>123</v>
      </c>
      <c r="I4990" s="558">
        <v>16.5</v>
      </c>
      <c r="J4990" s="567">
        <v>12</v>
      </c>
      <c r="K4990" s="648">
        <v>14</v>
      </c>
      <c r="L4990" s="552">
        <f t="shared" si="1001"/>
        <v>2.7719999999999998</v>
      </c>
      <c r="M4990" s="549"/>
      <c r="N4990" s="549"/>
      <c r="O4990" s="549"/>
      <c r="P4990" s="549"/>
      <c r="Q4990" s="1059"/>
      <c r="R4990" s="1059"/>
    </row>
    <row r="4991" spans="1:19" ht="17.399999999999999">
      <c r="A4991" s="549"/>
      <c r="B4991" s="549"/>
      <c r="C4991" s="549"/>
      <c r="D4991" s="549"/>
      <c r="E4991" s="549"/>
      <c r="F4991" s="549"/>
      <c r="G4991" s="549"/>
      <c r="H4991" s="549"/>
      <c r="I4991" s="558"/>
      <c r="J4991" s="567"/>
      <c r="K4991" s="648">
        <f>SUM(K4986:K4990)</f>
        <v>103</v>
      </c>
      <c r="L4991" s="732">
        <f>SUM(L4986:L4990)</f>
        <v>16.094100000000001</v>
      </c>
      <c r="M4991" s="549"/>
      <c r="N4991" s="549"/>
      <c r="O4991" s="549"/>
      <c r="P4991" s="549"/>
      <c r="Q4991" s="1059"/>
      <c r="R4991" s="1059"/>
    </row>
    <row r="4992" spans="1:19" s="497" customFormat="1" ht="17.399999999999999">
      <c r="A4992" s="549"/>
      <c r="B4992" s="549"/>
      <c r="C4992" s="549"/>
      <c r="D4992" s="549"/>
      <c r="E4992" s="549"/>
      <c r="F4992" s="549"/>
      <c r="G4992" s="549"/>
      <c r="H4992" s="549"/>
      <c r="I4992" s="558"/>
      <c r="J4992" s="567"/>
      <c r="K4992" s="648">
        <f>SUM(K4973:K4991)/2</f>
        <v>220</v>
      </c>
      <c r="L4992" s="567">
        <f>SUM(L4973:L4991)/2</f>
        <v>34.633499999999998</v>
      </c>
      <c r="M4992" s="549"/>
      <c r="N4992" s="549"/>
      <c r="O4992" s="549"/>
      <c r="P4992" s="549"/>
      <c r="Q4992" s="1059"/>
      <c r="R4992" s="1059"/>
    </row>
    <row r="4993" spans="1:19" s="497" customFormat="1" ht="17.399999999999999">
      <c r="A4993" s="549"/>
      <c r="B4993" s="549"/>
      <c r="C4993" s="549"/>
      <c r="D4993" s="549"/>
      <c r="E4993" s="549"/>
      <c r="F4993" s="549"/>
      <c r="G4993" s="549"/>
      <c r="H4993" s="549"/>
      <c r="I4993" s="558"/>
      <c r="J4993" s="567"/>
      <c r="K4993" s="648"/>
      <c r="L4993" s="567"/>
      <c r="M4993" s="549"/>
      <c r="N4993" s="549"/>
      <c r="O4993" s="549"/>
      <c r="P4993" s="549"/>
      <c r="Q4993" s="1059"/>
      <c r="R4993" s="1059"/>
    </row>
    <row r="4994" spans="1:19" ht="17.399999999999999">
      <c r="A4994" s="549"/>
      <c r="B4994" s="549"/>
      <c r="C4994" s="549"/>
      <c r="D4994" s="549"/>
      <c r="E4994" s="549"/>
      <c r="F4994" s="549"/>
      <c r="G4994" s="549"/>
      <c r="H4994" s="549"/>
      <c r="I4994" s="560"/>
      <c r="J4994" s="549"/>
      <c r="K4994" s="561"/>
      <c r="L4994" s="560"/>
      <c r="M4994" s="549"/>
      <c r="N4994" s="549"/>
      <c r="O4994" s="549"/>
      <c r="P4994" s="549"/>
      <c r="Q4994" s="1059"/>
      <c r="R4994" s="1059"/>
    </row>
    <row r="4995" spans="1:19" ht="17.399999999999999">
      <c r="A4995" s="547" t="s">
        <v>411</v>
      </c>
      <c r="B4995" s="547" t="s">
        <v>486</v>
      </c>
      <c r="C4995" s="547" t="s">
        <v>19</v>
      </c>
      <c r="D4995" s="547" t="s">
        <v>20</v>
      </c>
      <c r="E4995" s="547" t="s">
        <v>359</v>
      </c>
      <c r="F4995" s="548">
        <v>13</v>
      </c>
      <c r="G4995" s="549" t="s">
        <v>21</v>
      </c>
      <c r="H4995" s="599" t="s">
        <v>122</v>
      </c>
      <c r="I4995" s="558">
        <v>14.7</v>
      </c>
      <c r="J4995" s="567">
        <v>11.2</v>
      </c>
      <c r="K4995" s="648">
        <v>7</v>
      </c>
      <c r="L4995" s="725">
        <f>(I4995*J4995*K4995/1000)</f>
        <v>1.1524799999999999</v>
      </c>
      <c r="M4995" s="549"/>
      <c r="N4995" s="549"/>
      <c r="O4995" s="647">
        <v>10</v>
      </c>
      <c r="P4995" s="549"/>
      <c r="Q4995" s="1059"/>
      <c r="R4995" s="1059"/>
      <c r="S4995" s="497" t="s">
        <v>569</v>
      </c>
    </row>
    <row r="4996" spans="1:19" ht="17.399999999999999">
      <c r="A4996" s="550"/>
      <c r="B4996" s="549" t="s">
        <v>331</v>
      </c>
      <c r="C4996" s="550"/>
      <c r="D4996" s="550"/>
      <c r="E4996" s="548"/>
      <c r="F4996" s="549"/>
      <c r="G4996" s="549"/>
      <c r="H4996" s="549"/>
      <c r="I4996" s="558"/>
      <c r="J4996" s="647"/>
      <c r="K4996" s="648">
        <f t="shared" ref="K4996:L4996" si="1002">SUM(K4995)</f>
        <v>7</v>
      </c>
      <c r="L4996" s="846">
        <f t="shared" si="1002"/>
        <v>1.1524799999999999</v>
      </c>
      <c r="M4996" s="549"/>
      <c r="N4996" s="549"/>
      <c r="O4996" s="549"/>
      <c r="P4996" s="549"/>
      <c r="Q4996" s="1059"/>
      <c r="R4996" s="1059"/>
    </row>
    <row r="4997" spans="1:19" s="497" customFormat="1" ht="17.399999999999999">
      <c r="A4997" s="550"/>
      <c r="B4997" s="549"/>
      <c r="C4997" s="550"/>
      <c r="D4997" s="550"/>
      <c r="E4997" s="548"/>
      <c r="F4997" s="549"/>
      <c r="G4997" s="549"/>
      <c r="H4997" s="549"/>
      <c r="I4997" s="558"/>
      <c r="J4997" s="647"/>
      <c r="K4997" s="648"/>
      <c r="L4997" s="710"/>
      <c r="M4997" s="549"/>
      <c r="N4997" s="549"/>
      <c r="O4997" s="549"/>
      <c r="P4997" s="549"/>
      <c r="Q4997" s="1059"/>
      <c r="R4997" s="1059"/>
    </row>
    <row r="4998" spans="1:19" ht="17.399999999999999">
      <c r="A4998" s="547" t="s">
        <v>445</v>
      </c>
      <c r="B4998" s="547" t="s">
        <v>516</v>
      </c>
      <c r="C4998" s="547" t="s">
        <v>19</v>
      </c>
      <c r="D4998" s="547" t="s">
        <v>20</v>
      </c>
      <c r="E4998" s="547" t="s">
        <v>264</v>
      </c>
      <c r="F4998" s="548">
        <v>13</v>
      </c>
      <c r="G4998" s="549" t="s">
        <v>21</v>
      </c>
      <c r="H4998" s="599" t="s">
        <v>122</v>
      </c>
      <c r="I4998" s="558">
        <v>14.7</v>
      </c>
      <c r="J4998" s="567">
        <v>9.8000000000000007</v>
      </c>
      <c r="K4998" s="648">
        <v>8</v>
      </c>
      <c r="L4998" s="725">
        <f>(I4998*J4998*K4998/1000)</f>
        <v>1.1524799999999999</v>
      </c>
      <c r="M4998" s="549"/>
      <c r="N4998" s="549"/>
      <c r="O4998" s="567">
        <v>9.6</v>
      </c>
      <c r="P4998" s="549"/>
      <c r="Q4998" s="1059"/>
      <c r="R4998" s="1059"/>
      <c r="S4998" s="497" t="s">
        <v>569</v>
      </c>
    </row>
    <row r="4999" spans="1:19" ht="17.399999999999999">
      <c r="A4999" s="547"/>
      <c r="B4999" s="549" t="s">
        <v>421</v>
      </c>
      <c r="C4999" s="547"/>
      <c r="D4999" s="547"/>
      <c r="E4999" s="547"/>
      <c r="F4999" s="549"/>
      <c r="G4999" s="549"/>
      <c r="H4999" s="549"/>
      <c r="I4999" s="558"/>
      <c r="J4999" s="567"/>
      <c r="K4999" s="648">
        <f t="shared" ref="K4999:L4999" si="1003">SUM(K4998)</f>
        <v>8</v>
      </c>
      <c r="L4999" s="846">
        <f t="shared" si="1003"/>
        <v>1.1524799999999999</v>
      </c>
      <c r="M4999" s="549"/>
      <c r="N4999" s="549"/>
      <c r="O4999" s="549"/>
      <c r="P4999" s="549"/>
      <c r="Q4999" s="1059"/>
      <c r="R4999" s="1059"/>
    </row>
    <row r="5000" spans="1:19" s="497" customFormat="1" ht="17.399999999999999">
      <c r="A5000" s="547"/>
      <c r="B5000" s="549"/>
      <c r="C5000" s="547"/>
      <c r="D5000" s="547"/>
      <c r="E5000" s="547"/>
      <c r="F5000" s="549"/>
      <c r="G5000" s="549"/>
      <c r="H5000" s="549"/>
      <c r="I5000" s="558"/>
      <c r="J5000" s="567"/>
      <c r="K5000" s="648"/>
      <c r="L5000" s="710"/>
      <c r="M5000" s="549"/>
      <c r="N5000" s="549"/>
      <c r="O5000" s="549"/>
      <c r="P5000" s="549"/>
      <c r="Q5000" s="1059"/>
      <c r="R5000" s="1059"/>
    </row>
    <row r="5001" spans="1:19" ht="17.399999999999999">
      <c r="A5001" s="547" t="s">
        <v>445</v>
      </c>
      <c r="B5001" s="547" t="s">
        <v>487</v>
      </c>
      <c r="C5001" s="547" t="s">
        <v>19</v>
      </c>
      <c r="D5001" s="547" t="s">
        <v>20</v>
      </c>
      <c r="E5001" s="547" t="s">
        <v>47</v>
      </c>
      <c r="F5001" s="548">
        <v>13</v>
      </c>
      <c r="G5001" s="549" t="s">
        <v>21</v>
      </c>
      <c r="H5001" s="599" t="s">
        <v>122</v>
      </c>
      <c r="I5001" s="558">
        <v>14.7</v>
      </c>
      <c r="J5001" s="567">
        <v>8.5</v>
      </c>
      <c r="K5001" s="648">
        <v>8</v>
      </c>
      <c r="L5001" s="725">
        <f t="shared" ref="L5001:L5005" si="1004">(I5001*J5001*K5001/1000)</f>
        <v>0.99959999999999993</v>
      </c>
      <c r="M5001" s="549"/>
      <c r="N5001" s="549"/>
      <c r="O5001" s="549"/>
      <c r="P5001" s="549"/>
      <c r="Q5001" s="1059"/>
      <c r="R5001" s="1059"/>
      <c r="S5001" s="497" t="s">
        <v>569</v>
      </c>
    </row>
    <row r="5002" spans="1:19" ht="17.399999999999999">
      <c r="A5002" s="547"/>
      <c r="B5002" s="752" t="s">
        <v>439</v>
      </c>
      <c r="C5002" s="547"/>
      <c r="D5002" s="547"/>
      <c r="E5002" s="547"/>
      <c r="F5002" s="549"/>
      <c r="G5002" s="549" t="s">
        <v>21</v>
      </c>
      <c r="H5002" s="549" t="s">
        <v>122</v>
      </c>
      <c r="I5002" s="558">
        <v>14.7</v>
      </c>
      <c r="J5002" s="567">
        <v>9.8000000000000007</v>
      </c>
      <c r="K5002" s="648">
        <v>12</v>
      </c>
      <c r="L5002" s="725">
        <f t="shared" si="1004"/>
        <v>1.72872</v>
      </c>
      <c r="M5002" s="549"/>
      <c r="N5002" s="549"/>
      <c r="O5002" s="549"/>
      <c r="P5002" s="549"/>
      <c r="Q5002" s="1059"/>
      <c r="R5002" s="1059"/>
    </row>
    <row r="5003" spans="1:19" ht="17.399999999999999">
      <c r="A5003" s="549"/>
      <c r="B5003" s="549"/>
      <c r="C5003" s="549"/>
      <c r="D5003" s="549"/>
      <c r="E5003" s="549"/>
      <c r="F5003" s="549"/>
      <c r="G5003" s="549" t="s">
        <v>21</v>
      </c>
      <c r="H5003" s="549" t="s">
        <v>122</v>
      </c>
      <c r="I5003" s="558">
        <v>14.7</v>
      </c>
      <c r="J5003" s="567">
        <v>11.2</v>
      </c>
      <c r="K5003" s="648">
        <v>23</v>
      </c>
      <c r="L5003" s="725">
        <f t="shared" si="1004"/>
        <v>3.7867199999999999</v>
      </c>
      <c r="M5003" s="549"/>
      <c r="N5003" s="549"/>
      <c r="O5003" s="549"/>
      <c r="P5003" s="549"/>
      <c r="Q5003" s="1059"/>
      <c r="R5003" s="1059"/>
    </row>
    <row r="5004" spans="1:19" ht="17.399999999999999">
      <c r="A5004" s="549"/>
      <c r="B5004" s="549"/>
      <c r="C5004" s="549"/>
      <c r="D5004" s="549"/>
      <c r="E5004" s="549"/>
      <c r="F5004" s="549"/>
      <c r="G5004" s="549" t="s">
        <v>21</v>
      </c>
      <c r="H5004" s="549" t="s">
        <v>122</v>
      </c>
      <c r="I5004" s="558">
        <v>14.7</v>
      </c>
      <c r="J5004" s="567">
        <v>11.7</v>
      </c>
      <c r="K5004" s="648">
        <v>8</v>
      </c>
      <c r="L5004" s="725">
        <f t="shared" si="1004"/>
        <v>1.3759199999999998</v>
      </c>
      <c r="M5004" s="549"/>
      <c r="N5004" s="549"/>
      <c r="O5004" s="549"/>
      <c r="P5004" s="549"/>
      <c r="Q5004" s="1059"/>
      <c r="R5004" s="1059"/>
    </row>
    <row r="5005" spans="1:19" ht="17.399999999999999">
      <c r="A5005" s="549"/>
      <c r="B5005" s="549"/>
      <c r="C5005" s="549"/>
      <c r="D5005" s="549"/>
      <c r="E5005" s="549"/>
      <c r="F5005" s="549"/>
      <c r="G5005" s="549" t="s">
        <v>21</v>
      </c>
      <c r="H5005" s="549" t="s">
        <v>122</v>
      </c>
      <c r="I5005" s="558">
        <v>14.7</v>
      </c>
      <c r="J5005" s="567">
        <v>12</v>
      </c>
      <c r="K5005" s="648">
        <v>2</v>
      </c>
      <c r="L5005" s="725">
        <f t="shared" si="1004"/>
        <v>0.35279999999999995</v>
      </c>
      <c r="M5005" s="549"/>
      <c r="N5005" s="549"/>
      <c r="O5005" s="549"/>
      <c r="P5005" s="549"/>
      <c r="Q5005" s="1059"/>
      <c r="R5005" s="1059"/>
    </row>
    <row r="5006" spans="1:19" ht="17.399999999999999">
      <c r="A5006" s="549"/>
      <c r="B5006" s="549"/>
      <c r="C5006" s="549"/>
      <c r="D5006" s="549"/>
      <c r="E5006" s="549"/>
      <c r="F5006" s="549"/>
      <c r="G5006" s="549"/>
      <c r="H5006" s="549"/>
      <c r="I5006" s="558"/>
      <c r="J5006" s="567"/>
      <c r="K5006" s="648">
        <f t="shared" ref="K5006:L5006" si="1005">SUM(K5001:K5005)</f>
        <v>53</v>
      </c>
      <c r="L5006" s="846">
        <f t="shared" si="1005"/>
        <v>8.24376</v>
      </c>
      <c r="M5006" s="549"/>
      <c r="N5006" s="549"/>
      <c r="O5006" s="549"/>
      <c r="P5006" s="549"/>
      <c r="Q5006" s="1059"/>
      <c r="R5006" s="1059"/>
    </row>
    <row r="5007" spans="1:19" s="497" customFormat="1" ht="17.399999999999999">
      <c r="A5007" s="549"/>
      <c r="B5007" s="549"/>
      <c r="C5007" s="549"/>
      <c r="D5007" s="549"/>
      <c r="E5007" s="549"/>
      <c r="F5007" s="549"/>
      <c r="G5007" s="549"/>
      <c r="H5007" s="549"/>
      <c r="I5007" s="558"/>
      <c r="J5007" s="567"/>
      <c r="K5007" s="648"/>
      <c r="L5007" s="710"/>
      <c r="M5007" s="549"/>
      <c r="N5007" s="549"/>
      <c r="O5007" s="549"/>
      <c r="P5007" s="549"/>
      <c r="Q5007" s="1059"/>
      <c r="R5007" s="1059"/>
    </row>
    <row r="5008" spans="1:19" ht="17.399999999999999">
      <c r="A5008" s="547" t="s">
        <v>445</v>
      </c>
      <c r="B5008" s="547" t="s">
        <v>517</v>
      </c>
      <c r="C5008" s="547" t="s">
        <v>19</v>
      </c>
      <c r="D5008" s="547" t="s">
        <v>20</v>
      </c>
      <c r="E5008" s="547" t="s">
        <v>57</v>
      </c>
      <c r="F5008" s="548">
        <v>13</v>
      </c>
      <c r="G5008" s="549" t="s">
        <v>21</v>
      </c>
      <c r="H5008" s="599" t="s">
        <v>122</v>
      </c>
      <c r="I5008" s="558">
        <v>14.7</v>
      </c>
      <c r="J5008" s="567">
        <v>9.1999999999999993</v>
      </c>
      <c r="K5008" s="648">
        <v>296</v>
      </c>
      <c r="L5008" s="725">
        <f>(I5008*J5008*K5008/1000)</f>
        <v>40.03103999999999</v>
      </c>
      <c r="M5008" s="549"/>
      <c r="N5008" s="549"/>
      <c r="O5008" s="549"/>
      <c r="P5008" s="549"/>
      <c r="Q5008" s="1059"/>
      <c r="R5008" s="1059"/>
      <c r="S5008" s="497" t="s">
        <v>569</v>
      </c>
    </row>
    <row r="5009" spans="1:19" ht="17.399999999999999">
      <c r="A5009" s="547"/>
      <c r="B5009" s="549" t="s">
        <v>423</v>
      </c>
      <c r="C5009" s="547"/>
      <c r="D5009" s="547"/>
      <c r="E5009" s="547"/>
      <c r="F5009" s="549"/>
      <c r="G5009" s="549"/>
      <c r="H5009" s="549"/>
      <c r="I5009" s="558"/>
      <c r="J5009" s="567"/>
      <c r="K5009" s="648">
        <f t="shared" ref="K5009:L5009" si="1006">SUM(K5008)</f>
        <v>296</v>
      </c>
      <c r="L5009" s="846">
        <f t="shared" si="1006"/>
        <v>40.03103999999999</v>
      </c>
      <c r="M5009" s="549"/>
      <c r="N5009" s="549"/>
      <c r="O5009" s="549"/>
      <c r="P5009" s="549"/>
      <c r="Q5009" s="1059"/>
      <c r="R5009" s="1059"/>
    </row>
    <row r="5010" spans="1:19" ht="17.399999999999999">
      <c r="A5010" s="549"/>
      <c r="B5010" s="549"/>
      <c r="C5010" s="549"/>
      <c r="D5010" s="549"/>
      <c r="E5010" s="549"/>
      <c r="F5010" s="549"/>
      <c r="G5010" s="549"/>
      <c r="H5010" s="549"/>
      <c r="I5010" s="560"/>
      <c r="J5010" s="549"/>
      <c r="K5010" s="561"/>
      <c r="L5010" s="728"/>
      <c r="M5010" s="549"/>
      <c r="N5010" s="549"/>
      <c r="O5010" s="549"/>
      <c r="P5010" s="549"/>
      <c r="Q5010" s="1059"/>
      <c r="R5010" s="1059"/>
    </row>
    <row r="5011" spans="1:19" ht="17.399999999999999">
      <c r="A5011" s="547" t="s">
        <v>445</v>
      </c>
      <c r="B5011" s="547" t="s">
        <v>488</v>
      </c>
      <c r="C5011" s="547" t="s">
        <v>19</v>
      </c>
      <c r="D5011" s="547" t="s">
        <v>20</v>
      </c>
      <c r="E5011" s="547" t="s">
        <v>47</v>
      </c>
      <c r="F5011" s="548">
        <v>13</v>
      </c>
      <c r="G5011" s="549" t="s">
        <v>21</v>
      </c>
      <c r="H5011" s="599" t="s">
        <v>122</v>
      </c>
      <c r="I5011" s="558">
        <v>14.7</v>
      </c>
      <c r="J5011" s="567">
        <v>6.5</v>
      </c>
      <c r="K5011" s="648">
        <v>41</v>
      </c>
      <c r="L5011" s="725">
        <f t="shared" ref="L5011:L5016" si="1007">(I5011*J5011*K5011/1000)</f>
        <v>3.9175499999999999</v>
      </c>
      <c r="M5011" s="549"/>
      <c r="N5011" s="549"/>
      <c r="O5011" s="549"/>
      <c r="P5011" s="549"/>
      <c r="Q5011" s="1059"/>
      <c r="R5011" s="1059"/>
      <c r="S5011" s="497" t="s">
        <v>569</v>
      </c>
    </row>
    <row r="5012" spans="1:19" ht="17.399999999999999">
      <c r="A5012" s="547"/>
      <c r="B5012" s="752" t="s">
        <v>439</v>
      </c>
      <c r="C5012" s="547"/>
      <c r="D5012" s="547"/>
      <c r="E5012" s="547"/>
      <c r="F5012" s="549"/>
      <c r="G5012" s="549" t="s">
        <v>21</v>
      </c>
      <c r="H5012" s="549" t="s">
        <v>122</v>
      </c>
      <c r="I5012" s="558">
        <v>14.7</v>
      </c>
      <c r="J5012" s="567">
        <v>8.5</v>
      </c>
      <c r="K5012" s="648">
        <v>24</v>
      </c>
      <c r="L5012" s="725">
        <f t="shared" si="1007"/>
        <v>2.9987999999999997</v>
      </c>
      <c r="M5012" s="549"/>
      <c r="N5012" s="549"/>
      <c r="O5012" s="549"/>
      <c r="P5012" s="549"/>
      <c r="Q5012" s="1059"/>
      <c r="R5012" s="1059"/>
    </row>
    <row r="5013" spans="1:19" ht="17.399999999999999">
      <c r="A5013" s="549"/>
      <c r="B5013" s="549"/>
      <c r="C5013" s="549"/>
      <c r="D5013" s="549"/>
      <c r="E5013" s="549"/>
      <c r="F5013" s="549"/>
      <c r="G5013" s="549" t="s">
        <v>21</v>
      </c>
      <c r="H5013" s="549" t="s">
        <v>122</v>
      </c>
      <c r="I5013" s="558">
        <v>14.7</v>
      </c>
      <c r="J5013" s="567">
        <v>9.8000000000000007</v>
      </c>
      <c r="K5013" s="648">
        <v>14</v>
      </c>
      <c r="L5013" s="725">
        <f t="shared" si="1007"/>
        <v>2.0168400000000002</v>
      </c>
      <c r="M5013" s="549"/>
      <c r="N5013" s="549"/>
      <c r="O5013" s="549"/>
      <c r="P5013" s="549"/>
      <c r="Q5013" s="1059"/>
      <c r="R5013" s="1059"/>
    </row>
    <row r="5014" spans="1:19" ht="17.399999999999999">
      <c r="A5014" s="549"/>
      <c r="B5014" s="549"/>
      <c r="C5014" s="549"/>
      <c r="D5014" s="549"/>
      <c r="E5014" s="549"/>
      <c r="F5014" s="549"/>
      <c r="G5014" s="549" t="s">
        <v>21</v>
      </c>
      <c r="H5014" s="549" t="s">
        <v>122</v>
      </c>
      <c r="I5014" s="558">
        <v>14.7</v>
      </c>
      <c r="J5014" s="567">
        <v>11.2</v>
      </c>
      <c r="K5014" s="648">
        <v>11</v>
      </c>
      <c r="L5014" s="725">
        <f t="shared" si="1007"/>
        <v>1.81104</v>
      </c>
      <c r="M5014" s="549"/>
      <c r="N5014" s="549"/>
      <c r="O5014" s="549"/>
      <c r="P5014" s="549"/>
      <c r="Q5014" s="1059"/>
      <c r="R5014" s="1059"/>
    </row>
    <row r="5015" spans="1:19" ht="17.399999999999999">
      <c r="A5015" s="549"/>
      <c r="B5015" s="549"/>
      <c r="C5015" s="549"/>
      <c r="D5015" s="549"/>
      <c r="E5015" s="549"/>
      <c r="F5015" s="549"/>
      <c r="G5015" s="549" t="s">
        <v>21</v>
      </c>
      <c r="H5015" s="549" t="s">
        <v>122</v>
      </c>
      <c r="I5015" s="558">
        <v>14.7</v>
      </c>
      <c r="J5015" s="567">
        <v>11.7</v>
      </c>
      <c r="K5015" s="648">
        <v>12</v>
      </c>
      <c r="L5015" s="725">
        <f t="shared" si="1007"/>
        <v>2.0638799999999997</v>
      </c>
      <c r="M5015" s="549"/>
      <c r="N5015" s="549"/>
      <c r="O5015" s="549"/>
      <c r="P5015" s="549"/>
      <c r="Q5015" s="1059"/>
      <c r="R5015" s="1059"/>
    </row>
    <row r="5016" spans="1:19" ht="17.399999999999999">
      <c r="A5016" s="549"/>
      <c r="B5016" s="549"/>
      <c r="C5016" s="549"/>
      <c r="D5016" s="549"/>
      <c r="E5016" s="549"/>
      <c r="F5016" s="549"/>
      <c r="G5016" s="549" t="s">
        <v>21</v>
      </c>
      <c r="H5016" s="549" t="s">
        <v>122</v>
      </c>
      <c r="I5016" s="558">
        <v>14.7</v>
      </c>
      <c r="J5016" s="567">
        <v>12</v>
      </c>
      <c r="K5016" s="648">
        <v>26</v>
      </c>
      <c r="L5016" s="725">
        <f t="shared" si="1007"/>
        <v>4.5863999999999994</v>
      </c>
      <c r="M5016" s="549"/>
      <c r="N5016" s="549"/>
      <c r="O5016" s="549"/>
      <c r="P5016" s="549"/>
      <c r="Q5016" s="1059"/>
      <c r="R5016" s="1059"/>
    </row>
    <row r="5017" spans="1:19" ht="17.399999999999999">
      <c r="A5017" s="549"/>
      <c r="B5017" s="549"/>
      <c r="C5017" s="549"/>
      <c r="D5017" s="549"/>
      <c r="E5017" s="549"/>
      <c r="F5017" s="549"/>
      <c r="G5017" s="549"/>
      <c r="H5017" s="549"/>
      <c r="I5017" s="558"/>
      <c r="J5017" s="567"/>
      <c r="K5017" s="648">
        <f>SUM(K5011:K5016)</f>
        <v>128</v>
      </c>
      <c r="L5017" s="846">
        <f>SUM(L5011:L5016)</f>
        <v>17.394509999999997</v>
      </c>
      <c r="M5017" s="549"/>
      <c r="N5017" s="549"/>
      <c r="O5017" s="549"/>
      <c r="P5017" s="549"/>
      <c r="Q5017" s="1059"/>
      <c r="R5017" s="1059"/>
    </row>
    <row r="5018" spans="1:19" ht="17.399999999999999">
      <c r="A5018" s="549"/>
      <c r="B5018" s="549"/>
      <c r="C5018" s="549"/>
      <c r="D5018" s="549"/>
      <c r="E5018" s="549"/>
      <c r="F5018" s="549"/>
      <c r="G5018" s="549"/>
      <c r="H5018" s="549"/>
      <c r="I5018" s="560"/>
      <c r="J5018" s="549"/>
      <c r="K5018" s="564">
        <f>SUM(K4995:K5017)/2</f>
        <v>492</v>
      </c>
      <c r="L5018" s="710">
        <f>SUM(L4995:L5017)/2</f>
        <v>67.97426999999999</v>
      </c>
      <c r="M5018" s="549"/>
      <c r="N5018" s="549"/>
      <c r="O5018" s="549"/>
      <c r="P5018" s="549"/>
      <c r="Q5018" s="1059"/>
      <c r="R5018" s="1059"/>
    </row>
    <row r="5019" spans="1:19" s="497" customFormat="1" ht="17.399999999999999">
      <c r="A5019" s="549"/>
      <c r="B5019" s="549"/>
      <c r="C5019" s="549"/>
      <c r="D5019" s="549"/>
      <c r="E5019" s="549"/>
      <c r="F5019" s="549"/>
      <c r="G5019" s="549"/>
      <c r="H5019" s="549"/>
      <c r="I5019" s="560"/>
      <c r="J5019" s="549"/>
      <c r="K5019" s="564"/>
      <c r="L5019" s="710"/>
      <c r="M5019" s="549"/>
      <c r="N5019" s="549"/>
      <c r="O5019" s="549"/>
      <c r="P5019" s="549"/>
      <c r="Q5019" s="1059"/>
      <c r="R5019" s="1059"/>
    </row>
    <row r="5020" spans="1:19" s="497" customFormat="1" ht="17.399999999999999">
      <c r="A5020" s="549"/>
      <c r="B5020" s="549"/>
      <c r="C5020" s="549"/>
      <c r="D5020" s="549"/>
      <c r="E5020" s="549"/>
      <c r="F5020" s="549"/>
      <c r="G5020" s="549"/>
      <c r="H5020" s="549"/>
      <c r="I5020" s="560"/>
      <c r="J5020" s="549"/>
      <c r="K5020" s="561"/>
      <c r="L5020" s="560"/>
      <c r="M5020" s="549"/>
      <c r="N5020" s="549"/>
      <c r="O5020" s="549"/>
      <c r="P5020" s="549"/>
      <c r="Q5020" s="1059"/>
      <c r="R5020" s="1059"/>
    </row>
    <row r="5021" spans="1:19" ht="17.399999999999999">
      <c r="A5021" s="547" t="s">
        <v>445</v>
      </c>
      <c r="B5021" s="547" t="s">
        <v>519</v>
      </c>
      <c r="C5021" s="547" t="s">
        <v>19</v>
      </c>
      <c r="D5021" s="547" t="s">
        <v>60</v>
      </c>
      <c r="E5021" s="547" t="s">
        <v>90</v>
      </c>
      <c r="F5021" s="548">
        <v>13</v>
      </c>
      <c r="G5021" s="549" t="s">
        <v>61</v>
      </c>
      <c r="H5021" s="599" t="s">
        <v>122</v>
      </c>
      <c r="I5021" s="558">
        <v>14.7</v>
      </c>
      <c r="J5021" s="567">
        <v>6.9</v>
      </c>
      <c r="K5021" s="648">
        <v>52</v>
      </c>
      <c r="L5021" s="552">
        <f>(I5021*J5021*K5021/1000)</f>
        <v>5.2743600000000006</v>
      </c>
      <c r="M5021" s="549">
        <v>11</v>
      </c>
      <c r="N5021" s="549">
        <f>J5021*M5021*I5021/1000</f>
        <v>1.1157300000000001</v>
      </c>
      <c r="O5021" s="549"/>
      <c r="P5021" s="549"/>
      <c r="Q5021" s="1059"/>
      <c r="R5021" s="1059"/>
      <c r="S5021" s="497" t="s">
        <v>569</v>
      </c>
    </row>
    <row r="5022" spans="1:19" ht="17.399999999999999">
      <c r="A5022" s="547"/>
      <c r="B5022" s="549" t="s">
        <v>423</v>
      </c>
      <c r="C5022" s="547"/>
      <c r="D5022" s="547"/>
      <c r="E5022" s="547"/>
      <c r="F5022" s="549"/>
      <c r="G5022" s="549"/>
      <c r="H5022" s="549"/>
      <c r="I5022" s="558"/>
      <c r="J5022" s="567"/>
      <c r="K5022" s="648">
        <f t="shared" ref="K5022:N5022" si="1008">SUM(K5021)</f>
        <v>52</v>
      </c>
      <c r="L5022" s="732">
        <f t="shared" si="1008"/>
        <v>5.2743600000000006</v>
      </c>
      <c r="M5022" s="648">
        <f t="shared" si="1008"/>
        <v>11</v>
      </c>
      <c r="N5022" s="732">
        <f t="shared" si="1008"/>
        <v>1.1157300000000001</v>
      </c>
      <c r="O5022" s="549"/>
      <c r="P5022" s="549"/>
      <c r="Q5022" s="1059"/>
      <c r="R5022" s="1059"/>
    </row>
    <row r="5023" spans="1:19" ht="17.399999999999999">
      <c r="A5023" s="549"/>
      <c r="B5023" s="549"/>
      <c r="C5023" s="549"/>
      <c r="D5023" s="549"/>
      <c r="E5023" s="549"/>
      <c r="F5023" s="549"/>
      <c r="G5023" s="549"/>
      <c r="H5023" s="549"/>
      <c r="I5023" s="560"/>
      <c r="J5023" s="549"/>
      <c r="K5023" s="561"/>
      <c r="L5023" s="560"/>
      <c r="M5023" s="549"/>
      <c r="N5023" s="549"/>
      <c r="O5023" s="549"/>
      <c r="P5023" s="549"/>
      <c r="Q5023" s="1059"/>
      <c r="R5023" s="1059"/>
    </row>
    <row r="5024" spans="1:19" ht="17.399999999999999">
      <c r="A5024" s="547" t="s">
        <v>481</v>
      </c>
      <c r="B5024" s="547" t="s">
        <v>520</v>
      </c>
      <c r="C5024" s="547" t="s">
        <v>19</v>
      </c>
      <c r="D5024" s="547" t="s">
        <v>60</v>
      </c>
      <c r="E5024" s="547" t="s">
        <v>247</v>
      </c>
      <c r="F5024" s="548">
        <v>13</v>
      </c>
      <c r="G5024" s="549" t="s">
        <v>61</v>
      </c>
      <c r="H5024" s="599" t="s">
        <v>122</v>
      </c>
      <c r="I5024" s="558">
        <v>14.7</v>
      </c>
      <c r="J5024" s="567">
        <v>6</v>
      </c>
      <c r="K5024" s="648">
        <v>5</v>
      </c>
      <c r="L5024" s="552">
        <f>(I5024*J5024*K5024/1000)</f>
        <v>0.44099999999999995</v>
      </c>
      <c r="M5024" s="549">
        <f>1+2</f>
        <v>3</v>
      </c>
      <c r="N5024" s="549">
        <f>J5024*M5024*I5024/1000</f>
        <v>0.26459999999999995</v>
      </c>
      <c r="O5024" s="549"/>
      <c r="P5024" s="549"/>
      <c r="Q5024" s="1059"/>
      <c r="R5024" s="1059"/>
      <c r="S5024" s="497" t="s">
        <v>569</v>
      </c>
    </row>
    <row r="5025" spans="1:19" ht="17.399999999999999">
      <c r="A5025" s="547"/>
      <c r="B5025" s="560" t="s">
        <v>443</v>
      </c>
      <c r="C5025" s="547"/>
      <c r="D5025" s="547"/>
      <c r="E5025" s="547"/>
      <c r="F5025" s="549"/>
      <c r="G5025" s="650"/>
      <c r="H5025" s="549"/>
      <c r="I5025" s="558"/>
      <c r="J5025" s="567"/>
      <c r="K5025" s="648">
        <f t="shared" ref="K5025:N5025" si="1009">SUM(K5024)</f>
        <v>5</v>
      </c>
      <c r="L5025" s="732">
        <f t="shared" si="1009"/>
        <v>0.44099999999999995</v>
      </c>
      <c r="M5025" s="648">
        <f t="shared" si="1009"/>
        <v>3</v>
      </c>
      <c r="N5025" s="732">
        <f t="shared" si="1009"/>
        <v>0.26459999999999995</v>
      </c>
      <c r="O5025" s="549"/>
      <c r="P5025" s="549"/>
      <c r="Q5025" s="1059"/>
      <c r="R5025" s="1059"/>
    </row>
    <row r="5026" spans="1:19" ht="17.399999999999999">
      <c r="A5026" s="549"/>
      <c r="B5026" s="549"/>
      <c r="C5026" s="549"/>
      <c r="D5026" s="549"/>
      <c r="E5026" s="549"/>
      <c r="F5026" s="549"/>
      <c r="G5026" s="549"/>
      <c r="H5026" s="549"/>
      <c r="I5026" s="558"/>
      <c r="J5026" s="567"/>
      <c r="K5026" s="648"/>
      <c r="L5026" s="567"/>
      <c r="M5026" s="549"/>
      <c r="N5026" s="549"/>
      <c r="O5026" s="549"/>
      <c r="P5026" s="549"/>
      <c r="Q5026" s="1059"/>
      <c r="R5026" s="1059"/>
    </row>
    <row r="5027" spans="1:19" ht="17.399999999999999">
      <c r="A5027" s="547" t="s">
        <v>523</v>
      </c>
      <c r="B5027" s="547" t="s">
        <v>524</v>
      </c>
      <c r="C5027" s="547" t="s">
        <v>19</v>
      </c>
      <c r="D5027" s="547" t="s">
        <v>60</v>
      </c>
      <c r="E5027" s="547" t="s">
        <v>62</v>
      </c>
      <c r="F5027" s="548">
        <v>13</v>
      </c>
      <c r="G5027" s="549" t="s">
        <v>61</v>
      </c>
      <c r="H5027" s="599" t="s">
        <v>122</v>
      </c>
      <c r="I5027" s="558">
        <v>14.7</v>
      </c>
      <c r="J5027" s="567">
        <v>12</v>
      </c>
      <c r="K5027" s="648">
        <v>104</v>
      </c>
      <c r="L5027" s="734">
        <f t="shared" ref="L5027" si="1010">(I5027*J5027*K5027/1000)</f>
        <v>18.345599999999997</v>
      </c>
      <c r="M5027" s="549"/>
      <c r="N5027" s="549"/>
      <c r="O5027" s="549"/>
      <c r="P5027" s="549"/>
      <c r="Q5027" s="1059"/>
      <c r="R5027" s="1059"/>
      <c r="S5027" s="497" t="s">
        <v>569</v>
      </c>
    </row>
    <row r="5028" spans="1:19" ht="17.399999999999999">
      <c r="A5028" s="549"/>
      <c r="B5028" s="549" t="s">
        <v>88</v>
      </c>
      <c r="C5028" s="549"/>
      <c r="D5028" s="549"/>
      <c r="E5028" s="549"/>
      <c r="F5028" s="549"/>
      <c r="G5028" s="549"/>
      <c r="H5028" s="549"/>
      <c r="I5028" s="558"/>
      <c r="J5028" s="567"/>
      <c r="K5028" s="648">
        <f>SUM(K5027:K5027)</f>
        <v>104</v>
      </c>
      <c r="L5028" s="567">
        <f>SUM(L5027:L5027)</f>
        <v>18.345599999999997</v>
      </c>
      <c r="M5028" s="549"/>
      <c r="N5028" s="549"/>
      <c r="O5028" s="549"/>
      <c r="P5028" s="549"/>
      <c r="Q5028" s="1059"/>
      <c r="R5028" s="1059"/>
    </row>
    <row r="5029" spans="1:19" s="497" customFormat="1" ht="17.399999999999999">
      <c r="A5029" s="549"/>
      <c r="B5029" s="549"/>
      <c r="C5029" s="549"/>
      <c r="D5029" s="549"/>
      <c r="E5029" s="549"/>
      <c r="F5029" s="549"/>
      <c r="G5029" s="549"/>
      <c r="H5029" s="549"/>
      <c r="I5029" s="558"/>
      <c r="J5029" s="567"/>
      <c r="K5029" s="648"/>
      <c r="L5029" s="567"/>
      <c r="M5029" s="549"/>
      <c r="N5029" s="549"/>
      <c r="O5029" s="549"/>
      <c r="P5029" s="549"/>
      <c r="Q5029" s="1059"/>
      <c r="R5029" s="1059"/>
    </row>
    <row r="5030" spans="1:19" s="497" customFormat="1" ht="17.399999999999999">
      <c r="A5030" s="547" t="s">
        <v>481</v>
      </c>
      <c r="B5030" s="547" t="s">
        <v>538</v>
      </c>
      <c r="C5030" s="547" t="s">
        <v>19</v>
      </c>
      <c r="D5030" s="547" t="s">
        <v>60</v>
      </c>
      <c r="E5030" s="547" t="s">
        <v>247</v>
      </c>
      <c r="F5030" s="548">
        <v>13</v>
      </c>
      <c r="G5030" s="549" t="s">
        <v>61</v>
      </c>
      <c r="H5030" s="599" t="s">
        <v>122</v>
      </c>
      <c r="I5030" s="558">
        <v>14.7</v>
      </c>
      <c r="J5030" s="567">
        <v>9</v>
      </c>
      <c r="K5030" s="648">
        <v>7</v>
      </c>
      <c r="L5030" s="552">
        <f>(I5030*J5030*K5030/1000)</f>
        <v>0.92609999999999992</v>
      </c>
      <c r="M5030" s="549"/>
      <c r="N5030" s="549"/>
      <c r="O5030" s="549"/>
      <c r="P5030" s="549"/>
      <c r="Q5030" s="1059"/>
      <c r="R5030" s="1059"/>
      <c r="S5030" s="497" t="s">
        <v>569</v>
      </c>
    </row>
    <row r="5031" spans="1:19" s="497" customFormat="1" ht="17.399999999999999">
      <c r="A5031" s="547"/>
      <c r="B5031" s="781" t="s">
        <v>364</v>
      </c>
      <c r="C5031" s="780"/>
      <c r="D5031" s="547"/>
      <c r="E5031" s="547"/>
      <c r="F5031" s="549"/>
      <c r="G5031" s="650"/>
      <c r="H5031" s="549"/>
      <c r="I5031" s="558"/>
      <c r="J5031" s="567"/>
      <c r="K5031" s="648">
        <f t="shared" ref="K5031" si="1011">SUM(K5030)</f>
        <v>7</v>
      </c>
      <c r="L5031" s="732">
        <f>SUM(L5030)</f>
        <v>0.92609999999999992</v>
      </c>
      <c r="M5031" s="549"/>
      <c r="N5031" s="549"/>
      <c r="O5031" s="549"/>
      <c r="P5031" s="549"/>
      <c r="Q5031" s="1059"/>
      <c r="R5031" s="1059"/>
    </row>
    <row r="5032" spans="1:19" s="497" customFormat="1" ht="17.399999999999999">
      <c r="A5032" s="549"/>
      <c r="B5032" s="549"/>
      <c r="C5032" s="549"/>
      <c r="D5032" s="549"/>
      <c r="E5032" s="549"/>
      <c r="F5032" s="549"/>
      <c r="G5032" s="549"/>
      <c r="H5032" s="549"/>
      <c r="I5032" s="558"/>
      <c r="J5032" s="567"/>
      <c r="K5032" s="648">
        <f>SUM(K5021:K5031)/2</f>
        <v>168</v>
      </c>
      <c r="L5032" s="567">
        <f>SUM(L5021:L5031)/2</f>
        <v>24.987059999999996</v>
      </c>
      <c r="M5032" s="648">
        <f>SUM(M5021:M5031)/2</f>
        <v>14</v>
      </c>
      <c r="N5032" s="567">
        <f>SUM(N5021:N5031)/2</f>
        <v>1.3803299999999998</v>
      </c>
      <c r="O5032" s="549"/>
      <c r="P5032" s="549"/>
      <c r="Q5032" s="1059"/>
      <c r="R5032" s="1059"/>
    </row>
    <row r="5033" spans="1:19" s="497" customFormat="1" ht="17.399999999999999">
      <c r="A5033" s="549"/>
      <c r="B5033" s="549"/>
      <c r="C5033" s="549"/>
      <c r="D5033" s="549"/>
      <c r="E5033" s="549"/>
      <c r="F5033" s="549"/>
      <c r="G5033" s="549"/>
      <c r="H5033" s="549"/>
      <c r="I5033" s="558"/>
      <c r="J5033" s="567"/>
      <c r="K5033" s="648"/>
      <c r="L5033" s="567"/>
      <c r="M5033" s="549"/>
      <c r="N5033" s="549"/>
      <c r="O5033" s="549"/>
      <c r="P5033" s="549"/>
      <c r="Q5033" s="1059"/>
      <c r="R5033" s="1059"/>
    </row>
    <row r="5034" spans="1:19" s="497" customFormat="1" ht="17.399999999999999">
      <c r="A5034" s="549"/>
      <c r="B5034" s="549"/>
      <c r="C5034" s="549"/>
      <c r="D5034" s="549"/>
      <c r="E5034" s="549"/>
      <c r="F5034" s="549"/>
      <c r="G5034" s="549"/>
      <c r="H5034" s="549"/>
      <c r="I5034" s="558"/>
      <c r="J5034" s="567"/>
      <c r="K5034" s="648"/>
      <c r="L5034" s="567"/>
      <c r="M5034" s="549"/>
      <c r="N5034" s="549"/>
      <c r="O5034" s="549"/>
      <c r="P5034" s="549"/>
      <c r="Q5034" s="1059"/>
      <c r="R5034" s="1059"/>
    </row>
    <row r="5035" spans="1:19" ht="17.399999999999999">
      <c r="A5035" s="547" t="s">
        <v>523</v>
      </c>
      <c r="B5035" s="547" t="s">
        <v>524</v>
      </c>
      <c r="C5035" s="547" t="s">
        <v>19</v>
      </c>
      <c r="D5035" s="547" t="s">
        <v>60</v>
      </c>
      <c r="E5035" s="547" t="s">
        <v>62</v>
      </c>
      <c r="F5035" s="548">
        <v>13</v>
      </c>
      <c r="G5035" s="549" t="s">
        <v>61</v>
      </c>
      <c r="H5035" s="599" t="s">
        <v>123</v>
      </c>
      <c r="I5035" s="558">
        <v>16.5</v>
      </c>
      <c r="J5035" s="567">
        <v>12</v>
      </c>
      <c r="K5035" s="648">
        <v>30</v>
      </c>
      <c r="L5035" s="552">
        <f>(I5035*J5035*K5035/1000)</f>
        <v>5.94</v>
      </c>
      <c r="M5035" s="549"/>
      <c r="N5035" s="549"/>
      <c r="O5035" s="549"/>
      <c r="P5035" s="549"/>
      <c r="Q5035" s="1059"/>
      <c r="R5035" s="1059"/>
      <c r="S5035" s="497" t="s">
        <v>569</v>
      </c>
    </row>
    <row r="5036" spans="1:19" ht="17.399999999999999">
      <c r="A5036" s="549"/>
      <c r="B5036" s="549" t="s">
        <v>88</v>
      </c>
      <c r="C5036" s="549"/>
      <c r="D5036" s="549"/>
      <c r="E5036" s="549"/>
      <c r="F5036" s="549"/>
      <c r="G5036" s="549"/>
      <c r="H5036" s="549"/>
      <c r="I5036" s="558"/>
      <c r="J5036" s="567"/>
      <c r="K5036" s="648">
        <f>SUM(K5035:K5035)</f>
        <v>30</v>
      </c>
      <c r="L5036" s="732">
        <f>SUM(L5035:L5035)</f>
        <v>5.94</v>
      </c>
      <c r="M5036" s="549"/>
      <c r="N5036" s="549"/>
      <c r="O5036" s="549"/>
      <c r="P5036" s="549"/>
      <c r="Q5036" s="1059"/>
      <c r="R5036" s="1059"/>
    </row>
    <row r="5037" spans="1:19" ht="17.399999999999999">
      <c r="A5037" s="549"/>
      <c r="B5037" s="549"/>
      <c r="C5037" s="549"/>
      <c r="D5037" s="549"/>
      <c r="E5037" s="549"/>
      <c r="F5037" s="549"/>
      <c r="G5037" s="549"/>
      <c r="H5037" s="549"/>
      <c r="I5037" s="560"/>
      <c r="J5037" s="549"/>
      <c r="K5037" s="561"/>
      <c r="L5037" s="560"/>
      <c r="M5037" s="549"/>
      <c r="N5037" s="549"/>
      <c r="O5037" s="549"/>
      <c r="P5037" s="549"/>
      <c r="Q5037" s="1059"/>
      <c r="R5037" s="1059"/>
    </row>
    <row r="5038" spans="1:19" ht="17.399999999999999">
      <c r="A5038" s="549"/>
      <c r="B5038" s="549"/>
      <c r="C5038" s="549"/>
      <c r="D5038" s="549"/>
      <c r="E5038" s="549"/>
      <c r="F5038" s="549"/>
      <c r="G5038" s="549"/>
      <c r="H5038" s="549"/>
      <c r="I5038" s="560"/>
      <c r="J5038" s="549"/>
      <c r="K5038" s="561"/>
      <c r="L5038" s="560"/>
      <c r="M5038" s="549"/>
      <c r="N5038" s="549"/>
      <c r="O5038" s="549"/>
      <c r="P5038" s="549"/>
      <c r="Q5038" s="1059"/>
      <c r="R5038" s="1059"/>
    </row>
    <row r="5039" spans="1:19" ht="17.399999999999999">
      <c r="A5039" s="547" t="s">
        <v>445</v>
      </c>
      <c r="B5039" s="547" t="s">
        <v>490</v>
      </c>
      <c r="C5039" s="547" t="s">
        <v>19</v>
      </c>
      <c r="D5039" s="547" t="s">
        <v>60</v>
      </c>
      <c r="E5039" s="547" t="s">
        <v>247</v>
      </c>
      <c r="F5039" s="548">
        <v>13</v>
      </c>
      <c r="G5039" s="549" t="s">
        <v>61</v>
      </c>
      <c r="H5039" s="599" t="s">
        <v>120</v>
      </c>
      <c r="I5039" s="558">
        <v>18.2</v>
      </c>
      <c r="J5039" s="567">
        <v>12</v>
      </c>
      <c r="K5039" s="648">
        <v>5</v>
      </c>
      <c r="L5039" s="552">
        <f>(I5039*J5039*K5039/1000)</f>
        <v>1.0920000000000001</v>
      </c>
      <c r="M5039" s="549"/>
      <c r="N5039" s="549"/>
      <c r="O5039" s="549"/>
      <c r="P5039" s="549"/>
      <c r="Q5039" s="1059"/>
      <c r="R5039" s="1059"/>
      <c r="S5039" s="497" t="s">
        <v>569</v>
      </c>
    </row>
    <row r="5040" spans="1:19" ht="17.399999999999999">
      <c r="A5040" s="547"/>
      <c r="B5040" s="549" t="s">
        <v>52</v>
      </c>
      <c r="C5040" s="547"/>
      <c r="D5040" s="547"/>
      <c r="E5040" s="547"/>
      <c r="F5040" s="549"/>
      <c r="G5040" s="549"/>
      <c r="H5040" s="549"/>
      <c r="I5040" s="558"/>
      <c r="J5040" s="567"/>
      <c r="K5040" s="648">
        <f t="shared" ref="K5040:L5040" si="1012">SUM(K5039)</f>
        <v>5</v>
      </c>
      <c r="L5040" s="732">
        <f t="shared" si="1012"/>
        <v>1.0920000000000001</v>
      </c>
      <c r="M5040" s="549"/>
      <c r="N5040" s="549"/>
      <c r="O5040" s="549"/>
      <c r="P5040" s="549"/>
      <c r="Q5040" s="1059"/>
      <c r="R5040" s="1059"/>
    </row>
    <row r="5041" spans="1:19" ht="17.399999999999999">
      <c r="A5041" s="549"/>
      <c r="B5041" s="549"/>
      <c r="C5041" s="549"/>
      <c r="D5041" s="549"/>
      <c r="E5041" s="549"/>
      <c r="F5041" s="549"/>
      <c r="G5041" s="549"/>
      <c r="H5041" s="549"/>
      <c r="I5041" s="560"/>
      <c r="J5041" s="549"/>
      <c r="K5041" s="561"/>
      <c r="L5041" s="560"/>
      <c r="M5041" s="549"/>
      <c r="N5041" s="549"/>
      <c r="O5041" s="549"/>
      <c r="P5041" s="549"/>
      <c r="Q5041" s="1059"/>
      <c r="R5041" s="1059"/>
    </row>
    <row r="5042" spans="1:19" ht="17.399999999999999">
      <c r="A5042" s="547" t="s">
        <v>445</v>
      </c>
      <c r="B5042" s="547" t="s">
        <v>519</v>
      </c>
      <c r="C5042" s="547" t="s">
        <v>19</v>
      </c>
      <c r="D5042" s="547" t="s">
        <v>60</v>
      </c>
      <c r="E5042" s="547" t="s">
        <v>90</v>
      </c>
      <c r="F5042" s="548">
        <v>13</v>
      </c>
      <c r="G5042" s="549" t="s">
        <v>61</v>
      </c>
      <c r="H5042" s="599" t="s">
        <v>120</v>
      </c>
      <c r="I5042" s="558">
        <v>18.2</v>
      </c>
      <c r="J5042" s="567">
        <v>7.5</v>
      </c>
      <c r="K5042" s="648">
        <v>48</v>
      </c>
      <c r="L5042" s="552">
        <f t="shared" ref="L5042:L5044" si="1013">(I5042*J5042*K5042/1000)</f>
        <v>6.5519999999999996</v>
      </c>
      <c r="M5042" s="549"/>
      <c r="N5042" s="549"/>
      <c r="O5042" s="549"/>
      <c r="P5042" s="549"/>
      <c r="Q5042" s="1059"/>
      <c r="R5042" s="1059"/>
      <c r="S5042" s="497" t="s">
        <v>569</v>
      </c>
    </row>
    <row r="5043" spans="1:19" ht="17.399999999999999">
      <c r="A5043" s="547"/>
      <c r="B5043" s="549" t="s">
        <v>423</v>
      </c>
      <c r="C5043" s="547"/>
      <c r="D5043" s="547"/>
      <c r="E5043" s="547"/>
      <c r="F5043" s="549"/>
      <c r="G5043" s="549" t="s">
        <v>61</v>
      </c>
      <c r="H5043" s="549" t="s">
        <v>120</v>
      </c>
      <c r="I5043" s="558">
        <v>18.2</v>
      </c>
      <c r="J5043" s="567">
        <v>9.6</v>
      </c>
      <c r="K5043" s="648">
        <v>24</v>
      </c>
      <c r="L5043" s="552">
        <f t="shared" si="1013"/>
        <v>4.1932799999999997</v>
      </c>
      <c r="M5043" s="549"/>
      <c r="N5043" s="549"/>
      <c r="O5043" s="549"/>
      <c r="P5043" s="549"/>
      <c r="Q5043" s="1059"/>
      <c r="R5043" s="1059"/>
    </row>
    <row r="5044" spans="1:19" ht="17.399999999999999">
      <c r="A5044" s="549"/>
      <c r="B5044" s="549"/>
      <c r="C5044" s="549"/>
      <c r="D5044" s="549"/>
      <c r="E5044" s="549"/>
      <c r="F5044" s="549"/>
      <c r="G5044" s="549" t="s">
        <v>61</v>
      </c>
      <c r="H5044" s="549" t="s">
        <v>120</v>
      </c>
      <c r="I5044" s="558">
        <v>18.2</v>
      </c>
      <c r="J5044" s="567">
        <v>11.4</v>
      </c>
      <c r="K5044" s="648">
        <v>40</v>
      </c>
      <c r="L5044" s="552">
        <f t="shared" si="1013"/>
        <v>8.299199999999999</v>
      </c>
      <c r="M5044" s="549">
        <v>2</v>
      </c>
      <c r="N5044" s="549">
        <f>J5044*M5044*I5044/1000</f>
        <v>0.41496</v>
      </c>
      <c r="O5044" s="549"/>
      <c r="P5044" s="549"/>
      <c r="Q5044" s="1059"/>
      <c r="R5044" s="1059"/>
    </row>
    <row r="5045" spans="1:19" ht="17.399999999999999">
      <c r="A5045" s="549"/>
      <c r="B5045" s="549"/>
      <c r="C5045" s="549"/>
      <c r="D5045" s="549"/>
      <c r="E5045" s="549"/>
      <c r="F5045" s="549"/>
      <c r="G5045" s="549"/>
      <c r="H5045" s="549"/>
      <c r="I5045" s="558"/>
      <c r="J5045" s="567"/>
      <c r="K5045" s="648">
        <f t="shared" ref="K5045:N5045" si="1014">SUM(K5042:K5044)</f>
        <v>112</v>
      </c>
      <c r="L5045" s="732">
        <f t="shared" si="1014"/>
        <v>19.04448</v>
      </c>
      <c r="M5045" s="648">
        <f t="shared" si="1014"/>
        <v>2</v>
      </c>
      <c r="N5045" s="732">
        <f t="shared" si="1014"/>
        <v>0.41496</v>
      </c>
      <c r="O5045" s="549"/>
      <c r="P5045" s="549"/>
      <c r="Q5045" s="1059"/>
      <c r="R5045" s="1059"/>
    </row>
    <row r="5046" spans="1:19" s="497" customFormat="1" ht="17.399999999999999">
      <c r="A5046" s="549"/>
      <c r="B5046" s="549"/>
      <c r="C5046" s="549"/>
      <c r="D5046" s="549"/>
      <c r="E5046" s="549"/>
      <c r="F5046" s="549"/>
      <c r="G5046" s="549"/>
      <c r="H5046" s="549"/>
      <c r="I5046" s="558"/>
      <c r="J5046" s="567"/>
      <c r="K5046" s="648"/>
      <c r="L5046" s="567"/>
      <c r="M5046" s="549"/>
      <c r="N5046" s="549"/>
      <c r="O5046" s="549"/>
      <c r="P5046" s="549"/>
      <c r="Q5046" s="1059"/>
      <c r="R5046" s="1059"/>
    </row>
    <row r="5047" spans="1:19" ht="17.399999999999999">
      <c r="A5047" s="547" t="s">
        <v>523</v>
      </c>
      <c r="B5047" s="547" t="s">
        <v>524</v>
      </c>
      <c r="C5047" s="547" t="s">
        <v>19</v>
      </c>
      <c r="D5047" s="547" t="s">
        <v>60</v>
      </c>
      <c r="E5047" s="547" t="s">
        <v>247</v>
      </c>
      <c r="F5047" s="548">
        <v>13</v>
      </c>
      <c r="G5047" s="549" t="s">
        <v>61</v>
      </c>
      <c r="H5047" s="599" t="s">
        <v>120</v>
      </c>
      <c r="I5047" s="558">
        <v>18.2</v>
      </c>
      <c r="J5047" s="567">
        <v>12</v>
      </c>
      <c r="K5047" s="648">
        <v>10</v>
      </c>
      <c r="L5047" s="552">
        <f t="shared" ref="L5047" si="1015">(I5047*J5047*K5047/1000)</f>
        <v>2.1840000000000002</v>
      </c>
      <c r="M5047" s="549"/>
      <c r="N5047" s="549"/>
      <c r="O5047" s="549"/>
      <c r="P5047" s="549"/>
      <c r="Q5047" s="1059"/>
      <c r="R5047" s="1059"/>
      <c r="S5047" s="497" t="s">
        <v>569</v>
      </c>
    </row>
    <row r="5048" spans="1:19" ht="17.399999999999999">
      <c r="A5048" s="549"/>
      <c r="B5048" s="549" t="s">
        <v>88</v>
      </c>
      <c r="C5048" s="549"/>
      <c r="D5048" s="549"/>
      <c r="E5048" s="549"/>
      <c r="F5048" s="549"/>
      <c r="G5048" s="549"/>
      <c r="H5048" s="549"/>
      <c r="I5048" s="558"/>
      <c r="J5048" s="567"/>
      <c r="K5048" s="648">
        <f>SUM(K5047:K5047)</f>
        <v>10</v>
      </c>
      <c r="L5048" s="732">
        <f>SUM(L5047:L5047)</f>
        <v>2.1840000000000002</v>
      </c>
      <c r="M5048" s="549"/>
      <c r="N5048" s="549"/>
      <c r="O5048" s="549"/>
      <c r="P5048" s="549"/>
      <c r="Q5048" s="1059"/>
      <c r="R5048" s="1059"/>
    </row>
    <row r="5049" spans="1:19" s="497" customFormat="1" ht="17.399999999999999">
      <c r="A5049" s="549"/>
      <c r="B5049" s="549"/>
      <c r="C5049" s="549"/>
      <c r="D5049" s="549"/>
      <c r="E5049" s="549"/>
      <c r="F5049" s="549"/>
      <c r="G5049" s="549"/>
      <c r="H5049" s="549"/>
      <c r="I5049" s="558"/>
      <c r="J5049" s="567"/>
      <c r="K5049" s="648">
        <f>SUM(K5039:K5048)/2</f>
        <v>127</v>
      </c>
      <c r="L5049" s="567">
        <f>SUM(L5039:L5048)/2</f>
        <v>22.320479999999996</v>
      </c>
      <c r="M5049" s="648">
        <f>SUM(M5039:M5048)/2</f>
        <v>2</v>
      </c>
      <c r="N5049" s="567">
        <f>SUM(N5039:N5048)/2</f>
        <v>0.41496</v>
      </c>
      <c r="O5049" s="549"/>
      <c r="P5049" s="549"/>
      <c r="Q5049" s="1059"/>
      <c r="R5049" s="1059"/>
    </row>
    <row r="5050" spans="1:19" s="497" customFormat="1" ht="17.399999999999999">
      <c r="A5050" s="549"/>
      <c r="B5050" s="549"/>
      <c r="C5050" s="549"/>
      <c r="D5050" s="549"/>
      <c r="E5050" s="549"/>
      <c r="F5050" s="549"/>
      <c r="G5050" s="549"/>
      <c r="H5050" s="549"/>
      <c r="I5050" s="558"/>
      <c r="J5050" s="567"/>
      <c r="K5050" s="648"/>
      <c r="L5050" s="567"/>
      <c r="M5050" s="549"/>
      <c r="N5050" s="549"/>
      <c r="O5050" s="549"/>
      <c r="P5050" s="549"/>
      <c r="Q5050" s="1059"/>
      <c r="R5050" s="1059"/>
    </row>
    <row r="5051" spans="1:19" s="497" customFormat="1" ht="17.399999999999999">
      <c r="A5051" s="549"/>
      <c r="B5051" s="549"/>
      <c r="C5051" s="549"/>
      <c r="D5051" s="549"/>
      <c r="E5051" s="549"/>
      <c r="F5051" s="549"/>
      <c r="G5051" s="549"/>
      <c r="H5051" s="549"/>
      <c r="I5051" s="558"/>
      <c r="J5051" s="567"/>
      <c r="K5051" s="648"/>
      <c r="L5051" s="567"/>
      <c r="M5051" s="549"/>
      <c r="N5051" s="549"/>
      <c r="O5051" s="549"/>
      <c r="P5051" s="549"/>
      <c r="Q5051" s="1059"/>
      <c r="R5051" s="1059"/>
    </row>
    <row r="5052" spans="1:19" s="497" customFormat="1" ht="17.399999999999999">
      <c r="A5052" s="547" t="s">
        <v>541</v>
      </c>
      <c r="B5052" s="547" t="s">
        <v>559</v>
      </c>
      <c r="C5052" s="547" t="s">
        <v>19</v>
      </c>
      <c r="D5052" s="547" t="s">
        <v>60</v>
      </c>
      <c r="E5052" s="547" t="s">
        <v>90</v>
      </c>
      <c r="F5052" s="548">
        <v>13</v>
      </c>
      <c r="G5052" s="869" t="s">
        <v>61</v>
      </c>
      <c r="H5052" s="900" t="s">
        <v>120</v>
      </c>
      <c r="I5052" s="1881">
        <v>18.2</v>
      </c>
      <c r="J5052" s="756">
        <v>10</v>
      </c>
      <c r="K5052" s="757">
        <v>1</v>
      </c>
      <c r="L5052" s="552">
        <f>(I5052*J5052*K5052/1000)</f>
        <v>0.182</v>
      </c>
      <c r="M5052" s="549"/>
      <c r="N5052" s="549"/>
      <c r="O5052" s="549"/>
      <c r="P5052" s="549"/>
      <c r="Q5052" s="1059"/>
      <c r="R5052" s="1059"/>
      <c r="S5052" s="497" t="s">
        <v>569</v>
      </c>
    </row>
    <row r="5053" spans="1:19" s="497" customFormat="1" ht="17.399999999999999">
      <c r="A5053" s="549"/>
      <c r="B5053" s="549" t="s">
        <v>558</v>
      </c>
      <c r="C5053" s="549"/>
      <c r="D5053" s="549"/>
      <c r="E5053" s="549"/>
      <c r="F5053" s="549"/>
      <c r="G5053" s="869"/>
      <c r="H5053" s="650"/>
      <c r="I5053" s="1882"/>
      <c r="J5053" s="871"/>
      <c r="K5053" s="757">
        <f t="shared" ref="K5053:L5053" si="1016">SUM(K5052)</f>
        <v>1</v>
      </c>
      <c r="L5053" s="756">
        <f t="shared" si="1016"/>
        <v>0.182</v>
      </c>
      <c r="M5053" s="549"/>
      <c r="N5053" s="549"/>
      <c r="O5053" s="549"/>
      <c r="P5053" s="549"/>
      <c r="Q5053" s="1059"/>
      <c r="R5053" s="1059"/>
    </row>
    <row r="5054" spans="1:19" s="497" customFormat="1" ht="17.399999999999999">
      <c r="A5054" s="549"/>
      <c r="B5054" s="549"/>
      <c r="C5054" s="549"/>
      <c r="D5054" s="549"/>
      <c r="E5054" s="549"/>
      <c r="F5054" s="549"/>
      <c r="G5054" s="869"/>
      <c r="H5054" s="650"/>
      <c r="I5054" s="1882"/>
      <c r="J5054" s="871"/>
      <c r="K5054" s="757"/>
      <c r="L5054" s="756"/>
      <c r="M5054" s="549"/>
      <c r="N5054" s="549"/>
      <c r="O5054" s="549"/>
      <c r="P5054" s="549"/>
      <c r="Q5054" s="1059"/>
      <c r="R5054" s="1059"/>
    </row>
    <row r="5055" spans="1:19" s="497" customFormat="1" ht="17.399999999999999">
      <c r="A5055" s="549"/>
      <c r="B5055" s="549"/>
      <c r="C5055" s="549"/>
      <c r="D5055" s="549"/>
      <c r="E5055" s="549"/>
      <c r="F5055" s="549"/>
      <c r="G5055" s="549"/>
      <c r="H5055" s="549"/>
      <c r="I5055" s="558"/>
      <c r="J5055" s="567"/>
      <c r="K5055" s="648"/>
      <c r="L5055" s="567"/>
      <c r="M5055" s="549"/>
      <c r="N5055" s="549"/>
      <c r="O5055" s="549"/>
      <c r="P5055" s="549"/>
      <c r="Q5055" s="1059"/>
      <c r="R5055" s="1059"/>
    </row>
    <row r="5056" spans="1:19" s="497" customFormat="1" ht="17.399999999999999">
      <c r="A5056" s="547" t="s">
        <v>541</v>
      </c>
      <c r="B5056" s="547" t="s">
        <v>559</v>
      </c>
      <c r="C5056" s="547" t="s">
        <v>19</v>
      </c>
      <c r="D5056" s="547" t="s">
        <v>60</v>
      </c>
      <c r="E5056" s="547" t="s">
        <v>247</v>
      </c>
      <c r="F5056" s="548">
        <v>13</v>
      </c>
      <c r="G5056" s="869" t="s">
        <v>61</v>
      </c>
      <c r="H5056" s="900" t="s">
        <v>123</v>
      </c>
      <c r="I5056" s="1881">
        <v>16.5</v>
      </c>
      <c r="J5056" s="756">
        <v>7.3</v>
      </c>
      <c r="K5056" s="757">
        <v>16</v>
      </c>
      <c r="L5056" s="552">
        <f t="shared" ref="L5056:L5058" si="1017">(I5056*J5056*K5056/1000)</f>
        <v>1.9272</v>
      </c>
      <c r="M5056" s="549"/>
      <c r="N5056" s="549"/>
      <c r="O5056" s="549"/>
      <c r="P5056" s="549"/>
      <c r="Q5056" s="1059"/>
      <c r="R5056" s="1059"/>
      <c r="S5056" s="497" t="s">
        <v>569</v>
      </c>
    </row>
    <row r="5057" spans="1:19" s="497" customFormat="1" ht="17.399999999999999">
      <c r="A5057" s="549"/>
      <c r="B5057" s="549" t="s">
        <v>558</v>
      </c>
      <c r="C5057" s="549"/>
      <c r="D5057" s="549"/>
      <c r="E5057" s="549"/>
      <c r="F5057" s="549"/>
      <c r="G5057" s="869" t="s">
        <v>61</v>
      </c>
      <c r="H5057" s="869" t="s">
        <v>123</v>
      </c>
      <c r="I5057" s="1881">
        <v>16.5</v>
      </c>
      <c r="J5057" s="756">
        <v>7.7</v>
      </c>
      <c r="K5057" s="757">
        <v>8</v>
      </c>
      <c r="L5057" s="552">
        <f t="shared" si="1017"/>
        <v>1.0164</v>
      </c>
      <c r="M5057" s="549"/>
      <c r="N5057" s="549"/>
      <c r="O5057" s="549"/>
      <c r="P5057" s="549"/>
      <c r="Q5057" s="1059"/>
      <c r="R5057" s="1059"/>
    </row>
    <row r="5058" spans="1:19" s="497" customFormat="1" ht="17.399999999999999">
      <c r="A5058" s="549"/>
      <c r="B5058" s="549"/>
      <c r="C5058" s="549"/>
      <c r="D5058" s="549"/>
      <c r="E5058" s="549"/>
      <c r="F5058" s="549"/>
      <c r="G5058" s="869" t="s">
        <v>61</v>
      </c>
      <c r="H5058" s="869" t="s">
        <v>123</v>
      </c>
      <c r="I5058" s="1881">
        <v>16.5</v>
      </c>
      <c r="J5058" s="756">
        <v>11.9</v>
      </c>
      <c r="K5058" s="757">
        <v>23</v>
      </c>
      <c r="L5058" s="552">
        <f t="shared" si="1017"/>
        <v>4.5160499999999999</v>
      </c>
      <c r="M5058" s="549"/>
      <c r="N5058" s="549"/>
      <c r="O5058" s="549"/>
      <c r="P5058" s="549"/>
      <c r="Q5058" s="1059"/>
      <c r="R5058" s="1059"/>
    </row>
    <row r="5059" spans="1:19" s="497" customFormat="1" ht="17.399999999999999">
      <c r="A5059" s="549"/>
      <c r="B5059" s="549"/>
      <c r="C5059" s="549"/>
      <c r="D5059" s="549"/>
      <c r="E5059" s="549"/>
      <c r="F5059" s="549"/>
      <c r="G5059" s="869"/>
      <c r="H5059" s="650"/>
      <c r="I5059" s="1882"/>
      <c r="J5059" s="871"/>
      <c r="K5059" s="757">
        <f t="shared" ref="K5059:L5059" si="1018">SUM(K5056:K5058)</f>
        <v>47</v>
      </c>
      <c r="L5059" s="756">
        <f t="shared" si="1018"/>
        <v>7.4596499999999999</v>
      </c>
      <c r="M5059" s="549"/>
      <c r="N5059" s="549"/>
      <c r="O5059" s="549"/>
      <c r="P5059" s="549"/>
      <c r="Q5059" s="1059"/>
      <c r="R5059" s="1059"/>
    </row>
    <row r="5060" spans="1:19" s="497" customFormat="1" ht="17.399999999999999">
      <c r="A5060" s="549"/>
      <c r="B5060" s="549"/>
      <c r="C5060" s="549"/>
      <c r="D5060" s="549"/>
      <c r="E5060" s="549"/>
      <c r="F5060" s="549"/>
      <c r="G5060" s="549"/>
      <c r="H5060" s="549"/>
      <c r="I5060" s="558"/>
      <c r="J5060" s="567"/>
      <c r="K5060" s="648"/>
      <c r="L5060" s="567"/>
      <c r="M5060" s="549"/>
      <c r="N5060" s="549"/>
      <c r="O5060" s="549"/>
      <c r="P5060" s="549"/>
      <c r="Q5060" s="1059"/>
      <c r="R5060" s="1059"/>
    </row>
    <row r="5061" spans="1:19" s="497" customFormat="1" ht="17.399999999999999">
      <c r="A5061" s="547" t="s">
        <v>541</v>
      </c>
      <c r="B5061" s="547" t="s">
        <v>561</v>
      </c>
      <c r="C5061" s="547" t="s">
        <v>19</v>
      </c>
      <c r="D5061" s="547" t="s">
        <v>60</v>
      </c>
      <c r="E5061" s="547" t="s">
        <v>247</v>
      </c>
      <c r="F5061" s="548">
        <v>13</v>
      </c>
      <c r="G5061" s="869" t="s">
        <v>61</v>
      </c>
      <c r="H5061" s="900" t="s">
        <v>123</v>
      </c>
      <c r="I5061" s="1881">
        <v>16.5</v>
      </c>
      <c r="J5061" s="756">
        <v>7.3</v>
      </c>
      <c r="K5061" s="757">
        <v>36</v>
      </c>
      <c r="L5061" s="552">
        <f t="shared" ref="L5061:L5063" si="1019">(I5061*J5061*K5061/1000)</f>
        <v>4.3361999999999998</v>
      </c>
      <c r="M5061" s="549"/>
      <c r="N5061" s="549"/>
      <c r="O5061" s="549"/>
      <c r="P5061" s="549"/>
      <c r="Q5061" s="1059"/>
      <c r="R5061" s="1059"/>
      <c r="S5061" s="497" t="s">
        <v>569</v>
      </c>
    </row>
    <row r="5062" spans="1:19" s="497" customFormat="1" ht="17.399999999999999">
      <c r="A5062" s="549"/>
      <c r="B5062" s="549" t="s">
        <v>560</v>
      </c>
      <c r="C5062" s="549"/>
      <c r="D5062" s="549"/>
      <c r="E5062" s="549"/>
      <c r="F5062" s="549"/>
      <c r="G5062" s="869" t="s">
        <v>61</v>
      </c>
      <c r="H5062" s="869" t="s">
        <v>123</v>
      </c>
      <c r="I5062" s="1881">
        <v>16.5</v>
      </c>
      <c r="J5062" s="756">
        <v>7.7</v>
      </c>
      <c r="K5062" s="757">
        <v>16</v>
      </c>
      <c r="L5062" s="552">
        <f t="shared" si="1019"/>
        <v>2.0327999999999999</v>
      </c>
      <c r="M5062" s="549"/>
      <c r="N5062" s="549"/>
      <c r="O5062" s="549"/>
      <c r="P5062" s="549"/>
      <c r="Q5062" s="1059"/>
      <c r="R5062" s="1059"/>
    </row>
    <row r="5063" spans="1:19" s="497" customFormat="1" ht="17.399999999999999">
      <c r="A5063" s="549"/>
      <c r="B5063" s="549"/>
      <c r="C5063" s="549"/>
      <c r="D5063" s="549"/>
      <c r="E5063" s="549"/>
      <c r="F5063" s="549"/>
      <c r="G5063" s="869" t="s">
        <v>61</v>
      </c>
      <c r="H5063" s="869" t="s">
        <v>123</v>
      </c>
      <c r="I5063" s="1881">
        <v>16.5</v>
      </c>
      <c r="J5063" s="756">
        <v>11.9</v>
      </c>
      <c r="K5063" s="757">
        <v>50</v>
      </c>
      <c r="L5063" s="552">
        <f t="shared" si="1019"/>
        <v>9.8175000000000008</v>
      </c>
      <c r="M5063" s="549"/>
      <c r="N5063" s="549"/>
      <c r="O5063" s="549"/>
      <c r="P5063" s="549"/>
      <c r="Q5063" s="1059"/>
      <c r="R5063" s="1059"/>
    </row>
    <row r="5064" spans="1:19" s="497" customFormat="1" ht="17.399999999999999">
      <c r="A5064" s="549"/>
      <c r="B5064" s="549"/>
      <c r="C5064" s="549"/>
      <c r="D5064" s="549"/>
      <c r="E5064" s="549"/>
      <c r="F5064" s="549"/>
      <c r="G5064" s="869"/>
      <c r="H5064" s="650"/>
      <c r="I5064" s="1882"/>
      <c r="J5064" s="871"/>
      <c r="K5064" s="757">
        <f>SUM(K5061:K5063)</f>
        <v>102</v>
      </c>
      <c r="L5064" s="756">
        <f>SUM(L5061:L5063)</f>
        <v>16.186500000000002</v>
      </c>
      <c r="M5064" s="549"/>
      <c r="N5064" s="549"/>
      <c r="O5064" s="549"/>
      <c r="P5064" s="549"/>
      <c r="Q5064" s="1059"/>
      <c r="R5064" s="1059"/>
    </row>
    <row r="5065" spans="1:19" s="497" customFormat="1" ht="17.399999999999999">
      <c r="A5065" s="549"/>
      <c r="B5065" s="549"/>
      <c r="C5065" s="549"/>
      <c r="D5065" s="549"/>
      <c r="E5065" s="549"/>
      <c r="F5065" s="549"/>
      <c r="G5065" s="549"/>
      <c r="H5065" s="549"/>
      <c r="I5065" s="558"/>
      <c r="J5065" s="567"/>
      <c r="K5065" s="648"/>
      <c r="L5065" s="567">
        <f>+L5064+L5059</f>
        <v>23.646150000000002</v>
      </c>
      <c r="M5065" s="549"/>
      <c r="N5065" s="549"/>
      <c r="O5065" s="549"/>
      <c r="P5065" s="549"/>
      <c r="Q5065" s="1059"/>
      <c r="R5065" s="1059"/>
    </row>
    <row r="5066" spans="1:19" s="497" customFormat="1" ht="17.399999999999999">
      <c r="A5066" s="549"/>
      <c r="B5066" s="549"/>
      <c r="C5066" s="549"/>
      <c r="D5066" s="549"/>
      <c r="E5066" s="549"/>
      <c r="F5066" s="549"/>
      <c r="G5066" s="549"/>
      <c r="H5066" s="549"/>
      <c r="I5066" s="558"/>
      <c r="J5066" s="567"/>
      <c r="K5066" s="648"/>
      <c r="L5066" s="567"/>
      <c r="M5066" s="549"/>
      <c r="N5066" s="549"/>
      <c r="O5066" s="549"/>
      <c r="P5066" s="549"/>
      <c r="Q5066" s="1059"/>
      <c r="R5066" s="1059"/>
    </row>
    <row r="5067" spans="1:19" s="497" customFormat="1" ht="17.399999999999999">
      <c r="A5067" s="549"/>
      <c r="B5067" s="549"/>
      <c r="C5067" s="549"/>
      <c r="D5067" s="549"/>
      <c r="E5067" s="549"/>
      <c r="F5067" s="549"/>
      <c r="G5067" s="549"/>
      <c r="H5067" s="549"/>
      <c r="I5067" s="558"/>
      <c r="J5067" s="567"/>
      <c r="K5067" s="648"/>
      <c r="L5067" s="567"/>
      <c r="M5067" s="549"/>
      <c r="N5067" s="549"/>
      <c r="O5067" s="549"/>
      <c r="P5067" s="549"/>
      <c r="Q5067" s="1059"/>
      <c r="R5067" s="1059"/>
    </row>
    <row r="5068" spans="1:19" ht="17.399999999999999">
      <c r="A5068" s="549"/>
      <c r="B5068" s="549"/>
      <c r="C5068" s="549"/>
      <c r="D5068" s="549"/>
      <c r="E5068" s="549"/>
      <c r="F5068" s="549"/>
      <c r="G5068" s="549"/>
      <c r="H5068" s="549"/>
      <c r="I5068" s="560"/>
      <c r="J5068" s="549"/>
      <c r="K5068" s="561"/>
      <c r="L5068" s="568">
        <f>+L5036+L5032+L5049+L4970+L4966+L4992+L5018+L5065+L5053</f>
        <v>341.08413999999999</v>
      </c>
      <c r="M5068" s="549"/>
      <c r="N5068" s="568">
        <f>+N5036+N5032+N5049+N4970+N4966+N4992+N5018</f>
        <v>3.1560899999999998</v>
      </c>
      <c r="O5068" s="549"/>
      <c r="P5068" s="549"/>
      <c r="Q5068" s="1059"/>
      <c r="R5068" s="1059"/>
    </row>
    <row r="5069" spans="1:19" s="497" customFormat="1" ht="18">
      <c r="A5069" s="653" t="s">
        <v>48</v>
      </c>
      <c r="B5069" s="653"/>
      <c r="C5069" s="654"/>
      <c r="D5069" s="654"/>
      <c r="E5069" s="654"/>
      <c r="F5069" s="841"/>
      <c r="G5069" s="654"/>
      <c r="H5069" s="841"/>
      <c r="I5069" s="656"/>
      <c r="J5069" s="654"/>
      <c r="K5069" s="657"/>
      <c r="L5069" s="2003" t="s">
        <v>0</v>
      </c>
      <c r="M5069" s="2003"/>
      <c r="N5069" s="2003"/>
      <c r="O5069" s="2004"/>
      <c r="P5069" s="2010"/>
      <c r="Q5069" s="1064"/>
      <c r="R5069" s="1064"/>
    </row>
    <row r="5070" spans="1:19" s="497" customFormat="1" ht="18">
      <c r="A5070" s="658" t="s">
        <v>1</v>
      </c>
      <c r="B5070" s="658"/>
      <c r="C5070" s="658"/>
      <c r="D5070" s="659" t="s">
        <v>2</v>
      </c>
      <c r="E5070" s="659"/>
      <c r="F5070" s="660"/>
      <c r="G5070" s="660"/>
      <c r="H5070" s="660"/>
      <c r="I5070" s="661"/>
      <c r="J5070" s="660"/>
      <c r="K5070" s="662" t="s">
        <v>3</v>
      </c>
      <c r="L5070" s="660"/>
      <c r="M5070" s="658"/>
      <c r="N5070" s="660"/>
      <c r="O5070" s="663"/>
      <c r="P5070" s="2010"/>
      <c r="Q5070" s="1064"/>
      <c r="R5070" s="1064"/>
    </row>
    <row r="5071" spans="1:19" s="497" customFormat="1" ht="18">
      <c r="A5071" s="841" t="s">
        <v>22</v>
      </c>
      <c r="B5071" s="1990" t="s">
        <v>23</v>
      </c>
      <c r="C5071" s="2005"/>
      <c r="D5071" s="1989"/>
      <c r="E5071" s="841" t="s">
        <v>24</v>
      </c>
      <c r="F5071" s="1990" t="s">
        <v>25</v>
      </c>
      <c r="G5071" s="1989"/>
      <c r="H5071" s="1990" t="s">
        <v>26</v>
      </c>
      <c r="I5071" s="2005"/>
      <c r="J5071" s="2005"/>
      <c r="K5071" s="1989"/>
      <c r="L5071" s="2006" t="s">
        <v>27</v>
      </c>
      <c r="M5071" s="2006"/>
      <c r="N5071" s="2006"/>
      <c r="O5071" s="1990"/>
      <c r="P5071" s="2010"/>
      <c r="Q5071" s="1064"/>
      <c r="R5071" s="1064"/>
    </row>
    <row r="5072" spans="1:19" s="497" customFormat="1" ht="18">
      <c r="A5072" s="664"/>
      <c r="B5072" s="1975"/>
      <c r="C5072" s="1976"/>
      <c r="D5072" s="1977"/>
      <c r="E5072" s="665"/>
      <c r="F5072" s="1975"/>
      <c r="G5072" s="1977"/>
      <c r="H5072" s="1975"/>
      <c r="I5072" s="1976"/>
      <c r="J5072" s="1976"/>
      <c r="K5072" s="1977"/>
      <c r="L5072" s="1975"/>
      <c r="M5072" s="1976"/>
      <c r="N5072" s="1976"/>
      <c r="O5072" s="1976"/>
      <c r="P5072" s="2010"/>
      <c r="Q5072" s="1064"/>
      <c r="R5072" s="1064"/>
    </row>
    <row r="5073" spans="1:18" s="497" customFormat="1" ht="18">
      <c r="A5073" s="664" t="s">
        <v>28</v>
      </c>
      <c r="B5073" s="1975" t="s">
        <v>144</v>
      </c>
      <c r="C5073" s="1976"/>
      <c r="D5073" s="1977"/>
      <c r="E5073" s="665">
        <f>+L4966</f>
        <v>160.03987999999998</v>
      </c>
      <c r="F5073" s="1975">
        <v>13</v>
      </c>
      <c r="G5073" s="1977"/>
      <c r="H5073" s="1975" t="s">
        <v>49</v>
      </c>
      <c r="I5073" s="1976"/>
      <c r="J5073" s="1976"/>
      <c r="K5073" s="1977"/>
      <c r="L5073" s="1976" t="s">
        <v>436</v>
      </c>
      <c r="M5073" s="1976"/>
      <c r="N5073" s="1976"/>
      <c r="O5073" s="1976"/>
      <c r="P5073" s="2010"/>
      <c r="Q5073" s="1064"/>
      <c r="R5073" s="1064"/>
    </row>
    <row r="5074" spans="1:18" s="497" customFormat="1" ht="18">
      <c r="A5074" s="664" t="s">
        <v>29</v>
      </c>
      <c r="B5074" s="1975" t="s">
        <v>145</v>
      </c>
      <c r="C5074" s="1976"/>
      <c r="D5074" s="1977"/>
      <c r="E5074" s="665">
        <f>+L4992</f>
        <v>34.633499999999998</v>
      </c>
      <c r="F5074" s="1975">
        <v>13</v>
      </c>
      <c r="G5074" s="1977"/>
      <c r="H5074" s="1975" t="s">
        <v>49</v>
      </c>
      <c r="I5074" s="1976"/>
      <c r="J5074" s="1976"/>
      <c r="K5074" s="1977"/>
      <c r="L5074" s="1976" t="s">
        <v>436</v>
      </c>
      <c r="M5074" s="1976"/>
      <c r="N5074" s="1976"/>
      <c r="O5074" s="1976"/>
      <c r="P5074" s="2010"/>
      <c r="Q5074" s="1064"/>
      <c r="R5074" s="1064"/>
    </row>
    <row r="5075" spans="1:18" s="497" customFormat="1" ht="18">
      <c r="A5075" s="664" t="s">
        <v>30</v>
      </c>
      <c r="B5075" s="1975" t="s">
        <v>146</v>
      </c>
      <c r="C5075" s="1976"/>
      <c r="D5075" s="1977"/>
      <c r="E5075" s="665">
        <f>+L5018</f>
        <v>67.97426999999999</v>
      </c>
      <c r="F5075" s="1975">
        <v>13</v>
      </c>
      <c r="G5075" s="1977"/>
      <c r="H5075" s="1975" t="s">
        <v>49</v>
      </c>
      <c r="I5075" s="1976"/>
      <c r="J5075" s="1976"/>
      <c r="K5075" s="1977"/>
      <c r="L5075" s="1976" t="s">
        <v>436</v>
      </c>
      <c r="M5075" s="1976"/>
      <c r="N5075" s="1976"/>
      <c r="O5075" s="1976"/>
      <c r="P5075" s="2010"/>
      <c r="Q5075" s="1064"/>
      <c r="R5075" s="1064"/>
    </row>
    <row r="5076" spans="1:18" s="497" customFormat="1" ht="18">
      <c r="A5076" s="847"/>
      <c r="B5076" s="1973"/>
      <c r="C5076" s="2018"/>
      <c r="D5076" s="1974"/>
      <c r="E5076" s="665"/>
      <c r="F5076" s="1973"/>
      <c r="G5076" s="1974"/>
      <c r="H5076" s="1973"/>
      <c r="I5076" s="2018"/>
      <c r="J5076" s="2018"/>
      <c r="K5076" s="1974"/>
      <c r="L5076" s="1973"/>
      <c r="M5076" s="2018"/>
      <c r="N5076" s="2018"/>
      <c r="O5076" s="2019"/>
      <c r="P5076" s="2010"/>
      <c r="Q5076" s="1064"/>
      <c r="R5076" s="1064"/>
    </row>
    <row r="5077" spans="1:18" s="497" customFormat="1" ht="18">
      <c r="A5077" s="847"/>
      <c r="B5077" s="1973"/>
      <c r="C5077" s="2018"/>
      <c r="D5077" s="1974"/>
      <c r="E5077" s="665"/>
      <c r="F5077" s="1973"/>
      <c r="G5077" s="1974"/>
      <c r="H5077" s="1973"/>
      <c r="I5077" s="2018"/>
      <c r="J5077" s="2018"/>
      <c r="K5077" s="1974"/>
      <c r="L5077" s="2018"/>
      <c r="M5077" s="2018"/>
      <c r="N5077" s="2018"/>
      <c r="O5077" s="2018"/>
      <c r="P5077" s="2010"/>
      <c r="Q5077" s="1064"/>
      <c r="R5077" s="1064"/>
    </row>
    <row r="5078" spans="1:18" s="497" customFormat="1" ht="18">
      <c r="A5078" s="670" t="s">
        <v>46</v>
      </c>
      <c r="B5078" s="1976" t="s">
        <v>535</v>
      </c>
      <c r="C5078" s="1976"/>
      <c r="D5078" s="1976"/>
      <c r="E5078" s="671">
        <f>+L5032-1.38</f>
        <v>23.607059999999997</v>
      </c>
      <c r="F5078" s="1975">
        <v>13</v>
      </c>
      <c r="G5078" s="1977"/>
      <c r="H5078" s="1975" t="s">
        <v>155</v>
      </c>
      <c r="I5078" s="1976"/>
      <c r="J5078" s="1976"/>
      <c r="K5078" s="1977"/>
      <c r="L5078" s="1976" t="s">
        <v>437</v>
      </c>
      <c r="M5078" s="1976"/>
      <c r="N5078" s="1976"/>
      <c r="O5078" s="1976"/>
      <c r="P5078" s="2010"/>
      <c r="Q5078" s="1064"/>
      <c r="R5078" s="1064"/>
    </row>
    <row r="5079" spans="1:18" s="497" customFormat="1" ht="18">
      <c r="A5079" s="670" t="s">
        <v>58</v>
      </c>
      <c r="B5079" s="1976" t="s">
        <v>537</v>
      </c>
      <c r="C5079" s="1976"/>
      <c r="D5079" s="1976"/>
      <c r="E5079" s="671">
        <f>+L5036+23.66</f>
        <v>29.6</v>
      </c>
      <c r="F5079" s="1975">
        <v>13</v>
      </c>
      <c r="G5079" s="1977"/>
      <c r="H5079" s="1975" t="s">
        <v>155</v>
      </c>
      <c r="I5079" s="1976"/>
      <c r="J5079" s="1976"/>
      <c r="K5079" s="1977"/>
      <c r="L5079" s="1976" t="s">
        <v>437</v>
      </c>
      <c r="M5079" s="1976"/>
      <c r="N5079" s="1976"/>
      <c r="O5079" s="1976"/>
      <c r="P5079" s="2010"/>
      <c r="Q5079" s="1064"/>
      <c r="R5079" s="1064"/>
    </row>
    <row r="5080" spans="1:18" s="497" customFormat="1" ht="18">
      <c r="A5080" s="670" t="s">
        <v>163</v>
      </c>
      <c r="B5080" s="1976" t="s">
        <v>536</v>
      </c>
      <c r="C5080" s="1976"/>
      <c r="D5080" s="1976"/>
      <c r="E5080" s="671">
        <f>+L5049-0.415+0.18</f>
        <v>22.085479999999997</v>
      </c>
      <c r="F5080" s="1975">
        <v>13</v>
      </c>
      <c r="G5080" s="1977"/>
      <c r="H5080" s="1975" t="s">
        <v>155</v>
      </c>
      <c r="I5080" s="1976"/>
      <c r="J5080" s="1976"/>
      <c r="K5080" s="1977"/>
      <c r="L5080" s="1976" t="s">
        <v>437</v>
      </c>
      <c r="M5080" s="1976"/>
      <c r="N5080" s="1976"/>
      <c r="O5080" s="1976"/>
      <c r="P5080" s="2010"/>
      <c r="Q5080" s="1064"/>
      <c r="R5080" s="1064"/>
    </row>
    <row r="5081" spans="1:18" s="497" customFormat="1" ht="18">
      <c r="A5081" s="670"/>
      <c r="B5081" s="1976"/>
      <c r="C5081" s="1976"/>
      <c r="D5081" s="1976"/>
      <c r="E5081" s="671"/>
      <c r="F5081" s="1975"/>
      <c r="G5081" s="1977"/>
      <c r="H5081" s="1975"/>
      <c r="I5081" s="1976"/>
      <c r="J5081" s="1976"/>
      <c r="K5081" s="1977"/>
      <c r="L5081" s="1976"/>
      <c r="M5081" s="1976"/>
      <c r="N5081" s="1976"/>
      <c r="O5081" s="1976"/>
      <c r="P5081" s="2010"/>
      <c r="Q5081" s="1064"/>
      <c r="R5081" s="1064"/>
    </row>
    <row r="5082" spans="1:18" s="497" customFormat="1" ht="18.600000000000001" thickBot="1">
      <c r="A5082" s="664"/>
      <c r="B5082" s="834"/>
      <c r="C5082" s="835"/>
      <c r="D5082" s="835"/>
      <c r="E5082" s="665"/>
      <c r="F5082" s="835"/>
      <c r="G5082" s="836"/>
      <c r="H5082" s="834"/>
      <c r="I5082" s="1842"/>
      <c r="J5082" s="835"/>
      <c r="K5082" s="669"/>
      <c r="L5082" s="672"/>
      <c r="M5082" s="673"/>
      <c r="N5082" s="673"/>
      <c r="O5082" s="673"/>
      <c r="P5082" s="2010"/>
      <c r="Q5082" s="1064"/>
      <c r="R5082" s="1064"/>
    </row>
    <row r="5083" spans="1:18" s="497" customFormat="1" ht="18">
      <c r="A5083" s="674"/>
      <c r="B5083" s="675"/>
      <c r="C5083" s="676"/>
      <c r="D5083" s="676"/>
      <c r="E5083" s="1980">
        <f>SUM(E5072:E5082)</f>
        <v>337.94019000000003</v>
      </c>
      <c r="F5083" s="677"/>
      <c r="G5083" s="678"/>
      <c r="H5083" s="679"/>
      <c r="I5083" s="1848"/>
      <c r="J5083" s="676"/>
      <c r="K5083" s="680"/>
      <c r="L5083" s="679"/>
      <c r="M5083" s="676"/>
      <c r="N5083" s="677"/>
      <c r="O5083" s="676"/>
      <c r="P5083" s="2010"/>
      <c r="Q5083" s="1064"/>
      <c r="R5083" s="1064"/>
    </row>
    <row r="5084" spans="1:18" s="497" customFormat="1" ht="18.600000000000001" thickBot="1">
      <c r="A5084" s="681"/>
      <c r="B5084" s="682"/>
      <c r="C5084" s="683"/>
      <c r="D5084" s="683"/>
      <c r="E5084" s="1981"/>
      <c r="F5084" s="684"/>
      <c r="G5084" s="685"/>
      <c r="H5084" s="686"/>
      <c r="I5084" s="1850"/>
      <c r="J5084" s="683"/>
      <c r="K5084" s="687"/>
      <c r="L5084" s="686"/>
      <c r="M5084" s="683"/>
      <c r="N5084" s="684"/>
      <c r="O5084" s="683"/>
      <c r="P5084" s="2010"/>
      <c r="Q5084" s="1064"/>
      <c r="R5084" s="1064"/>
    </row>
    <row r="5085" spans="1:18" s="497" customFormat="1" ht="18">
      <c r="A5085" s="688" t="s">
        <v>31</v>
      </c>
      <c r="B5085" s="676"/>
      <c r="C5085" s="676"/>
      <c r="D5085" s="676"/>
      <c r="E5085" s="676"/>
      <c r="F5085" s="677"/>
      <c r="G5085" s="676"/>
      <c r="H5085" s="677"/>
      <c r="I5085" s="1848"/>
      <c r="J5085" s="676"/>
      <c r="K5085" s="689"/>
      <c r="L5085" s="677"/>
      <c r="M5085" s="676"/>
      <c r="N5085" s="677"/>
      <c r="O5085" s="676"/>
      <c r="P5085" s="2010"/>
      <c r="Q5085" s="1064"/>
      <c r="R5085" s="1064"/>
    </row>
    <row r="5086" spans="1:18" s="497" customFormat="1" ht="18">
      <c r="A5086" s="690"/>
      <c r="B5086" s="691"/>
      <c r="C5086" s="691"/>
      <c r="D5086" s="691"/>
      <c r="E5086" s="691"/>
      <c r="F5086" s="840"/>
      <c r="G5086" s="691"/>
      <c r="H5086" s="840"/>
      <c r="I5086" s="1849"/>
      <c r="J5086" s="691"/>
      <c r="K5086" s="693"/>
      <c r="L5086" s="840"/>
      <c r="M5086" s="691"/>
      <c r="N5086" s="840"/>
      <c r="O5086" s="691"/>
      <c r="P5086" s="2010"/>
      <c r="Q5086" s="1064"/>
      <c r="R5086" s="1064"/>
    </row>
    <row r="5087" spans="1:18" s="497" customFormat="1" ht="18.600000000000001" thickBot="1">
      <c r="A5087" s="1982" t="s">
        <v>32</v>
      </c>
      <c r="B5087" s="1983"/>
      <c r="C5087" s="1984" t="s">
        <v>33</v>
      </c>
      <c r="D5087" s="1985"/>
      <c r="E5087" s="694" t="s">
        <v>34</v>
      </c>
      <c r="F5087" s="694" t="s">
        <v>35</v>
      </c>
      <c r="G5087" s="1986" t="s">
        <v>36</v>
      </c>
      <c r="H5087" s="1987"/>
      <c r="I5087" s="1987"/>
      <c r="J5087" s="1987"/>
      <c r="K5087" s="1987"/>
      <c r="L5087" s="1987"/>
      <c r="M5087" s="1987"/>
      <c r="N5087" s="1987"/>
      <c r="O5087" s="1987"/>
      <c r="P5087" s="2010"/>
      <c r="Q5087" s="1064"/>
      <c r="R5087" s="1064"/>
    </row>
    <row r="5088" spans="1:18" s="497" customFormat="1" ht="18">
      <c r="A5088" s="1988"/>
      <c r="B5088" s="1989"/>
      <c r="C5088" s="1990"/>
      <c r="D5088" s="1989"/>
      <c r="E5088" s="841"/>
      <c r="F5088" s="838"/>
      <c r="G5088" s="1991"/>
      <c r="H5088" s="1992"/>
      <c r="I5088" s="1992"/>
      <c r="J5088" s="1992"/>
      <c r="K5088" s="1992"/>
      <c r="L5088" s="1992"/>
      <c r="M5088" s="1992"/>
      <c r="N5088" s="1992"/>
      <c r="O5088" s="1992"/>
      <c r="P5088" s="2010"/>
      <c r="Q5088" s="1064"/>
      <c r="R5088" s="1064"/>
    </row>
    <row r="5089" spans="1:18" s="497" customFormat="1" ht="18">
      <c r="A5089" s="1997" t="s">
        <v>37</v>
      </c>
      <c r="B5089" s="1998"/>
      <c r="C5089" s="1990"/>
      <c r="D5089" s="1989"/>
      <c r="E5089" s="841"/>
      <c r="F5089" s="838"/>
      <c r="G5089" s="1993"/>
      <c r="H5089" s="1994"/>
      <c r="I5089" s="1994"/>
      <c r="J5089" s="1994"/>
      <c r="K5089" s="1994"/>
      <c r="L5089" s="1994"/>
      <c r="M5089" s="1994"/>
      <c r="N5089" s="1994"/>
      <c r="O5089" s="1994"/>
      <c r="P5089" s="2010"/>
      <c r="Q5089" s="1064"/>
      <c r="R5089" s="1064"/>
    </row>
    <row r="5090" spans="1:18" s="497" customFormat="1" ht="18">
      <c r="A5090" s="1997" t="s">
        <v>38</v>
      </c>
      <c r="B5090" s="1998"/>
      <c r="C5090" s="1990"/>
      <c r="D5090" s="1989"/>
      <c r="E5090" s="841"/>
      <c r="F5090" s="838"/>
      <c r="G5090" s="1993"/>
      <c r="H5090" s="1994"/>
      <c r="I5090" s="1994"/>
      <c r="J5090" s="1994"/>
      <c r="K5090" s="1994"/>
      <c r="L5090" s="1994"/>
      <c r="M5090" s="1994"/>
      <c r="N5090" s="1994"/>
      <c r="O5090" s="1994"/>
      <c r="P5090" s="2010"/>
      <c r="Q5090" s="1064"/>
      <c r="R5090" s="1064"/>
    </row>
    <row r="5091" spans="1:18" s="497" customFormat="1" ht="18">
      <c r="A5091" s="1997" t="s">
        <v>39</v>
      </c>
      <c r="B5091" s="1998"/>
      <c r="C5091" s="1990"/>
      <c r="D5091" s="1989"/>
      <c r="E5091" s="841"/>
      <c r="F5091" s="838"/>
      <c r="G5091" s="1993"/>
      <c r="H5091" s="1994"/>
      <c r="I5091" s="1994"/>
      <c r="J5091" s="1994"/>
      <c r="K5091" s="1994"/>
      <c r="L5091" s="1994"/>
      <c r="M5091" s="1994"/>
      <c r="N5091" s="1994"/>
      <c r="O5091" s="1994"/>
      <c r="P5091" s="2010"/>
      <c r="Q5091" s="1064"/>
      <c r="R5091" s="1064"/>
    </row>
    <row r="5092" spans="1:18" s="497" customFormat="1" ht="18">
      <c r="A5092" s="1997" t="s">
        <v>40</v>
      </c>
      <c r="B5092" s="1998"/>
      <c r="C5092" s="1990"/>
      <c r="D5092" s="1989"/>
      <c r="E5092" s="841"/>
      <c r="F5092" s="838"/>
      <c r="G5092" s="1993"/>
      <c r="H5092" s="1994"/>
      <c r="I5092" s="1994"/>
      <c r="J5092" s="1994"/>
      <c r="K5092" s="1994"/>
      <c r="L5092" s="1994"/>
      <c r="M5092" s="1994"/>
      <c r="N5092" s="1994"/>
      <c r="O5092" s="1994"/>
      <c r="P5092" s="2010"/>
      <c r="Q5092" s="1064"/>
      <c r="R5092" s="1064"/>
    </row>
    <row r="5093" spans="1:18" s="497" customFormat="1" ht="18.600000000000001" thickBot="1">
      <c r="A5093" s="1999" t="s">
        <v>41</v>
      </c>
      <c r="B5093" s="2000"/>
      <c r="C5093" s="2001"/>
      <c r="D5093" s="2002"/>
      <c r="E5093" s="696"/>
      <c r="F5093" s="839"/>
      <c r="G5093" s="1995"/>
      <c r="H5093" s="1996"/>
      <c r="I5093" s="1996"/>
      <c r="J5093" s="1996"/>
      <c r="K5093" s="1996"/>
      <c r="L5093" s="1996"/>
      <c r="M5093" s="1996"/>
      <c r="N5093" s="1996"/>
      <c r="O5093" s="1996"/>
      <c r="P5093" s="2010"/>
      <c r="Q5093" s="1064"/>
      <c r="R5093" s="1064"/>
    </row>
    <row r="5094" spans="1:18" s="497" customFormat="1" ht="18">
      <c r="A5094" s="690"/>
      <c r="B5094" s="691"/>
      <c r="C5094" s="691"/>
      <c r="D5094" s="691"/>
      <c r="E5094" s="691"/>
      <c r="F5094" s="840"/>
      <c r="G5094" s="691"/>
      <c r="H5094" s="698"/>
      <c r="I5094" s="699"/>
      <c r="J5094" s="700"/>
      <c r="K5094" s="701"/>
      <c r="L5094" s="702"/>
      <c r="M5094" s="691"/>
      <c r="N5094" s="840"/>
      <c r="O5094" s="691"/>
      <c r="P5094" s="2010"/>
      <c r="Q5094" s="1064"/>
      <c r="R5094" s="1064"/>
    </row>
    <row r="5095" spans="1:18" s="497" customFormat="1" ht="18">
      <c r="A5095" s="703" t="s">
        <v>42</v>
      </c>
      <c r="B5095" s="704"/>
      <c r="C5095" s="691"/>
      <c r="D5095" s="691"/>
      <c r="E5095" s="691"/>
      <c r="F5095" s="840"/>
      <c r="G5095" s="704"/>
      <c r="H5095" s="698"/>
      <c r="I5095" s="699"/>
      <c r="J5095" s="700"/>
      <c r="K5095" s="693"/>
      <c r="L5095" s="705"/>
      <c r="M5095" s="691"/>
      <c r="N5095" s="1979" t="s">
        <v>43</v>
      </c>
      <c r="O5095" s="1979"/>
      <c r="P5095" s="2010"/>
      <c r="Q5095" s="1064"/>
      <c r="R5095" s="1064"/>
    </row>
    <row r="5096" spans="1:18" s="497" customFormat="1" ht="18">
      <c r="A5096" s="703"/>
      <c r="B5096" s="704"/>
      <c r="C5096" s="691"/>
      <c r="D5096" s="691"/>
      <c r="E5096" s="691"/>
      <c r="F5096" s="840"/>
      <c r="G5096" s="691"/>
      <c r="H5096" s="840"/>
      <c r="I5096" s="1849"/>
      <c r="J5096" s="691"/>
      <c r="K5096" s="693"/>
      <c r="L5096" s="840"/>
      <c r="M5096" s="691"/>
      <c r="N5096" s="840"/>
      <c r="O5096" s="704"/>
      <c r="P5096" s="2010"/>
      <c r="Q5096" s="1064"/>
      <c r="R5096" s="1064"/>
    </row>
    <row r="5097" spans="1:18" s="497" customFormat="1" ht="18">
      <c r="A5097" s="703" t="s">
        <v>44</v>
      </c>
      <c r="B5097" s="704"/>
      <c r="C5097" s="691"/>
      <c r="D5097" s="691"/>
      <c r="E5097" s="691"/>
      <c r="F5097" s="840"/>
      <c r="G5097" s="691"/>
      <c r="H5097" s="840"/>
      <c r="I5097" s="1849"/>
      <c r="J5097" s="691"/>
      <c r="K5097" s="693"/>
      <c r="L5097" s="840"/>
      <c r="M5097" s="691"/>
      <c r="N5097" s="1979" t="s">
        <v>45</v>
      </c>
      <c r="O5097" s="1979"/>
      <c r="P5097" s="2010"/>
      <c r="Q5097" s="1064"/>
      <c r="R5097" s="1064"/>
    </row>
    <row r="5098" spans="1:18" s="497" customFormat="1" ht="18.600000000000001" thickBot="1">
      <c r="A5098" s="682"/>
      <c r="B5098" s="683"/>
      <c r="C5098" s="683"/>
      <c r="D5098" s="683"/>
      <c r="E5098" s="683"/>
      <c r="F5098" s="684"/>
      <c r="G5098" s="683"/>
      <c r="H5098" s="684"/>
      <c r="I5098" s="1850"/>
      <c r="J5098" s="683"/>
      <c r="K5098" s="706"/>
      <c r="L5098" s="684"/>
      <c r="M5098" s="683"/>
      <c r="N5098" s="684"/>
      <c r="O5098" s="683"/>
      <c r="P5098" s="2010"/>
      <c r="Q5098" s="1064"/>
      <c r="R5098" s="1064"/>
    </row>
    <row r="5106" spans="1:18" s="497" customFormat="1" ht="17.399999999999999">
      <c r="A5106" s="547" t="s">
        <v>445</v>
      </c>
      <c r="B5106" s="547" t="s">
        <v>519</v>
      </c>
      <c r="C5106" s="547" t="s">
        <v>19</v>
      </c>
      <c r="D5106" s="547" t="s">
        <v>20</v>
      </c>
      <c r="E5106" s="547" t="s">
        <v>57</v>
      </c>
      <c r="F5106" s="549"/>
      <c r="G5106" s="549" t="s">
        <v>21</v>
      </c>
      <c r="H5106" s="549" t="s">
        <v>122</v>
      </c>
      <c r="I5106" s="558">
        <v>14.7</v>
      </c>
      <c r="J5106" s="567">
        <v>8.1999999999999993</v>
      </c>
      <c r="K5106" s="648">
        <v>117</v>
      </c>
      <c r="L5106" s="725">
        <f t="shared" ref="L5106:L5109" si="1020">(I5106*J5106*K5106/1000)</f>
        <v>14.103179999999996</v>
      </c>
      <c r="M5106" s="549"/>
      <c r="N5106" s="549"/>
      <c r="O5106" s="549"/>
      <c r="P5106" s="549"/>
      <c r="Q5106" s="1059"/>
      <c r="R5106" s="1059"/>
    </row>
    <row r="5107" spans="1:18" s="497" customFormat="1" ht="17.399999999999999">
      <c r="A5107" s="547"/>
      <c r="B5107" s="549" t="s">
        <v>423</v>
      </c>
      <c r="C5107" s="547"/>
      <c r="D5107" s="547"/>
      <c r="E5107" s="547"/>
      <c r="F5107" s="549"/>
      <c r="G5107" s="549" t="s">
        <v>21</v>
      </c>
      <c r="H5107" s="549" t="s">
        <v>122</v>
      </c>
      <c r="I5107" s="558">
        <v>14.7</v>
      </c>
      <c r="J5107" s="567">
        <v>8.3000000000000007</v>
      </c>
      <c r="K5107" s="648">
        <v>28</v>
      </c>
      <c r="L5107" s="725">
        <f t="shared" si="1020"/>
        <v>3.41628</v>
      </c>
      <c r="M5107" s="549"/>
      <c r="N5107" s="549"/>
      <c r="O5107" s="549"/>
      <c r="P5107" s="549"/>
      <c r="Q5107" s="1059"/>
      <c r="R5107" s="1059"/>
    </row>
    <row r="5108" spans="1:18" s="497" customFormat="1" ht="17.399999999999999">
      <c r="A5108" s="549"/>
      <c r="B5108" s="549"/>
      <c r="C5108" s="549"/>
      <c r="D5108" s="549"/>
      <c r="E5108" s="549"/>
      <c r="F5108" s="549"/>
      <c r="G5108" s="549" t="s">
        <v>21</v>
      </c>
      <c r="H5108" s="549" t="s">
        <v>122</v>
      </c>
      <c r="I5108" s="558">
        <v>14.7</v>
      </c>
      <c r="J5108" s="567">
        <v>9.1999999999999993</v>
      </c>
      <c r="K5108" s="648">
        <v>3</v>
      </c>
      <c r="L5108" s="725">
        <f t="shared" si="1020"/>
        <v>0.40571999999999991</v>
      </c>
      <c r="M5108" s="549"/>
      <c r="N5108" s="549"/>
      <c r="O5108" s="549"/>
      <c r="P5108" s="549"/>
      <c r="Q5108" s="1059"/>
      <c r="R5108" s="1059"/>
    </row>
    <row r="5109" spans="1:18" s="497" customFormat="1" ht="17.399999999999999">
      <c r="A5109" s="549"/>
      <c r="B5109" s="549"/>
      <c r="C5109" s="549"/>
      <c r="D5109" s="549"/>
      <c r="E5109" s="549"/>
      <c r="F5109" s="549"/>
      <c r="G5109" s="549" t="s">
        <v>21</v>
      </c>
      <c r="H5109" s="549" t="s">
        <v>122</v>
      </c>
      <c r="I5109" s="558">
        <v>14.7</v>
      </c>
      <c r="J5109" s="567">
        <v>11.5</v>
      </c>
      <c r="K5109" s="648">
        <v>10</v>
      </c>
      <c r="L5109" s="725">
        <f t="shared" si="1020"/>
        <v>1.6904999999999997</v>
      </c>
      <c r="M5109" s="549"/>
      <c r="N5109" s="549"/>
      <c r="O5109" s="549"/>
      <c r="P5109" s="549"/>
      <c r="Q5109" s="1059"/>
      <c r="R5109" s="1059"/>
    </row>
    <row r="5110" spans="1:18" s="497" customFormat="1" ht="17.399999999999999">
      <c r="A5110" s="549"/>
      <c r="B5110" s="549"/>
      <c r="C5110" s="549"/>
      <c r="D5110" s="549"/>
      <c r="E5110" s="549"/>
      <c r="F5110" s="549"/>
      <c r="G5110" s="549"/>
      <c r="H5110" s="549"/>
      <c r="I5110" s="558"/>
      <c r="J5110" s="567"/>
      <c r="K5110" s="648">
        <f>SUM(K5106:K5109)</f>
        <v>158</v>
      </c>
      <c r="L5110" s="710">
        <f>SUM(L5106:L5109)</f>
        <v>19.615679999999994</v>
      </c>
      <c r="M5110" s="549"/>
      <c r="N5110" s="549"/>
      <c r="O5110" s="549"/>
      <c r="P5110" s="549"/>
      <c r="Q5110" s="1059"/>
      <c r="R5110" s="1059"/>
    </row>
    <row r="5113" spans="1:18" s="497" customFormat="1">
      <c r="I5113" s="1864"/>
      <c r="K5113" s="176"/>
      <c r="L5113" s="845"/>
    </row>
    <row r="5114" spans="1:18" s="497" customFormat="1">
      <c r="I5114" s="1864"/>
      <c r="K5114" s="176"/>
      <c r="L5114" s="845"/>
    </row>
    <row r="5115" spans="1:18" s="497" customFormat="1">
      <c r="I5115" s="1864"/>
      <c r="K5115" s="176"/>
      <c r="L5115" s="845"/>
    </row>
    <row r="5116" spans="1:18" s="497" customFormat="1">
      <c r="I5116" s="1864"/>
      <c r="K5116" s="176"/>
      <c r="L5116" s="845"/>
    </row>
    <row r="5118" spans="1:18" s="497" customFormat="1" ht="17.399999999999999">
      <c r="A5118" s="547" t="s">
        <v>445</v>
      </c>
      <c r="B5118" s="547" t="s">
        <v>480</v>
      </c>
      <c r="C5118" s="547" t="s">
        <v>19</v>
      </c>
      <c r="D5118" s="547" t="s">
        <v>20</v>
      </c>
      <c r="E5118" s="560" t="s">
        <v>464</v>
      </c>
      <c r="F5118" s="548">
        <v>12</v>
      </c>
      <c r="G5118" s="549" t="s">
        <v>21</v>
      </c>
      <c r="H5118" s="549" t="s">
        <v>134</v>
      </c>
      <c r="I5118" s="558">
        <v>12.2</v>
      </c>
      <c r="J5118" s="567">
        <v>6.9</v>
      </c>
      <c r="K5118" s="648">
        <v>7</v>
      </c>
      <c r="L5118" s="552">
        <f t="shared" ref="L5118:L5123" si="1021">(I5118*J5118*K5118/1000)</f>
        <v>0.58926000000000001</v>
      </c>
      <c r="M5118" s="549"/>
      <c r="N5118" s="549"/>
      <c r="O5118" s="567">
        <v>6.5</v>
      </c>
      <c r="P5118" s="549"/>
      <c r="Q5118" s="1059"/>
      <c r="R5118" s="1059"/>
    </row>
    <row r="5119" spans="1:18" s="497" customFormat="1" ht="17.399999999999999">
      <c r="A5119" s="547"/>
      <c r="B5119" s="549" t="s">
        <v>439</v>
      </c>
      <c r="C5119" s="547"/>
      <c r="D5119" s="547"/>
      <c r="E5119" s="547"/>
      <c r="F5119" s="548"/>
      <c r="G5119" s="549" t="s">
        <v>21</v>
      </c>
      <c r="H5119" s="549" t="s">
        <v>134</v>
      </c>
      <c r="I5119" s="558">
        <v>12.2</v>
      </c>
      <c r="J5119" s="567">
        <v>8.5</v>
      </c>
      <c r="K5119" s="648">
        <v>11</v>
      </c>
      <c r="L5119" s="552">
        <f t="shared" si="1021"/>
        <v>1.1406999999999998</v>
      </c>
      <c r="M5119" s="549"/>
      <c r="N5119" s="549"/>
      <c r="O5119" s="549"/>
      <c r="P5119" s="549"/>
      <c r="Q5119" s="1059"/>
      <c r="R5119" s="1059"/>
    </row>
    <row r="5120" spans="1:18" s="497" customFormat="1" ht="17.399999999999999">
      <c r="A5120" s="550"/>
      <c r="B5120" s="792"/>
      <c r="C5120" s="550"/>
      <c r="D5120" s="550"/>
      <c r="E5120" s="550"/>
      <c r="F5120" s="548"/>
      <c r="G5120" s="549" t="s">
        <v>21</v>
      </c>
      <c r="H5120" s="549" t="s">
        <v>134</v>
      </c>
      <c r="I5120" s="558">
        <v>12.2</v>
      </c>
      <c r="J5120" s="567">
        <v>10</v>
      </c>
      <c r="K5120" s="648">
        <v>28</v>
      </c>
      <c r="L5120" s="552">
        <f t="shared" si="1021"/>
        <v>3.4159999999999999</v>
      </c>
      <c r="M5120" s="549"/>
      <c r="N5120" s="549"/>
      <c r="O5120" s="549"/>
      <c r="P5120" s="549"/>
      <c r="Q5120" s="1059"/>
      <c r="R5120" s="1059"/>
    </row>
    <row r="5121" spans="1:18" s="497" customFormat="1" ht="17.399999999999999">
      <c r="A5121" s="550"/>
      <c r="B5121" s="792"/>
      <c r="C5121" s="550"/>
      <c r="D5121" s="550"/>
      <c r="E5121" s="550"/>
      <c r="F5121" s="548"/>
      <c r="G5121" s="549" t="s">
        <v>21</v>
      </c>
      <c r="H5121" s="549" t="s">
        <v>134</v>
      </c>
      <c r="I5121" s="558">
        <v>12.2</v>
      </c>
      <c r="J5121" s="567">
        <v>10.3</v>
      </c>
      <c r="K5121" s="648">
        <v>24</v>
      </c>
      <c r="L5121" s="552">
        <f t="shared" si="1021"/>
        <v>3.0158400000000003</v>
      </c>
      <c r="M5121" s="549"/>
      <c r="N5121" s="549"/>
      <c r="O5121" s="549"/>
      <c r="P5121" s="549"/>
      <c r="Q5121" s="1059"/>
      <c r="R5121" s="1059"/>
    </row>
    <row r="5122" spans="1:18" s="497" customFormat="1" ht="17.399999999999999">
      <c r="A5122" s="550"/>
      <c r="B5122" s="792"/>
      <c r="C5122" s="550"/>
      <c r="D5122" s="550"/>
      <c r="E5122" s="550"/>
      <c r="F5122" s="548"/>
      <c r="G5122" s="549" t="s">
        <v>21</v>
      </c>
      <c r="H5122" s="549" t="s">
        <v>134</v>
      </c>
      <c r="I5122" s="558">
        <v>12.2</v>
      </c>
      <c r="J5122" s="567">
        <v>11</v>
      </c>
      <c r="K5122" s="648">
        <v>24</v>
      </c>
      <c r="L5122" s="552">
        <f t="shared" si="1021"/>
        <v>3.2207999999999997</v>
      </c>
      <c r="M5122" s="549"/>
      <c r="N5122" s="549"/>
      <c r="O5122" s="549"/>
      <c r="P5122" s="549"/>
      <c r="Q5122" s="1059"/>
      <c r="R5122" s="1059"/>
    </row>
    <row r="5123" spans="1:18" s="497" customFormat="1" ht="17.399999999999999">
      <c r="A5123" s="550"/>
      <c r="B5123" s="792"/>
      <c r="C5123" s="550"/>
      <c r="D5123" s="550"/>
      <c r="E5123" s="550"/>
      <c r="F5123" s="548"/>
      <c r="G5123" s="549" t="s">
        <v>21</v>
      </c>
      <c r="H5123" s="549" t="s">
        <v>134</v>
      </c>
      <c r="I5123" s="558">
        <v>12.2</v>
      </c>
      <c r="J5123" s="567">
        <v>11.7</v>
      </c>
      <c r="K5123" s="648">
        <v>43</v>
      </c>
      <c r="L5123" s="552">
        <f t="shared" si="1021"/>
        <v>6.1378199999999987</v>
      </c>
      <c r="M5123" s="549"/>
      <c r="N5123" s="549"/>
      <c r="O5123" s="549"/>
      <c r="P5123" s="549"/>
      <c r="Q5123" s="1059"/>
      <c r="R5123" s="1059"/>
    </row>
    <row r="5124" spans="1:18" s="497" customFormat="1" ht="17.399999999999999">
      <c r="A5124" s="547"/>
      <c r="B5124" s="549"/>
      <c r="C5124" s="547"/>
      <c r="D5124" s="547"/>
      <c r="E5124" s="547"/>
      <c r="F5124" s="548"/>
      <c r="G5124" s="549"/>
      <c r="H5124" s="549"/>
      <c r="I5124" s="558"/>
      <c r="J5124" s="567"/>
      <c r="K5124" s="648">
        <f t="shared" ref="K5124:L5124" si="1022">SUM(K5118:K5123)</f>
        <v>137</v>
      </c>
      <c r="L5124" s="567">
        <f t="shared" si="1022"/>
        <v>17.520419999999998</v>
      </c>
      <c r="M5124" s="549"/>
      <c r="N5124" s="549"/>
      <c r="O5124" s="549"/>
      <c r="P5124" s="549"/>
      <c r="Q5124" s="1059"/>
      <c r="R5124" s="1059"/>
    </row>
    <row r="5125" spans="1:18" s="497" customFormat="1" ht="17.399999999999999">
      <c r="A5125" s="547"/>
      <c r="B5125" s="549"/>
      <c r="C5125" s="547"/>
      <c r="D5125" s="547"/>
      <c r="E5125" s="547"/>
      <c r="F5125" s="548"/>
      <c r="G5125" s="549"/>
      <c r="H5125" s="549"/>
      <c r="I5125" s="558"/>
      <c r="J5125" s="567"/>
      <c r="K5125" s="648"/>
      <c r="L5125" s="567"/>
      <c r="M5125" s="549"/>
      <c r="N5125" s="549"/>
      <c r="O5125" s="549"/>
      <c r="P5125" s="549"/>
      <c r="Q5125" s="1059"/>
      <c r="R5125" s="1059"/>
    </row>
    <row r="5126" spans="1:18" s="497" customFormat="1" ht="17.399999999999999">
      <c r="A5126" s="547" t="s">
        <v>445</v>
      </c>
      <c r="B5126" s="547" t="s">
        <v>485</v>
      </c>
      <c r="C5126" s="547" t="s">
        <v>19</v>
      </c>
      <c r="D5126" s="547" t="s">
        <v>20</v>
      </c>
      <c r="E5126" s="547" t="s">
        <v>478</v>
      </c>
      <c r="F5126" s="548">
        <v>12</v>
      </c>
      <c r="G5126" s="549" t="s">
        <v>21</v>
      </c>
      <c r="H5126" s="549" t="s">
        <v>134</v>
      </c>
      <c r="I5126" s="558">
        <v>12.2</v>
      </c>
      <c r="J5126" s="567">
        <v>6.9</v>
      </c>
      <c r="K5126" s="648">
        <v>57</v>
      </c>
      <c r="L5126" s="552">
        <f t="shared" ref="L5126:L5131" si="1023">(I5126*J5126*K5126/1000)</f>
        <v>4.7982599999999991</v>
      </c>
      <c r="M5126" s="549"/>
      <c r="N5126" s="549"/>
      <c r="O5126" s="549"/>
      <c r="P5126" s="549"/>
      <c r="Q5126" s="1059"/>
      <c r="R5126" s="1059"/>
    </row>
    <row r="5127" spans="1:18" s="497" customFormat="1" ht="17.399999999999999">
      <c r="A5127" s="547"/>
      <c r="B5127" s="549" t="s">
        <v>423</v>
      </c>
      <c r="C5127" s="547"/>
      <c r="D5127" s="547"/>
      <c r="E5127" s="547"/>
      <c r="F5127" s="548"/>
      <c r="G5127" s="549" t="s">
        <v>21</v>
      </c>
      <c r="H5127" s="549" t="s">
        <v>134</v>
      </c>
      <c r="I5127" s="558">
        <v>12.2</v>
      </c>
      <c r="J5127" s="567">
        <v>9.3000000000000007</v>
      </c>
      <c r="K5127" s="648">
        <v>9</v>
      </c>
      <c r="L5127" s="552">
        <f t="shared" si="1023"/>
        <v>1.0211400000000002</v>
      </c>
      <c r="M5127" s="549"/>
      <c r="N5127" s="549"/>
      <c r="O5127" s="567">
        <v>9</v>
      </c>
      <c r="P5127" s="549"/>
      <c r="Q5127" s="1059"/>
      <c r="R5127" s="1059"/>
    </row>
    <row r="5128" spans="1:18" s="497" customFormat="1" ht="17.399999999999999">
      <c r="A5128" s="547"/>
      <c r="B5128" s="549"/>
      <c r="C5128" s="547"/>
      <c r="D5128" s="547"/>
      <c r="E5128" s="547"/>
      <c r="F5128" s="548"/>
      <c r="G5128" s="549" t="s">
        <v>21</v>
      </c>
      <c r="H5128" s="549" t="s">
        <v>134</v>
      </c>
      <c r="I5128" s="558">
        <v>12.2</v>
      </c>
      <c r="J5128" s="567">
        <v>9.3000000000000007</v>
      </c>
      <c r="K5128" s="648">
        <v>52</v>
      </c>
      <c r="L5128" s="552">
        <f t="shared" si="1023"/>
        <v>5.8999199999999998</v>
      </c>
      <c r="M5128" s="549"/>
      <c r="N5128" s="549"/>
      <c r="O5128" s="549"/>
      <c r="P5128" s="549"/>
      <c r="Q5128" s="1059"/>
      <c r="R5128" s="1059"/>
    </row>
    <row r="5129" spans="1:18" s="497" customFormat="1" ht="17.399999999999999">
      <c r="A5129" s="547"/>
      <c r="B5129" s="549"/>
      <c r="C5129" s="547"/>
      <c r="D5129" s="547"/>
      <c r="E5129" s="547"/>
      <c r="F5129" s="548"/>
      <c r="G5129" s="549" t="s">
        <v>21</v>
      </c>
      <c r="H5129" s="549" t="s">
        <v>134</v>
      </c>
      <c r="I5129" s="558">
        <v>12.2</v>
      </c>
      <c r="J5129" s="567">
        <v>9.5</v>
      </c>
      <c r="K5129" s="648">
        <v>26</v>
      </c>
      <c r="L5129" s="552">
        <f t="shared" si="1023"/>
        <v>3.0133999999999999</v>
      </c>
      <c r="M5129" s="549"/>
      <c r="N5129" s="549"/>
      <c r="O5129" s="549"/>
      <c r="P5129" s="549"/>
      <c r="Q5129" s="1059"/>
      <c r="R5129" s="1059"/>
    </row>
    <row r="5130" spans="1:18" s="497" customFormat="1" ht="17.399999999999999">
      <c r="A5130" s="547"/>
      <c r="B5130" s="549"/>
      <c r="C5130" s="547"/>
      <c r="D5130" s="547"/>
      <c r="E5130" s="547"/>
      <c r="F5130" s="548"/>
      <c r="G5130" s="549" t="s">
        <v>21</v>
      </c>
      <c r="H5130" s="549" t="s">
        <v>134</v>
      </c>
      <c r="I5130" s="558">
        <v>12.2</v>
      </c>
      <c r="J5130" s="567">
        <v>11.5</v>
      </c>
      <c r="K5130" s="648">
        <v>34</v>
      </c>
      <c r="L5130" s="552">
        <f t="shared" si="1023"/>
        <v>4.7702</v>
      </c>
      <c r="M5130" s="549"/>
      <c r="N5130" s="549"/>
      <c r="O5130" s="549"/>
      <c r="P5130" s="549"/>
      <c r="Q5130" s="1059"/>
      <c r="R5130" s="1059"/>
    </row>
    <row r="5131" spans="1:18" s="497" customFormat="1" ht="17.399999999999999">
      <c r="A5131" s="547"/>
      <c r="B5131" s="549"/>
      <c r="C5131" s="547"/>
      <c r="D5131" s="547"/>
      <c r="E5131" s="547"/>
      <c r="F5131" s="548"/>
      <c r="G5131" s="549" t="s">
        <v>21</v>
      </c>
      <c r="H5131" s="549" t="s">
        <v>134</v>
      </c>
      <c r="I5131" s="558">
        <v>12.2</v>
      </c>
      <c r="J5131" s="567">
        <v>12</v>
      </c>
      <c r="K5131" s="648">
        <v>35</v>
      </c>
      <c r="L5131" s="552">
        <f t="shared" si="1023"/>
        <v>5.1239999999999988</v>
      </c>
      <c r="M5131" s="549"/>
      <c r="N5131" s="549"/>
      <c r="O5131" s="549"/>
      <c r="P5131" s="549"/>
      <c r="Q5131" s="1059"/>
      <c r="R5131" s="1059"/>
    </row>
    <row r="5132" spans="1:18" s="497" customFormat="1" ht="17.399999999999999">
      <c r="A5132" s="547"/>
      <c r="B5132" s="549"/>
      <c r="C5132" s="547"/>
      <c r="D5132" s="547"/>
      <c r="E5132" s="547"/>
      <c r="F5132" s="548"/>
      <c r="G5132" s="549"/>
      <c r="H5132" s="549"/>
      <c r="I5132" s="558"/>
      <c r="J5132" s="567"/>
      <c r="K5132" s="648">
        <f>SUM(K5126:K5131)</f>
        <v>213</v>
      </c>
      <c r="L5132" s="567">
        <f>SUM(L5126:L5131)</f>
        <v>24.626919999999998</v>
      </c>
      <c r="M5132" s="549"/>
      <c r="N5132" s="549"/>
      <c r="O5132" s="549"/>
      <c r="P5132" s="549"/>
      <c r="Q5132" s="1059"/>
      <c r="R5132" s="1059"/>
    </row>
    <row r="5133" spans="1:18" s="497" customFormat="1" ht="17.399999999999999">
      <c r="A5133" s="547"/>
      <c r="B5133" s="549"/>
      <c r="C5133" s="547"/>
      <c r="D5133" s="547"/>
      <c r="E5133" s="547"/>
      <c r="F5133" s="548"/>
      <c r="G5133" s="549"/>
      <c r="H5133" s="549"/>
      <c r="I5133" s="558"/>
      <c r="J5133" s="567"/>
      <c r="K5133" s="648"/>
      <c r="L5133" s="567">
        <f>+L5132+L5124</f>
        <v>42.14734</v>
      </c>
      <c r="M5133" s="549"/>
      <c r="N5133" s="549"/>
      <c r="O5133" s="549"/>
      <c r="P5133" s="549"/>
      <c r="Q5133" s="1059"/>
      <c r="R5133" s="1059"/>
    </row>
    <row r="5135" spans="1:18" s="497" customFormat="1" ht="17.399999999999999">
      <c r="A5135" s="547" t="s">
        <v>445</v>
      </c>
      <c r="B5135" s="547" t="s">
        <v>480</v>
      </c>
      <c r="C5135" s="547" t="s">
        <v>19</v>
      </c>
      <c r="D5135" s="547" t="s">
        <v>20</v>
      </c>
      <c r="E5135" s="560" t="s">
        <v>464</v>
      </c>
      <c r="F5135" s="548">
        <v>12</v>
      </c>
      <c r="G5135" s="549" t="s">
        <v>21</v>
      </c>
      <c r="H5135" s="549" t="s">
        <v>119</v>
      </c>
      <c r="I5135" s="558">
        <v>10.7</v>
      </c>
      <c r="J5135" s="567">
        <v>7.4</v>
      </c>
      <c r="K5135" s="648">
        <v>39</v>
      </c>
      <c r="L5135" s="552">
        <f t="shared" ref="L5135:L5145" si="1024">(I5135*J5135*K5135/1000)</f>
        <v>3.0880199999999993</v>
      </c>
      <c r="M5135" s="549"/>
      <c r="N5135" s="549"/>
      <c r="O5135" s="549"/>
      <c r="P5135" s="549"/>
      <c r="Q5135" s="1059"/>
      <c r="R5135" s="1059"/>
    </row>
    <row r="5136" spans="1:18" s="497" customFormat="1" ht="17.399999999999999">
      <c r="A5136" s="547"/>
      <c r="B5136" s="549" t="s">
        <v>439</v>
      </c>
      <c r="C5136" s="547"/>
      <c r="D5136" s="547"/>
      <c r="E5136" s="547"/>
      <c r="F5136" s="548"/>
      <c r="G5136" s="549" t="s">
        <v>21</v>
      </c>
      <c r="H5136" s="549" t="s">
        <v>119</v>
      </c>
      <c r="I5136" s="558">
        <v>10.7</v>
      </c>
      <c r="J5136" s="567">
        <v>8.9</v>
      </c>
      <c r="K5136" s="648">
        <v>10</v>
      </c>
      <c r="L5136" s="552">
        <f t="shared" si="1024"/>
        <v>0.95230000000000004</v>
      </c>
      <c r="M5136" s="549"/>
      <c r="N5136" s="549"/>
      <c r="O5136" s="567">
        <v>8</v>
      </c>
      <c r="P5136" s="549"/>
      <c r="Q5136" s="1059"/>
      <c r="R5136" s="1059"/>
    </row>
    <row r="5137" spans="1:18" s="497" customFormat="1" ht="17.399999999999999">
      <c r="A5137" s="550"/>
      <c r="B5137" s="792"/>
      <c r="C5137" s="550"/>
      <c r="D5137" s="550"/>
      <c r="E5137" s="550"/>
      <c r="F5137" s="548"/>
      <c r="G5137" s="549" t="s">
        <v>21</v>
      </c>
      <c r="H5137" s="549" t="s">
        <v>119</v>
      </c>
      <c r="I5137" s="558">
        <v>10.7</v>
      </c>
      <c r="J5137" s="567">
        <v>8.9</v>
      </c>
      <c r="K5137" s="648">
        <v>8</v>
      </c>
      <c r="L5137" s="552">
        <f t="shared" si="1024"/>
        <v>0.76184000000000007</v>
      </c>
      <c r="M5137" s="549"/>
      <c r="N5137" s="549"/>
      <c r="O5137" s="549"/>
      <c r="P5137" s="549"/>
      <c r="Q5137" s="1059"/>
      <c r="R5137" s="1059"/>
    </row>
    <row r="5138" spans="1:18" s="497" customFormat="1" ht="17.399999999999999">
      <c r="A5138" s="550"/>
      <c r="B5138" s="792"/>
      <c r="C5138" s="550"/>
      <c r="D5138" s="550"/>
      <c r="E5138" s="550"/>
      <c r="F5138" s="548"/>
      <c r="G5138" s="549" t="s">
        <v>21</v>
      </c>
      <c r="H5138" s="549" t="s">
        <v>119</v>
      </c>
      <c r="I5138" s="558">
        <v>10.7</v>
      </c>
      <c r="J5138" s="567">
        <v>10</v>
      </c>
      <c r="K5138" s="648">
        <v>13</v>
      </c>
      <c r="L5138" s="552">
        <f t="shared" si="1024"/>
        <v>1.391</v>
      </c>
      <c r="M5138" s="549"/>
      <c r="N5138" s="549"/>
      <c r="O5138" s="567">
        <v>9.85</v>
      </c>
      <c r="P5138" s="549"/>
      <c r="Q5138" s="1059"/>
      <c r="R5138" s="1059"/>
    </row>
    <row r="5139" spans="1:18" s="497" customFormat="1" ht="17.399999999999999">
      <c r="A5139" s="550"/>
      <c r="B5139" s="792"/>
      <c r="C5139" s="550"/>
      <c r="D5139" s="550"/>
      <c r="E5139" s="550"/>
      <c r="F5139" s="548"/>
      <c r="G5139" s="549" t="s">
        <v>21</v>
      </c>
      <c r="H5139" s="549" t="s">
        <v>119</v>
      </c>
      <c r="I5139" s="558">
        <v>10.7</v>
      </c>
      <c r="J5139" s="567">
        <v>10</v>
      </c>
      <c r="K5139" s="648">
        <v>5</v>
      </c>
      <c r="L5139" s="552">
        <f t="shared" si="1024"/>
        <v>0.53500000000000003</v>
      </c>
      <c r="M5139" s="549"/>
      <c r="N5139" s="549"/>
      <c r="O5139" s="549"/>
      <c r="P5139" s="549"/>
      <c r="Q5139" s="1059"/>
      <c r="R5139" s="1059"/>
    </row>
    <row r="5140" spans="1:18" s="497" customFormat="1" ht="17.399999999999999">
      <c r="A5140" s="550"/>
      <c r="B5140" s="792"/>
      <c r="C5140" s="550"/>
      <c r="D5140" s="550"/>
      <c r="E5140" s="550"/>
      <c r="F5140" s="548"/>
      <c r="G5140" s="549" t="s">
        <v>21</v>
      </c>
      <c r="H5140" s="549" t="s">
        <v>119</v>
      </c>
      <c r="I5140" s="558">
        <v>10.7</v>
      </c>
      <c r="J5140" s="567">
        <v>11</v>
      </c>
      <c r="K5140" s="648">
        <v>2</v>
      </c>
      <c r="L5140" s="552">
        <f t="shared" si="1024"/>
        <v>0.23539999999999997</v>
      </c>
      <c r="M5140" s="549"/>
      <c r="N5140" s="549"/>
      <c r="O5140" s="567">
        <v>10.8</v>
      </c>
      <c r="P5140" s="549"/>
      <c r="Q5140" s="1059"/>
      <c r="R5140" s="1059"/>
    </row>
    <row r="5141" spans="1:18" s="497" customFormat="1" ht="17.399999999999999">
      <c r="A5141" s="550"/>
      <c r="B5141" s="792"/>
      <c r="C5141" s="550"/>
      <c r="D5141" s="550"/>
      <c r="E5141" s="550"/>
      <c r="F5141" s="548"/>
      <c r="G5141" s="549" t="s">
        <v>21</v>
      </c>
      <c r="H5141" s="549" t="s">
        <v>119</v>
      </c>
      <c r="I5141" s="558">
        <v>10.7</v>
      </c>
      <c r="J5141" s="567">
        <v>11</v>
      </c>
      <c r="K5141" s="648">
        <v>67</v>
      </c>
      <c r="L5141" s="552">
        <f t="shared" si="1024"/>
        <v>7.8858999999999995</v>
      </c>
      <c r="M5141" s="549"/>
      <c r="N5141" s="549"/>
      <c r="O5141" s="549"/>
      <c r="P5141" s="549"/>
      <c r="Q5141" s="1059"/>
      <c r="R5141" s="1059"/>
    </row>
    <row r="5142" spans="1:18" s="497" customFormat="1" ht="17.399999999999999">
      <c r="A5142" s="550"/>
      <c r="B5142" s="792"/>
      <c r="C5142" s="550"/>
      <c r="D5142" s="550"/>
      <c r="E5142" s="550"/>
      <c r="F5142" s="548"/>
      <c r="G5142" s="549" t="s">
        <v>21</v>
      </c>
      <c r="H5142" s="549" t="s">
        <v>119</v>
      </c>
      <c r="I5142" s="558">
        <v>10.7</v>
      </c>
      <c r="J5142" s="567">
        <v>11.2</v>
      </c>
      <c r="K5142" s="648">
        <v>14</v>
      </c>
      <c r="L5142" s="552">
        <f t="shared" si="1024"/>
        <v>1.6777599999999997</v>
      </c>
      <c r="M5142" s="549"/>
      <c r="N5142" s="549"/>
      <c r="O5142" s="549"/>
      <c r="P5142" s="549"/>
      <c r="Q5142" s="1059"/>
      <c r="R5142" s="1059"/>
    </row>
    <row r="5143" spans="1:18" s="497" customFormat="1" ht="17.399999999999999">
      <c r="A5143" s="550"/>
      <c r="B5143" s="792"/>
      <c r="C5143" s="550"/>
      <c r="D5143" s="550"/>
      <c r="E5143" s="550"/>
      <c r="F5143" s="548"/>
      <c r="G5143" s="549" t="s">
        <v>21</v>
      </c>
      <c r="H5143" s="549" t="s">
        <v>119</v>
      </c>
      <c r="I5143" s="558">
        <v>10.7</v>
      </c>
      <c r="J5143" s="567">
        <v>11.5</v>
      </c>
      <c r="K5143" s="648">
        <v>49</v>
      </c>
      <c r="L5143" s="552">
        <f t="shared" si="1024"/>
        <v>6.0294499999999998</v>
      </c>
      <c r="M5143" s="549"/>
      <c r="N5143" s="549"/>
      <c r="O5143" s="549"/>
      <c r="P5143" s="549"/>
      <c r="Q5143" s="1059"/>
      <c r="R5143" s="1059"/>
    </row>
    <row r="5144" spans="1:18" s="497" customFormat="1" ht="17.399999999999999">
      <c r="A5144" s="550"/>
      <c r="B5144" s="792"/>
      <c r="C5144" s="550"/>
      <c r="D5144" s="550"/>
      <c r="E5144" s="550"/>
      <c r="F5144" s="548"/>
      <c r="G5144" s="549" t="s">
        <v>21</v>
      </c>
      <c r="H5144" s="549" t="s">
        <v>119</v>
      </c>
      <c r="I5144" s="558">
        <v>10.7</v>
      </c>
      <c r="J5144" s="567">
        <v>11.7</v>
      </c>
      <c r="K5144" s="648">
        <v>58</v>
      </c>
      <c r="L5144" s="552">
        <f t="shared" si="1024"/>
        <v>7.2610199999999985</v>
      </c>
      <c r="M5144" s="549"/>
      <c r="N5144" s="549"/>
      <c r="O5144" s="549"/>
      <c r="P5144" s="549"/>
      <c r="Q5144" s="1059"/>
      <c r="R5144" s="1059"/>
    </row>
    <row r="5145" spans="1:18" s="497" customFormat="1" ht="17.399999999999999">
      <c r="A5145" s="550"/>
      <c r="B5145" s="792"/>
      <c r="C5145" s="550"/>
      <c r="D5145" s="550"/>
      <c r="E5145" s="550"/>
      <c r="F5145" s="548"/>
      <c r="G5145" s="549" t="s">
        <v>21</v>
      </c>
      <c r="H5145" s="549" t="s">
        <v>119</v>
      </c>
      <c r="I5145" s="558">
        <v>10.7</v>
      </c>
      <c r="J5145" s="567">
        <v>12</v>
      </c>
      <c r="K5145" s="648">
        <v>72</v>
      </c>
      <c r="L5145" s="552">
        <f t="shared" si="1024"/>
        <v>9.2447999999999997</v>
      </c>
      <c r="M5145" s="549"/>
      <c r="N5145" s="549"/>
      <c r="O5145" s="549"/>
      <c r="P5145" s="549"/>
      <c r="Q5145" s="1059"/>
      <c r="R5145" s="1059"/>
    </row>
    <row r="5146" spans="1:18" s="497" customFormat="1" ht="17.399999999999999">
      <c r="A5146" s="550"/>
      <c r="B5146" s="792"/>
      <c r="C5146" s="550"/>
      <c r="D5146" s="550"/>
      <c r="E5146" s="550"/>
      <c r="F5146" s="548"/>
      <c r="G5146" s="549"/>
      <c r="H5146" s="549"/>
      <c r="I5146" s="558"/>
      <c r="J5146" s="567"/>
      <c r="K5146" s="648">
        <f t="shared" ref="K5146:L5146" si="1025">SUM(K5135:K5145)</f>
        <v>337</v>
      </c>
      <c r="L5146" s="567">
        <f t="shared" si="1025"/>
        <v>39.062489999999997</v>
      </c>
      <c r="M5146" s="549"/>
      <c r="N5146" s="549"/>
      <c r="O5146" s="549"/>
      <c r="P5146" s="549"/>
      <c r="Q5146" s="1059"/>
      <c r="R5146" s="1059"/>
    </row>
    <row r="5147" spans="1:18" s="497" customFormat="1" ht="17.399999999999999">
      <c r="A5147" s="550"/>
      <c r="B5147" s="792"/>
      <c r="C5147" s="550"/>
      <c r="D5147" s="550"/>
      <c r="E5147" s="550"/>
      <c r="F5147" s="548"/>
      <c r="G5147" s="549"/>
      <c r="H5147" s="549"/>
      <c r="I5147" s="558"/>
      <c r="J5147" s="567"/>
      <c r="K5147" s="648"/>
      <c r="L5147" s="567"/>
      <c r="M5147" s="549"/>
      <c r="N5147" s="549"/>
      <c r="O5147" s="549"/>
      <c r="P5147" s="549"/>
      <c r="Q5147" s="1059"/>
      <c r="R5147" s="1059"/>
    </row>
    <row r="5148" spans="1:18" s="497" customFormat="1" ht="17.399999999999999">
      <c r="A5148" s="547"/>
      <c r="B5148" s="549"/>
      <c r="C5148" s="547"/>
      <c r="D5148" s="547"/>
      <c r="E5148" s="547"/>
      <c r="F5148" s="548"/>
      <c r="G5148" s="149"/>
      <c r="H5148" s="149"/>
      <c r="I5148" s="449"/>
      <c r="J5148" s="133"/>
      <c r="K5148" s="140"/>
      <c r="L5148" s="133"/>
      <c r="M5148" s="549"/>
      <c r="N5148" s="549"/>
      <c r="O5148" s="549"/>
      <c r="P5148" s="549"/>
      <c r="Q5148" s="1059"/>
      <c r="R5148" s="1059"/>
    </row>
    <row r="5149" spans="1:18" s="497" customFormat="1" ht="17.399999999999999">
      <c r="A5149" s="547"/>
      <c r="B5149" s="549"/>
      <c r="C5149" s="547"/>
      <c r="D5149" s="547"/>
      <c r="E5149" s="547"/>
      <c r="F5149" s="548"/>
      <c r="G5149" s="149"/>
      <c r="H5149" s="149"/>
      <c r="I5149" s="449"/>
      <c r="J5149" s="133"/>
      <c r="K5149" s="140"/>
      <c r="L5149" s="133">
        <f>+L5133+L5146</f>
        <v>81.209829999999997</v>
      </c>
      <c r="M5149" s="549"/>
      <c r="N5149" s="549"/>
      <c r="O5149" s="549"/>
      <c r="P5149" s="549"/>
      <c r="Q5149" s="1059"/>
      <c r="R5149" s="1059"/>
    </row>
    <row r="5153" spans="1:23" ht="17.399999999999999">
      <c r="A5153" s="711" t="s">
        <v>48</v>
      </c>
      <c r="B5153" s="711"/>
      <c r="C5153" s="712"/>
      <c r="D5153" s="712"/>
      <c r="E5153" s="712"/>
      <c r="F5153" s="713"/>
      <c r="G5153" s="712"/>
      <c r="H5153" s="712"/>
      <c r="I5153" s="714"/>
      <c r="J5153" s="715"/>
      <c r="K5153" s="716"/>
      <c r="L5153" s="1978" t="s">
        <v>0</v>
      </c>
      <c r="M5153" s="1978"/>
      <c r="N5153" s="1978"/>
      <c r="O5153" s="1978"/>
      <c r="P5153" s="717"/>
      <c r="Q5153" s="717"/>
      <c r="R5153" s="717"/>
    </row>
    <row r="5154" spans="1:23" ht="17.399999999999999">
      <c r="A5154" s="718" t="s">
        <v>1</v>
      </c>
      <c r="B5154" s="718"/>
      <c r="C5154" s="718"/>
      <c r="D5154" s="719" t="s">
        <v>2</v>
      </c>
      <c r="E5154" s="719"/>
      <c r="F5154" s="720"/>
      <c r="G5154" s="720"/>
      <c r="H5154" s="720"/>
      <c r="I5154" s="721"/>
      <c r="J5154" s="837"/>
      <c r="K5154" s="723" t="s">
        <v>3</v>
      </c>
      <c r="L5154" s="837"/>
      <c r="M5154" s="718"/>
      <c r="N5154" s="720"/>
      <c r="O5154" s="718"/>
      <c r="P5154" s="724"/>
      <c r="Q5154" s="1059"/>
      <c r="R5154" s="1059"/>
    </row>
    <row r="5155" spans="1:23" ht="52.2">
      <c r="A5155" s="640" t="s">
        <v>4</v>
      </c>
      <c r="B5155" s="640" t="s">
        <v>5</v>
      </c>
      <c r="C5155" s="640" t="s">
        <v>6</v>
      </c>
      <c r="D5155" s="640" t="s">
        <v>7</v>
      </c>
      <c r="E5155" s="640" t="s">
        <v>8</v>
      </c>
      <c r="F5155" s="641" t="s">
        <v>9</v>
      </c>
      <c r="G5155" s="642" t="s">
        <v>10</v>
      </c>
      <c r="H5155" s="642" t="s">
        <v>11</v>
      </c>
      <c r="I5155" s="643" t="s">
        <v>12</v>
      </c>
      <c r="J5155" s="644" t="s">
        <v>13</v>
      </c>
      <c r="K5155" s="645" t="s">
        <v>14</v>
      </c>
      <c r="L5155" s="646" t="s">
        <v>15</v>
      </c>
      <c r="M5155" s="641" t="s">
        <v>16</v>
      </c>
      <c r="N5155" s="641" t="s">
        <v>17</v>
      </c>
      <c r="O5155" s="642" t="s">
        <v>18</v>
      </c>
      <c r="P5155" s="641" t="s">
        <v>192</v>
      </c>
      <c r="Q5155" s="1063"/>
      <c r="R5155" s="1063"/>
    </row>
    <row r="5156" spans="1:23" ht="17.399999999999999">
      <c r="A5156" s="547" t="s">
        <v>445</v>
      </c>
      <c r="B5156" s="547" t="s">
        <v>517</v>
      </c>
      <c r="C5156" s="547" t="s">
        <v>19</v>
      </c>
      <c r="D5156" s="547" t="s">
        <v>20</v>
      </c>
      <c r="E5156" s="547" t="s">
        <v>57</v>
      </c>
      <c r="F5156" s="549">
        <v>14</v>
      </c>
      <c r="G5156" s="549" t="s">
        <v>21</v>
      </c>
      <c r="H5156" s="599" t="s">
        <v>126</v>
      </c>
      <c r="I5156" s="558">
        <v>23.6</v>
      </c>
      <c r="J5156" s="567">
        <v>7.6</v>
      </c>
      <c r="K5156" s="648">
        <v>148</v>
      </c>
      <c r="L5156" s="552">
        <f t="shared" ref="L5156:L5157" si="1026">(I5156*J5156*K5156/1000)</f>
        <v>26.545280000000002</v>
      </c>
      <c r="M5156" s="549"/>
      <c r="N5156" s="549"/>
      <c r="O5156" s="549"/>
      <c r="P5156" s="549"/>
      <c r="Q5156" s="1059"/>
      <c r="R5156" s="1059"/>
      <c r="S5156">
        <f>3+8+16+10+15+18+15+15+14</f>
        <v>114</v>
      </c>
      <c r="T5156">
        <f>J5156*S5156*I5156/1000</f>
        <v>20.447040000000001</v>
      </c>
      <c r="U5156">
        <f>15+15+15+15</f>
        <v>60</v>
      </c>
      <c r="V5156" s="126">
        <f>J5156*U5156*I5156/1000</f>
        <v>10.7616</v>
      </c>
      <c r="W5156" s="497" t="s">
        <v>600</v>
      </c>
    </row>
    <row r="5157" spans="1:23" ht="17.399999999999999">
      <c r="A5157" s="547"/>
      <c r="B5157" s="549" t="s">
        <v>423</v>
      </c>
      <c r="C5157" s="547"/>
      <c r="D5157" s="547"/>
      <c r="E5157" s="547"/>
      <c r="F5157" s="549"/>
      <c r="G5157" s="549" t="s">
        <v>21</v>
      </c>
      <c r="H5157" s="549" t="s">
        <v>126</v>
      </c>
      <c r="I5157" s="558">
        <v>23.6</v>
      </c>
      <c r="J5157" s="567">
        <v>9.5</v>
      </c>
      <c r="K5157" s="648">
        <v>1</v>
      </c>
      <c r="L5157" s="552">
        <f t="shared" si="1026"/>
        <v>0.22420000000000001</v>
      </c>
      <c r="M5157" s="549"/>
      <c r="N5157" s="549"/>
      <c r="O5157" s="549"/>
      <c r="P5157" s="549"/>
      <c r="Q5157" s="1059"/>
      <c r="R5157" s="1059"/>
    </row>
    <row r="5158" spans="1:23" ht="17.399999999999999">
      <c r="A5158" s="549"/>
      <c r="B5158" s="549"/>
      <c r="C5158" s="549"/>
      <c r="D5158" s="549"/>
      <c r="E5158" s="549"/>
      <c r="F5158" s="549"/>
      <c r="G5158" s="549"/>
      <c r="H5158" s="549"/>
      <c r="I5158" s="558"/>
      <c r="J5158" s="567"/>
      <c r="K5158" s="648">
        <f t="shared" ref="K5158:L5158" si="1027">SUM(K5156:K5157)</f>
        <v>149</v>
      </c>
      <c r="L5158" s="567">
        <f t="shared" si="1027"/>
        <v>26.769480000000001</v>
      </c>
      <c r="M5158" s="549"/>
      <c r="N5158" s="549"/>
      <c r="O5158" s="549"/>
      <c r="P5158" s="549"/>
      <c r="Q5158" s="549"/>
      <c r="R5158" s="549"/>
      <c r="S5158" s="648">
        <f t="shared" ref="S5158:V5158" si="1028">SUM(S5156:S5157)</f>
        <v>114</v>
      </c>
      <c r="T5158" s="567">
        <f t="shared" si="1028"/>
        <v>20.447040000000001</v>
      </c>
      <c r="U5158" s="648">
        <f t="shared" si="1028"/>
        <v>60</v>
      </c>
      <c r="V5158" s="567">
        <f t="shared" si="1028"/>
        <v>10.7616</v>
      </c>
    </row>
    <row r="5159" spans="1:23" s="497" customFormat="1" ht="17.399999999999999">
      <c r="A5159" s="549"/>
      <c r="B5159" s="549"/>
      <c r="C5159" s="549"/>
      <c r="D5159" s="549"/>
      <c r="E5159" s="549"/>
      <c r="F5159" s="549"/>
      <c r="G5159" s="549"/>
      <c r="H5159" s="549"/>
      <c r="I5159" s="558"/>
      <c r="J5159" s="567"/>
      <c r="K5159" s="648"/>
      <c r="L5159" s="567"/>
      <c r="M5159" s="549"/>
      <c r="N5159" s="549"/>
      <c r="O5159" s="549"/>
      <c r="P5159" s="549"/>
      <c r="Q5159" s="1059"/>
      <c r="R5159" s="1059"/>
    </row>
    <row r="5160" spans="1:23" ht="17.399999999999999">
      <c r="A5160" s="547" t="s">
        <v>445</v>
      </c>
      <c r="B5160" s="547" t="s">
        <v>487</v>
      </c>
      <c r="C5160" s="547" t="s">
        <v>19</v>
      </c>
      <c r="D5160" s="547" t="s">
        <v>20</v>
      </c>
      <c r="E5160" s="547" t="s">
        <v>47</v>
      </c>
      <c r="F5160" s="549">
        <v>14</v>
      </c>
      <c r="G5160" s="549" t="s">
        <v>21</v>
      </c>
      <c r="H5160" s="599" t="s">
        <v>126</v>
      </c>
      <c r="I5160" s="558">
        <v>23.6</v>
      </c>
      <c r="J5160" s="567">
        <v>7.1</v>
      </c>
      <c r="K5160" s="648">
        <v>3</v>
      </c>
      <c r="L5160" s="552">
        <f t="shared" ref="L5160:L5161" si="1029">(I5160*J5160*K5160/1000)</f>
        <v>0.50268000000000002</v>
      </c>
      <c r="M5160" s="549"/>
      <c r="N5160" s="549"/>
      <c r="O5160" s="549"/>
      <c r="P5160" s="549"/>
      <c r="Q5160" s="1059"/>
      <c r="R5160" s="1059"/>
      <c r="S5160" s="497" t="s">
        <v>600</v>
      </c>
    </row>
    <row r="5161" spans="1:23" ht="17.399999999999999">
      <c r="A5161" s="547"/>
      <c r="B5161" s="752" t="s">
        <v>439</v>
      </c>
      <c r="C5161" s="547"/>
      <c r="D5161" s="547"/>
      <c r="E5161" s="547"/>
      <c r="F5161" s="549"/>
      <c r="G5161" s="549" t="s">
        <v>21</v>
      </c>
      <c r="H5161" s="549" t="s">
        <v>126</v>
      </c>
      <c r="I5161" s="558">
        <v>23.6</v>
      </c>
      <c r="J5161" s="567">
        <v>9.3000000000000007</v>
      </c>
      <c r="K5161" s="648">
        <v>5</v>
      </c>
      <c r="L5161" s="552">
        <f t="shared" si="1029"/>
        <v>1.0974000000000002</v>
      </c>
      <c r="M5161" s="549"/>
      <c r="N5161" s="549"/>
      <c r="O5161" s="549"/>
      <c r="P5161" s="549"/>
      <c r="Q5161" s="1059"/>
      <c r="R5161" s="1059"/>
    </row>
    <row r="5162" spans="1:23" ht="17.399999999999999">
      <c r="A5162" s="549"/>
      <c r="B5162" s="549"/>
      <c r="C5162" s="549"/>
      <c r="D5162" s="549"/>
      <c r="E5162" s="549"/>
      <c r="F5162" s="549"/>
      <c r="G5162" s="549"/>
      <c r="H5162" s="549"/>
      <c r="I5162" s="558"/>
      <c r="J5162" s="567"/>
      <c r="K5162" s="648">
        <f t="shared" ref="K5162:L5162" si="1030">SUM(K5160:K5161)</f>
        <v>8</v>
      </c>
      <c r="L5162" s="567">
        <f t="shared" si="1030"/>
        <v>1.6000800000000002</v>
      </c>
      <c r="M5162" s="549"/>
      <c r="N5162" s="549"/>
      <c r="O5162" s="549"/>
      <c r="P5162" s="549"/>
      <c r="Q5162" s="549"/>
      <c r="R5162" s="549"/>
      <c r="S5162" s="648">
        <f t="shared" ref="S5162:T5162" si="1031">SUM(S5160:S5161)</f>
        <v>0</v>
      </c>
      <c r="T5162" s="567">
        <f t="shared" si="1031"/>
        <v>0</v>
      </c>
    </row>
    <row r="5163" spans="1:23" ht="17.399999999999999">
      <c r="A5163" s="549"/>
      <c r="B5163" s="549"/>
      <c r="C5163" s="549"/>
      <c r="D5163" s="549"/>
      <c r="E5163" s="549"/>
      <c r="F5163" s="549"/>
      <c r="G5163" s="549"/>
      <c r="H5163" s="549"/>
      <c r="I5163" s="560"/>
      <c r="J5163" s="549"/>
      <c r="K5163" s="561"/>
      <c r="L5163" s="560"/>
      <c r="M5163" s="549"/>
      <c r="N5163" s="549"/>
      <c r="O5163" s="549"/>
      <c r="P5163" s="549"/>
      <c r="Q5163" s="1059"/>
      <c r="R5163" s="1059"/>
    </row>
    <row r="5164" spans="1:23" ht="17.399999999999999">
      <c r="A5164" s="547" t="s">
        <v>445</v>
      </c>
      <c r="B5164" s="547" t="s">
        <v>488</v>
      </c>
      <c r="C5164" s="547" t="s">
        <v>19</v>
      </c>
      <c r="D5164" s="547" t="s">
        <v>20</v>
      </c>
      <c r="E5164" s="547" t="s">
        <v>47</v>
      </c>
      <c r="F5164" s="549">
        <v>14</v>
      </c>
      <c r="G5164" s="549" t="s">
        <v>21</v>
      </c>
      <c r="H5164" s="599" t="s">
        <v>126</v>
      </c>
      <c r="I5164" s="558">
        <v>23.6</v>
      </c>
      <c r="J5164" s="567">
        <v>7.1</v>
      </c>
      <c r="K5164" s="648">
        <v>15</v>
      </c>
      <c r="L5164" s="552">
        <f t="shared" ref="L5164:L5170" si="1032">(I5164*J5164*K5164/1000)</f>
        <v>2.5134000000000003</v>
      </c>
      <c r="M5164" s="549"/>
      <c r="N5164" s="549"/>
      <c r="O5164" s="549"/>
      <c r="P5164" s="549"/>
      <c r="Q5164" s="1059"/>
      <c r="R5164" s="1059"/>
      <c r="S5164">
        <v>13</v>
      </c>
      <c r="T5164" s="497">
        <f t="shared" ref="T5164:T5166" si="1033">J5164*S5164*I5164/1000</f>
        <v>2.17828</v>
      </c>
      <c r="V5164" s="126">
        <f>J5164*U5164*I5164/1000</f>
        <v>0</v>
      </c>
      <c r="W5164" s="497" t="s">
        <v>600</v>
      </c>
    </row>
    <row r="5165" spans="1:23" ht="17.399999999999999">
      <c r="A5165" s="547"/>
      <c r="B5165" s="752" t="s">
        <v>439</v>
      </c>
      <c r="C5165" s="547"/>
      <c r="D5165" s="547"/>
      <c r="E5165" s="547"/>
      <c r="F5165" s="549"/>
      <c r="G5165" s="549" t="s">
        <v>21</v>
      </c>
      <c r="H5165" s="549" t="s">
        <v>126</v>
      </c>
      <c r="I5165" s="558">
        <v>23.6</v>
      </c>
      <c r="J5165" s="567">
        <v>7.5</v>
      </c>
      <c r="K5165" s="648">
        <v>17</v>
      </c>
      <c r="L5165" s="552">
        <f t="shared" si="1032"/>
        <v>3.0089999999999999</v>
      </c>
      <c r="M5165" s="549"/>
      <c r="N5165" s="549"/>
      <c r="O5165" s="549"/>
      <c r="P5165" s="549"/>
      <c r="Q5165" s="1059"/>
      <c r="R5165" s="1059"/>
      <c r="S5165">
        <f>2+15</f>
        <v>17</v>
      </c>
      <c r="T5165" s="497">
        <f t="shared" si="1033"/>
        <v>3.0089999999999999</v>
      </c>
      <c r="U5165">
        <f>15+2</f>
        <v>17</v>
      </c>
      <c r="V5165" s="126">
        <f>J5165*U5165*I5165/1000</f>
        <v>3.0089999999999999</v>
      </c>
    </row>
    <row r="5166" spans="1:23" ht="17.399999999999999">
      <c r="A5166" s="549"/>
      <c r="B5166" s="549"/>
      <c r="C5166" s="549"/>
      <c r="D5166" s="549"/>
      <c r="E5166" s="549"/>
      <c r="F5166" s="549"/>
      <c r="G5166" s="549" t="s">
        <v>21</v>
      </c>
      <c r="H5166" s="549" t="s">
        <v>126</v>
      </c>
      <c r="I5166" s="558">
        <v>23.6</v>
      </c>
      <c r="J5166" s="567">
        <v>9.3000000000000007</v>
      </c>
      <c r="K5166" s="648">
        <v>14</v>
      </c>
      <c r="L5166" s="552">
        <f t="shared" si="1032"/>
        <v>3.0727200000000003</v>
      </c>
      <c r="M5166" s="549"/>
      <c r="N5166" s="549"/>
      <c r="O5166" s="549"/>
      <c r="P5166" s="549"/>
      <c r="Q5166" s="1059"/>
      <c r="R5166" s="1059"/>
      <c r="S5166">
        <v>14</v>
      </c>
      <c r="T5166" s="497">
        <f t="shared" si="1033"/>
        <v>3.0727200000000008</v>
      </c>
    </row>
    <row r="5167" spans="1:23" ht="17.399999999999999">
      <c r="A5167" s="549"/>
      <c r="B5167" s="549"/>
      <c r="C5167" s="549"/>
      <c r="D5167" s="549"/>
      <c r="E5167" s="549"/>
      <c r="F5167" s="549"/>
      <c r="G5167" s="549" t="s">
        <v>21</v>
      </c>
      <c r="H5167" s="549" t="s">
        <v>126</v>
      </c>
      <c r="I5167" s="558">
        <v>23.6</v>
      </c>
      <c r="J5167" s="567">
        <v>9.8000000000000007</v>
      </c>
      <c r="K5167" s="648">
        <v>17</v>
      </c>
      <c r="L5167" s="552">
        <f t="shared" si="1032"/>
        <v>3.9317600000000006</v>
      </c>
      <c r="M5167" s="549"/>
      <c r="N5167" s="549"/>
      <c r="O5167" s="549"/>
      <c r="P5167" s="549"/>
      <c r="Q5167" s="1059"/>
      <c r="R5167" s="1059"/>
      <c r="S5167">
        <v>6</v>
      </c>
      <c r="T5167" s="497">
        <f t="shared" ref="T5167:T5169" si="1034">J5167*S5167*I5167/1000</f>
        <v>1.3876800000000002</v>
      </c>
      <c r="U5167">
        <v>6</v>
      </c>
      <c r="V5167" s="126">
        <f t="shared" ref="V5167:V5168" si="1035">J5167*U5167*I5167/1000</f>
        <v>1.3876800000000002</v>
      </c>
    </row>
    <row r="5168" spans="1:23" ht="17.399999999999999">
      <c r="A5168" s="549"/>
      <c r="B5168" s="549"/>
      <c r="C5168" s="549"/>
      <c r="D5168" s="549"/>
      <c r="E5168" s="549"/>
      <c r="F5168" s="549"/>
      <c r="G5168" s="549" t="s">
        <v>21</v>
      </c>
      <c r="H5168" s="549" t="s">
        <v>126</v>
      </c>
      <c r="I5168" s="558">
        <v>23.6</v>
      </c>
      <c r="J5168" s="567">
        <v>10.5</v>
      </c>
      <c r="K5168" s="648">
        <v>19</v>
      </c>
      <c r="L5168" s="552">
        <f t="shared" si="1032"/>
        <v>4.7081999999999997</v>
      </c>
      <c r="M5168" s="549"/>
      <c r="N5168" s="549"/>
      <c r="O5168" s="549"/>
      <c r="P5168" s="549"/>
      <c r="Q5168" s="1059"/>
      <c r="R5168" s="1059"/>
      <c r="S5168">
        <v>8</v>
      </c>
      <c r="T5168" s="497">
        <f t="shared" si="1034"/>
        <v>1.9824000000000002</v>
      </c>
      <c r="U5168">
        <v>8</v>
      </c>
      <c r="V5168" s="126">
        <f t="shared" si="1035"/>
        <v>1.9824000000000002</v>
      </c>
    </row>
    <row r="5169" spans="1:22" ht="17.399999999999999">
      <c r="A5169" s="549"/>
      <c r="B5169" s="549"/>
      <c r="C5169" s="549"/>
      <c r="D5169" s="549"/>
      <c r="E5169" s="549"/>
      <c r="F5169" s="549"/>
      <c r="G5169" s="549" t="s">
        <v>21</v>
      </c>
      <c r="H5169" s="549" t="s">
        <v>126</v>
      </c>
      <c r="I5169" s="558">
        <v>23.6</v>
      </c>
      <c r="J5169" s="567">
        <v>11.4</v>
      </c>
      <c r="K5169" s="648">
        <v>14</v>
      </c>
      <c r="L5169" s="552">
        <f t="shared" si="1032"/>
        <v>3.7665600000000006</v>
      </c>
      <c r="M5169" s="549"/>
      <c r="N5169" s="549"/>
      <c r="O5169" s="549"/>
      <c r="P5169" s="549"/>
      <c r="Q5169" s="1059"/>
      <c r="R5169" s="1059"/>
      <c r="S5169">
        <f>3+9</f>
        <v>12</v>
      </c>
      <c r="T5169">
        <f t="shared" si="1034"/>
        <v>3.2284800000000007</v>
      </c>
      <c r="V5169" s="126">
        <f>J5169*U5169*I5169/1000</f>
        <v>0</v>
      </c>
    </row>
    <row r="5170" spans="1:22" ht="17.399999999999999">
      <c r="A5170" s="549"/>
      <c r="B5170" s="549"/>
      <c r="C5170" s="549"/>
      <c r="D5170" s="549"/>
      <c r="E5170" s="549"/>
      <c r="F5170" s="549"/>
      <c r="G5170" s="549" t="s">
        <v>21</v>
      </c>
      <c r="H5170" s="549" t="s">
        <v>126</v>
      </c>
      <c r="I5170" s="558">
        <v>23.6</v>
      </c>
      <c r="J5170" s="567">
        <v>12</v>
      </c>
      <c r="K5170" s="648">
        <v>25</v>
      </c>
      <c r="L5170" s="552">
        <f t="shared" si="1032"/>
        <v>7.080000000000001</v>
      </c>
      <c r="M5170" s="549"/>
      <c r="N5170" s="549"/>
      <c r="O5170" s="549"/>
      <c r="P5170" s="549"/>
      <c r="Q5170" s="1059"/>
      <c r="R5170" s="1059"/>
      <c r="S5170">
        <f>6+6</f>
        <v>12</v>
      </c>
      <c r="T5170" s="497">
        <f>J5170*S5170*I5170/1000</f>
        <v>3.3984000000000001</v>
      </c>
      <c r="U5170">
        <v>6</v>
      </c>
      <c r="V5170" s="126">
        <f>J5170*U5170*I5170/1000</f>
        <v>1.6992</v>
      </c>
    </row>
    <row r="5171" spans="1:22" ht="17.399999999999999">
      <c r="A5171" s="549"/>
      <c r="B5171" s="549"/>
      <c r="C5171" s="549"/>
      <c r="D5171" s="549"/>
      <c r="E5171" s="549"/>
      <c r="F5171" s="549"/>
      <c r="G5171" s="549"/>
      <c r="H5171" s="549"/>
      <c r="I5171" s="558"/>
      <c r="J5171" s="567"/>
      <c r="K5171" s="648">
        <f t="shared" ref="K5171:L5171" si="1036">SUM(K5164:K5170)</f>
        <v>121</v>
      </c>
      <c r="L5171" s="567">
        <f t="shared" si="1036"/>
        <v>28.081640000000007</v>
      </c>
      <c r="M5171" s="549"/>
      <c r="N5171" s="549"/>
      <c r="O5171" s="549"/>
      <c r="P5171" s="549"/>
      <c r="Q5171" s="549"/>
      <c r="R5171" s="549"/>
      <c r="S5171" s="648">
        <f>SUM(S5164:S5170)</f>
        <v>82</v>
      </c>
      <c r="T5171" s="567">
        <f>SUM(T5164:T5170)</f>
        <v>18.256959999999999</v>
      </c>
      <c r="U5171" s="648">
        <f>SUM(U5164:U5170)</f>
        <v>37</v>
      </c>
      <c r="V5171" s="567">
        <f>SUM(V5164:V5170)</f>
        <v>8.0782799999999995</v>
      </c>
    </row>
    <row r="5172" spans="1:22" s="497" customFormat="1" ht="17.399999999999999">
      <c r="A5172" s="549"/>
      <c r="B5172" s="549"/>
      <c r="C5172" s="549"/>
      <c r="D5172" s="549"/>
      <c r="E5172" s="549"/>
      <c r="F5172" s="549"/>
      <c r="G5172" s="549"/>
      <c r="H5172" s="549"/>
      <c r="I5172" s="558"/>
      <c r="J5172" s="567"/>
      <c r="K5172" s="648"/>
      <c r="L5172" s="567"/>
      <c r="M5172" s="549"/>
      <c r="N5172" s="549"/>
      <c r="O5172" s="549"/>
      <c r="P5172" s="549"/>
      <c r="Q5172" s="1059"/>
      <c r="R5172" s="1059"/>
    </row>
    <row r="5173" spans="1:22" ht="17.399999999999999">
      <c r="A5173" s="547" t="s">
        <v>523</v>
      </c>
      <c r="B5173" s="547" t="s">
        <v>525</v>
      </c>
      <c r="C5173" s="547" t="s">
        <v>19</v>
      </c>
      <c r="D5173" s="547" t="s">
        <v>20</v>
      </c>
      <c r="E5173" s="547" t="s">
        <v>47</v>
      </c>
      <c r="F5173" s="549">
        <v>14</v>
      </c>
      <c r="G5173" s="549" t="s">
        <v>21</v>
      </c>
      <c r="H5173" s="599" t="s">
        <v>126</v>
      </c>
      <c r="I5173" s="558">
        <v>23.6</v>
      </c>
      <c r="J5173" s="567">
        <v>12</v>
      </c>
      <c r="K5173" s="648">
        <v>1</v>
      </c>
      <c r="L5173" s="552">
        <f>(I5173*J5173*K5173/1000)</f>
        <v>0.28320000000000006</v>
      </c>
      <c r="M5173" s="549"/>
      <c r="N5173" s="549"/>
      <c r="O5173" s="549"/>
      <c r="P5173" s="549"/>
      <c r="Q5173" s="1059"/>
      <c r="R5173" s="1059"/>
      <c r="S5173" s="497" t="s">
        <v>600</v>
      </c>
    </row>
    <row r="5174" spans="1:22" ht="17.399999999999999">
      <c r="A5174" s="547"/>
      <c r="B5174" s="752" t="s">
        <v>439</v>
      </c>
      <c r="C5174" s="547"/>
      <c r="D5174" s="547"/>
      <c r="E5174" s="547"/>
      <c r="F5174" s="549"/>
      <c r="G5174" s="549"/>
      <c r="H5174" s="549"/>
      <c r="I5174" s="558"/>
      <c r="J5174" s="567"/>
      <c r="K5174" s="648">
        <f t="shared" ref="K5174:L5174" si="1037">SUM(K5173)</f>
        <v>1</v>
      </c>
      <c r="L5174" s="567">
        <f t="shared" si="1037"/>
        <v>0.28320000000000006</v>
      </c>
      <c r="M5174" s="549"/>
      <c r="N5174" s="549"/>
      <c r="O5174" s="549"/>
      <c r="P5174" s="549"/>
      <c r="Q5174" s="1059"/>
      <c r="R5174" s="1059"/>
    </row>
    <row r="5175" spans="1:22" ht="17.399999999999999">
      <c r="A5175" s="549"/>
      <c r="B5175" s="549"/>
      <c r="C5175" s="549"/>
      <c r="D5175" s="549"/>
      <c r="E5175" s="549"/>
      <c r="F5175" s="549"/>
      <c r="G5175" s="549"/>
      <c r="H5175" s="549"/>
      <c r="I5175" s="560"/>
      <c r="J5175" s="647"/>
      <c r="K5175" s="561"/>
      <c r="L5175" s="560"/>
      <c r="M5175" s="549"/>
      <c r="N5175" s="549"/>
      <c r="O5175" s="549"/>
      <c r="P5175" s="549"/>
      <c r="Q5175" s="1059"/>
      <c r="R5175" s="1059"/>
    </row>
    <row r="5176" spans="1:22" ht="17.399999999999999">
      <c r="A5176" s="547" t="s">
        <v>523</v>
      </c>
      <c r="B5176" s="547" t="s">
        <v>527</v>
      </c>
      <c r="C5176" s="547" t="s">
        <v>19</v>
      </c>
      <c r="D5176" s="547" t="s">
        <v>20</v>
      </c>
      <c r="E5176" s="547" t="s">
        <v>47</v>
      </c>
      <c r="F5176" s="549">
        <v>14</v>
      </c>
      <c r="G5176" s="549" t="s">
        <v>21</v>
      </c>
      <c r="H5176" s="599" t="s">
        <v>126</v>
      </c>
      <c r="I5176" s="558">
        <v>23.6</v>
      </c>
      <c r="J5176" s="647">
        <v>6</v>
      </c>
      <c r="K5176" s="648">
        <v>1</v>
      </c>
      <c r="L5176" s="552">
        <f>(I5176*J5176*K5176/1000)</f>
        <v>0.14160000000000003</v>
      </c>
      <c r="M5176" s="549"/>
      <c r="N5176" s="549"/>
      <c r="O5176" s="549"/>
      <c r="P5176" s="549"/>
      <c r="Q5176" s="1059"/>
      <c r="R5176" s="1059"/>
      <c r="S5176" s="497" t="s">
        <v>600</v>
      </c>
    </row>
    <row r="5177" spans="1:22" ht="17.399999999999999">
      <c r="A5177" s="549"/>
      <c r="B5177" s="549" t="s">
        <v>439</v>
      </c>
      <c r="C5177" s="549"/>
      <c r="D5177" s="549"/>
      <c r="E5177" s="549"/>
      <c r="F5177" s="549"/>
      <c r="G5177" s="549"/>
      <c r="H5177" s="549"/>
      <c r="I5177" s="558"/>
      <c r="J5177" s="567"/>
      <c r="K5177" s="648">
        <f>SUM(K5176:K5176)</f>
        <v>1</v>
      </c>
      <c r="L5177" s="567">
        <f>SUM(L5176:L5176)</f>
        <v>0.14160000000000003</v>
      </c>
      <c r="M5177" s="549"/>
      <c r="N5177" s="549"/>
      <c r="O5177" s="549"/>
      <c r="P5177" s="549"/>
      <c r="Q5177" s="1059"/>
      <c r="R5177" s="1059"/>
    </row>
    <row r="5178" spans="1:22" s="497" customFormat="1" ht="17.399999999999999">
      <c r="A5178" s="549"/>
      <c r="B5178" s="549"/>
      <c r="C5178" s="549"/>
      <c r="D5178" s="549"/>
      <c r="E5178" s="549"/>
      <c r="F5178" s="549"/>
      <c r="G5178" s="549"/>
      <c r="H5178" s="549"/>
      <c r="I5178" s="558"/>
      <c r="J5178" s="567"/>
      <c r="K5178" s="648">
        <f>SUM(K5156:K5177)/2</f>
        <v>280</v>
      </c>
      <c r="L5178" s="567">
        <f>SUM(L5156:L5177)/2</f>
        <v>56.875999999999991</v>
      </c>
      <c r="M5178" s="549"/>
      <c r="N5178" s="549"/>
      <c r="O5178" s="549"/>
      <c r="P5178" s="549"/>
      <c r="Q5178" s="1059"/>
      <c r="R5178" s="1059"/>
      <c r="T5178" s="567">
        <f>SUM(T5156:T5177)/2</f>
        <v>38.704000000000008</v>
      </c>
      <c r="V5178" s="567">
        <f>SUM(V5156:V5177)/2</f>
        <v>18.839880000000001</v>
      </c>
    </row>
    <row r="5179" spans="1:22" s="497" customFormat="1" ht="17.399999999999999">
      <c r="A5179" s="549"/>
      <c r="B5179" s="549"/>
      <c r="C5179" s="549"/>
      <c r="D5179" s="549"/>
      <c r="E5179" s="549"/>
      <c r="F5179" s="549"/>
      <c r="G5179" s="549"/>
      <c r="H5179" s="549"/>
      <c r="I5179" s="558"/>
      <c r="J5179" s="567"/>
      <c r="K5179" s="648"/>
      <c r="L5179" s="567"/>
      <c r="M5179" s="549"/>
      <c r="N5179" s="549"/>
      <c r="O5179" s="549"/>
      <c r="P5179" s="549"/>
      <c r="Q5179" s="1059"/>
      <c r="R5179" s="1059"/>
    </row>
    <row r="5180" spans="1:22" s="497" customFormat="1" ht="17.399999999999999">
      <c r="A5180" s="549"/>
      <c r="B5180" s="549"/>
      <c r="C5180" s="549"/>
      <c r="D5180" s="549"/>
      <c r="E5180" s="549"/>
      <c r="F5180" s="549"/>
      <c r="G5180" s="549"/>
      <c r="H5180" s="549"/>
      <c r="I5180" s="558"/>
      <c r="J5180" s="567"/>
      <c r="K5180" s="648"/>
      <c r="L5180" s="567"/>
      <c r="M5180" s="549"/>
      <c r="N5180" s="549"/>
      <c r="O5180" s="549"/>
      <c r="P5180" s="549"/>
      <c r="Q5180" s="1059"/>
      <c r="R5180" s="1059"/>
    </row>
    <row r="5181" spans="1:22" ht="17.399999999999999">
      <c r="A5181" s="547" t="s">
        <v>445</v>
      </c>
      <c r="B5181" s="547" t="s">
        <v>487</v>
      </c>
      <c r="C5181" s="547" t="s">
        <v>19</v>
      </c>
      <c r="D5181" s="547" t="s">
        <v>20</v>
      </c>
      <c r="E5181" s="547" t="s">
        <v>47</v>
      </c>
      <c r="F5181" s="549">
        <v>14</v>
      </c>
      <c r="G5181" s="549" t="s">
        <v>21</v>
      </c>
      <c r="H5181" s="599" t="s">
        <v>125</v>
      </c>
      <c r="I5181" s="558">
        <v>21.7</v>
      </c>
      <c r="J5181" s="567">
        <v>8.6999999999999993</v>
      </c>
      <c r="K5181" s="648">
        <v>21</v>
      </c>
      <c r="L5181" s="552">
        <f t="shared" ref="L5181:L5183" si="1038">(I5181*J5181*K5181/1000)</f>
        <v>3.9645899999999998</v>
      </c>
      <c r="M5181" s="549">
        <v>4</v>
      </c>
      <c r="N5181" s="549">
        <f t="shared" ref="N5181:N5183" si="1039">J5181*M5181*I5181/1000</f>
        <v>0.75515999999999994</v>
      </c>
      <c r="O5181" s="549"/>
      <c r="P5181" s="549"/>
      <c r="Q5181" s="1059"/>
      <c r="R5181" s="1059"/>
      <c r="S5181" s="497" t="s">
        <v>601</v>
      </c>
    </row>
    <row r="5182" spans="1:22" ht="17.399999999999999">
      <c r="A5182" s="547"/>
      <c r="B5182" s="752" t="s">
        <v>439</v>
      </c>
      <c r="C5182" s="547"/>
      <c r="D5182" s="547"/>
      <c r="E5182" s="547"/>
      <c r="F5182" s="549"/>
      <c r="G5182" s="550" t="s">
        <v>21</v>
      </c>
      <c r="H5182" s="550" t="s">
        <v>125</v>
      </c>
      <c r="I5182" s="551">
        <v>21.7</v>
      </c>
      <c r="J5182" s="765">
        <v>11.2</v>
      </c>
      <c r="K5182" s="766">
        <v>22</v>
      </c>
      <c r="L5182" s="552">
        <f t="shared" si="1038"/>
        <v>5.3468799999999996</v>
      </c>
      <c r="M5182" s="549">
        <v>1</v>
      </c>
      <c r="N5182" s="549">
        <f t="shared" si="1039"/>
        <v>0.24303999999999995</v>
      </c>
      <c r="O5182" s="549"/>
      <c r="P5182" s="549"/>
      <c r="Q5182" s="1059"/>
      <c r="R5182" s="1059"/>
    </row>
    <row r="5183" spans="1:22" ht="17.399999999999999">
      <c r="A5183" s="549"/>
      <c r="B5183" s="549"/>
      <c r="C5183" s="549"/>
      <c r="D5183" s="549"/>
      <c r="E5183" s="549"/>
      <c r="F5183" s="549"/>
      <c r="G5183" s="550" t="s">
        <v>21</v>
      </c>
      <c r="H5183" s="550" t="s">
        <v>125</v>
      </c>
      <c r="I5183" s="551">
        <v>21.7</v>
      </c>
      <c r="J5183" s="765">
        <v>12</v>
      </c>
      <c r="K5183" s="766">
        <v>2</v>
      </c>
      <c r="L5183" s="552">
        <f t="shared" si="1038"/>
        <v>0.52079999999999993</v>
      </c>
      <c r="M5183" s="549">
        <v>1</v>
      </c>
      <c r="N5183" s="549">
        <f t="shared" si="1039"/>
        <v>0.26039999999999996</v>
      </c>
      <c r="O5183" s="549"/>
      <c r="P5183" s="549"/>
      <c r="Q5183" s="1059"/>
      <c r="R5183" s="1059"/>
    </row>
    <row r="5184" spans="1:22" ht="17.399999999999999">
      <c r="A5184" s="549"/>
      <c r="B5184" s="549"/>
      <c r="C5184" s="549"/>
      <c r="D5184" s="549"/>
      <c r="E5184" s="549"/>
      <c r="F5184" s="549"/>
      <c r="G5184" s="549"/>
      <c r="H5184" s="549"/>
      <c r="I5184" s="558"/>
      <c r="J5184" s="567"/>
      <c r="K5184" s="648">
        <f t="shared" ref="K5184:N5184" si="1040">SUM(K5181:K5183)</f>
        <v>45</v>
      </c>
      <c r="L5184" s="567">
        <f t="shared" si="1040"/>
        <v>9.8322699999999994</v>
      </c>
      <c r="M5184" s="648">
        <f t="shared" si="1040"/>
        <v>6</v>
      </c>
      <c r="N5184" s="567">
        <f t="shared" si="1040"/>
        <v>1.2585999999999999</v>
      </c>
      <c r="O5184" s="549"/>
      <c r="P5184" s="549"/>
      <c r="Q5184" s="1059"/>
      <c r="R5184" s="1059"/>
    </row>
    <row r="5185" spans="1:21" s="497" customFormat="1" ht="17.399999999999999">
      <c r="A5185" s="549"/>
      <c r="B5185" s="549"/>
      <c r="C5185" s="549"/>
      <c r="D5185" s="549"/>
      <c r="E5185" s="549"/>
      <c r="F5185" s="549"/>
      <c r="G5185" s="549"/>
      <c r="H5185" s="549"/>
      <c r="I5185" s="558"/>
      <c r="J5185" s="567"/>
      <c r="K5185" s="648"/>
      <c r="L5185" s="567"/>
      <c r="M5185" s="549"/>
      <c r="N5185" s="549"/>
      <c r="O5185" s="549"/>
      <c r="P5185" s="549"/>
      <c r="Q5185" s="1059"/>
      <c r="R5185" s="1059"/>
    </row>
    <row r="5186" spans="1:21" ht="17.399999999999999">
      <c r="A5186" s="547" t="s">
        <v>445</v>
      </c>
      <c r="B5186" s="547" t="s">
        <v>488</v>
      </c>
      <c r="C5186" s="547" t="s">
        <v>19</v>
      </c>
      <c r="D5186" s="547" t="s">
        <v>20</v>
      </c>
      <c r="E5186" s="547" t="s">
        <v>47</v>
      </c>
      <c r="F5186" s="549">
        <v>14</v>
      </c>
      <c r="G5186" s="549" t="s">
        <v>21</v>
      </c>
      <c r="H5186" s="599" t="s">
        <v>125</v>
      </c>
      <c r="I5186" s="558">
        <v>21.7</v>
      </c>
      <c r="J5186" s="567">
        <v>12</v>
      </c>
      <c r="K5186" s="648">
        <v>8</v>
      </c>
      <c r="L5186" s="552">
        <f>(I5186*J5186*K5186/1000)</f>
        <v>2.0831999999999997</v>
      </c>
      <c r="M5186" s="549"/>
      <c r="N5186" s="549">
        <f t="shared" ref="N5186:N5187" si="1041">J5186*M5186*I5186/1000</f>
        <v>0</v>
      </c>
      <c r="O5186" s="549"/>
      <c r="P5186" s="549"/>
      <c r="Q5186" s="1059"/>
      <c r="R5186" s="1059"/>
      <c r="S5186" s="497" t="s">
        <v>601</v>
      </c>
    </row>
    <row r="5187" spans="1:21" ht="17.399999999999999">
      <c r="A5187" s="547"/>
      <c r="B5187" s="752" t="s">
        <v>439</v>
      </c>
      <c r="C5187" s="547"/>
      <c r="D5187" s="547"/>
      <c r="E5187" s="547"/>
      <c r="F5187" s="549"/>
      <c r="G5187" s="549"/>
      <c r="H5187" s="549"/>
      <c r="I5187" s="558"/>
      <c r="J5187" s="567"/>
      <c r="K5187" s="648">
        <f t="shared" ref="K5187" si="1042">SUM(K5186)</f>
        <v>8</v>
      </c>
      <c r="L5187" s="567">
        <f>SUM(L5186)</f>
        <v>2.0831999999999997</v>
      </c>
      <c r="M5187" s="549"/>
      <c r="N5187" s="549">
        <f t="shared" si="1041"/>
        <v>0</v>
      </c>
      <c r="O5187" s="549"/>
      <c r="P5187" s="549"/>
      <c r="Q5187" s="1059"/>
      <c r="R5187" s="1059"/>
    </row>
    <row r="5188" spans="1:21" s="497" customFormat="1" ht="17.399999999999999">
      <c r="A5188" s="547"/>
      <c r="B5188" s="752"/>
      <c r="C5188" s="547"/>
      <c r="D5188" s="547"/>
      <c r="E5188" s="547"/>
      <c r="F5188" s="549"/>
      <c r="G5188" s="549"/>
      <c r="H5188" s="549"/>
      <c r="I5188" s="558"/>
      <c r="J5188" s="567"/>
      <c r="K5188" s="648">
        <f>SUM(K5181:K5187)/2</f>
        <v>53</v>
      </c>
      <c r="L5188" s="567">
        <f>SUM(L5181:L5187)/2</f>
        <v>11.915469999999999</v>
      </c>
      <c r="M5188" s="648">
        <f>SUM(M5181:M5187)/2</f>
        <v>6</v>
      </c>
      <c r="N5188" s="567">
        <f>SUM(N5181:N5187)/2</f>
        <v>1.2585999999999999</v>
      </c>
      <c r="O5188" s="549"/>
      <c r="P5188" s="549"/>
      <c r="Q5188" s="1059"/>
      <c r="R5188" s="1059"/>
    </row>
    <row r="5189" spans="1:21" s="497" customFormat="1" ht="17.399999999999999">
      <c r="A5189" s="547"/>
      <c r="B5189" s="752"/>
      <c r="C5189" s="547"/>
      <c r="D5189" s="547"/>
      <c r="E5189" s="547"/>
      <c r="F5189" s="549"/>
      <c r="G5189" s="549"/>
      <c r="H5189" s="549"/>
      <c r="I5189" s="558"/>
      <c r="J5189" s="567"/>
      <c r="K5189" s="648"/>
      <c r="L5189" s="567"/>
      <c r="M5189" s="549"/>
      <c r="N5189" s="549"/>
      <c r="O5189" s="549"/>
      <c r="P5189" s="549"/>
      <c r="Q5189" s="1059"/>
      <c r="R5189" s="1059"/>
    </row>
    <row r="5190" spans="1:21" ht="17.399999999999999">
      <c r="A5190" s="547" t="s">
        <v>445</v>
      </c>
      <c r="B5190" s="547" t="s">
        <v>487</v>
      </c>
      <c r="C5190" s="547" t="s">
        <v>19</v>
      </c>
      <c r="D5190" s="547" t="s">
        <v>20</v>
      </c>
      <c r="E5190" s="547" t="s">
        <v>47</v>
      </c>
      <c r="F5190" s="549">
        <v>14</v>
      </c>
      <c r="G5190" s="549" t="s">
        <v>21</v>
      </c>
      <c r="H5190" s="599" t="s">
        <v>124</v>
      </c>
      <c r="I5190" s="558">
        <v>19.8</v>
      </c>
      <c r="J5190" s="567">
        <v>6.1</v>
      </c>
      <c r="K5190" s="648">
        <v>22</v>
      </c>
      <c r="L5190" s="552">
        <f t="shared" ref="L5190:L5195" si="1043">(I5190*J5190*K5190/1000)</f>
        <v>2.6571599999999997</v>
      </c>
      <c r="M5190" s="549"/>
      <c r="N5190" s="549"/>
      <c r="O5190" s="549"/>
      <c r="P5190" s="549"/>
      <c r="Q5190" s="1059"/>
      <c r="R5190" s="1059"/>
      <c r="S5190">
        <v>4</v>
      </c>
      <c r="T5190" s="126">
        <f>J5190*S5190*I5190/1000</f>
        <v>0.48311999999999999</v>
      </c>
      <c r="U5190" s="497" t="s">
        <v>601</v>
      </c>
    </row>
    <row r="5191" spans="1:21" ht="17.399999999999999">
      <c r="A5191" s="547"/>
      <c r="B5191" s="752" t="s">
        <v>439</v>
      </c>
      <c r="C5191" s="547"/>
      <c r="D5191" s="547"/>
      <c r="E5191" s="547"/>
      <c r="F5191" s="549"/>
      <c r="G5191" s="549" t="s">
        <v>21</v>
      </c>
      <c r="H5191" s="549" t="s">
        <v>124</v>
      </c>
      <c r="I5191" s="558">
        <v>19.8</v>
      </c>
      <c r="J5191" s="567">
        <v>6.6</v>
      </c>
      <c r="K5191" s="648">
        <v>11</v>
      </c>
      <c r="L5191" s="552">
        <f t="shared" si="1043"/>
        <v>1.4374800000000001</v>
      </c>
      <c r="M5191" s="549"/>
      <c r="N5191" s="549"/>
      <c r="O5191" s="549"/>
      <c r="P5191" s="549"/>
      <c r="Q5191" s="1059"/>
      <c r="R5191" s="1059"/>
      <c r="S5191">
        <v>2</v>
      </c>
      <c r="T5191" s="126">
        <f t="shared" ref="T5191:T5195" si="1044">J5191*S5191*I5191/1000</f>
        <v>0.26136000000000004</v>
      </c>
    </row>
    <row r="5192" spans="1:21" ht="17.399999999999999">
      <c r="A5192" s="549"/>
      <c r="B5192" s="549"/>
      <c r="C5192" s="549"/>
      <c r="D5192" s="549"/>
      <c r="E5192" s="549"/>
      <c r="F5192" s="549"/>
      <c r="G5192" s="549" t="s">
        <v>21</v>
      </c>
      <c r="H5192" s="549" t="s">
        <v>124</v>
      </c>
      <c r="I5192" s="558">
        <v>19.8</v>
      </c>
      <c r="J5192" s="567">
        <v>9.6</v>
      </c>
      <c r="K5192" s="648">
        <v>19</v>
      </c>
      <c r="L5192" s="552">
        <f t="shared" si="1043"/>
        <v>3.6115200000000005</v>
      </c>
      <c r="M5192" s="549"/>
      <c r="N5192" s="549"/>
      <c r="O5192" s="549"/>
      <c r="P5192" s="549"/>
      <c r="Q5192" s="1059"/>
      <c r="R5192" s="1059"/>
      <c r="S5192">
        <v>3</v>
      </c>
      <c r="T5192" s="126">
        <f t="shared" si="1044"/>
        <v>0.57023999999999997</v>
      </c>
    </row>
    <row r="5193" spans="1:21" ht="17.399999999999999">
      <c r="A5193" s="549"/>
      <c r="B5193" s="549"/>
      <c r="C5193" s="549"/>
      <c r="D5193" s="549"/>
      <c r="E5193" s="549"/>
      <c r="F5193" s="549"/>
      <c r="G5193" s="549" t="s">
        <v>21</v>
      </c>
      <c r="H5193" s="549" t="s">
        <v>124</v>
      </c>
      <c r="I5193" s="558">
        <v>19.8</v>
      </c>
      <c r="J5193" s="567">
        <v>10.5</v>
      </c>
      <c r="K5193" s="648">
        <v>3</v>
      </c>
      <c r="L5193" s="552">
        <f t="shared" si="1043"/>
        <v>0.62370000000000003</v>
      </c>
      <c r="M5193" s="549"/>
      <c r="N5193" s="549"/>
      <c r="O5193" s="549"/>
      <c r="P5193" s="549"/>
      <c r="Q5193" s="1059"/>
      <c r="R5193" s="1059"/>
      <c r="S5193">
        <v>3</v>
      </c>
      <c r="T5193" s="126">
        <f t="shared" si="1044"/>
        <v>0.62370000000000003</v>
      </c>
    </row>
    <row r="5194" spans="1:21" ht="17.399999999999999">
      <c r="A5194" s="549"/>
      <c r="B5194" s="549"/>
      <c r="C5194" s="549"/>
      <c r="D5194" s="549"/>
      <c r="E5194" s="549"/>
      <c r="F5194" s="549"/>
      <c r="G5194" s="549" t="s">
        <v>21</v>
      </c>
      <c r="H5194" s="549" t="s">
        <v>124</v>
      </c>
      <c r="I5194" s="558">
        <v>19.8</v>
      </c>
      <c r="J5194" s="567">
        <v>11.5</v>
      </c>
      <c r="K5194" s="648">
        <v>55</v>
      </c>
      <c r="L5194" s="552">
        <f t="shared" si="1043"/>
        <v>12.523500000000002</v>
      </c>
      <c r="M5194" s="549"/>
      <c r="N5194" s="549"/>
      <c r="O5194" s="549"/>
      <c r="P5194" s="549"/>
      <c r="Q5194" s="1059"/>
      <c r="R5194" s="1059"/>
      <c r="S5194">
        <f>15+14+14+10</f>
        <v>53</v>
      </c>
      <c r="T5194" s="126">
        <f t="shared" si="1044"/>
        <v>12.068100000000001</v>
      </c>
    </row>
    <row r="5195" spans="1:21" ht="17.399999999999999">
      <c r="A5195" s="549"/>
      <c r="B5195" s="549"/>
      <c r="C5195" s="549"/>
      <c r="D5195" s="549"/>
      <c r="E5195" s="549"/>
      <c r="F5195" s="549"/>
      <c r="G5195" s="549" t="s">
        <v>21</v>
      </c>
      <c r="H5195" s="549" t="s">
        <v>124</v>
      </c>
      <c r="I5195" s="558">
        <v>19.8</v>
      </c>
      <c r="J5195" s="567">
        <v>12</v>
      </c>
      <c r="K5195" s="648">
        <v>3</v>
      </c>
      <c r="L5195" s="552">
        <f t="shared" si="1043"/>
        <v>0.7128000000000001</v>
      </c>
      <c r="M5195" s="549"/>
      <c r="N5195" s="549"/>
      <c r="O5195" s="549"/>
      <c r="P5195" s="549"/>
      <c r="Q5195" s="1059"/>
      <c r="R5195" s="1059"/>
      <c r="T5195" s="126">
        <f t="shared" si="1044"/>
        <v>0</v>
      </c>
    </row>
    <row r="5196" spans="1:21" ht="17.399999999999999">
      <c r="A5196" s="549"/>
      <c r="B5196" s="549"/>
      <c r="C5196" s="549"/>
      <c r="D5196" s="549"/>
      <c r="E5196" s="549"/>
      <c r="F5196" s="549"/>
      <c r="G5196" s="549"/>
      <c r="H5196" s="549"/>
      <c r="I5196" s="558"/>
      <c r="J5196" s="567"/>
      <c r="K5196" s="648">
        <f t="shared" ref="K5196:L5196" si="1045">SUM(K5190:K5195)</f>
        <v>113</v>
      </c>
      <c r="L5196" s="567">
        <f t="shared" si="1045"/>
        <v>21.566160000000004</v>
      </c>
      <c r="M5196" s="549"/>
      <c r="N5196" s="549"/>
      <c r="O5196" s="549"/>
      <c r="P5196" s="549"/>
      <c r="Q5196" s="549"/>
      <c r="R5196" s="549"/>
      <c r="S5196" s="648">
        <f t="shared" ref="S5196:T5196" si="1046">SUM(S5190:S5195)</f>
        <v>65</v>
      </c>
      <c r="T5196" s="567">
        <f t="shared" si="1046"/>
        <v>14.006520000000002</v>
      </c>
    </row>
    <row r="5197" spans="1:21" s="497" customFormat="1" ht="17.399999999999999">
      <c r="A5197" s="549"/>
      <c r="B5197" s="549"/>
      <c r="C5197" s="549"/>
      <c r="D5197" s="549"/>
      <c r="E5197" s="549"/>
      <c r="F5197" s="549"/>
      <c r="G5197" s="549"/>
      <c r="H5197" s="549"/>
      <c r="I5197" s="558"/>
      <c r="J5197" s="567"/>
      <c r="K5197" s="648"/>
      <c r="L5197" s="567"/>
      <c r="M5197" s="549"/>
      <c r="N5197" s="549"/>
      <c r="O5197" s="549"/>
      <c r="P5197" s="549"/>
      <c r="Q5197" s="1059"/>
      <c r="R5197" s="1059"/>
    </row>
    <row r="5198" spans="1:21" ht="17.399999999999999">
      <c r="A5198" s="547" t="s">
        <v>445</v>
      </c>
      <c r="B5198" s="547" t="s">
        <v>488</v>
      </c>
      <c r="C5198" s="547" t="s">
        <v>19</v>
      </c>
      <c r="D5198" s="547" t="s">
        <v>20</v>
      </c>
      <c r="E5198" s="547" t="s">
        <v>47</v>
      </c>
      <c r="F5198" s="549">
        <v>14</v>
      </c>
      <c r="G5198" s="549" t="s">
        <v>21</v>
      </c>
      <c r="H5198" s="599" t="s">
        <v>124</v>
      </c>
      <c r="I5198" s="558">
        <v>19.8</v>
      </c>
      <c r="J5198" s="567">
        <v>6.6</v>
      </c>
      <c r="K5198" s="648">
        <v>11</v>
      </c>
      <c r="L5198" s="552">
        <f t="shared" ref="L5198:L5204" si="1047">(I5198*J5198*K5198/1000)</f>
        <v>1.4374800000000001</v>
      </c>
      <c r="M5198" s="549"/>
      <c r="N5198" s="549"/>
      <c r="O5198" s="549"/>
      <c r="P5198" s="549"/>
      <c r="Q5198" s="1059"/>
      <c r="R5198" s="1059"/>
      <c r="T5198" s="126">
        <f t="shared" ref="T5198:T5204" si="1048">J5198*S5198*I5198/1000</f>
        <v>0</v>
      </c>
      <c r="U5198" s="497" t="s">
        <v>601</v>
      </c>
    </row>
    <row r="5199" spans="1:21" ht="17.399999999999999">
      <c r="A5199" s="547"/>
      <c r="B5199" s="752" t="s">
        <v>439</v>
      </c>
      <c r="C5199" s="547"/>
      <c r="D5199" s="547"/>
      <c r="E5199" s="547"/>
      <c r="F5199" s="549"/>
      <c r="G5199" s="549" t="s">
        <v>21</v>
      </c>
      <c r="H5199" s="549" t="s">
        <v>124</v>
      </c>
      <c r="I5199" s="558">
        <v>19.8</v>
      </c>
      <c r="J5199" s="567">
        <v>8</v>
      </c>
      <c r="K5199" s="648">
        <v>18</v>
      </c>
      <c r="L5199" s="552">
        <f t="shared" si="1047"/>
        <v>2.8512000000000004</v>
      </c>
      <c r="M5199" s="549"/>
      <c r="N5199" s="549"/>
      <c r="O5199" s="549"/>
      <c r="P5199" s="549"/>
      <c r="Q5199" s="1059"/>
      <c r="R5199" s="1059"/>
      <c r="S5199">
        <v>8</v>
      </c>
      <c r="T5199" s="126">
        <f t="shared" si="1048"/>
        <v>1.2672000000000001</v>
      </c>
    </row>
    <row r="5200" spans="1:21" ht="17.399999999999999">
      <c r="A5200" s="549"/>
      <c r="B5200" s="549"/>
      <c r="C5200" s="549"/>
      <c r="D5200" s="549"/>
      <c r="E5200" s="549"/>
      <c r="F5200" s="549"/>
      <c r="G5200" s="549" t="s">
        <v>21</v>
      </c>
      <c r="H5200" s="549" t="s">
        <v>124</v>
      </c>
      <c r="I5200" s="558">
        <v>19.8</v>
      </c>
      <c r="J5200" s="567">
        <v>9.6</v>
      </c>
      <c r="K5200" s="648">
        <v>8</v>
      </c>
      <c r="L5200" s="552">
        <f t="shared" si="1047"/>
        <v>1.52064</v>
      </c>
      <c r="M5200" s="549"/>
      <c r="N5200" s="549"/>
      <c r="O5200" s="549"/>
      <c r="P5200" s="549"/>
      <c r="Q5200" s="1059"/>
      <c r="R5200" s="1059"/>
      <c r="T5200" s="126">
        <f t="shared" si="1048"/>
        <v>0</v>
      </c>
    </row>
    <row r="5201" spans="1:21" ht="17.399999999999999">
      <c r="A5201" s="549"/>
      <c r="B5201" s="549"/>
      <c r="C5201" s="549"/>
      <c r="D5201" s="549"/>
      <c r="E5201" s="549"/>
      <c r="F5201" s="549"/>
      <c r="G5201" s="549" t="s">
        <v>21</v>
      </c>
      <c r="H5201" s="549" t="s">
        <v>124</v>
      </c>
      <c r="I5201" s="558">
        <v>19.8</v>
      </c>
      <c r="J5201" s="567">
        <v>10.5</v>
      </c>
      <c r="K5201" s="648">
        <v>19</v>
      </c>
      <c r="L5201" s="552">
        <f t="shared" si="1047"/>
        <v>3.9500999999999999</v>
      </c>
      <c r="M5201" s="549"/>
      <c r="N5201" s="549"/>
      <c r="O5201" s="549"/>
      <c r="P5201" s="549"/>
      <c r="Q5201" s="1059"/>
      <c r="R5201" s="1059"/>
      <c r="T5201" s="126">
        <f t="shared" si="1048"/>
        <v>0</v>
      </c>
    </row>
    <row r="5202" spans="1:21" ht="17.399999999999999">
      <c r="A5202" s="549"/>
      <c r="B5202" s="549"/>
      <c r="C5202" s="549"/>
      <c r="D5202" s="549"/>
      <c r="E5202" s="549"/>
      <c r="F5202" s="549"/>
      <c r="G5202" s="549" t="s">
        <v>21</v>
      </c>
      <c r="H5202" s="549" t="s">
        <v>124</v>
      </c>
      <c r="I5202" s="558">
        <v>19.8</v>
      </c>
      <c r="J5202" s="567">
        <v>10.8</v>
      </c>
      <c r="K5202" s="648">
        <v>4</v>
      </c>
      <c r="L5202" s="552">
        <f t="shared" si="1047"/>
        <v>0.85536000000000012</v>
      </c>
      <c r="M5202" s="549"/>
      <c r="N5202" s="549"/>
      <c r="O5202" s="549"/>
      <c r="P5202" s="549"/>
      <c r="Q5202" s="1059"/>
      <c r="R5202" s="1059"/>
      <c r="T5202" s="126">
        <f t="shared" si="1048"/>
        <v>0</v>
      </c>
    </row>
    <row r="5203" spans="1:21" ht="17.399999999999999">
      <c r="A5203" s="549"/>
      <c r="B5203" s="549"/>
      <c r="C5203" s="549"/>
      <c r="D5203" s="549"/>
      <c r="E5203" s="549"/>
      <c r="F5203" s="549"/>
      <c r="G5203" s="549" t="s">
        <v>21</v>
      </c>
      <c r="H5203" s="549" t="s">
        <v>124</v>
      </c>
      <c r="I5203" s="558">
        <v>19.8</v>
      </c>
      <c r="J5203" s="567">
        <v>11.5</v>
      </c>
      <c r="K5203" s="648">
        <v>19</v>
      </c>
      <c r="L5203" s="552">
        <f t="shared" si="1047"/>
        <v>4.3262999999999998</v>
      </c>
      <c r="M5203" s="549"/>
      <c r="N5203" s="549"/>
      <c r="O5203" s="549"/>
      <c r="P5203" s="549"/>
      <c r="Q5203" s="1059"/>
      <c r="R5203" s="1059"/>
      <c r="T5203" s="126">
        <f t="shared" si="1048"/>
        <v>0</v>
      </c>
    </row>
    <row r="5204" spans="1:21" ht="17.399999999999999">
      <c r="A5204" s="549"/>
      <c r="B5204" s="549"/>
      <c r="C5204" s="549"/>
      <c r="D5204" s="549"/>
      <c r="E5204" s="549"/>
      <c r="F5204" s="549"/>
      <c r="G5204" s="549" t="s">
        <v>21</v>
      </c>
      <c r="H5204" s="549" t="s">
        <v>124</v>
      </c>
      <c r="I5204" s="558">
        <v>19.8</v>
      </c>
      <c r="J5204" s="567">
        <v>12</v>
      </c>
      <c r="K5204" s="648">
        <v>33</v>
      </c>
      <c r="L5204" s="552">
        <f t="shared" si="1047"/>
        <v>7.8408000000000007</v>
      </c>
      <c r="M5204" s="549"/>
      <c r="N5204" s="549"/>
      <c r="O5204" s="549"/>
      <c r="P5204" s="549"/>
      <c r="Q5204" s="1059"/>
      <c r="R5204" s="1059"/>
      <c r="S5204">
        <v>8</v>
      </c>
      <c r="T5204" s="126">
        <f t="shared" si="1048"/>
        <v>1.9008000000000003</v>
      </c>
    </row>
    <row r="5205" spans="1:21" ht="17.399999999999999">
      <c r="A5205" s="549"/>
      <c r="B5205" s="549"/>
      <c r="C5205" s="549"/>
      <c r="D5205" s="549"/>
      <c r="E5205" s="549"/>
      <c r="F5205" s="549"/>
      <c r="G5205" s="549"/>
      <c r="H5205" s="549"/>
      <c r="I5205" s="558"/>
      <c r="J5205" s="567"/>
      <c r="K5205" s="648">
        <f t="shared" ref="K5205:L5205" si="1049">SUM(K5198:K5204)</f>
        <v>112</v>
      </c>
      <c r="L5205" s="567">
        <f t="shared" si="1049"/>
        <v>22.781880000000001</v>
      </c>
      <c r="M5205" s="549"/>
      <c r="N5205" s="549"/>
      <c r="O5205" s="549"/>
      <c r="P5205" s="549"/>
      <c r="Q5205" s="549"/>
      <c r="R5205" s="549"/>
      <c r="S5205" s="648">
        <f t="shared" ref="S5205" si="1050">SUM(S5198:S5204)</f>
        <v>16</v>
      </c>
      <c r="T5205" s="567">
        <f>SUM(T5198:T5204)</f>
        <v>3.1680000000000001</v>
      </c>
    </row>
    <row r="5206" spans="1:21" s="497" customFormat="1" ht="17.399999999999999">
      <c r="A5206" s="549"/>
      <c r="B5206" s="549"/>
      <c r="C5206" s="549"/>
      <c r="D5206" s="549"/>
      <c r="E5206" s="549"/>
      <c r="F5206" s="549"/>
      <c r="G5206" s="549"/>
      <c r="H5206" s="549"/>
      <c r="I5206" s="558"/>
      <c r="J5206" s="567"/>
      <c r="K5206" s="648">
        <f>SUM(K5190:K5205)/2</f>
        <v>225</v>
      </c>
      <c r="L5206" s="567">
        <f>SUM(L5190:L5205)/2</f>
        <v>44.348040000000005</v>
      </c>
      <c r="M5206" s="549"/>
      <c r="N5206" s="549"/>
      <c r="O5206" s="549"/>
      <c r="P5206" s="549"/>
      <c r="Q5206" s="1059"/>
      <c r="R5206" s="1059"/>
      <c r="T5206" s="567">
        <f>SUM(T5190:T5205)/2</f>
        <v>17.174520000000001</v>
      </c>
    </row>
    <row r="5207" spans="1:21" s="497" customFormat="1" ht="17.399999999999999">
      <c r="A5207" s="549"/>
      <c r="B5207" s="549"/>
      <c r="C5207" s="549"/>
      <c r="D5207" s="549"/>
      <c r="E5207" s="549"/>
      <c r="F5207" s="549"/>
      <c r="G5207" s="549"/>
      <c r="H5207" s="549"/>
      <c r="I5207" s="558"/>
      <c r="J5207" s="567"/>
      <c r="K5207" s="648"/>
      <c r="L5207" s="567"/>
      <c r="M5207" s="549"/>
      <c r="N5207" s="549"/>
      <c r="O5207" s="549"/>
      <c r="P5207" s="549"/>
      <c r="Q5207" s="1059"/>
      <c r="R5207" s="1059"/>
    </row>
    <row r="5208" spans="1:21" ht="17.399999999999999">
      <c r="A5208" s="547" t="s">
        <v>445</v>
      </c>
      <c r="B5208" s="547" t="s">
        <v>487</v>
      </c>
      <c r="C5208" s="547" t="s">
        <v>19</v>
      </c>
      <c r="D5208" s="547" t="s">
        <v>20</v>
      </c>
      <c r="E5208" s="547" t="s">
        <v>47</v>
      </c>
      <c r="F5208" s="549">
        <v>14</v>
      </c>
      <c r="G5208" s="549" t="s">
        <v>21</v>
      </c>
      <c r="H5208" s="599" t="s">
        <v>129</v>
      </c>
      <c r="I5208" s="558">
        <v>17.899999999999999</v>
      </c>
      <c r="J5208" s="567">
        <v>7.3</v>
      </c>
      <c r="K5208" s="648">
        <v>4</v>
      </c>
      <c r="L5208" s="552">
        <f t="shared" ref="L5208:L5212" si="1051">(I5208*J5208*K5208/1000)</f>
        <v>0.52267999999999992</v>
      </c>
      <c r="M5208" s="549"/>
      <c r="N5208" s="549"/>
      <c r="O5208" s="549"/>
      <c r="P5208" s="549"/>
      <c r="Q5208" s="1059"/>
      <c r="R5208" s="1059"/>
      <c r="T5208" s="126">
        <f t="shared" ref="T5208:T5212" si="1052">J5208*S5208*I5208/1000</f>
        <v>0</v>
      </c>
      <c r="U5208" s="497" t="s">
        <v>601</v>
      </c>
    </row>
    <row r="5209" spans="1:21" ht="17.399999999999999">
      <c r="A5209" s="547"/>
      <c r="B5209" s="752" t="s">
        <v>439</v>
      </c>
      <c r="C5209" s="547"/>
      <c r="D5209" s="547"/>
      <c r="E5209" s="547"/>
      <c r="F5209" s="549"/>
      <c r="G5209" s="549" t="s">
        <v>21</v>
      </c>
      <c r="H5209" s="549" t="s">
        <v>129</v>
      </c>
      <c r="I5209" s="558">
        <v>17.899999999999999</v>
      </c>
      <c r="J5209" s="567">
        <v>7.8</v>
      </c>
      <c r="K5209" s="648">
        <v>29</v>
      </c>
      <c r="L5209" s="552">
        <f t="shared" si="1051"/>
        <v>4.0489799999999994</v>
      </c>
      <c r="M5209" s="549">
        <v>4</v>
      </c>
      <c r="N5209" s="549">
        <f>J5209*M5209*I5209/1000</f>
        <v>0.55847999999999987</v>
      </c>
      <c r="O5209" s="549"/>
      <c r="P5209" s="549"/>
      <c r="Q5209" s="1059"/>
      <c r="R5209" s="1059"/>
      <c r="S5209">
        <v>1</v>
      </c>
      <c r="T5209" s="126">
        <f t="shared" si="1052"/>
        <v>0.13961999999999997</v>
      </c>
    </row>
    <row r="5210" spans="1:21" ht="17.399999999999999">
      <c r="A5210" s="549"/>
      <c r="B5210" s="549"/>
      <c r="C5210" s="549"/>
      <c r="D5210" s="549"/>
      <c r="E5210" s="549"/>
      <c r="F5210" s="549"/>
      <c r="G5210" s="549" t="s">
        <v>21</v>
      </c>
      <c r="H5210" s="549" t="s">
        <v>129</v>
      </c>
      <c r="I5210" s="558">
        <v>17.899999999999999</v>
      </c>
      <c r="J5210" s="567">
        <v>10</v>
      </c>
      <c r="K5210" s="648">
        <v>2</v>
      </c>
      <c r="L5210" s="552">
        <f t="shared" si="1051"/>
        <v>0.35799999999999998</v>
      </c>
      <c r="M5210" s="549"/>
      <c r="N5210" s="549"/>
      <c r="O5210" s="549"/>
      <c r="P5210" s="549"/>
      <c r="Q5210" s="1059"/>
      <c r="R5210" s="1059"/>
      <c r="S5210">
        <v>2</v>
      </c>
      <c r="T5210" s="126">
        <f t="shared" si="1052"/>
        <v>0.35799999999999998</v>
      </c>
    </row>
    <row r="5211" spans="1:21" ht="17.399999999999999">
      <c r="A5211" s="549"/>
      <c r="B5211" s="549"/>
      <c r="C5211" s="549"/>
      <c r="D5211" s="549"/>
      <c r="E5211" s="549"/>
      <c r="F5211" s="549"/>
      <c r="G5211" s="549" t="s">
        <v>21</v>
      </c>
      <c r="H5211" s="549" t="s">
        <v>129</v>
      </c>
      <c r="I5211" s="558">
        <v>17.899999999999999</v>
      </c>
      <c r="J5211" s="567">
        <v>11.3</v>
      </c>
      <c r="K5211" s="648">
        <v>38</v>
      </c>
      <c r="L5211" s="552">
        <f t="shared" si="1051"/>
        <v>7.6862599999999999</v>
      </c>
      <c r="M5211" s="549"/>
      <c r="N5211" s="549"/>
      <c r="O5211" s="549"/>
      <c r="P5211" s="549"/>
      <c r="Q5211" s="1059"/>
      <c r="R5211" s="1059"/>
      <c r="S5211">
        <v>2</v>
      </c>
      <c r="T5211" s="126">
        <f t="shared" si="1052"/>
        <v>0.40454000000000001</v>
      </c>
    </row>
    <row r="5212" spans="1:21" ht="17.399999999999999">
      <c r="A5212" s="549"/>
      <c r="B5212" s="549"/>
      <c r="C5212" s="549"/>
      <c r="D5212" s="549"/>
      <c r="E5212" s="549"/>
      <c r="F5212" s="549"/>
      <c r="G5212" s="549" t="s">
        <v>21</v>
      </c>
      <c r="H5212" s="549" t="s">
        <v>129</v>
      </c>
      <c r="I5212" s="558">
        <v>17.899999999999999</v>
      </c>
      <c r="J5212" s="567">
        <v>12</v>
      </c>
      <c r="K5212" s="648">
        <v>30</v>
      </c>
      <c r="L5212" s="552">
        <f t="shared" si="1051"/>
        <v>6.4439999999999991</v>
      </c>
      <c r="M5212" s="549"/>
      <c r="N5212" s="549"/>
      <c r="O5212" s="549"/>
      <c r="P5212" s="549"/>
      <c r="Q5212" s="1059"/>
      <c r="R5212" s="1059"/>
      <c r="S5212">
        <f>14+7+1</f>
        <v>22</v>
      </c>
      <c r="T5212" s="126">
        <f t="shared" si="1052"/>
        <v>4.7255999999999991</v>
      </c>
    </row>
    <row r="5213" spans="1:21" ht="17.399999999999999">
      <c r="A5213" s="549"/>
      <c r="B5213" s="549"/>
      <c r="C5213" s="549"/>
      <c r="D5213" s="549"/>
      <c r="E5213" s="549"/>
      <c r="F5213" s="549"/>
      <c r="G5213" s="549"/>
      <c r="H5213" s="549"/>
      <c r="I5213" s="558"/>
      <c r="J5213" s="567"/>
      <c r="K5213" s="648">
        <f t="shared" ref="K5213:N5213" si="1053">SUM(K5208:K5212)</f>
        <v>103</v>
      </c>
      <c r="L5213" s="567">
        <f t="shared" si="1053"/>
        <v>19.059919999999998</v>
      </c>
      <c r="M5213" s="648">
        <f t="shared" si="1053"/>
        <v>4</v>
      </c>
      <c r="N5213" s="567">
        <f t="shared" si="1053"/>
        <v>0.55847999999999987</v>
      </c>
      <c r="O5213" s="549"/>
      <c r="P5213" s="549"/>
      <c r="Q5213" s="549"/>
      <c r="R5213" s="549"/>
      <c r="S5213" s="648">
        <f t="shared" ref="S5213:T5213" si="1054">SUM(S5208:S5212)</f>
        <v>27</v>
      </c>
      <c r="T5213" s="567">
        <f t="shared" si="1054"/>
        <v>5.6277599999999994</v>
      </c>
    </row>
    <row r="5214" spans="1:21" ht="17.399999999999999">
      <c r="A5214" s="549"/>
      <c r="B5214" s="549"/>
      <c r="C5214" s="549"/>
      <c r="D5214" s="549"/>
      <c r="E5214" s="549"/>
      <c r="F5214" s="549"/>
      <c r="G5214" s="549"/>
      <c r="H5214" s="549"/>
      <c r="I5214" s="560"/>
      <c r="J5214" s="549"/>
      <c r="K5214" s="561"/>
      <c r="L5214" s="560"/>
      <c r="M5214" s="549"/>
      <c r="N5214" s="549"/>
      <c r="O5214" s="549"/>
      <c r="P5214" s="549"/>
      <c r="Q5214" s="1059"/>
      <c r="R5214" s="1059"/>
    </row>
    <row r="5215" spans="1:21" ht="17.399999999999999">
      <c r="A5215" s="547" t="s">
        <v>445</v>
      </c>
      <c r="B5215" s="547" t="s">
        <v>488</v>
      </c>
      <c r="C5215" s="547" t="s">
        <v>19</v>
      </c>
      <c r="D5215" s="547" t="s">
        <v>20</v>
      </c>
      <c r="E5215" s="547" t="s">
        <v>47</v>
      </c>
      <c r="F5215" s="549">
        <v>14</v>
      </c>
      <c r="G5215" s="549" t="s">
        <v>21</v>
      </c>
      <c r="H5215" s="599" t="s">
        <v>129</v>
      </c>
      <c r="I5215" s="558">
        <v>17.899999999999999</v>
      </c>
      <c r="J5215" s="567">
        <v>7.3</v>
      </c>
      <c r="K5215" s="648">
        <v>17</v>
      </c>
      <c r="L5215" s="552">
        <f t="shared" ref="L5215:L5218" si="1055">(I5215*J5215*K5215/1000)</f>
        <v>2.22139</v>
      </c>
      <c r="M5215" s="549">
        <v>8</v>
      </c>
      <c r="N5215" s="549">
        <f>J5215*M5215*I5215/1000</f>
        <v>1.0453599999999998</v>
      </c>
      <c r="O5215" s="549"/>
      <c r="P5215" s="549"/>
      <c r="Q5215" s="1059"/>
      <c r="R5215" s="1059"/>
      <c r="S5215">
        <f>2+5</f>
        <v>7</v>
      </c>
      <c r="T5215" s="126">
        <f t="shared" ref="T5215:T5218" si="1056">J5215*S5215*I5215/1000</f>
        <v>0.91468999999999989</v>
      </c>
      <c r="U5215" s="497" t="s">
        <v>601</v>
      </c>
    </row>
    <row r="5216" spans="1:21" ht="17.399999999999999">
      <c r="A5216" s="547"/>
      <c r="B5216" s="752" t="s">
        <v>439</v>
      </c>
      <c r="C5216" s="547"/>
      <c r="D5216" s="547"/>
      <c r="E5216" s="547"/>
      <c r="F5216" s="549"/>
      <c r="G5216" s="549" t="s">
        <v>21</v>
      </c>
      <c r="H5216" s="549" t="s">
        <v>129</v>
      </c>
      <c r="I5216" s="558">
        <v>17.899999999999999</v>
      </c>
      <c r="J5216" s="567">
        <v>10</v>
      </c>
      <c r="K5216" s="648">
        <v>15</v>
      </c>
      <c r="L5216" s="552">
        <f t="shared" si="1055"/>
        <v>2.6850000000000001</v>
      </c>
      <c r="M5216" s="549"/>
      <c r="N5216" s="549"/>
      <c r="O5216" s="549"/>
      <c r="P5216" s="549"/>
      <c r="Q5216" s="1059"/>
      <c r="R5216" s="1059"/>
      <c r="S5216">
        <f>1+1</f>
        <v>2</v>
      </c>
      <c r="T5216" s="126">
        <f t="shared" si="1056"/>
        <v>0.35799999999999998</v>
      </c>
    </row>
    <row r="5217" spans="1:20" ht="17.399999999999999">
      <c r="A5217" s="549"/>
      <c r="B5217" s="549"/>
      <c r="C5217" s="549"/>
      <c r="D5217" s="549"/>
      <c r="E5217" s="549"/>
      <c r="F5217" s="549"/>
      <c r="G5217" s="549" t="s">
        <v>21</v>
      </c>
      <c r="H5217" s="549" t="s">
        <v>129</v>
      </c>
      <c r="I5217" s="558">
        <v>17.899999999999999</v>
      </c>
      <c r="J5217" s="567">
        <v>11.3</v>
      </c>
      <c r="K5217" s="648">
        <v>2</v>
      </c>
      <c r="L5217" s="552">
        <f t="shared" si="1055"/>
        <v>0.40454000000000001</v>
      </c>
      <c r="M5217" s="549"/>
      <c r="N5217" s="549"/>
      <c r="O5217" s="549"/>
      <c r="P5217" s="549"/>
      <c r="Q5217" s="1059"/>
      <c r="R5217" s="1059"/>
      <c r="S5217">
        <v>2</v>
      </c>
      <c r="T5217" s="126">
        <f t="shared" si="1056"/>
        <v>0.40454000000000001</v>
      </c>
    </row>
    <row r="5218" spans="1:20" ht="17.399999999999999">
      <c r="A5218" s="549"/>
      <c r="B5218" s="549"/>
      <c r="C5218" s="549"/>
      <c r="D5218" s="549"/>
      <c r="E5218" s="549"/>
      <c r="F5218" s="549"/>
      <c r="G5218" s="549" t="s">
        <v>21</v>
      </c>
      <c r="H5218" s="549" t="s">
        <v>129</v>
      </c>
      <c r="I5218" s="558">
        <v>17.899999999999999</v>
      </c>
      <c r="J5218" s="567">
        <v>11.7</v>
      </c>
      <c r="K5218" s="648">
        <v>16</v>
      </c>
      <c r="L5218" s="552">
        <f t="shared" si="1055"/>
        <v>3.3508799999999996</v>
      </c>
      <c r="M5218" s="549"/>
      <c r="N5218" s="549"/>
      <c r="O5218" s="549"/>
      <c r="P5218" s="549"/>
      <c r="Q5218" s="1059"/>
      <c r="R5218" s="1059"/>
      <c r="S5218">
        <f>5+1</f>
        <v>6</v>
      </c>
      <c r="T5218" s="126">
        <f t="shared" si="1056"/>
        <v>1.2565799999999998</v>
      </c>
    </row>
    <row r="5219" spans="1:20" ht="17.399999999999999">
      <c r="A5219" s="549"/>
      <c r="B5219" s="549"/>
      <c r="C5219" s="549"/>
      <c r="D5219" s="549"/>
      <c r="E5219" s="549"/>
      <c r="F5219" s="549"/>
      <c r="G5219" s="549"/>
      <c r="H5219" s="549"/>
      <c r="I5219" s="558"/>
      <c r="J5219" s="567"/>
      <c r="K5219" s="648">
        <f t="shared" ref="K5219:N5219" si="1057">SUM(K5215:K5218)</f>
        <v>50</v>
      </c>
      <c r="L5219" s="567">
        <f t="shared" si="1057"/>
        <v>8.6618099999999991</v>
      </c>
      <c r="M5219" s="648">
        <f t="shared" si="1057"/>
        <v>8</v>
      </c>
      <c r="N5219" s="567">
        <f t="shared" si="1057"/>
        <v>1.0453599999999998</v>
      </c>
      <c r="O5219" s="549"/>
      <c r="P5219" s="549"/>
      <c r="Q5219" s="549"/>
      <c r="R5219" s="549"/>
      <c r="S5219" s="648">
        <f t="shared" ref="S5219" si="1058">SUM(S5215:S5218)</f>
        <v>17</v>
      </c>
      <c r="T5219" s="567">
        <f>SUM(T5215:T5218)</f>
        <v>2.9338099999999994</v>
      </c>
    </row>
    <row r="5220" spans="1:20" s="497" customFormat="1" ht="17.399999999999999">
      <c r="A5220" s="549"/>
      <c r="B5220" s="549"/>
      <c r="C5220" s="549"/>
      <c r="D5220" s="549"/>
      <c r="E5220" s="549"/>
      <c r="F5220" s="549"/>
      <c r="G5220" s="549"/>
      <c r="H5220" s="549"/>
      <c r="I5220" s="558"/>
      <c r="J5220" s="567"/>
      <c r="K5220" s="648">
        <f>SUM(K5208:K5219)/2</f>
        <v>153</v>
      </c>
      <c r="L5220" s="567">
        <f>SUM(L5208:L5219)/2</f>
        <v>27.721729999999994</v>
      </c>
      <c r="M5220" s="648">
        <f>SUM(M5208:M5219)/2</f>
        <v>12</v>
      </c>
      <c r="N5220" s="567">
        <f>SUM(N5208:N5219)/2</f>
        <v>1.6038399999999995</v>
      </c>
      <c r="O5220" s="549"/>
      <c r="P5220" s="549"/>
      <c r="Q5220" s="549"/>
      <c r="R5220" s="549"/>
      <c r="S5220" s="648">
        <f>SUM(S5208:S5219)/2</f>
        <v>44</v>
      </c>
      <c r="T5220" s="567">
        <f>SUM(T5208:T5219)/2</f>
        <v>8.5615699999999997</v>
      </c>
    </row>
    <row r="5221" spans="1:20" s="497" customFormat="1" ht="17.399999999999999">
      <c r="A5221" s="549"/>
      <c r="B5221" s="549"/>
      <c r="C5221" s="549"/>
      <c r="D5221" s="549"/>
      <c r="E5221" s="549"/>
      <c r="F5221" s="549"/>
      <c r="G5221" s="549"/>
      <c r="H5221" s="549"/>
      <c r="I5221" s="558"/>
      <c r="J5221" s="567"/>
      <c r="K5221" s="648"/>
      <c r="L5221" s="567"/>
      <c r="M5221" s="549"/>
      <c r="N5221" s="549"/>
      <c r="O5221" s="549"/>
      <c r="P5221" s="549"/>
      <c r="Q5221" s="1059"/>
      <c r="R5221" s="1059"/>
    </row>
    <row r="5222" spans="1:20" ht="17.399999999999999">
      <c r="A5222" s="549"/>
      <c r="B5222" s="549"/>
      <c r="C5222" s="549"/>
      <c r="D5222" s="549"/>
      <c r="E5222" s="549"/>
      <c r="F5222" s="549"/>
      <c r="G5222" s="549"/>
      <c r="H5222" s="549"/>
      <c r="I5222" s="560"/>
      <c r="J5222" s="549"/>
      <c r="K5222" s="561"/>
      <c r="L5222" s="560"/>
      <c r="M5222" s="549"/>
      <c r="N5222" s="549"/>
      <c r="O5222" s="549"/>
      <c r="P5222" s="549"/>
      <c r="Q5222" s="1059"/>
      <c r="R5222" s="1059"/>
    </row>
    <row r="5223" spans="1:20" ht="17.399999999999999">
      <c r="A5223" s="547" t="s">
        <v>445</v>
      </c>
      <c r="B5223" s="547" t="s">
        <v>488</v>
      </c>
      <c r="C5223" s="547" t="s">
        <v>19</v>
      </c>
      <c r="D5223" s="547" t="s">
        <v>20</v>
      </c>
      <c r="E5223" s="547" t="s">
        <v>47</v>
      </c>
      <c r="F5223" s="549">
        <v>14</v>
      </c>
      <c r="G5223" s="549" t="s">
        <v>21</v>
      </c>
      <c r="H5223" s="599" t="s">
        <v>128</v>
      </c>
      <c r="I5223" s="558">
        <v>16</v>
      </c>
      <c r="J5223" s="567">
        <v>7.3</v>
      </c>
      <c r="K5223" s="648">
        <v>3</v>
      </c>
      <c r="L5223" s="552">
        <f t="shared" ref="L5223:L5225" si="1059">(I5223*J5223*K5223/1000)</f>
        <v>0.35039999999999999</v>
      </c>
      <c r="M5223" s="549">
        <v>1</v>
      </c>
      <c r="N5223" s="549">
        <f t="shared" ref="N5223:N5224" si="1060">J5223*M5223*I5223/1000</f>
        <v>0.1168</v>
      </c>
      <c r="O5223" s="549"/>
      <c r="P5223" s="549"/>
      <c r="Q5223" s="1059"/>
      <c r="R5223" s="1059"/>
      <c r="S5223" s="497" t="s">
        <v>601</v>
      </c>
    </row>
    <row r="5224" spans="1:20" ht="17.399999999999999">
      <c r="A5224" s="547"/>
      <c r="B5224" s="752" t="s">
        <v>439</v>
      </c>
      <c r="C5224" s="547"/>
      <c r="D5224" s="547"/>
      <c r="E5224" s="547"/>
      <c r="F5224" s="549"/>
      <c r="G5224" s="549" t="s">
        <v>21</v>
      </c>
      <c r="H5224" s="549" t="s">
        <v>128</v>
      </c>
      <c r="I5224" s="558">
        <v>16</v>
      </c>
      <c r="J5224" s="567">
        <v>9.8000000000000007</v>
      </c>
      <c r="K5224" s="648">
        <v>12</v>
      </c>
      <c r="L5224" s="552">
        <f t="shared" si="1059"/>
        <v>1.8816000000000002</v>
      </c>
      <c r="M5224" s="549">
        <v>1</v>
      </c>
      <c r="N5224" s="549">
        <f t="shared" si="1060"/>
        <v>0.15680000000000002</v>
      </c>
      <c r="O5224" s="549"/>
      <c r="P5224" s="549"/>
      <c r="Q5224" s="1059"/>
      <c r="R5224" s="1059"/>
    </row>
    <row r="5225" spans="1:20" ht="17.399999999999999">
      <c r="A5225" s="549"/>
      <c r="B5225" s="549"/>
      <c r="C5225" s="549"/>
      <c r="D5225" s="549"/>
      <c r="E5225" s="549"/>
      <c r="F5225" s="549"/>
      <c r="G5225" s="549" t="s">
        <v>21</v>
      </c>
      <c r="H5225" s="549" t="s">
        <v>128</v>
      </c>
      <c r="I5225" s="558">
        <v>16</v>
      </c>
      <c r="J5225" s="567">
        <v>12</v>
      </c>
      <c r="K5225" s="648">
        <v>4</v>
      </c>
      <c r="L5225" s="552">
        <f t="shared" si="1059"/>
        <v>0.76800000000000002</v>
      </c>
      <c r="M5225" s="549"/>
      <c r="N5225" s="549"/>
      <c r="O5225" s="549"/>
      <c r="P5225" s="549"/>
      <c r="Q5225" s="1059"/>
      <c r="R5225" s="1059"/>
    </row>
    <row r="5226" spans="1:20" ht="17.399999999999999">
      <c r="A5226" s="549"/>
      <c r="B5226" s="549"/>
      <c r="C5226" s="549"/>
      <c r="D5226" s="549"/>
      <c r="E5226" s="549"/>
      <c r="F5226" s="549"/>
      <c r="G5226" s="549"/>
      <c r="H5226" s="549"/>
      <c r="I5226" s="558"/>
      <c r="J5226" s="567"/>
      <c r="K5226" s="648">
        <f t="shared" ref="K5226:N5226" si="1061">SUM(K5223:K5225)</f>
        <v>19</v>
      </c>
      <c r="L5226" s="567">
        <f t="shared" si="1061"/>
        <v>3</v>
      </c>
      <c r="M5226" s="648">
        <f t="shared" si="1061"/>
        <v>2</v>
      </c>
      <c r="N5226" s="567">
        <f t="shared" si="1061"/>
        <v>0.27360000000000001</v>
      </c>
      <c r="O5226" s="549"/>
      <c r="P5226" s="549"/>
      <c r="Q5226" s="1059"/>
      <c r="R5226" s="1059"/>
    </row>
    <row r="5227" spans="1:20" ht="17.399999999999999">
      <c r="A5227" s="549"/>
      <c r="B5227" s="549"/>
      <c r="C5227" s="549"/>
      <c r="D5227" s="549"/>
      <c r="E5227" s="549"/>
      <c r="F5227" s="549"/>
      <c r="G5227" s="549"/>
      <c r="H5227" s="549"/>
      <c r="I5227" s="560"/>
      <c r="J5227" s="549"/>
      <c r="K5227" s="561"/>
      <c r="L5227" s="560"/>
      <c r="M5227" s="549"/>
      <c r="N5227" s="549"/>
      <c r="O5227" s="549"/>
      <c r="P5227" s="549"/>
      <c r="Q5227" s="1059"/>
      <c r="R5227" s="1059"/>
    </row>
    <row r="5228" spans="1:20" ht="17.399999999999999">
      <c r="A5228" s="547" t="s">
        <v>445</v>
      </c>
      <c r="B5228" s="547" t="s">
        <v>487</v>
      </c>
      <c r="C5228" s="547" t="s">
        <v>19</v>
      </c>
      <c r="D5228" s="547" t="s">
        <v>20</v>
      </c>
      <c r="E5228" s="547" t="s">
        <v>47</v>
      </c>
      <c r="F5228" s="549">
        <v>14</v>
      </c>
      <c r="G5228" s="549" t="s">
        <v>21</v>
      </c>
      <c r="H5228" s="599" t="s">
        <v>128</v>
      </c>
      <c r="I5228" s="558">
        <v>16</v>
      </c>
      <c r="J5228" s="567">
        <v>7.3</v>
      </c>
      <c r="K5228" s="648">
        <v>51</v>
      </c>
      <c r="L5228" s="552">
        <f t="shared" ref="L5228:L5230" si="1062">(I5228*J5228*K5228/1000)</f>
        <v>5.9568000000000003</v>
      </c>
      <c r="M5228" s="549"/>
      <c r="N5228" s="549">
        <f t="shared" ref="N5228:N5230" si="1063">J5228*M5228*I5228/1000</f>
        <v>0</v>
      </c>
      <c r="O5228" s="549"/>
      <c r="P5228" s="549"/>
      <c r="Q5228" s="1059"/>
      <c r="R5228" s="1059"/>
      <c r="S5228" s="497" t="s">
        <v>601</v>
      </c>
    </row>
    <row r="5229" spans="1:20" ht="17.399999999999999">
      <c r="A5229" s="547"/>
      <c r="B5229" s="752" t="s">
        <v>439</v>
      </c>
      <c r="C5229" s="547"/>
      <c r="D5229" s="547"/>
      <c r="E5229" s="547"/>
      <c r="F5229" s="549"/>
      <c r="G5229" s="549" t="s">
        <v>21</v>
      </c>
      <c r="H5229" s="549" t="s">
        <v>128</v>
      </c>
      <c r="I5229" s="558">
        <v>16</v>
      </c>
      <c r="J5229" s="567">
        <v>10.35</v>
      </c>
      <c r="K5229" s="648">
        <v>24</v>
      </c>
      <c r="L5229" s="552">
        <f t="shared" si="1062"/>
        <v>3.9743999999999997</v>
      </c>
      <c r="M5229" s="549">
        <v>2</v>
      </c>
      <c r="N5229" s="549">
        <f t="shared" si="1063"/>
        <v>0.33119999999999999</v>
      </c>
      <c r="O5229" s="549"/>
      <c r="P5229" s="549"/>
      <c r="Q5229" s="1059"/>
      <c r="R5229" s="1059"/>
    </row>
    <row r="5230" spans="1:20" ht="17.399999999999999">
      <c r="A5230" s="549"/>
      <c r="B5230" s="549"/>
      <c r="C5230" s="549"/>
      <c r="D5230" s="549"/>
      <c r="E5230" s="549"/>
      <c r="F5230" s="549"/>
      <c r="G5230" s="549" t="s">
        <v>21</v>
      </c>
      <c r="H5230" s="549" t="s">
        <v>128</v>
      </c>
      <c r="I5230" s="558">
        <v>16</v>
      </c>
      <c r="J5230" s="567">
        <v>12</v>
      </c>
      <c r="K5230" s="648">
        <v>11</v>
      </c>
      <c r="L5230" s="552">
        <f t="shared" si="1062"/>
        <v>2.1120000000000001</v>
      </c>
      <c r="M5230" s="549"/>
      <c r="N5230" s="549">
        <f t="shared" si="1063"/>
        <v>0</v>
      </c>
      <c r="O5230" s="549"/>
      <c r="P5230" s="549"/>
      <c r="Q5230" s="1059"/>
      <c r="R5230" s="1059"/>
    </row>
    <row r="5231" spans="1:20" ht="17.399999999999999">
      <c r="A5231" s="549"/>
      <c r="B5231" s="549"/>
      <c r="C5231" s="549"/>
      <c r="D5231" s="549"/>
      <c r="E5231" s="549"/>
      <c r="F5231" s="549"/>
      <c r="G5231" s="549"/>
      <c r="H5231" s="549"/>
      <c r="I5231" s="558"/>
      <c r="J5231" s="567"/>
      <c r="K5231" s="648">
        <f t="shared" ref="K5231" si="1064">SUM(K5228:K5230)</f>
        <v>86</v>
      </c>
      <c r="L5231" s="567">
        <f>SUM(L5228:L5230)</f>
        <v>12.043200000000001</v>
      </c>
      <c r="M5231" s="648">
        <f>SUM(M5228:M5230)</f>
        <v>2</v>
      </c>
      <c r="N5231" s="567">
        <f>SUM(N5228:N5230)</f>
        <v>0.33119999999999999</v>
      </c>
      <c r="O5231" s="549"/>
      <c r="P5231" s="549"/>
      <c r="Q5231" s="1059"/>
      <c r="R5231" s="1059"/>
    </row>
    <row r="5232" spans="1:20" ht="17.399999999999999">
      <c r="A5232" s="547"/>
      <c r="B5232" s="547"/>
      <c r="C5232" s="547"/>
      <c r="D5232" s="547"/>
      <c r="E5232" s="547"/>
      <c r="F5232" s="549"/>
      <c r="G5232" s="549"/>
      <c r="H5232" s="549"/>
      <c r="I5232" s="558"/>
      <c r="J5232" s="567"/>
      <c r="K5232" s="848">
        <f>SUM(K5223:K5231)/2</f>
        <v>105</v>
      </c>
      <c r="L5232" s="552">
        <f>SUM(L5223:L5231)/2</f>
        <v>15.043199999999999</v>
      </c>
      <c r="M5232" s="848">
        <f>SUM(M5223:M5231)/2</f>
        <v>4</v>
      </c>
      <c r="N5232" s="552">
        <f>SUM(N5223:N5231)/2</f>
        <v>0.6048</v>
      </c>
      <c r="O5232" s="549"/>
      <c r="P5232" s="549"/>
      <c r="Q5232" s="1059"/>
      <c r="R5232" s="1059"/>
    </row>
    <row r="5233" spans="1:19" s="497" customFormat="1" ht="17.399999999999999">
      <c r="A5233" s="547"/>
      <c r="B5233" s="547"/>
      <c r="C5233" s="547"/>
      <c r="D5233" s="547"/>
      <c r="E5233" s="547"/>
      <c r="F5233" s="549"/>
      <c r="G5233" s="549"/>
      <c r="H5233" s="549"/>
      <c r="I5233" s="558"/>
      <c r="J5233" s="567"/>
      <c r="K5233" s="848"/>
      <c r="L5233" s="552"/>
      <c r="M5233" s="549"/>
      <c r="N5233" s="549"/>
      <c r="O5233" s="549"/>
      <c r="P5233" s="549"/>
      <c r="Q5233" s="1059"/>
      <c r="R5233" s="1059"/>
    </row>
    <row r="5234" spans="1:19" ht="17.399999999999999">
      <c r="A5234" s="547"/>
      <c r="B5234" s="752"/>
      <c r="C5234" s="547"/>
      <c r="D5234" s="547"/>
      <c r="E5234" s="547"/>
      <c r="F5234" s="549"/>
      <c r="G5234" s="549"/>
      <c r="H5234" s="549"/>
      <c r="I5234" s="558"/>
      <c r="J5234" s="567"/>
      <c r="K5234" s="648"/>
      <c r="L5234" s="567"/>
      <c r="M5234" s="549"/>
      <c r="N5234" s="549"/>
      <c r="O5234" s="549"/>
      <c r="P5234" s="549"/>
      <c r="Q5234" s="1059"/>
      <c r="R5234" s="1059"/>
    </row>
    <row r="5235" spans="1:19" ht="17.399999999999999">
      <c r="A5235" s="547" t="s">
        <v>541</v>
      </c>
      <c r="B5235" s="547" t="s">
        <v>539</v>
      </c>
      <c r="C5235" s="547" t="s">
        <v>19</v>
      </c>
      <c r="D5235" s="547" t="s">
        <v>60</v>
      </c>
      <c r="E5235" s="547" t="s">
        <v>247</v>
      </c>
      <c r="F5235" s="549">
        <v>14</v>
      </c>
      <c r="G5235" s="849" t="s">
        <v>61</v>
      </c>
      <c r="H5235" s="599" t="s">
        <v>129</v>
      </c>
      <c r="I5235" s="1883">
        <v>17.899999999999999</v>
      </c>
      <c r="J5235" s="850">
        <v>10.9</v>
      </c>
      <c r="K5235" s="851">
        <v>14</v>
      </c>
      <c r="L5235" s="552">
        <f t="shared" ref="L5235" si="1065">(I5235*J5235*K5235/1000)</f>
        <v>2.7315399999999999</v>
      </c>
      <c r="M5235" s="549"/>
      <c r="N5235" s="549"/>
      <c r="O5235" s="549">
        <v>14</v>
      </c>
      <c r="P5235" s="567">
        <f>J5235*O5235*I5235/1000</f>
        <v>2.7315399999999994</v>
      </c>
      <c r="Q5235" s="1067"/>
      <c r="R5235" s="1067"/>
    </row>
    <row r="5236" spans="1:19" ht="17.399999999999999">
      <c r="A5236" s="549"/>
      <c r="B5236" s="754" t="s">
        <v>540</v>
      </c>
      <c r="C5236" s="754"/>
      <c r="D5236" s="549"/>
      <c r="E5236" s="549"/>
      <c r="F5236" s="549"/>
      <c r="G5236" s="549"/>
      <c r="H5236" s="549"/>
      <c r="I5236" s="558"/>
      <c r="J5236" s="567"/>
      <c r="K5236" s="648">
        <f t="shared" ref="K5236:L5236" si="1066">SUM(K5235)</f>
        <v>14</v>
      </c>
      <c r="L5236" s="552">
        <f t="shared" si="1066"/>
        <v>2.7315399999999999</v>
      </c>
      <c r="M5236" s="549"/>
      <c r="N5236" s="549"/>
      <c r="O5236" s="648">
        <f t="shared" ref="O5236:P5236" si="1067">SUM(O5235)</f>
        <v>14</v>
      </c>
      <c r="P5236" s="552">
        <f t="shared" si="1067"/>
        <v>2.7315399999999994</v>
      </c>
      <c r="Q5236" s="1068"/>
      <c r="R5236" s="1068"/>
    </row>
    <row r="5237" spans="1:19" ht="17.399999999999999">
      <c r="A5237" s="549"/>
      <c r="B5237" s="549"/>
      <c r="C5237" s="549"/>
      <c r="D5237" s="549"/>
      <c r="E5237" s="549"/>
      <c r="F5237" s="549"/>
      <c r="G5237" s="549"/>
      <c r="H5237" s="549"/>
      <c r="I5237" s="558"/>
      <c r="J5237" s="567"/>
      <c r="K5237" s="648"/>
      <c r="L5237" s="552"/>
      <c r="M5237" s="549"/>
      <c r="N5237" s="549"/>
      <c r="O5237" s="549"/>
      <c r="P5237" s="549"/>
      <c r="Q5237" s="1059"/>
      <c r="R5237" s="1059"/>
    </row>
    <row r="5238" spans="1:19" s="497" customFormat="1" ht="17.399999999999999">
      <c r="A5238" s="549"/>
      <c r="B5238" s="549"/>
      <c r="C5238" s="549"/>
      <c r="D5238" s="549"/>
      <c r="E5238" s="549"/>
      <c r="F5238" s="549"/>
      <c r="G5238" s="549"/>
      <c r="H5238" s="549"/>
      <c r="I5238" s="558"/>
      <c r="J5238" s="567"/>
      <c r="K5238" s="648"/>
      <c r="L5238" s="552"/>
      <c r="M5238" s="549"/>
      <c r="N5238" s="549"/>
      <c r="O5238" s="549"/>
      <c r="P5238" s="549"/>
      <c r="Q5238" s="1059"/>
      <c r="R5238" s="1059"/>
    </row>
    <row r="5239" spans="1:19" s="497" customFormat="1" ht="17.399999999999999">
      <c r="A5239" s="547" t="s">
        <v>541</v>
      </c>
      <c r="B5239" s="547" t="s">
        <v>559</v>
      </c>
      <c r="C5239" s="547" t="s">
        <v>19</v>
      </c>
      <c r="D5239" s="547" t="s">
        <v>60</v>
      </c>
      <c r="E5239" s="547" t="s">
        <v>247</v>
      </c>
      <c r="F5239" s="549">
        <v>14</v>
      </c>
      <c r="G5239" s="883" t="s">
        <v>61</v>
      </c>
      <c r="H5239" s="978" t="s">
        <v>129</v>
      </c>
      <c r="I5239" s="1884">
        <v>17.899999999999999</v>
      </c>
      <c r="J5239" s="890">
        <v>7.2</v>
      </c>
      <c r="K5239" s="889">
        <v>8</v>
      </c>
      <c r="L5239" s="895">
        <f t="shared" ref="L5239:L5242" si="1068">(I5239*J5239*K5239/1000)</f>
        <v>1.03104</v>
      </c>
      <c r="M5239" s="549"/>
      <c r="N5239" s="549"/>
      <c r="O5239" s="549">
        <v>8</v>
      </c>
      <c r="P5239" s="549">
        <f>J5239*O5239*I5239/1000</f>
        <v>1.03104</v>
      </c>
      <c r="Q5239" s="1059"/>
      <c r="R5239" s="1059"/>
      <c r="S5239" s="497" t="s">
        <v>601</v>
      </c>
    </row>
    <row r="5240" spans="1:19" s="497" customFormat="1" ht="18">
      <c r="A5240" s="549"/>
      <c r="B5240" s="898" t="s">
        <v>558</v>
      </c>
      <c r="C5240" s="549"/>
      <c r="D5240" s="549"/>
      <c r="E5240" s="549"/>
      <c r="F5240" s="549"/>
      <c r="G5240" s="883" t="s">
        <v>61</v>
      </c>
      <c r="H5240" s="883" t="s">
        <v>129</v>
      </c>
      <c r="I5240" s="1884">
        <v>17.899999999999999</v>
      </c>
      <c r="J5240" s="890">
        <v>8.1</v>
      </c>
      <c r="K5240" s="889">
        <v>48</v>
      </c>
      <c r="L5240" s="895">
        <f t="shared" si="1068"/>
        <v>6.9595199999999986</v>
      </c>
      <c r="M5240" s="549"/>
      <c r="N5240" s="549"/>
      <c r="O5240" s="549">
        <v>48</v>
      </c>
      <c r="P5240" s="549">
        <f t="shared" ref="P5240:P5242" si="1069">J5240*O5240*I5240/1000</f>
        <v>6.9595199999999986</v>
      </c>
      <c r="Q5240" s="1059"/>
      <c r="R5240" s="1059"/>
    </row>
    <row r="5241" spans="1:19" s="497" customFormat="1" ht="17.399999999999999">
      <c r="A5241" s="549"/>
      <c r="B5241" s="549"/>
      <c r="C5241" s="549"/>
      <c r="D5241" s="549"/>
      <c r="E5241" s="549"/>
      <c r="F5241" s="549"/>
      <c r="G5241" s="883" t="s">
        <v>61</v>
      </c>
      <c r="H5241" s="883" t="s">
        <v>129</v>
      </c>
      <c r="I5241" s="1884">
        <v>17.899999999999999</v>
      </c>
      <c r="J5241" s="890">
        <v>8.9</v>
      </c>
      <c r="K5241" s="889">
        <v>2</v>
      </c>
      <c r="L5241" s="895">
        <f t="shared" si="1068"/>
        <v>0.31862000000000001</v>
      </c>
      <c r="M5241" s="549"/>
      <c r="N5241" s="549"/>
      <c r="O5241" s="549">
        <v>2</v>
      </c>
      <c r="P5241" s="549">
        <f t="shared" si="1069"/>
        <v>0.31862000000000001</v>
      </c>
      <c r="Q5241" s="1059"/>
      <c r="R5241" s="1059"/>
    </row>
    <row r="5242" spans="1:19" s="497" customFormat="1" ht="17.399999999999999">
      <c r="A5242" s="549"/>
      <c r="B5242" s="549"/>
      <c r="C5242" s="549"/>
      <c r="D5242" s="549"/>
      <c r="E5242" s="549"/>
      <c r="F5242" s="549"/>
      <c r="G5242" s="883" t="s">
        <v>61</v>
      </c>
      <c r="H5242" s="883" t="s">
        <v>129</v>
      </c>
      <c r="I5242" s="1884">
        <v>17.899999999999999</v>
      </c>
      <c r="J5242" s="890">
        <v>10.9</v>
      </c>
      <c r="K5242" s="889">
        <v>24</v>
      </c>
      <c r="L5242" s="895">
        <f t="shared" si="1068"/>
        <v>4.6826399999999992</v>
      </c>
      <c r="M5242" s="549"/>
      <c r="N5242" s="549"/>
      <c r="O5242" s="549">
        <v>24</v>
      </c>
      <c r="P5242" s="549">
        <f t="shared" si="1069"/>
        <v>4.6826400000000001</v>
      </c>
      <c r="Q5242" s="1059"/>
      <c r="R5242" s="1059"/>
    </row>
    <row r="5243" spans="1:19" s="497" customFormat="1" ht="17.399999999999999">
      <c r="A5243" s="549"/>
      <c r="B5243" s="549"/>
      <c r="C5243" s="549"/>
      <c r="D5243" s="549"/>
      <c r="E5243" s="549"/>
      <c r="F5243" s="549"/>
      <c r="G5243" s="883"/>
      <c r="H5243" s="887"/>
      <c r="I5243" s="1885"/>
      <c r="J5243" s="896"/>
      <c r="K5243" s="889">
        <f t="shared" ref="K5243:L5243" si="1070">SUM(K5239:K5242)</f>
        <v>82</v>
      </c>
      <c r="L5243" s="890">
        <f t="shared" si="1070"/>
        <v>12.991819999999997</v>
      </c>
      <c r="M5243" s="549"/>
      <c r="N5243" s="549"/>
      <c r="O5243" s="889">
        <f t="shared" ref="O5243:P5243" si="1071">SUM(O5239:O5242)</f>
        <v>82</v>
      </c>
      <c r="P5243" s="890">
        <f t="shared" si="1071"/>
        <v>12.991819999999997</v>
      </c>
      <c r="Q5243" s="1069"/>
      <c r="R5243" s="1069"/>
    </row>
    <row r="5244" spans="1:19" s="497" customFormat="1" ht="17.399999999999999">
      <c r="A5244" s="549"/>
      <c r="B5244" s="549"/>
      <c r="C5244" s="549"/>
      <c r="D5244" s="549"/>
      <c r="E5244" s="549"/>
      <c r="F5244" s="549"/>
      <c r="G5244" s="549"/>
      <c r="H5244" s="549"/>
      <c r="I5244" s="558"/>
      <c r="J5244" s="567"/>
      <c r="K5244" s="648"/>
      <c r="L5244" s="552"/>
      <c r="M5244" s="549"/>
      <c r="N5244" s="549"/>
      <c r="O5244" s="549"/>
      <c r="P5244" s="549"/>
      <c r="Q5244" s="1059"/>
      <c r="R5244" s="1059"/>
    </row>
    <row r="5245" spans="1:19" s="497" customFormat="1" ht="17.399999999999999">
      <c r="A5245" s="547" t="s">
        <v>541</v>
      </c>
      <c r="B5245" s="547" t="s">
        <v>561</v>
      </c>
      <c r="C5245" s="547" t="s">
        <v>19</v>
      </c>
      <c r="D5245" s="547" t="s">
        <v>60</v>
      </c>
      <c r="E5245" s="547" t="s">
        <v>247</v>
      </c>
      <c r="F5245" s="549">
        <v>14</v>
      </c>
      <c r="G5245" s="883" t="s">
        <v>61</v>
      </c>
      <c r="H5245" s="978" t="s">
        <v>129</v>
      </c>
      <c r="I5245" s="1884">
        <v>17.899999999999999</v>
      </c>
      <c r="J5245" s="890">
        <v>7.2</v>
      </c>
      <c r="K5245" s="889">
        <v>16</v>
      </c>
      <c r="L5245" s="895">
        <f t="shared" ref="L5245:L5250" si="1072">(I5245*J5245*K5245/1000)</f>
        <v>2.0620799999999999</v>
      </c>
      <c r="M5245" s="549"/>
      <c r="N5245" s="549"/>
      <c r="O5245" s="549">
        <v>16</v>
      </c>
      <c r="P5245" s="549">
        <f t="shared" ref="P5245:P5250" si="1073">J5245*O5245*I5245/1000</f>
        <v>2.0620799999999999</v>
      </c>
      <c r="Q5245" s="1059"/>
      <c r="R5245" s="1059"/>
      <c r="S5245" s="497" t="s">
        <v>601</v>
      </c>
    </row>
    <row r="5246" spans="1:19" s="497" customFormat="1" ht="18">
      <c r="A5246" s="549"/>
      <c r="B5246" s="898" t="s">
        <v>560</v>
      </c>
      <c r="C5246" s="549"/>
      <c r="D5246" s="549"/>
      <c r="E5246" s="549"/>
      <c r="F5246" s="549"/>
      <c r="G5246" s="883" t="s">
        <v>61</v>
      </c>
      <c r="H5246" s="883" t="s">
        <v>129</v>
      </c>
      <c r="I5246" s="1884">
        <v>17.899999999999999</v>
      </c>
      <c r="J5246" s="890">
        <v>8.1</v>
      </c>
      <c r="K5246" s="889">
        <v>104</v>
      </c>
      <c r="L5246" s="895">
        <f t="shared" si="1072"/>
        <v>15.078959999999997</v>
      </c>
      <c r="M5246" s="549"/>
      <c r="N5246" s="549"/>
      <c r="O5246" s="549">
        <f>67+1</f>
        <v>68</v>
      </c>
      <c r="P5246" s="549">
        <f t="shared" si="1073"/>
        <v>9.8593199999999985</v>
      </c>
      <c r="Q5246" s="1059"/>
      <c r="R5246" s="1059"/>
    </row>
    <row r="5247" spans="1:19" s="497" customFormat="1" ht="17.399999999999999">
      <c r="A5247" s="549"/>
      <c r="B5247" s="549"/>
      <c r="C5247" s="549"/>
      <c r="D5247" s="549"/>
      <c r="E5247" s="549"/>
      <c r="F5247" s="549"/>
      <c r="G5247" s="883" t="s">
        <v>61</v>
      </c>
      <c r="H5247" s="883" t="s">
        <v>129</v>
      </c>
      <c r="I5247" s="1884">
        <v>17.899999999999999</v>
      </c>
      <c r="J5247" s="890">
        <v>8.9</v>
      </c>
      <c r="K5247" s="889">
        <v>8</v>
      </c>
      <c r="L5247" s="895">
        <f t="shared" si="1072"/>
        <v>1.2744800000000001</v>
      </c>
      <c r="M5247" s="549"/>
      <c r="N5247" s="549"/>
      <c r="O5247" s="549">
        <v>8</v>
      </c>
      <c r="P5247" s="549">
        <f t="shared" si="1073"/>
        <v>1.2744800000000001</v>
      </c>
      <c r="Q5247" s="1059"/>
      <c r="R5247" s="1059"/>
    </row>
    <row r="5248" spans="1:19" s="497" customFormat="1" ht="17.399999999999999">
      <c r="A5248" s="549"/>
      <c r="B5248" s="549"/>
      <c r="C5248" s="549"/>
      <c r="D5248" s="549"/>
      <c r="E5248" s="549"/>
      <c r="F5248" s="549"/>
      <c r="G5248" s="883" t="s">
        <v>61</v>
      </c>
      <c r="H5248" s="883" t="s">
        <v>129</v>
      </c>
      <c r="I5248" s="1884">
        <v>17.899999999999999</v>
      </c>
      <c r="J5248" s="890">
        <v>9.6999999999999993</v>
      </c>
      <c r="K5248" s="889">
        <v>20</v>
      </c>
      <c r="L5248" s="895">
        <f t="shared" si="1072"/>
        <v>3.4725999999999995</v>
      </c>
      <c r="M5248" s="549"/>
      <c r="N5248" s="549"/>
      <c r="O5248" s="549">
        <v>20</v>
      </c>
      <c r="P5248" s="549">
        <f t="shared" si="1073"/>
        <v>3.4725999999999999</v>
      </c>
      <c r="Q5248" s="1059"/>
      <c r="R5248" s="1059"/>
    </row>
    <row r="5249" spans="1:18" s="497" customFormat="1" ht="17.399999999999999">
      <c r="A5249" s="549"/>
      <c r="B5249" s="549"/>
      <c r="C5249" s="549"/>
      <c r="D5249" s="549"/>
      <c r="E5249" s="549"/>
      <c r="F5249" s="549"/>
      <c r="G5249" s="883" t="s">
        <v>61</v>
      </c>
      <c r="H5249" s="883" t="s">
        <v>129</v>
      </c>
      <c r="I5249" s="1884">
        <v>17.899999999999999</v>
      </c>
      <c r="J5249" s="890">
        <v>10.4</v>
      </c>
      <c r="K5249" s="889">
        <v>8</v>
      </c>
      <c r="L5249" s="895">
        <f t="shared" si="1072"/>
        <v>1.4892799999999999</v>
      </c>
      <c r="M5249" s="549"/>
      <c r="N5249" s="549"/>
      <c r="O5249" s="549">
        <v>8</v>
      </c>
      <c r="P5249" s="549">
        <f t="shared" si="1073"/>
        <v>1.4892799999999999</v>
      </c>
      <c r="Q5249" s="1059"/>
      <c r="R5249" s="1059"/>
    </row>
    <row r="5250" spans="1:18" s="497" customFormat="1" ht="17.399999999999999">
      <c r="A5250" s="549"/>
      <c r="B5250" s="549"/>
      <c r="C5250" s="549"/>
      <c r="D5250" s="549"/>
      <c r="E5250" s="549"/>
      <c r="F5250" s="549"/>
      <c r="G5250" s="883" t="s">
        <v>61</v>
      </c>
      <c r="H5250" s="883" t="s">
        <v>129</v>
      </c>
      <c r="I5250" s="1884">
        <v>17.899999999999999</v>
      </c>
      <c r="J5250" s="890">
        <v>10.9</v>
      </c>
      <c r="K5250" s="889">
        <v>55</v>
      </c>
      <c r="L5250" s="895">
        <f t="shared" si="1072"/>
        <v>10.73105</v>
      </c>
      <c r="M5250" s="549"/>
      <c r="N5250" s="549"/>
      <c r="O5250" s="549">
        <f>53+2-14</f>
        <v>41</v>
      </c>
      <c r="P5250" s="549">
        <f t="shared" si="1073"/>
        <v>7.9995099999999999</v>
      </c>
      <c r="Q5250" s="1059"/>
      <c r="R5250" s="1059"/>
    </row>
    <row r="5251" spans="1:18" s="497" customFormat="1" ht="17.399999999999999">
      <c r="A5251" s="549"/>
      <c r="B5251" s="549"/>
      <c r="C5251" s="549"/>
      <c r="D5251" s="549"/>
      <c r="E5251" s="549"/>
      <c r="F5251" s="549"/>
      <c r="G5251" s="883"/>
      <c r="H5251" s="887"/>
      <c r="I5251" s="1885"/>
      <c r="J5251" s="896"/>
      <c r="K5251" s="889">
        <f>SUM(K5245:K5250)</f>
        <v>211</v>
      </c>
      <c r="L5251" s="890">
        <f>SUM(L5245:L5250)</f>
        <v>34.108449999999998</v>
      </c>
      <c r="M5251" s="599" t="s">
        <v>565</v>
      </c>
      <c r="N5251" s="599"/>
      <c r="O5251" s="889">
        <f>SUM(O5245:O5250)</f>
        <v>161</v>
      </c>
      <c r="P5251" s="890">
        <f>SUM(P5245:P5250)</f>
        <v>26.15727</v>
      </c>
      <c r="Q5251" s="1069"/>
      <c r="R5251" s="1069"/>
    </row>
    <row r="5252" spans="1:18" s="497" customFormat="1" ht="17.399999999999999">
      <c r="A5252" s="549"/>
      <c r="B5252" s="549"/>
      <c r="C5252" s="549"/>
      <c r="D5252" s="549"/>
      <c r="E5252" s="549"/>
      <c r="F5252" s="549"/>
      <c r="G5252" s="549"/>
      <c r="H5252" s="549"/>
      <c r="I5252" s="558"/>
      <c r="J5252" s="567"/>
      <c r="K5252" s="648"/>
      <c r="L5252" s="552">
        <f>+L5251+L5243</f>
        <v>47.100269999999995</v>
      </c>
      <c r="M5252" s="549"/>
      <c r="N5252" s="549"/>
      <c r="O5252" s="549"/>
      <c r="P5252" s="552">
        <f>+P5251+P5243</f>
        <v>39.149090000000001</v>
      </c>
      <c r="Q5252" s="1068"/>
      <c r="R5252" s="1068"/>
    </row>
    <row r="5253" spans="1:18" s="497" customFormat="1" ht="17.399999999999999">
      <c r="A5253" s="549"/>
      <c r="B5253" s="549"/>
      <c r="C5253" s="549"/>
      <c r="D5253" s="549"/>
      <c r="E5253" s="549"/>
      <c r="F5253" s="549"/>
      <c r="G5253" s="549"/>
      <c r="H5253" s="549"/>
      <c r="I5253" s="558"/>
      <c r="J5253" s="567"/>
      <c r="K5253" s="648"/>
      <c r="L5253" s="552"/>
      <c r="M5253" s="549"/>
      <c r="N5253" s="549"/>
      <c r="O5253" s="549"/>
      <c r="P5253" s="549"/>
      <c r="Q5253" s="1059"/>
      <c r="R5253" s="1059"/>
    </row>
    <row r="5254" spans="1:18" s="497" customFormat="1" ht="17.399999999999999">
      <c r="A5254" s="549"/>
      <c r="B5254" s="549"/>
      <c r="C5254" s="549"/>
      <c r="D5254" s="549"/>
      <c r="E5254" s="549"/>
      <c r="F5254" s="549"/>
      <c r="G5254" s="549"/>
      <c r="H5254" s="549"/>
      <c r="I5254" s="558"/>
      <c r="J5254" s="567"/>
      <c r="K5254" s="648"/>
      <c r="L5254" s="552"/>
      <c r="M5254" s="549"/>
      <c r="N5254" s="549"/>
      <c r="O5254" s="549"/>
      <c r="P5254" s="549"/>
      <c r="Q5254" s="1059"/>
      <c r="R5254" s="1059"/>
    </row>
    <row r="5255" spans="1:18" ht="17.399999999999999">
      <c r="A5255" s="549"/>
      <c r="B5255" s="549"/>
      <c r="C5255" s="549"/>
      <c r="D5255" s="549"/>
      <c r="E5255" s="549"/>
      <c r="F5255" s="549"/>
      <c r="G5255" s="549"/>
      <c r="H5255" s="549"/>
      <c r="I5255" s="558"/>
      <c r="J5255" s="567"/>
      <c r="K5255" s="648"/>
      <c r="L5255" s="552"/>
      <c r="M5255" s="549"/>
      <c r="N5255" s="549"/>
      <c r="O5255" s="549"/>
      <c r="P5255" s="549"/>
      <c r="Q5255" s="1059"/>
      <c r="R5255" s="1059"/>
    </row>
    <row r="5256" spans="1:18" ht="17.399999999999999">
      <c r="A5256" s="549"/>
      <c r="B5256" s="549"/>
      <c r="C5256" s="549"/>
      <c r="D5256" s="549"/>
      <c r="E5256" s="549"/>
      <c r="F5256" s="549"/>
      <c r="G5256" s="549"/>
      <c r="H5256" s="549"/>
      <c r="I5256" s="558"/>
      <c r="J5256" s="567"/>
      <c r="K5256" s="648"/>
      <c r="L5256" s="552">
        <f>+L5232+L5220+L5206+L5188+L5178+L5236</f>
        <v>158.63597999999996</v>
      </c>
      <c r="M5256" s="549"/>
      <c r="N5256" s="552">
        <f>+N5232+N5220+N5206+N5188+N5178+N5236</f>
        <v>3.4672399999999994</v>
      </c>
      <c r="O5256" s="549"/>
      <c r="P5256" s="549"/>
      <c r="Q5256" s="1059"/>
      <c r="R5256" s="1059"/>
    </row>
    <row r="5257" spans="1:18" ht="18">
      <c r="A5257" s="653" t="s">
        <v>48</v>
      </c>
      <c r="B5257" s="653"/>
      <c r="C5257" s="654"/>
      <c r="D5257" s="654"/>
      <c r="E5257" s="654"/>
      <c r="F5257" s="841"/>
      <c r="G5257" s="654"/>
      <c r="H5257" s="841"/>
      <c r="I5257" s="656"/>
      <c r="J5257" s="654"/>
      <c r="K5257" s="657"/>
      <c r="L5257" s="2003" t="s">
        <v>0</v>
      </c>
      <c r="M5257" s="2003"/>
      <c r="N5257" s="2003"/>
      <c r="O5257" s="2004"/>
      <c r="P5257" s="2010"/>
      <c r="Q5257" s="1064"/>
      <c r="R5257" s="1064"/>
    </row>
    <row r="5258" spans="1:18" ht="18">
      <c r="A5258" s="658" t="s">
        <v>1</v>
      </c>
      <c r="B5258" s="658"/>
      <c r="C5258" s="658"/>
      <c r="D5258" s="659" t="s">
        <v>2</v>
      </c>
      <c r="E5258" s="659"/>
      <c r="F5258" s="660"/>
      <c r="G5258" s="660"/>
      <c r="H5258" s="660"/>
      <c r="I5258" s="661"/>
      <c r="J5258" s="660"/>
      <c r="K5258" s="662" t="s">
        <v>3</v>
      </c>
      <c r="L5258" s="660"/>
      <c r="M5258" s="658"/>
      <c r="N5258" s="660"/>
      <c r="O5258" s="663"/>
      <c r="P5258" s="2010"/>
      <c r="Q5258" s="1064"/>
      <c r="R5258" s="1064"/>
    </row>
    <row r="5259" spans="1:18" ht="18">
      <c r="A5259" s="841" t="s">
        <v>22</v>
      </c>
      <c r="B5259" s="1990" t="s">
        <v>23</v>
      </c>
      <c r="C5259" s="2005"/>
      <c r="D5259" s="1989"/>
      <c r="E5259" s="841" t="s">
        <v>24</v>
      </c>
      <c r="F5259" s="1990" t="s">
        <v>25</v>
      </c>
      <c r="G5259" s="1989"/>
      <c r="H5259" s="1990" t="s">
        <v>26</v>
      </c>
      <c r="I5259" s="2005"/>
      <c r="J5259" s="2005"/>
      <c r="K5259" s="1989"/>
      <c r="L5259" s="2006" t="s">
        <v>27</v>
      </c>
      <c r="M5259" s="2006"/>
      <c r="N5259" s="2006"/>
      <c r="O5259" s="1990"/>
      <c r="P5259" s="2010"/>
      <c r="Q5259" s="1064"/>
      <c r="R5259" s="1064"/>
    </row>
    <row r="5260" spans="1:18" ht="18">
      <c r="A5260" s="664"/>
      <c r="B5260" s="1975"/>
      <c r="C5260" s="1976"/>
      <c r="D5260" s="1977"/>
      <c r="E5260" s="665"/>
      <c r="F5260" s="1975"/>
      <c r="G5260" s="1977"/>
      <c r="H5260" s="1975"/>
      <c r="I5260" s="1976"/>
      <c r="J5260" s="1976"/>
      <c r="K5260" s="1977"/>
      <c r="L5260" s="1975"/>
      <c r="M5260" s="1976"/>
      <c r="N5260" s="1976"/>
      <c r="O5260" s="1976"/>
      <c r="P5260" s="2010"/>
      <c r="Q5260" s="1064"/>
      <c r="R5260" s="1064"/>
    </row>
    <row r="5261" spans="1:18" s="497" customFormat="1" ht="18">
      <c r="A5261" s="664"/>
      <c r="B5261" s="834"/>
      <c r="C5261" s="835"/>
      <c r="D5261" s="836"/>
      <c r="E5261" s="665"/>
      <c r="F5261" s="834"/>
      <c r="G5261" s="836"/>
      <c r="H5261" s="834"/>
      <c r="I5261" s="1842"/>
      <c r="J5261" s="835"/>
      <c r="K5261" s="836"/>
      <c r="L5261" s="835"/>
      <c r="M5261" s="835"/>
      <c r="N5261" s="835"/>
      <c r="O5261" s="835"/>
      <c r="P5261" s="2010"/>
      <c r="Q5261" s="1064"/>
      <c r="R5261" s="1064"/>
    </row>
    <row r="5262" spans="1:18" ht="18">
      <c r="A5262" s="664" t="s">
        <v>28</v>
      </c>
      <c r="B5262" s="1975" t="s">
        <v>139</v>
      </c>
      <c r="C5262" s="1976"/>
      <c r="D5262" s="1977"/>
      <c r="E5262" s="901">
        <f>+L5178</f>
        <v>56.875999999999991</v>
      </c>
      <c r="F5262" s="1975">
        <v>14</v>
      </c>
      <c r="G5262" s="1977"/>
      <c r="H5262" s="1975" t="s">
        <v>49</v>
      </c>
      <c r="I5262" s="1976"/>
      <c r="J5262" s="1976"/>
      <c r="K5262" s="1977"/>
      <c r="L5262" s="1976" t="s">
        <v>436</v>
      </c>
      <c r="M5262" s="1976"/>
      <c r="N5262" s="1976"/>
      <c r="O5262" s="1976"/>
      <c r="P5262" s="2010"/>
      <c r="Q5262" s="1064"/>
      <c r="R5262" s="1064"/>
    </row>
    <row r="5263" spans="1:18" ht="18">
      <c r="A5263" s="664" t="s">
        <v>29</v>
      </c>
      <c r="B5263" s="1975" t="s">
        <v>140</v>
      </c>
      <c r="C5263" s="1976"/>
      <c r="D5263" s="1977"/>
      <c r="E5263" s="665">
        <f>+L5188-1.259</f>
        <v>10.656469999999999</v>
      </c>
      <c r="F5263" s="1975">
        <v>14</v>
      </c>
      <c r="G5263" s="1977"/>
      <c r="H5263" s="1975" t="s">
        <v>49</v>
      </c>
      <c r="I5263" s="1976"/>
      <c r="J5263" s="1976"/>
      <c r="K5263" s="1977"/>
      <c r="L5263" s="1976" t="s">
        <v>436</v>
      </c>
      <c r="M5263" s="1976"/>
      <c r="N5263" s="1976"/>
      <c r="O5263" s="1976"/>
      <c r="P5263" s="2010"/>
      <c r="Q5263" s="1064"/>
      <c r="R5263" s="1064"/>
    </row>
    <row r="5264" spans="1:18" ht="18">
      <c r="A5264" s="664" t="s">
        <v>30</v>
      </c>
      <c r="B5264" s="1975" t="s">
        <v>141</v>
      </c>
      <c r="C5264" s="1976"/>
      <c r="D5264" s="1977"/>
      <c r="E5264" s="665">
        <f>+L5206</f>
        <v>44.348040000000005</v>
      </c>
      <c r="F5264" s="1975">
        <v>14</v>
      </c>
      <c r="G5264" s="1977"/>
      <c r="H5264" s="1975" t="s">
        <v>49</v>
      </c>
      <c r="I5264" s="1976"/>
      <c r="J5264" s="1976"/>
      <c r="K5264" s="1977"/>
      <c r="L5264" s="1976" t="s">
        <v>436</v>
      </c>
      <c r="M5264" s="1976"/>
      <c r="N5264" s="1976"/>
      <c r="O5264" s="1976"/>
      <c r="P5264" s="2010"/>
      <c r="Q5264" s="1064"/>
      <c r="R5264" s="1064"/>
    </row>
    <row r="5265" spans="1:18" ht="18">
      <c r="A5265" s="664" t="s">
        <v>46</v>
      </c>
      <c r="B5265" s="1975" t="s">
        <v>142</v>
      </c>
      <c r="C5265" s="1976"/>
      <c r="D5265" s="1977"/>
      <c r="E5265" s="665">
        <f>+L5220-1.604</f>
        <v>26.117729999999995</v>
      </c>
      <c r="F5265" s="1975">
        <v>14</v>
      </c>
      <c r="G5265" s="1977"/>
      <c r="H5265" s="1975" t="s">
        <v>49</v>
      </c>
      <c r="I5265" s="1976"/>
      <c r="J5265" s="1976"/>
      <c r="K5265" s="1977"/>
      <c r="L5265" s="1976" t="s">
        <v>436</v>
      </c>
      <c r="M5265" s="1976"/>
      <c r="N5265" s="1976"/>
      <c r="O5265" s="1976"/>
      <c r="P5265" s="2010"/>
      <c r="Q5265" s="1064"/>
      <c r="R5265" s="1064"/>
    </row>
    <row r="5266" spans="1:18" s="497" customFormat="1" ht="18">
      <c r="A5266" s="664" t="s">
        <v>58</v>
      </c>
      <c r="B5266" s="1975" t="s">
        <v>143</v>
      </c>
      <c r="C5266" s="1976"/>
      <c r="D5266" s="1977"/>
      <c r="E5266" s="665">
        <f>+L5232-0.605</f>
        <v>14.438199999999998</v>
      </c>
      <c r="F5266" s="1975">
        <v>14</v>
      </c>
      <c r="G5266" s="1977"/>
      <c r="H5266" s="1975" t="s">
        <v>49</v>
      </c>
      <c r="I5266" s="1976"/>
      <c r="J5266" s="1976"/>
      <c r="K5266" s="1977"/>
      <c r="L5266" s="1976" t="s">
        <v>436</v>
      </c>
      <c r="M5266" s="1976"/>
      <c r="N5266" s="1976"/>
      <c r="O5266" s="1976"/>
      <c r="P5266" s="2010"/>
      <c r="Q5266" s="1064"/>
      <c r="R5266" s="1064"/>
    </row>
    <row r="5267" spans="1:18" ht="18">
      <c r="A5267" s="847"/>
      <c r="B5267" s="1973"/>
      <c r="C5267" s="2018"/>
      <c r="D5267" s="1974"/>
      <c r="E5267" s="665"/>
      <c r="F5267" s="1973"/>
      <c r="G5267" s="1974"/>
      <c r="H5267" s="1973"/>
      <c r="I5267" s="2018"/>
      <c r="J5267" s="2018"/>
      <c r="K5267" s="1974"/>
      <c r="L5267" s="1973"/>
      <c r="M5267" s="2018"/>
      <c r="N5267" s="2018"/>
      <c r="O5267" s="2019"/>
      <c r="P5267" s="2010"/>
      <c r="Q5267" s="1064"/>
      <c r="R5267" s="1064"/>
    </row>
    <row r="5268" spans="1:18" ht="18">
      <c r="A5268" s="670" t="s">
        <v>163</v>
      </c>
      <c r="B5268" s="1976" t="s">
        <v>542</v>
      </c>
      <c r="C5268" s="1976"/>
      <c r="D5268" s="1976"/>
      <c r="E5268" s="671">
        <f>3+20</f>
        <v>23</v>
      </c>
      <c r="F5268" s="1975">
        <v>14</v>
      </c>
      <c r="G5268" s="1977"/>
      <c r="H5268" s="1975" t="s">
        <v>155</v>
      </c>
      <c r="I5268" s="1976"/>
      <c r="J5268" s="1976"/>
      <c r="K5268" s="1977"/>
      <c r="L5268" s="1976" t="s">
        <v>437</v>
      </c>
      <c r="M5268" s="1976"/>
      <c r="N5268" s="1976"/>
      <c r="O5268" s="1976"/>
      <c r="P5268" s="2010"/>
      <c r="Q5268" s="1064"/>
      <c r="R5268" s="1064"/>
    </row>
    <row r="5269" spans="1:18" ht="18">
      <c r="A5269" s="670"/>
      <c r="B5269" s="1976"/>
      <c r="C5269" s="1976"/>
      <c r="D5269" s="1976"/>
      <c r="E5269" s="671"/>
      <c r="F5269" s="1975"/>
      <c r="G5269" s="1977"/>
      <c r="H5269" s="1975"/>
      <c r="I5269" s="1976"/>
      <c r="J5269" s="1976"/>
      <c r="K5269" s="1977"/>
      <c r="L5269" s="1976"/>
      <c r="M5269" s="1976"/>
      <c r="N5269" s="1976"/>
      <c r="O5269" s="1976"/>
      <c r="P5269" s="2010"/>
      <c r="Q5269" s="1064"/>
      <c r="R5269" s="1064"/>
    </row>
    <row r="5270" spans="1:18" ht="18.600000000000001" thickBot="1">
      <c r="A5270" s="664"/>
      <c r="B5270" s="834"/>
      <c r="C5270" s="835"/>
      <c r="D5270" s="835"/>
      <c r="E5270" s="665"/>
      <c r="F5270" s="835"/>
      <c r="G5270" s="836"/>
      <c r="H5270" s="834"/>
      <c r="I5270" s="1842"/>
      <c r="J5270" s="835"/>
      <c r="K5270" s="669"/>
      <c r="L5270" s="672"/>
      <c r="M5270" s="673"/>
      <c r="N5270" s="673"/>
      <c r="O5270" s="673"/>
      <c r="P5270" s="2010"/>
      <c r="Q5270" s="1064"/>
      <c r="R5270" s="1064"/>
    </row>
    <row r="5271" spans="1:18" ht="18">
      <c r="A5271" s="674"/>
      <c r="B5271" s="675"/>
      <c r="C5271" s="676"/>
      <c r="D5271" s="676"/>
      <c r="E5271" s="1980">
        <f>SUM(E5260:E5270)</f>
        <v>175.43643999999998</v>
      </c>
      <c r="F5271" s="677"/>
      <c r="G5271" s="678"/>
      <c r="H5271" s="679"/>
      <c r="I5271" s="1848"/>
      <c r="J5271" s="676"/>
      <c r="K5271" s="680"/>
      <c r="L5271" s="679"/>
      <c r="M5271" s="676"/>
      <c r="N5271" s="677"/>
      <c r="O5271" s="676"/>
      <c r="P5271" s="2010"/>
      <c r="Q5271" s="1064"/>
      <c r="R5271" s="1064"/>
    </row>
    <row r="5272" spans="1:18" ht="18.600000000000001" thickBot="1">
      <c r="A5272" s="681"/>
      <c r="B5272" s="682"/>
      <c r="C5272" s="683"/>
      <c r="D5272" s="683"/>
      <c r="E5272" s="1981"/>
      <c r="F5272" s="684"/>
      <c r="G5272" s="685"/>
      <c r="H5272" s="686"/>
      <c r="I5272" s="1850"/>
      <c r="J5272" s="683"/>
      <c r="K5272" s="687"/>
      <c r="L5272" s="686"/>
      <c r="M5272" s="683"/>
      <c r="N5272" s="684"/>
      <c r="O5272" s="683"/>
      <c r="P5272" s="2010"/>
      <c r="Q5272" s="1064"/>
      <c r="R5272" s="1064"/>
    </row>
    <row r="5273" spans="1:18" ht="18">
      <c r="A5273" s="688" t="s">
        <v>31</v>
      </c>
      <c r="B5273" s="676"/>
      <c r="C5273" s="676"/>
      <c r="D5273" s="676"/>
      <c r="E5273" s="676"/>
      <c r="F5273" s="677"/>
      <c r="G5273" s="676"/>
      <c r="H5273" s="677"/>
      <c r="I5273" s="1848"/>
      <c r="J5273" s="676"/>
      <c r="K5273" s="689"/>
      <c r="L5273" s="677"/>
      <c r="M5273" s="676"/>
      <c r="N5273" s="677"/>
      <c r="O5273" s="676"/>
      <c r="P5273" s="2010"/>
      <c r="Q5273" s="1064"/>
      <c r="R5273" s="1064"/>
    </row>
    <row r="5274" spans="1:18" ht="18">
      <c r="A5274" s="690"/>
      <c r="B5274" s="691"/>
      <c r="C5274" s="691"/>
      <c r="D5274" s="691"/>
      <c r="E5274" s="691"/>
      <c r="F5274" s="840"/>
      <c r="G5274" s="691"/>
      <c r="H5274" s="840"/>
      <c r="I5274" s="1849"/>
      <c r="J5274" s="691"/>
      <c r="K5274" s="693"/>
      <c r="L5274" s="840"/>
      <c r="M5274" s="691"/>
      <c r="N5274" s="840"/>
      <c r="O5274" s="691"/>
      <c r="P5274" s="2010"/>
      <c r="Q5274" s="1064"/>
      <c r="R5274" s="1064"/>
    </row>
    <row r="5275" spans="1:18" ht="18.600000000000001" thickBot="1">
      <c r="A5275" s="1982" t="s">
        <v>32</v>
      </c>
      <c r="B5275" s="1983"/>
      <c r="C5275" s="1984" t="s">
        <v>33</v>
      </c>
      <c r="D5275" s="1985"/>
      <c r="E5275" s="694" t="s">
        <v>34</v>
      </c>
      <c r="F5275" s="694" t="s">
        <v>35</v>
      </c>
      <c r="G5275" s="1986" t="s">
        <v>36</v>
      </c>
      <c r="H5275" s="1987"/>
      <c r="I5275" s="1987"/>
      <c r="J5275" s="1987"/>
      <c r="K5275" s="1987"/>
      <c r="L5275" s="1987"/>
      <c r="M5275" s="1987"/>
      <c r="N5275" s="1987"/>
      <c r="O5275" s="1987"/>
      <c r="P5275" s="2010"/>
      <c r="Q5275" s="1064"/>
      <c r="R5275" s="1064"/>
    </row>
    <row r="5276" spans="1:18" ht="18">
      <c r="A5276" s="1988"/>
      <c r="B5276" s="1989"/>
      <c r="C5276" s="1990"/>
      <c r="D5276" s="1989"/>
      <c r="E5276" s="841"/>
      <c r="F5276" s="838"/>
      <c r="G5276" s="1991"/>
      <c r="H5276" s="1992"/>
      <c r="I5276" s="1992"/>
      <c r="J5276" s="1992"/>
      <c r="K5276" s="1992"/>
      <c r="L5276" s="1992"/>
      <c r="M5276" s="1992"/>
      <c r="N5276" s="1992"/>
      <c r="O5276" s="1992"/>
      <c r="P5276" s="2010"/>
      <c r="Q5276" s="1064"/>
      <c r="R5276" s="1064"/>
    </row>
    <row r="5277" spans="1:18" ht="18">
      <c r="A5277" s="1997" t="s">
        <v>37</v>
      </c>
      <c r="B5277" s="1998"/>
      <c r="C5277" s="1990"/>
      <c r="D5277" s="1989"/>
      <c r="E5277" s="841"/>
      <c r="F5277" s="838"/>
      <c r="G5277" s="1993"/>
      <c r="H5277" s="1994"/>
      <c r="I5277" s="1994"/>
      <c r="J5277" s="1994"/>
      <c r="K5277" s="1994"/>
      <c r="L5277" s="1994"/>
      <c r="M5277" s="1994"/>
      <c r="N5277" s="1994"/>
      <c r="O5277" s="1994"/>
      <c r="P5277" s="2010"/>
      <c r="Q5277" s="1064"/>
      <c r="R5277" s="1064"/>
    </row>
    <row r="5278" spans="1:18" ht="18">
      <c r="A5278" s="1997" t="s">
        <v>38</v>
      </c>
      <c r="B5278" s="1998"/>
      <c r="C5278" s="1990"/>
      <c r="D5278" s="1989"/>
      <c r="E5278" s="841"/>
      <c r="F5278" s="838"/>
      <c r="G5278" s="1993"/>
      <c r="H5278" s="1994"/>
      <c r="I5278" s="1994"/>
      <c r="J5278" s="1994"/>
      <c r="K5278" s="1994"/>
      <c r="L5278" s="1994"/>
      <c r="M5278" s="1994"/>
      <c r="N5278" s="1994"/>
      <c r="O5278" s="1994"/>
      <c r="P5278" s="2010"/>
      <c r="Q5278" s="1064"/>
      <c r="R5278" s="1064"/>
    </row>
    <row r="5279" spans="1:18" ht="18">
      <c r="A5279" s="1997" t="s">
        <v>39</v>
      </c>
      <c r="B5279" s="1998"/>
      <c r="C5279" s="1990"/>
      <c r="D5279" s="1989"/>
      <c r="E5279" s="841"/>
      <c r="F5279" s="838"/>
      <c r="G5279" s="1993"/>
      <c r="H5279" s="1994"/>
      <c r="I5279" s="1994"/>
      <c r="J5279" s="1994"/>
      <c r="K5279" s="1994"/>
      <c r="L5279" s="1994"/>
      <c r="M5279" s="1994"/>
      <c r="N5279" s="1994"/>
      <c r="O5279" s="1994"/>
      <c r="P5279" s="2010"/>
      <c r="Q5279" s="1064"/>
      <c r="R5279" s="1064"/>
    </row>
    <row r="5280" spans="1:18" ht="18">
      <c r="A5280" s="1997" t="s">
        <v>40</v>
      </c>
      <c r="B5280" s="1998"/>
      <c r="C5280" s="1990"/>
      <c r="D5280" s="1989"/>
      <c r="E5280" s="841"/>
      <c r="F5280" s="838"/>
      <c r="G5280" s="1993"/>
      <c r="H5280" s="1994"/>
      <c r="I5280" s="1994"/>
      <c r="J5280" s="1994"/>
      <c r="K5280" s="1994"/>
      <c r="L5280" s="1994"/>
      <c r="M5280" s="1994"/>
      <c r="N5280" s="1994"/>
      <c r="O5280" s="1994"/>
      <c r="P5280" s="2010"/>
      <c r="Q5280" s="1064"/>
      <c r="R5280" s="1064"/>
    </row>
    <row r="5281" spans="1:19" ht="18.600000000000001" thickBot="1">
      <c r="A5281" s="1999" t="s">
        <v>41</v>
      </c>
      <c r="B5281" s="2000"/>
      <c r="C5281" s="2001"/>
      <c r="D5281" s="2002"/>
      <c r="E5281" s="696"/>
      <c r="F5281" s="839"/>
      <c r="G5281" s="1995"/>
      <c r="H5281" s="1996"/>
      <c r="I5281" s="1996"/>
      <c r="J5281" s="1996"/>
      <c r="K5281" s="1996"/>
      <c r="L5281" s="1996"/>
      <c r="M5281" s="1996"/>
      <c r="N5281" s="1996"/>
      <c r="O5281" s="1996"/>
      <c r="P5281" s="2010"/>
      <c r="Q5281" s="1064"/>
      <c r="R5281" s="1064"/>
    </row>
    <row r="5282" spans="1:19" ht="18">
      <c r="A5282" s="690"/>
      <c r="B5282" s="691"/>
      <c r="C5282" s="691"/>
      <c r="D5282" s="691"/>
      <c r="E5282" s="691"/>
      <c r="F5282" s="840"/>
      <c r="G5282" s="691"/>
      <c r="H5282" s="698"/>
      <c r="I5282" s="699"/>
      <c r="J5282" s="700"/>
      <c r="K5282" s="701"/>
      <c r="L5282" s="702"/>
      <c r="M5282" s="691"/>
      <c r="N5282" s="840"/>
      <c r="O5282" s="691"/>
      <c r="P5282" s="2010"/>
      <c r="Q5282" s="1064"/>
      <c r="R5282" s="1064"/>
    </row>
    <row r="5283" spans="1:19" ht="18">
      <c r="A5283" s="703" t="s">
        <v>42</v>
      </c>
      <c r="B5283" s="704"/>
      <c r="C5283" s="691"/>
      <c r="D5283" s="691"/>
      <c r="E5283" s="691"/>
      <c r="F5283" s="840"/>
      <c r="G5283" s="704"/>
      <c r="H5283" s="698"/>
      <c r="I5283" s="699"/>
      <c r="J5283" s="700"/>
      <c r="K5283" s="693"/>
      <c r="L5283" s="705"/>
      <c r="M5283" s="691"/>
      <c r="N5283" s="1979" t="s">
        <v>43</v>
      </c>
      <c r="O5283" s="1979"/>
      <c r="P5283" s="2010"/>
      <c r="Q5283" s="1064"/>
      <c r="R5283" s="1064"/>
    </row>
    <row r="5284" spans="1:19" ht="18">
      <c r="A5284" s="703"/>
      <c r="B5284" s="704"/>
      <c r="C5284" s="691"/>
      <c r="D5284" s="691"/>
      <c r="E5284" s="691"/>
      <c r="F5284" s="840"/>
      <c r="G5284" s="691"/>
      <c r="H5284" s="840"/>
      <c r="I5284" s="1849"/>
      <c r="J5284" s="691"/>
      <c r="K5284" s="693"/>
      <c r="L5284" s="840"/>
      <c r="M5284" s="691"/>
      <c r="N5284" s="840"/>
      <c r="O5284" s="704"/>
      <c r="P5284" s="2010"/>
      <c r="Q5284" s="1064"/>
      <c r="R5284" s="1064"/>
    </row>
    <row r="5285" spans="1:19" ht="18">
      <c r="A5285" s="703" t="s">
        <v>44</v>
      </c>
      <c r="B5285" s="704"/>
      <c r="C5285" s="691"/>
      <c r="D5285" s="691"/>
      <c r="E5285" s="691"/>
      <c r="F5285" s="840"/>
      <c r="G5285" s="691"/>
      <c r="H5285" s="840"/>
      <c r="I5285" s="1849"/>
      <c r="J5285" s="691"/>
      <c r="K5285" s="693"/>
      <c r="L5285" s="840"/>
      <c r="M5285" s="691"/>
      <c r="N5285" s="1979" t="s">
        <v>45</v>
      </c>
      <c r="O5285" s="1979"/>
      <c r="P5285" s="2010"/>
      <c r="Q5285" s="1064"/>
      <c r="R5285" s="1064"/>
    </row>
    <row r="5286" spans="1:19" ht="18.600000000000001" thickBot="1">
      <c r="A5286" s="682"/>
      <c r="B5286" s="683"/>
      <c r="C5286" s="683"/>
      <c r="D5286" s="683"/>
      <c r="E5286" s="683"/>
      <c r="F5286" s="684"/>
      <c r="G5286" s="683"/>
      <c r="H5286" s="684"/>
      <c r="I5286" s="1850"/>
      <c r="J5286" s="683"/>
      <c r="K5286" s="706"/>
      <c r="L5286" s="684"/>
      <c r="M5286" s="683"/>
      <c r="N5286" s="684"/>
      <c r="O5286" s="683"/>
      <c r="P5286" s="2010"/>
      <c r="Q5286" s="1064"/>
      <c r="R5286" s="1064"/>
    </row>
    <row r="5290" spans="1:19" ht="17.399999999999999">
      <c r="A5290" s="711" t="s">
        <v>48</v>
      </c>
      <c r="B5290" s="711"/>
      <c r="C5290" s="712"/>
      <c r="D5290" s="712"/>
      <c r="E5290" s="712"/>
      <c r="F5290" s="713"/>
      <c r="G5290" s="712"/>
      <c r="H5290" s="712"/>
      <c r="I5290" s="714"/>
      <c r="J5290" s="715"/>
      <c r="K5290" s="716"/>
      <c r="L5290" s="1978" t="s">
        <v>0</v>
      </c>
      <c r="M5290" s="1978"/>
      <c r="N5290" s="1978"/>
      <c r="O5290" s="1978"/>
      <c r="P5290" s="717"/>
      <c r="Q5290" s="717"/>
      <c r="R5290" s="717"/>
    </row>
    <row r="5291" spans="1:19" ht="17.399999999999999">
      <c r="A5291" s="718" t="s">
        <v>1</v>
      </c>
      <c r="B5291" s="718"/>
      <c r="C5291" s="718"/>
      <c r="D5291" s="719" t="s">
        <v>2</v>
      </c>
      <c r="E5291" s="719"/>
      <c r="F5291" s="720"/>
      <c r="G5291" s="720"/>
      <c r="H5291" s="720"/>
      <c r="I5291" s="721"/>
      <c r="J5291" s="856"/>
      <c r="K5291" s="723" t="s">
        <v>3</v>
      </c>
      <c r="L5291" s="856"/>
      <c r="M5291" s="718"/>
      <c r="N5291" s="720"/>
      <c r="O5291" s="718"/>
      <c r="P5291" s="724"/>
      <c r="Q5291" s="1059"/>
      <c r="R5291" s="1059"/>
    </row>
    <row r="5292" spans="1:19" ht="52.2">
      <c r="A5292" s="640" t="s">
        <v>4</v>
      </c>
      <c r="B5292" s="640" t="s">
        <v>5</v>
      </c>
      <c r="C5292" s="640" t="s">
        <v>6</v>
      </c>
      <c r="D5292" s="640" t="s">
        <v>7</v>
      </c>
      <c r="E5292" s="640" t="s">
        <v>8</v>
      </c>
      <c r="F5292" s="641" t="s">
        <v>9</v>
      </c>
      <c r="G5292" s="642" t="s">
        <v>10</v>
      </c>
      <c r="H5292" s="642" t="s">
        <v>11</v>
      </c>
      <c r="I5292" s="643" t="s">
        <v>12</v>
      </c>
      <c r="J5292" s="644" t="s">
        <v>13</v>
      </c>
      <c r="K5292" s="645" t="s">
        <v>14</v>
      </c>
      <c r="L5292" s="646" t="s">
        <v>15</v>
      </c>
      <c r="M5292" s="641" t="s">
        <v>16</v>
      </c>
      <c r="N5292" s="641" t="s">
        <v>17</v>
      </c>
      <c r="O5292" s="642" t="s">
        <v>18</v>
      </c>
      <c r="P5292" s="641" t="s">
        <v>192</v>
      </c>
      <c r="Q5292" s="1063"/>
      <c r="R5292" s="1063"/>
    </row>
    <row r="5293" spans="1:19" ht="17.399999999999999">
      <c r="A5293" s="547" t="s">
        <v>445</v>
      </c>
      <c r="B5293" s="547" t="s">
        <v>487</v>
      </c>
      <c r="C5293" s="547" t="s">
        <v>19</v>
      </c>
      <c r="D5293" s="547" t="s">
        <v>20</v>
      </c>
      <c r="E5293" s="547" t="s">
        <v>47</v>
      </c>
      <c r="F5293" s="549">
        <v>16</v>
      </c>
      <c r="G5293" s="549" t="s">
        <v>21</v>
      </c>
      <c r="H5293" s="599" t="s">
        <v>182</v>
      </c>
      <c r="I5293" s="558">
        <v>44.2</v>
      </c>
      <c r="J5293" s="567">
        <v>8.5</v>
      </c>
      <c r="K5293" s="648">
        <v>3</v>
      </c>
      <c r="L5293" s="552">
        <f>(I5293*J5293*K5293/1000)</f>
        <v>1.1271000000000002</v>
      </c>
      <c r="M5293" s="549"/>
      <c r="N5293" s="549"/>
      <c r="O5293" s="549"/>
      <c r="P5293" s="549"/>
      <c r="Q5293" s="1059"/>
      <c r="R5293" s="1059"/>
      <c r="S5293" s="497" t="s">
        <v>602</v>
      </c>
    </row>
    <row r="5294" spans="1:19" ht="17.399999999999999">
      <c r="A5294" s="547"/>
      <c r="B5294" s="752" t="s">
        <v>439</v>
      </c>
      <c r="C5294" s="547"/>
      <c r="D5294" s="547"/>
      <c r="E5294" s="547"/>
      <c r="F5294" s="549"/>
      <c r="G5294" s="549"/>
      <c r="H5294" s="549"/>
      <c r="I5294" s="558"/>
      <c r="J5294" s="567"/>
      <c r="K5294" s="648">
        <f t="shared" ref="K5294" si="1074">SUM(K5293)</f>
        <v>3</v>
      </c>
      <c r="L5294" s="567">
        <f>SUM(L5293)</f>
        <v>1.1271000000000002</v>
      </c>
      <c r="M5294" s="549"/>
      <c r="N5294" s="549"/>
      <c r="O5294" s="549"/>
      <c r="P5294" s="549"/>
      <c r="Q5294" s="1059"/>
      <c r="R5294" s="1059"/>
    </row>
    <row r="5295" spans="1:19" ht="17.399999999999999">
      <c r="A5295" s="549"/>
      <c r="B5295" s="549"/>
      <c r="C5295" s="549"/>
      <c r="D5295" s="549"/>
      <c r="E5295" s="549"/>
      <c r="F5295" s="549"/>
      <c r="G5295" s="549"/>
      <c r="H5295" s="549"/>
      <c r="I5295" s="560"/>
      <c r="J5295" s="549"/>
      <c r="K5295" s="561"/>
      <c r="L5295" s="560"/>
      <c r="M5295" s="549"/>
      <c r="N5295" s="549"/>
      <c r="O5295" s="549"/>
      <c r="P5295" s="549"/>
      <c r="Q5295" s="1059"/>
      <c r="R5295" s="1059"/>
    </row>
    <row r="5296" spans="1:19" ht="17.399999999999999">
      <c r="A5296" s="547" t="s">
        <v>445</v>
      </c>
      <c r="B5296" s="547" t="s">
        <v>513</v>
      </c>
      <c r="C5296" s="547" t="s">
        <v>19</v>
      </c>
      <c r="D5296" s="547" t="s">
        <v>20</v>
      </c>
      <c r="E5296" s="547" t="s">
        <v>57</v>
      </c>
      <c r="F5296" s="549">
        <v>16</v>
      </c>
      <c r="G5296" s="549" t="s">
        <v>21</v>
      </c>
      <c r="H5296" s="599" t="s">
        <v>182</v>
      </c>
      <c r="I5296" s="558">
        <v>44.2</v>
      </c>
      <c r="J5296" s="567">
        <v>9.6999999999999993</v>
      </c>
      <c r="K5296" s="648">
        <v>12</v>
      </c>
      <c r="L5296" s="552">
        <f>(I5296*J5296*K5296/1000)</f>
        <v>5.1448799999999997</v>
      </c>
      <c r="M5296" s="549">
        <v>1</v>
      </c>
      <c r="N5296" s="549">
        <f>J5296*M5296*I5296/1000</f>
        <v>0.42874000000000001</v>
      </c>
      <c r="O5296" s="549"/>
      <c r="P5296" s="549"/>
      <c r="Q5296" s="1059"/>
      <c r="R5296" s="1059"/>
      <c r="S5296" s="497" t="s">
        <v>602</v>
      </c>
    </row>
    <row r="5297" spans="1:21" ht="17.399999999999999">
      <c r="A5297" s="549"/>
      <c r="B5297" s="549" t="s">
        <v>423</v>
      </c>
      <c r="C5297" s="549"/>
      <c r="D5297" s="549"/>
      <c r="E5297" s="549"/>
      <c r="F5297" s="549"/>
      <c r="G5297" s="549"/>
      <c r="H5297" s="549"/>
      <c r="I5297" s="558"/>
      <c r="J5297" s="567"/>
      <c r="K5297" s="648">
        <f>SUM(K5296:K5296)</f>
        <v>12</v>
      </c>
      <c r="L5297" s="567">
        <f>SUM(L5296:L5296)</f>
        <v>5.1448799999999997</v>
      </c>
      <c r="M5297" s="648">
        <f>SUM(M5296:M5296)</f>
        <v>1</v>
      </c>
      <c r="N5297" s="567">
        <f>SUM(N5296:N5296)</f>
        <v>0.42874000000000001</v>
      </c>
      <c r="O5297" s="549"/>
      <c r="P5297" s="549"/>
      <c r="Q5297" s="1059"/>
      <c r="R5297" s="1059"/>
    </row>
    <row r="5298" spans="1:21" ht="17.399999999999999">
      <c r="A5298" s="549"/>
      <c r="B5298" s="549"/>
      <c r="C5298" s="549"/>
      <c r="D5298" s="549"/>
      <c r="E5298" s="549"/>
      <c r="F5298" s="549"/>
      <c r="G5298" s="549"/>
      <c r="H5298" s="549"/>
      <c r="I5298" s="560"/>
      <c r="J5298" s="549"/>
      <c r="K5298" s="561"/>
      <c r="L5298" s="560"/>
      <c r="M5298" s="549"/>
      <c r="N5298" s="549"/>
      <c r="O5298" s="549"/>
      <c r="P5298" s="549"/>
      <c r="Q5298" s="1059"/>
      <c r="R5298" s="1059"/>
    </row>
    <row r="5299" spans="1:21" ht="17.399999999999999">
      <c r="A5299" s="547" t="s">
        <v>445</v>
      </c>
      <c r="B5299" s="547" t="s">
        <v>488</v>
      </c>
      <c r="C5299" s="547" t="s">
        <v>19</v>
      </c>
      <c r="D5299" s="547" t="s">
        <v>20</v>
      </c>
      <c r="E5299" s="547" t="s">
        <v>47</v>
      </c>
      <c r="F5299" s="549">
        <v>16</v>
      </c>
      <c r="G5299" s="549" t="s">
        <v>21</v>
      </c>
      <c r="H5299" s="599" t="s">
        <v>182</v>
      </c>
      <c r="I5299" s="558">
        <v>44.2</v>
      </c>
      <c r="J5299" s="567">
        <v>8.5</v>
      </c>
      <c r="K5299" s="648">
        <v>16</v>
      </c>
      <c r="L5299" s="552">
        <f>(I5299*J5299*K5299/1000)</f>
        <v>6.0112000000000005</v>
      </c>
      <c r="M5299" s="549">
        <v>1</v>
      </c>
      <c r="N5299" s="549">
        <f>J5299*M5299*I5299/1000</f>
        <v>0.37570000000000003</v>
      </c>
      <c r="O5299" s="549"/>
      <c r="P5299" s="549"/>
      <c r="Q5299" s="1059"/>
      <c r="R5299" s="1059"/>
    </row>
    <row r="5300" spans="1:21" ht="22.5" customHeight="1">
      <c r="A5300" s="547"/>
      <c r="B5300" s="752" t="s">
        <v>439</v>
      </c>
      <c r="C5300" s="547"/>
      <c r="D5300" s="547"/>
      <c r="E5300" s="547"/>
      <c r="F5300" s="549"/>
      <c r="G5300" s="549"/>
      <c r="H5300" s="549"/>
      <c r="I5300" s="558"/>
      <c r="J5300" s="567"/>
      <c r="K5300" s="648">
        <f t="shared" ref="K5300:M5300" si="1075">SUM(K5299)</f>
        <v>16</v>
      </c>
      <c r="L5300" s="567">
        <f>SUM(L5299)</f>
        <v>6.0112000000000005</v>
      </c>
      <c r="M5300" s="648">
        <f t="shared" si="1075"/>
        <v>1</v>
      </c>
      <c r="N5300" s="567">
        <f>SUM(N5299)</f>
        <v>0.37570000000000003</v>
      </c>
      <c r="O5300" s="549"/>
      <c r="P5300" s="549"/>
      <c r="Q5300" s="1059"/>
      <c r="R5300" s="1059"/>
    </row>
    <row r="5301" spans="1:21" s="497" customFormat="1" ht="22.5" customHeight="1">
      <c r="A5301" s="547"/>
      <c r="B5301" s="752"/>
      <c r="C5301" s="547"/>
      <c r="D5301" s="547"/>
      <c r="E5301" s="547"/>
      <c r="F5301" s="549"/>
      <c r="G5301" s="549"/>
      <c r="H5301" s="549"/>
      <c r="I5301" s="558"/>
      <c r="J5301" s="567"/>
      <c r="K5301" s="648"/>
      <c r="L5301" s="567"/>
      <c r="M5301" s="549"/>
      <c r="N5301" s="549"/>
      <c r="O5301" s="549"/>
      <c r="P5301" s="549"/>
      <c r="Q5301" s="1059"/>
      <c r="R5301" s="1059"/>
    </row>
    <row r="5302" spans="1:21" ht="17.399999999999999">
      <c r="A5302" s="547" t="s">
        <v>445</v>
      </c>
      <c r="B5302" s="547" t="s">
        <v>517</v>
      </c>
      <c r="C5302" s="547" t="s">
        <v>19</v>
      </c>
      <c r="D5302" s="547" t="s">
        <v>20</v>
      </c>
      <c r="E5302" s="547" t="s">
        <v>57</v>
      </c>
      <c r="F5302" s="549">
        <v>16</v>
      </c>
      <c r="G5302" s="549" t="s">
        <v>21</v>
      </c>
      <c r="H5302" s="599" t="s">
        <v>182</v>
      </c>
      <c r="I5302" s="558">
        <v>44.2</v>
      </c>
      <c r="J5302" s="567">
        <v>6.5</v>
      </c>
      <c r="K5302" s="648">
        <v>7</v>
      </c>
      <c r="L5302" s="552">
        <f>(I5302*J5302*K5302/1000)</f>
        <v>2.0111000000000003</v>
      </c>
      <c r="M5302" s="549"/>
      <c r="N5302" s="549"/>
      <c r="O5302" s="549"/>
      <c r="P5302" s="549"/>
      <c r="Q5302" s="1059"/>
      <c r="R5302" s="1059"/>
      <c r="S5302" s="497" t="s">
        <v>602</v>
      </c>
    </row>
    <row r="5303" spans="1:21" ht="17.399999999999999">
      <c r="A5303" s="547"/>
      <c r="B5303" s="549" t="s">
        <v>423</v>
      </c>
      <c r="C5303" s="547"/>
      <c r="D5303" s="547"/>
      <c r="E5303" s="547"/>
      <c r="F5303" s="549"/>
      <c r="G5303" s="549"/>
      <c r="H5303" s="549"/>
      <c r="I5303" s="558"/>
      <c r="J5303" s="567"/>
      <c r="K5303" s="648">
        <f t="shared" ref="K5303" si="1076">SUM(K5302)</f>
        <v>7</v>
      </c>
      <c r="L5303" s="567">
        <f>SUM(L5302)</f>
        <v>2.0111000000000003</v>
      </c>
      <c r="M5303" s="549"/>
      <c r="N5303" s="549"/>
      <c r="O5303" s="549"/>
      <c r="P5303" s="549"/>
      <c r="Q5303" s="1059"/>
      <c r="R5303" s="1059"/>
    </row>
    <row r="5304" spans="1:21" s="497" customFormat="1" ht="17.399999999999999">
      <c r="A5304" s="547"/>
      <c r="B5304" s="549"/>
      <c r="C5304" s="547"/>
      <c r="D5304" s="547"/>
      <c r="E5304" s="547"/>
      <c r="F5304" s="549"/>
      <c r="G5304" s="549"/>
      <c r="H5304" s="549"/>
      <c r="I5304" s="558"/>
      <c r="J5304" s="567"/>
      <c r="K5304" s="648"/>
      <c r="L5304" s="567"/>
      <c r="M5304" s="549"/>
      <c r="N5304" s="549"/>
      <c r="O5304" s="549"/>
      <c r="P5304" s="549"/>
      <c r="Q5304" s="1059"/>
      <c r="R5304" s="1059"/>
    </row>
    <row r="5305" spans="1:21" s="497" customFormat="1" ht="17.399999999999999">
      <c r="A5305" s="547" t="s">
        <v>541</v>
      </c>
      <c r="B5305" s="547" t="s">
        <v>559</v>
      </c>
      <c r="C5305" s="547" t="s">
        <v>19</v>
      </c>
      <c r="D5305" s="547" t="s">
        <v>20</v>
      </c>
      <c r="E5305" s="547" t="s">
        <v>57</v>
      </c>
      <c r="F5305" s="549">
        <v>16</v>
      </c>
      <c r="G5305" s="869" t="s">
        <v>21</v>
      </c>
      <c r="H5305" s="900" t="s">
        <v>182</v>
      </c>
      <c r="I5305" s="1881">
        <v>44.2</v>
      </c>
      <c r="J5305" s="567">
        <v>6.5</v>
      </c>
      <c r="K5305" s="757">
        <v>4</v>
      </c>
      <c r="L5305" s="552">
        <f t="shared" ref="L5305:L5307" si="1077">(I5305*J5305*K5305/1000)</f>
        <v>1.1492</v>
      </c>
      <c r="M5305" s="549"/>
      <c r="N5305" s="549"/>
      <c r="O5305" s="756">
        <v>6.3</v>
      </c>
      <c r="P5305" s="549"/>
      <c r="Q5305" s="1059"/>
      <c r="R5305" s="1059"/>
      <c r="S5305" s="497" t="s">
        <v>602</v>
      </c>
    </row>
    <row r="5306" spans="1:21" s="497" customFormat="1" ht="17.399999999999999">
      <c r="A5306" s="547"/>
      <c r="B5306" s="549" t="s">
        <v>564</v>
      </c>
      <c r="C5306" s="547"/>
      <c r="D5306" s="547"/>
      <c r="E5306" s="547"/>
      <c r="F5306" s="549"/>
      <c r="G5306" s="869" t="s">
        <v>21</v>
      </c>
      <c r="H5306" s="869" t="s">
        <v>182</v>
      </c>
      <c r="I5306" s="1881">
        <v>44.2</v>
      </c>
      <c r="J5306" s="756">
        <v>11.3</v>
      </c>
      <c r="K5306" s="757">
        <v>4</v>
      </c>
      <c r="L5306" s="552">
        <f t="shared" si="1077"/>
        <v>1.9978400000000001</v>
      </c>
      <c r="M5306" s="549"/>
      <c r="N5306" s="549"/>
      <c r="O5306" s="756">
        <v>11</v>
      </c>
      <c r="P5306" s="549"/>
      <c r="Q5306" s="1059"/>
      <c r="R5306" s="1059"/>
    </row>
    <row r="5307" spans="1:21" s="497" customFormat="1" ht="17.399999999999999">
      <c r="A5307" s="547"/>
      <c r="B5307" s="549"/>
      <c r="C5307" s="547"/>
      <c r="D5307" s="547"/>
      <c r="E5307" s="547"/>
      <c r="F5307" s="549"/>
      <c r="G5307" s="869" t="s">
        <v>21</v>
      </c>
      <c r="H5307" s="869" t="s">
        <v>182</v>
      </c>
      <c r="I5307" s="1881">
        <v>44.2</v>
      </c>
      <c r="J5307" s="756">
        <v>11.3</v>
      </c>
      <c r="K5307" s="757">
        <v>3</v>
      </c>
      <c r="L5307" s="552">
        <f t="shared" si="1077"/>
        <v>1.49838</v>
      </c>
      <c r="M5307" s="549"/>
      <c r="N5307" s="549"/>
      <c r="O5307" s="549"/>
      <c r="P5307" s="549"/>
      <c r="Q5307" s="1059"/>
      <c r="R5307" s="1059"/>
    </row>
    <row r="5308" spans="1:21" s="497" customFormat="1" ht="17.399999999999999">
      <c r="A5308" s="547"/>
      <c r="B5308" s="549"/>
      <c r="C5308" s="547"/>
      <c r="D5308" s="547"/>
      <c r="E5308" s="547"/>
      <c r="F5308" s="549"/>
      <c r="G5308" s="869"/>
      <c r="H5308" s="650"/>
      <c r="I5308" s="1882"/>
      <c r="J5308" s="871"/>
      <c r="K5308" s="757">
        <f>SUM(K5305:K5307)</f>
        <v>11</v>
      </c>
      <c r="L5308" s="756">
        <f>SUM(L5305:L5307)</f>
        <v>4.6454199999999997</v>
      </c>
      <c r="M5308" s="549"/>
      <c r="N5308" s="549"/>
      <c r="O5308" s="549"/>
      <c r="P5308" s="549"/>
      <c r="Q5308" s="1059"/>
      <c r="R5308" s="1059"/>
    </row>
    <row r="5309" spans="1:21" s="497" customFormat="1" ht="17.399999999999999">
      <c r="A5309" s="547"/>
      <c r="B5309" s="752"/>
      <c r="C5309" s="547"/>
      <c r="D5309" s="547"/>
      <c r="E5309" s="547"/>
      <c r="F5309" s="549"/>
      <c r="G5309" s="549"/>
      <c r="H5309" s="549"/>
      <c r="I5309" s="558"/>
      <c r="J5309" s="567"/>
      <c r="K5309" s="648">
        <f>SUM(K5293:K5308)/2</f>
        <v>49</v>
      </c>
      <c r="L5309" s="567">
        <f>SUM(L5293:L5308)/2</f>
        <v>18.939700000000002</v>
      </c>
      <c r="M5309" s="648">
        <f>SUM(M5293:M5308)/2</f>
        <v>2</v>
      </c>
      <c r="N5309" s="567">
        <f>SUM(N5293:N5308)/2</f>
        <v>0.80444000000000004</v>
      </c>
      <c r="O5309" s="549"/>
      <c r="P5309" s="549"/>
      <c r="Q5309" s="1059"/>
      <c r="R5309" s="1059"/>
    </row>
    <row r="5310" spans="1:21" s="497" customFormat="1" ht="17.399999999999999">
      <c r="A5310" s="547"/>
      <c r="B5310" s="752"/>
      <c r="C5310" s="547"/>
      <c r="D5310" s="547"/>
      <c r="E5310" s="547"/>
      <c r="F5310" s="549"/>
      <c r="G5310" s="549"/>
      <c r="H5310" s="549"/>
      <c r="I5310" s="558"/>
      <c r="J5310" s="567"/>
      <c r="K5310" s="648"/>
      <c r="L5310" s="567"/>
      <c r="M5310" s="549"/>
      <c r="N5310" s="549"/>
      <c r="O5310" s="549"/>
      <c r="P5310" s="549"/>
      <c r="Q5310" s="1059"/>
      <c r="R5310" s="1059"/>
    </row>
    <row r="5311" spans="1:21" s="497" customFormat="1" ht="17.399999999999999">
      <c r="A5311" s="547"/>
      <c r="B5311" s="752"/>
      <c r="C5311" s="547"/>
      <c r="D5311" s="547"/>
      <c r="E5311" s="547"/>
      <c r="F5311" s="549"/>
      <c r="G5311" s="549"/>
      <c r="H5311" s="549"/>
      <c r="I5311" s="558"/>
      <c r="J5311" s="567"/>
      <c r="K5311" s="648"/>
      <c r="L5311" s="567"/>
      <c r="M5311" s="549"/>
      <c r="N5311" s="549"/>
      <c r="O5311" s="549"/>
      <c r="P5311" s="549"/>
      <c r="Q5311" s="1059"/>
      <c r="R5311" s="1059"/>
    </row>
    <row r="5312" spans="1:21" ht="17.399999999999999">
      <c r="A5312" s="547" t="s">
        <v>445</v>
      </c>
      <c r="B5312" s="547" t="s">
        <v>516</v>
      </c>
      <c r="C5312" s="547" t="s">
        <v>19</v>
      </c>
      <c r="D5312" s="547" t="s">
        <v>20</v>
      </c>
      <c r="E5312" s="547" t="s">
        <v>264</v>
      </c>
      <c r="F5312" s="549">
        <v>16</v>
      </c>
      <c r="G5312" s="549" t="s">
        <v>21</v>
      </c>
      <c r="H5312" s="599" t="s">
        <v>181</v>
      </c>
      <c r="I5312" s="558">
        <v>40.1</v>
      </c>
      <c r="J5312" s="567">
        <v>6.15</v>
      </c>
      <c r="K5312" s="648">
        <v>8</v>
      </c>
      <c r="L5312" s="552">
        <f>(I5312*J5312*K5312/1000)</f>
        <v>1.97292</v>
      </c>
      <c r="M5312" s="549">
        <v>1</v>
      </c>
      <c r="N5312" s="549">
        <f>J5312*M5312*I5312/1000</f>
        <v>0.246615</v>
      </c>
      <c r="O5312" s="549"/>
      <c r="P5312" s="549"/>
      <c r="Q5312" s="1059"/>
      <c r="R5312" s="1059"/>
      <c r="S5312">
        <v>7</v>
      </c>
      <c r="T5312" s="126">
        <f>J5312*S5312*I5312/1000</f>
        <v>1.7263050000000002</v>
      </c>
      <c r="U5312" s="497" t="s">
        <v>602</v>
      </c>
    </row>
    <row r="5313" spans="1:23" ht="17.399999999999999">
      <c r="A5313" s="549"/>
      <c r="B5313" s="549" t="s">
        <v>421</v>
      </c>
      <c r="C5313" s="549"/>
      <c r="D5313" s="549"/>
      <c r="E5313" s="549"/>
      <c r="F5313" s="549"/>
      <c r="G5313" s="549"/>
      <c r="H5313" s="549"/>
      <c r="I5313" s="558"/>
      <c r="J5313" s="567"/>
      <c r="K5313" s="648">
        <f>SUM(K5312:K5312)</f>
        <v>8</v>
      </c>
      <c r="L5313" s="567">
        <f>SUM(L5312:L5312)</f>
        <v>1.97292</v>
      </c>
      <c r="M5313" s="648">
        <f>SUM(M5312:M5312)</f>
        <v>1</v>
      </c>
      <c r="N5313" s="567">
        <f>SUM(N5312:N5312)</f>
        <v>0.246615</v>
      </c>
      <c r="O5313" s="549"/>
      <c r="P5313" s="549"/>
      <c r="Q5313" s="549"/>
      <c r="R5313" s="549"/>
      <c r="S5313" s="648">
        <f>SUM(S5312:S5312)</f>
        <v>7</v>
      </c>
      <c r="T5313" s="567">
        <f>SUM(T5312:T5312)</f>
        <v>1.7263050000000002</v>
      </c>
    </row>
    <row r="5314" spans="1:23" ht="17.399999999999999">
      <c r="A5314" s="549"/>
      <c r="B5314" s="549"/>
      <c r="C5314" s="549"/>
      <c r="D5314" s="549"/>
      <c r="E5314" s="549"/>
      <c r="F5314" s="549"/>
      <c r="G5314" s="549"/>
      <c r="H5314" s="549"/>
      <c r="I5314" s="560"/>
      <c r="J5314" s="549"/>
      <c r="K5314" s="561"/>
      <c r="L5314" s="560"/>
      <c r="M5314" s="549"/>
      <c r="N5314" s="549"/>
      <c r="O5314" s="549"/>
      <c r="P5314" s="549"/>
      <c r="Q5314" s="1059"/>
      <c r="R5314" s="1059"/>
    </row>
    <row r="5315" spans="1:23" ht="17.399999999999999">
      <c r="A5315" s="547" t="s">
        <v>445</v>
      </c>
      <c r="B5315" s="547" t="s">
        <v>487</v>
      </c>
      <c r="C5315" s="547" t="s">
        <v>19</v>
      </c>
      <c r="D5315" s="547" t="s">
        <v>20</v>
      </c>
      <c r="E5315" s="547" t="s">
        <v>47</v>
      </c>
      <c r="F5315" s="549">
        <v>16</v>
      </c>
      <c r="G5315" s="549" t="s">
        <v>21</v>
      </c>
      <c r="H5315" s="599" t="s">
        <v>181</v>
      </c>
      <c r="I5315" s="558">
        <v>40.1</v>
      </c>
      <c r="J5315" s="567">
        <v>8.4</v>
      </c>
      <c r="K5315" s="648">
        <v>2</v>
      </c>
      <c r="L5315" s="552">
        <f t="shared" ref="L5315:L5316" si="1078">(I5315*J5315*K5315/1000)</f>
        <v>0.67368000000000006</v>
      </c>
      <c r="M5315" s="549"/>
      <c r="N5315" s="549"/>
      <c r="O5315" s="549"/>
      <c r="P5315" s="549"/>
      <c r="Q5315" s="1059"/>
      <c r="R5315" s="1059"/>
      <c r="S5315">
        <v>1</v>
      </c>
      <c r="T5315" s="126">
        <f t="shared" ref="T5315:T5316" si="1079">J5315*S5315*I5315/1000</f>
        <v>0.33684000000000003</v>
      </c>
      <c r="U5315" s="497" t="s">
        <v>602</v>
      </c>
    </row>
    <row r="5316" spans="1:23" ht="17.399999999999999">
      <c r="A5316" s="547"/>
      <c r="B5316" s="752" t="s">
        <v>439</v>
      </c>
      <c r="C5316" s="547"/>
      <c r="D5316" s="547"/>
      <c r="E5316" s="547"/>
      <c r="F5316" s="549"/>
      <c r="G5316" s="549" t="s">
        <v>21</v>
      </c>
      <c r="H5316" s="549" t="s">
        <v>181</v>
      </c>
      <c r="I5316" s="558">
        <v>40.1</v>
      </c>
      <c r="J5316" s="567">
        <v>9.8000000000000007</v>
      </c>
      <c r="K5316" s="648">
        <v>5</v>
      </c>
      <c r="L5316" s="552">
        <f t="shared" si="1078"/>
        <v>1.9649000000000001</v>
      </c>
      <c r="M5316" s="549"/>
      <c r="N5316" s="549"/>
      <c r="O5316" s="549"/>
      <c r="P5316" s="549"/>
      <c r="Q5316" s="1059"/>
      <c r="R5316" s="1059"/>
      <c r="S5316">
        <v>1</v>
      </c>
      <c r="T5316" s="126">
        <f t="shared" si="1079"/>
        <v>0.39298</v>
      </c>
    </row>
    <row r="5317" spans="1:23" ht="17.399999999999999">
      <c r="A5317" s="549"/>
      <c r="B5317" s="549"/>
      <c r="C5317" s="549"/>
      <c r="D5317" s="549"/>
      <c r="E5317" s="549"/>
      <c r="F5317" s="549"/>
      <c r="G5317" s="549"/>
      <c r="H5317" s="549"/>
      <c r="I5317" s="558"/>
      <c r="J5317" s="567"/>
      <c r="K5317" s="648">
        <f t="shared" ref="K5317:L5317" si="1080">SUM(K5315:K5316)</f>
        <v>7</v>
      </c>
      <c r="L5317" s="567">
        <f t="shared" si="1080"/>
        <v>2.6385800000000001</v>
      </c>
      <c r="M5317" s="549"/>
      <c r="N5317" s="549"/>
      <c r="O5317" s="549"/>
      <c r="P5317" s="549"/>
      <c r="Q5317" s="549"/>
      <c r="R5317" s="549"/>
      <c r="S5317" s="648">
        <f t="shared" ref="S5317:T5317" si="1081">SUM(S5315:S5316)</f>
        <v>2</v>
      </c>
      <c r="T5317" s="567">
        <f t="shared" si="1081"/>
        <v>0.72982000000000002</v>
      </c>
    </row>
    <row r="5318" spans="1:23" ht="17.399999999999999">
      <c r="A5318" s="549"/>
      <c r="B5318" s="549"/>
      <c r="C5318" s="549"/>
      <c r="D5318" s="549"/>
      <c r="E5318" s="549"/>
      <c r="F5318" s="549"/>
      <c r="G5318" s="549"/>
      <c r="H5318" s="549"/>
      <c r="I5318" s="560"/>
      <c r="J5318" s="549"/>
      <c r="K5318" s="561"/>
      <c r="L5318" s="560"/>
      <c r="M5318" s="549"/>
      <c r="N5318" s="549"/>
      <c r="O5318" s="549"/>
      <c r="P5318" s="549"/>
      <c r="Q5318" s="1059"/>
      <c r="R5318" s="1059"/>
    </row>
    <row r="5319" spans="1:23" ht="17.399999999999999">
      <c r="A5319" s="547" t="s">
        <v>445</v>
      </c>
      <c r="B5319" s="547" t="s">
        <v>517</v>
      </c>
      <c r="C5319" s="547" t="s">
        <v>19</v>
      </c>
      <c r="D5319" s="547" t="s">
        <v>20</v>
      </c>
      <c r="E5319" s="547" t="s">
        <v>57</v>
      </c>
      <c r="F5319" s="549">
        <v>16</v>
      </c>
      <c r="G5319" s="549" t="s">
        <v>21</v>
      </c>
      <c r="H5319" s="599" t="s">
        <v>181</v>
      </c>
      <c r="I5319" s="558">
        <v>40.1</v>
      </c>
      <c r="J5319" s="567">
        <v>6.15</v>
      </c>
      <c r="K5319" s="648">
        <v>16</v>
      </c>
      <c r="L5319" s="552">
        <f t="shared" ref="L5319:L5325" si="1082">(I5319*J5319*K5319/1000)</f>
        <v>3.94584</v>
      </c>
      <c r="M5319" s="549"/>
      <c r="N5319" s="549"/>
      <c r="O5319" s="549"/>
      <c r="P5319" s="549"/>
      <c r="Q5319" s="1059"/>
      <c r="R5319" s="1059"/>
      <c r="S5319">
        <f>2+6</f>
        <v>8</v>
      </c>
      <c r="T5319" s="126">
        <f t="shared" ref="T5319:T5325" si="1083">J5319*S5319*I5319/1000</f>
        <v>1.97292</v>
      </c>
      <c r="U5319">
        <v>8</v>
      </c>
      <c r="V5319" s="126">
        <f>J5319*U5319*I5319/1000</f>
        <v>1.97292</v>
      </c>
      <c r="W5319" s="497" t="s">
        <v>602</v>
      </c>
    </row>
    <row r="5320" spans="1:23" ht="17.399999999999999">
      <c r="A5320" s="547"/>
      <c r="B5320" s="549" t="s">
        <v>423</v>
      </c>
      <c r="C5320" s="547"/>
      <c r="D5320" s="547"/>
      <c r="E5320" s="547"/>
      <c r="F5320" s="549"/>
      <c r="G5320" s="549" t="s">
        <v>21</v>
      </c>
      <c r="H5320" s="549" t="s">
        <v>181</v>
      </c>
      <c r="I5320" s="558">
        <v>40.1</v>
      </c>
      <c r="J5320" s="567">
        <v>6.85</v>
      </c>
      <c r="K5320" s="648">
        <v>30</v>
      </c>
      <c r="L5320" s="552">
        <f t="shared" si="1082"/>
        <v>8.2405499999999989</v>
      </c>
      <c r="M5320" s="549">
        <v>1</v>
      </c>
      <c r="N5320" s="549">
        <f>J5320*M5320*I5320/1000</f>
        <v>0.27468500000000001</v>
      </c>
      <c r="O5320" s="549"/>
      <c r="P5320" s="549"/>
      <c r="Q5320" s="1059"/>
      <c r="R5320" s="1059"/>
      <c r="S5320">
        <f>6+5+4+6</f>
        <v>21</v>
      </c>
      <c r="T5320" s="126">
        <f t="shared" si="1083"/>
        <v>5.7683850000000003</v>
      </c>
      <c r="U5320">
        <f>3+3</f>
        <v>6</v>
      </c>
      <c r="V5320" s="126">
        <f t="shared" ref="V5320:V5325" si="1084">J5320*U5320*I5320/1000</f>
        <v>1.64811</v>
      </c>
    </row>
    <row r="5321" spans="1:23" ht="17.399999999999999">
      <c r="A5321" s="549"/>
      <c r="B5321" s="549"/>
      <c r="C5321" s="549"/>
      <c r="D5321" s="549"/>
      <c r="E5321" s="549"/>
      <c r="F5321" s="549"/>
      <c r="G5321" s="549" t="s">
        <v>21</v>
      </c>
      <c r="H5321" s="549" t="s">
        <v>181</v>
      </c>
      <c r="I5321" s="558">
        <v>40.1</v>
      </c>
      <c r="J5321" s="567">
        <v>8.9</v>
      </c>
      <c r="K5321" s="648">
        <v>24</v>
      </c>
      <c r="L5321" s="552">
        <f t="shared" si="1082"/>
        <v>8.5653600000000001</v>
      </c>
      <c r="M5321" s="549"/>
      <c r="N5321" s="549"/>
      <c r="O5321" s="549"/>
      <c r="P5321" s="549"/>
      <c r="Q5321" s="1059"/>
      <c r="R5321" s="1059"/>
      <c r="S5321">
        <f>2+5+5+2+5</f>
        <v>19</v>
      </c>
      <c r="T5321" s="126">
        <f t="shared" si="1083"/>
        <v>6.7809099999999995</v>
      </c>
      <c r="V5321" s="126">
        <f t="shared" si="1084"/>
        <v>0</v>
      </c>
    </row>
    <row r="5322" spans="1:23" ht="17.399999999999999">
      <c r="A5322" s="549"/>
      <c r="B5322" s="549"/>
      <c r="C5322" s="549"/>
      <c r="D5322" s="549"/>
      <c r="E5322" s="549"/>
      <c r="F5322" s="549"/>
      <c r="G5322" s="549" t="s">
        <v>21</v>
      </c>
      <c r="H5322" s="549" t="s">
        <v>181</v>
      </c>
      <c r="I5322" s="558">
        <v>40.1</v>
      </c>
      <c r="J5322" s="567">
        <v>9.1</v>
      </c>
      <c r="K5322" s="648">
        <v>146</v>
      </c>
      <c r="L5322" s="552">
        <f t="shared" si="1082"/>
        <v>53.276859999999999</v>
      </c>
      <c r="M5322" s="549"/>
      <c r="N5322" s="549"/>
      <c r="O5322" s="549"/>
      <c r="P5322" s="549"/>
      <c r="Q5322" s="1059"/>
      <c r="R5322" s="1059"/>
      <c r="S5322">
        <f>5+3+4+2+5+6+6+6+6</f>
        <v>43</v>
      </c>
      <c r="T5322" s="126">
        <f t="shared" si="1083"/>
        <v>15.691130000000001</v>
      </c>
      <c r="U5322">
        <f>6+6+3+5+4+1+1+6+4+6+6+12+6+24</f>
        <v>90</v>
      </c>
      <c r="V5322" s="126">
        <f t="shared" si="1084"/>
        <v>32.841900000000003</v>
      </c>
    </row>
    <row r="5323" spans="1:23" ht="17.399999999999999">
      <c r="A5323" s="549"/>
      <c r="B5323" s="549"/>
      <c r="C5323" s="549"/>
      <c r="D5323" s="549"/>
      <c r="E5323" s="549"/>
      <c r="F5323" s="549"/>
      <c r="G5323" s="549" t="s">
        <v>21</v>
      </c>
      <c r="H5323" s="549" t="s">
        <v>181</v>
      </c>
      <c r="I5323" s="558">
        <v>40.1</v>
      </c>
      <c r="J5323" s="567">
        <v>9.1999999999999993</v>
      </c>
      <c r="K5323" s="648">
        <v>9</v>
      </c>
      <c r="L5323" s="552">
        <f t="shared" si="1082"/>
        <v>3.3202799999999999</v>
      </c>
      <c r="M5323" s="549"/>
      <c r="N5323" s="549"/>
      <c r="O5323" s="549"/>
      <c r="P5323" s="549"/>
      <c r="Q5323" s="1059"/>
      <c r="R5323" s="1059"/>
      <c r="S5323">
        <f>4+1+2</f>
        <v>7</v>
      </c>
      <c r="T5323" s="126">
        <f t="shared" si="1083"/>
        <v>2.5824399999999996</v>
      </c>
      <c r="U5323">
        <v>2</v>
      </c>
      <c r="V5323" s="126">
        <f t="shared" si="1084"/>
        <v>0.73783999999999994</v>
      </c>
    </row>
    <row r="5324" spans="1:23" ht="17.399999999999999">
      <c r="A5324" s="549"/>
      <c r="B5324" s="549"/>
      <c r="C5324" s="549"/>
      <c r="D5324" s="549"/>
      <c r="E5324" s="549"/>
      <c r="F5324" s="549"/>
      <c r="G5324" s="549" t="s">
        <v>21</v>
      </c>
      <c r="H5324" s="549" t="s">
        <v>181</v>
      </c>
      <c r="I5324" s="558">
        <v>40.1</v>
      </c>
      <c r="J5324" s="567">
        <v>9.6</v>
      </c>
      <c r="K5324" s="648">
        <v>38</v>
      </c>
      <c r="L5324" s="552">
        <f t="shared" si="1082"/>
        <v>14.62848</v>
      </c>
      <c r="M5324" s="549"/>
      <c r="N5324" s="549"/>
      <c r="O5324" s="549"/>
      <c r="P5324" s="549"/>
      <c r="Q5324" s="1059"/>
      <c r="R5324" s="1059"/>
      <c r="S5324">
        <f>5+5+5+5</f>
        <v>20</v>
      </c>
      <c r="T5324" s="126">
        <f t="shared" si="1083"/>
        <v>7.6992000000000012</v>
      </c>
      <c r="U5324">
        <f>6+2</f>
        <v>8</v>
      </c>
      <c r="V5324" s="126">
        <f t="shared" si="1084"/>
        <v>3.0796799999999998</v>
      </c>
    </row>
    <row r="5325" spans="1:23" ht="17.399999999999999">
      <c r="A5325" s="549"/>
      <c r="B5325" s="549"/>
      <c r="C5325" s="549"/>
      <c r="D5325" s="549"/>
      <c r="E5325" s="549"/>
      <c r="F5325" s="549"/>
      <c r="G5325" s="549" t="s">
        <v>21</v>
      </c>
      <c r="H5325" s="549" t="s">
        <v>181</v>
      </c>
      <c r="I5325" s="558">
        <v>40.1</v>
      </c>
      <c r="J5325" s="567">
        <v>10.3</v>
      </c>
      <c r="K5325" s="648">
        <v>3</v>
      </c>
      <c r="L5325" s="552">
        <f t="shared" si="1082"/>
        <v>1.2390900000000002</v>
      </c>
      <c r="M5325" s="549"/>
      <c r="N5325" s="549"/>
      <c r="O5325" s="549"/>
      <c r="P5325" s="549"/>
      <c r="Q5325" s="1059"/>
      <c r="R5325" s="1059"/>
      <c r="S5325">
        <v>3</v>
      </c>
      <c r="T5325" s="126">
        <f t="shared" si="1083"/>
        <v>1.2390900000000002</v>
      </c>
      <c r="V5325" s="126">
        <f t="shared" si="1084"/>
        <v>0</v>
      </c>
    </row>
    <row r="5326" spans="1:23" ht="17.399999999999999">
      <c r="A5326" s="549"/>
      <c r="B5326" s="549"/>
      <c r="C5326" s="549"/>
      <c r="D5326" s="549"/>
      <c r="E5326" s="549"/>
      <c r="F5326" s="549"/>
      <c r="G5326" s="549"/>
      <c r="H5326" s="549"/>
      <c r="I5326" s="558"/>
      <c r="J5326" s="567"/>
      <c r="K5326" s="648">
        <f t="shared" ref="K5326:M5326" si="1085">SUM(K5319:K5325)</f>
        <v>266</v>
      </c>
      <c r="L5326" s="567">
        <f>SUM(L5319:L5325)</f>
        <v>93.216459999999998</v>
      </c>
      <c r="M5326" s="648">
        <f t="shared" si="1085"/>
        <v>1</v>
      </c>
      <c r="N5326" s="567">
        <f>SUM(N5319:N5325)</f>
        <v>0.27468500000000001</v>
      </c>
      <c r="O5326" s="549"/>
      <c r="P5326" s="549"/>
      <c r="Q5326" s="549"/>
      <c r="R5326" s="549"/>
      <c r="S5326" s="648">
        <f t="shared" ref="S5326:V5326" si="1086">SUM(S5319:S5325)</f>
        <v>121</v>
      </c>
      <c r="T5326" s="567">
        <f t="shared" si="1086"/>
        <v>41.734074999999997</v>
      </c>
      <c r="U5326" s="648">
        <f t="shared" si="1086"/>
        <v>114</v>
      </c>
      <c r="V5326" s="567">
        <f t="shared" si="1086"/>
        <v>40.280450000000002</v>
      </c>
    </row>
    <row r="5327" spans="1:23" ht="17.399999999999999">
      <c r="A5327" s="549"/>
      <c r="B5327" s="549"/>
      <c r="C5327" s="549"/>
      <c r="D5327" s="549"/>
      <c r="E5327" s="549"/>
      <c r="F5327" s="549"/>
      <c r="G5327" s="549"/>
      <c r="H5327" s="549"/>
      <c r="I5327" s="560"/>
      <c r="J5327" s="549"/>
      <c r="K5327" s="561"/>
      <c r="L5327" s="560"/>
      <c r="M5327" s="549"/>
      <c r="N5327" s="549"/>
      <c r="O5327" s="549"/>
      <c r="P5327" s="549"/>
      <c r="Q5327" s="1059"/>
      <c r="R5327" s="1059"/>
    </row>
    <row r="5328" spans="1:23" ht="17.399999999999999">
      <c r="A5328" s="547" t="s">
        <v>445</v>
      </c>
      <c r="B5328" s="547" t="s">
        <v>488</v>
      </c>
      <c r="C5328" s="547" t="s">
        <v>19</v>
      </c>
      <c r="D5328" s="547" t="s">
        <v>20</v>
      </c>
      <c r="E5328" s="547" t="s">
        <v>47</v>
      </c>
      <c r="F5328" s="549">
        <v>16</v>
      </c>
      <c r="G5328" s="549" t="s">
        <v>21</v>
      </c>
      <c r="H5328" s="599" t="s">
        <v>181</v>
      </c>
      <c r="I5328" s="558">
        <v>40.1</v>
      </c>
      <c r="J5328" s="890">
        <v>8.5</v>
      </c>
      <c r="K5328" s="648">
        <v>6</v>
      </c>
      <c r="L5328" s="552">
        <f t="shared" ref="L5328:L5329" si="1087">(I5328*J5328*K5328/1000)</f>
        <v>2.0451000000000001</v>
      </c>
      <c r="M5328" s="549"/>
      <c r="N5328" s="549"/>
      <c r="O5328" s="567">
        <v>8.4</v>
      </c>
      <c r="P5328" s="549"/>
      <c r="Q5328" s="1059"/>
      <c r="R5328" s="1059"/>
      <c r="S5328">
        <f>3+1+2</f>
        <v>6</v>
      </c>
      <c r="T5328" s="126">
        <f>J5328*S5328*I5328/1000</f>
        <v>2.0451000000000001</v>
      </c>
      <c r="V5328" s="126">
        <f t="shared" ref="V5328:V5329" si="1088">J5328*U5328*I5328/1000</f>
        <v>0</v>
      </c>
      <c r="W5328" s="497" t="s">
        <v>602</v>
      </c>
    </row>
    <row r="5329" spans="1:23" ht="17.399999999999999">
      <c r="A5329" s="547"/>
      <c r="B5329" s="752" t="s">
        <v>439</v>
      </c>
      <c r="C5329" s="547"/>
      <c r="D5329" s="547"/>
      <c r="E5329" s="547"/>
      <c r="F5329" s="549"/>
      <c r="G5329" s="549" t="s">
        <v>21</v>
      </c>
      <c r="H5329" s="549" t="s">
        <v>181</v>
      </c>
      <c r="I5329" s="558">
        <v>40.1</v>
      </c>
      <c r="J5329" s="567">
        <v>9.8000000000000007</v>
      </c>
      <c r="K5329" s="648">
        <v>4</v>
      </c>
      <c r="L5329" s="552">
        <f t="shared" si="1087"/>
        <v>1.57192</v>
      </c>
      <c r="M5329" s="549"/>
      <c r="N5329" s="549"/>
      <c r="O5329" s="549"/>
      <c r="P5329" s="549"/>
      <c r="Q5329" s="1059"/>
      <c r="R5329" s="1059"/>
      <c r="U5329">
        <v>3</v>
      </c>
      <c r="V5329" s="126">
        <f t="shared" si="1088"/>
        <v>1.1789400000000001</v>
      </c>
    </row>
    <row r="5330" spans="1:23" ht="17.399999999999999">
      <c r="A5330" s="549"/>
      <c r="B5330" s="549"/>
      <c r="C5330" s="549"/>
      <c r="D5330" s="549"/>
      <c r="E5330" s="549"/>
      <c r="F5330" s="549"/>
      <c r="G5330" s="549"/>
      <c r="H5330" s="549"/>
      <c r="I5330" s="558"/>
      <c r="J5330" s="567"/>
      <c r="K5330" s="648">
        <f t="shared" ref="K5330:L5330" si="1089">SUM(K5328:K5329)</f>
        <v>10</v>
      </c>
      <c r="L5330" s="567">
        <f t="shared" si="1089"/>
        <v>3.6170200000000001</v>
      </c>
      <c r="M5330" s="549"/>
      <c r="N5330" s="549"/>
      <c r="O5330" s="549"/>
      <c r="P5330" s="549"/>
      <c r="Q5330" s="549"/>
      <c r="R5330" s="549"/>
      <c r="S5330" s="648">
        <f t="shared" ref="S5330:V5330" si="1090">SUM(S5328:S5329)</f>
        <v>6</v>
      </c>
      <c r="T5330" s="567">
        <f t="shared" si="1090"/>
        <v>2.0451000000000001</v>
      </c>
      <c r="U5330" s="648">
        <f t="shared" si="1090"/>
        <v>3</v>
      </c>
      <c r="V5330" s="567">
        <f t="shared" si="1090"/>
        <v>1.1789400000000001</v>
      </c>
    </row>
    <row r="5331" spans="1:23" s="497" customFormat="1" ht="17.399999999999999">
      <c r="A5331" s="549"/>
      <c r="B5331" s="549"/>
      <c r="C5331" s="549"/>
      <c r="D5331" s="549"/>
      <c r="E5331" s="549"/>
      <c r="F5331" s="549"/>
      <c r="G5331" s="549"/>
      <c r="H5331" s="549"/>
      <c r="I5331" s="558"/>
      <c r="J5331" s="567"/>
      <c r="K5331" s="648"/>
      <c r="L5331" s="567"/>
      <c r="M5331" s="549"/>
      <c r="N5331" s="549"/>
      <c r="O5331" s="549"/>
      <c r="P5331" s="549"/>
      <c r="Q5331" s="1059"/>
      <c r="R5331" s="1059"/>
    </row>
    <row r="5332" spans="1:23" ht="17.399999999999999">
      <c r="A5332" s="547" t="s">
        <v>445</v>
      </c>
      <c r="B5332" s="547" t="s">
        <v>519</v>
      </c>
      <c r="C5332" s="547" t="s">
        <v>19</v>
      </c>
      <c r="D5332" s="547" t="s">
        <v>20</v>
      </c>
      <c r="E5332" s="547" t="s">
        <v>57</v>
      </c>
      <c r="F5332" s="549">
        <v>16</v>
      </c>
      <c r="G5332" s="549" t="s">
        <v>21</v>
      </c>
      <c r="H5332" s="599" t="s">
        <v>181</v>
      </c>
      <c r="I5332" s="558">
        <v>40.1</v>
      </c>
      <c r="J5332" s="567">
        <v>6.6</v>
      </c>
      <c r="K5332" s="648">
        <v>28</v>
      </c>
      <c r="L5332" s="552">
        <f t="shared" ref="L5332:L5333" si="1091">(I5332*J5332*K5332/1000)</f>
        <v>7.4104799999999997</v>
      </c>
      <c r="M5332" s="549"/>
      <c r="N5332" s="549"/>
      <c r="O5332" s="549"/>
      <c r="P5332" s="549"/>
      <c r="Q5332" s="1059"/>
      <c r="R5332" s="1059"/>
      <c r="S5332">
        <f>6+1+6+6</f>
        <v>19</v>
      </c>
      <c r="T5332" s="126">
        <f>J5332*S5332*I5332/1000</f>
        <v>5.0285399999999996</v>
      </c>
      <c r="U5332">
        <f>6+3</f>
        <v>9</v>
      </c>
      <c r="V5332" s="126">
        <f t="shared" ref="V5332:V5333" si="1092">J5332*U5332*I5332/1000</f>
        <v>2.3819400000000002</v>
      </c>
      <c r="W5332" s="497" t="s">
        <v>602</v>
      </c>
    </row>
    <row r="5333" spans="1:23" ht="17.399999999999999">
      <c r="A5333" s="547"/>
      <c r="B5333" s="549" t="s">
        <v>423</v>
      </c>
      <c r="C5333" s="547"/>
      <c r="D5333" s="547"/>
      <c r="E5333" s="547"/>
      <c r="F5333" s="549"/>
      <c r="G5333" s="549" t="s">
        <v>21</v>
      </c>
      <c r="H5333" s="549" t="s">
        <v>181</v>
      </c>
      <c r="I5333" s="558">
        <v>40.1</v>
      </c>
      <c r="J5333" s="567">
        <v>10.3</v>
      </c>
      <c r="K5333" s="648">
        <v>6</v>
      </c>
      <c r="L5333" s="552">
        <f t="shared" si="1091"/>
        <v>2.4781800000000005</v>
      </c>
      <c r="M5333" s="549"/>
      <c r="N5333" s="549"/>
      <c r="O5333" s="549"/>
      <c r="P5333" s="549"/>
      <c r="Q5333" s="1059"/>
      <c r="R5333" s="1059"/>
      <c r="U5333">
        <v>6</v>
      </c>
      <c r="V5333" s="126">
        <f t="shared" si="1092"/>
        <v>2.4781800000000005</v>
      </c>
    </row>
    <row r="5334" spans="1:23" ht="17.399999999999999">
      <c r="A5334" s="549"/>
      <c r="B5334" s="549"/>
      <c r="C5334" s="549"/>
      <c r="D5334" s="549"/>
      <c r="E5334" s="549"/>
      <c r="F5334" s="549"/>
      <c r="G5334" s="549"/>
      <c r="H5334" s="549"/>
      <c r="I5334" s="558"/>
      <c r="J5334" s="567"/>
      <c r="K5334" s="648">
        <f>SUM(K5332:K5333)</f>
        <v>34</v>
      </c>
      <c r="L5334" s="567">
        <f t="shared" ref="L5334" si="1093">SUM(L5332:L5333)</f>
        <v>9.8886599999999998</v>
      </c>
      <c r="M5334" s="549"/>
      <c r="N5334" s="549"/>
      <c r="O5334" s="549"/>
      <c r="P5334" s="549"/>
      <c r="Q5334" s="549"/>
      <c r="R5334" s="549"/>
      <c r="S5334" s="648">
        <f>SUM(S5332:S5333)</f>
        <v>19</v>
      </c>
      <c r="T5334" s="567">
        <f t="shared" ref="T5334:V5334" si="1094">SUM(T5332:T5333)</f>
        <v>5.0285399999999996</v>
      </c>
      <c r="U5334" s="648">
        <f>SUM(U5332:U5333)</f>
        <v>15</v>
      </c>
      <c r="V5334" s="567">
        <f t="shared" si="1094"/>
        <v>4.8601200000000002</v>
      </c>
    </row>
    <row r="5335" spans="1:23" s="497" customFormat="1" ht="17.399999999999999">
      <c r="A5335" s="549"/>
      <c r="B5335" s="549"/>
      <c r="C5335" s="549"/>
      <c r="D5335" s="549"/>
      <c r="E5335" s="549"/>
      <c r="F5335" s="549"/>
      <c r="G5335" s="549"/>
      <c r="H5335" s="549"/>
      <c r="I5335" s="558"/>
      <c r="J5335" s="567"/>
      <c r="K5335" s="648"/>
      <c r="L5335" s="567"/>
      <c r="M5335" s="549"/>
      <c r="N5335" s="549"/>
      <c r="O5335" s="549"/>
      <c r="P5335" s="549"/>
      <c r="Q5335" s="1059"/>
      <c r="R5335" s="1059"/>
    </row>
    <row r="5336" spans="1:23" ht="17.399999999999999">
      <c r="A5336" s="547" t="s">
        <v>523</v>
      </c>
      <c r="B5336" s="547" t="s">
        <v>527</v>
      </c>
      <c r="C5336" s="547" t="s">
        <v>19</v>
      </c>
      <c r="D5336" s="547" t="s">
        <v>20</v>
      </c>
      <c r="E5336" s="547" t="s">
        <v>47</v>
      </c>
      <c r="F5336" s="549">
        <v>16</v>
      </c>
      <c r="G5336" s="549" t="s">
        <v>21</v>
      </c>
      <c r="H5336" s="599" t="s">
        <v>181</v>
      </c>
      <c r="I5336" s="558">
        <v>40.1</v>
      </c>
      <c r="J5336" s="567">
        <v>6.15</v>
      </c>
      <c r="K5336" s="648">
        <v>1</v>
      </c>
      <c r="L5336" s="552">
        <f>(I5336*J5336*K5336/1000)</f>
        <v>0.246615</v>
      </c>
      <c r="M5336" s="549"/>
      <c r="N5336" s="549"/>
      <c r="O5336" s="647">
        <v>6</v>
      </c>
      <c r="P5336" s="549"/>
      <c r="Q5336" s="1059"/>
      <c r="R5336" s="1059"/>
      <c r="U5336">
        <v>1</v>
      </c>
      <c r="V5336" s="126">
        <f>J5336*U5336*I5336/1000</f>
        <v>0.246615</v>
      </c>
      <c r="W5336" s="497" t="s">
        <v>602</v>
      </c>
    </row>
    <row r="5337" spans="1:23" ht="17.399999999999999">
      <c r="A5337" s="549"/>
      <c r="B5337" s="549" t="s">
        <v>439</v>
      </c>
      <c r="C5337" s="549"/>
      <c r="D5337" s="549"/>
      <c r="E5337" s="549"/>
      <c r="F5337" s="549"/>
      <c r="G5337" s="549"/>
      <c r="H5337" s="549"/>
      <c r="I5337" s="558"/>
      <c r="J5337" s="567"/>
      <c r="K5337" s="648">
        <f>SUM(K5336:K5336)</f>
        <v>1</v>
      </c>
      <c r="L5337" s="567">
        <f>SUM(L5336:L5336)</f>
        <v>0.246615</v>
      </c>
      <c r="M5337" s="549"/>
      <c r="N5337" s="549"/>
      <c r="O5337" s="549"/>
      <c r="P5337" s="549"/>
      <c r="Q5337" s="549"/>
      <c r="R5337" s="549"/>
      <c r="S5337" s="648">
        <f>SUM(S5336:S5336)</f>
        <v>0</v>
      </c>
      <c r="T5337" s="567">
        <f>SUM(T5336:T5336)</f>
        <v>0</v>
      </c>
      <c r="U5337" s="648">
        <f>SUM(U5336:U5336)</f>
        <v>1</v>
      </c>
      <c r="V5337" s="567">
        <f>SUM(V5336:V5336)</f>
        <v>0.246615</v>
      </c>
    </row>
    <row r="5338" spans="1:23" s="497" customFormat="1" ht="17.399999999999999">
      <c r="A5338" s="549"/>
      <c r="B5338" s="549"/>
      <c r="C5338" s="549"/>
      <c r="D5338" s="549"/>
      <c r="E5338" s="549"/>
      <c r="F5338" s="549"/>
      <c r="G5338" s="549"/>
      <c r="H5338" s="549"/>
      <c r="I5338" s="558"/>
      <c r="J5338" s="567"/>
      <c r="K5338" s="648"/>
      <c r="L5338" s="567"/>
      <c r="M5338" s="549"/>
      <c r="N5338" s="549"/>
      <c r="O5338" s="549"/>
      <c r="P5338" s="549"/>
      <c r="Q5338" s="1059"/>
      <c r="R5338" s="1059"/>
    </row>
    <row r="5339" spans="1:23" s="497" customFormat="1" ht="17.399999999999999">
      <c r="A5339" s="547" t="s">
        <v>541</v>
      </c>
      <c r="B5339" s="547" t="s">
        <v>559</v>
      </c>
      <c r="C5339" s="547" t="s">
        <v>19</v>
      </c>
      <c r="D5339" s="547" t="s">
        <v>20</v>
      </c>
      <c r="E5339" s="547" t="s">
        <v>57</v>
      </c>
      <c r="F5339" s="549">
        <v>16</v>
      </c>
      <c r="G5339" s="883" t="s">
        <v>21</v>
      </c>
      <c r="H5339" s="978" t="s">
        <v>181</v>
      </c>
      <c r="I5339" s="1884">
        <v>40.1</v>
      </c>
      <c r="J5339" s="890">
        <v>7.2</v>
      </c>
      <c r="K5339" s="889">
        <v>6</v>
      </c>
      <c r="L5339" s="895">
        <f t="shared" ref="L5339:L5341" si="1095">(I5339*J5339*K5339/1000)</f>
        <v>1.7323200000000001</v>
      </c>
      <c r="M5339" s="549"/>
      <c r="N5339" s="549"/>
      <c r="O5339" s="549"/>
      <c r="P5339" s="549"/>
      <c r="Q5339" s="1059"/>
      <c r="R5339" s="1059"/>
      <c r="U5339" s="497">
        <v>3</v>
      </c>
      <c r="V5339" s="126">
        <f t="shared" ref="V5339:V5341" si="1096">J5339*U5339*I5339/1000</f>
        <v>0.86616000000000004</v>
      </c>
      <c r="W5339" s="497" t="s">
        <v>602</v>
      </c>
    </row>
    <row r="5340" spans="1:23" s="497" customFormat="1" ht="17.399999999999999">
      <c r="A5340" s="547"/>
      <c r="B5340" s="549" t="s">
        <v>564</v>
      </c>
      <c r="C5340" s="547"/>
      <c r="D5340" s="547"/>
      <c r="E5340" s="547"/>
      <c r="F5340" s="549"/>
      <c r="G5340" s="883" t="s">
        <v>21</v>
      </c>
      <c r="H5340" s="883" t="s">
        <v>181</v>
      </c>
      <c r="I5340" s="1884">
        <v>40.1</v>
      </c>
      <c r="J5340" s="890">
        <v>8.5</v>
      </c>
      <c r="K5340" s="889">
        <v>2</v>
      </c>
      <c r="L5340" s="895">
        <f t="shared" si="1095"/>
        <v>0.68170000000000008</v>
      </c>
      <c r="M5340" s="549"/>
      <c r="N5340" s="549"/>
      <c r="O5340" s="549"/>
      <c r="P5340" s="549"/>
      <c r="Q5340" s="1059"/>
      <c r="R5340" s="1059"/>
      <c r="U5340" s="497">
        <v>2</v>
      </c>
      <c r="V5340" s="126">
        <f t="shared" si="1096"/>
        <v>0.68170000000000008</v>
      </c>
    </row>
    <row r="5341" spans="1:23" s="497" customFormat="1" ht="17.399999999999999">
      <c r="A5341" s="549"/>
      <c r="B5341" s="549"/>
      <c r="C5341" s="549"/>
      <c r="D5341" s="549"/>
      <c r="E5341" s="549"/>
      <c r="F5341" s="549"/>
      <c r="G5341" s="883" t="s">
        <v>21</v>
      </c>
      <c r="H5341" s="883" t="s">
        <v>181</v>
      </c>
      <c r="I5341" s="1884">
        <v>40.1</v>
      </c>
      <c r="J5341" s="890">
        <v>11.5</v>
      </c>
      <c r="K5341" s="889">
        <v>7</v>
      </c>
      <c r="L5341" s="895">
        <f t="shared" si="1095"/>
        <v>3.2280500000000001</v>
      </c>
      <c r="M5341" s="549"/>
      <c r="N5341" s="549"/>
      <c r="O5341" s="549"/>
      <c r="P5341" s="549"/>
      <c r="Q5341" s="1059"/>
      <c r="R5341" s="1059"/>
      <c r="U5341" s="497">
        <v>7</v>
      </c>
      <c r="V5341" s="126">
        <f t="shared" si="1096"/>
        <v>3.2280500000000001</v>
      </c>
    </row>
    <row r="5342" spans="1:23" s="497" customFormat="1" ht="17.399999999999999">
      <c r="A5342" s="549"/>
      <c r="B5342" s="549"/>
      <c r="C5342" s="549"/>
      <c r="D5342" s="549"/>
      <c r="E5342" s="549"/>
      <c r="F5342" s="549"/>
      <c r="G5342" s="883"/>
      <c r="H5342" s="887"/>
      <c r="I5342" s="1885"/>
      <c r="J5342" s="896"/>
      <c r="K5342" s="889">
        <f t="shared" ref="K5342" si="1097">SUM(K5339:K5341)</f>
        <v>15</v>
      </c>
      <c r="L5342" s="890">
        <f>SUM(L5339:L5341)</f>
        <v>5.6420700000000004</v>
      </c>
      <c r="M5342" s="549"/>
      <c r="N5342" s="549"/>
      <c r="O5342" s="549"/>
      <c r="P5342" s="549"/>
      <c r="Q5342" s="549"/>
      <c r="R5342" s="549"/>
      <c r="S5342" s="889">
        <f>SUM(S5339:S5341)</f>
        <v>0</v>
      </c>
      <c r="T5342" s="890">
        <f>SUM(T5339:T5341)</f>
        <v>0</v>
      </c>
      <c r="U5342" s="889">
        <f>SUM(U5339:U5341)</f>
        <v>12</v>
      </c>
      <c r="V5342" s="890">
        <f>SUM(V5339:V5341)</f>
        <v>4.7759099999999997</v>
      </c>
    </row>
    <row r="5343" spans="1:23" s="497" customFormat="1" ht="17.399999999999999">
      <c r="A5343" s="549"/>
      <c r="B5343" s="549"/>
      <c r="C5343" s="549"/>
      <c r="D5343" s="549"/>
      <c r="E5343" s="549"/>
      <c r="F5343" s="549"/>
      <c r="G5343" s="549"/>
      <c r="H5343" s="549"/>
      <c r="I5343" s="558"/>
      <c r="J5343" s="567"/>
      <c r="K5343" s="648">
        <f>SUM(K5312:K5342)/2</f>
        <v>341</v>
      </c>
      <c r="L5343" s="567">
        <f>SUM(L5312:L5342)/2</f>
        <v>117.22232499999997</v>
      </c>
      <c r="M5343" s="648">
        <f>SUM(M5312:M5342)/2</f>
        <v>2</v>
      </c>
      <c r="N5343" s="567">
        <f>SUM(N5312:N5342)/2</f>
        <v>0.52129999999999999</v>
      </c>
      <c r="O5343" s="549"/>
      <c r="P5343" s="549"/>
      <c r="Q5343" s="549"/>
      <c r="R5343" s="549"/>
      <c r="S5343" s="648">
        <f>SUM(S5312:S5342)/2</f>
        <v>155</v>
      </c>
      <c r="T5343" s="567">
        <f>SUM(T5312:T5342)/2</f>
        <v>51.263840000000002</v>
      </c>
      <c r="U5343" s="648">
        <f>SUM(U5312:U5342)/2</f>
        <v>145</v>
      </c>
      <c r="V5343" s="567">
        <f>SUM(V5312:V5342)/2</f>
        <v>51.342034999999996</v>
      </c>
    </row>
    <row r="5344" spans="1:23" s="497" customFormat="1" ht="17.399999999999999">
      <c r="A5344" s="549"/>
      <c r="B5344" s="549"/>
      <c r="C5344" s="549"/>
      <c r="D5344" s="549"/>
      <c r="E5344" s="549"/>
      <c r="F5344" s="549"/>
      <c r="G5344" s="549"/>
      <c r="H5344" s="549"/>
      <c r="I5344" s="558"/>
      <c r="J5344" s="567"/>
      <c r="K5344" s="648"/>
      <c r="L5344" s="567"/>
      <c r="M5344" s="549"/>
      <c r="N5344" s="549"/>
      <c r="O5344" s="549"/>
      <c r="P5344" s="549"/>
      <c r="Q5344" s="1059"/>
      <c r="R5344" s="1059"/>
    </row>
    <row r="5345" spans="1:21" s="497" customFormat="1" ht="17.399999999999999">
      <c r="A5345" s="549"/>
      <c r="B5345" s="549"/>
      <c r="C5345" s="549"/>
      <c r="D5345" s="549"/>
      <c r="E5345" s="549"/>
      <c r="F5345" s="549"/>
      <c r="G5345" s="549"/>
      <c r="H5345" s="549"/>
      <c r="I5345" s="558"/>
      <c r="J5345" s="567"/>
      <c r="K5345" s="648"/>
      <c r="L5345" s="567"/>
      <c r="M5345" s="549"/>
      <c r="N5345" s="549"/>
      <c r="O5345" s="549"/>
      <c r="P5345" s="549"/>
      <c r="Q5345" s="1059"/>
      <c r="R5345" s="1059"/>
    </row>
    <row r="5346" spans="1:21" s="497" customFormat="1" ht="17.399999999999999">
      <c r="A5346" s="547" t="s">
        <v>523</v>
      </c>
      <c r="B5346" s="547" t="s">
        <v>496</v>
      </c>
      <c r="C5346" s="547" t="s">
        <v>19</v>
      </c>
      <c r="D5346" s="547" t="s">
        <v>20</v>
      </c>
      <c r="E5346" s="547" t="s">
        <v>359</v>
      </c>
      <c r="F5346" s="549">
        <v>16</v>
      </c>
      <c r="G5346" s="549" t="s">
        <v>21</v>
      </c>
      <c r="H5346" s="599" t="s">
        <v>180</v>
      </c>
      <c r="I5346" s="558">
        <v>35.840000000000003</v>
      </c>
      <c r="J5346" s="567">
        <v>11.4</v>
      </c>
      <c r="K5346" s="648">
        <v>10</v>
      </c>
      <c r="L5346" s="552">
        <f>(I5346*J5346*K5346/1000)</f>
        <v>4.0857600000000005</v>
      </c>
      <c r="M5346" s="549"/>
      <c r="N5346" s="549"/>
      <c r="O5346" s="549"/>
      <c r="P5346" s="549"/>
      <c r="Q5346" s="1059"/>
      <c r="R5346" s="1059"/>
      <c r="S5346" s="759">
        <f>4+5</f>
        <v>9</v>
      </c>
      <c r="T5346" s="957">
        <f>J5346*S5346*I5346/1000</f>
        <v>3.6771840000000005</v>
      </c>
      <c r="U5346" s="497" t="s">
        <v>603</v>
      </c>
    </row>
    <row r="5347" spans="1:21" s="497" customFormat="1" ht="17.399999999999999">
      <c r="A5347" s="550"/>
      <c r="B5347" s="549" t="s">
        <v>277</v>
      </c>
      <c r="C5347" s="550"/>
      <c r="D5347" s="550"/>
      <c r="E5347" s="548"/>
      <c r="F5347" s="549"/>
      <c r="G5347" s="549"/>
      <c r="H5347" s="549"/>
      <c r="I5347" s="558"/>
      <c r="J5347" s="567"/>
      <c r="K5347" s="648">
        <f>SUM(K5346)</f>
        <v>10</v>
      </c>
      <c r="L5347" s="567">
        <f>SUM(L5346)</f>
        <v>4.0857600000000005</v>
      </c>
      <c r="M5347" s="549"/>
      <c r="N5347" s="549"/>
      <c r="O5347" s="549"/>
      <c r="P5347" s="549"/>
      <c r="Q5347" s="549"/>
      <c r="R5347" s="549"/>
      <c r="S5347" s="648">
        <f>SUM(S5346)</f>
        <v>9</v>
      </c>
      <c r="T5347" s="567">
        <f>SUM(T5346)</f>
        <v>3.6771840000000005</v>
      </c>
    </row>
    <row r="5348" spans="1:21" s="497" customFormat="1" ht="17.399999999999999">
      <c r="A5348" s="549"/>
      <c r="B5348" s="549"/>
      <c r="C5348" s="549"/>
      <c r="D5348" s="549"/>
      <c r="E5348" s="549"/>
      <c r="F5348" s="549"/>
      <c r="G5348" s="549"/>
      <c r="H5348" s="549"/>
      <c r="I5348" s="560"/>
      <c r="J5348" s="549"/>
      <c r="K5348" s="561"/>
      <c r="L5348" s="560"/>
      <c r="M5348" s="549"/>
      <c r="N5348" s="549"/>
      <c r="O5348" s="549"/>
      <c r="P5348" s="549"/>
      <c r="Q5348" s="1059"/>
      <c r="R5348" s="1059"/>
    </row>
    <row r="5349" spans="1:21" ht="17.399999999999999">
      <c r="A5349" s="547" t="s">
        <v>481</v>
      </c>
      <c r="B5349" s="547" t="s">
        <v>520</v>
      </c>
      <c r="C5349" s="547" t="s">
        <v>19</v>
      </c>
      <c r="D5349" s="547" t="s">
        <v>20</v>
      </c>
      <c r="E5349" s="547" t="s">
        <v>175</v>
      </c>
      <c r="F5349" s="549">
        <v>16</v>
      </c>
      <c r="G5349" s="549" t="s">
        <v>21</v>
      </c>
      <c r="H5349" s="599" t="s">
        <v>180</v>
      </c>
      <c r="I5349" s="558">
        <v>35.9</v>
      </c>
      <c r="J5349" s="567">
        <v>6.6</v>
      </c>
      <c r="K5349" s="648">
        <v>14</v>
      </c>
      <c r="L5349" s="552">
        <f>(I5349*J5349*K5349/1000)</f>
        <v>3.3171599999999994</v>
      </c>
      <c r="M5349" s="549"/>
      <c r="N5349" s="549"/>
      <c r="O5349" s="549"/>
      <c r="P5349" s="549"/>
      <c r="Q5349" s="1059"/>
      <c r="R5349" s="1059"/>
      <c r="S5349" s="759">
        <v>14</v>
      </c>
      <c r="T5349" s="957">
        <f>J5349*S5349*I5349/1000</f>
        <v>3.3171599999999994</v>
      </c>
      <c r="U5349" s="497" t="s">
        <v>603</v>
      </c>
    </row>
    <row r="5350" spans="1:21" ht="17.399999999999999">
      <c r="A5350" s="547"/>
      <c r="B5350" s="560" t="s">
        <v>443</v>
      </c>
      <c r="C5350" s="547"/>
      <c r="D5350" s="547"/>
      <c r="E5350" s="547"/>
      <c r="F5350" s="549"/>
      <c r="G5350" s="650"/>
      <c r="H5350" s="549"/>
      <c r="I5350" s="558"/>
      <c r="J5350" s="567"/>
      <c r="K5350" s="648">
        <f t="shared" ref="K5350:L5350" si="1098">SUM(K5349)</f>
        <v>14</v>
      </c>
      <c r="L5350" s="567">
        <f t="shared" si="1098"/>
        <v>3.3171599999999994</v>
      </c>
      <c r="M5350" s="549"/>
      <c r="N5350" s="549"/>
      <c r="O5350" s="549"/>
      <c r="P5350" s="549"/>
      <c r="Q5350" s="549"/>
      <c r="R5350" s="549"/>
      <c r="S5350" s="648">
        <f t="shared" ref="S5350:T5350" si="1099">SUM(S5349)</f>
        <v>14</v>
      </c>
      <c r="T5350" s="567">
        <f t="shared" si="1099"/>
        <v>3.3171599999999994</v>
      </c>
    </row>
    <row r="5351" spans="1:21" s="497" customFormat="1" ht="17.399999999999999">
      <c r="A5351" s="547"/>
      <c r="B5351" s="560"/>
      <c r="C5351" s="547"/>
      <c r="D5351" s="547"/>
      <c r="E5351" s="547"/>
      <c r="F5351" s="549"/>
      <c r="G5351" s="650"/>
      <c r="H5351" s="549"/>
      <c r="I5351" s="558"/>
      <c r="J5351" s="567"/>
      <c r="K5351" s="648"/>
      <c r="L5351" s="567"/>
      <c r="M5351" s="549"/>
      <c r="N5351" s="549"/>
      <c r="O5351" s="549"/>
      <c r="P5351" s="549"/>
      <c r="Q5351" s="1059"/>
      <c r="R5351" s="1059"/>
    </row>
    <row r="5352" spans="1:21" ht="17.399999999999999">
      <c r="A5352" s="547" t="s">
        <v>445</v>
      </c>
      <c r="B5352" s="547" t="s">
        <v>487</v>
      </c>
      <c r="C5352" s="547" t="s">
        <v>19</v>
      </c>
      <c r="D5352" s="547" t="s">
        <v>20</v>
      </c>
      <c r="E5352" s="547" t="s">
        <v>47</v>
      </c>
      <c r="F5352" s="549">
        <v>16</v>
      </c>
      <c r="G5352" s="549" t="s">
        <v>21</v>
      </c>
      <c r="H5352" s="599" t="s">
        <v>180</v>
      </c>
      <c r="I5352" s="558">
        <v>35.9</v>
      </c>
      <c r="J5352" s="567">
        <v>6.2</v>
      </c>
      <c r="K5352" s="648">
        <v>44</v>
      </c>
      <c r="L5352" s="552">
        <f t="shared" ref="L5352:L5355" si="1100">(I5352*J5352*K5352/1000)</f>
        <v>9.7935199999999991</v>
      </c>
      <c r="M5352" s="549"/>
      <c r="N5352" s="549"/>
      <c r="O5352" s="549"/>
      <c r="P5352" s="549"/>
      <c r="Q5352" s="1059"/>
      <c r="R5352" s="1059"/>
      <c r="S5352">
        <f>6+5+7+6+6+6</f>
        <v>36</v>
      </c>
      <c r="T5352" s="126">
        <f>J5352*S5352*I5352/1000</f>
        <v>8.0128800000000009</v>
      </c>
      <c r="U5352" s="497" t="s">
        <v>603</v>
      </c>
    </row>
    <row r="5353" spans="1:21" ht="17.399999999999999">
      <c r="A5353" s="547"/>
      <c r="B5353" s="752" t="s">
        <v>439</v>
      </c>
      <c r="C5353" s="547"/>
      <c r="D5353" s="547"/>
      <c r="E5353" s="547"/>
      <c r="F5353" s="549"/>
      <c r="G5353" s="549" t="s">
        <v>21</v>
      </c>
      <c r="H5353" s="549" t="s">
        <v>180</v>
      </c>
      <c r="I5353" s="558">
        <v>35.9</v>
      </c>
      <c r="J5353" s="567">
        <v>8.5</v>
      </c>
      <c r="K5353" s="648">
        <v>9</v>
      </c>
      <c r="L5353" s="552">
        <f t="shared" si="1100"/>
        <v>2.7463500000000001</v>
      </c>
      <c r="M5353" s="549"/>
      <c r="N5353" s="549"/>
      <c r="O5353" s="549"/>
      <c r="P5353" s="549"/>
      <c r="Q5353" s="1059"/>
      <c r="R5353" s="1059"/>
      <c r="S5353">
        <v>5</v>
      </c>
      <c r="T5353" s="126">
        <f>J5353*S5353*I5353/1000</f>
        <v>1.5257499999999999</v>
      </c>
    </row>
    <row r="5354" spans="1:21" ht="17.399999999999999">
      <c r="A5354" s="549"/>
      <c r="B5354" s="549"/>
      <c r="C5354" s="549"/>
      <c r="D5354" s="549"/>
      <c r="E5354" s="549"/>
      <c r="F5354" s="549"/>
      <c r="G5354" s="549" t="s">
        <v>21</v>
      </c>
      <c r="H5354" s="549" t="s">
        <v>180</v>
      </c>
      <c r="I5354" s="558">
        <v>35.9</v>
      </c>
      <c r="J5354" s="567">
        <v>10.199999999999999</v>
      </c>
      <c r="K5354" s="648">
        <v>25</v>
      </c>
      <c r="L5354" s="552">
        <f t="shared" si="1100"/>
        <v>9.1544999999999987</v>
      </c>
      <c r="M5354" s="549"/>
      <c r="N5354" s="549"/>
      <c r="O5354" s="549"/>
      <c r="P5354" s="549"/>
      <c r="Q5354" s="1059"/>
      <c r="R5354" s="1059"/>
      <c r="S5354">
        <v>22</v>
      </c>
      <c r="T5354" s="126">
        <f>J5354*S5354*I5354/1000</f>
        <v>8.0559599999999989</v>
      </c>
    </row>
    <row r="5355" spans="1:21" ht="17.399999999999999">
      <c r="A5355" s="549"/>
      <c r="B5355" s="549"/>
      <c r="C5355" s="549"/>
      <c r="D5355" s="549"/>
      <c r="E5355" s="549"/>
      <c r="F5355" s="549"/>
      <c r="G5355" s="549" t="s">
        <v>21</v>
      </c>
      <c r="H5355" s="549" t="s">
        <v>180</v>
      </c>
      <c r="I5355" s="558">
        <v>35.9</v>
      </c>
      <c r="J5355" s="567">
        <v>12</v>
      </c>
      <c r="K5355" s="648">
        <v>14</v>
      </c>
      <c r="L5355" s="552">
        <f t="shared" si="1100"/>
        <v>6.0311999999999992</v>
      </c>
      <c r="M5355" s="549"/>
      <c r="N5355" s="549"/>
      <c r="O5355" s="549"/>
      <c r="P5355" s="549"/>
      <c r="Q5355" s="1059"/>
      <c r="R5355" s="1059"/>
      <c r="S5355">
        <f>3+6</f>
        <v>9</v>
      </c>
      <c r="T5355" s="126">
        <f>J5355*S5355*I5355/1000</f>
        <v>3.8771999999999998</v>
      </c>
    </row>
    <row r="5356" spans="1:21" ht="17.399999999999999">
      <c r="A5356" s="549"/>
      <c r="B5356" s="549"/>
      <c r="C5356" s="549"/>
      <c r="D5356" s="549"/>
      <c r="E5356" s="549"/>
      <c r="F5356" s="549"/>
      <c r="G5356" s="549"/>
      <c r="H5356" s="549"/>
      <c r="I5356" s="558"/>
      <c r="J5356" s="567"/>
      <c r="K5356" s="648">
        <f t="shared" ref="K5356:L5356" si="1101">SUM(K5352:K5355)</f>
        <v>92</v>
      </c>
      <c r="L5356" s="567">
        <f t="shared" si="1101"/>
        <v>27.725569999999998</v>
      </c>
      <c r="M5356" s="549"/>
      <c r="N5356" s="549"/>
      <c r="O5356" s="549"/>
      <c r="P5356" s="549"/>
      <c r="Q5356" s="549"/>
      <c r="R5356" s="549"/>
      <c r="S5356" s="733">
        <f t="shared" ref="S5356" si="1102">SUM(S5352:S5355)</f>
        <v>72</v>
      </c>
      <c r="T5356" s="732">
        <f>SUM(T5352:T5355)</f>
        <v>21.471789999999999</v>
      </c>
    </row>
    <row r="5357" spans="1:21" ht="17.399999999999999">
      <c r="A5357" s="549"/>
      <c r="B5357" s="549"/>
      <c r="C5357" s="549"/>
      <c r="D5357" s="549"/>
      <c r="E5357" s="549"/>
      <c r="F5357" s="549"/>
      <c r="G5357" s="549"/>
      <c r="H5357" s="549"/>
      <c r="I5357" s="560"/>
      <c r="J5357" s="549"/>
      <c r="K5357" s="561"/>
      <c r="L5357" s="560"/>
      <c r="M5357" s="549"/>
      <c r="N5357" s="549"/>
      <c r="O5357" s="549"/>
      <c r="P5357" s="549"/>
      <c r="Q5357" s="1059"/>
      <c r="R5357" s="1059"/>
    </row>
    <row r="5358" spans="1:21" ht="17.399999999999999">
      <c r="A5358" s="547" t="s">
        <v>445</v>
      </c>
      <c r="B5358" s="547" t="s">
        <v>488</v>
      </c>
      <c r="C5358" s="547" t="s">
        <v>19</v>
      </c>
      <c r="D5358" s="547" t="s">
        <v>20</v>
      </c>
      <c r="E5358" s="547" t="s">
        <v>47</v>
      </c>
      <c r="F5358" s="549">
        <v>16</v>
      </c>
      <c r="G5358" s="549" t="s">
        <v>21</v>
      </c>
      <c r="H5358" s="599" t="s">
        <v>180</v>
      </c>
      <c r="I5358" s="558">
        <v>35.9</v>
      </c>
      <c r="J5358" s="567">
        <v>6.2</v>
      </c>
      <c r="K5358" s="648">
        <v>3</v>
      </c>
      <c r="L5358" s="552">
        <f t="shared" ref="L5358:L5363" si="1103">(I5358*J5358*K5358/1000)</f>
        <v>0.66774</v>
      </c>
      <c r="M5358" s="549"/>
      <c r="N5358" s="549"/>
      <c r="O5358" s="549"/>
      <c r="P5358" s="549"/>
      <c r="Q5358" s="1059"/>
      <c r="R5358" s="1059"/>
      <c r="T5358" s="126">
        <f t="shared" ref="T5358:T5363" si="1104">J5358*S5358*I5358/1000</f>
        <v>0</v>
      </c>
      <c r="U5358" s="497" t="s">
        <v>603</v>
      </c>
    </row>
    <row r="5359" spans="1:21" ht="17.399999999999999">
      <c r="A5359" s="547"/>
      <c r="B5359" s="752" t="s">
        <v>439</v>
      </c>
      <c r="C5359" s="547"/>
      <c r="D5359" s="547"/>
      <c r="E5359" s="547"/>
      <c r="F5359" s="549"/>
      <c r="G5359" s="549" t="s">
        <v>21</v>
      </c>
      <c r="H5359" s="549" t="s">
        <v>180</v>
      </c>
      <c r="I5359" s="558">
        <v>35.9</v>
      </c>
      <c r="J5359" s="567">
        <v>6.9</v>
      </c>
      <c r="K5359" s="648">
        <v>15</v>
      </c>
      <c r="L5359" s="552">
        <f t="shared" si="1103"/>
        <v>3.7156500000000001</v>
      </c>
      <c r="M5359" s="549"/>
      <c r="N5359" s="549"/>
      <c r="O5359" s="567">
        <v>6.8</v>
      </c>
      <c r="P5359" s="549"/>
      <c r="Q5359" s="1059"/>
      <c r="R5359" s="1059"/>
      <c r="S5359">
        <f>6+5+4</f>
        <v>15</v>
      </c>
      <c r="T5359" s="126">
        <f t="shared" si="1104"/>
        <v>3.7156499999999997</v>
      </c>
    </row>
    <row r="5360" spans="1:21" ht="17.399999999999999">
      <c r="A5360" s="549"/>
      <c r="B5360" s="549"/>
      <c r="C5360" s="549"/>
      <c r="D5360" s="549"/>
      <c r="E5360" s="549"/>
      <c r="F5360" s="549"/>
      <c r="G5360" s="549" t="s">
        <v>21</v>
      </c>
      <c r="H5360" s="549" t="s">
        <v>180</v>
      </c>
      <c r="I5360" s="558">
        <v>35.9</v>
      </c>
      <c r="J5360" s="567">
        <v>6.9</v>
      </c>
      <c r="K5360" s="648">
        <v>20</v>
      </c>
      <c r="L5360" s="552">
        <f t="shared" si="1103"/>
        <v>4.9542000000000002</v>
      </c>
      <c r="M5360" s="549"/>
      <c r="N5360" s="549"/>
      <c r="O5360" s="549"/>
      <c r="P5360" s="549"/>
      <c r="Q5360" s="1059"/>
      <c r="R5360" s="1059"/>
      <c r="S5360">
        <f>2+7</f>
        <v>9</v>
      </c>
      <c r="T5360" s="126">
        <f t="shared" si="1104"/>
        <v>2.22939</v>
      </c>
    </row>
    <row r="5361" spans="1:21" ht="17.399999999999999">
      <c r="A5361" s="549"/>
      <c r="B5361" s="549"/>
      <c r="C5361" s="549"/>
      <c r="D5361" s="549"/>
      <c r="E5361" s="549"/>
      <c r="F5361" s="549"/>
      <c r="G5361" s="549" t="s">
        <v>21</v>
      </c>
      <c r="H5361" s="549" t="s">
        <v>180</v>
      </c>
      <c r="I5361" s="558">
        <v>35.9</v>
      </c>
      <c r="J5361" s="567">
        <v>8.5</v>
      </c>
      <c r="K5361" s="648">
        <v>1</v>
      </c>
      <c r="L5361" s="552">
        <f t="shared" si="1103"/>
        <v>0.30514999999999998</v>
      </c>
      <c r="M5361" s="549"/>
      <c r="N5361" s="549"/>
      <c r="O5361" s="549"/>
      <c r="P5361" s="549"/>
      <c r="Q5361" s="1059"/>
      <c r="R5361" s="1059"/>
      <c r="T5361" s="126">
        <f t="shared" si="1104"/>
        <v>0</v>
      </c>
    </row>
    <row r="5362" spans="1:21" ht="18">
      <c r="A5362" s="549"/>
      <c r="B5362" s="549"/>
      <c r="C5362" s="549"/>
      <c r="D5362" s="549"/>
      <c r="E5362" s="549"/>
      <c r="F5362" s="549"/>
      <c r="G5362" s="549" t="s">
        <v>21</v>
      </c>
      <c r="H5362" s="549" t="s">
        <v>180</v>
      </c>
      <c r="I5362" s="558">
        <v>35.9</v>
      </c>
      <c r="J5362" s="891">
        <v>11.1</v>
      </c>
      <c r="K5362" s="648">
        <v>7</v>
      </c>
      <c r="L5362" s="552">
        <f t="shared" si="1103"/>
        <v>2.7894299999999999</v>
      </c>
      <c r="M5362" s="549"/>
      <c r="N5362" s="549"/>
      <c r="O5362" s="567">
        <v>11</v>
      </c>
      <c r="P5362" s="549"/>
      <c r="Q5362" s="1059"/>
      <c r="R5362" s="1059"/>
      <c r="S5362">
        <v>6</v>
      </c>
      <c r="T5362" s="126">
        <f t="shared" si="1104"/>
        <v>2.3909399999999996</v>
      </c>
    </row>
    <row r="5363" spans="1:21" ht="17.399999999999999">
      <c r="A5363" s="549"/>
      <c r="B5363" s="549"/>
      <c r="C5363" s="549"/>
      <c r="D5363" s="549"/>
      <c r="E5363" s="549"/>
      <c r="F5363" s="549"/>
      <c r="G5363" s="549" t="s">
        <v>21</v>
      </c>
      <c r="H5363" s="549" t="s">
        <v>180</v>
      </c>
      <c r="I5363" s="558">
        <v>35.9</v>
      </c>
      <c r="J5363" s="567">
        <v>12</v>
      </c>
      <c r="K5363" s="648">
        <v>7</v>
      </c>
      <c r="L5363" s="552">
        <f t="shared" si="1103"/>
        <v>3.0155999999999996</v>
      </c>
      <c r="M5363" s="549"/>
      <c r="N5363" s="549"/>
      <c r="O5363" s="549"/>
      <c r="P5363" s="549"/>
      <c r="Q5363" s="1059"/>
      <c r="R5363" s="1059"/>
      <c r="S5363">
        <v>7</v>
      </c>
      <c r="T5363" s="126">
        <f t="shared" si="1104"/>
        <v>3.0156000000000001</v>
      </c>
    </row>
    <row r="5364" spans="1:21" ht="17.399999999999999">
      <c r="A5364" s="549"/>
      <c r="B5364" s="549"/>
      <c r="C5364" s="549"/>
      <c r="D5364" s="549"/>
      <c r="E5364" s="549"/>
      <c r="F5364" s="549"/>
      <c r="G5364" s="549"/>
      <c r="H5364" s="549"/>
      <c r="I5364" s="558"/>
      <c r="J5364" s="567"/>
      <c r="K5364" s="648">
        <f t="shared" ref="K5364:L5364" si="1105">SUM(K5358:K5363)</f>
        <v>53</v>
      </c>
      <c r="L5364" s="567">
        <f t="shared" si="1105"/>
        <v>15.447769999999998</v>
      </c>
      <c r="M5364" s="549"/>
      <c r="N5364" s="549"/>
      <c r="O5364" s="549"/>
      <c r="P5364" s="549"/>
      <c r="Q5364" s="549"/>
      <c r="R5364" s="549"/>
      <c r="S5364" s="733">
        <f t="shared" ref="S5364:T5364" si="1106">SUM(S5358:S5363)</f>
        <v>37</v>
      </c>
      <c r="T5364" s="732">
        <f t="shared" si="1106"/>
        <v>11.351579999999998</v>
      </c>
    </row>
    <row r="5365" spans="1:21" s="497" customFormat="1" ht="17.399999999999999">
      <c r="A5365" s="549"/>
      <c r="B5365" s="549"/>
      <c r="C5365" s="549"/>
      <c r="D5365" s="549"/>
      <c r="E5365" s="549"/>
      <c r="F5365" s="549"/>
      <c r="G5365" s="549"/>
      <c r="H5365" s="549"/>
      <c r="I5365" s="558"/>
      <c r="J5365" s="567"/>
      <c r="K5365" s="648"/>
      <c r="L5365" s="567"/>
      <c r="M5365" s="549"/>
      <c r="N5365" s="549"/>
      <c r="O5365" s="549"/>
      <c r="P5365" s="549"/>
      <c r="Q5365" s="1059"/>
      <c r="R5365" s="1059"/>
    </row>
    <row r="5366" spans="1:21" ht="18">
      <c r="A5366" s="547" t="s">
        <v>523</v>
      </c>
      <c r="B5366" s="547" t="s">
        <v>527</v>
      </c>
      <c r="C5366" s="547" t="s">
        <v>19</v>
      </c>
      <c r="D5366" s="547" t="s">
        <v>20</v>
      </c>
      <c r="E5366" s="547" t="s">
        <v>47</v>
      </c>
      <c r="F5366" s="549">
        <v>16</v>
      </c>
      <c r="G5366" s="549" t="s">
        <v>21</v>
      </c>
      <c r="H5366" s="599" t="s">
        <v>180</v>
      </c>
      <c r="I5366" s="558">
        <v>35.9</v>
      </c>
      <c r="J5366" s="891">
        <v>11.7</v>
      </c>
      <c r="K5366" s="648">
        <v>4</v>
      </c>
      <c r="L5366" s="552">
        <f>(I5366*J5366*K5366/1000)</f>
        <v>1.6801199999999998</v>
      </c>
      <c r="M5366" s="549"/>
      <c r="N5366" s="549"/>
      <c r="O5366" s="647">
        <v>11.5</v>
      </c>
      <c r="P5366" s="549"/>
      <c r="Q5366" s="1059"/>
      <c r="R5366" s="1059"/>
      <c r="S5366" s="759">
        <f>2+2</f>
        <v>4</v>
      </c>
      <c r="T5366" s="957">
        <f>J5366*S5366*I5366/1000</f>
        <v>1.6801199999999998</v>
      </c>
      <c r="U5366" s="497" t="s">
        <v>603</v>
      </c>
    </row>
    <row r="5367" spans="1:21" ht="17.399999999999999">
      <c r="A5367" s="549"/>
      <c r="B5367" s="549" t="s">
        <v>439</v>
      </c>
      <c r="C5367" s="549"/>
      <c r="D5367" s="549"/>
      <c r="E5367" s="549"/>
      <c r="F5367" s="549"/>
      <c r="G5367" s="549"/>
      <c r="H5367" s="549"/>
      <c r="I5367" s="558"/>
      <c r="J5367" s="567"/>
      <c r="K5367" s="648">
        <f>SUM(K5366:K5366)</f>
        <v>4</v>
      </c>
      <c r="L5367" s="567">
        <f>SUM(L5366:L5366)</f>
        <v>1.6801199999999998</v>
      </c>
      <c r="M5367" s="549"/>
      <c r="N5367" s="549"/>
      <c r="O5367" s="549"/>
      <c r="P5367" s="549"/>
      <c r="Q5367" s="549"/>
      <c r="R5367" s="549"/>
      <c r="S5367" s="648">
        <f>SUM(S5366:S5366)</f>
        <v>4</v>
      </c>
      <c r="T5367" s="567">
        <f>SUM(T5366:T5366)</f>
        <v>1.6801199999999998</v>
      </c>
    </row>
    <row r="5368" spans="1:21" s="497" customFormat="1" ht="17.399999999999999">
      <c r="A5368" s="549"/>
      <c r="B5368" s="549"/>
      <c r="C5368" s="549"/>
      <c r="D5368" s="549"/>
      <c r="E5368" s="549"/>
      <c r="F5368" s="549"/>
      <c r="G5368" s="549"/>
      <c r="H5368" s="549"/>
      <c r="I5368" s="558"/>
      <c r="J5368" s="567"/>
      <c r="K5368" s="648"/>
      <c r="L5368" s="567"/>
      <c r="M5368" s="549"/>
      <c r="N5368" s="549"/>
      <c r="O5368" s="549"/>
      <c r="P5368" s="549"/>
      <c r="Q5368" s="1059"/>
      <c r="R5368" s="1059"/>
    </row>
    <row r="5369" spans="1:21" ht="17.399999999999999">
      <c r="A5369" s="547" t="s">
        <v>523</v>
      </c>
      <c r="B5369" s="547" t="s">
        <v>525</v>
      </c>
      <c r="C5369" s="547" t="s">
        <v>19</v>
      </c>
      <c r="D5369" s="547" t="s">
        <v>20</v>
      </c>
      <c r="E5369" s="547" t="s">
        <v>47</v>
      </c>
      <c r="F5369" s="549">
        <v>16</v>
      </c>
      <c r="G5369" s="549" t="s">
        <v>21</v>
      </c>
      <c r="H5369" s="599" t="s">
        <v>180</v>
      </c>
      <c r="I5369" s="558">
        <v>35.9</v>
      </c>
      <c r="J5369" s="567">
        <v>10.5</v>
      </c>
      <c r="K5369" s="648">
        <v>10</v>
      </c>
      <c r="L5369" s="552">
        <f>(I5369*J5369*K5369/1000)</f>
        <v>3.7694999999999999</v>
      </c>
      <c r="M5369" s="549"/>
      <c r="N5369" s="549"/>
      <c r="O5369" s="549"/>
      <c r="P5369" s="549"/>
      <c r="Q5369" s="1059"/>
      <c r="R5369" s="1059"/>
      <c r="S5369" s="759">
        <f>6+3+1</f>
        <v>10</v>
      </c>
      <c r="T5369" s="957">
        <f>J5369*S5369*I5369/1000</f>
        <v>3.7694999999999999</v>
      </c>
      <c r="U5369" s="497" t="s">
        <v>603</v>
      </c>
    </row>
    <row r="5370" spans="1:21" ht="17.399999999999999">
      <c r="A5370" s="547"/>
      <c r="B5370" s="752" t="s">
        <v>439</v>
      </c>
      <c r="C5370" s="547"/>
      <c r="D5370" s="547"/>
      <c r="E5370" s="547"/>
      <c r="F5370" s="549"/>
      <c r="G5370" s="549"/>
      <c r="H5370" s="549"/>
      <c r="I5370" s="558"/>
      <c r="J5370" s="567"/>
      <c r="K5370" s="648">
        <f t="shared" ref="K5370:L5370" si="1107">SUM(K5369)</f>
        <v>10</v>
      </c>
      <c r="L5370" s="567">
        <f t="shared" si="1107"/>
        <v>3.7694999999999999</v>
      </c>
      <c r="M5370" s="549"/>
      <c r="N5370" s="549"/>
      <c r="O5370" s="549"/>
      <c r="P5370" s="549"/>
      <c r="Q5370" s="549"/>
      <c r="R5370" s="549"/>
      <c r="S5370" s="648">
        <f t="shared" ref="S5370" si="1108">SUM(S5369)</f>
        <v>10</v>
      </c>
      <c r="T5370" s="567">
        <f>SUM(T5369)</f>
        <v>3.7694999999999999</v>
      </c>
    </row>
    <row r="5371" spans="1:21" s="497" customFormat="1" ht="17.399999999999999">
      <c r="A5371" s="547"/>
      <c r="B5371" s="752"/>
      <c r="C5371" s="547"/>
      <c r="D5371" s="547"/>
      <c r="E5371" s="547"/>
      <c r="F5371" s="549"/>
      <c r="G5371" s="549"/>
      <c r="H5371" s="549"/>
      <c r="I5371" s="558"/>
      <c r="J5371" s="567"/>
      <c r="K5371" s="648"/>
      <c r="L5371" s="567"/>
      <c r="M5371" s="549"/>
      <c r="N5371" s="549"/>
      <c r="O5371" s="549"/>
      <c r="P5371" s="549"/>
      <c r="Q5371" s="1059"/>
      <c r="R5371" s="1059"/>
    </row>
    <row r="5372" spans="1:21" s="497" customFormat="1" ht="18">
      <c r="A5372" s="547" t="s">
        <v>541</v>
      </c>
      <c r="B5372" s="547" t="s">
        <v>559</v>
      </c>
      <c r="C5372" s="547" t="s">
        <v>19</v>
      </c>
      <c r="D5372" s="547" t="s">
        <v>20</v>
      </c>
      <c r="E5372" s="547" t="s">
        <v>57</v>
      </c>
      <c r="F5372" s="549">
        <v>16</v>
      </c>
      <c r="G5372" s="869" t="s">
        <v>21</v>
      </c>
      <c r="H5372" s="900" t="s">
        <v>180</v>
      </c>
      <c r="I5372" s="1881">
        <v>35.9</v>
      </c>
      <c r="J5372" s="891">
        <v>9.6999999999999993</v>
      </c>
      <c r="K5372" s="892">
        <v>12</v>
      </c>
      <c r="L5372" s="893">
        <f t="shared" ref="L5372:L5375" si="1109">(I5372*J5372*K5372/1000)</f>
        <v>4.1787599999999996</v>
      </c>
      <c r="M5372" s="549"/>
      <c r="N5372" s="549"/>
      <c r="O5372" s="549"/>
      <c r="P5372" s="549"/>
      <c r="Q5372" s="1059"/>
      <c r="R5372" s="1059"/>
      <c r="S5372" s="497">
        <f>5+6</f>
        <v>11</v>
      </c>
      <c r="T5372" s="126">
        <f>J5372*S5372*I5372/1000</f>
        <v>3.8305299999999991</v>
      </c>
      <c r="U5372" s="497" t="s">
        <v>603</v>
      </c>
    </row>
    <row r="5373" spans="1:21" s="497" customFormat="1" ht="18">
      <c r="A5373" s="547"/>
      <c r="B5373" s="549" t="s">
        <v>564</v>
      </c>
      <c r="C5373" s="547"/>
      <c r="D5373" s="547"/>
      <c r="E5373" s="547"/>
      <c r="F5373" s="549"/>
      <c r="G5373" s="869" t="s">
        <v>21</v>
      </c>
      <c r="H5373" s="869" t="s">
        <v>180</v>
      </c>
      <c r="I5373" s="1881">
        <v>35.9</v>
      </c>
      <c r="J5373" s="567">
        <v>10.5</v>
      </c>
      <c r="K5373" s="892">
        <v>8</v>
      </c>
      <c r="L5373" s="893">
        <f t="shared" si="1109"/>
        <v>3.0156000000000001</v>
      </c>
      <c r="M5373" s="549"/>
      <c r="N5373" s="549"/>
      <c r="O5373" s="891">
        <v>10.4</v>
      </c>
      <c r="P5373" s="549"/>
      <c r="Q5373" s="1059"/>
      <c r="R5373" s="1059"/>
      <c r="S5373" s="497">
        <v>3</v>
      </c>
      <c r="T5373" s="126">
        <f>J5373*S5373*I5373/1000</f>
        <v>1.1308499999999999</v>
      </c>
    </row>
    <row r="5374" spans="1:21" s="497" customFormat="1" ht="18">
      <c r="A5374" s="547"/>
      <c r="B5374" s="752"/>
      <c r="C5374" s="547"/>
      <c r="D5374" s="547"/>
      <c r="E5374" s="547"/>
      <c r="F5374" s="549"/>
      <c r="G5374" s="869" t="s">
        <v>21</v>
      </c>
      <c r="H5374" s="869" t="s">
        <v>180</v>
      </c>
      <c r="I5374" s="1881">
        <v>35.9</v>
      </c>
      <c r="J5374" s="891">
        <v>11.1</v>
      </c>
      <c r="K5374" s="892">
        <v>4</v>
      </c>
      <c r="L5374" s="893">
        <f t="shared" si="1109"/>
        <v>1.5939599999999998</v>
      </c>
      <c r="M5374" s="549"/>
      <c r="N5374" s="549"/>
      <c r="O5374" s="549"/>
      <c r="P5374" s="549"/>
      <c r="Q5374" s="1059"/>
      <c r="R5374" s="1059"/>
      <c r="S5374" s="497">
        <v>4</v>
      </c>
      <c r="T5374" s="126">
        <f>J5374*S5374*I5374/1000</f>
        <v>1.5939599999999998</v>
      </c>
    </row>
    <row r="5375" spans="1:21" s="497" customFormat="1" ht="18">
      <c r="A5375" s="547"/>
      <c r="B5375" s="752"/>
      <c r="C5375" s="547"/>
      <c r="D5375" s="547"/>
      <c r="E5375" s="547"/>
      <c r="F5375" s="549"/>
      <c r="G5375" s="869" t="s">
        <v>21</v>
      </c>
      <c r="H5375" s="869" t="s">
        <v>180</v>
      </c>
      <c r="I5375" s="1881">
        <v>35.9</v>
      </c>
      <c r="J5375" s="891">
        <v>11.7</v>
      </c>
      <c r="K5375" s="892">
        <v>6</v>
      </c>
      <c r="L5375" s="893">
        <f t="shared" si="1109"/>
        <v>2.5201799999999999</v>
      </c>
      <c r="M5375" s="549"/>
      <c r="N5375" s="549"/>
      <c r="O5375" s="549"/>
      <c r="P5375" s="549"/>
      <c r="Q5375" s="1059"/>
      <c r="R5375" s="1059"/>
      <c r="S5375" s="497">
        <v>6</v>
      </c>
      <c r="T5375" s="126">
        <f>J5375*S5375*I5375/1000</f>
        <v>2.5201799999999994</v>
      </c>
    </row>
    <row r="5376" spans="1:21" s="497" customFormat="1" ht="18">
      <c r="A5376" s="547"/>
      <c r="B5376" s="752"/>
      <c r="C5376" s="547"/>
      <c r="D5376" s="547"/>
      <c r="E5376" s="547"/>
      <c r="F5376" s="549"/>
      <c r="G5376" s="869"/>
      <c r="H5376" s="650"/>
      <c r="I5376" s="1886"/>
      <c r="J5376" s="894"/>
      <c r="K5376" s="757">
        <f>SUM(K5372:K5375)</f>
        <v>30</v>
      </c>
      <c r="L5376" s="756">
        <f>SUM(L5372:L5375)</f>
        <v>11.308499999999999</v>
      </c>
      <c r="M5376" s="549"/>
      <c r="N5376" s="549"/>
      <c r="O5376" s="549"/>
      <c r="P5376" s="549"/>
      <c r="Q5376" s="549"/>
      <c r="R5376" s="549"/>
      <c r="S5376" s="958">
        <f>SUM(S5372:S5375)</f>
        <v>24</v>
      </c>
      <c r="T5376" s="959">
        <f>SUM(T5372:T5375)</f>
        <v>9.0755199999999991</v>
      </c>
    </row>
    <row r="5377" spans="1:29" s="497" customFormat="1" ht="17.399999999999999">
      <c r="A5377" s="547"/>
      <c r="B5377" s="752"/>
      <c r="C5377" s="547"/>
      <c r="D5377" s="547"/>
      <c r="E5377" s="547"/>
      <c r="F5377" s="549"/>
      <c r="G5377" s="549"/>
      <c r="H5377" s="549"/>
      <c r="I5377" s="558"/>
      <c r="J5377" s="567"/>
      <c r="K5377" s="648">
        <f>SUM(K5346:K5376)/2</f>
        <v>213</v>
      </c>
      <c r="L5377" s="567">
        <f>SUM(L5346:L5376)/2</f>
        <v>67.334379999999982</v>
      </c>
      <c r="M5377" s="648">
        <f>SUM(M5349:M5376)/2</f>
        <v>0</v>
      </c>
      <c r="N5377" s="567">
        <f>SUM(N5349:N5376)/2</f>
        <v>0</v>
      </c>
      <c r="O5377" s="549"/>
      <c r="P5377" s="549"/>
      <c r="Q5377" s="549"/>
      <c r="R5377" s="549"/>
      <c r="S5377" s="648">
        <f>SUM(S5346:S5376)/2</f>
        <v>170</v>
      </c>
      <c r="T5377" s="567">
        <f>SUM(T5346:T5376)/2</f>
        <v>54.342853999999981</v>
      </c>
    </row>
    <row r="5378" spans="1:29" s="497" customFormat="1" ht="17.399999999999999">
      <c r="A5378" s="547"/>
      <c r="B5378" s="752"/>
      <c r="C5378" s="547"/>
      <c r="D5378" s="547"/>
      <c r="E5378" s="547"/>
      <c r="F5378" s="549"/>
      <c r="G5378" s="549"/>
      <c r="H5378" s="549"/>
      <c r="I5378" s="558"/>
      <c r="J5378" s="567"/>
      <c r="K5378" s="648"/>
      <c r="L5378" s="567"/>
      <c r="M5378" s="549"/>
      <c r="N5378" s="549"/>
      <c r="O5378" s="549"/>
      <c r="P5378" s="549"/>
      <c r="Q5378" s="1059"/>
      <c r="R5378" s="1059"/>
      <c r="T5378" s="497" t="s">
        <v>575</v>
      </c>
    </row>
    <row r="5379" spans="1:29" s="497" customFormat="1" ht="17.399999999999999">
      <c r="A5379" s="547"/>
      <c r="B5379" s="752"/>
      <c r="C5379" s="547"/>
      <c r="D5379" s="547"/>
      <c r="E5379" s="547"/>
      <c r="F5379" s="549"/>
      <c r="G5379" s="549"/>
      <c r="H5379" s="549"/>
      <c r="I5379" s="558"/>
      <c r="J5379" s="567"/>
      <c r="K5379" s="648"/>
      <c r="L5379" s="567"/>
      <c r="M5379" s="549"/>
      <c r="N5379" s="549"/>
      <c r="O5379" s="549"/>
      <c r="P5379" s="549"/>
      <c r="Q5379" s="1059"/>
      <c r="R5379" s="1059"/>
    </row>
    <row r="5380" spans="1:29" ht="17.399999999999999">
      <c r="A5380" s="852" t="s">
        <v>411</v>
      </c>
      <c r="B5380" s="852" t="s">
        <v>486</v>
      </c>
      <c r="C5380" s="852" t="s">
        <v>19</v>
      </c>
      <c r="D5380" s="852" t="s">
        <v>20</v>
      </c>
      <c r="E5380" s="852" t="s">
        <v>359</v>
      </c>
      <c r="F5380" s="599">
        <v>16</v>
      </c>
      <c r="G5380" s="599" t="s">
        <v>21</v>
      </c>
      <c r="H5380" s="599" t="s">
        <v>179</v>
      </c>
      <c r="I5380" s="1699">
        <v>33.72</v>
      </c>
      <c r="J5380" s="732">
        <v>9.6</v>
      </c>
      <c r="K5380" s="733">
        <v>4</v>
      </c>
      <c r="L5380" s="734">
        <f>(I5380*J5380*K5380/1000)</f>
        <v>1.294848</v>
      </c>
      <c r="M5380" s="599">
        <v>4</v>
      </c>
      <c r="N5380" s="549">
        <f t="shared" ref="N5380" si="1110">J5380*M5380*I5380/1000</f>
        <v>1.294848</v>
      </c>
      <c r="O5380" s="599"/>
      <c r="P5380" s="599"/>
      <c r="Q5380" s="1066"/>
      <c r="R5380" s="1066"/>
    </row>
    <row r="5381" spans="1:29" ht="17.399999999999999">
      <c r="A5381" s="599"/>
      <c r="B5381" s="599" t="s">
        <v>331</v>
      </c>
      <c r="C5381" s="599"/>
      <c r="D5381" s="599"/>
      <c r="E5381" s="853"/>
      <c r="F5381" s="599"/>
      <c r="G5381" s="599"/>
      <c r="H5381" s="599"/>
      <c r="I5381" s="1699"/>
      <c r="J5381" s="731"/>
      <c r="K5381" s="733">
        <f t="shared" ref="K5381:N5381" si="1111">SUM(K5380)</f>
        <v>4</v>
      </c>
      <c r="L5381" s="732">
        <f t="shared" si="1111"/>
        <v>1.294848</v>
      </c>
      <c r="M5381" s="733">
        <f t="shared" si="1111"/>
        <v>4</v>
      </c>
      <c r="N5381" s="732">
        <f t="shared" si="1111"/>
        <v>1.294848</v>
      </c>
      <c r="O5381" s="599"/>
      <c r="P5381" s="599"/>
      <c r="Q5381" s="1066"/>
      <c r="R5381" s="1066"/>
      <c r="S5381" s="759" t="s">
        <v>577</v>
      </c>
    </row>
    <row r="5382" spans="1:29" ht="17.399999999999999">
      <c r="A5382" s="550"/>
      <c r="B5382" s="549"/>
      <c r="C5382" s="550"/>
      <c r="D5382" s="550"/>
      <c r="E5382" s="548"/>
      <c r="F5382" s="549"/>
      <c r="G5382" s="549"/>
      <c r="H5382" s="549"/>
      <c r="I5382" s="558"/>
      <c r="J5382" s="647"/>
      <c r="K5382" s="648"/>
      <c r="L5382" s="567"/>
      <c r="M5382" s="549"/>
      <c r="N5382" s="549"/>
      <c r="O5382" s="549"/>
      <c r="P5382" s="549"/>
      <c r="Q5382" s="1059"/>
      <c r="R5382" s="1059"/>
    </row>
    <row r="5383" spans="1:29" ht="17.399999999999999">
      <c r="A5383" s="547" t="s">
        <v>445</v>
      </c>
      <c r="B5383" s="547" t="s">
        <v>487</v>
      </c>
      <c r="C5383" s="547" t="s">
        <v>19</v>
      </c>
      <c r="D5383" s="547" t="s">
        <v>20</v>
      </c>
      <c r="E5383" s="547" t="s">
        <v>47</v>
      </c>
      <c r="F5383" s="549">
        <v>16</v>
      </c>
      <c r="G5383" s="549" t="s">
        <v>21</v>
      </c>
      <c r="H5383" s="599" t="s">
        <v>179</v>
      </c>
      <c r="I5383" s="558">
        <v>33.799999999999997</v>
      </c>
      <c r="J5383" s="567">
        <v>8.1999999999999993</v>
      </c>
      <c r="K5383" s="648">
        <v>2</v>
      </c>
      <c r="L5383" s="552">
        <f t="shared" ref="L5383:L5385" si="1112">(I5383*J5383*K5383/1000)</f>
        <v>0.55431999999999992</v>
      </c>
      <c r="M5383" s="549"/>
      <c r="N5383" s="549"/>
      <c r="O5383" s="549"/>
      <c r="P5383" s="549"/>
      <c r="Q5383" s="1059"/>
      <c r="R5383" s="1059"/>
      <c r="U5383">
        <v>2</v>
      </c>
      <c r="V5383" s="126">
        <f>J5383*U5383*I5383/1000</f>
        <v>0.55431999999999992</v>
      </c>
      <c r="W5383" s="497" t="s">
        <v>603</v>
      </c>
    </row>
    <row r="5384" spans="1:29" ht="17.399999999999999">
      <c r="A5384" s="547"/>
      <c r="B5384" s="752" t="s">
        <v>439</v>
      </c>
      <c r="C5384" s="547"/>
      <c r="D5384" s="547"/>
      <c r="E5384" s="547"/>
      <c r="F5384" s="549"/>
      <c r="G5384" s="549" t="s">
        <v>21</v>
      </c>
      <c r="H5384" s="549" t="s">
        <v>179</v>
      </c>
      <c r="I5384" s="558">
        <v>33.799999999999997</v>
      </c>
      <c r="J5384" s="567">
        <v>9.6</v>
      </c>
      <c r="K5384" s="648">
        <v>2</v>
      </c>
      <c r="L5384" s="552">
        <f t="shared" si="1112"/>
        <v>0.64895999999999987</v>
      </c>
      <c r="M5384" s="549"/>
      <c r="N5384" s="549"/>
      <c r="O5384" s="567">
        <v>9.4</v>
      </c>
      <c r="P5384" s="549"/>
      <c r="Q5384" s="1059"/>
      <c r="R5384" s="1059"/>
      <c r="U5384">
        <v>2</v>
      </c>
      <c r="V5384" s="126">
        <f>J5384*U5384*I5384/1000</f>
        <v>0.64895999999999987</v>
      </c>
    </row>
    <row r="5385" spans="1:29" ht="17.399999999999999">
      <c r="A5385" s="549"/>
      <c r="B5385" s="549"/>
      <c r="C5385" s="549"/>
      <c r="D5385" s="549"/>
      <c r="E5385" s="549"/>
      <c r="F5385" s="549"/>
      <c r="G5385" s="549" t="s">
        <v>21</v>
      </c>
      <c r="H5385" s="549" t="s">
        <v>179</v>
      </c>
      <c r="I5385" s="558">
        <v>33.799999999999997</v>
      </c>
      <c r="J5385" s="567">
        <v>11.8</v>
      </c>
      <c r="K5385" s="648">
        <v>6</v>
      </c>
      <c r="L5385" s="552">
        <f t="shared" si="1112"/>
        <v>2.3930400000000001</v>
      </c>
      <c r="M5385" s="549"/>
      <c r="N5385" s="549"/>
      <c r="O5385" s="549"/>
      <c r="P5385" s="549"/>
      <c r="Q5385" s="1059"/>
      <c r="R5385" s="1059"/>
      <c r="S5385">
        <v>6</v>
      </c>
      <c r="T5385" s="126">
        <f>J5385*S5385*I5385/1000</f>
        <v>2.3930400000000001</v>
      </c>
    </row>
    <row r="5386" spans="1:29" ht="17.399999999999999">
      <c r="A5386" s="549"/>
      <c r="B5386" s="549"/>
      <c r="C5386" s="549"/>
      <c r="D5386" s="549"/>
      <c r="E5386" s="549"/>
      <c r="F5386" s="549"/>
      <c r="G5386" s="549"/>
      <c r="H5386" s="549"/>
      <c r="I5386" s="558"/>
      <c r="J5386" s="567"/>
      <c r="K5386" s="648">
        <f t="shared" ref="K5386:L5386" si="1113">SUM(K5383:K5385)</f>
        <v>10</v>
      </c>
      <c r="L5386" s="567">
        <f t="shared" si="1113"/>
        <v>3.59632</v>
      </c>
      <c r="M5386" s="549"/>
      <c r="N5386" s="549"/>
      <c r="O5386" s="549"/>
      <c r="P5386" s="549"/>
      <c r="Q5386" s="549"/>
      <c r="R5386" s="549"/>
      <c r="S5386" s="648">
        <f t="shared" ref="S5386:V5386" si="1114">SUM(S5383:S5385)</f>
        <v>6</v>
      </c>
      <c r="T5386" s="567">
        <f t="shared" si="1114"/>
        <v>2.3930400000000001</v>
      </c>
      <c r="U5386" s="648">
        <f t="shared" si="1114"/>
        <v>4</v>
      </c>
      <c r="V5386" s="567">
        <f t="shared" si="1114"/>
        <v>1.2032799999999999</v>
      </c>
    </row>
    <row r="5387" spans="1:29" ht="17.399999999999999">
      <c r="A5387" s="550"/>
      <c r="B5387" s="549"/>
      <c r="C5387" s="550"/>
      <c r="D5387" s="550"/>
      <c r="E5387" s="548"/>
      <c r="F5387" s="549"/>
      <c r="G5387" s="549"/>
      <c r="H5387" s="549"/>
      <c r="I5387" s="558"/>
      <c r="J5387" s="647"/>
      <c r="K5387" s="648"/>
      <c r="L5387" s="567"/>
      <c r="M5387" s="549"/>
      <c r="N5387" s="549"/>
      <c r="O5387" s="549"/>
      <c r="P5387" s="549"/>
      <c r="Q5387" s="1059"/>
      <c r="R5387" s="1059"/>
    </row>
    <row r="5388" spans="1:29" ht="17.399999999999999">
      <c r="A5388" s="547" t="s">
        <v>445</v>
      </c>
      <c r="B5388" s="547" t="s">
        <v>488</v>
      </c>
      <c r="C5388" s="547" t="s">
        <v>19</v>
      </c>
      <c r="D5388" s="547" t="s">
        <v>20</v>
      </c>
      <c r="E5388" s="547" t="s">
        <v>47</v>
      </c>
      <c r="F5388" s="549">
        <v>16</v>
      </c>
      <c r="G5388" s="549" t="s">
        <v>21</v>
      </c>
      <c r="H5388" s="599" t="s">
        <v>179</v>
      </c>
      <c r="I5388" s="558">
        <v>33.799999999999997</v>
      </c>
      <c r="J5388" s="567">
        <v>6.1</v>
      </c>
      <c r="K5388" s="648">
        <v>52</v>
      </c>
      <c r="L5388" s="552">
        <f t="shared" ref="L5388:L5398" si="1115">(I5388*J5388*K5388/1000)</f>
        <v>10.721359999999999</v>
      </c>
      <c r="M5388" s="549"/>
      <c r="N5388" s="549">
        <f t="shared" ref="N5388:N5398" si="1116">J5388*M5388*I5388/1000</f>
        <v>0</v>
      </c>
      <c r="O5388" s="549"/>
      <c r="P5388" s="549"/>
      <c r="Q5388" s="1059"/>
      <c r="R5388" s="1059"/>
      <c r="S5388">
        <f>6+6+6+6+6+5</f>
        <v>35</v>
      </c>
      <c r="T5388" s="126">
        <f t="shared" ref="T5388:T5398" si="1117">J5388*S5388*I5388/1000</f>
        <v>7.2162999999999995</v>
      </c>
      <c r="U5388">
        <f>1+5</f>
        <v>6</v>
      </c>
      <c r="V5388" s="126">
        <f t="shared" ref="V5388:V5398" si="1118">J5388*U5388*I5388/1000</f>
        <v>1.2370799999999997</v>
      </c>
      <c r="Y5388" s="497">
        <f>7+1+3</f>
        <v>11</v>
      </c>
      <c r="Z5388">
        <f>J5388*Y5388*I5388/1000</f>
        <v>2.2679799999999997</v>
      </c>
      <c r="AC5388" s="497" t="s">
        <v>604</v>
      </c>
    </row>
    <row r="5389" spans="1:29" ht="17.399999999999999">
      <c r="A5389" s="547"/>
      <c r="B5389" s="752" t="s">
        <v>439</v>
      </c>
      <c r="C5389" s="547"/>
      <c r="D5389" s="547"/>
      <c r="E5389" s="547"/>
      <c r="F5389" s="549"/>
      <c r="G5389" s="549" t="s">
        <v>21</v>
      </c>
      <c r="H5389" s="549" t="s">
        <v>179</v>
      </c>
      <c r="I5389" s="558">
        <v>33.799999999999997</v>
      </c>
      <c r="J5389" s="567">
        <v>6.3</v>
      </c>
      <c r="K5389" s="648">
        <v>52</v>
      </c>
      <c r="L5389" s="552">
        <f t="shared" si="1115"/>
        <v>11.07288</v>
      </c>
      <c r="M5389" s="549">
        <v>1</v>
      </c>
      <c r="N5389" s="549">
        <f t="shared" si="1116"/>
        <v>0.21293999999999996</v>
      </c>
      <c r="O5389" s="549"/>
      <c r="P5389" s="549"/>
      <c r="Q5389" s="1059"/>
      <c r="R5389" s="1059"/>
      <c r="S5389">
        <f>1+6+6</f>
        <v>13</v>
      </c>
      <c r="T5389" s="126">
        <f t="shared" si="1117"/>
        <v>2.7682199999999995</v>
      </c>
      <c r="U5389">
        <f>4+2+7+7</f>
        <v>20</v>
      </c>
      <c r="V5389" s="126">
        <f t="shared" si="1118"/>
        <v>4.258799999999999</v>
      </c>
      <c r="W5389">
        <v>5</v>
      </c>
      <c r="X5389">
        <f>J5389*W5389*I5389/1000</f>
        <v>1.0646999999999998</v>
      </c>
      <c r="Y5389" s="497">
        <f>7+6+7-6</f>
        <v>14</v>
      </c>
      <c r="Z5389" s="497">
        <f t="shared" ref="Z5389:Z5390" si="1119">J5389*Y5389*I5389/1000</f>
        <v>2.98116</v>
      </c>
      <c r="AC5389" s="497" t="s">
        <v>605</v>
      </c>
    </row>
    <row r="5390" spans="1:29" ht="17.399999999999999">
      <c r="A5390" s="549"/>
      <c r="B5390" s="549"/>
      <c r="C5390" s="549"/>
      <c r="D5390" s="549"/>
      <c r="E5390" s="549"/>
      <c r="F5390" s="549"/>
      <c r="G5390" s="549" t="s">
        <v>21</v>
      </c>
      <c r="H5390" s="549" t="s">
        <v>179</v>
      </c>
      <c r="I5390" s="558">
        <v>33.799999999999997</v>
      </c>
      <c r="J5390" s="567">
        <v>7.25</v>
      </c>
      <c r="K5390" s="648">
        <v>66</v>
      </c>
      <c r="L5390" s="552">
        <f t="shared" si="1115"/>
        <v>16.173299999999998</v>
      </c>
      <c r="M5390" s="549"/>
      <c r="N5390" s="549">
        <f t="shared" si="1116"/>
        <v>0</v>
      </c>
      <c r="O5390" s="549"/>
      <c r="P5390" s="549"/>
      <c r="Q5390" s="1059"/>
      <c r="R5390" s="1059"/>
      <c r="S5390">
        <f>6+5+6+6</f>
        <v>23</v>
      </c>
      <c r="T5390" s="126">
        <f t="shared" si="1117"/>
        <v>5.6361499999999998</v>
      </c>
      <c r="U5390">
        <f>8+6+7+7</f>
        <v>28</v>
      </c>
      <c r="V5390" s="126">
        <f t="shared" si="1118"/>
        <v>6.8613999999999997</v>
      </c>
      <c r="W5390">
        <v>2</v>
      </c>
      <c r="X5390" s="497">
        <f t="shared" ref="X5390:X5398" si="1120">J5390*W5390*I5390/1000</f>
        <v>0.49009999999999998</v>
      </c>
      <c r="Y5390">
        <v>3</v>
      </c>
      <c r="Z5390" s="497">
        <f t="shared" si="1119"/>
        <v>0.73514999999999997</v>
      </c>
    </row>
    <row r="5391" spans="1:29" ht="17.399999999999999">
      <c r="A5391" s="549"/>
      <c r="B5391" s="549"/>
      <c r="C5391" s="549"/>
      <c r="D5391" s="549"/>
      <c r="E5391" s="549"/>
      <c r="F5391" s="549"/>
      <c r="G5391" s="549" t="s">
        <v>21</v>
      </c>
      <c r="H5391" s="549" t="s">
        <v>179</v>
      </c>
      <c r="I5391" s="558">
        <v>33.799999999999997</v>
      </c>
      <c r="J5391" s="567">
        <v>7.8</v>
      </c>
      <c r="K5391" s="648">
        <v>20</v>
      </c>
      <c r="L5391" s="552">
        <f t="shared" si="1115"/>
        <v>5.2727999999999993</v>
      </c>
      <c r="M5391" s="549"/>
      <c r="N5391" s="549">
        <f t="shared" si="1116"/>
        <v>0</v>
      </c>
      <c r="O5391" s="549"/>
      <c r="P5391" s="549"/>
      <c r="Q5391" s="1059"/>
      <c r="R5391" s="1059"/>
      <c r="T5391" s="126">
        <f t="shared" si="1117"/>
        <v>0</v>
      </c>
      <c r="U5391">
        <f>7+7+4</f>
        <v>18</v>
      </c>
      <c r="V5391" s="126">
        <f t="shared" si="1118"/>
        <v>4.74552</v>
      </c>
      <c r="W5391">
        <v>2</v>
      </c>
      <c r="X5391" s="497">
        <f t="shared" si="1120"/>
        <v>0.52727999999999997</v>
      </c>
    </row>
    <row r="5392" spans="1:29" ht="17.399999999999999">
      <c r="A5392" s="549"/>
      <c r="B5392" s="549"/>
      <c r="C5392" s="549"/>
      <c r="D5392" s="549"/>
      <c r="E5392" s="549"/>
      <c r="F5392" s="549"/>
      <c r="G5392" s="549" t="s">
        <v>21</v>
      </c>
      <c r="H5392" s="549" t="s">
        <v>179</v>
      </c>
      <c r="I5392" s="558">
        <v>33.799999999999997</v>
      </c>
      <c r="J5392" s="567">
        <v>8.1999999999999993</v>
      </c>
      <c r="K5392" s="648">
        <v>18</v>
      </c>
      <c r="L5392" s="552">
        <f t="shared" si="1115"/>
        <v>4.9888799999999991</v>
      </c>
      <c r="M5392" s="549">
        <v>2</v>
      </c>
      <c r="N5392" s="549">
        <f t="shared" si="1116"/>
        <v>0.55431999999999992</v>
      </c>
      <c r="O5392" s="549"/>
      <c r="P5392" s="549"/>
      <c r="Q5392" s="1059"/>
      <c r="R5392" s="1059"/>
      <c r="S5392">
        <f>7+7</f>
        <v>14</v>
      </c>
      <c r="T5392" s="126">
        <f t="shared" si="1117"/>
        <v>3.8802399999999988</v>
      </c>
      <c r="V5392" s="126">
        <f t="shared" si="1118"/>
        <v>0</v>
      </c>
      <c r="W5392">
        <v>2</v>
      </c>
      <c r="X5392" s="497">
        <f t="shared" si="1120"/>
        <v>0.55431999999999992</v>
      </c>
    </row>
    <row r="5393" spans="1:28" ht="17.399999999999999">
      <c r="A5393" s="549"/>
      <c r="B5393" s="549"/>
      <c r="C5393" s="549"/>
      <c r="D5393" s="549"/>
      <c r="E5393" s="549"/>
      <c r="F5393" s="549"/>
      <c r="G5393" s="549" t="s">
        <v>21</v>
      </c>
      <c r="H5393" s="549" t="s">
        <v>179</v>
      </c>
      <c r="I5393" s="558">
        <v>33.799999999999997</v>
      </c>
      <c r="J5393" s="567">
        <v>8.75</v>
      </c>
      <c r="K5393" s="648">
        <v>47</v>
      </c>
      <c r="L5393" s="552">
        <f t="shared" si="1115"/>
        <v>13.90025</v>
      </c>
      <c r="M5393" s="549">
        <v>1</v>
      </c>
      <c r="N5393" s="549">
        <f t="shared" si="1116"/>
        <v>0.29575000000000001</v>
      </c>
      <c r="O5393" s="549"/>
      <c r="P5393" s="549"/>
      <c r="Q5393" s="1059"/>
      <c r="R5393" s="1059"/>
      <c r="S5393">
        <v>4</v>
      </c>
      <c r="T5393" s="126">
        <f t="shared" si="1117"/>
        <v>1.1830000000000001</v>
      </c>
      <c r="U5393">
        <v>6</v>
      </c>
      <c r="V5393" s="126">
        <f t="shared" si="1118"/>
        <v>1.7744999999999997</v>
      </c>
      <c r="W5393">
        <f>1+3+1</f>
        <v>5</v>
      </c>
      <c r="X5393" s="497">
        <f t="shared" si="1120"/>
        <v>1.4787499999999998</v>
      </c>
      <c r="Y5393">
        <v>2</v>
      </c>
      <c r="Z5393" s="497">
        <f>J5393*Y5393*I5393/1000</f>
        <v>0.59150000000000003</v>
      </c>
    </row>
    <row r="5394" spans="1:28" ht="17.399999999999999">
      <c r="A5394" s="549"/>
      <c r="B5394" s="549"/>
      <c r="C5394" s="549"/>
      <c r="D5394" s="549"/>
      <c r="E5394" s="549"/>
      <c r="F5394" s="549"/>
      <c r="G5394" s="549" t="s">
        <v>21</v>
      </c>
      <c r="H5394" s="549" t="s">
        <v>179</v>
      </c>
      <c r="I5394" s="558">
        <v>33.799999999999997</v>
      </c>
      <c r="J5394" s="567">
        <v>9</v>
      </c>
      <c r="K5394" s="648">
        <v>10</v>
      </c>
      <c r="L5394" s="552">
        <f t="shared" si="1115"/>
        <v>3.0419999999999998</v>
      </c>
      <c r="M5394" s="549">
        <f>1+1</f>
        <v>2</v>
      </c>
      <c r="N5394" s="549">
        <f t="shared" si="1116"/>
        <v>0.60839999999999994</v>
      </c>
      <c r="O5394" s="549"/>
      <c r="P5394" s="549"/>
      <c r="Q5394" s="1059"/>
      <c r="R5394" s="1059"/>
      <c r="T5394" s="126">
        <f t="shared" si="1117"/>
        <v>0</v>
      </c>
      <c r="U5394">
        <v>1</v>
      </c>
      <c r="V5394" s="126">
        <f t="shared" si="1118"/>
        <v>0.30419999999999997</v>
      </c>
      <c r="W5394">
        <v>3</v>
      </c>
      <c r="X5394" s="497">
        <f t="shared" si="1120"/>
        <v>0.91259999999999986</v>
      </c>
    </row>
    <row r="5395" spans="1:28" ht="17.399999999999999">
      <c r="A5395" s="549"/>
      <c r="B5395" s="549"/>
      <c r="C5395" s="549"/>
      <c r="D5395" s="549"/>
      <c r="E5395" s="549"/>
      <c r="F5395" s="549"/>
      <c r="G5395" s="549" t="s">
        <v>21</v>
      </c>
      <c r="H5395" s="549" t="s">
        <v>179</v>
      </c>
      <c r="I5395" s="558">
        <v>33.799999999999997</v>
      </c>
      <c r="J5395" s="567">
        <v>10.3</v>
      </c>
      <c r="K5395" s="648">
        <v>29</v>
      </c>
      <c r="L5395" s="552">
        <f t="shared" si="1115"/>
        <v>10.09606</v>
      </c>
      <c r="M5395" s="549">
        <v>1</v>
      </c>
      <c r="N5395" s="549">
        <f t="shared" si="1116"/>
        <v>0.34814000000000001</v>
      </c>
      <c r="O5395" s="549"/>
      <c r="P5395" s="549"/>
      <c r="Q5395" s="1059"/>
      <c r="R5395" s="1059"/>
      <c r="S5395">
        <f>7+2</f>
        <v>9</v>
      </c>
      <c r="T5395" s="126">
        <f t="shared" si="1117"/>
        <v>3.1332599999999999</v>
      </c>
      <c r="U5395">
        <f>6+5+2</f>
        <v>13</v>
      </c>
      <c r="V5395" s="126">
        <f t="shared" si="1118"/>
        <v>4.5258199999999995</v>
      </c>
      <c r="W5395">
        <v>6</v>
      </c>
      <c r="X5395" s="497">
        <f t="shared" si="1120"/>
        <v>2.0888400000000003</v>
      </c>
    </row>
    <row r="5396" spans="1:28" ht="17.399999999999999">
      <c r="A5396" s="549"/>
      <c r="B5396" s="549"/>
      <c r="C5396" s="549"/>
      <c r="D5396" s="549"/>
      <c r="E5396" s="549"/>
      <c r="F5396" s="549"/>
      <c r="G5396" s="549" t="s">
        <v>21</v>
      </c>
      <c r="H5396" s="549" t="s">
        <v>179</v>
      </c>
      <c r="I5396" s="558">
        <v>33.799999999999997</v>
      </c>
      <c r="J5396" s="567">
        <v>11.1</v>
      </c>
      <c r="K5396" s="648">
        <v>6</v>
      </c>
      <c r="L5396" s="552">
        <f t="shared" si="1115"/>
        <v>2.25108</v>
      </c>
      <c r="M5396" s="549"/>
      <c r="N5396" s="549">
        <f t="shared" si="1116"/>
        <v>0</v>
      </c>
      <c r="O5396" s="549"/>
      <c r="P5396" s="549"/>
      <c r="Q5396" s="1059"/>
      <c r="R5396" s="1059"/>
      <c r="S5396">
        <v>6</v>
      </c>
      <c r="T5396" s="126">
        <f t="shared" si="1117"/>
        <v>2.2510799999999995</v>
      </c>
      <c r="V5396" s="126">
        <f t="shared" si="1118"/>
        <v>0</v>
      </c>
      <c r="X5396" s="497">
        <f t="shared" si="1120"/>
        <v>0</v>
      </c>
    </row>
    <row r="5397" spans="1:28" ht="17.399999999999999">
      <c r="A5397" s="549"/>
      <c r="B5397" s="549"/>
      <c r="C5397" s="549"/>
      <c r="D5397" s="549"/>
      <c r="E5397" s="549"/>
      <c r="F5397" s="549"/>
      <c r="G5397" s="549" t="s">
        <v>21</v>
      </c>
      <c r="H5397" s="549" t="s">
        <v>179</v>
      </c>
      <c r="I5397" s="558">
        <v>33.799999999999997</v>
      </c>
      <c r="J5397" s="567">
        <v>11.2</v>
      </c>
      <c r="K5397" s="648">
        <v>24</v>
      </c>
      <c r="L5397" s="552">
        <f t="shared" si="1115"/>
        <v>9.0854399999999984</v>
      </c>
      <c r="M5397" s="549">
        <v>3</v>
      </c>
      <c r="N5397" s="549">
        <f t="shared" si="1116"/>
        <v>1.1356799999999996</v>
      </c>
      <c r="O5397" s="549"/>
      <c r="P5397" s="549"/>
      <c r="Q5397" s="1059"/>
      <c r="R5397" s="1059"/>
      <c r="S5397">
        <f>3+6+4</f>
        <v>13</v>
      </c>
      <c r="T5397" s="126">
        <f t="shared" si="1117"/>
        <v>4.9212799999999994</v>
      </c>
      <c r="V5397" s="126">
        <f t="shared" si="1118"/>
        <v>0</v>
      </c>
      <c r="W5397">
        <v>2</v>
      </c>
      <c r="X5397" s="497">
        <f t="shared" si="1120"/>
        <v>0.7571199999999999</v>
      </c>
    </row>
    <row r="5398" spans="1:28" ht="17.399999999999999">
      <c r="A5398" s="549"/>
      <c r="B5398" s="549"/>
      <c r="C5398" s="549"/>
      <c r="D5398" s="549"/>
      <c r="E5398" s="549"/>
      <c r="F5398" s="549"/>
      <c r="G5398" s="549" t="s">
        <v>21</v>
      </c>
      <c r="H5398" s="549" t="s">
        <v>179</v>
      </c>
      <c r="I5398" s="558">
        <v>33.799999999999997</v>
      </c>
      <c r="J5398" s="567">
        <v>11.8</v>
      </c>
      <c r="K5398" s="648">
        <v>5</v>
      </c>
      <c r="L5398" s="552">
        <f t="shared" si="1115"/>
        <v>1.9941999999999998</v>
      </c>
      <c r="M5398" s="549"/>
      <c r="N5398" s="549">
        <f t="shared" si="1116"/>
        <v>0</v>
      </c>
      <c r="O5398" s="549"/>
      <c r="P5398" s="549"/>
      <c r="Q5398" s="1059"/>
      <c r="R5398" s="1059"/>
      <c r="S5398">
        <v>4</v>
      </c>
      <c r="T5398" s="126">
        <f t="shared" si="1117"/>
        <v>1.5953599999999999</v>
      </c>
      <c r="V5398" s="126">
        <f t="shared" si="1118"/>
        <v>0</v>
      </c>
      <c r="X5398" s="497">
        <f t="shared" si="1120"/>
        <v>0</v>
      </c>
    </row>
    <row r="5399" spans="1:28" ht="17.399999999999999">
      <c r="A5399" s="549"/>
      <c r="B5399" s="549"/>
      <c r="C5399" s="549"/>
      <c r="D5399" s="549"/>
      <c r="E5399" s="549"/>
      <c r="F5399" s="549"/>
      <c r="G5399" s="549"/>
      <c r="H5399" s="549"/>
      <c r="I5399" s="558"/>
      <c r="J5399" s="567"/>
      <c r="K5399" s="648">
        <f t="shared" ref="K5399:N5399" si="1121">SUM(K5388:K5398)</f>
        <v>329</v>
      </c>
      <c r="L5399" s="567">
        <f t="shared" si="1121"/>
        <v>88.598250000000007</v>
      </c>
      <c r="M5399" s="648">
        <f t="shared" si="1121"/>
        <v>10</v>
      </c>
      <c r="N5399" s="567">
        <f t="shared" si="1121"/>
        <v>3.1552299999999995</v>
      </c>
      <c r="O5399" s="549"/>
      <c r="P5399" s="549"/>
      <c r="Q5399" s="549"/>
      <c r="R5399" s="549"/>
      <c r="S5399" s="648">
        <f>SUM(S5388:S5398)</f>
        <v>121</v>
      </c>
      <c r="T5399" s="567">
        <f t="shared" ref="T5399:Z5399" si="1122">SUM(T5388:T5398)</f>
        <v>32.584889999999994</v>
      </c>
      <c r="U5399" s="648">
        <f>SUM(U5388:U5398)</f>
        <v>92</v>
      </c>
      <c r="V5399" s="567">
        <f t="shared" si="1122"/>
        <v>23.707319999999999</v>
      </c>
      <c r="W5399" s="648">
        <f>SUM(W5388:W5398)</f>
        <v>27</v>
      </c>
      <c r="X5399" s="567">
        <f t="shared" si="1122"/>
        <v>7.8737099999999991</v>
      </c>
      <c r="Y5399" s="648">
        <f>SUM(Y5388:Y5398)</f>
        <v>30</v>
      </c>
      <c r="Z5399" s="567">
        <f t="shared" si="1122"/>
        <v>6.5757899999999996</v>
      </c>
    </row>
    <row r="5400" spans="1:28" ht="17.399999999999999">
      <c r="A5400" s="549"/>
      <c r="B5400" s="549"/>
      <c r="C5400" s="549"/>
      <c r="D5400" s="549"/>
      <c r="E5400" s="549"/>
      <c r="F5400" s="549"/>
      <c r="G5400" s="549"/>
      <c r="H5400" s="549"/>
      <c r="I5400" s="560"/>
      <c r="J5400" s="549"/>
      <c r="K5400" s="561"/>
      <c r="L5400" s="560"/>
      <c r="M5400" s="549"/>
      <c r="N5400" s="549"/>
      <c r="O5400" s="549"/>
      <c r="P5400" s="549"/>
      <c r="Q5400" s="1059"/>
      <c r="R5400" s="1059"/>
    </row>
    <row r="5401" spans="1:28" ht="17.399999999999999">
      <c r="A5401" s="547" t="s">
        <v>445</v>
      </c>
      <c r="B5401" s="547" t="s">
        <v>519</v>
      </c>
      <c r="C5401" s="547" t="s">
        <v>19</v>
      </c>
      <c r="D5401" s="547" t="s">
        <v>20</v>
      </c>
      <c r="E5401" s="547" t="s">
        <v>57</v>
      </c>
      <c r="F5401" s="549">
        <v>16</v>
      </c>
      <c r="G5401" s="549" t="s">
        <v>21</v>
      </c>
      <c r="H5401" s="599" t="s">
        <v>179</v>
      </c>
      <c r="I5401" s="558">
        <v>33.799999999999997</v>
      </c>
      <c r="J5401" s="567">
        <v>8.1999999999999993</v>
      </c>
      <c r="K5401" s="648">
        <v>26</v>
      </c>
      <c r="L5401" s="552">
        <f t="shared" ref="L5401:L5403" si="1123">(I5401*J5401*K5401/1000)</f>
        <v>7.2061599999999988</v>
      </c>
      <c r="M5401" s="549"/>
      <c r="N5401" s="549">
        <f t="shared" ref="N5401:N5403" si="1124">J5401*M5401*I5401/1000</f>
        <v>0</v>
      </c>
      <c r="O5401" s="549"/>
      <c r="P5401" s="549"/>
      <c r="Q5401" s="1059"/>
      <c r="R5401" s="1059"/>
      <c r="S5401">
        <v>6</v>
      </c>
      <c r="T5401" s="126">
        <f t="shared" ref="T5401:T5403" si="1125">J5401*S5401*I5401/1000</f>
        <v>1.6629599999999998</v>
      </c>
      <c r="U5401">
        <f>5+7+7+5-4</f>
        <v>20</v>
      </c>
      <c r="V5401" s="126">
        <f t="shared" ref="V5401:V5403" si="1126">J5401*U5401*I5401/1000</f>
        <v>5.5431999999999997</v>
      </c>
      <c r="X5401" s="497">
        <f t="shared" ref="X5401:X5403" si="1127">J5401*W5401*I5401/1000</f>
        <v>0</v>
      </c>
      <c r="Y5401" s="497" t="s">
        <v>606</v>
      </c>
    </row>
    <row r="5402" spans="1:28" ht="17.399999999999999">
      <c r="A5402" s="547"/>
      <c r="B5402" s="549" t="s">
        <v>423</v>
      </c>
      <c r="C5402" s="547"/>
      <c r="D5402" s="547"/>
      <c r="E5402" s="547"/>
      <c r="F5402" s="549"/>
      <c r="G5402" s="549" t="s">
        <v>21</v>
      </c>
      <c r="H5402" s="549" t="s">
        <v>179</v>
      </c>
      <c r="I5402" s="558">
        <v>33.799999999999997</v>
      </c>
      <c r="J5402" s="567">
        <v>9.8000000000000007</v>
      </c>
      <c r="K5402" s="648">
        <v>18</v>
      </c>
      <c r="L5402" s="552">
        <f t="shared" si="1123"/>
        <v>5.9623200000000001</v>
      </c>
      <c r="M5402" s="549">
        <v>1</v>
      </c>
      <c r="N5402" s="549">
        <f t="shared" si="1124"/>
        <v>0.33124000000000003</v>
      </c>
      <c r="O5402" s="549"/>
      <c r="P5402" s="549"/>
      <c r="Q5402" s="1059"/>
      <c r="R5402" s="1059"/>
      <c r="S5402">
        <v>4</v>
      </c>
      <c r="T5402" s="126">
        <f t="shared" si="1125"/>
        <v>1.3249600000000001</v>
      </c>
      <c r="V5402" s="126">
        <f t="shared" si="1126"/>
        <v>0</v>
      </c>
      <c r="W5402">
        <v>3</v>
      </c>
      <c r="X5402" s="497">
        <f t="shared" si="1127"/>
        <v>0.99372000000000005</v>
      </c>
    </row>
    <row r="5403" spans="1:28" ht="17.399999999999999">
      <c r="A5403" s="549"/>
      <c r="B5403" s="549"/>
      <c r="C5403" s="549"/>
      <c r="D5403" s="549"/>
      <c r="E5403" s="549"/>
      <c r="F5403" s="549"/>
      <c r="G5403" s="549" t="s">
        <v>21</v>
      </c>
      <c r="H5403" s="549" t="s">
        <v>179</v>
      </c>
      <c r="I5403" s="558">
        <v>33.799999999999997</v>
      </c>
      <c r="J5403" s="567">
        <v>11.1</v>
      </c>
      <c r="K5403" s="648">
        <v>26</v>
      </c>
      <c r="L5403" s="552">
        <f t="shared" si="1123"/>
        <v>9.7546799999999987</v>
      </c>
      <c r="M5403" s="549"/>
      <c r="N5403" s="549">
        <f t="shared" si="1124"/>
        <v>0</v>
      </c>
      <c r="O5403" s="549"/>
      <c r="P5403" s="549"/>
      <c r="Q5403" s="1059"/>
      <c r="R5403" s="1059"/>
      <c r="S5403">
        <v>6</v>
      </c>
      <c r="T5403" s="126">
        <f t="shared" si="1125"/>
        <v>2.2510799999999995</v>
      </c>
      <c r="U5403">
        <f>6+5+1</f>
        <v>12</v>
      </c>
      <c r="V5403" s="126">
        <f t="shared" si="1126"/>
        <v>4.5021599999999991</v>
      </c>
      <c r="W5403">
        <v>1</v>
      </c>
      <c r="X5403" s="497">
        <f t="shared" si="1127"/>
        <v>0.37517999999999996</v>
      </c>
    </row>
    <row r="5404" spans="1:28" ht="17.399999999999999">
      <c r="A5404" s="549"/>
      <c r="B5404" s="549"/>
      <c r="C5404" s="549"/>
      <c r="D5404" s="549"/>
      <c r="E5404" s="549"/>
      <c r="F5404" s="549"/>
      <c r="G5404" s="549"/>
      <c r="H5404" s="549"/>
      <c r="I5404" s="558"/>
      <c r="J5404" s="567"/>
      <c r="K5404" s="648">
        <f>SUM(K5401:K5403)</f>
        <v>70</v>
      </c>
      <c r="L5404" s="567">
        <f t="shared" ref="L5404:N5404" si="1128">SUM(L5401:L5403)</f>
        <v>22.923159999999996</v>
      </c>
      <c r="M5404" s="648">
        <f>SUM(M5401:M5403)</f>
        <v>1</v>
      </c>
      <c r="N5404" s="567">
        <f t="shared" si="1128"/>
        <v>0.33124000000000003</v>
      </c>
      <c r="O5404" s="549"/>
      <c r="P5404" s="549"/>
      <c r="Q5404" s="549"/>
      <c r="R5404" s="549"/>
      <c r="S5404" s="648">
        <f>SUM(S5401:S5403)</f>
        <v>16</v>
      </c>
      <c r="T5404" s="567">
        <f t="shared" ref="T5404:X5404" si="1129">SUM(T5401:T5403)</f>
        <v>5.238999999999999</v>
      </c>
      <c r="U5404" s="648">
        <f>SUM(U5401:U5403)</f>
        <v>32</v>
      </c>
      <c r="V5404" s="567">
        <f t="shared" si="1129"/>
        <v>10.045359999999999</v>
      </c>
      <c r="W5404" s="648">
        <f>SUM(W5401:W5403)</f>
        <v>4</v>
      </c>
      <c r="X5404" s="567">
        <f t="shared" si="1129"/>
        <v>1.3689</v>
      </c>
    </row>
    <row r="5405" spans="1:28" s="497" customFormat="1" ht="17.399999999999999">
      <c r="A5405" s="549"/>
      <c r="B5405" s="549"/>
      <c r="C5405" s="549"/>
      <c r="D5405" s="549"/>
      <c r="E5405" s="549"/>
      <c r="F5405" s="549"/>
      <c r="G5405" s="549"/>
      <c r="H5405" s="549"/>
      <c r="I5405" s="558"/>
      <c r="J5405" s="567"/>
      <c r="K5405" s="648"/>
      <c r="L5405" s="567"/>
      <c r="M5405" s="549"/>
      <c r="N5405" s="549"/>
      <c r="O5405" s="549"/>
      <c r="P5405" s="549"/>
      <c r="Q5405" s="1059"/>
      <c r="R5405" s="1059"/>
    </row>
    <row r="5406" spans="1:28" ht="17.399999999999999">
      <c r="A5406" s="547" t="s">
        <v>481</v>
      </c>
      <c r="B5406" s="547" t="s">
        <v>520</v>
      </c>
      <c r="C5406" s="547" t="s">
        <v>19</v>
      </c>
      <c r="D5406" s="547" t="s">
        <v>20</v>
      </c>
      <c r="E5406" s="547" t="s">
        <v>175</v>
      </c>
      <c r="F5406" s="549">
        <v>16</v>
      </c>
      <c r="G5406" s="549" t="s">
        <v>21</v>
      </c>
      <c r="H5406" s="599" t="s">
        <v>179</v>
      </c>
      <c r="I5406" s="558">
        <v>33.799999999999997</v>
      </c>
      <c r="J5406" s="567">
        <v>6.2</v>
      </c>
      <c r="K5406" s="648">
        <v>16</v>
      </c>
      <c r="L5406" s="552">
        <f t="shared" ref="L5406:L5412" si="1130">(I5406*J5406*K5406/1000)</f>
        <v>3.3529599999999999</v>
      </c>
      <c r="M5406" s="549"/>
      <c r="N5406" s="549"/>
      <c r="O5406" s="549"/>
      <c r="P5406" s="549"/>
      <c r="Q5406" s="1059"/>
      <c r="R5406" s="1059"/>
      <c r="U5406">
        <v>7</v>
      </c>
      <c r="V5406" s="126">
        <f t="shared" ref="V5406:V5412" si="1131">J5406*U5406*I5406/1000</f>
        <v>1.4669199999999998</v>
      </c>
      <c r="X5406" s="497">
        <f t="shared" ref="X5406:X5412" si="1132">J5406*W5406*I5406/1000</f>
        <v>0</v>
      </c>
      <c r="Y5406" s="497">
        <f>5+4</f>
        <v>9</v>
      </c>
      <c r="Z5406" s="497">
        <f>J5406*Y5406*I5406/1000</f>
        <v>1.8860399999999999</v>
      </c>
      <c r="AB5406" s="497" t="s">
        <v>606</v>
      </c>
    </row>
    <row r="5407" spans="1:28" ht="17.399999999999999">
      <c r="A5407" s="547"/>
      <c r="B5407" s="560" t="s">
        <v>443</v>
      </c>
      <c r="C5407" s="547"/>
      <c r="D5407" s="547"/>
      <c r="E5407" s="547"/>
      <c r="F5407" s="549"/>
      <c r="G5407" s="549" t="s">
        <v>21</v>
      </c>
      <c r="H5407" s="549" t="s">
        <v>179</v>
      </c>
      <c r="I5407" s="558">
        <v>33.799999999999997</v>
      </c>
      <c r="J5407" s="567">
        <v>7.8</v>
      </c>
      <c r="K5407" s="648">
        <v>5</v>
      </c>
      <c r="L5407" s="552">
        <f t="shared" si="1130"/>
        <v>1.3181999999999998</v>
      </c>
      <c r="M5407" s="549"/>
      <c r="N5407" s="549"/>
      <c r="O5407" s="567">
        <v>7.3</v>
      </c>
      <c r="P5407" s="549"/>
      <c r="Q5407" s="1059"/>
      <c r="R5407" s="1059"/>
      <c r="V5407" s="126">
        <f t="shared" si="1131"/>
        <v>0</v>
      </c>
      <c r="X5407" s="497">
        <f t="shared" si="1132"/>
        <v>0</v>
      </c>
    </row>
    <row r="5408" spans="1:28" ht="17.399999999999999">
      <c r="A5408" s="549"/>
      <c r="B5408" s="549"/>
      <c r="C5408" s="549"/>
      <c r="D5408" s="549"/>
      <c r="E5408" s="549"/>
      <c r="F5408" s="549"/>
      <c r="G5408" s="549" t="s">
        <v>21</v>
      </c>
      <c r="H5408" s="549" t="s">
        <v>179</v>
      </c>
      <c r="I5408" s="558">
        <v>33.799999999999997</v>
      </c>
      <c r="J5408" s="567">
        <v>8.9</v>
      </c>
      <c r="K5408" s="648">
        <v>16</v>
      </c>
      <c r="L5408" s="552">
        <f t="shared" si="1130"/>
        <v>4.8131199999999996</v>
      </c>
      <c r="M5408" s="549"/>
      <c r="N5408" s="549"/>
      <c r="O5408" s="549"/>
      <c r="P5408" s="549"/>
      <c r="Q5408" s="1059"/>
      <c r="R5408" s="1059"/>
      <c r="S5408">
        <v>6</v>
      </c>
      <c r="T5408" s="126">
        <f>J5408*S5408*I5408/1000</f>
        <v>1.8049200000000001</v>
      </c>
      <c r="U5408">
        <v>5</v>
      </c>
      <c r="V5408" s="126">
        <f t="shared" si="1131"/>
        <v>1.5041</v>
      </c>
      <c r="W5408">
        <v>5</v>
      </c>
      <c r="X5408" s="497">
        <f t="shared" si="1132"/>
        <v>1.5041</v>
      </c>
    </row>
    <row r="5409" spans="1:26" ht="17.399999999999999">
      <c r="A5409" s="549"/>
      <c r="B5409" s="549"/>
      <c r="C5409" s="549"/>
      <c r="D5409" s="549"/>
      <c r="E5409" s="549"/>
      <c r="F5409" s="549"/>
      <c r="G5409" s="549" t="s">
        <v>21</v>
      </c>
      <c r="H5409" s="549" t="s">
        <v>179</v>
      </c>
      <c r="I5409" s="558">
        <v>33.799999999999997</v>
      </c>
      <c r="J5409" s="567">
        <v>9.6</v>
      </c>
      <c r="K5409" s="648">
        <v>4</v>
      </c>
      <c r="L5409" s="552">
        <f>(I5409*J5409*K5409/1000)</f>
        <v>1.2979199999999997</v>
      </c>
      <c r="M5409" s="549"/>
      <c r="N5409" s="549"/>
      <c r="O5409" s="567">
        <v>9.1999999999999993</v>
      </c>
      <c r="P5409" s="549"/>
      <c r="Q5409" s="1059"/>
      <c r="R5409" s="1059"/>
      <c r="U5409">
        <f>1+2</f>
        <v>3</v>
      </c>
      <c r="V5409" s="126">
        <f t="shared" si="1131"/>
        <v>0.97343999999999986</v>
      </c>
      <c r="X5409" s="497">
        <f t="shared" si="1132"/>
        <v>0</v>
      </c>
      <c r="Y5409">
        <v>1</v>
      </c>
      <c r="Z5409" s="497">
        <f>J5409*Y5409*I5409/1000</f>
        <v>0.32447999999999994</v>
      </c>
    </row>
    <row r="5410" spans="1:26" ht="17.399999999999999">
      <c r="A5410" s="549"/>
      <c r="B5410" s="549"/>
      <c r="C5410" s="549"/>
      <c r="D5410" s="549"/>
      <c r="E5410" s="549"/>
      <c r="F5410" s="549"/>
      <c r="G5410" s="549" t="s">
        <v>21</v>
      </c>
      <c r="H5410" s="549" t="s">
        <v>179</v>
      </c>
      <c r="I5410" s="558">
        <v>33.799999999999997</v>
      </c>
      <c r="J5410" s="567">
        <v>9.6</v>
      </c>
      <c r="K5410" s="648">
        <v>16</v>
      </c>
      <c r="L5410" s="552">
        <f>(I5410*J5410*K5410/1000)</f>
        <v>5.191679999999999</v>
      </c>
      <c r="M5410" s="549"/>
      <c r="N5410" s="549"/>
      <c r="O5410" s="549"/>
      <c r="P5410" s="549"/>
      <c r="Q5410" s="1059"/>
      <c r="R5410" s="1059"/>
      <c r="V5410" s="126">
        <f t="shared" si="1131"/>
        <v>0</v>
      </c>
      <c r="X5410" s="497">
        <f t="shared" si="1132"/>
        <v>0</v>
      </c>
    </row>
    <row r="5411" spans="1:26" ht="17.399999999999999">
      <c r="A5411" s="549"/>
      <c r="B5411" s="549"/>
      <c r="C5411" s="549"/>
      <c r="D5411" s="549"/>
      <c r="E5411" s="549"/>
      <c r="F5411" s="549"/>
      <c r="G5411" s="549" t="s">
        <v>21</v>
      </c>
      <c r="H5411" s="549" t="s">
        <v>179</v>
      </c>
      <c r="I5411" s="558">
        <v>33.799999999999997</v>
      </c>
      <c r="J5411" s="756">
        <v>11.7</v>
      </c>
      <c r="K5411" s="648">
        <v>4</v>
      </c>
      <c r="L5411" s="552">
        <f t="shared" si="1130"/>
        <v>1.5818399999999997</v>
      </c>
      <c r="M5411" s="549"/>
      <c r="N5411" s="549"/>
      <c r="O5411" s="567">
        <v>11.5</v>
      </c>
      <c r="P5411" s="549"/>
      <c r="Q5411" s="1059"/>
      <c r="R5411" s="1059"/>
      <c r="S5411">
        <v>1</v>
      </c>
      <c r="T5411" s="126">
        <f t="shared" ref="T5411:T5412" si="1133">J5411*S5411*I5411/1000</f>
        <v>0.39545999999999992</v>
      </c>
      <c r="V5411" s="126">
        <f t="shared" si="1131"/>
        <v>0</v>
      </c>
      <c r="W5411">
        <v>2</v>
      </c>
      <c r="X5411" s="497">
        <f t="shared" si="1132"/>
        <v>0.79091999999999985</v>
      </c>
    </row>
    <row r="5412" spans="1:26" ht="17.399999999999999">
      <c r="A5412" s="549"/>
      <c r="B5412" s="549"/>
      <c r="C5412" s="549"/>
      <c r="D5412" s="549"/>
      <c r="E5412" s="549"/>
      <c r="F5412" s="549"/>
      <c r="G5412" s="857" t="s">
        <v>21</v>
      </c>
      <c r="H5412" s="857" t="s">
        <v>179</v>
      </c>
      <c r="I5412" s="1887">
        <v>33.799999999999997</v>
      </c>
      <c r="J5412" s="858">
        <v>11.95</v>
      </c>
      <c r="K5412" s="859">
        <v>12</v>
      </c>
      <c r="L5412" s="860">
        <f t="shared" si="1130"/>
        <v>4.8469199999999999</v>
      </c>
      <c r="M5412" s="549"/>
      <c r="N5412" s="549"/>
      <c r="O5412" s="549"/>
      <c r="P5412" s="549"/>
      <c r="Q5412" s="1059"/>
      <c r="R5412" s="1059"/>
      <c r="S5412">
        <f>2+5</f>
        <v>7</v>
      </c>
      <c r="T5412" s="126">
        <f t="shared" si="1133"/>
        <v>2.8273699999999993</v>
      </c>
      <c r="U5412">
        <v>1</v>
      </c>
      <c r="V5412" s="126">
        <f t="shared" si="1131"/>
        <v>0.40390999999999999</v>
      </c>
      <c r="W5412">
        <v>4</v>
      </c>
      <c r="X5412" s="497">
        <f t="shared" si="1132"/>
        <v>1.61564</v>
      </c>
    </row>
    <row r="5413" spans="1:26" ht="17.399999999999999">
      <c r="A5413" s="549"/>
      <c r="B5413" s="549"/>
      <c r="C5413" s="549"/>
      <c r="D5413" s="549"/>
      <c r="E5413" s="549"/>
      <c r="F5413" s="549"/>
      <c r="G5413" s="650"/>
      <c r="H5413" s="549"/>
      <c r="I5413" s="558"/>
      <c r="J5413" s="567"/>
      <c r="K5413" s="648">
        <f t="shared" ref="K5413" si="1134">SUM(K5406:K5412)</f>
        <v>73</v>
      </c>
      <c r="L5413" s="567">
        <f>SUM(L5406:L5412)</f>
        <v>22.402639999999998</v>
      </c>
      <c r="M5413" s="549"/>
      <c r="N5413" s="549"/>
      <c r="O5413" s="549"/>
      <c r="P5413" s="549"/>
      <c r="Q5413" s="549"/>
      <c r="R5413" s="549"/>
      <c r="S5413" s="648">
        <f t="shared" ref="S5413:Y5413" si="1135">SUM(S5406:S5412)</f>
        <v>14</v>
      </c>
      <c r="T5413" s="567">
        <f>SUM(T5406:T5412)</f>
        <v>5.0277499999999993</v>
      </c>
      <c r="U5413" s="648">
        <f t="shared" si="1135"/>
        <v>16</v>
      </c>
      <c r="V5413" s="567">
        <f>SUM(V5406:V5412)</f>
        <v>4.3483699999999992</v>
      </c>
      <c r="W5413" s="648">
        <f t="shared" si="1135"/>
        <v>11</v>
      </c>
      <c r="X5413" s="567">
        <f>SUM(X5406:X5412)</f>
        <v>3.91066</v>
      </c>
      <c r="Y5413" s="648">
        <f t="shared" si="1135"/>
        <v>10</v>
      </c>
      <c r="Z5413" s="567">
        <f>SUM(Z5406:Z5412)</f>
        <v>2.2105199999999998</v>
      </c>
    </row>
    <row r="5414" spans="1:26" s="497" customFormat="1" ht="17.399999999999999">
      <c r="A5414" s="549"/>
      <c r="B5414" s="549"/>
      <c r="C5414" s="549"/>
      <c r="D5414" s="549"/>
      <c r="E5414" s="549"/>
      <c r="F5414" s="549"/>
      <c r="G5414" s="650"/>
      <c r="H5414" s="549"/>
      <c r="I5414" s="558"/>
      <c r="J5414" s="567"/>
      <c r="K5414" s="648"/>
      <c r="L5414" s="567"/>
      <c r="M5414" s="549"/>
      <c r="N5414" s="549"/>
      <c r="O5414" s="549"/>
      <c r="P5414" s="549"/>
      <c r="Q5414" s="1059"/>
      <c r="R5414" s="1059"/>
    </row>
    <row r="5415" spans="1:26" s="497" customFormat="1" ht="17.399999999999999">
      <c r="A5415" s="547" t="s">
        <v>541</v>
      </c>
      <c r="B5415" s="547" t="s">
        <v>559</v>
      </c>
      <c r="C5415" s="547" t="s">
        <v>19</v>
      </c>
      <c r="D5415" s="547" t="s">
        <v>20</v>
      </c>
      <c r="E5415" s="547" t="s">
        <v>57</v>
      </c>
      <c r="F5415" s="549">
        <v>16</v>
      </c>
      <c r="G5415" s="869" t="s">
        <v>21</v>
      </c>
      <c r="H5415" s="900" t="s">
        <v>179</v>
      </c>
      <c r="I5415" s="1881">
        <v>33.799999999999997</v>
      </c>
      <c r="J5415" s="756">
        <v>6.1</v>
      </c>
      <c r="K5415" s="757">
        <v>12</v>
      </c>
      <c r="L5415" s="552">
        <f t="shared" ref="L5415:L5419" si="1136">(I5415*J5415*K5415/1000)</f>
        <v>2.4741599999999999</v>
      </c>
      <c r="M5415" s="549"/>
      <c r="N5415" s="549"/>
      <c r="O5415" s="549"/>
      <c r="P5415" s="549"/>
      <c r="Q5415" s="1059"/>
      <c r="R5415" s="1059"/>
      <c r="S5415" s="497" t="s">
        <v>603</v>
      </c>
      <c r="Y5415" s="497">
        <v>9</v>
      </c>
      <c r="Z5415" s="497">
        <f>J5415*Y5415*I5415/1000</f>
        <v>1.8556199999999998</v>
      </c>
    </row>
    <row r="5416" spans="1:26" s="497" customFormat="1" ht="17.399999999999999">
      <c r="A5416" s="547"/>
      <c r="B5416" s="549" t="s">
        <v>564</v>
      </c>
      <c r="C5416" s="547"/>
      <c r="D5416" s="547"/>
      <c r="E5416" s="547"/>
      <c r="F5416" s="549"/>
      <c r="G5416" s="869" t="s">
        <v>21</v>
      </c>
      <c r="H5416" s="869" t="s">
        <v>179</v>
      </c>
      <c r="I5416" s="1881">
        <v>33.799999999999997</v>
      </c>
      <c r="J5416" s="567">
        <v>7.25</v>
      </c>
      <c r="K5416" s="757">
        <v>2</v>
      </c>
      <c r="L5416" s="552">
        <f t="shared" si="1136"/>
        <v>0.49009999999999998</v>
      </c>
      <c r="M5416" s="549"/>
      <c r="N5416" s="549"/>
      <c r="O5416" s="756">
        <v>6.9</v>
      </c>
      <c r="P5416" s="549"/>
      <c r="Q5416" s="1059"/>
      <c r="R5416" s="1059"/>
    </row>
    <row r="5417" spans="1:26" s="497" customFormat="1" ht="17.399999999999999">
      <c r="A5417" s="549"/>
      <c r="B5417" s="549"/>
      <c r="C5417" s="549"/>
      <c r="D5417" s="549"/>
      <c r="E5417" s="549"/>
      <c r="F5417" s="549"/>
      <c r="G5417" s="869" t="s">
        <v>21</v>
      </c>
      <c r="H5417" s="869" t="s">
        <v>179</v>
      </c>
      <c r="I5417" s="1881">
        <v>33.799999999999997</v>
      </c>
      <c r="J5417" s="756">
        <v>11.1</v>
      </c>
      <c r="K5417" s="757">
        <v>12</v>
      </c>
      <c r="L5417" s="552">
        <f t="shared" si="1136"/>
        <v>4.5021599999999999</v>
      </c>
      <c r="M5417" s="549"/>
      <c r="N5417" s="549"/>
      <c r="O5417" s="549"/>
      <c r="P5417" s="549"/>
      <c r="Q5417" s="1059"/>
      <c r="R5417" s="1059"/>
      <c r="S5417" s="497">
        <f>6+6</f>
        <v>12</v>
      </c>
      <c r="T5417" s="126">
        <f t="shared" ref="T5417:T5418" si="1137">J5417*S5417*I5417/1000</f>
        <v>4.5021599999999991</v>
      </c>
    </row>
    <row r="5418" spans="1:26" s="497" customFormat="1" ht="17.399999999999999">
      <c r="A5418" s="549"/>
      <c r="B5418" s="549"/>
      <c r="C5418" s="549"/>
      <c r="D5418" s="549"/>
      <c r="E5418" s="549"/>
      <c r="F5418" s="549"/>
      <c r="G5418" s="869" t="s">
        <v>21</v>
      </c>
      <c r="H5418" s="869" t="s">
        <v>179</v>
      </c>
      <c r="I5418" s="1881">
        <v>33.799999999999997</v>
      </c>
      <c r="J5418" s="756">
        <v>11.7</v>
      </c>
      <c r="K5418" s="757">
        <v>18</v>
      </c>
      <c r="L5418" s="552">
        <f t="shared" si="1136"/>
        <v>7.1182799999999986</v>
      </c>
      <c r="M5418" s="549"/>
      <c r="N5418" s="549"/>
      <c r="O5418" s="549"/>
      <c r="P5418" s="549"/>
      <c r="Q5418" s="1059"/>
      <c r="R5418" s="1059"/>
      <c r="S5418" s="497">
        <f>6+6</f>
        <v>12</v>
      </c>
      <c r="T5418" s="126">
        <f t="shared" si="1137"/>
        <v>4.7455199999999982</v>
      </c>
    </row>
    <row r="5419" spans="1:26" s="497" customFormat="1" ht="17.399999999999999">
      <c r="A5419" s="549"/>
      <c r="B5419" s="549"/>
      <c r="C5419" s="549"/>
      <c r="D5419" s="549"/>
      <c r="E5419" s="549"/>
      <c r="F5419" s="549"/>
      <c r="G5419" s="869" t="s">
        <v>21</v>
      </c>
      <c r="H5419" s="869" t="s">
        <v>179</v>
      </c>
      <c r="I5419" s="1881">
        <v>33.799999999999997</v>
      </c>
      <c r="J5419" s="756">
        <v>11.8</v>
      </c>
      <c r="K5419" s="757">
        <v>6</v>
      </c>
      <c r="L5419" s="552">
        <f t="shared" si="1136"/>
        <v>2.3930400000000001</v>
      </c>
      <c r="M5419" s="549"/>
      <c r="N5419" s="549"/>
      <c r="O5419" s="549"/>
      <c r="P5419" s="549"/>
      <c r="Q5419" s="1059"/>
      <c r="R5419" s="1059"/>
      <c r="W5419" s="497">
        <v>3</v>
      </c>
      <c r="X5419" s="497">
        <f>J5419*W5419*I5419/1000</f>
        <v>1.19652</v>
      </c>
    </row>
    <row r="5420" spans="1:26" s="497" customFormat="1" ht="17.399999999999999">
      <c r="A5420" s="549"/>
      <c r="B5420" s="549"/>
      <c r="C5420" s="549"/>
      <c r="D5420" s="549"/>
      <c r="E5420" s="549"/>
      <c r="F5420" s="549"/>
      <c r="G5420" s="869"/>
      <c r="H5420" s="650"/>
      <c r="I5420" s="1882"/>
      <c r="J5420" s="871"/>
      <c r="K5420" s="757">
        <f>SUM(K5415:K5419)</f>
        <v>50</v>
      </c>
      <c r="L5420" s="756">
        <f>SUM(L5415:L5419)</f>
        <v>16.977739999999997</v>
      </c>
      <c r="M5420" s="549"/>
      <c r="N5420" s="549"/>
      <c r="O5420" s="549"/>
      <c r="P5420" s="549"/>
      <c r="Q5420" s="549"/>
      <c r="R5420" s="549"/>
      <c r="S5420" s="757">
        <f>SUM(S5415:S5419)</f>
        <v>24</v>
      </c>
      <c r="T5420" s="756">
        <f>SUM(T5415:T5419)</f>
        <v>9.2476799999999972</v>
      </c>
      <c r="W5420" s="757">
        <f>SUM(W5415:W5419)</f>
        <v>3</v>
      </c>
      <c r="X5420" s="756">
        <f>SUM(X5415:X5419)</f>
        <v>1.19652</v>
      </c>
      <c r="Y5420" s="757">
        <f>SUM(Y5415:Y5419)</f>
        <v>9</v>
      </c>
      <c r="Z5420" s="756">
        <f>SUM(Z5415:Z5419)</f>
        <v>1.8556199999999998</v>
      </c>
    </row>
    <row r="5421" spans="1:26" s="497" customFormat="1" ht="17.399999999999999">
      <c r="A5421" s="549"/>
      <c r="B5421" s="549"/>
      <c r="C5421" s="549"/>
      <c r="D5421" s="549"/>
      <c r="E5421" s="549"/>
      <c r="F5421" s="549"/>
      <c r="G5421" s="650"/>
      <c r="H5421" s="549"/>
      <c r="I5421" s="558"/>
      <c r="J5421" s="567"/>
      <c r="K5421" s="648">
        <f>SUM(K5380:K5420)/2</f>
        <v>536</v>
      </c>
      <c r="L5421" s="567">
        <f>SUM(L5380:L5420)/2</f>
        <v>155.792958</v>
      </c>
      <c r="M5421" s="648">
        <f>SUM(M5380:M5413)/2</f>
        <v>15</v>
      </c>
      <c r="N5421" s="567">
        <f>SUM(N5380:N5413)/2</f>
        <v>4.7813179999999988</v>
      </c>
      <c r="O5421" s="549"/>
      <c r="P5421" s="549"/>
      <c r="Q5421" s="549"/>
      <c r="R5421" s="549"/>
      <c r="S5421" s="648">
        <f>SUM(S5380:S5420)/2</f>
        <v>181</v>
      </c>
      <c r="T5421" s="567">
        <f t="shared" ref="T5421:Y5421" si="1138">SUM(T5380:T5420)/2</f>
        <v>54.492359999999998</v>
      </c>
      <c r="U5421" s="648">
        <f t="shared" si="1138"/>
        <v>144</v>
      </c>
      <c r="V5421" s="567">
        <f t="shared" si="1138"/>
        <v>39.304329999999993</v>
      </c>
      <c r="W5421" s="648">
        <f t="shared" si="1138"/>
        <v>45</v>
      </c>
      <c r="X5421" s="567">
        <f t="shared" si="1138"/>
        <v>14.349789999999999</v>
      </c>
      <c r="Y5421" s="648">
        <f t="shared" si="1138"/>
        <v>49</v>
      </c>
      <c r="Z5421" s="567">
        <f>SUM(Z5380:Z5420)/2</f>
        <v>10.641929999999997</v>
      </c>
    </row>
    <row r="5422" spans="1:26" s="497" customFormat="1" ht="17.399999999999999">
      <c r="A5422" s="549"/>
      <c r="B5422" s="549"/>
      <c r="C5422" s="549"/>
      <c r="D5422" s="549"/>
      <c r="E5422" s="549"/>
      <c r="F5422" s="549"/>
      <c r="G5422" s="650"/>
      <c r="H5422" s="549"/>
      <c r="I5422" s="558"/>
      <c r="J5422" s="567"/>
      <c r="K5422" s="648"/>
      <c r="L5422" s="567"/>
      <c r="M5422" s="549"/>
      <c r="N5422" s="549"/>
      <c r="O5422" s="549"/>
      <c r="P5422" s="549"/>
      <c r="Q5422" s="1059"/>
      <c r="R5422" s="1059"/>
    </row>
    <row r="5423" spans="1:26" s="497" customFormat="1" ht="17.399999999999999">
      <c r="A5423" s="549"/>
      <c r="B5423" s="549"/>
      <c r="C5423" s="549"/>
      <c r="D5423" s="549"/>
      <c r="E5423" s="549"/>
      <c r="F5423" s="549"/>
      <c r="G5423" s="650"/>
      <c r="H5423" s="549"/>
      <c r="I5423" s="558"/>
      <c r="J5423" s="567"/>
      <c r="K5423" s="648"/>
      <c r="L5423" s="567"/>
      <c r="M5423" s="549"/>
      <c r="N5423" s="549"/>
      <c r="O5423" s="549"/>
      <c r="P5423" s="549"/>
      <c r="Q5423" s="1059"/>
      <c r="R5423" s="1059"/>
    </row>
    <row r="5424" spans="1:26" s="497" customFormat="1" ht="17.399999999999999">
      <c r="A5424" s="547" t="s">
        <v>481</v>
      </c>
      <c r="B5424" s="547" t="s">
        <v>552</v>
      </c>
      <c r="C5424" s="547" t="s">
        <v>19</v>
      </c>
      <c r="D5424" s="547" t="s">
        <v>20</v>
      </c>
      <c r="E5424" s="780" t="s">
        <v>420</v>
      </c>
      <c r="F5424" s="549">
        <v>16</v>
      </c>
      <c r="G5424" s="549" t="s">
        <v>21</v>
      </c>
      <c r="H5424" s="599" t="s">
        <v>179</v>
      </c>
      <c r="I5424" s="558">
        <v>33.799999999999997</v>
      </c>
      <c r="J5424" s="567">
        <v>11.5</v>
      </c>
      <c r="K5424" s="648">
        <v>145</v>
      </c>
      <c r="L5424" s="552">
        <f>(I5424*J5424*K5424/1000)</f>
        <v>56.361499999999999</v>
      </c>
      <c r="M5424" s="549"/>
      <c r="N5424" s="549"/>
      <c r="O5424" s="549"/>
      <c r="P5424" s="549"/>
      <c r="Q5424" s="1059"/>
      <c r="R5424" s="1059"/>
      <c r="U5424" s="497">
        <f>7+7+7+7+7+7+7+5+5+6+7+7+7+4+7+7+7+3</f>
        <v>114</v>
      </c>
      <c r="V5424" s="126">
        <f t="shared" ref="V5424" si="1139">J5424*U5424*I5424/1000</f>
        <v>44.311799999999998</v>
      </c>
      <c r="Y5424" s="497" t="s">
        <v>607</v>
      </c>
    </row>
    <row r="5425" spans="1:25" s="497" customFormat="1" ht="17.399999999999999">
      <c r="A5425" s="549"/>
      <c r="B5425" s="550"/>
      <c r="C5425" s="550"/>
      <c r="D5425" s="549"/>
      <c r="E5425" s="549"/>
      <c r="F5425" s="549"/>
      <c r="G5425" s="549"/>
      <c r="H5425" s="549"/>
      <c r="I5425" s="560"/>
      <c r="J5425" s="549"/>
      <c r="K5425" s="652">
        <f>SUM(K5424)</f>
        <v>145</v>
      </c>
      <c r="L5425" s="565">
        <f>SUM(L5424)</f>
        <v>56.361499999999999</v>
      </c>
      <c r="M5425" s="652">
        <f>SUM(M5424)</f>
        <v>0</v>
      </c>
      <c r="N5425" s="565">
        <f>SUM(N5424)</f>
        <v>0</v>
      </c>
      <c r="O5425" s="549"/>
      <c r="P5425" s="549"/>
      <c r="Q5425" s="1059"/>
      <c r="R5425" s="1059"/>
      <c r="U5425" s="652">
        <f>SUM(U5424)</f>
        <v>114</v>
      </c>
      <c r="V5425" s="565">
        <f>SUM(V5424)</f>
        <v>44.311799999999998</v>
      </c>
      <c r="W5425" s="652">
        <f>SUM(W5424)</f>
        <v>0</v>
      </c>
      <c r="X5425" s="565">
        <f>SUM(X5424)</f>
        <v>0</v>
      </c>
    </row>
    <row r="5426" spans="1:25" s="497" customFormat="1" ht="17.399999999999999">
      <c r="A5426" s="549"/>
      <c r="B5426" s="549"/>
      <c r="C5426" s="549"/>
      <c r="D5426" s="549"/>
      <c r="E5426" s="549"/>
      <c r="F5426" s="549"/>
      <c r="G5426" s="650"/>
      <c r="H5426" s="549"/>
      <c r="I5426" s="558"/>
      <c r="J5426" s="567"/>
      <c r="K5426" s="648"/>
      <c r="L5426" s="567"/>
      <c r="M5426" s="549"/>
      <c r="N5426" s="549"/>
      <c r="O5426" s="549"/>
      <c r="P5426" s="549"/>
      <c r="Q5426" s="1059"/>
      <c r="R5426" s="1059"/>
    </row>
    <row r="5427" spans="1:25" s="497" customFormat="1" ht="17.399999999999999">
      <c r="A5427" s="549"/>
      <c r="B5427" s="549"/>
      <c r="C5427" s="549"/>
      <c r="D5427" s="549"/>
      <c r="E5427" s="549"/>
      <c r="F5427" s="549"/>
      <c r="G5427" s="650"/>
      <c r="H5427" s="549"/>
      <c r="I5427" s="558"/>
      <c r="J5427" s="567"/>
      <c r="K5427" s="648"/>
      <c r="L5427" s="567"/>
      <c r="M5427" s="549"/>
      <c r="N5427" s="549"/>
      <c r="O5427" s="549"/>
      <c r="P5427" s="549"/>
      <c r="Q5427" s="1059"/>
      <c r="R5427" s="1059"/>
    </row>
    <row r="5428" spans="1:25" s="497" customFormat="1" ht="17.399999999999999">
      <c r="A5428" s="852" t="s">
        <v>481</v>
      </c>
      <c r="B5428" s="852" t="s">
        <v>559</v>
      </c>
      <c r="C5428" s="852" t="s">
        <v>19</v>
      </c>
      <c r="D5428" s="852" t="s">
        <v>20</v>
      </c>
      <c r="E5428" s="852" t="s">
        <v>420</v>
      </c>
      <c r="F5428" s="599">
        <v>16</v>
      </c>
      <c r="G5428" s="900" t="s">
        <v>21</v>
      </c>
      <c r="H5428" s="900" t="s">
        <v>179</v>
      </c>
      <c r="I5428" s="1888">
        <v>33.799999999999997</v>
      </c>
      <c r="J5428" s="959">
        <v>9</v>
      </c>
      <c r="K5428" s="958">
        <v>32</v>
      </c>
      <c r="L5428" s="960">
        <f>(I5428*J5428*K5428/1000)</f>
        <v>9.7343999999999991</v>
      </c>
      <c r="M5428" s="599">
        <v>4</v>
      </c>
      <c r="N5428" s="599">
        <f>J5428*M5428*I5428/1000</f>
        <v>1.2167999999999999</v>
      </c>
      <c r="O5428" s="599">
        <f>K5428-M5428</f>
        <v>28</v>
      </c>
      <c r="P5428" s="599"/>
      <c r="Q5428" s="1066"/>
      <c r="R5428" s="1066"/>
      <c r="U5428" s="497">
        <f>6+7+7+7</f>
        <v>27</v>
      </c>
      <c r="V5428" s="126">
        <f t="shared" ref="V5428" si="1140">J5428*U5428*I5428/1000</f>
        <v>8.2134</v>
      </c>
      <c r="Y5428" s="497" t="s">
        <v>607</v>
      </c>
    </row>
    <row r="5429" spans="1:25" s="497" customFormat="1" ht="17.399999999999999">
      <c r="A5429" s="599"/>
      <c r="B5429" s="599" t="s">
        <v>558</v>
      </c>
      <c r="C5429" s="599"/>
      <c r="D5429" s="599"/>
      <c r="E5429" s="599"/>
      <c r="F5429" s="599"/>
      <c r="G5429" s="900" t="s">
        <v>21</v>
      </c>
      <c r="H5429" s="900" t="s">
        <v>179</v>
      </c>
      <c r="I5429" s="1888">
        <v>33.799999999999997</v>
      </c>
      <c r="J5429" s="959">
        <v>11.5</v>
      </c>
      <c r="K5429" s="958">
        <v>32</v>
      </c>
      <c r="L5429" s="960">
        <f>(I5429*J5429*K5429/1000)</f>
        <v>12.4384</v>
      </c>
      <c r="M5429" s="599"/>
      <c r="N5429" s="599">
        <f t="shared" ref="N5429:N5430" si="1141">J5429*M5429*I5429/1000</f>
        <v>0</v>
      </c>
      <c r="O5429" s="599"/>
      <c r="P5429" s="599"/>
      <c r="Q5429" s="1066"/>
      <c r="R5429" s="1066"/>
    </row>
    <row r="5430" spans="1:25" s="497" customFormat="1" ht="17.399999999999999">
      <c r="A5430" s="599"/>
      <c r="B5430" s="599"/>
      <c r="C5430" s="599"/>
      <c r="D5430" s="599"/>
      <c r="E5430" s="599"/>
      <c r="F5430" s="599"/>
      <c r="G5430" s="900" t="s">
        <v>21</v>
      </c>
      <c r="H5430" s="900" t="s">
        <v>179</v>
      </c>
      <c r="I5430" s="1888">
        <v>33.799999999999997</v>
      </c>
      <c r="J5430" s="959">
        <v>11.6</v>
      </c>
      <c r="K5430" s="958">
        <v>8</v>
      </c>
      <c r="L5430" s="960">
        <f>(I5430*J5430*K5430/1000)</f>
        <v>3.1366399999999994</v>
      </c>
      <c r="M5430" s="599">
        <v>1</v>
      </c>
      <c r="N5430" s="599">
        <f t="shared" si="1141"/>
        <v>0.39207999999999993</v>
      </c>
      <c r="O5430" s="599">
        <f>K5430-M5430</f>
        <v>7</v>
      </c>
      <c r="P5430" s="599"/>
      <c r="Q5430" s="1066"/>
      <c r="R5430" s="1066"/>
      <c r="U5430" s="497">
        <v>7</v>
      </c>
      <c r="V5430" s="126">
        <f t="shared" ref="V5430" si="1142">J5430*U5430*I5430/1000</f>
        <v>2.7445599999999999</v>
      </c>
    </row>
    <row r="5431" spans="1:25" s="497" customFormat="1" ht="17.399999999999999">
      <c r="A5431" s="599"/>
      <c r="B5431" s="599"/>
      <c r="C5431" s="599"/>
      <c r="D5431" s="599"/>
      <c r="E5431" s="599"/>
      <c r="F5431" s="599"/>
      <c r="G5431" s="900"/>
      <c r="H5431" s="961"/>
      <c r="I5431" s="1889"/>
      <c r="J5431" s="962"/>
      <c r="K5431" s="958">
        <f>SUM(K5428:K5430)</f>
        <v>72</v>
      </c>
      <c r="L5431" s="963">
        <f>SUM(L5428:L5430)</f>
        <v>25.309439999999999</v>
      </c>
      <c r="M5431" s="958">
        <f>SUM(M5428:M5430)</f>
        <v>5</v>
      </c>
      <c r="N5431" s="963">
        <f>SUM(N5428:N5430)</f>
        <v>1.6088799999999999</v>
      </c>
      <c r="O5431" s="599"/>
      <c r="P5431" s="599"/>
      <c r="Q5431" s="1066"/>
      <c r="R5431" s="1066"/>
      <c r="U5431" s="778">
        <f>SUM(U5428:U5430)</f>
        <v>34</v>
      </c>
      <c r="V5431" s="917">
        <f>SUM(V5428:V5430)</f>
        <v>10.95796</v>
      </c>
    </row>
    <row r="5432" spans="1:25" s="497" customFormat="1" ht="17.399999999999999">
      <c r="A5432" s="754"/>
      <c r="B5432" s="754"/>
      <c r="C5432" s="754"/>
      <c r="D5432" s="754"/>
      <c r="E5432" s="754"/>
      <c r="F5432" s="754"/>
      <c r="G5432" s="754"/>
      <c r="H5432" s="754"/>
      <c r="I5432" s="781"/>
      <c r="J5432" s="754"/>
      <c r="K5432" s="879"/>
      <c r="L5432" s="880"/>
      <c r="M5432" s="754"/>
      <c r="N5432" s="754"/>
      <c r="O5432" s="754"/>
      <c r="P5432" s="754"/>
      <c r="Q5432" s="1070"/>
      <c r="R5432" s="1070"/>
    </row>
    <row r="5433" spans="1:25" s="497" customFormat="1" ht="17.399999999999999">
      <c r="A5433" s="852" t="s">
        <v>445</v>
      </c>
      <c r="B5433" s="852" t="s">
        <v>490</v>
      </c>
      <c r="C5433" s="852" t="s">
        <v>19</v>
      </c>
      <c r="D5433" s="852" t="s">
        <v>20</v>
      </c>
      <c r="E5433" s="852" t="s">
        <v>420</v>
      </c>
      <c r="F5433" s="599">
        <v>16</v>
      </c>
      <c r="G5433" s="599" t="s">
        <v>21</v>
      </c>
      <c r="H5433" s="599" t="s">
        <v>179</v>
      </c>
      <c r="I5433" s="1699">
        <v>33.799999999999997</v>
      </c>
      <c r="J5433" s="732">
        <v>6.1</v>
      </c>
      <c r="K5433" s="733">
        <v>12</v>
      </c>
      <c r="L5433" s="734">
        <f>(I5433*J5433*K5433/1000)</f>
        <v>2.4741599999999999</v>
      </c>
      <c r="M5433" s="599">
        <v>12</v>
      </c>
      <c r="N5433" s="599">
        <f t="shared" ref="N5433:N5437" si="1143">J5433*M5433*I5433/1000</f>
        <v>2.4741599999999995</v>
      </c>
      <c r="O5433" s="599"/>
      <c r="P5433" s="599"/>
      <c r="Q5433" s="1066"/>
      <c r="R5433" s="1066"/>
      <c r="Y5433" s="497" t="s">
        <v>607</v>
      </c>
    </row>
    <row r="5434" spans="1:25" s="497" customFormat="1" ht="17.399999999999999">
      <c r="A5434" s="852"/>
      <c r="B5434" s="599" t="s">
        <v>52</v>
      </c>
      <c r="C5434" s="852"/>
      <c r="D5434" s="852"/>
      <c r="E5434" s="852"/>
      <c r="F5434" s="599"/>
      <c r="G5434" s="599" t="s">
        <v>21</v>
      </c>
      <c r="H5434" s="599" t="s">
        <v>179</v>
      </c>
      <c r="I5434" s="1699">
        <v>33.799999999999997</v>
      </c>
      <c r="J5434" s="732">
        <v>6.7</v>
      </c>
      <c r="K5434" s="733">
        <v>64</v>
      </c>
      <c r="L5434" s="734">
        <f>(I5434*J5434*K5434/1000)</f>
        <v>14.493439999999998</v>
      </c>
      <c r="M5434" s="599">
        <v>14</v>
      </c>
      <c r="N5434" s="599">
        <f t="shared" si="1143"/>
        <v>3.1704399999999997</v>
      </c>
      <c r="O5434" s="599"/>
      <c r="P5434" s="599"/>
      <c r="Q5434" s="1066"/>
      <c r="R5434" s="1066"/>
      <c r="U5434" s="497">
        <f>4+3+7+7+7+2+7+2</f>
        <v>39</v>
      </c>
      <c r="V5434" s="126">
        <f t="shared" ref="V5434" si="1144">J5434*U5434*I5434/1000</f>
        <v>8.8319400000000012</v>
      </c>
    </row>
    <row r="5435" spans="1:25" s="497" customFormat="1" ht="17.399999999999999">
      <c r="A5435" s="599"/>
      <c r="B5435" s="599"/>
      <c r="C5435" s="599"/>
      <c r="D5435" s="599"/>
      <c r="E5435" s="599"/>
      <c r="F5435" s="599"/>
      <c r="G5435" s="599" t="s">
        <v>21</v>
      </c>
      <c r="H5435" s="599" t="s">
        <v>179</v>
      </c>
      <c r="I5435" s="1699">
        <v>33.799999999999997</v>
      </c>
      <c r="J5435" s="732">
        <v>7.8</v>
      </c>
      <c r="K5435" s="733">
        <v>8</v>
      </c>
      <c r="L5435" s="734">
        <f>(I5435*J5435*K5435/1000)</f>
        <v>2.1091199999999999</v>
      </c>
      <c r="M5435" s="599">
        <v>4</v>
      </c>
      <c r="N5435" s="599">
        <f t="shared" si="1143"/>
        <v>1.0545599999999999</v>
      </c>
      <c r="O5435" s="599"/>
      <c r="P5435" s="599"/>
      <c r="Q5435" s="1066"/>
      <c r="R5435" s="1066"/>
    </row>
    <row r="5436" spans="1:25" s="497" customFormat="1" ht="17.399999999999999">
      <c r="A5436" s="599"/>
      <c r="B5436" s="599"/>
      <c r="C5436" s="599"/>
      <c r="D5436" s="599"/>
      <c r="E5436" s="599"/>
      <c r="F5436" s="599"/>
      <c r="G5436" s="599" t="s">
        <v>21</v>
      </c>
      <c r="H5436" s="599" t="s">
        <v>179</v>
      </c>
      <c r="I5436" s="1699">
        <v>33.799999999999997</v>
      </c>
      <c r="J5436" s="732">
        <v>8.35</v>
      </c>
      <c r="K5436" s="733">
        <v>8</v>
      </c>
      <c r="L5436" s="734">
        <f>(I5436*J5436*K5436/1000)</f>
        <v>2.2578399999999998</v>
      </c>
      <c r="M5436" s="599">
        <v>8</v>
      </c>
      <c r="N5436" s="599">
        <f t="shared" si="1143"/>
        <v>2.2578399999999998</v>
      </c>
      <c r="O5436" s="599"/>
      <c r="P5436" s="599"/>
      <c r="Q5436" s="1066"/>
      <c r="R5436" s="1066"/>
    </row>
    <row r="5437" spans="1:25" s="497" customFormat="1" ht="17.399999999999999">
      <c r="A5437" s="599"/>
      <c r="B5437" s="599"/>
      <c r="C5437" s="599"/>
      <c r="D5437" s="599"/>
      <c r="E5437" s="599"/>
      <c r="F5437" s="599"/>
      <c r="G5437" s="599" t="s">
        <v>21</v>
      </c>
      <c r="H5437" s="599" t="s">
        <v>179</v>
      </c>
      <c r="I5437" s="1699">
        <v>33.799999999999997</v>
      </c>
      <c r="J5437" s="732">
        <v>11.3</v>
      </c>
      <c r="K5437" s="733">
        <v>9</v>
      </c>
      <c r="L5437" s="734">
        <f>(I5437*J5437*K5437/1000)</f>
        <v>3.4374600000000002</v>
      </c>
      <c r="M5437" s="599">
        <v>9</v>
      </c>
      <c r="N5437" s="599">
        <f t="shared" si="1143"/>
        <v>3.4374599999999997</v>
      </c>
      <c r="O5437" s="599"/>
      <c r="P5437" s="599"/>
      <c r="Q5437" s="1066"/>
      <c r="R5437" s="1066"/>
    </row>
    <row r="5438" spans="1:25" s="497" customFormat="1" ht="17.399999999999999">
      <c r="A5438" s="599"/>
      <c r="B5438" s="599"/>
      <c r="C5438" s="599"/>
      <c r="D5438" s="599"/>
      <c r="E5438" s="599"/>
      <c r="F5438" s="599"/>
      <c r="G5438" s="599"/>
      <c r="H5438" s="599"/>
      <c r="I5438" s="1699"/>
      <c r="J5438" s="732"/>
      <c r="K5438" s="733">
        <f>SUM(K5433:K5437)</f>
        <v>101</v>
      </c>
      <c r="L5438" s="732">
        <f>SUM(L5433:L5437)</f>
        <v>24.772019999999998</v>
      </c>
      <c r="M5438" s="733">
        <f>SUM(M5433:M5437)</f>
        <v>47</v>
      </c>
      <c r="N5438" s="732">
        <f>SUM(N5433:N5437)</f>
        <v>12.394459999999999</v>
      </c>
      <c r="O5438" s="599"/>
      <c r="P5438" s="599"/>
      <c r="Q5438" s="1066"/>
      <c r="R5438" s="1066"/>
      <c r="U5438" s="733">
        <f>SUM(U5433:U5437)</f>
        <v>39</v>
      </c>
      <c r="V5438" s="732">
        <f>SUM(V5433:V5437)</f>
        <v>8.8319400000000012</v>
      </c>
    </row>
    <row r="5439" spans="1:25" s="497" customFormat="1" ht="17.399999999999999">
      <c r="A5439" s="754"/>
      <c r="B5439" s="754"/>
      <c r="C5439" s="754"/>
      <c r="D5439" s="754"/>
      <c r="E5439" s="754"/>
      <c r="F5439" s="754"/>
      <c r="G5439" s="754"/>
      <c r="H5439" s="754"/>
      <c r="I5439" s="1673"/>
      <c r="J5439" s="881"/>
      <c r="K5439" s="882"/>
      <c r="L5439" s="881"/>
      <c r="M5439" s="754"/>
      <c r="N5439" s="754"/>
      <c r="O5439" s="754"/>
      <c r="P5439" s="754"/>
      <c r="Q5439" s="1070"/>
      <c r="R5439" s="1070"/>
    </row>
    <row r="5440" spans="1:25" s="497" customFormat="1" ht="17.399999999999999">
      <c r="A5440" s="852" t="s">
        <v>481</v>
      </c>
      <c r="B5440" s="852" t="s">
        <v>442</v>
      </c>
      <c r="C5440" s="852" t="s">
        <v>19</v>
      </c>
      <c r="D5440" s="852" t="s">
        <v>20</v>
      </c>
      <c r="E5440" s="852" t="s">
        <v>420</v>
      </c>
      <c r="F5440" s="599">
        <v>16</v>
      </c>
      <c r="G5440" s="599" t="s">
        <v>21</v>
      </c>
      <c r="H5440" s="599" t="s">
        <v>179</v>
      </c>
      <c r="I5440" s="1699">
        <v>33.799999999999997</v>
      </c>
      <c r="J5440" s="732">
        <v>9</v>
      </c>
      <c r="K5440" s="733">
        <v>2</v>
      </c>
      <c r="L5440" s="960">
        <f>(I5440*J5440*K5440/1000)</f>
        <v>0.60839999999999994</v>
      </c>
      <c r="M5440" s="599">
        <v>2</v>
      </c>
      <c r="N5440" s="599">
        <f>J5440*M5440*I5440/1000</f>
        <v>0.60839999999999994</v>
      </c>
      <c r="O5440" s="599"/>
      <c r="P5440" s="599"/>
      <c r="Q5440" s="1066"/>
      <c r="R5440" s="1066"/>
      <c r="Y5440" s="497" t="s">
        <v>607</v>
      </c>
    </row>
    <row r="5441" spans="1:22" s="497" customFormat="1" ht="17.399999999999999">
      <c r="A5441" s="599"/>
      <c r="B5441" s="599" t="s">
        <v>206</v>
      </c>
      <c r="C5441" s="599"/>
      <c r="D5441" s="599"/>
      <c r="E5441" s="599"/>
      <c r="F5441" s="599"/>
      <c r="G5441" s="961"/>
      <c r="H5441" s="599"/>
      <c r="I5441" s="1699"/>
      <c r="J5441" s="732"/>
      <c r="K5441" s="733">
        <f t="shared" ref="K5441:M5441" si="1145">SUM(K5440)</f>
        <v>2</v>
      </c>
      <c r="L5441" s="846">
        <f>SUM(L5440)</f>
        <v>0.60839999999999994</v>
      </c>
      <c r="M5441" s="733">
        <f t="shared" si="1145"/>
        <v>2</v>
      </c>
      <c r="N5441" s="846">
        <f>SUM(N5440)</f>
        <v>0.60839999999999994</v>
      </c>
      <c r="O5441" s="599"/>
      <c r="P5441" s="599"/>
      <c r="Q5441" s="1066"/>
      <c r="R5441" s="1066"/>
    </row>
    <row r="5442" spans="1:22" s="497" customFormat="1" ht="17.399999999999999">
      <c r="A5442" s="754"/>
      <c r="B5442" s="754"/>
      <c r="C5442" s="754"/>
      <c r="D5442" s="754"/>
      <c r="E5442" s="754"/>
      <c r="F5442" s="754"/>
      <c r="G5442" s="754"/>
      <c r="H5442" s="754"/>
      <c r="I5442" s="781"/>
      <c r="J5442" s="754"/>
      <c r="K5442" s="879"/>
      <c r="L5442" s="880"/>
      <c r="M5442" s="754"/>
      <c r="N5442" s="754"/>
      <c r="O5442" s="754"/>
      <c r="P5442" s="754"/>
      <c r="Q5442" s="1070"/>
      <c r="R5442" s="1070"/>
    </row>
    <row r="5443" spans="1:22" s="497" customFormat="1" ht="17.399999999999999">
      <c r="A5443" s="780" t="s">
        <v>481</v>
      </c>
      <c r="B5443" s="780" t="s">
        <v>561</v>
      </c>
      <c r="C5443" s="780" t="s">
        <v>19</v>
      </c>
      <c r="D5443" s="780" t="s">
        <v>20</v>
      </c>
      <c r="E5443" s="780" t="s">
        <v>420</v>
      </c>
      <c r="F5443" s="754">
        <v>16</v>
      </c>
      <c r="G5443" s="872" t="s">
        <v>21</v>
      </c>
      <c r="H5443" s="872" t="s">
        <v>179</v>
      </c>
      <c r="I5443" s="1890">
        <v>33.799999999999997</v>
      </c>
      <c r="J5443" s="873">
        <v>8.6999999999999993</v>
      </c>
      <c r="K5443" s="874">
        <v>27</v>
      </c>
      <c r="L5443" s="875">
        <f t="shared" ref="L5443" si="1146">(I5443*J5443*K5443/1000)</f>
        <v>7.9396199999999988</v>
      </c>
      <c r="M5443" s="754"/>
      <c r="N5443" s="754">
        <f t="shared" ref="N5443:N5447" si="1147">J5443*M5443*I5443/1000</f>
        <v>0</v>
      </c>
      <c r="O5443" s="754"/>
      <c r="P5443" s="754"/>
      <c r="Q5443" s="1070"/>
      <c r="R5443" s="1070"/>
    </row>
    <row r="5444" spans="1:22" s="497" customFormat="1" ht="17.399999999999999">
      <c r="A5444" s="754"/>
      <c r="B5444" s="754" t="s">
        <v>560</v>
      </c>
      <c r="C5444" s="754"/>
      <c r="D5444" s="754"/>
      <c r="E5444" s="754"/>
      <c r="F5444" s="754"/>
      <c r="G5444" s="872" t="s">
        <v>21</v>
      </c>
      <c r="H5444" s="872" t="s">
        <v>179</v>
      </c>
      <c r="I5444" s="1890">
        <v>33.799999999999997</v>
      </c>
      <c r="J5444" s="873">
        <v>9</v>
      </c>
      <c r="K5444" s="874">
        <v>68</v>
      </c>
      <c r="L5444" s="875">
        <f>(I5444*J5444*K5444/1000)</f>
        <v>20.685599999999997</v>
      </c>
      <c r="M5444" s="754"/>
      <c r="N5444" s="754">
        <f t="shared" si="1147"/>
        <v>0</v>
      </c>
      <c r="O5444" s="754"/>
      <c r="P5444" s="754"/>
      <c r="Q5444" s="1070"/>
      <c r="R5444" s="1070"/>
    </row>
    <row r="5445" spans="1:22" s="497" customFormat="1" ht="17.399999999999999">
      <c r="A5445" s="754"/>
      <c r="B5445" s="754"/>
      <c r="C5445" s="754"/>
      <c r="D5445" s="754"/>
      <c r="E5445" s="754"/>
      <c r="F5445" s="754"/>
      <c r="G5445" s="872" t="s">
        <v>21</v>
      </c>
      <c r="H5445" s="872" t="s">
        <v>179</v>
      </c>
      <c r="I5445" s="1890">
        <v>33.799999999999997</v>
      </c>
      <c r="J5445" s="873">
        <v>10.9</v>
      </c>
      <c r="K5445" s="874">
        <v>8</v>
      </c>
      <c r="L5445" s="875">
        <f>(I5445*J5445*K5445/1000)</f>
        <v>2.9473599999999998</v>
      </c>
      <c r="M5445" s="754"/>
      <c r="N5445" s="754">
        <f t="shared" si="1147"/>
        <v>0</v>
      </c>
      <c r="O5445" s="754"/>
      <c r="P5445" s="754"/>
      <c r="Q5445" s="1070"/>
      <c r="R5445" s="1070"/>
    </row>
    <row r="5446" spans="1:22" s="497" customFormat="1" ht="17.399999999999999">
      <c r="A5446" s="754"/>
      <c r="B5446" s="754"/>
      <c r="C5446" s="754"/>
      <c r="D5446" s="754"/>
      <c r="E5446" s="754"/>
      <c r="F5446" s="754"/>
      <c r="G5446" s="872" t="s">
        <v>21</v>
      </c>
      <c r="H5446" s="872" t="s">
        <v>179</v>
      </c>
      <c r="I5446" s="1890">
        <v>33.799999999999997</v>
      </c>
      <c r="J5446" s="873">
        <v>11.5</v>
      </c>
      <c r="K5446" s="874">
        <v>192</v>
      </c>
      <c r="L5446" s="875">
        <f>(I5446*J5446*K5446/1000)</f>
        <v>74.630399999999995</v>
      </c>
      <c r="M5446" s="754"/>
      <c r="N5446" s="754">
        <f t="shared" si="1147"/>
        <v>0</v>
      </c>
      <c r="O5446" s="754"/>
      <c r="P5446" s="754"/>
      <c r="Q5446" s="1070"/>
      <c r="R5446" s="1070"/>
    </row>
    <row r="5447" spans="1:22" s="497" customFormat="1" ht="17.399999999999999">
      <c r="A5447" s="754"/>
      <c r="B5447" s="754"/>
      <c r="C5447" s="754"/>
      <c r="D5447" s="754"/>
      <c r="E5447" s="754"/>
      <c r="F5447" s="754"/>
      <c r="G5447" s="872" t="s">
        <v>21</v>
      </c>
      <c r="H5447" s="872" t="s">
        <v>179</v>
      </c>
      <c r="I5447" s="1890">
        <v>33.799999999999997</v>
      </c>
      <c r="J5447" s="873">
        <v>11.6</v>
      </c>
      <c r="K5447" s="874">
        <v>32</v>
      </c>
      <c r="L5447" s="875">
        <f>(I5447*J5447*K5447/1000)</f>
        <v>12.546559999999998</v>
      </c>
      <c r="M5447" s="754"/>
      <c r="N5447" s="754">
        <f t="shared" si="1147"/>
        <v>0</v>
      </c>
      <c r="O5447" s="754"/>
      <c r="P5447" s="754"/>
      <c r="Q5447" s="1070"/>
      <c r="R5447" s="1070"/>
    </row>
    <row r="5448" spans="1:22" s="497" customFormat="1" ht="17.399999999999999">
      <c r="A5448" s="754"/>
      <c r="B5448" s="754"/>
      <c r="C5448" s="754"/>
      <c r="D5448" s="754"/>
      <c r="E5448" s="754"/>
      <c r="F5448" s="754"/>
      <c r="G5448" s="872"/>
      <c r="H5448" s="876"/>
      <c r="I5448" s="1891"/>
      <c r="J5448" s="877"/>
      <c r="K5448" s="874">
        <f>SUM(K5443:K5447)</f>
        <v>327</v>
      </c>
      <c r="L5448" s="878">
        <f>SUM(L5443:L5447)</f>
        <v>118.74954</v>
      </c>
      <c r="M5448" s="874">
        <f>SUM(M5443:M5447)</f>
        <v>0</v>
      </c>
      <c r="N5448" s="878">
        <f>SUM(N5443:N5447)</f>
        <v>0</v>
      </c>
      <c r="O5448" s="754"/>
      <c r="P5448" s="754"/>
      <c r="Q5448" s="1070"/>
      <c r="R5448" s="1070"/>
    </row>
    <row r="5449" spans="1:22" s="497" customFormat="1" ht="17.399999999999999">
      <c r="A5449" s="754"/>
      <c r="B5449" s="754"/>
      <c r="C5449" s="754"/>
      <c r="D5449" s="754"/>
      <c r="E5449" s="754"/>
      <c r="F5449" s="754"/>
      <c r="G5449" s="754"/>
      <c r="H5449" s="754"/>
      <c r="I5449" s="781"/>
      <c r="J5449" s="754"/>
      <c r="K5449" s="879"/>
      <c r="L5449" s="826">
        <f>+L5438+L5431+L5425+L5448+L5441</f>
        <v>225.80089999999998</v>
      </c>
      <c r="M5449" s="825">
        <f t="shared" ref="M5449" si="1148">+M5438+M5431+M5425+M5448+M5441</f>
        <v>54</v>
      </c>
      <c r="N5449" s="826">
        <f>+N5438+N5431+N5425+N5448+N5441</f>
        <v>14.611739999999998</v>
      </c>
      <c r="O5449" s="754"/>
      <c r="P5449" s="754"/>
      <c r="Q5449" s="1070"/>
      <c r="R5449" s="1070"/>
      <c r="U5449" s="965">
        <f>+U5438+U5431+U5425+U5448+U5441</f>
        <v>187</v>
      </c>
      <c r="V5449" s="826">
        <f>+V5438+V5431+V5425+V5448+V5441</f>
        <v>64.101699999999994</v>
      </c>
    </row>
    <row r="5450" spans="1:22" s="497" customFormat="1" ht="17.399999999999999">
      <c r="A5450" s="549"/>
      <c r="B5450" s="549"/>
      <c r="C5450" s="549"/>
      <c r="D5450" s="549"/>
      <c r="E5450" s="549"/>
      <c r="F5450" s="549"/>
      <c r="G5450" s="650"/>
      <c r="H5450" s="549"/>
      <c r="I5450" s="558"/>
      <c r="J5450" s="567"/>
      <c r="K5450" s="648"/>
      <c r="L5450" s="567"/>
      <c r="M5450" s="549"/>
      <c r="N5450" s="549"/>
      <c r="O5450" s="549"/>
      <c r="P5450" s="549"/>
      <c r="Q5450" s="1059"/>
      <c r="R5450" s="1059"/>
    </row>
    <row r="5451" spans="1:22" s="497" customFormat="1" ht="17.399999999999999">
      <c r="A5451" s="549"/>
      <c r="B5451" s="549"/>
      <c r="C5451" s="549"/>
      <c r="D5451" s="549"/>
      <c r="E5451" s="549"/>
      <c r="F5451" s="549"/>
      <c r="G5451" s="650"/>
      <c r="H5451" s="549"/>
      <c r="I5451" s="558"/>
      <c r="J5451" s="567"/>
      <c r="K5451" s="648"/>
      <c r="L5451" s="567"/>
      <c r="M5451" s="549"/>
      <c r="N5451" s="549"/>
      <c r="O5451" s="549"/>
      <c r="P5451" s="549"/>
      <c r="Q5451" s="1059"/>
      <c r="R5451" s="1059"/>
    </row>
    <row r="5452" spans="1:22" s="497" customFormat="1" ht="17.399999999999999">
      <c r="A5452" s="549"/>
      <c r="B5452" s="549"/>
      <c r="C5452" s="549"/>
      <c r="D5452" s="549"/>
      <c r="E5452" s="549"/>
      <c r="F5452" s="549"/>
      <c r="G5452" s="650"/>
      <c r="H5452" s="549"/>
      <c r="I5452" s="558"/>
      <c r="J5452" s="567"/>
      <c r="K5452" s="648"/>
      <c r="L5452" s="567"/>
      <c r="M5452" s="549"/>
      <c r="N5452" s="549"/>
      <c r="O5452" s="549"/>
      <c r="P5452" s="549"/>
      <c r="Q5452" s="1059"/>
      <c r="R5452" s="1059"/>
    </row>
    <row r="5453" spans="1:22" ht="17.399999999999999">
      <c r="A5453" s="547" t="s">
        <v>411</v>
      </c>
      <c r="B5453" s="547" t="s">
        <v>486</v>
      </c>
      <c r="C5453" s="547" t="s">
        <v>19</v>
      </c>
      <c r="D5453" s="547" t="s">
        <v>20</v>
      </c>
      <c r="E5453" s="547" t="s">
        <v>359</v>
      </c>
      <c r="F5453" s="549">
        <v>16</v>
      </c>
      <c r="G5453" s="549" t="s">
        <v>21</v>
      </c>
      <c r="H5453" s="549" t="s">
        <v>178</v>
      </c>
      <c r="I5453" s="558">
        <v>31.6</v>
      </c>
      <c r="J5453" s="567">
        <v>12</v>
      </c>
      <c r="K5453" s="648">
        <v>2</v>
      </c>
      <c r="L5453" s="552">
        <f>(I5453*J5453*K5453/1000)</f>
        <v>0.75840000000000007</v>
      </c>
      <c r="M5453" s="648">
        <v>2</v>
      </c>
      <c r="N5453" s="549">
        <f t="shared" ref="N5453" si="1149">J5453*M5453*I5453/1000</f>
        <v>0.75840000000000007</v>
      </c>
      <c r="O5453" s="647">
        <v>11.5</v>
      </c>
      <c r="P5453" s="549"/>
      <c r="Q5453" s="1059"/>
      <c r="R5453" s="1059"/>
    </row>
    <row r="5454" spans="1:22" ht="17.399999999999999">
      <c r="A5454" s="550"/>
      <c r="B5454" s="549" t="s">
        <v>331</v>
      </c>
      <c r="C5454" s="550"/>
      <c r="D5454" s="550"/>
      <c r="E5454" s="548"/>
      <c r="F5454" s="549"/>
      <c r="G5454" s="549"/>
      <c r="H5454" s="549"/>
      <c r="I5454" s="558"/>
      <c r="J5454" s="647"/>
      <c r="K5454" s="648">
        <f t="shared" ref="K5454:N5454" si="1150">SUM(K5453)</f>
        <v>2</v>
      </c>
      <c r="L5454" s="567">
        <f t="shared" si="1150"/>
        <v>0.75840000000000007</v>
      </c>
      <c r="M5454" s="648">
        <f t="shared" si="1150"/>
        <v>2</v>
      </c>
      <c r="N5454" s="567">
        <f t="shared" si="1150"/>
        <v>0.75840000000000007</v>
      </c>
      <c r="O5454" s="549"/>
      <c r="P5454" s="759" t="s">
        <v>577</v>
      </c>
      <c r="Q5454" s="759"/>
      <c r="R5454" s="759"/>
      <c r="S5454" s="759"/>
    </row>
    <row r="5455" spans="1:22" s="497" customFormat="1" ht="17.399999999999999">
      <c r="A5455" s="550"/>
      <c r="B5455" s="549"/>
      <c r="C5455" s="550"/>
      <c r="D5455" s="550"/>
      <c r="E5455" s="548"/>
      <c r="F5455" s="549"/>
      <c r="G5455" s="549"/>
      <c r="H5455" s="549"/>
      <c r="I5455" s="558"/>
      <c r="J5455" s="647"/>
      <c r="K5455" s="648"/>
      <c r="L5455" s="567"/>
      <c r="M5455" s="549"/>
      <c r="N5455" s="549"/>
      <c r="O5455" s="549"/>
      <c r="P5455" s="549"/>
      <c r="Q5455" s="1059"/>
      <c r="R5455" s="1059"/>
    </row>
    <row r="5456" spans="1:22" ht="17.399999999999999">
      <c r="A5456" s="547" t="s">
        <v>523</v>
      </c>
      <c r="B5456" s="547" t="s">
        <v>524</v>
      </c>
      <c r="C5456" s="547" t="s">
        <v>19</v>
      </c>
      <c r="D5456" s="547" t="s">
        <v>20</v>
      </c>
      <c r="E5456" s="547" t="s">
        <v>367</v>
      </c>
      <c r="F5456" s="549">
        <v>16</v>
      </c>
      <c r="G5456" s="549" t="s">
        <v>444</v>
      </c>
      <c r="H5456" s="599" t="s">
        <v>178</v>
      </c>
      <c r="I5456" s="558">
        <v>31.6</v>
      </c>
      <c r="J5456" s="567">
        <v>12</v>
      </c>
      <c r="K5456" s="648">
        <v>10</v>
      </c>
      <c r="L5456" s="552">
        <f t="shared" ref="L5456" si="1151">(I5456*J5456*K5456/1000)</f>
        <v>3.7920000000000003</v>
      </c>
      <c r="M5456" s="549"/>
      <c r="N5456" s="549"/>
      <c r="O5456" s="549"/>
      <c r="P5456" s="549"/>
      <c r="Q5456" s="1059"/>
      <c r="R5456" s="1059"/>
      <c r="S5456" s="497" t="s">
        <v>607</v>
      </c>
    </row>
    <row r="5457" spans="1:30" ht="17.399999999999999">
      <c r="A5457" s="549"/>
      <c r="B5457" s="549" t="s">
        <v>88</v>
      </c>
      <c r="C5457" s="549"/>
      <c r="D5457" s="549"/>
      <c r="E5457" s="549"/>
      <c r="F5457" s="549"/>
      <c r="G5457" s="549"/>
      <c r="H5457" s="549"/>
      <c r="I5457" s="558"/>
      <c r="J5457" s="567"/>
      <c r="K5457" s="648">
        <f>SUM(K5456:K5456)</f>
        <v>10</v>
      </c>
      <c r="L5457" s="567">
        <f>SUM(L5456:L5456)</f>
        <v>3.7920000000000003</v>
      </c>
      <c r="M5457" s="549"/>
      <c r="N5457" s="549"/>
      <c r="O5457" s="549"/>
      <c r="P5457" s="549"/>
      <c r="Q5457" s="1059"/>
      <c r="R5457" s="1059"/>
    </row>
    <row r="5458" spans="1:30" s="497" customFormat="1" ht="17.399999999999999">
      <c r="A5458" s="549"/>
      <c r="B5458" s="549"/>
      <c r="C5458" s="549"/>
      <c r="D5458" s="549"/>
      <c r="E5458" s="549"/>
      <c r="F5458" s="549"/>
      <c r="G5458" s="549"/>
      <c r="H5458" s="549"/>
      <c r="I5458" s="558"/>
      <c r="J5458" s="567"/>
      <c r="K5458" s="648"/>
      <c r="L5458" s="567"/>
      <c r="M5458" s="549"/>
      <c r="N5458" s="549"/>
      <c r="O5458" s="549"/>
      <c r="P5458" s="549"/>
      <c r="Q5458" s="1059"/>
      <c r="R5458" s="1059"/>
    </row>
    <row r="5459" spans="1:30" ht="17.399999999999999">
      <c r="A5459" s="547" t="s">
        <v>481</v>
      </c>
      <c r="B5459" s="547" t="s">
        <v>520</v>
      </c>
      <c r="C5459" s="547" t="s">
        <v>19</v>
      </c>
      <c r="D5459" s="547" t="s">
        <v>20</v>
      </c>
      <c r="E5459" s="547" t="s">
        <v>175</v>
      </c>
      <c r="F5459" s="549">
        <v>16</v>
      </c>
      <c r="G5459" s="549" t="s">
        <v>21</v>
      </c>
      <c r="H5459" s="599" t="s">
        <v>178</v>
      </c>
      <c r="I5459" s="558">
        <v>31.6</v>
      </c>
      <c r="J5459" s="567">
        <v>9.4</v>
      </c>
      <c r="K5459" s="648">
        <v>32</v>
      </c>
      <c r="L5459" s="552">
        <f>(I5459*J5459*K5459/1000)</f>
        <v>9.5052800000000008</v>
      </c>
      <c r="M5459" s="549"/>
      <c r="N5459" s="549"/>
      <c r="O5459" s="549"/>
      <c r="P5459" s="549"/>
      <c r="Q5459" s="1059"/>
      <c r="R5459" s="1059"/>
      <c r="S5459">
        <f>7+1+6+5+9</f>
        <v>28</v>
      </c>
      <c r="T5459" s="126">
        <f>J5459*S5459*I5459/1000</f>
        <v>8.317120000000001</v>
      </c>
      <c r="W5459" s="497"/>
      <c r="Y5459">
        <v>4</v>
      </c>
      <c r="Z5459" s="497">
        <f>J5459*Y5459*I5459/1000</f>
        <v>1.1881600000000001</v>
      </c>
      <c r="AB5459" s="497" t="s">
        <v>607</v>
      </c>
    </row>
    <row r="5460" spans="1:30" ht="17.399999999999999">
      <c r="A5460" s="547"/>
      <c r="B5460" s="560" t="s">
        <v>443</v>
      </c>
      <c r="C5460" s="547"/>
      <c r="D5460" s="547"/>
      <c r="E5460" s="547"/>
      <c r="F5460" s="549"/>
      <c r="G5460" s="549" t="s">
        <v>21</v>
      </c>
      <c r="H5460" s="549" t="s">
        <v>178</v>
      </c>
      <c r="I5460" s="558">
        <v>31.6</v>
      </c>
      <c r="J5460" s="567">
        <v>9.6999999999999993</v>
      </c>
      <c r="K5460" s="648">
        <v>8</v>
      </c>
      <c r="L5460" s="552">
        <f>(I5460*J5460*K5460/1000)</f>
        <v>2.4521599999999997</v>
      </c>
      <c r="M5460" s="549"/>
      <c r="N5460" s="549"/>
      <c r="O5460" s="549"/>
      <c r="P5460" s="549"/>
      <c r="Q5460" s="1059"/>
      <c r="R5460" s="1059"/>
      <c r="T5460" s="126">
        <f>J5460*S5460*I5460/1000</f>
        <v>0</v>
      </c>
      <c r="U5460">
        <v>3</v>
      </c>
      <c r="V5460" s="126">
        <f>J5460*U5460*I5460/1000</f>
        <v>0.91955999999999993</v>
      </c>
    </row>
    <row r="5461" spans="1:30" ht="17.399999999999999">
      <c r="A5461" s="549"/>
      <c r="B5461" s="549"/>
      <c r="C5461" s="549"/>
      <c r="D5461" s="549"/>
      <c r="E5461" s="549"/>
      <c r="F5461" s="549"/>
      <c r="G5461" s="650"/>
      <c r="H5461" s="549"/>
      <c r="I5461" s="558"/>
      <c r="J5461" s="567"/>
      <c r="K5461" s="648">
        <f t="shared" ref="K5461:L5461" si="1152">SUM(K5459:K5460)</f>
        <v>40</v>
      </c>
      <c r="L5461" s="567">
        <f t="shared" si="1152"/>
        <v>11.95744</v>
      </c>
      <c r="M5461" s="549"/>
      <c r="N5461" s="549"/>
      <c r="O5461" s="549"/>
      <c r="P5461" s="549"/>
      <c r="Q5461" s="549"/>
      <c r="R5461" s="549"/>
      <c r="S5461" s="648">
        <f t="shared" ref="S5461:U5461" si="1153">SUM(S5459:S5460)</f>
        <v>28</v>
      </c>
      <c r="T5461" s="567">
        <f>SUM(T5459:T5460)</f>
        <v>8.317120000000001</v>
      </c>
      <c r="U5461" s="648">
        <f t="shared" si="1153"/>
        <v>3</v>
      </c>
      <c r="V5461" s="567">
        <f>SUM(V5459:V5460)</f>
        <v>0.91955999999999993</v>
      </c>
      <c r="Y5461" s="648">
        <f t="shared" ref="Y5461" si="1154">SUM(Y5459:Y5460)</f>
        <v>4</v>
      </c>
      <c r="Z5461" s="567">
        <f>SUM(Z5459:Z5460)</f>
        <v>1.1881600000000001</v>
      </c>
    </row>
    <row r="5462" spans="1:30" s="497" customFormat="1" ht="17.399999999999999">
      <c r="A5462" s="549"/>
      <c r="B5462" s="549"/>
      <c r="C5462" s="549"/>
      <c r="D5462" s="549"/>
      <c r="E5462" s="549"/>
      <c r="F5462" s="549"/>
      <c r="G5462" s="650"/>
      <c r="H5462" s="549"/>
      <c r="I5462" s="558"/>
      <c r="J5462" s="567"/>
      <c r="K5462" s="648"/>
      <c r="L5462" s="567"/>
      <c r="M5462" s="549"/>
      <c r="N5462" s="549"/>
      <c r="O5462" s="549"/>
      <c r="P5462" s="549"/>
      <c r="Q5462" s="1059"/>
      <c r="R5462" s="1059"/>
    </row>
    <row r="5463" spans="1:30" ht="17.399999999999999">
      <c r="A5463" s="547" t="s">
        <v>445</v>
      </c>
      <c r="B5463" s="547" t="s">
        <v>516</v>
      </c>
      <c r="C5463" s="547" t="s">
        <v>19</v>
      </c>
      <c r="D5463" s="547" t="s">
        <v>20</v>
      </c>
      <c r="E5463" s="547" t="s">
        <v>264</v>
      </c>
      <c r="F5463" s="549">
        <v>16</v>
      </c>
      <c r="G5463" s="549" t="s">
        <v>21</v>
      </c>
      <c r="H5463" s="599" t="s">
        <v>178</v>
      </c>
      <c r="I5463" s="558">
        <v>31.6</v>
      </c>
      <c r="J5463" s="567">
        <v>6.9</v>
      </c>
      <c r="K5463" s="648">
        <v>2</v>
      </c>
      <c r="L5463" s="552">
        <f>(I5463*J5463*K5463/1000)</f>
        <v>0.43608000000000002</v>
      </c>
      <c r="M5463" s="549">
        <v>2</v>
      </c>
      <c r="N5463" s="549">
        <f t="shared" ref="N5463" si="1155">J5463*M5463*I5463/1000</f>
        <v>0.43608000000000002</v>
      </c>
      <c r="O5463" s="549"/>
      <c r="P5463" s="549"/>
      <c r="Q5463" s="1059"/>
      <c r="R5463" s="1059"/>
    </row>
    <row r="5464" spans="1:30" ht="17.399999999999999">
      <c r="A5464" s="549"/>
      <c r="B5464" s="549" t="s">
        <v>421</v>
      </c>
      <c r="C5464" s="549"/>
      <c r="D5464" s="549"/>
      <c r="E5464" s="549"/>
      <c r="F5464" s="549"/>
      <c r="G5464" s="549"/>
      <c r="H5464" s="549"/>
      <c r="I5464" s="558"/>
      <c r="J5464" s="567"/>
      <c r="K5464" s="648">
        <f>SUM(K5463:K5463)</f>
        <v>2</v>
      </c>
      <c r="L5464" s="567">
        <f>SUM(L5463:L5463)</f>
        <v>0.43608000000000002</v>
      </c>
      <c r="M5464" s="648">
        <f>SUM(M5463:M5463)</f>
        <v>2</v>
      </c>
      <c r="N5464" s="567">
        <f>SUM(N5463:N5463)</f>
        <v>0.43608000000000002</v>
      </c>
      <c r="O5464" s="549"/>
      <c r="P5464" s="549"/>
      <c r="Q5464" s="1059"/>
      <c r="R5464" s="1059"/>
    </row>
    <row r="5465" spans="1:30" s="497" customFormat="1" ht="17.399999999999999">
      <c r="A5465" s="549"/>
      <c r="B5465" s="549"/>
      <c r="C5465" s="549"/>
      <c r="D5465" s="549"/>
      <c r="E5465" s="549"/>
      <c r="F5465" s="549"/>
      <c r="G5465" s="549"/>
      <c r="H5465" s="549"/>
      <c r="I5465" s="558"/>
      <c r="J5465" s="567"/>
      <c r="K5465" s="648"/>
      <c r="L5465" s="567"/>
      <c r="M5465" s="549"/>
      <c r="N5465" s="549"/>
      <c r="O5465" s="549"/>
      <c r="P5465" s="549"/>
      <c r="Q5465" s="1059"/>
      <c r="R5465" s="1059"/>
    </row>
    <row r="5466" spans="1:30" ht="17.399999999999999">
      <c r="A5466" s="547" t="s">
        <v>445</v>
      </c>
      <c r="B5466" s="547" t="s">
        <v>487</v>
      </c>
      <c r="C5466" s="547" t="s">
        <v>19</v>
      </c>
      <c r="D5466" s="547" t="s">
        <v>20</v>
      </c>
      <c r="E5466" s="547" t="s">
        <v>47</v>
      </c>
      <c r="F5466" s="549">
        <v>16</v>
      </c>
      <c r="G5466" s="549" t="s">
        <v>21</v>
      </c>
      <c r="H5466" s="599" t="s">
        <v>178</v>
      </c>
      <c r="I5466" s="558">
        <v>31.6</v>
      </c>
      <c r="J5466" s="567">
        <v>8</v>
      </c>
      <c r="K5466" s="648">
        <v>1</v>
      </c>
      <c r="L5466" s="552">
        <f t="shared" ref="L5466:L5469" si="1156">(I5466*J5466*K5466/1000)</f>
        <v>0.25280000000000002</v>
      </c>
      <c r="M5466" s="549">
        <v>1</v>
      </c>
      <c r="N5466" s="549">
        <f t="shared" ref="N5466:N5469" si="1157">J5466*M5466*I5466/1000</f>
        <v>0.25280000000000002</v>
      </c>
      <c r="O5466" s="549"/>
      <c r="P5466" s="549"/>
      <c r="Q5466" s="1059"/>
      <c r="R5466" s="1059"/>
      <c r="T5466" s="126">
        <f t="shared" ref="T5466:T5469" si="1158">J5466*S5466*I5466/1000</f>
        <v>0</v>
      </c>
      <c r="Y5466" s="497"/>
      <c r="AB5466" s="497" t="s">
        <v>607</v>
      </c>
      <c r="AC5466" s="497"/>
      <c r="AD5466" s="497"/>
    </row>
    <row r="5467" spans="1:30" ht="17.399999999999999">
      <c r="A5467" s="547"/>
      <c r="B5467" s="752" t="s">
        <v>439</v>
      </c>
      <c r="C5467" s="547"/>
      <c r="D5467" s="547"/>
      <c r="E5467" s="547"/>
      <c r="F5467" s="549"/>
      <c r="G5467" s="549" t="s">
        <v>21</v>
      </c>
      <c r="H5467" s="549" t="s">
        <v>178</v>
      </c>
      <c r="I5467" s="558">
        <v>31.6</v>
      </c>
      <c r="J5467" s="567">
        <v>9.6999999999999993</v>
      </c>
      <c r="K5467" s="648">
        <v>116</v>
      </c>
      <c r="L5467" s="552">
        <f t="shared" si="1156"/>
        <v>35.556319999999999</v>
      </c>
      <c r="M5467" s="549">
        <f>5+11</f>
        <v>16</v>
      </c>
      <c r="N5467" s="549">
        <f t="shared" si="1157"/>
        <v>4.9043199999999993</v>
      </c>
      <c r="O5467" s="549"/>
      <c r="P5467" s="549"/>
      <c r="Q5467" s="1059"/>
      <c r="R5467" s="1059"/>
      <c r="S5467">
        <f>7+7+7+7+3+5+3+7+7+8+7+7+7+7</f>
        <v>89</v>
      </c>
      <c r="T5467" s="126">
        <f t="shared" si="1158"/>
        <v>27.280279999999998</v>
      </c>
      <c r="U5467">
        <v>11</v>
      </c>
      <c r="V5467" s="126">
        <f t="shared" ref="V5467:V5468" si="1159">J5467*U5467*I5467/1000</f>
        <v>3.3717199999999998</v>
      </c>
      <c r="W5467">
        <v>10.8</v>
      </c>
      <c r="X5467">
        <v>1</v>
      </c>
    </row>
    <row r="5468" spans="1:30" ht="17.399999999999999">
      <c r="A5468" s="549"/>
      <c r="B5468" s="549"/>
      <c r="C5468" s="549"/>
      <c r="D5468" s="549"/>
      <c r="E5468" s="549"/>
      <c r="F5468" s="549"/>
      <c r="G5468" s="549" t="s">
        <v>21</v>
      </c>
      <c r="H5468" s="549" t="s">
        <v>178</v>
      </c>
      <c r="I5468" s="558">
        <v>31.6</v>
      </c>
      <c r="J5468" s="567">
        <v>10.9</v>
      </c>
      <c r="K5468" s="648">
        <v>116</v>
      </c>
      <c r="L5468" s="552">
        <f t="shared" si="1156"/>
        <v>39.955040000000011</v>
      </c>
      <c r="M5468" s="549"/>
      <c r="N5468" s="549">
        <f t="shared" si="1157"/>
        <v>0</v>
      </c>
      <c r="O5468" s="549"/>
      <c r="P5468" s="549"/>
      <c r="Q5468" s="1059"/>
      <c r="R5468" s="1059"/>
      <c r="S5468">
        <f>7+7+7+7+7+1</f>
        <v>36</v>
      </c>
      <c r="T5468" s="126">
        <f t="shared" si="1158"/>
        <v>12.399840000000001</v>
      </c>
      <c r="U5468">
        <f>7+7+7+7+7+7+8</f>
        <v>50</v>
      </c>
      <c r="V5468" s="126">
        <f t="shared" si="1159"/>
        <v>17.222000000000001</v>
      </c>
      <c r="W5468">
        <v>10.4</v>
      </c>
      <c r="X5468">
        <v>3</v>
      </c>
      <c r="Y5468">
        <v>7</v>
      </c>
      <c r="Z5468" s="497">
        <f>J5468*Y5468*I5468/1000</f>
        <v>2.4110800000000001</v>
      </c>
    </row>
    <row r="5469" spans="1:30" ht="17.399999999999999">
      <c r="A5469" s="549"/>
      <c r="B5469" s="549"/>
      <c r="C5469" s="549"/>
      <c r="D5469" s="549"/>
      <c r="E5469" s="549"/>
      <c r="F5469" s="549"/>
      <c r="G5469" s="549" t="s">
        <v>21</v>
      </c>
      <c r="H5469" s="549" t="s">
        <v>178</v>
      </c>
      <c r="I5469" s="558">
        <v>31.6</v>
      </c>
      <c r="J5469" s="567">
        <v>12</v>
      </c>
      <c r="K5469" s="648">
        <v>1</v>
      </c>
      <c r="L5469" s="552">
        <f t="shared" si="1156"/>
        <v>0.37920000000000004</v>
      </c>
      <c r="M5469" s="549">
        <v>1</v>
      </c>
      <c r="N5469" s="549">
        <f t="shared" si="1157"/>
        <v>0.37920000000000004</v>
      </c>
      <c r="O5469" s="549"/>
      <c r="P5469" s="549"/>
      <c r="Q5469" s="1059"/>
      <c r="R5469" s="1059"/>
      <c r="T5469" s="126">
        <f t="shared" si="1158"/>
        <v>0</v>
      </c>
      <c r="W5469">
        <v>7.5</v>
      </c>
      <c r="X5469">
        <v>1</v>
      </c>
    </row>
    <row r="5470" spans="1:30" ht="17.399999999999999">
      <c r="A5470" s="549"/>
      <c r="B5470" s="549"/>
      <c r="C5470" s="549"/>
      <c r="D5470" s="549"/>
      <c r="E5470" s="549"/>
      <c r="F5470" s="549"/>
      <c r="G5470" s="549"/>
      <c r="H5470" s="549"/>
      <c r="I5470" s="558"/>
      <c r="J5470" s="567"/>
      <c r="K5470" s="648">
        <f t="shared" ref="K5470:N5470" si="1160">SUM(K5466:K5469)</f>
        <v>234</v>
      </c>
      <c r="L5470" s="567">
        <f t="shared" si="1160"/>
        <v>76.143360000000001</v>
      </c>
      <c r="M5470" s="648">
        <f t="shared" si="1160"/>
        <v>18</v>
      </c>
      <c r="N5470" s="567">
        <f t="shared" si="1160"/>
        <v>5.536319999999999</v>
      </c>
      <c r="O5470" s="549"/>
      <c r="P5470" s="549"/>
      <c r="Q5470" s="549"/>
      <c r="R5470" s="549"/>
      <c r="S5470" s="648">
        <f t="shared" ref="S5470:U5470" si="1161">SUM(S5466:S5469)</f>
        <v>125</v>
      </c>
      <c r="T5470" s="567">
        <f t="shared" si="1161"/>
        <v>39.680120000000002</v>
      </c>
      <c r="U5470" s="648">
        <f t="shared" si="1161"/>
        <v>61</v>
      </c>
      <c r="V5470" s="567">
        <f>SUM(V5466:V5469)</f>
        <v>20.593720000000001</v>
      </c>
      <c r="Y5470" s="648">
        <f t="shared" ref="Y5470" si="1162">SUM(Y5466:Y5469)</f>
        <v>7</v>
      </c>
      <c r="Z5470" s="567">
        <f>SUM(Z5466:Z5469)</f>
        <v>2.4110800000000001</v>
      </c>
    </row>
    <row r="5471" spans="1:30" ht="17.399999999999999">
      <c r="A5471" s="549"/>
      <c r="B5471" s="549"/>
      <c r="C5471" s="549"/>
      <c r="D5471" s="549"/>
      <c r="E5471" s="549"/>
      <c r="F5471" s="549"/>
      <c r="G5471" s="549"/>
      <c r="H5471" s="549"/>
      <c r="I5471" s="560"/>
      <c r="J5471" s="549"/>
      <c r="K5471" s="561"/>
      <c r="L5471" s="560"/>
      <c r="M5471" s="549"/>
      <c r="N5471" s="549"/>
      <c r="O5471" s="549"/>
      <c r="P5471" s="549"/>
      <c r="Q5471" s="1059"/>
      <c r="R5471" s="1059"/>
    </row>
    <row r="5472" spans="1:30" ht="17.399999999999999">
      <c r="A5472" s="547" t="s">
        <v>445</v>
      </c>
      <c r="B5472" s="547" t="s">
        <v>488</v>
      </c>
      <c r="C5472" s="547" t="s">
        <v>19</v>
      </c>
      <c r="D5472" s="547" t="s">
        <v>20</v>
      </c>
      <c r="E5472" s="547" t="s">
        <v>47</v>
      </c>
      <c r="F5472" s="549">
        <v>16</v>
      </c>
      <c r="G5472" s="549" t="s">
        <v>21</v>
      </c>
      <c r="H5472" s="599" t="s">
        <v>178</v>
      </c>
      <c r="I5472" s="558">
        <v>31.6</v>
      </c>
      <c r="J5472" s="567">
        <v>6.2</v>
      </c>
      <c r="K5472" s="648">
        <v>48</v>
      </c>
      <c r="L5472" s="552">
        <f t="shared" ref="L5472:L5477" si="1163">(I5472*J5472*K5472/1000)</f>
        <v>9.4041599999999992</v>
      </c>
      <c r="M5472" s="549">
        <f>1+4+1+1</f>
        <v>7</v>
      </c>
      <c r="N5472" s="549">
        <f t="shared" ref="N5472:N5473" si="1164">J5472*M5472*I5472/1000</f>
        <v>1.37144</v>
      </c>
      <c r="O5472" s="549"/>
      <c r="P5472" s="549"/>
      <c r="Q5472" s="1059"/>
      <c r="R5472" s="1059"/>
      <c r="S5472">
        <v>26</v>
      </c>
      <c r="T5472" s="126">
        <f t="shared" ref="T5472:T5477" si="1165">J5472*S5472*I5472/1000</f>
        <v>5.0939200000000007</v>
      </c>
      <c r="U5472">
        <v>15</v>
      </c>
      <c r="V5472" s="126">
        <f t="shared" ref="V5472" si="1166">J5472*U5472*I5472/1000</f>
        <v>2.9388000000000001</v>
      </c>
      <c r="Y5472" s="497"/>
      <c r="AB5472" s="497" t="s">
        <v>607</v>
      </c>
      <c r="AC5472" s="497"/>
      <c r="AD5472" s="497"/>
    </row>
    <row r="5473" spans="1:26" ht="17.399999999999999">
      <c r="A5473" s="547"/>
      <c r="B5473" s="752" t="s">
        <v>439</v>
      </c>
      <c r="C5473" s="547"/>
      <c r="D5473" s="547"/>
      <c r="E5473" s="547"/>
      <c r="F5473" s="549"/>
      <c r="G5473" s="549" t="s">
        <v>21</v>
      </c>
      <c r="H5473" s="549" t="s">
        <v>178</v>
      </c>
      <c r="I5473" s="558">
        <v>31.6</v>
      </c>
      <c r="J5473" s="567">
        <v>8</v>
      </c>
      <c r="K5473" s="648">
        <v>4</v>
      </c>
      <c r="L5473" s="552">
        <f t="shared" si="1163"/>
        <v>1.0112000000000001</v>
      </c>
      <c r="M5473" s="549">
        <f>2+2</f>
        <v>4</v>
      </c>
      <c r="N5473" s="549">
        <f t="shared" si="1164"/>
        <v>1.0112000000000001</v>
      </c>
      <c r="O5473" s="549"/>
      <c r="P5473" s="549"/>
      <c r="Q5473" s="1059"/>
      <c r="R5473" s="1059"/>
      <c r="T5473" s="126">
        <f t="shared" si="1165"/>
        <v>0</v>
      </c>
    </row>
    <row r="5474" spans="1:26" ht="17.399999999999999">
      <c r="A5474" s="549"/>
      <c r="B5474" s="549"/>
      <c r="C5474" s="549"/>
      <c r="D5474" s="549"/>
      <c r="E5474" s="549"/>
      <c r="F5474" s="549"/>
      <c r="G5474" s="549" t="s">
        <v>21</v>
      </c>
      <c r="H5474" s="549" t="s">
        <v>178</v>
      </c>
      <c r="I5474" s="558">
        <v>31.6</v>
      </c>
      <c r="J5474" s="567">
        <v>9.1999999999999993</v>
      </c>
      <c r="K5474" s="648">
        <v>12</v>
      </c>
      <c r="L5474" s="552">
        <f t="shared" si="1163"/>
        <v>3.4886399999999993</v>
      </c>
      <c r="M5474" s="549"/>
      <c r="N5474" s="549"/>
      <c r="O5474" s="549"/>
      <c r="P5474" s="549"/>
      <c r="Q5474" s="1059"/>
      <c r="R5474" s="1059"/>
      <c r="S5474">
        <f>4+1</f>
        <v>5</v>
      </c>
      <c r="T5474" s="126">
        <f t="shared" si="1165"/>
        <v>1.4536000000000002</v>
      </c>
      <c r="Y5474">
        <v>6</v>
      </c>
      <c r="Z5474" s="497">
        <f>J5474*Y5474*I5474/1000</f>
        <v>1.7443199999999999</v>
      </c>
    </row>
    <row r="5475" spans="1:26" ht="17.399999999999999">
      <c r="A5475" s="549"/>
      <c r="B5475" s="549"/>
      <c r="C5475" s="549"/>
      <c r="D5475" s="549"/>
      <c r="E5475" s="549"/>
      <c r="F5475" s="549"/>
      <c r="G5475" s="549" t="s">
        <v>21</v>
      </c>
      <c r="H5475" s="549" t="s">
        <v>178</v>
      </c>
      <c r="I5475" s="558">
        <v>31.6</v>
      </c>
      <c r="J5475" s="567">
        <v>10.4</v>
      </c>
      <c r="K5475" s="648">
        <v>13</v>
      </c>
      <c r="L5475" s="552">
        <f t="shared" si="1163"/>
        <v>4.2723200000000006</v>
      </c>
      <c r="M5475" s="549"/>
      <c r="N5475" s="549"/>
      <c r="O5475" s="549"/>
      <c r="P5475" s="549"/>
      <c r="Q5475" s="1059"/>
      <c r="R5475" s="1059"/>
      <c r="S5475">
        <f>7+7+6+3-10</f>
        <v>13</v>
      </c>
      <c r="T5475" s="126">
        <f t="shared" si="1165"/>
        <v>4.2723200000000006</v>
      </c>
    </row>
    <row r="5476" spans="1:26" ht="17.399999999999999">
      <c r="A5476" s="549"/>
      <c r="B5476" s="549"/>
      <c r="C5476" s="549"/>
      <c r="D5476" s="549"/>
      <c r="E5476" s="549"/>
      <c r="F5476" s="549"/>
      <c r="G5476" s="549" t="s">
        <v>21</v>
      </c>
      <c r="H5476" s="549" t="s">
        <v>178</v>
      </c>
      <c r="I5476" s="558">
        <v>31.6</v>
      </c>
      <c r="J5476" s="567">
        <v>11.4</v>
      </c>
      <c r="K5476" s="648">
        <v>12</v>
      </c>
      <c r="L5476" s="552">
        <f t="shared" si="1163"/>
        <v>4.3228800000000005</v>
      </c>
      <c r="M5476" s="549"/>
      <c r="N5476" s="549"/>
      <c r="O5476" s="549"/>
      <c r="P5476" s="549"/>
      <c r="Q5476" s="1059"/>
      <c r="R5476" s="1059"/>
      <c r="S5476">
        <f>5+1+1</f>
        <v>7</v>
      </c>
      <c r="T5476" s="126">
        <f t="shared" si="1165"/>
        <v>2.5216799999999999</v>
      </c>
      <c r="Y5476">
        <v>5</v>
      </c>
      <c r="Z5476" s="497">
        <f t="shared" ref="Z5476:Z5477" si="1167">J5476*Y5476*I5476/1000</f>
        <v>1.8012000000000001</v>
      </c>
    </row>
    <row r="5477" spans="1:26" ht="17.399999999999999">
      <c r="A5477" s="549"/>
      <c r="B5477" s="549"/>
      <c r="C5477" s="549"/>
      <c r="D5477" s="549"/>
      <c r="E5477" s="549"/>
      <c r="F5477" s="549"/>
      <c r="G5477" s="549" t="s">
        <v>21</v>
      </c>
      <c r="H5477" s="549" t="s">
        <v>178</v>
      </c>
      <c r="I5477" s="558">
        <v>31.6</v>
      </c>
      <c r="J5477" s="567">
        <v>12</v>
      </c>
      <c r="K5477" s="648">
        <v>24</v>
      </c>
      <c r="L5477" s="552">
        <f t="shared" si="1163"/>
        <v>9.1008000000000013</v>
      </c>
      <c r="M5477" s="549"/>
      <c r="N5477" s="549"/>
      <c r="O5477" s="549"/>
      <c r="P5477" s="549"/>
      <c r="Q5477" s="1059"/>
      <c r="R5477" s="1059"/>
      <c r="S5477">
        <v>2</v>
      </c>
      <c r="T5477" s="126">
        <f t="shared" si="1165"/>
        <v>0.75840000000000007</v>
      </c>
      <c r="U5477">
        <f>5+7+5</f>
        <v>17</v>
      </c>
      <c r="V5477" s="126">
        <f t="shared" ref="V5477" si="1168">J5477*U5477*I5477/1000</f>
        <v>6.4464000000000006</v>
      </c>
      <c r="Y5477">
        <v>5</v>
      </c>
      <c r="Z5477" s="497">
        <f t="shared" si="1167"/>
        <v>1.8959999999999999</v>
      </c>
    </row>
    <row r="5478" spans="1:26" ht="17.399999999999999">
      <c r="A5478" s="549"/>
      <c r="B5478" s="549"/>
      <c r="C5478" s="549"/>
      <c r="D5478" s="549"/>
      <c r="E5478" s="549"/>
      <c r="F5478" s="549"/>
      <c r="G5478" s="549"/>
      <c r="H5478" s="549"/>
      <c r="I5478" s="558"/>
      <c r="J5478" s="567"/>
      <c r="K5478" s="648">
        <f t="shared" ref="K5478:N5478" si="1169">SUM(K5472:K5477)</f>
        <v>113</v>
      </c>
      <c r="L5478" s="567">
        <f t="shared" si="1169"/>
        <v>31.6</v>
      </c>
      <c r="M5478" s="648">
        <f t="shared" si="1169"/>
        <v>11</v>
      </c>
      <c r="N5478" s="567">
        <f t="shared" si="1169"/>
        <v>2.3826400000000003</v>
      </c>
      <c r="O5478" s="549"/>
      <c r="P5478" s="549"/>
      <c r="Q5478" s="549"/>
      <c r="R5478" s="549"/>
      <c r="S5478" s="648">
        <f t="shared" ref="S5478:V5478" si="1170">SUM(S5472:S5477)</f>
        <v>53</v>
      </c>
      <c r="T5478" s="567">
        <f t="shared" si="1170"/>
        <v>14.099920000000001</v>
      </c>
      <c r="U5478" s="648">
        <f t="shared" si="1170"/>
        <v>32</v>
      </c>
      <c r="V5478" s="567">
        <f t="shared" si="1170"/>
        <v>9.3852000000000011</v>
      </c>
      <c r="Y5478" s="648">
        <f t="shared" ref="Y5478" si="1171">SUM(Y5472:Y5477)</f>
        <v>16</v>
      </c>
      <c r="Z5478" s="567">
        <f>SUM(Z5472:Z5477)</f>
        <v>5.4415199999999997</v>
      </c>
    </row>
    <row r="5479" spans="1:26" s="497" customFormat="1" ht="17.399999999999999">
      <c r="A5479" s="549"/>
      <c r="B5479" s="549"/>
      <c r="C5479" s="549"/>
      <c r="D5479" s="549"/>
      <c r="E5479" s="549"/>
      <c r="F5479" s="549"/>
      <c r="G5479" s="549"/>
      <c r="H5479" s="549"/>
      <c r="I5479" s="558"/>
      <c r="J5479" s="567"/>
      <c r="K5479" s="648"/>
      <c r="L5479" s="567"/>
      <c r="M5479" s="549"/>
      <c r="N5479" s="549"/>
      <c r="O5479" s="549"/>
      <c r="P5479" s="549"/>
      <c r="Q5479" s="1059"/>
      <c r="R5479" s="1059"/>
    </row>
    <row r="5480" spans="1:26" ht="17.399999999999999">
      <c r="A5480" s="547" t="s">
        <v>523</v>
      </c>
      <c r="B5480" s="547" t="s">
        <v>525</v>
      </c>
      <c r="C5480" s="547" t="s">
        <v>19</v>
      </c>
      <c r="D5480" s="547" t="s">
        <v>20</v>
      </c>
      <c r="E5480" s="547" t="s">
        <v>47</v>
      </c>
      <c r="F5480" s="549">
        <v>16</v>
      </c>
      <c r="G5480" s="549" t="s">
        <v>21</v>
      </c>
      <c r="H5480" s="599" t="s">
        <v>178</v>
      </c>
      <c r="I5480" s="558">
        <v>31.6</v>
      </c>
      <c r="J5480" s="567">
        <v>8</v>
      </c>
      <c r="K5480" s="648">
        <v>4</v>
      </c>
      <c r="L5480" s="552">
        <f>(I5480*J5480*K5480/1000)</f>
        <v>1.0112000000000001</v>
      </c>
      <c r="M5480" s="549">
        <v>4</v>
      </c>
      <c r="N5480" s="549">
        <f t="shared" ref="N5480" si="1172">J5480*M5480*I5480/1000</f>
        <v>1.0112000000000001</v>
      </c>
      <c r="O5480" s="549"/>
      <c r="P5480" s="549"/>
      <c r="Q5480" s="1059"/>
      <c r="R5480" s="1059"/>
    </row>
    <row r="5481" spans="1:26" ht="17.399999999999999">
      <c r="A5481" s="547"/>
      <c r="B5481" s="752" t="s">
        <v>439</v>
      </c>
      <c r="C5481" s="547"/>
      <c r="D5481" s="547"/>
      <c r="E5481" s="547"/>
      <c r="F5481" s="549"/>
      <c r="G5481" s="549"/>
      <c r="H5481" s="549"/>
      <c r="I5481" s="558"/>
      <c r="J5481" s="567"/>
      <c r="K5481" s="648">
        <f t="shared" ref="K5481:M5481" si="1173">SUM(K5480)</f>
        <v>4</v>
      </c>
      <c r="L5481" s="567">
        <f>SUM(L5480)</f>
        <v>1.0112000000000001</v>
      </c>
      <c r="M5481" s="648">
        <f t="shared" si="1173"/>
        <v>4</v>
      </c>
      <c r="N5481" s="567">
        <f>SUM(N5480)</f>
        <v>1.0112000000000001</v>
      </c>
      <c r="O5481" s="549"/>
      <c r="P5481" s="549"/>
      <c r="Q5481" s="549"/>
      <c r="R5481" s="549"/>
      <c r="S5481" s="648">
        <f t="shared" ref="S5481" si="1174">SUM(S5480)</f>
        <v>0</v>
      </c>
      <c r="T5481" s="567">
        <f>SUM(T5480)</f>
        <v>0</v>
      </c>
    </row>
    <row r="5482" spans="1:26" s="497" customFormat="1" ht="17.399999999999999">
      <c r="A5482" s="547"/>
      <c r="B5482" s="752"/>
      <c r="C5482" s="547"/>
      <c r="D5482" s="547"/>
      <c r="E5482" s="547"/>
      <c r="F5482" s="549"/>
      <c r="G5482" s="549"/>
      <c r="H5482" s="549"/>
      <c r="I5482" s="558"/>
      <c r="J5482" s="567"/>
      <c r="K5482" s="648"/>
      <c r="L5482" s="567"/>
      <c r="M5482" s="648"/>
      <c r="N5482" s="567"/>
      <c r="O5482" s="549"/>
      <c r="P5482" s="549"/>
      <c r="Q5482" s="1059"/>
      <c r="R5482" s="1059"/>
    </row>
    <row r="5483" spans="1:26" s="497" customFormat="1" ht="17.399999999999999">
      <c r="A5483" s="547" t="s">
        <v>541</v>
      </c>
      <c r="B5483" s="547" t="s">
        <v>559</v>
      </c>
      <c r="C5483" s="547" t="s">
        <v>19</v>
      </c>
      <c r="D5483" s="547" t="s">
        <v>20</v>
      </c>
      <c r="E5483" s="547" t="s">
        <v>57</v>
      </c>
      <c r="F5483" s="549">
        <v>16</v>
      </c>
      <c r="G5483" s="883" t="s">
        <v>21</v>
      </c>
      <c r="H5483" s="978" t="s">
        <v>178</v>
      </c>
      <c r="I5483" s="1884">
        <v>31.6</v>
      </c>
      <c r="J5483" s="567">
        <v>6.2</v>
      </c>
      <c r="K5483" s="885">
        <v>4</v>
      </c>
      <c r="L5483" s="886">
        <f t="shared" ref="L5483:L5484" si="1175">(I5483*J5483*K5483/1000)</f>
        <v>0.78368000000000004</v>
      </c>
      <c r="M5483" s="648"/>
      <c r="N5483" s="567"/>
      <c r="O5483" s="884">
        <v>6.1</v>
      </c>
      <c r="P5483" s="549"/>
      <c r="Q5483" s="1059"/>
      <c r="R5483" s="1059"/>
      <c r="U5483" s="497">
        <v>1</v>
      </c>
      <c r="V5483" s="126">
        <f t="shared" ref="V5483" si="1176">J5483*U5483*I5483/1000</f>
        <v>0.19592000000000001</v>
      </c>
      <c r="W5483" s="497" t="s">
        <v>607</v>
      </c>
      <c r="Y5483" s="497">
        <v>1</v>
      </c>
      <c r="Z5483" s="497">
        <f t="shared" ref="Z5483:Z5484" si="1177">J5483*Y5483*I5483/1000</f>
        <v>0.19592000000000001</v>
      </c>
    </row>
    <row r="5484" spans="1:26" s="497" customFormat="1" ht="17.399999999999999">
      <c r="A5484" s="547"/>
      <c r="B5484" s="549" t="s">
        <v>564</v>
      </c>
      <c r="C5484" s="547"/>
      <c r="D5484" s="547"/>
      <c r="E5484" s="547"/>
      <c r="F5484" s="549"/>
      <c r="G5484" s="883" t="s">
        <v>21</v>
      </c>
      <c r="H5484" s="883" t="s">
        <v>178</v>
      </c>
      <c r="I5484" s="1884">
        <v>31.6</v>
      </c>
      <c r="J5484" s="884">
        <v>8.3000000000000007</v>
      </c>
      <c r="K5484" s="885">
        <v>5</v>
      </c>
      <c r="L5484" s="886">
        <f t="shared" si="1175"/>
        <v>1.3114000000000001</v>
      </c>
      <c r="M5484" s="648"/>
      <c r="N5484" s="567"/>
      <c r="O5484" s="549"/>
      <c r="P5484" s="549"/>
      <c r="Q5484" s="1059"/>
      <c r="R5484" s="1059"/>
      <c r="S5484" s="497">
        <v>1</v>
      </c>
      <c r="T5484" s="126">
        <f>J5484*S5484*I5484/1000</f>
        <v>0.26228000000000001</v>
      </c>
      <c r="Y5484" s="497">
        <v>4</v>
      </c>
      <c r="Z5484" s="497">
        <f t="shared" si="1177"/>
        <v>1.0491200000000001</v>
      </c>
    </row>
    <row r="5485" spans="1:26" s="497" customFormat="1" ht="17.399999999999999">
      <c r="A5485" s="547"/>
      <c r="B5485" s="752"/>
      <c r="C5485" s="547"/>
      <c r="D5485" s="547"/>
      <c r="E5485" s="547"/>
      <c r="F5485" s="549"/>
      <c r="G5485" s="883"/>
      <c r="H5485" s="887"/>
      <c r="I5485" s="1892"/>
      <c r="J5485" s="888"/>
      <c r="K5485" s="889">
        <f t="shared" ref="K5485" si="1178">SUM(K5483:K5484)</f>
        <v>9</v>
      </c>
      <c r="L5485" s="890">
        <f>SUM(L5483:L5484)</f>
        <v>2.0950800000000003</v>
      </c>
      <c r="M5485" s="648"/>
      <c r="N5485" s="567"/>
      <c r="O5485" s="549"/>
      <c r="P5485" s="549"/>
      <c r="Q5485" s="549"/>
      <c r="R5485" s="549"/>
      <c r="S5485" s="889">
        <f>SUM(S5483:S5484)</f>
        <v>1</v>
      </c>
      <c r="T5485" s="890">
        <f>SUM(T5483:T5484)</f>
        <v>0.26228000000000001</v>
      </c>
      <c r="U5485" s="889">
        <f>SUM(U5483:U5484)</f>
        <v>1</v>
      </c>
      <c r="V5485" s="890">
        <f>SUM(V5483:V5484)</f>
        <v>0.19592000000000001</v>
      </c>
      <c r="Y5485" s="889">
        <f>SUM(Y5483:Y5484)</f>
        <v>5</v>
      </c>
      <c r="Z5485" s="890">
        <f>SUM(Z5483:Z5484)</f>
        <v>1.2450400000000001</v>
      </c>
    </row>
    <row r="5486" spans="1:26" s="497" customFormat="1" ht="17.399999999999999">
      <c r="A5486" s="547"/>
      <c r="B5486" s="752"/>
      <c r="C5486" s="547"/>
      <c r="D5486" s="547"/>
      <c r="E5486" s="547"/>
      <c r="F5486" s="549"/>
      <c r="G5486" s="549"/>
      <c r="H5486" s="549"/>
      <c r="I5486" s="558"/>
      <c r="J5486" s="567"/>
      <c r="K5486" s="648">
        <f>SUM(K5453:K5485)/2</f>
        <v>414</v>
      </c>
      <c r="L5486" s="567">
        <f>SUM(L5453:L5485)/2</f>
        <v>127.79355999999999</v>
      </c>
      <c r="M5486" s="648">
        <f>SUM(M5453:M5485)/2</f>
        <v>37</v>
      </c>
      <c r="N5486" s="567">
        <f>SUM(N5453:N5485)/2</f>
        <v>10.124639999999999</v>
      </c>
      <c r="O5486" s="549"/>
      <c r="P5486" s="549"/>
      <c r="Q5486" s="549"/>
      <c r="R5486" s="549"/>
      <c r="S5486" s="648">
        <f>SUM(S5453:S5485)/2</f>
        <v>207</v>
      </c>
      <c r="T5486" s="567">
        <f>SUM(T5453:T5485)/2</f>
        <v>62.359439999999992</v>
      </c>
      <c r="U5486" s="648">
        <f>SUM(U5453:U5485)/2</f>
        <v>97</v>
      </c>
      <c r="V5486" s="567">
        <f>SUM(V5453:V5485)/2</f>
        <v>31.0944</v>
      </c>
      <c r="Y5486" s="648">
        <f>SUM(Y5453:Y5485)/2</f>
        <v>32</v>
      </c>
      <c r="Z5486" s="567">
        <f>SUM(Z5453:Z5485)/2</f>
        <v>10.2858</v>
      </c>
    </row>
    <row r="5487" spans="1:26" s="497" customFormat="1" ht="17.399999999999999">
      <c r="A5487" s="547"/>
      <c r="B5487" s="752"/>
      <c r="C5487" s="547"/>
      <c r="D5487" s="547"/>
      <c r="E5487" s="547"/>
      <c r="F5487" s="549"/>
      <c r="G5487" s="549"/>
      <c r="H5487" s="549"/>
      <c r="I5487" s="558"/>
      <c r="J5487" s="567"/>
      <c r="K5487" s="648"/>
      <c r="L5487" s="567"/>
      <c r="M5487" s="549"/>
      <c r="N5487" s="549"/>
      <c r="O5487" s="549"/>
      <c r="P5487" s="549"/>
      <c r="Q5487" s="1059"/>
      <c r="R5487" s="1059"/>
    </row>
    <row r="5488" spans="1:26" s="497" customFormat="1" ht="17.399999999999999">
      <c r="A5488" s="547"/>
      <c r="B5488" s="752"/>
      <c r="C5488" s="547"/>
      <c r="D5488" s="547"/>
      <c r="E5488" s="547"/>
      <c r="F5488" s="549"/>
      <c r="G5488" s="549"/>
      <c r="H5488" s="549"/>
      <c r="I5488" s="558"/>
      <c r="J5488" s="567"/>
      <c r="K5488" s="648"/>
      <c r="L5488" s="567"/>
      <c r="M5488" s="549"/>
      <c r="N5488" s="549"/>
      <c r="O5488" s="549"/>
      <c r="P5488" s="549"/>
      <c r="Q5488" s="1059"/>
      <c r="R5488" s="1059"/>
    </row>
    <row r="5489" spans="1:23" ht="17.399999999999999">
      <c r="A5489" s="547" t="s">
        <v>523</v>
      </c>
      <c r="B5489" s="547" t="s">
        <v>496</v>
      </c>
      <c r="C5489" s="547" t="s">
        <v>19</v>
      </c>
      <c r="D5489" s="547" t="s">
        <v>20</v>
      </c>
      <c r="E5489" s="547" t="s">
        <v>359</v>
      </c>
      <c r="F5489" s="549">
        <v>16</v>
      </c>
      <c r="G5489" s="549" t="s">
        <v>21</v>
      </c>
      <c r="H5489" s="599" t="s">
        <v>518</v>
      </c>
      <c r="I5489" s="558">
        <v>29.5</v>
      </c>
      <c r="J5489" s="567">
        <v>9.75</v>
      </c>
      <c r="K5489" s="648">
        <v>49</v>
      </c>
      <c r="L5489" s="552">
        <f>(I5489*J5489*K5489/1000)</f>
        <v>14.093624999999999</v>
      </c>
      <c r="M5489" s="549">
        <v>2</v>
      </c>
      <c r="N5489" s="549">
        <f t="shared" ref="N5489" si="1179">J5489*M5489*I5489/1000</f>
        <v>0.57525000000000004</v>
      </c>
      <c r="O5489" s="549"/>
      <c r="P5489" s="549"/>
      <c r="Q5489" s="1059"/>
      <c r="R5489" s="1059"/>
      <c r="S5489">
        <f>7+7+1</f>
        <v>15</v>
      </c>
      <c r="T5489" s="126">
        <f t="shared" ref="T5489:T5491" si="1180">J5489*S5489*I5489/1000</f>
        <v>4.3143750000000001</v>
      </c>
      <c r="U5489" s="432">
        <v>9.6</v>
      </c>
      <c r="V5489">
        <v>3</v>
      </c>
      <c r="W5489" s="497" t="s">
        <v>609</v>
      </c>
    </row>
    <row r="5490" spans="1:23" ht="17.399999999999999">
      <c r="A5490" s="550"/>
      <c r="B5490" s="549" t="s">
        <v>277</v>
      </c>
      <c r="C5490" s="550"/>
      <c r="D5490" s="550"/>
      <c r="E5490" s="548"/>
      <c r="F5490" s="549"/>
      <c r="G5490" s="549" t="s">
        <v>21</v>
      </c>
      <c r="H5490" s="549" t="s">
        <v>518</v>
      </c>
      <c r="I5490" s="558">
        <v>29.5</v>
      </c>
      <c r="J5490" s="567">
        <v>11</v>
      </c>
      <c r="K5490" s="648">
        <v>39</v>
      </c>
      <c r="L5490" s="552">
        <f>(I5490*J5490*K5490/1000)</f>
        <v>12.6555</v>
      </c>
      <c r="M5490" s="549"/>
      <c r="N5490" s="549"/>
      <c r="O5490" s="549"/>
      <c r="P5490" s="549"/>
      <c r="Q5490" s="1059"/>
      <c r="R5490" s="1059"/>
      <c r="S5490" s="497">
        <f>2+7+7+7</f>
        <v>23</v>
      </c>
      <c r="T5490" s="126">
        <f t="shared" si="1180"/>
        <v>7.4634999999999998</v>
      </c>
      <c r="U5490" s="432">
        <v>9.5</v>
      </c>
      <c r="V5490">
        <v>2</v>
      </c>
      <c r="W5490" s="497" t="s">
        <v>669</v>
      </c>
    </row>
    <row r="5491" spans="1:23" ht="17.399999999999999">
      <c r="A5491" s="549"/>
      <c r="B5491" s="549"/>
      <c r="C5491" s="549"/>
      <c r="D5491" s="549"/>
      <c r="E5491" s="549"/>
      <c r="F5491" s="549"/>
      <c r="G5491" s="549" t="s">
        <v>21</v>
      </c>
      <c r="H5491" s="549" t="s">
        <v>518</v>
      </c>
      <c r="I5491" s="558">
        <v>29.5</v>
      </c>
      <c r="J5491" s="567">
        <v>12</v>
      </c>
      <c r="K5491" s="648">
        <v>10</v>
      </c>
      <c r="L5491" s="552">
        <f>(I5491*J5491*K5491/1000)</f>
        <v>3.54</v>
      </c>
      <c r="M5491" s="549"/>
      <c r="N5491" s="549"/>
      <c r="O5491" s="549"/>
      <c r="P5491" s="549"/>
      <c r="Q5491" s="1059"/>
      <c r="R5491" s="1059"/>
      <c r="S5491">
        <v>7</v>
      </c>
      <c r="T5491" s="126">
        <f t="shared" si="1180"/>
        <v>2.4780000000000002</v>
      </c>
      <c r="U5491" s="432">
        <v>9.3000000000000007</v>
      </c>
      <c r="V5491">
        <v>3</v>
      </c>
    </row>
    <row r="5492" spans="1:23" ht="17.399999999999999">
      <c r="A5492" s="549"/>
      <c r="B5492" s="549"/>
      <c r="C5492" s="549"/>
      <c r="D5492" s="549"/>
      <c r="E5492" s="549"/>
      <c r="F5492" s="549"/>
      <c r="G5492" s="549"/>
      <c r="H5492" s="549"/>
      <c r="I5492" s="558"/>
      <c r="J5492" s="567"/>
      <c r="K5492" s="648">
        <f t="shared" ref="K5492:N5492" si="1181">SUM(K5489:K5491)</f>
        <v>98</v>
      </c>
      <c r="L5492" s="567">
        <f t="shared" si="1181"/>
        <v>30.289124999999999</v>
      </c>
      <c r="M5492" s="648">
        <f t="shared" si="1181"/>
        <v>2</v>
      </c>
      <c r="N5492" s="567">
        <f t="shared" si="1181"/>
        <v>0.57525000000000004</v>
      </c>
      <c r="O5492" s="549"/>
      <c r="P5492" s="549"/>
      <c r="Q5492" s="549"/>
      <c r="R5492" s="549"/>
      <c r="S5492" s="648">
        <f t="shared" ref="S5492:T5492" si="1182">SUM(S5489:S5491)</f>
        <v>45</v>
      </c>
      <c r="T5492" s="567">
        <f t="shared" si="1182"/>
        <v>14.255875</v>
      </c>
      <c r="U5492" s="432">
        <v>9</v>
      </c>
      <c r="V5492">
        <v>1</v>
      </c>
    </row>
    <row r="5493" spans="1:23" ht="17.399999999999999">
      <c r="A5493" s="549"/>
      <c r="B5493" s="549"/>
      <c r="C5493" s="549"/>
      <c r="D5493" s="549"/>
      <c r="E5493" s="549"/>
      <c r="F5493" s="549"/>
      <c r="G5493" s="549"/>
      <c r="H5493" s="549"/>
      <c r="I5493" s="560"/>
      <c r="J5493" s="549"/>
      <c r="K5493" s="561"/>
      <c r="L5493" s="560"/>
      <c r="M5493" s="549"/>
      <c r="N5493" s="549"/>
      <c r="O5493" s="549"/>
      <c r="P5493" s="549"/>
      <c r="Q5493" s="1059"/>
      <c r="R5493" s="1059"/>
      <c r="U5493" s="432">
        <v>8.8000000000000007</v>
      </c>
      <c r="V5493">
        <v>1</v>
      </c>
    </row>
    <row r="5494" spans="1:23" ht="17.399999999999999">
      <c r="A5494" s="547" t="s">
        <v>445</v>
      </c>
      <c r="B5494" s="547" t="s">
        <v>488</v>
      </c>
      <c r="C5494" s="547" t="s">
        <v>19</v>
      </c>
      <c r="D5494" s="547" t="s">
        <v>20</v>
      </c>
      <c r="E5494" s="547" t="s">
        <v>47</v>
      </c>
      <c r="F5494" s="549">
        <v>16</v>
      </c>
      <c r="G5494" s="549" t="s">
        <v>21</v>
      </c>
      <c r="H5494" s="599" t="s">
        <v>518</v>
      </c>
      <c r="I5494" s="558">
        <v>29.5</v>
      </c>
      <c r="J5494" s="567">
        <v>11</v>
      </c>
      <c r="K5494" s="648">
        <v>5</v>
      </c>
      <c r="L5494" s="552">
        <f>(I5494*J5494*K5494/1000)</f>
        <v>1.6225000000000001</v>
      </c>
      <c r="M5494" s="549"/>
      <c r="N5494" s="549"/>
      <c r="O5494" s="567">
        <v>10.7</v>
      </c>
      <c r="P5494" s="549"/>
      <c r="Q5494" s="1059"/>
      <c r="R5494" s="1059"/>
      <c r="S5494">
        <v>4</v>
      </c>
      <c r="T5494" s="126">
        <f>J5494*S5494*I5494/1000</f>
        <v>1.298</v>
      </c>
    </row>
    <row r="5495" spans="1:23" ht="17.399999999999999">
      <c r="A5495" s="547"/>
      <c r="B5495" s="752" t="s">
        <v>439</v>
      </c>
      <c r="C5495" s="547"/>
      <c r="D5495" s="547"/>
      <c r="E5495" s="547"/>
      <c r="F5495" s="549"/>
      <c r="G5495" s="549"/>
      <c r="H5495" s="549"/>
      <c r="I5495" s="558"/>
      <c r="J5495" s="567"/>
      <c r="K5495" s="648">
        <f t="shared" ref="K5495" si="1183">SUM(K5494)</f>
        <v>5</v>
      </c>
      <c r="L5495" s="567">
        <f>SUM(L5494)</f>
        <v>1.6225000000000001</v>
      </c>
      <c r="M5495" s="549"/>
      <c r="N5495" s="549"/>
      <c r="O5495" s="549"/>
      <c r="P5495" s="549"/>
      <c r="Q5495" s="549"/>
      <c r="R5495" s="549"/>
      <c r="S5495" s="648">
        <f t="shared" ref="S5495" si="1184">SUM(S5494)</f>
        <v>4</v>
      </c>
      <c r="T5495" s="567">
        <f>SUM(T5494)</f>
        <v>1.298</v>
      </c>
    </row>
    <row r="5496" spans="1:23" s="497" customFormat="1" ht="17.399999999999999">
      <c r="A5496" s="547"/>
      <c r="B5496" s="752"/>
      <c r="C5496" s="547"/>
      <c r="D5496" s="547"/>
      <c r="E5496" s="547"/>
      <c r="F5496" s="549"/>
      <c r="G5496" s="549"/>
      <c r="H5496" s="549"/>
      <c r="I5496" s="558"/>
      <c r="J5496" s="567"/>
      <c r="K5496" s="648">
        <f>SUM(K5489:K5495)/2</f>
        <v>103</v>
      </c>
      <c r="L5496" s="567">
        <f>SUM(L5489:L5495)/2</f>
        <v>31.911625000000001</v>
      </c>
      <c r="M5496" s="648">
        <f>SUM(M5489:M5495)/2</f>
        <v>2</v>
      </c>
      <c r="N5496" s="567">
        <f>SUM(N5489:N5495)/2</f>
        <v>0.57525000000000004</v>
      </c>
      <c r="O5496" s="549"/>
      <c r="P5496" s="549"/>
      <c r="Q5496" s="1059"/>
      <c r="R5496" s="1059"/>
    </row>
    <row r="5497" spans="1:23" s="497" customFormat="1" ht="17.399999999999999">
      <c r="A5497" s="547"/>
      <c r="B5497" s="752"/>
      <c r="C5497" s="547"/>
      <c r="D5497" s="547"/>
      <c r="E5497" s="547"/>
      <c r="F5497" s="549"/>
      <c r="G5497" s="549"/>
      <c r="H5497" s="549"/>
      <c r="I5497" s="558"/>
      <c r="J5497" s="567"/>
      <c r="K5497" s="648"/>
      <c r="L5497" s="567"/>
      <c r="M5497" s="549"/>
      <c r="N5497" s="549"/>
      <c r="O5497" s="549"/>
      <c r="P5497" s="549"/>
      <c r="Q5497" s="1059"/>
      <c r="R5497" s="1059"/>
    </row>
    <row r="5498" spans="1:23" s="497" customFormat="1" ht="17.399999999999999">
      <c r="A5498" s="547"/>
      <c r="B5498" s="752"/>
      <c r="C5498" s="547"/>
      <c r="D5498" s="547"/>
      <c r="E5498" s="547"/>
      <c r="F5498" s="549"/>
      <c r="G5498" s="549"/>
      <c r="H5498" s="549"/>
      <c r="I5498" s="558"/>
      <c r="J5498" s="567"/>
      <c r="K5498" s="648"/>
      <c r="L5498" s="567"/>
      <c r="M5498" s="549"/>
      <c r="N5498" s="549"/>
      <c r="O5498" s="549"/>
      <c r="P5498" s="549"/>
      <c r="Q5498" s="1059"/>
      <c r="R5498" s="1059"/>
    </row>
    <row r="5499" spans="1:23" ht="17.399999999999999">
      <c r="A5499" s="547" t="s">
        <v>445</v>
      </c>
      <c r="B5499" s="547" t="s">
        <v>516</v>
      </c>
      <c r="C5499" s="547" t="s">
        <v>19</v>
      </c>
      <c r="D5499" s="547" t="s">
        <v>20</v>
      </c>
      <c r="E5499" s="547" t="s">
        <v>264</v>
      </c>
      <c r="F5499" s="549">
        <v>16</v>
      </c>
      <c r="G5499" s="549" t="s">
        <v>21</v>
      </c>
      <c r="H5499" s="599" t="s">
        <v>177</v>
      </c>
      <c r="I5499" s="558">
        <v>27.3</v>
      </c>
      <c r="J5499" s="567">
        <v>8.5</v>
      </c>
      <c r="K5499" s="648">
        <v>10</v>
      </c>
      <c r="L5499" s="552">
        <f>(I5499*J5499*K5499/1000)</f>
        <v>2.3205</v>
      </c>
      <c r="M5499" s="567"/>
      <c r="N5499" s="648"/>
      <c r="O5499" s="549"/>
      <c r="P5499" s="549"/>
      <c r="Q5499" s="1059"/>
      <c r="R5499" s="1059"/>
      <c r="S5499">
        <v>10</v>
      </c>
      <c r="T5499" s="126">
        <f>J5499*S5499*I5499/1000</f>
        <v>2.3205</v>
      </c>
      <c r="U5499" s="497" t="s">
        <v>610</v>
      </c>
    </row>
    <row r="5500" spans="1:23" ht="17.399999999999999">
      <c r="A5500" s="549"/>
      <c r="B5500" s="549" t="s">
        <v>421</v>
      </c>
      <c r="C5500" s="549"/>
      <c r="D5500" s="549"/>
      <c r="E5500" s="549"/>
      <c r="F5500" s="549"/>
      <c r="G5500" s="549"/>
      <c r="H5500" s="549"/>
      <c r="I5500" s="558"/>
      <c r="J5500" s="567"/>
      <c r="K5500" s="648">
        <f>SUM(K5499:K5499)</f>
        <v>10</v>
      </c>
      <c r="L5500" s="567">
        <f>SUM(L5499:L5499)</f>
        <v>2.3205</v>
      </c>
      <c r="M5500" s="549"/>
      <c r="N5500" s="549"/>
      <c r="O5500" s="549"/>
      <c r="P5500" s="549"/>
      <c r="Q5500" s="549"/>
      <c r="R5500" s="549"/>
      <c r="S5500" s="648">
        <f>SUM(S5499:S5499)</f>
        <v>10</v>
      </c>
      <c r="T5500" s="567">
        <f>SUM(T5499:T5499)</f>
        <v>2.3205</v>
      </c>
    </row>
    <row r="5501" spans="1:23" s="497" customFormat="1" ht="17.399999999999999">
      <c r="A5501" s="549"/>
      <c r="B5501" s="549"/>
      <c r="C5501" s="549"/>
      <c r="D5501" s="549"/>
      <c r="E5501" s="549"/>
      <c r="F5501" s="549"/>
      <c r="G5501" s="549"/>
      <c r="H5501" s="549"/>
      <c r="I5501" s="558"/>
      <c r="J5501" s="567"/>
      <c r="K5501" s="648"/>
      <c r="L5501" s="567"/>
      <c r="M5501" s="549"/>
      <c r="N5501" s="549"/>
      <c r="O5501" s="549"/>
      <c r="P5501" s="549"/>
      <c r="Q5501" s="1059"/>
      <c r="R5501" s="1059"/>
    </row>
    <row r="5502" spans="1:23" ht="17.399999999999999">
      <c r="A5502" s="547" t="s">
        <v>523</v>
      </c>
      <c r="B5502" s="547" t="s">
        <v>496</v>
      </c>
      <c r="C5502" s="547" t="s">
        <v>19</v>
      </c>
      <c r="D5502" s="547" t="s">
        <v>20</v>
      </c>
      <c r="E5502" s="547" t="s">
        <v>359</v>
      </c>
      <c r="F5502" s="549">
        <v>16</v>
      </c>
      <c r="G5502" s="549" t="s">
        <v>21</v>
      </c>
      <c r="H5502" s="599" t="s">
        <v>177</v>
      </c>
      <c r="I5502" s="558">
        <v>27.3</v>
      </c>
      <c r="J5502" s="567">
        <v>8.8000000000000007</v>
      </c>
      <c r="K5502" s="648">
        <v>36</v>
      </c>
      <c r="L5502" s="552">
        <f>(I5502*J5502*K5502/1000)</f>
        <v>8.6486400000000021</v>
      </c>
      <c r="M5502" s="549"/>
      <c r="N5502" s="549"/>
      <c r="O5502" s="549"/>
      <c r="P5502" s="549"/>
      <c r="Q5502" s="1059"/>
      <c r="R5502" s="1059"/>
      <c r="S5502">
        <f>10+7+3</f>
        <v>20</v>
      </c>
      <c r="T5502" s="126">
        <f t="shared" ref="T5502:T5503" si="1185">J5502*S5502*I5502/1000</f>
        <v>4.8048000000000002</v>
      </c>
      <c r="U5502" s="497" t="s">
        <v>610</v>
      </c>
    </row>
    <row r="5503" spans="1:23" ht="17.399999999999999">
      <c r="A5503" s="550"/>
      <c r="B5503" s="549" t="s">
        <v>277</v>
      </c>
      <c r="C5503" s="550"/>
      <c r="D5503" s="550"/>
      <c r="E5503" s="548"/>
      <c r="F5503" s="549"/>
      <c r="G5503" s="549" t="s">
        <v>21</v>
      </c>
      <c r="H5503" s="549" t="s">
        <v>177</v>
      </c>
      <c r="I5503" s="558">
        <v>27.3</v>
      </c>
      <c r="J5503" s="567">
        <v>9.25</v>
      </c>
      <c r="K5503" s="648">
        <v>10</v>
      </c>
      <c r="L5503" s="552">
        <f>(I5503*J5503*K5503/1000)</f>
        <v>2.5252500000000002</v>
      </c>
      <c r="M5503" s="549"/>
      <c r="N5503" s="549"/>
      <c r="O5503" s="549"/>
      <c r="P5503" s="549"/>
      <c r="Q5503" s="1059"/>
      <c r="R5503" s="1059"/>
      <c r="S5503">
        <v>5</v>
      </c>
      <c r="T5503" s="126">
        <f t="shared" si="1185"/>
        <v>1.2626250000000001</v>
      </c>
    </row>
    <row r="5504" spans="1:23" ht="17.399999999999999">
      <c r="A5504" s="549"/>
      <c r="B5504" s="549"/>
      <c r="C5504" s="549"/>
      <c r="D5504" s="549"/>
      <c r="E5504" s="549"/>
      <c r="F5504" s="549"/>
      <c r="G5504" s="549"/>
      <c r="H5504" s="549"/>
      <c r="I5504" s="558"/>
      <c r="J5504" s="567"/>
      <c r="K5504" s="648">
        <f t="shared" ref="K5504:L5504" si="1186">SUM(K5502:K5503)</f>
        <v>46</v>
      </c>
      <c r="L5504" s="567">
        <f t="shared" si="1186"/>
        <v>11.173890000000002</v>
      </c>
      <c r="M5504" s="549"/>
      <c r="N5504" s="549"/>
      <c r="O5504" s="549"/>
      <c r="P5504" s="549"/>
      <c r="Q5504" s="549"/>
      <c r="R5504" s="549"/>
      <c r="S5504" s="648">
        <f t="shared" ref="S5504:T5504" si="1187">SUM(S5502:S5503)</f>
        <v>25</v>
      </c>
      <c r="T5504" s="567">
        <f t="shared" si="1187"/>
        <v>6.0674250000000001</v>
      </c>
    </row>
    <row r="5505" spans="1:23" s="497" customFormat="1" ht="17.399999999999999">
      <c r="A5505" s="549"/>
      <c r="B5505" s="549"/>
      <c r="C5505" s="549"/>
      <c r="D5505" s="549"/>
      <c r="E5505" s="549"/>
      <c r="F5505" s="549"/>
      <c r="G5505" s="549"/>
      <c r="H5505" s="549"/>
      <c r="I5505" s="558"/>
      <c r="J5505" s="567"/>
      <c r="K5505" s="648"/>
      <c r="L5505" s="567"/>
      <c r="M5505" s="549"/>
      <c r="N5505" s="549"/>
      <c r="O5505" s="549"/>
      <c r="P5505" s="549"/>
      <c r="Q5505" s="1059"/>
      <c r="R5505" s="1059"/>
    </row>
    <row r="5506" spans="1:23" ht="17.399999999999999">
      <c r="A5506" s="547" t="s">
        <v>445</v>
      </c>
      <c r="B5506" s="547" t="s">
        <v>488</v>
      </c>
      <c r="C5506" s="547" t="s">
        <v>19</v>
      </c>
      <c r="D5506" s="547" t="s">
        <v>20</v>
      </c>
      <c r="E5506" s="547" t="s">
        <v>47</v>
      </c>
      <c r="F5506" s="549">
        <v>16</v>
      </c>
      <c r="G5506" s="549" t="s">
        <v>21</v>
      </c>
      <c r="H5506" s="599" t="s">
        <v>177</v>
      </c>
      <c r="I5506" s="558">
        <v>27.3</v>
      </c>
      <c r="J5506" s="567">
        <v>6.85</v>
      </c>
      <c r="K5506" s="648">
        <v>15</v>
      </c>
      <c r="L5506" s="552">
        <f t="shared" ref="L5506:L5509" si="1188">(I5506*J5506*K5506/1000)</f>
        <v>2.805075</v>
      </c>
      <c r="M5506" s="549"/>
      <c r="N5506" s="549"/>
      <c r="O5506" s="549"/>
      <c r="P5506" s="549"/>
      <c r="Q5506" s="1059"/>
      <c r="R5506" s="1059"/>
      <c r="S5506">
        <f>12+1</f>
        <v>13</v>
      </c>
      <c r="T5506" s="126">
        <f t="shared" ref="T5506:T5509" si="1189">J5506*S5506*I5506/1000</f>
        <v>2.4310650000000003</v>
      </c>
      <c r="U5506" s="497" t="s">
        <v>610</v>
      </c>
    </row>
    <row r="5507" spans="1:23" ht="17.399999999999999">
      <c r="A5507" s="547"/>
      <c r="B5507" s="752" t="s">
        <v>439</v>
      </c>
      <c r="C5507" s="547"/>
      <c r="D5507" s="547"/>
      <c r="E5507" s="547"/>
      <c r="F5507" s="549"/>
      <c r="G5507" s="549" t="s">
        <v>21</v>
      </c>
      <c r="H5507" s="549" t="s">
        <v>177</v>
      </c>
      <c r="I5507" s="558">
        <v>27.3</v>
      </c>
      <c r="J5507" s="567">
        <v>10</v>
      </c>
      <c r="K5507" s="648">
        <v>7</v>
      </c>
      <c r="L5507" s="552">
        <f t="shared" si="1188"/>
        <v>1.911</v>
      </c>
      <c r="M5507" s="549"/>
      <c r="N5507" s="549"/>
      <c r="O5507" s="549"/>
      <c r="P5507" s="549"/>
      <c r="Q5507" s="1059"/>
      <c r="R5507" s="1059"/>
      <c r="S5507">
        <v>7</v>
      </c>
      <c r="T5507" s="126">
        <f t="shared" si="1189"/>
        <v>1.911</v>
      </c>
    </row>
    <row r="5508" spans="1:23" ht="17.399999999999999">
      <c r="A5508" s="549"/>
      <c r="B5508" s="549"/>
      <c r="C5508" s="549"/>
      <c r="D5508" s="549"/>
      <c r="E5508" s="549"/>
      <c r="F5508" s="549"/>
      <c r="G5508" s="549" t="s">
        <v>21</v>
      </c>
      <c r="H5508" s="549" t="s">
        <v>177</v>
      </c>
      <c r="I5508" s="558">
        <v>27.3</v>
      </c>
      <c r="J5508" s="567">
        <v>10.8</v>
      </c>
      <c r="K5508" s="648">
        <v>8</v>
      </c>
      <c r="L5508" s="552">
        <f t="shared" si="1188"/>
        <v>2.3587200000000004</v>
      </c>
      <c r="M5508" s="549"/>
      <c r="N5508" s="549"/>
      <c r="O5508" s="549"/>
      <c r="P5508" s="549"/>
      <c r="Q5508" s="1059"/>
      <c r="R5508" s="1059"/>
      <c r="S5508">
        <v>8</v>
      </c>
      <c r="T5508" s="126">
        <f t="shared" si="1189"/>
        <v>2.3587200000000004</v>
      </c>
    </row>
    <row r="5509" spans="1:23" ht="17.399999999999999">
      <c r="A5509" s="549"/>
      <c r="B5509" s="549"/>
      <c r="C5509" s="549"/>
      <c r="D5509" s="549"/>
      <c r="E5509" s="549"/>
      <c r="F5509" s="549"/>
      <c r="G5509" s="549" t="s">
        <v>21</v>
      </c>
      <c r="H5509" s="549" t="s">
        <v>177</v>
      </c>
      <c r="I5509" s="558">
        <v>27.3</v>
      </c>
      <c r="J5509" s="567">
        <v>11.7</v>
      </c>
      <c r="K5509" s="648">
        <v>15</v>
      </c>
      <c r="L5509" s="552">
        <f t="shared" si="1188"/>
        <v>4.79115</v>
      </c>
      <c r="M5509" s="549"/>
      <c r="N5509" s="549"/>
      <c r="O5509" s="549"/>
      <c r="P5509" s="549"/>
      <c r="Q5509" s="1059"/>
      <c r="R5509" s="1059"/>
      <c r="S5509">
        <f>8+4</f>
        <v>12</v>
      </c>
      <c r="T5509" s="126">
        <f t="shared" si="1189"/>
        <v>3.8329199999999997</v>
      </c>
    </row>
    <row r="5510" spans="1:23" ht="17.399999999999999">
      <c r="A5510" s="549"/>
      <c r="B5510" s="549"/>
      <c r="C5510" s="549"/>
      <c r="D5510" s="549"/>
      <c r="E5510" s="549"/>
      <c r="F5510" s="549"/>
      <c r="G5510" s="549"/>
      <c r="H5510" s="549"/>
      <c r="I5510" s="558"/>
      <c r="J5510" s="567"/>
      <c r="K5510" s="648">
        <f t="shared" ref="K5510:L5510" si="1190">SUM(K5506:K5509)</f>
        <v>45</v>
      </c>
      <c r="L5510" s="567">
        <f t="shared" si="1190"/>
        <v>11.865945</v>
      </c>
      <c r="M5510" s="549"/>
      <c r="N5510" s="549"/>
      <c r="O5510" s="549"/>
      <c r="P5510" s="549"/>
      <c r="Q5510" s="549"/>
      <c r="R5510" s="549"/>
      <c r="S5510" s="648">
        <f t="shared" ref="S5510:T5510" si="1191">SUM(S5506:S5509)</f>
        <v>40</v>
      </c>
      <c r="T5510" s="567">
        <f t="shared" si="1191"/>
        <v>10.533704999999999</v>
      </c>
    </row>
    <row r="5511" spans="1:23" s="497" customFormat="1" ht="17.399999999999999">
      <c r="A5511" s="549"/>
      <c r="B5511" s="549"/>
      <c r="C5511" s="549"/>
      <c r="D5511" s="549"/>
      <c r="E5511" s="549"/>
      <c r="F5511" s="549"/>
      <c r="G5511" s="549"/>
      <c r="H5511" s="549"/>
      <c r="I5511" s="558"/>
      <c r="J5511" s="567"/>
      <c r="K5511" s="648"/>
      <c r="L5511" s="567"/>
      <c r="M5511" s="549"/>
      <c r="N5511" s="549"/>
      <c r="O5511" s="549"/>
      <c r="P5511" s="549"/>
      <c r="Q5511" s="1059"/>
      <c r="R5511" s="1059"/>
    </row>
    <row r="5512" spans="1:23" ht="17.399999999999999">
      <c r="A5512" s="547" t="s">
        <v>445</v>
      </c>
      <c r="B5512" s="547" t="s">
        <v>519</v>
      </c>
      <c r="C5512" s="547" t="s">
        <v>19</v>
      </c>
      <c r="D5512" s="547" t="s">
        <v>20</v>
      </c>
      <c r="E5512" s="547" t="s">
        <v>57</v>
      </c>
      <c r="F5512" s="549">
        <v>16</v>
      </c>
      <c r="G5512" s="549" t="s">
        <v>21</v>
      </c>
      <c r="H5512" s="599" t="s">
        <v>177</v>
      </c>
      <c r="I5512" s="558">
        <v>27.3</v>
      </c>
      <c r="J5512" s="567">
        <v>10.8</v>
      </c>
      <c r="K5512" s="648">
        <v>56</v>
      </c>
      <c r="L5512" s="552">
        <f t="shared" ref="L5512:L5513" si="1192">(I5512*J5512*K5512/1000)</f>
        <v>16.511040000000001</v>
      </c>
      <c r="M5512" s="549"/>
      <c r="N5512" s="549"/>
      <c r="O5512" s="549"/>
      <c r="P5512" s="549"/>
      <c r="Q5512" s="1059"/>
      <c r="R5512" s="1059"/>
      <c r="S5512">
        <f>7+7</f>
        <v>14</v>
      </c>
      <c r="T5512" s="126">
        <f t="shared" ref="T5512:T5513" si="1193">J5512*S5512*I5512/1000</f>
        <v>4.1277600000000003</v>
      </c>
    </row>
    <row r="5513" spans="1:23" ht="17.399999999999999">
      <c r="A5513" s="547"/>
      <c r="B5513" s="549" t="s">
        <v>423</v>
      </c>
      <c r="C5513" s="547"/>
      <c r="D5513" s="547"/>
      <c r="E5513" s="547"/>
      <c r="F5513" s="549"/>
      <c r="G5513" s="549" t="s">
        <v>21</v>
      </c>
      <c r="H5513" s="549" t="s">
        <v>177</v>
      </c>
      <c r="I5513" s="558">
        <v>27.3</v>
      </c>
      <c r="J5513" s="567">
        <v>11.7</v>
      </c>
      <c r="K5513" s="648">
        <v>6</v>
      </c>
      <c r="L5513" s="552">
        <f t="shared" si="1192"/>
        <v>1.9164599999999998</v>
      </c>
      <c r="M5513" s="549"/>
      <c r="N5513" s="549"/>
      <c r="O5513" s="549"/>
      <c r="P5513" s="549"/>
      <c r="Q5513" s="1059"/>
      <c r="R5513" s="1059"/>
      <c r="T5513" s="126">
        <f t="shared" si="1193"/>
        <v>0</v>
      </c>
    </row>
    <row r="5514" spans="1:23" ht="17.399999999999999">
      <c r="A5514" s="549"/>
      <c r="B5514" s="549"/>
      <c r="C5514" s="549"/>
      <c r="D5514" s="549"/>
      <c r="E5514" s="549"/>
      <c r="F5514" s="549"/>
      <c r="G5514" s="549"/>
      <c r="H5514" s="549"/>
      <c r="I5514" s="558"/>
      <c r="J5514" s="567"/>
      <c r="K5514" s="648">
        <f>SUM(K5512:K5513)</f>
        <v>62</v>
      </c>
      <c r="L5514" s="567">
        <f t="shared" ref="L5514" si="1194">SUM(L5512:L5513)</f>
        <v>18.427500000000002</v>
      </c>
      <c r="M5514" s="549"/>
      <c r="N5514" s="549"/>
      <c r="O5514" s="549"/>
      <c r="P5514" s="549"/>
      <c r="Q5514" s="549"/>
      <c r="R5514" s="549"/>
      <c r="S5514" s="648">
        <f>SUM(S5512:S5513)</f>
        <v>14</v>
      </c>
      <c r="T5514" s="567">
        <f t="shared" ref="T5514" si="1195">SUM(T5512:T5513)</f>
        <v>4.1277600000000003</v>
      </c>
    </row>
    <row r="5515" spans="1:23" s="497" customFormat="1" ht="17.399999999999999">
      <c r="A5515" s="549"/>
      <c r="B5515" s="549"/>
      <c r="C5515" s="549"/>
      <c r="D5515" s="549"/>
      <c r="E5515" s="549"/>
      <c r="F5515" s="549"/>
      <c r="G5515" s="549"/>
      <c r="H5515" s="549"/>
      <c r="I5515" s="558"/>
      <c r="J5515" s="567"/>
      <c r="K5515" s="648"/>
      <c r="L5515" s="567"/>
      <c r="M5515" s="549"/>
      <c r="N5515" s="549"/>
      <c r="O5515" s="549"/>
      <c r="P5515" s="549"/>
      <c r="Q5515" s="1059"/>
      <c r="R5515" s="1059"/>
    </row>
    <row r="5516" spans="1:23" ht="17.399999999999999">
      <c r="A5516" s="547" t="s">
        <v>445</v>
      </c>
      <c r="B5516" s="547" t="s">
        <v>487</v>
      </c>
      <c r="C5516" s="547" t="s">
        <v>19</v>
      </c>
      <c r="D5516" s="547" t="s">
        <v>20</v>
      </c>
      <c r="E5516" s="547" t="s">
        <v>47</v>
      </c>
      <c r="F5516" s="549">
        <v>16</v>
      </c>
      <c r="G5516" s="549" t="s">
        <v>21</v>
      </c>
      <c r="H5516" s="599" t="s">
        <v>177</v>
      </c>
      <c r="I5516" s="558">
        <v>27.3</v>
      </c>
      <c r="J5516" s="567">
        <v>6.85</v>
      </c>
      <c r="K5516" s="648">
        <v>4</v>
      </c>
      <c r="L5516" s="552">
        <f t="shared" ref="L5516:L5519" si="1196">(I5516*J5516*K5516/1000)</f>
        <v>0.74802000000000002</v>
      </c>
      <c r="M5516" s="549"/>
      <c r="N5516" s="549"/>
      <c r="O5516" s="549"/>
      <c r="P5516" s="549"/>
      <c r="Q5516" s="1059"/>
      <c r="R5516" s="1059"/>
      <c r="S5516">
        <v>4</v>
      </c>
      <c r="T5516" s="126">
        <f t="shared" ref="T5516:T5519" si="1197">J5516*S5516*I5516/1000</f>
        <v>0.74802000000000002</v>
      </c>
      <c r="U5516">
        <v>6</v>
      </c>
      <c r="V5516">
        <v>1</v>
      </c>
      <c r="W5516" s="497" t="s">
        <v>670</v>
      </c>
    </row>
    <row r="5517" spans="1:23" ht="17.399999999999999">
      <c r="A5517" s="547"/>
      <c r="B5517" s="752" t="s">
        <v>439</v>
      </c>
      <c r="C5517" s="547"/>
      <c r="D5517" s="547"/>
      <c r="E5517" s="547"/>
      <c r="F5517" s="549"/>
      <c r="G5517" s="549" t="s">
        <v>21</v>
      </c>
      <c r="H5517" s="549" t="s">
        <v>177</v>
      </c>
      <c r="I5517" s="558">
        <v>27.3</v>
      </c>
      <c r="J5517" s="567">
        <v>8.5</v>
      </c>
      <c r="K5517" s="648">
        <v>8</v>
      </c>
      <c r="L5517" s="552">
        <f t="shared" si="1196"/>
        <v>1.8564000000000001</v>
      </c>
      <c r="M5517" s="549"/>
      <c r="N5517" s="549"/>
      <c r="O5517" s="567">
        <v>7.6</v>
      </c>
      <c r="P5517" s="549"/>
      <c r="Q5517" s="1059"/>
      <c r="R5517" s="1059"/>
      <c r="S5517">
        <f>2+1+2</f>
        <v>5</v>
      </c>
      <c r="T5517" s="126">
        <f t="shared" si="1197"/>
        <v>1.16025</v>
      </c>
      <c r="U5517">
        <v>6.2</v>
      </c>
      <c r="V5517">
        <v>1</v>
      </c>
    </row>
    <row r="5518" spans="1:23" ht="17.399999999999999">
      <c r="A5518" s="549"/>
      <c r="B5518" s="549"/>
      <c r="C5518" s="549"/>
      <c r="D5518" s="549"/>
      <c r="E5518" s="549"/>
      <c r="F5518" s="549"/>
      <c r="G5518" s="549" t="s">
        <v>21</v>
      </c>
      <c r="H5518" s="549" t="s">
        <v>177</v>
      </c>
      <c r="I5518" s="558">
        <v>27.3</v>
      </c>
      <c r="J5518" s="567">
        <v>10</v>
      </c>
      <c r="K5518" s="648">
        <v>3</v>
      </c>
      <c r="L5518" s="552">
        <f t="shared" si="1196"/>
        <v>0.81899999999999995</v>
      </c>
      <c r="M5518" s="549"/>
      <c r="N5518" s="549"/>
      <c r="O5518" s="549"/>
      <c r="P5518" s="549"/>
      <c r="Q5518" s="1059"/>
      <c r="R5518" s="1059"/>
      <c r="S5518">
        <f>1+1</f>
        <v>2</v>
      </c>
      <c r="T5518" s="126">
        <f t="shared" si="1197"/>
        <v>0.54600000000000004</v>
      </c>
      <c r="U5518">
        <v>6.7</v>
      </c>
      <c r="V5518">
        <v>1</v>
      </c>
    </row>
    <row r="5519" spans="1:23" ht="17.399999999999999">
      <c r="A5519" s="549"/>
      <c r="B5519" s="549"/>
      <c r="C5519" s="549"/>
      <c r="D5519" s="549"/>
      <c r="E5519" s="549"/>
      <c r="F5519" s="549"/>
      <c r="G5519" s="549" t="s">
        <v>21</v>
      </c>
      <c r="H5519" s="549" t="s">
        <v>177</v>
      </c>
      <c r="I5519" s="558">
        <v>27.3</v>
      </c>
      <c r="J5519" s="567">
        <v>10.9</v>
      </c>
      <c r="K5519" s="648">
        <v>29</v>
      </c>
      <c r="L5519" s="552">
        <f t="shared" si="1196"/>
        <v>8.6295300000000008</v>
      </c>
      <c r="M5519" s="549"/>
      <c r="N5519" s="549"/>
      <c r="O5519" s="549"/>
      <c r="P5519" s="549"/>
      <c r="Q5519" s="1059"/>
      <c r="R5519" s="1059"/>
      <c r="S5519">
        <f>8+8+8</f>
        <v>24</v>
      </c>
      <c r="T5519" s="126">
        <f t="shared" si="1197"/>
        <v>7.1416800000000009</v>
      </c>
    </row>
    <row r="5520" spans="1:23" ht="17.399999999999999">
      <c r="A5520" s="549"/>
      <c r="B5520" s="549"/>
      <c r="C5520" s="549"/>
      <c r="D5520" s="549"/>
      <c r="E5520" s="549"/>
      <c r="F5520" s="549"/>
      <c r="G5520" s="549"/>
      <c r="H5520" s="549"/>
      <c r="I5520" s="558"/>
      <c r="J5520" s="567"/>
      <c r="K5520" s="648">
        <f>SUM(K5516:K5519)</f>
        <v>44</v>
      </c>
      <c r="L5520" s="567">
        <f>SUM(L5516:L5519)</f>
        <v>12.052950000000001</v>
      </c>
      <c r="M5520" s="549"/>
      <c r="N5520" s="549"/>
      <c r="O5520" s="549"/>
      <c r="P5520" s="549"/>
      <c r="Q5520" s="549"/>
      <c r="R5520" s="549"/>
      <c r="S5520" s="648">
        <f>SUM(S5516:S5519)</f>
        <v>35</v>
      </c>
      <c r="T5520" s="567">
        <f>SUM(T5516:T5519)</f>
        <v>9.595950000000002</v>
      </c>
    </row>
    <row r="5521" spans="1:27" s="497" customFormat="1" ht="17.399999999999999">
      <c r="A5521" s="549"/>
      <c r="B5521" s="549"/>
      <c r="C5521" s="549"/>
      <c r="D5521" s="549"/>
      <c r="E5521" s="549"/>
      <c r="F5521" s="549"/>
      <c r="G5521" s="549"/>
      <c r="H5521" s="549"/>
      <c r="I5521" s="558"/>
      <c r="J5521" s="567"/>
      <c r="K5521" s="648">
        <f>SUM(K5499:K5520)/2</f>
        <v>207</v>
      </c>
      <c r="L5521" s="567">
        <f>SUM(L5499:L5520)/2</f>
        <v>55.840785000000011</v>
      </c>
      <c r="M5521" s="549"/>
      <c r="N5521" s="549"/>
      <c r="O5521" s="549"/>
      <c r="P5521" s="549"/>
      <c r="Q5521" s="549"/>
      <c r="R5521" s="549"/>
      <c r="S5521" s="648">
        <f>SUM(S5499:S5520)/2</f>
        <v>124</v>
      </c>
      <c r="T5521" s="567">
        <f>SUM(T5499:T5520)/2</f>
        <v>32.645340000000004</v>
      </c>
    </row>
    <row r="5522" spans="1:27" s="497" customFormat="1" ht="17.399999999999999">
      <c r="A5522" s="549"/>
      <c r="B5522" s="549"/>
      <c r="C5522" s="549"/>
      <c r="D5522" s="549"/>
      <c r="E5522" s="549"/>
      <c r="F5522" s="549"/>
      <c r="G5522" s="549"/>
      <c r="H5522" s="549"/>
      <c r="I5522" s="558"/>
      <c r="J5522" s="567"/>
      <c r="K5522" s="648"/>
      <c r="L5522" s="567"/>
      <c r="M5522" s="549"/>
      <c r="N5522" s="549"/>
      <c r="O5522" s="549"/>
      <c r="P5522" s="549"/>
      <c r="Q5522" s="1059"/>
      <c r="R5522" s="1059"/>
    </row>
    <row r="5523" spans="1:27" s="497" customFormat="1" ht="17.399999999999999">
      <c r="A5523" s="549"/>
      <c r="B5523" s="549"/>
      <c r="C5523" s="549"/>
      <c r="D5523" s="549"/>
      <c r="E5523" s="549"/>
      <c r="F5523" s="549"/>
      <c r="G5523" s="549"/>
      <c r="H5523" s="549"/>
      <c r="I5523" s="558"/>
      <c r="J5523" s="567"/>
      <c r="K5523" s="648"/>
      <c r="L5523" s="567"/>
      <c r="M5523" s="549"/>
      <c r="N5523" s="549"/>
      <c r="O5523" s="549"/>
      <c r="P5523" s="549"/>
      <c r="Q5523" s="1059"/>
      <c r="R5523" s="1059"/>
    </row>
    <row r="5524" spans="1:27" ht="17.399999999999999">
      <c r="A5524" s="547" t="s">
        <v>445</v>
      </c>
      <c r="B5524" s="547" t="s">
        <v>487</v>
      </c>
      <c r="C5524" s="547" t="s">
        <v>19</v>
      </c>
      <c r="D5524" s="547" t="s">
        <v>20</v>
      </c>
      <c r="E5524" s="547" t="s">
        <v>47</v>
      </c>
      <c r="F5524" s="549">
        <v>16</v>
      </c>
      <c r="G5524" s="549" t="s">
        <v>21</v>
      </c>
      <c r="H5524" s="599" t="s">
        <v>510</v>
      </c>
      <c r="I5524" s="558">
        <v>25.2</v>
      </c>
      <c r="J5524" s="567">
        <v>11.7</v>
      </c>
      <c r="K5524" s="648">
        <v>61</v>
      </c>
      <c r="L5524" s="552">
        <f>(I5524*J5524*K5524/1000)</f>
        <v>17.985239999999997</v>
      </c>
      <c r="M5524" s="549"/>
      <c r="N5524" s="549"/>
      <c r="O5524" s="549"/>
      <c r="P5524" s="549"/>
      <c r="Q5524" s="1059"/>
      <c r="R5524" s="1059"/>
      <c r="S5524">
        <f>9+9+9+5</f>
        <v>32</v>
      </c>
      <c r="T5524" s="126">
        <f t="shared" ref="T5524" si="1198">J5524*S5524*I5524/1000</f>
        <v>9.4348799999999997</v>
      </c>
      <c r="U5524">
        <v>9.75</v>
      </c>
      <c r="V5524">
        <v>1</v>
      </c>
      <c r="W5524" s="497">
        <f>9+9+3+2</f>
        <v>23</v>
      </c>
      <c r="X5524" s="126">
        <f>J5524*W5524*I5524/1000</f>
        <v>6.7813199999999991</v>
      </c>
      <c r="Y5524" s="497" t="s">
        <v>610</v>
      </c>
      <c r="AA5524" s="497"/>
    </row>
    <row r="5525" spans="1:27" ht="17.399999999999999">
      <c r="A5525" s="547"/>
      <c r="B5525" s="752" t="s">
        <v>439</v>
      </c>
      <c r="C5525" s="547"/>
      <c r="D5525" s="547"/>
      <c r="E5525" s="547"/>
      <c r="F5525" s="549"/>
      <c r="G5525" s="549"/>
      <c r="H5525" s="549"/>
      <c r="I5525" s="558"/>
      <c r="J5525" s="567"/>
      <c r="K5525" s="648">
        <f t="shared" ref="K5525:L5525" si="1199">SUM(K5524)</f>
        <v>61</v>
      </c>
      <c r="L5525" s="567">
        <f t="shared" si="1199"/>
        <v>17.985239999999997</v>
      </c>
      <c r="M5525" s="549"/>
      <c r="N5525" s="549"/>
      <c r="O5525" s="549"/>
      <c r="P5525" s="549"/>
      <c r="Q5525" s="549"/>
      <c r="R5525" s="549"/>
      <c r="S5525" s="648">
        <f t="shared" ref="S5525:T5525" si="1200">SUM(S5524)</f>
        <v>32</v>
      </c>
      <c r="T5525" s="567">
        <f t="shared" si="1200"/>
        <v>9.4348799999999997</v>
      </c>
      <c r="U5525">
        <v>10.5</v>
      </c>
      <c r="V5525">
        <v>1</v>
      </c>
      <c r="W5525" s="648">
        <f t="shared" ref="W5525:X5525" si="1201">SUM(W5524)</f>
        <v>23</v>
      </c>
      <c r="X5525" s="567">
        <f t="shared" si="1201"/>
        <v>6.7813199999999991</v>
      </c>
    </row>
    <row r="5526" spans="1:27" s="497" customFormat="1" ht="17.399999999999999">
      <c r="A5526" s="547"/>
      <c r="B5526" s="752"/>
      <c r="C5526" s="547"/>
      <c r="D5526" s="547"/>
      <c r="E5526" s="547"/>
      <c r="F5526" s="549"/>
      <c r="G5526" s="549"/>
      <c r="H5526" s="549"/>
      <c r="I5526" s="558"/>
      <c r="J5526" s="567"/>
      <c r="K5526" s="648"/>
      <c r="L5526" s="567"/>
      <c r="M5526" s="549"/>
      <c r="N5526" s="549"/>
      <c r="O5526" s="549"/>
      <c r="P5526" s="549"/>
      <c r="Q5526" s="1059"/>
      <c r="R5526" s="1059"/>
      <c r="U5526" s="497">
        <v>11.5</v>
      </c>
      <c r="V5526" s="497">
        <v>4</v>
      </c>
      <c r="X5526" s="126"/>
    </row>
    <row r="5527" spans="1:27" ht="17.399999999999999">
      <c r="A5527" s="547" t="s">
        <v>445</v>
      </c>
      <c r="B5527" s="547" t="s">
        <v>488</v>
      </c>
      <c r="C5527" s="547" t="s">
        <v>19</v>
      </c>
      <c r="D5527" s="547" t="s">
        <v>20</v>
      </c>
      <c r="E5527" s="547" t="s">
        <v>47</v>
      </c>
      <c r="F5527" s="549">
        <v>16</v>
      </c>
      <c r="G5527" s="549" t="s">
        <v>21</v>
      </c>
      <c r="H5527" s="599" t="s">
        <v>510</v>
      </c>
      <c r="I5527" s="558">
        <v>25.2</v>
      </c>
      <c r="J5527" s="567">
        <v>7.7</v>
      </c>
      <c r="K5527" s="648">
        <v>34</v>
      </c>
      <c r="L5527" s="552">
        <f>(I5527*J5527*K5527/1000)</f>
        <v>6.5973600000000001</v>
      </c>
      <c r="M5527" s="549">
        <v>6</v>
      </c>
      <c r="N5527" s="567">
        <f>J5527*M5527*I5527/1000</f>
        <v>1.1642399999999999</v>
      </c>
      <c r="O5527" s="549"/>
      <c r="P5527" s="549"/>
      <c r="Q5527" s="1059"/>
      <c r="R5527" s="1059"/>
      <c r="S5527">
        <v>4</v>
      </c>
      <c r="T5527" s="126">
        <f t="shared" ref="T5527:T5528" si="1202">J5527*S5527*I5527/1000</f>
        <v>0.77615999999999996</v>
      </c>
      <c r="W5527">
        <f>1+6</f>
        <v>7</v>
      </c>
      <c r="X5527" s="126">
        <f>J5527*W5527*I5527/1000</f>
        <v>1.3582799999999999</v>
      </c>
      <c r="Y5527" s="497" t="s">
        <v>665</v>
      </c>
    </row>
    <row r="5528" spans="1:27" ht="17.399999999999999">
      <c r="A5528" s="547"/>
      <c r="B5528" s="752" t="s">
        <v>439</v>
      </c>
      <c r="C5528" s="547"/>
      <c r="D5528" s="547"/>
      <c r="E5528" s="547"/>
      <c r="F5528" s="549"/>
      <c r="G5528" s="549" t="s">
        <v>21</v>
      </c>
      <c r="H5528" s="549" t="s">
        <v>510</v>
      </c>
      <c r="I5528" s="558">
        <v>25.2</v>
      </c>
      <c r="J5528" s="567">
        <v>10.7</v>
      </c>
      <c r="K5528" s="648">
        <v>20</v>
      </c>
      <c r="L5528" s="552">
        <f>(I5528*J5528*K5528/1000)</f>
        <v>5.3927999999999994</v>
      </c>
      <c r="M5528" s="549"/>
      <c r="N5528" s="549"/>
      <c r="O5528" s="549"/>
      <c r="P5528" s="549"/>
      <c r="Q5528" s="1059"/>
      <c r="R5528" s="1059"/>
      <c r="S5528">
        <v>6</v>
      </c>
      <c r="T5528" s="126">
        <f t="shared" si="1202"/>
        <v>1.6178399999999997</v>
      </c>
      <c r="W5528">
        <f>6+1</f>
        <v>7</v>
      </c>
      <c r="X5528" s="126">
        <f>J5528*W5528*I5528/1000</f>
        <v>1.8874799999999998</v>
      </c>
    </row>
    <row r="5529" spans="1:27" ht="17.399999999999999">
      <c r="A5529" s="549"/>
      <c r="B5529" s="549"/>
      <c r="C5529" s="549"/>
      <c r="D5529" s="549"/>
      <c r="E5529" s="549"/>
      <c r="F5529" s="549"/>
      <c r="G5529" s="549"/>
      <c r="H5529" s="549"/>
      <c r="I5529" s="558"/>
      <c r="J5529" s="567"/>
      <c r="K5529" s="648">
        <f>SUM(K5527:K5528)</f>
        <v>54</v>
      </c>
      <c r="L5529" s="567">
        <f>SUM(L5527:L5528)</f>
        <v>11.990159999999999</v>
      </c>
      <c r="M5529" s="648">
        <f>SUM(M5527:M5528)</f>
        <v>6</v>
      </c>
      <c r="N5529" s="567">
        <f>SUM(N5527:N5528)</f>
        <v>1.1642399999999999</v>
      </c>
      <c r="O5529" s="549"/>
      <c r="P5529" s="549"/>
      <c r="Q5529" s="549"/>
      <c r="R5529" s="549"/>
      <c r="S5529" s="648">
        <f>SUM(S5527:S5528)</f>
        <v>10</v>
      </c>
      <c r="T5529" s="567">
        <f>SUM(T5527:T5528)</f>
        <v>2.3939999999999997</v>
      </c>
      <c r="W5529" s="648">
        <f>SUM(W5527:W5528)</f>
        <v>14</v>
      </c>
      <c r="X5529" s="567">
        <f>SUM(X5527:X5528)</f>
        <v>3.2457599999999998</v>
      </c>
    </row>
    <row r="5530" spans="1:27" s="497" customFormat="1" ht="17.399999999999999">
      <c r="A5530" s="549"/>
      <c r="B5530" s="549"/>
      <c r="C5530" s="549"/>
      <c r="D5530" s="549"/>
      <c r="E5530" s="549"/>
      <c r="F5530" s="549"/>
      <c r="G5530" s="549"/>
      <c r="H5530" s="549"/>
      <c r="I5530" s="558"/>
      <c r="J5530" s="567"/>
      <c r="K5530" s="648">
        <f>SUM(K5524:K5529)/2</f>
        <v>115</v>
      </c>
      <c r="L5530" s="567">
        <f>SUM(L5524:L5529)/2</f>
        <v>29.9754</v>
      </c>
      <c r="M5530" s="648">
        <f>SUM(M5524:M5529)/2</f>
        <v>6</v>
      </c>
      <c r="N5530" s="567">
        <f>SUM(N5524:N5529)/2</f>
        <v>1.1642399999999999</v>
      </c>
      <c r="O5530" s="549"/>
      <c r="P5530" s="549"/>
      <c r="Q5530" s="1059"/>
      <c r="R5530" s="1059"/>
      <c r="T5530" s="567">
        <f>SUM(T5524:T5529)/2</f>
        <v>11.82888</v>
      </c>
      <c r="X5530" s="567">
        <f>SUM(X5524:X5529)/2</f>
        <v>10.02708</v>
      </c>
    </row>
    <row r="5531" spans="1:27" s="497" customFormat="1" ht="17.399999999999999">
      <c r="A5531" s="549"/>
      <c r="B5531" s="549"/>
      <c r="C5531" s="549"/>
      <c r="D5531" s="549"/>
      <c r="E5531" s="549"/>
      <c r="F5531" s="549"/>
      <c r="G5531" s="549"/>
      <c r="H5531" s="549"/>
      <c r="I5531" s="558"/>
      <c r="J5531" s="567"/>
      <c r="K5531" s="648"/>
      <c r="L5531" s="567"/>
      <c r="M5531" s="549"/>
      <c r="N5531" s="549"/>
      <c r="O5531" s="549"/>
      <c r="P5531" s="549"/>
      <c r="Q5531" s="1059"/>
      <c r="R5531" s="1059"/>
    </row>
    <row r="5532" spans="1:27" s="497" customFormat="1" ht="17.399999999999999">
      <c r="A5532" s="549"/>
      <c r="B5532" s="549"/>
      <c r="C5532" s="549"/>
      <c r="D5532" s="549"/>
      <c r="E5532" s="549"/>
      <c r="F5532" s="549"/>
      <c r="G5532" s="549"/>
      <c r="H5532" s="549"/>
      <c r="I5532" s="558"/>
      <c r="J5532" s="567"/>
      <c r="K5532" s="648"/>
      <c r="L5532" s="567"/>
      <c r="M5532" s="549"/>
      <c r="N5532" s="549"/>
      <c r="O5532" s="549"/>
      <c r="P5532" s="549"/>
      <c r="Q5532" s="1059"/>
      <c r="R5532" s="1059"/>
    </row>
    <row r="5533" spans="1:27" ht="17.399999999999999">
      <c r="A5533" s="547" t="s">
        <v>523</v>
      </c>
      <c r="B5533" s="547" t="s">
        <v>524</v>
      </c>
      <c r="C5533" s="547" t="s">
        <v>19</v>
      </c>
      <c r="D5533" s="547" t="s">
        <v>20</v>
      </c>
      <c r="E5533" s="547" t="s">
        <v>367</v>
      </c>
      <c r="F5533" s="549">
        <v>16</v>
      </c>
      <c r="G5533" s="549" t="s">
        <v>444</v>
      </c>
      <c r="H5533" s="599" t="s">
        <v>176</v>
      </c>
      <c r="I5533" s="558">
        <v>23</v>
      </c>
      <c r="J5533" s="567">
        <v>12</v>
      </c>
      <c r="K5533" s="648">
        <v>10</v>
      </c>
      <c r="L5533" s="552">
        <f t="shared" ref="L5533" si="1203">(I5533*J5533*K5533/1000)</f>
        <v>2.76</v>
      </c>
      <c r="M5533" s="549"/>
      <c r="N5533" s="549"/>
      <c r="O5533" s="549"/>
      <c r="P5533" s="549"/>
      <c r="Q5533" s="1059"/>
      <c r="R5533" s="1059"/>
      <c r="S5533" s="497" t="s">
        <v>670</v>
      </c>
    </row>
    <row r="5534" spans="1:27" ht="17.399999999999999">
      <c r="A5534" s="549"/>
      <c r="B5534" s="549" t="s">
        <v>88</v>
      </c>
      <c r="C5534" s="549"/>
      <c r="D5534" s="549"/>
      <c r="E5534" s="549"/>
      <c r="F5534" s="549"/>
      <c r="G5534" s="549"/>
      <c r="H5534" s="549"/>
      <c r="I5534" s="558"/>
      <c r="J5534" s="567"/>
      <c r="K5534" s="648">
        <f>SUM(K5533:K5533)</f>
        <v>10</v>
      </c>
      <c r="L5534" s="567">
        <f>SUM(L5533:L5533)</f>
        <v>2.76</v>
      </c>
      <c r="M5534" s="549"/>
      <c r="N5534" s="549"/>
      <c r="O5534" s="549"/>
      <c r="P5534" s="549"/>
      <c r="Q5534" s="1059"/>
      <c r="R5534" s="1059"/>
    </row>
    <row r="5535" spans="1:27" s="497" customFormat="1" ht="17.399999999999999">
      <c r="A5535" s="549"/>
      <c r="B5535" s="549"/>
      <c r="C5535" s="549"/>
      <c r="D5535" s="549"/>
      <c r="E5535" s="549"/>
      <c r="F5535" s="549"/>
      <c r="G5535" s="549"/>
      <c r="H5535" s="549"/>
      <c r="I5535" s="558"/>
      <c r="J5535" s="567"/>
      <c r="K5535" s="648"/>
      <c r="L5535" s="567"/>
      <c r="M5535" s="549"/>
      <c r="N5535" s="549"/>
      <c r="O5535" s="549"/>
      <c r="P5535" s="549"/>
      <c r="Q5535" s="1059"/>
      <c r="R5535" s="1059"/>
    </row>
    <row r="5536" spans="1:27" s="497" customFormat="1" ht="17.399999999999999">
      <c r="A5536" s="547" t="s">
        <v>541</v>
      </c>
      <c r="B5536" s="547" t="s">
        <v>559</v>
      </c>
      <c r="C5536" s="547" t="s">
        <v>19</v>
      </c>
      <c r="D5536" s="547" t="s">
        <v>20</v>
      </c>
      <c r="E5536" s="547" t="s">
        <v>57</v>
      </c>
      <c r="F5536" s="549">
        <v>16</v>
      </c>
      <c r="G5536" s="883" t="s">
        <v>21</v>
      </c>
      <c r="H5536" s="978" t="s">
        <v>176</v>
      </c>
      <c r="I5536" s="1884">
        <v>23</v>
      </c>
      <c r="J5536" s="890">
        <v>6</v>
      </c>
      <c r="K5536" s="889">
        <v>10</v>
      </c>
      <c r="L5536" s="895">
        <f t="shared" ref="L5536:L5538" si="1204">(I5536*J5536*K5536/1000)</f>
        <v>1.38</v>
      </c>
      <c r="M5536" s="549"/>
      <c r="N5536" s="549"/>
      <c r="O5536" s="549"/>
      <c r="P5536" s="549"/>
      <c r="Q5536" s="1059"/>
      <c r="R5536" s="1059"/>
      <c r="S5536" s="497" t="s">
        <v>681</v>
      </c>
    </row>
    <row r="5537" spans="1:21" s="497" customFormat="1" ht="17.399999999999999">
      <c r="A5537" s="547"/>
      <c r="B5537" s="549" t="s">
        <v>564</v>
      </c>
      <c r="C5537" s="547"/>
      <c r="D5537" s="547"/>
      <c r="E5537" s="547"/>
      <c r="F5537" s="549"/>
      <c r="G5537" s="883" t="s">
        <v>21</v>
      </c>
      <c r="H5537" s="883" t="s">
        <v>176</v>
      </c>
      <c r="I5537" s="1884">
        <v>23</v>
      </c>
      <c r="J5537" s="890">
        <v>7.5</v>
      </c>
      <c r="K5537" s="889">
        <v>8</v>
      </c>
      <c r="L5537" s="895">
        <f t="shared" si="1204"/>
        <v>1.38</v>
      </c>
      <c r="M5537" s="549"/>
      <c r="N5537" s="549"/>
      <c r="O5537" s="549"/>
      <c r="P5537" s="549"/>
      <c r="Q5537" s="1059"/>
      <c r="R5537" s="1059"/>
    </row>
    <row r="5538" spans="1:21" s="497" customFormat="1" ht="17.399999999999999">
      <c r="A5538" s="549"/>
      <c r="B5538" s="549"/>
      <c r="C5538" s="549"/>
      <c r="D5538" s="549"/>
      <c r="E5538" s="549"/>
      <c r="F5538" s="549"/>
      <c r="G5538" s="883" t="s">
        <v>21</v>
      </c>
      <c r="H5538" s="883" t="s">
        <v>176</v>
      </c>
      <c r="I5538" s="1884">
        <v>23</v>
      </c>
      <c r="J5538" s="890">
        <v>9.9</v>
      </c>
      <c r="K5538" s="889">
        <v>15</v>
      </c>
      <c r="L5538" s="895">
        <f t="shared" si="1204"/>
        <v>3.4155000000000006</v>
      </c>
      <c r="M5538" s="549"/>
      <c r="N5538" s="549"/>
      <c r="O5538" s="549"/>
      <c r="P5538" s="549"/>
      <c r="Q5538" s="1059"/>
      <c r="R5538" s="1059"/>
    </row>
    <row r="5539" spans="1:21" s="497" customFormat="1" ht="17.399999999999999">
      <c r="A5539" s="549"/>
      <c r="B5539" s="549"/>
      <c r="C5539" s="549"/>
      <c r="D5539" s="549"/>
      <c r="E5539" s="549"/>
      <c r="F5539" s="549"/>
      <c r="G5539" s="883"/>
      <c r="H5539" s="887"/>
      <c r="I5539" s="1885"/>
      <c r="J5539" s="896"/>
      <c r="K5539" s="889">
        <f t="shared" ref="K5539:L5539" si="1205">SUM(K5536:K5538)</f>
        <v>33</v>
      </c>
      <c r="L5539" s="890">
        <f t="shared" si="1205"/>
        <v>6.1755000000000004</v>
      </c>
      <c r="M5539" s="549"/>
      <c r="N5539" s="549"/>
      <c r="O5539" s="549"/>
      <c r="P5539" s="549"/>
      <c r="Q5539" s="1059"/>
      <c r="R5539" s="1059"/>
    </row>
    <row r="5540" spans="1:21" s="497" customFormat="1" ht="17.399999999999999">
      <c r="A5540" s="549"/>
      <c r="B5540" s="550"/>
      <c r="C5540" s="550"/>
      <c r="D5540" s="549"/>
      <c r="E5540" s="549"/>
      <c r="F5540" s="549"/>
      <c r="G5540" s="549"/>
      <c r="H5540" s="549"/>
      <c r="I5540" s="560"/>
      <c r="J5540" s="549"/>
      <c r="K5540" s="652">
        <f>+K5534+K5539</f>
        <v>43</v>
      </c>
      <c r="L5540" s="565">
        <f>+L5534+L5539</f>
        <v>8.9355000000000011</v>
      </c>
      <c r="M5540" s="652">
        <f>+M5534+M5539</f>
        <v>0</v>
      </c>
      <c r="N5540" s="565">
        <f>+N5534+N5539</f>
        <v>0</v>
      </c>
      <c r="O5540" s="549"/>
      <c r="P5540" s="549"/>
      <c r="Q5540" s="1059"/>
      <c r="R5540" s="1059"/>
    </row>
    <row r="5541" spans="1:21" s="497" customFormat="1" ht="17.399999999999999">
      <c r="A5541" s="549"/>
      <c r="B5541" s="550"/>
      <c r="C5541" s="550"/>
      <c r="D5541" s="549"/>
      <c r="E5541" s="549"/>
      <c r="F5541" s="549"/>
      <c r="G5541" s="549"/>
      <c r="H5541" s="549"/>
      <c r="I5541" s="560"/>
      <c r="J5541" s="549"/>
      <c r="K5541" s="652"/>
      <c r="L5541" s="565"/>
      <c r="M5541" s="652"/>
      <c r="N5541" s="565"/>
      <c r="O5541" s="549"/>
      <c r="P5541" s="549"/>
      <c r="Q5541" s="1059"/>
      <c r="R5541" s="1059"/>
    </row>
    <row r="5542" spans="1:21" s="497" customFormat="1" ht="17.399999999999999">
      <c r="A5542" s="549"/>
      <c r="B5542" s="550"/>
      <c r="C5542" s="550"/>
      <c r="D5542" s="549"/>
      <c r="E5542" s="549"/>
      <c r="F5542" s="549"/>
      <c r="G5542" s="549"/>
      <c r="H5542" s="549"/>
      <c r="I5542" s="560"/>
      <c r="J5542" s="549"/>
      <c r="K5542" s="652"/>
      <c r="L5542" s="565"/>
      <c r="M5542" s="652"/>
      <c r="N5542" s="565"/>
      <c r="O5542" s="549"/>
      <c r="P5542" s="549"/>
      <c r="Q5542" s="1059"/>
      <c r="R5542" s="1059"/>
    </row>
    <row r="5543" spans="1:21" s="497" customFormat="1" ht="17.399999999999999">
      <c r="A5543" s="918" t="s">
        <v>481</v>
      </c>
      <c r="B5543" s="918" t="s">
        <v>559</v>
      </c>
      <c r="C5543" s="918" t="s">
        <v>19</v>
      </c>
      <c r="D5543" s="918" t="s">
        <v>20</v>
      </c>
      <c r="E5543" s="918" t="s">
        <v>420</v>
      </c>
      <c r="F5543" s="919">
        <v>16</v>
      </c>
      <c r="G5543" s="779" t="s">
        <v>21</v>
      </c>
      <c r="H5543" s="900" t="s">
        <v>179</v>
      </c>
      <c r="I5543" s="937">
        <v>33.799999999999997</v>
      </c>
      <c r="J5543" s="777">
        <v>9</v>
      </c>
      <c r="K5543" s="778">
        <f>32-4</f>
        <v>28</v>
      </c>
      <c r="L5543" s="725">
        <f>(I5543*J5543*K5543/1000)</f>
        <v>8.5175999999999998</v>
      </c>
      <c r="M5543" s="550"/>
      <c r="N5543" s="550"/>
      <c r="O5543" s="549"/>
      <c r="P5543" s="549"/>
      <c r="Q5543" s="1059"/>
      <c r="R5543" s="1059"/>
    </row>
    <row r="5544" spans="1:21" s="497" customFormat="1" ht="17.399999999999999">
      <c r="A5544" s="919"/>
      <c r="B5544" s="919" t="s">
        <v>558</v>
      </c>
      <c r="C5544" s="919"/>
      <c r="D5544" s="919"/>
      <c r="E5544" s="919"/>
      <c r="F5544" s="919"/>
      <c r="G5544" s="779" t="s">
        <v>21</v>
      </c>
      <c r="H5544" s="779" t="s">
        <v>179</v>
      </c>
      <c r="I5544" s="937">
        <v>33.799999999999997</v>
      </c>
      <c r="J5544" s="777">
        <v>11.6</v>
      </c>
      <c r="K5544" s="778">
        <f>8-1</f>
        <v>7</v>
      </c>
      <c r="L5544" s="725">
        <f>(I5544*J5544*K5544/1000)</f>
        <v>2.7445599999999994</v>
      </c>
      <c r="M5544" s="550"/>
      <c r="N5544" s="550"/>
      <c r="O5544" s="549"/>
      <c r="P5544" s="549"/>
      <c r="Q5544" s="1059"/>
      <c r="R5544" s="1059"/>
    </row>
    <row r="5545" spans="1:21" s="497" customFormat="1" ht="17.399999999999999">
      <c r="A5545" s="550"/>
      <c r="B5545" s="550"/>
      <c r="C5545" s="550"/>
      <c r="D5545" s="550"/>
      <c r="E5545" s="550"/>
      <c r="F5545" s="550"/>
      <c r="G5545" s="779"/>
      <c r="H5545" s="768"/>
      <c r="I5545" s="1893"/>
      <c r="J5545" s="916"/>
      <c r="K5545" s="778">
        <f>SUM(K5543:K5544)</f>
        <v>35</v>
      </c>
      <c r="L5545" s="917">
        <f>SUM(L5543:L5544)</f>
        <v>11.26216</v>
      </c>
      <c r="M5545" s="778"/>
      <c r="N5545" s="917"/>
      <c r="O5545" s="549"/>
      <c r="P5545" s="549"/>
      <c r="Q5545" s="1059"/>
      <c r="R5545" s="1059"/>
    </row>
    <row r="5546" spans="1:21" s="497" customFormat="1" ht="17.399999999999999">
      <c r="A5546" s="549"/>
      <c r="B5546" s="550"/>
      <c r="C5546" s="550"/>
      <c r="D5546" s="549"/>
      <c r="E5546" s="549"/>
      <c r="F5546" s="549"/>
      <c r="G5546" s="549"/>
      <c r="H5546" s="549"/>
      <c r="I5546" s="560"/>
      <c r="J5546" s="549"/>
      <c r="K5546" s="652"/>
      <c r="L5546" s="565"/>
      <c r="M5546" s="652"/>
      <c r="N5546" s="565"/>
      <c r="O5546" s="549"/>
      <c r="P5546" s="549"/>
      <c r="Q5546" s="1059"/>
      <c r="R5546" s="1059"/>
    </row>
    <row r="5547" spans="1:21" s="497" customFormat="1" ht="17.399999999999999">
      <c r="A5547" s="549"/>
      <c r="B5547" s="550"/>
      <c r="C5547" s="550"/>
      <c r="D5547" s="549"/>
      <c r="E5547" s="549"/>
      <c r="F5547" s="549"/>
      <c r="G5547" s="549"/>
      <c r="H5547" s="549"/>
      <c r="I5547" s="560"/>
      <c r="J5547" s="549"/>
      <c r="K5547" s="652"/>
      <c r="L5547" s="565"/>
      <c r="M5547" s="652"/>
      <c r="N5547" s="565"/>
      <c r="O5547" s="549"/>
      <c r="P5547" s="549"/>
      <c r="Q5547" s="1059"/>
      <c r="R5547" s="1059"/>
    </row>
    <row r="5548" spans="1:21" s="497" customFormat="1" ht="17.399999999999999">
      <c r="A5548" s="549"/>
      <c r="B5548" s="550"/>
      <c r="C5548" s="550"/>
      <c r="D5548" s="549"/>
      <c r="E5548" s="549"/>
      <c r="F5548" s="549"/>
      <c r="G5548" s="549"/>
      <c r="H5548" s="549"/>
      <c r="I5548" s="560"/>
      <c r="J5548" s="549"/>
      <c r="K5548" s="652"/>
      <c r="L5548" s="565"/>
      <c r="M5548" s="652"/>
      <c r="N5548" s="565"/>
      <c r="O5548" s="549"/>
      <c r="P5548" s="549"/>
      <c r="Q5548" s="1059"/>
      <c r="R5548" s="1059"/>
    </row>
    <row r="5549" spans="1:21" s="497" customFormat="1" ht="17.399999999999999">
      <c r="A5549" s="780" t="s">
        <v>481</v>
      </c>
      <c r="B5549" s="780" t="s">
        <v>442</v>
      </c>
      <c r="C5549" s="780" t="s">
        <v>19</v>
      </c>
      <c r="D5549" s="780" t="s">
        <v>20</v>
      </c>
      <c r="E5549" s="780" t="s">
        <v>420</v>
      </c>
      <c r="F5549" s="754">
        <v>16</v>
      </c>
      <c r="G5549" s="549" t="s">
        <v>21</v>
      </c>
      <c r="H5549" s="599" t="s">
        <v>177</v>
      </c>
      <c r="I5549" s="558">
        <v>27.3</v>
      </c>
      <c r="J5549" s="567">
        <v>11.9</v>
      </c>
      <c r="K5549" s="648">
        <v>4</v>
      </c>
      <c r="L5549" s="552">
        <f>(I5549*J5549*K5549/1000)</f>
        <v>1.29948</v>
      </c>
      <c r="M5549" s="652"/>
      <c r="N5549" s="565"/>
      <c r="O5549" s="549"/>
      <c r="P5549" s="549"/>
      <c r="Q5549" s="1059"/>
      <c r="R5549" s="1059"/>
      <c r="S5549" s="497" t="s">
        <v>668</v>
      </c>
    </row>
    <row r="5550" spans="1:21" s="497" customFormat="1" ht="17.399999999999999">
      <c r="A5550" s="754"/>
      <c r="B5550" s="754" t="s">
        <v>206</v>
      </c>
      <c r="C5550" s="754"/>
      <c r="D5550" s="754"/>
      <c r="E5550" s="754"/>
      <c r="F5550" s="754"/>
      <c r="G5550" s="650"/>
      <c r="H5550" s="549"/>
      <c r="I5550" s="558"/>
      <c r="J5550" s="567"/>
      <c r="K5550" s="648">
        <f t="shared" ref="K5550:L5550" si="1206">SUM(K5549)</f>
        <v>4</v>
      </c>
      <c r="L5550" s="567">
        <f t="shared" si="1206"/>
        <v>1.29948</v>
      </c>
      <c r="M5550" s="652"/>
      <c r="N5550" s="565"/>
      <c r="O5550" s="549"/>
      <c r="P5550" s="549"/>
      <c r="Q5550" s="1059"/>
      <c r="R5550" s="1059"/>
    </row>
    <row r="5551" spans="1:21" s="497" customFormat="1" ht="17.399999999999999">
      <c r="A5551" s="549"/>
      <c r="B5551" s="550"/>
      <c r="C5551" s="550"/>
      <c r="D5551" s="549"/>
      <c r="E5551" s="549"/>
      <c r="F5551" s="549"/>
      <c r="G5551" s="549"/>
      <c r="H5551" s="549"/>
      <c r="I5551" s="560"/>
      <c r="J5551" s="549"/>
      <c r="K5551" s="652"/>
      <c r="L5551" s="565"/>
      <c r="M5551" s="652"/>
      <c r="N5551" s="565"/>
      <c r="O5551" s="549"/>
      <c r="P5551" s="549"/>
      <c r="Q5551" s="1059"/>
      <c r="R5551" s="1059"/>
    </row>
    <row r="5552" spans="1:21" s="497" customFormat="1" ht="17.399999999999999">
      <c r="A5552" s="780" t="s">
        <v>481</v>
      </c>
      <c r="B5552" s="780" t="s">
        <v>559</v>
      </c>
      <c r="C5552" s="780" t="s">
        <v>19</v>
      </c>
      <c r="D5552" s="780" t="s">
        <v>20</v>
      </c>
      <c r="E5552" s="780" t="s">
        <v>420</v>
      </c>
      <c r="F5552" s="754">
        <v>16</v>
      </c>
      <c r="G5552" s="869" t="s">
        <v>21</v>
      </c>
      <c r="H5552" s="900" t="s">
        <v>177</v>
      </c>
      <c r="I5552" s="1881">
        <v>27.3</v>
      </c>
      <c r="J5552" s="756">
        <v>6.6</v>
      </c>
      <c r="K5552" s="757">
        <v>24</v>
      </c>
      <c r="L5552" s="552">
        <f t="shared" ref="L5552:L5556" si="1207">(I5552*J5552*K5552/1000)</f>
        <v>4.3243199999999993</v>
      </c>
      <c r="M5552" s="652"/>
      <c r="N5552" s="565"/>
      <c r="O5552" s="549"/>
      <c r="P5552" s="549"/>
      <c r="Q5552" s="1059"/>
      <c r="R5552" s="1059"/>
      <c r="S5552" s="497">
        <f>7+7</f>
        <v>14</v>
      </c>
      <c r="T5552" s="497">
        <f>J5552*S5552*I5552/1000</f>
        <v>2.5225200000000001</v>
      </c>
      <c r="U5552" s="497" t="s">
        <v>668</v>
      </c>
    </row>
    <row r="5553" spans="1:23" s="497" customFormat="1" ht="17.399999999999999">
      <c r="A5553" s="754"/>
      <c r="B5553" s="754" t="s">
        <v>558</v>
      </c>
      <c r="C5553" s="754"/>
      <c r="D5553" s="754"/>
      <c r="E5553" s="754"/>
      <c r="F5553" s="754"/>
      <c r="G5553" s="869" t="s">
        <v>21</v>
      </c>
      <c r="H5553" s="869" t="s">
        <v>177</v>
      </c>
      <c r="I5553" s="1881">
        <v>27.3</v>
      </c>
      <c r="J5553" s="756">
        <v>6.8</v>
      </c>
      <c r="K5553" s="757">
        <v>32</v>
      </c>
      <c r="L5553" s="552">
        <f t="shared" si="1207"/>
        <v>5.94048</v>
      </c>
      <c r="M5553" s="652"/>
      <c r="N5553" s="565"/>
      <c r="O5553" s="549"/>
      <c r="P5553" s="549"/>
      <c r="Q5553" s="1059"/>
      <c r="R5553" s="1059"/>
      <c r="S5553" s="497">
        <f>5+7</f>
        <v>12</v>
      </c>
      <c r="T5553" s="497">
        <f t="shared" ref="T5553:T5556" si="1208">J5553*S5553*I5553/1000</f>
        <v>2.2276799999999999</v>
      </c>
    </row>
    <row r="5554" spans="1:23" s="497" customFormat="1" ht="17.399999999999999">
      <c r="A5554" s="549"/>
      <c r="B5554" s="550"/>
      <c r="C5554" s="550"/>
      <c r="D5554" s="549"/>
      <c r="E5554" s="549"/>
      <c r="F5554" s="549"/>
      <c r="G5554" s="869" t="s">
        <v>21</v>
      </c>
      <c r="H5554" s="869" t="s">
        <v>177</v>
      </c>
      <c r="I5554" s="1881">
        <v>27.3</v>
      </c>
      <c r="J5554" s="756">
        <v>7.3</v>
      </c>
      <c r="K5554" s="757">
        <v>8</v>
      </c>
      <c r="L5554" s="552">
        <f t="shared" si="1207"/>
        <v>1.59432</v>
      </c>
      <c r="M5554" s="652"/>
      <c r="N5554" s="565"/>
      <c r="O5554" s="549"/>
      <c r="P5554" s="549"/>
      <c r="Q5554" s="1059"/>
      <c r="R5554" s="1059"/>
      <c r="S5554" s="497">
        <v>8</v>
      </c>
      <c r="T5554" s="497">
        <f t="shared" si="1208"/>
        <v>1.59432</v>
      </c>
    </row>
    <row r="5555" spans="1:23" s="497" customFormat="1" ht="17.399999999999999">
      <c r="A5555" s="549"/>
      <c r="B5555" s="550"/>
      <c r="C5555" s="550"/>
      <c r="D5555" s="549"/>
      <c r="E5555" s="549"/>
      <c r="F5555" s="549"/>
      <c r="G5555" s="869" t="s">
        <v>21</v>
      </c>
      <c r="H5555" s="869" t="s">
        <v>177</v>
      </c>
      <c r="I5555" s="1881">
        <v>27.3</v>
      </c>
      <c r="J5555" s="756">
        <v>10.7</v>
      </c>
      <c r="K5555" s="757">
        <v>12</v>
      </c>
      <c r="L5555" s="552">
        <f t="shared" si="1207"/>
        <v>3.5053200000000002</v>
      </c>
      <c r="M5555" s="652"/>
      <c r="N5555" s="565"/>
      <c r="O5555" s="549"/>
      <c r="P5555" s="549"/>
      <c r="Q5555" s="1059"/>
      <c r="R5555" s="1059"/>
      <c r="S5555" s="497">
        <v>1</v>
      </c>
      <c r="T5555" s="497">
        <f t="shared" si="1208"/>
        <v>0.29211000000000004</v>
      </c>
    </row>
    <row r="5556" spans="1:23" s="497" customFormat="1" ht="17.399999999999999">
      <c r="A5556" s="549"/>
      <c r="B5556" s="550"/>
      <c r="C5556" s="550"/>
      <c r="D5556" s="549"/>
      <c r="E5556" s="549"/>
      <c r="F5556" s="549"/>
      <c r="G5556" s="869" t="s">
        <v>21</v>
      </c>
      <c r="H5556" s="869" t="s">
        <v>177</v>
      </c>
      <c r="I5556" s="1881">
        <v>27.3</v>
      </c>
      <c r="J5556" s="756">
        <v>11.4</v>
      </c>
      <c r="K5556" s="757">
        <v>12</v>
      </c>
      <c r="L5556" s="552">
        <f t="shared" si="1207"/>
        <v>3.7346400000000002</v>
      </c>
      <c r="M5556" s="652"/>
      <c r="N5556" s="565"/>
      <c r="O5556" s="549"/>
      <c r="P5556" s="549"/>
      <c r="Q5556" s="1059"/>
      <c r="R5556" s="1059"/>
      <c r="S5556" s="497">
        <v>2</v>
      </c>
      <c r="T5556" s="497">
        <f t="shared" si="1208"/>
        <v>0.6224400000000001</v>
      </c>
    </row>
    <row r="5557" spans="1:23" s="497" customFormat="1" ht="17.399999999999999">
      <c r="A5557" s="549"/>
      <c r="B5557" s="550"/>
      <c r="C5557" s="550"/>
      <c r="D5557" s="549"/>
      <c r="E5557" s="549"/>
      <c r="F5557" s="549"/>
      <c r="G5557" s="869"/>
      <c r="H5557" s="650"/>
      <c r="I5557" s="1882"/>
      <c r="J5557" s="871"/>
      <c r="K5557" s="757">
        <f t="shared" ref="K5557" si="1209">SUM(K5552:K5556)</f>
        <v>88</v>
      </c>
      <c r="L5557" s="756">
        <f>SUM(L5552:L5556)</f>
        <v>19.099079999999997</v>
      </c>
      <c r="M5557" s="652"/>
      <c r="N5557" s="565"/>
      <c r="O5557" s="549"/>
      <c r="P5557" s="549"/>
      <c r="Q5557" s="549"/>
      <c r="R5557" s="549"/>
      <c r="S5557" s="757">
        <f t="shared" ref="S5557" si="1210">SUM(S5552:S5556)</f>
        <v>37</v>
      </c>
      <c r="T5557" s="756">
        <f>SUM(T5552:T5556)</f>
        <v>7.2590699999999995</v>
      </c>
    </row>
    <row r="5558" spans="1:23" s="497" customFormat="1" ht="17.399999999999999">
      <c r="A5558" s="549"/>
      <c r="B5558" s="550"/>
      <c r="C5558" s="550"/>
      <c r="D5558" s="549"/>
      <c r="E5558" s="549"/>
      <c r="F5558" s="549"/>
      <c r="G5558" s="869"/>
      <c r="H5558" s="650"/>
      <c r="I5558" s="1882"/>
      <c r="J5558" s="871"/>
      <c r="K5558" s="757"/>
      <c r="L5558" s="756">
        <f>+L5557+L5550</f>
        <v>20.398559999999996</v>
      </c>
      <c r="M5558" s="652"/>
      <c r="N5558" s="565"/>
      <c r="O5558" s="549"/>
      <c r="P5558" s="549"/>
      <c r="Q5558" s="1059"/>
      <c r="R5558" s="1059"/>
    </row>
    <row r="5559" spans="1:23" s="497" customFormat="1" ht="17.399999999999999">
      <c r="A5559" s="549"/>
      <c r="B5559" s="550"/>
      <c r="C5559" s="550"/>
      <c r="D5559" s="549"/>
      <c r="E5559" s="549"/>
      <c r="F5559" s="549"/>
      <c r="G5559" s="869"/>
      <c r="H5559" s="650"/>
      <c r="I5559" s="1882"/>
      <c r="J5559" s="871"/>
      <c r="K5559" s="757"/>
      <c r="L5559" s="756"/>
      <c r="M5559" s="652"/>
      <c r="N5559" s="565"/>
      <c r="O5559" s="549"/>
      <c r="P5559" s="549"/>
      <c r="Q5559" s="1059"/>
      <c r="R5559" s="1059"/>
    </row>
    <row r="5560" spans="1:23" s="497" customFormat="1" ht="17.399999999999999">
      <c r="A5560" s="549"/>
      <c r="B5560" s="550"/>
      <c r="C5560" s="550"/>
      <c r="D5560" s="549"/>
      <c r="E5560" s="549"/>
      <c r="F5560" s="549"/>
      <c r="G5560" s="549"/>
      <c r="H5560" s="549"/>
      <c r="I5560" s="560"/>
      <c r="J5560" s="549"/>
      <c r="K5560" s="652"/>
      <c r="L5560" s="565"/>
      <c r="M5560" s="652"/>
      <c r="N5560" s="565"/>
      <c r="O5560" s="549"/>
      <c r="P5560" s="549"/>
      <c r="Q5560" s="1059"/>
      <c r="R5560" s="1059"/>
    </row>
    <row r="5561" spans="1:23" s="497" customFormat="1" ht="17.399999999999999">
      <c r="A5561" s="780" t="s">
        <v>481</v>
      </c>
      <c r="B5561" s="780" t="s">
        <v>559</v>
      </c>
      <c r="C5561" s="780" t="s">
        <v>19</v>
      </c>
      <c r="D5561" s="780" t="s">
        <v>20</v>
      </c>
      <c r="E5561" s="780" t="s">
        <v>420</v>
      </c>
      <c r="F5561" s="754">
        <v>16</v>
      </c>
      <c r="G5561" s="869" t="s">
        <v>21</v>
      </c>
      <c r="H5561" s="900" t="s">
        <v>176</v>
      </c>
      <c r="I5561" s="1881">
        <v>23</v>
      </c>
      <c r="J5561" s="756">
        <v>6.6</v>
      </c>
      <c r="K5561" s="757">
        <v>8</v>
      </c>
      <c r="L5561" s="552">
        <f t="shared" ref="L5561:L5563" si="1211">(I5561*J5561*K5561/1000)</f>
        <v>1.2143999999999999</v>
      </c>
      <c r="M5561" s="652"/>
      <c r="N5561" s="565"/>
      <c r="O5561" s="549"/>
      <c r="P5561" s="549"/>
      <c r="Q5561" s="1059"/>
      <c r="R5561" s="1059"/>
      <c r="S5561" s="497">
        <v>8</v>
      </c>
      <c r="T5561" s="497">
        <f>J5561*S5561*I5561/1000</f>
        <v>1.2143999999999999</v>
      </c>
      <c r="U5561" s="497">
        <v>6</v>
      </c>
      <c r="V5561" s="497">
        <v>4</v>
      </c>
      <c r="W5561" s="497" t="s">
        <v>610</v>
      </c>
    </row>
    <row r="5562" spans="1:23" s="497" customFormat="1" ht="17.399999999999999">
      <c r="A5562" s="754"/>
      <c r="B5562" s="754" t="s">
        <v>558</v>
      </c>
      <c r="C5562" s="754"/>
      <c r="D5562" s="754"/>
      <c r="E5562" s="754"/>
      <c r="F5562" s="754"/>
      <c r="G5562" s="869" t="s">
        <v>21</v>
      </c>
      <c r="H5562" s="869" t="s">
        <v>176</v>
      </c>
      <c r="I5562" s="1881">
        <v>23</v>
      </c>
      <c r="J5562" s="756">
        <v>7.3</v>
      </c>
      <c r="K5562" s="757">
        <v>24</v>
      </c>
      <c r="L5562" s="552">
        <f t="shared" si="1211"/>
        <v>4.0296000000000003</v>
      </c>
      <c r="M5562" s="652"/>
      <c r="N5562" s="565"/>
      <c r="O5562" s="549"/>
      <c r="P5562" s="549"/>
      <c r="Q5562" s="1059"/>
      <c r="R5562" s="1059"/>
      <c r="S5562" s="497">
        <f>12+10</f>
        <v>22</v>
      </c>
      <c r="T5562" s="497">
        <f>J5562*S5562*I5562/1000</f>
        <v>3.6937999999999995</v>
      </c>
      <c r="U5562" s="497">
        <v>6.3</v>
      </c>
      <c r="V5562" s="497">
        <v>2</v>
      </c>
    </row>
    <row r="5563" spans="1:23" s="497" customFormat="1" ht="17.399999999999999">
      <c r="A5563" s="549"/>
      <c r="B5563" s="550"/>
      <c r="C5563" s="550"/>
      <c r="D5563" s="549"/>
      <c r="E5563" s="549"/>
      <c r="F5563" s="549"/>
      <c r="G5563" s="869" t="s">
        <v>21</v>
      </c>
      <c r="H5563" s="869" t="s">
        <v>176</v>
      </c>
      <c r="I5563" s="1881">
        <v>23</v>
      </c>
      <c r="J5563" s="756">
        <v>10.5</v>
      </c>
      <c r="K5563" s="757">
        <v>6</v>
      </c>
      <c r="L5563" s="552">
        <f t="shared" si="1211"/>
        <v>1.4490000000000001</v>
      </c>
      <c r="M5563" s="652"/>
      <c r="N5563" s="565"/>
      <c r="O5563" s="549"/>
      <c r="P5563" s="549"/>
      <c r="Q5563" s="1059"/>
      <c r="R5563" s="1059"/>
      <c r="S5563" s="497">
        <f>5+1</f>
        <v>6</v>
      </c>
      <c r="T5563" s="497">
        <f>J5563*S5563*I5563/1000</f>
        <v>1.4490000000000001</v>
      </c>
      <c r="U5563" s="497">
        <v>10</v>
      </c>
      <c r="V5563" s="497">
        <v>1</v>
      </c>
    </row>
    <row r="5564" spans="1:23" s="497" customFormat="1" ht="17.399999999999999">
      <c r="A5564" s="549"/>
      <c r="B5564" s="550"/>
      <c r="C5564" s="550"/>
      <c r="D5564" s="549"/>
      <c r="E5564" s="549"/>
      <c r="F5564" s="549"/>
      <c r="G5564" s="869"/>
      <c r="H5564" s="650"/>
      <c r="I5564" s="1882"/>
      <c r="J5564" s="871"/>
      <c r="K5564" s="757">
        <f t="shared" ref="K5564" si="1212">SUM(K5561:K5563)</f>
        <v>38</v>
      </c>
      <c r="L5564" s="756">
        <f>SUM(L5561:L5563)</f>
        <v>6.6929999999999996</v>
      </c>
      <c r="M5564" s="652"/>
      <c r="N5564" s="565"/>
      <c r="O5564" s="549"/>
      <c r="P5564" s="549"/>
      <c r="Q5564" s="549"/>
      <c r="R5564" s="549"/>
      <c r="S5564" s="757">
        <f t="shared" ref="S5564" si="1213">SUM(S5561:S5563)</f>
        <v>36</v>
      </c>
      <c r="T5564" s="756">
        <f>SUM(T5561:T5563)</f>
        <v>6.3571999999999989</v>
      </c>
      <c r="U5564" s="497">
        <v>10.25</v>
      </c>
      <c r="V5564" s="497">
        <v>1</v>
      </c>
    </row>
    <row r="5565" spans="1:23" s="497" customFormat="1" ht="17.399999999999999">
      <c r="A5565" s="549"/>
      <c r="B5565" s="550"/>
      <c r="C5565" s="550"/>
      <c r="D5565" s="549"/>
      <c r="E5565" s="549"/>
      <c r="F5565" s="549"/>
      <c r="G5565" s="869"/>
      <c r="H5565" s="650"/>
      <c r="I5565" s="1882"/>
      <c r="J5565" s="871"/>
      <c r="K5565" s="757"/>
      <c r="L5565" s="756"/>
      <c r="M5565" s="652"/>
      <c r="N5565" s="565"/>
      <c r="O5565" s="549"/>
      <c r="P5565" s="549"/>
      <c r="Q5565" s="1059"/>
      <c r="R5565" s="1059"/>
      <c r="U5565" s="512"/>
    </row>
    <row r="5566" spans="1:23" s="497" customFormat="1" ht="17.399999999999999">
      <c r="A5566" s="918" t="s">
        <v>481</v>
      </c>
      <c r="B5566" s="918" t="s">
        <v>539</v>
      </c>
      <c r="C5566" s="918" t="s">
        <v>19</v>
      </c>
      <c r="D5566" s="918" t="s">
        <v>20</v>
      </c>
      <c r="E5566" s="918" t="s">
        <v>420</v>
      </c>
      <c r="F5566" s="919">
        <v>16</v>
      </c>
      <c r="G5566" s="849" t="s">
        <v>21</v>
      </c>
      <c r="H5566" s="849" t="s">
        <v>176</v>
      </c>
      <c r="I5566" s="1883">
        <v>23</v>
      </c>
      <c r="J5566" s="850">
        <v>7.3</v>
      </c>
      <c r="K5566" s="851">
        <v>2</v>
      </c>
      <c r="L5566" s="552">
        <f>(I5566*J5566*K5566/1000)</f>
        <v>0.33579999999999999</v>
      </c>
      <c r="M5566" s="652"/>
      <c r="N5566" s="565"/>
      <c r="O5566" s="549"/>
      <c r="P5566" s="549"/>
      <c r="Q5566" s="1059"/>
      <c r="R5566" s="1059"/>
    </row>
    <row r="5567" spans="1:23" s="497" customFormat="1" ht="17.399999999999999">
      <c r="A5567" s="919"/>
      <c r="B5567" s="919" t="s">
        <v>551</v>
      </c>
      <c r="C5567" s="919"/>
      <c r="D5567" s="919"/>
      <c r="E5567" s="919"/>
      <c r="F5567" s="919"/>
      <c r="G5567" s="549"/>
      <c r="H5567" s="549"/>
      <c r="I5567" s="560"/>
      <c r="J5567" s="549"/>
      <c r="K5567" s="561">
        <f t="shared" ref="K5567" si="1214">SUM(K5566)</f>
        <v>2</v>
      </c>
      <c r="L5567" s="565">
        <f>SUM(L5566)</f>
        <v>0.33579999999999999</v>
      </c>
      <c r="M5567" s="652"/>
      <c r="N5567" s="565"/>
      <c r="O5567" s="549"/>
      <c r="P5567" s="549"/>
      <c r="Q5567" s="1059"/>
      <c r="R5567" s="1059"/>
    </row>
    <row r="5568" spans="1:23" s="497" customFormat="1" ht="17.399999999999999">
      <c r="A5568" s="549"/>
      <c r="B5568" s="550"/>
      <c r="C5568" s="550"/>
      <c r="D5568" s="549"/>
      <c r="E5568" s="549"/>
      <c r="F5568" s="549"/>
      <c r="G5568" s="869"/>
      <c r="H5568" s="650"/>
      <c r="I5568" s="1882"/>
      <c r="J5568" s="871"/>
      <c r="K5568" s="757"/>
      <c r="L5568" s="756">
        <f>+L5567+L5564</f>
        <v>7.0287999999999995</v>
      </c>
      <c r="M5568" s="652"/>
      <c r="N5568" s="565"/>
      <c r="O5568" s="549"/>
      <c r="P5568" s="549"/>
      <c r="Q5568" s="1059"/>
      <c r="R5568" s="1059"/>
    </row>
    <row r="5569" spans="1:18" s="497" customFormat="1" ht="17.399999999999999">
      <c r="A5569" s="549"/>
      <c r="B5569" s="550"/>
      <c r="C5569" s="550"/>
      <c r="D5569" s="549"/>
      <c r="E5569" s="549"/>
      <c r="F5569" s="549"/>
      <c r="G5569" s="869"/>
      <c r="H5569" s="650"/>
      <c r="I5569" s="1882"/>
      <c r="J5569" s="871"/>
      <c r="K5569" s="757"/>
      <c r="L5569" s="756"/>
      <c r="M5569" s="652"/>
      <c r="N5569" s="565"/>
      <c r="O5569" s="549"/>
      <c r="P5569" s="549"/>
      <c r="Q5569" s="1059"/>
      <c r="R5569" s="1059"/>
    </row>
    <row r="5570" spans="1:18" s="497" customFormat="1" ht="17.399999999999999">
      <c r="A5570" s="549"/>
      <c r="B5570" s="550"/>
      <c r="C5570" s="550"/>
      <c r="D5570" s="549"/>
      <c r="E5570" s="549"/>
      <c r="F5570" s="549"/>
      <c r="G5570" s="869"/>
      <c r="H5570" s="650"/>
      <c r="I5570" s="1882"/>
      <c r="J5570" s="871"/>
      <c r="K5570" s="757"/>
      <c r="L5570" s="756">
        <f>+L5568+L5558+L5545</f>
        <v>38.689519999999995</v>
      </c>
      <c r="M5570" s="652"/>
      <c r="N5570" s="565"/>
      <c r="O5570" s="549"/>
      <c r="P5570" s="549"/>
      <c r="Q5570" s="1059"/>
      <c r="R5570" s="1059"/>
    </row>
    <row r="5571" spans="1:18" s="497" customFormat="1" ht="17.399999999999999">
      <c r="A5571" s="549"/>
      <c r="B5571" s="550"/>
      <c r="C5571" s="550"/>
      <c r="D5571" s="549"/>
      <c r="E5571" s="549"/>
      <c r="F5571" s="549"/>
      <c r="G5571" s="869"/>
      <c r="H5571" s="650"/>
      <c r="I5571" s="1882"/>
      <c r="J5571" s="871"/>
      <c r="K5571" s="757"/>
      <c r="L5571" s="756"/>
      <c r="M5571" s="652"/>
      <c r="N5571" s="565"/>
      <c r="O5571" s="549"/>
      <c r="P5571" s="549"/>
      <c r="Q5571" s="1059"/>
      <c r="R5571" s="1059"/>
    </row>
    <row r="5572" spans="1:18" s="497" customFormat="1" ht="17.399999999999999">
      <c r="A5572" s="549"/>
      <c r="B5572" s="550"/>
      <c r="C5572" s="550"/>
      <c r="D5572" s="549"/>
      <c r="E5572" s="549"/>
      <c r="F5572" s="549"/>
      <c r="G5572" s="549"/>
      <c r="H5572" s="549"/>
      <c r="I5572" s="560"/>
      <c r="J5572" s="549"/>
      <c r="K5572" s="652"/>
      <c r="L5572" s="565"/>
      <c r="M5572" s="652"/>
      <c r="N5572" s="565"/>
      <c r="O5572" s="549"/>
      <c r="P5572" s="549"/>
      <c r="Q5572" s="1059"/>
      <c r="R5572" s="1059"/>
    </row>
    <row r="5573" spans="1:18" ht="17.399999999999999">
      <c r="A5573" s="549"/>
      <c r="B5573" s="549"/>
      <c r="C5573" s="549"/>
      <c r="D5573" s="549"/>
      <c r="E5573" s="549"/>
      <c r="F5573" s="549"/>
      <c r="G5573" s="549"/>
      <c r="H5573" s="549"/>
      <c r="I5573" s="560"/>
      <c r="J5573" s="549"/>
      <c r="K5573" s="561"/>
      <c r="L5573" s="560"/>
      <c r="M5573" s="549"/>
      <c r="N5573" s="549"/>
      <c r="O5573" s="549"/>
      <c r="P5573" s="549"/>
      <c r="Q5573" s="1059"/>
      <c r="R5573" s="1059"/>
    </row>
    <row r="5574" spans="1:18" ht="17.399999999999999">
      <c r="A5574" s="549"/>
      <c r="B5574" s="549"/>
      <c r="C5574" s="549"/>
      <c r="D5574" s="549"/>
      <c r="E5574" s="549"/>
      <c r="F5574" s="549"/>
      <c r="G5574" s="549"/>
      <c r="H5574" s="549"/>
      <c r="I5574" s="560"/>
      <c r="J5574" s="549"/>
      <c r="K5574" s="561"/>
      <c r="L5574" s="568">
        <f>+L5540+L5530+L5521+L5496+L5486+L5421+L5377+L5343+L5309+L5425+L5568+L5558+L5545</f>
        <v>708.79725299999996</v>
      </c>
      <c r="M5574" s="549"/>
      <c r="N5574" s="568">
        <f>+N5540+N5530+N5521+N5496+N5486+N5421+N5377+N5343+N5309+N5425+N5449</f>
        <v>32.582927999999995</v>
      </c>
      <c r="O5574" s="549"/>
      <c r="P5574" s="549"/>
      <c r="Q5574" s="1059"/>
      <c r="R5574" s="1059"/>
    </row>
    <row r="5575" spans="1:18" ht="18">
      <c r="A5575" s="653" t="s">
        <v>48</v>
      </c>
      <c r="B5575" s="653"/>
      <c r="C5575" s="654"/>
      <c r="D5575" s="654"/>
      <c r="E5575" s="654"/>
      <c r="F5575" s="868"/>
      <c r="G5575" s="654"/>
      <c r="H5575" s="868"/>
      <c r="I5575" s="656"/>
      <c r="J5575" s="654"/>
      <c r="K5575" s="657"/>
      <c r="L5575" s="2003" t="s">
        <v>0</v>
      </c>
      <c r="M5575" s="2003"/>
      <c r="N5575" s="2003"/>
      <c r="O5575" s="2004"/>
      <c r="P5575" s="2010"/>
      <c r="Q5575" s="1064"/>
      <c r="R5575" s="1064"/>
    </row>
    <row r="5576" spans="1:18" ht="18">
      <c r="A5576" s="658" t="s">
        <v>1</v>
      </c>
      <c r="B5576" s="658"/>
      <c r="C5576" s="658"/>
      <c r="D5576" s="659" t="s">
        <v>2</v>
      </c>
      <c r="E5576" s="659"/>
      <c r="F5576" s="660"/>
      <c r="G5576" s="660"/>
      <c r="H5576" s="660"/>
      <c r="I5576" s="661"/>
      <c r="J5576" s="660"/>
      <c r="K5576" s="662" t="s">
        <v>3</v>
      </c>
      <c r="L5576" s="660"/>
      <c r="M5576" s="658"/>
      <c r="N5576" s="660"/>
      <c r="O5576" s="663"/>
      <c r="P5576" s="2010"/>
      <c r="Q5576" s="1064"/>
      <c r="R5576" s="1064"/>
    </row>
    <row r="5577" spans="1:18" ht="18">
      <c r="A5577" s="868" t="s">
        <v>22</v>
      </c>
      <c r="B5577" s="1990" t="s">
        <v>23</v>
      </c>
      <c r="C5577" s="2005"/>
      <c r="D5577" s="1989"/>
      <c r="E5577" s="868" t="s">
        <v>24</v>
      </c>
      <c r="F5577" s="1990" t="s">
        <v>25</v>
      </c>
      <c r="G5577" s="1989"/>
      <c r="H5577" s="1990" t="s">
        <v>26</v>
      </c>
      <c r="I5577" s="2005"/>
      <c r="J5577" s="2005"/>
      <c r="K5577" s="1989"/>
      <c r="L5577" s="2006" t="s">
        <v>27</v>
      </c>
      <c r="M5577" s="2006"/>
      <c r="N5577" s="2006"/>
      <c r="O5577" s="1990"/>
      <c r="P5577" s="2010"/>
      <c r="Q5577" s="1064"/>
      <c r="R5577" s="1064"/>
    </row>
    <row r="5578" spans="1:18" ht="18">
      <c r="A5578" s="664"/>
      <c r="B5578" s="1975"/>
      <c r="C5578" s="1976"/>
      <c r="D5578" s="1977"/>
      <c r="E5578" s="665"/>
      <c r="F5578" s="1975"/>
      <c r="G5578" s="1977"/>
      <c r="H5578" s="1975"/>
      <c r="I5578" s="1976"/>
      <c r="J5578" s="1976"/>
      <c r="K5578" s="1977"/>
      <c r="L5578" s="1975"/>
      <c r="M5578" s="1976"/>
      <c r="N5578" s="1976"/>
      <c r="O5578" s="1976"/>
      <c r="P5578" s="2010"/>
      <c r="Q5578" s="1064"/>
      <c r="R5578" s="1064"/>
    </row>
    <row r="5579" spans="1:18" ht="18">
      <c r="A5579" s="664"/>
      <c r="B5579" s="862"/>
      <c r="C5579" s="861"/>
      <c r="D5579" s="863"/>
      <c r="E5579" s="665"/>
      <c r="F5579" s="862"/>
      <c r="G5579" s="863"/>
      <c r="H5579" s="862"/>
      <c r="I5579" s="1842"/>
      <c r="J5579" s="861"/>
      <c r="K5579" s="863"/>
      <c r="L5579" s="861"/>
      <c r="M5579" s="861"/>
      <c r="N5579" s="861"/>
      <c r="O5579" s="861"/>
      <c r="P5579" s="2010"/>
      <c r="Q5579" s="1064"/>
      <c r="R5579" s="1064"/>
    </row>
    <row r="5580" spans="1:18" ht="18">
      <c r="A5580" s="664" t="s">
        <v>28</v>
      </c>
      <c r="B5580" s="1975" t="s">
        <v>184</v>
      </c>
      <c r="C5580" s="1976"/>
      <c r="D5580" s="1977"/>
      <c r="E5580" s="901">
        <f>+L5377-36</f>
        <v>31.334379999999982</v>
      </c>
      <c r="F5580" s="1975">
        <v>16</v>
      </c>
      <c r="G5580" s="1977"/>
      <c r="H5580" s="1975" t="s">
        <v>49</v>
      </c>
      <c r="I5580" s="1976"/>
      <c r="J5580" s="1976"/>
      <c r="K5580" s="1977"/>
      <c r="L5580" s="1976" t="s">
        <v>557</v>
      </c>
      <c r="M5580" s="1976"/>
      <c r="N5580" s="1976"/>
      <c r="O5580" s="1976"/>
      <c r="P5580" s="2010"/>
      <c r="Q5580" s="1064"/>
      <c r="R5580" s="1064"/>
    </row>
    <row r="5581" spans="1:18" ht="18">
      <c r="A5581" s="664" t="s">
        <v>29</v>
      </c>
      <c r="B5581" s="1975" t="s">
        <v>185</v>
      </c>
      <c r="C5581" s="1976"/>
      <c r="D5581" s="1977"/>
      <c r="E5581" s="901">
        <f>+L5421-3.919+92.3+11.262</f>
        <v>255.43595799999997</v>
      </c>
      <c r="F5581" s="1975">
        <v>16</v>
      </c>
      <c r="G5581" s="1977"/>
      <c r="H5581" s="1975" t="s">
        <v>49</v>
      </c>
      <c r="I5581" s="1976"/>
      <c r="J5581" s="1976"/>
      <c r="K5581" s="1977"/>
      <c r="L5581" s="1976" t="s">
        <v>563</v>
      </c>
      <c r="M5581" s="1976"/>
      <c r="N5581" s="1976"/>
      <c r="O5581" s="1976"/>
      <c r="P5581" s="2010"/>
      <c r="Q5581" s="1064"/>
      <c r="R5581" s="1064"/>
    </row>
    <row r="5582" spans="1:18" s="497" customFormat="1" ht="18">
      <c r="A5582" s="664" t="s">
        <v>30</v>
      </c>
      <c r="B5582" s="1975" t="s">
        <v>186</v>
      </c>
      <c r="C5582" s="1976"/>
      <c r="D5582" s="1977"/>
      <c r="E5582" s="665">
        <f>+L5486-9.366</f>
        <v>118.42755999999999</v>
      </c>
      <c r="F5582" s="1975">
        <v>16</v>
      </c>
      <c r="G5582" s="1977"/>
      <c r="H5582" s="1975" t="s">
        <v>49</v>
      </c>
      <c r="I5582" s="1976"/>
      <c r="J5582" s="1976"/>
      <c r="K5582" s="1977"/>
      <c r="L5582" s="1976" t="s">
        <v>557</v>
      </c>
      <c r="M5582" s="1976"/>
      <c r="N5582" s="1976"/>
      <c r="O5582" s="1976"/>
      <c r="P5582" s="2010"/>
      <c r="Q5582" s="1064"/>
      <c r="R5582" s="1064"/>
    </row>
    <row r="5583" spans="1:18" s="497" customFormat="1" ht="18">
      <c r="A5583" s="664" t="s">
        <v>46</v>
      </c>
      <c r="B5583" s="1975" t="s">
        <v>555</v>
      </c>
      <c r="C5583" s="1976"/>
      <c r="D5583" s="1977"/>
      <c r="E5583" s="665">
        <f>+L5496-0.575</f>
        <v>31.336625000000002</v>
      </c>
      <c r="F5583" s="1975">
        <v>16</v>
      </c>
      <c r="G5583" s="1977"/>
      <c r="H5583" s="1975" t="s">
        <v>49</v>
      </c>
      <c r="I5583" s="1976"/>
      <c r="J5583" s="1976"/>
      <c r="K5583" s="1977"/>
      <c r="L5583" s="1976" t="s">
        <v>557</v>
      </c>
      <c r="M5583" s="1976"/>
      <c r="N5583" s="1976"/>
      <c r="O5583" s="1976"/>
      <c r="P5583" s="2010"/>
      <c r="Q5583" s="1064"/>
      <c r="R5583" s="1064"/>
    </row>
    <row r="5584" spans="1:18" s="497" customFormat="1" ht="18">
      <c r="A5584" s="664" t="s">
        <v>58</v>
      </c>
      <c r="B5584" s="1975" t="s">
        <v>187</v>
      </c>
      <c r="C5584" s="1976"/>
      <c r="D5584" s="1977"/>
      <c r="E5584" s="665">
        <f>+L5521+20.399</f>
        <v>76.239785000000012</v>
      </c>
      <c r="F5584" s="1975">
        <v>16</v>
      </c>
      <c r="G5584" s="1977"/>
      <c r="H5584" s="1975" t="s">
        <v>49</v>
      </c>
      <c r="I5584" s="1976"/>
      <c r="J5584" s="1976"/>
      <c r="K5584" s="1977"/>
      <c r="L5584" s="1976" t="s">
        <v>557</v>
      </c>
      <c r="M5584" s="1976"/>
      <c r="N5584" s="1976"/>
      <c r="O5584" s="1976"/>
      <c r="P5584" s="2010"/>
      <c r="Q5584" s="1064"/>
      <c r="R5584" s="1064"/>
    </row>
    <row r="5585" spans="1:18" s="497" customFormat="1" ht="18">
      <c r="A5585" s="664" t="s">
        <v>163</v>
      </c>
      <c r="B5585" s="1975" t="s">
        <v>556</v>
      </c>
      <c r="C5585" s="1976"/>
      <c r="D5585" s="1977"/>
      <c r="E5585" s="665">
        <f>+L5530-1.164</f>
        <v>28.811399999999999</v>
      </c>
      <c r="F5585" s="1975">
        <v>16</v>
      </c>
      <c r="G5585" s="1977"/>
      <c r="H5585" s="1975" t="s">
        <v>49</v>
      </c>
      <c r="I5585" s="1976"/>
      <c r="J5585" s="1976"/>
      <c r="K5585" s="1977"/>
      <c r="L5585" s="1976" t="s">
        <v>557</v>
      </c>
      <c r="M5585" s="1976"/>
      <c r="N5585" s="1976"/>
      <c r="O5585" s="1976"/>
      <c r="P5585" s="2010"/>
      <c r="Q5585" s="1064"/>
      <c r="R5585" s="1064"/>
    </row>
    <row r="5586" spans="1:18" ht="18">
      <c r="A5586" s="664" t="s">
        <v>302</v>
      </c>
      <c r="B5586" s="1975" t="s">
        <v>188</v>
      </c>
      <c r="C5586" s="1976"/>
      <c r="D5586" s="1977"/>
      <c r="E5586" s="665">
        <f>+L5540+7.029</f>
        <v>15.964500000000001</v>
      </c>
      <c r="F5586" s="1975">
        <v>16</v>
      </c>
      <c r="G5586" s="1977"/>
      <c r="H5586" s="1975" t="s">
        <v>49</v>
      </c>
      <c r="I5586" s="1976"/>
      <c r="J5586" s="1976"/>
      <c r="K5586" s="1977"/>
      <c r="L5586" s="1976" t="s">
        <v>557</v>
      </c>
      <c r="M5586" s="1976"/>
      <c r="N5586" s="1976"/>
      <c r="O5586" s="1976"/>
      <c r="P5586" s="2010"/>
      <c r="Q5586" s="1064"/>
      <c r="R5586" s="1064"/>
    </row>
    <row r="5587" spans="1:18" ht="18">
      <c r="A5587" s="664"/>
      <c r="B5587" s="1975"/>
      <c r="C5587" s="1976"/>
      <c r="D5587" s="1977"/>
      <c r="E5587" s="665"/>
      <c r="F5587" s="1975"/>
      <c r="G5587" s="1977"/>
      <c r="H5587" s="1975"/>
      <c r="I5587" s="1976"/>
      <c r="J5587" s="1976"/>
      <c r="K5587" s="1977"/>
      <c r="L5587" s="1976"/>
      <c r="M5587" s="1976"/>
      <c r="N5587" s="1976"/>
      <c r="O5587" s="1976"/>
      <c r="P5587" s="2010"/>
      <c r="Q5587" s="1064"/>
      <c r="R5587" s="1064"/>
    </row>
    <row r="5588" spans="1:18" ht="18.600000000000001" thickBot="1">
      <c r="A5588" s="664"/>
      <c r="B5588" s="862"/>
      <c r="C5588" s="861"/>
      <c r="D5588" s="861"/>
      <c r="E5588" s="665"/>
      <c r="F5588" s="861"/>
      <c r="G5588" s="863"/>
      <c r="H5588" s="862"/>
      <c r="I5588" s="1842"/>
      <c r="J5588" s="861"/>
      <c r="K5588" s="669"/>
      <c r="L5588" s="672"/>
      <c r="M5588" s="673"/>
      <c r="N5588" s="673"/>
      <c r="O5588" s="673"/>
      <c r="P5588" s="2010"/>
      <c r="Q5588" s="1064"/>
      <c r="R5588" s="1064"/>
    </row>
    <row r="5589" spans="1:18" ht="18">
      <c r="A5589" s="674"/>
      <c r="B5589" s="675"/>
      <c r="C5589" s="676"/>
      <c r="D5589" s="676"/>
      <c r="E5589" s="1980">
        <f>SUM(E5578:E5588)</f>
        <v>557.550208</v>
      </c>
      <c r="F5589" s="677"/>
      <c r="G5589" s="678"/>
      <c r="H5589" s="679"/>
      <c r="I5589" s="1848"/>
      <c r="J5589" s="676"/>
      <c r="K5589" s="680"/>
      <c r="L5589" s="679"/>
      <c r="M5589" s="676"/>
      <c r="N5589" s="677"/>
      <c r="O5589" s="676"/>
      <c r="P5589" s="2010"/>
      <c r="Q5589" s="1064"/>
      <c r="R5589" s="1064"/>
    </row>
    <row r="5590" spans="1:18" ht="18.600000000000001" thickBot="1">
      <c r="A5590" s="681"/>
      <c r="B5590" s="682"/>
      <c r="C5590" s="683"/>
      <c r="D5590" s="683"/>
      <c r="E5590" s="1981"/>
      <c r="F5590" s="684"/>
      <c r="G5590" s="685"/>
      <c r="H5590" s="686"/>
      <c r="I5590" s="1850"/>
      <c r="J5590" s="683"/>
      <c r="K5590" s="687"/>
      <c r="L5590" s="686"/>
      <c r="M5590" s="683"/>
      <c r="N5590" s="684"/>
      <c r="O5590" s="683"/>
      <c r="P5590" s="2010"/>
      <c r="Q5590" s="1064"/>
      <c r="R5590" s="1064"/>
    </row>
    <row r="5591" spans="1:18" ht="18">
      <c r="A5591" s="688" t="s">
        <v>31</v>
      </c>
      <c r="B5591" s="676"/>
      <c r="C5591" s="676"/>
      <c r="D5591" s="676"/>
      <c r="E5591" s="676"/>
      <c r="F5591" s="677"/>
      <c r="G5591" s="676"/>
      <c r="H5591" s="677"/>
      <c r="I5591" s="1848"/>
      <c r="J5591" s="676"/>
      <c r="K5591" s="689"/>
      <c r="L5591" s="677"/>
      <c r="M5591" s="676"/>
      <c r="N5591" s="677"/>
      <c r="O5591" s="676"/>
      <c r="P5591" s="2010"/>
      <c r="Q5591" s="1064"/>
      <c r="R5591" s="1064"/>
    </row>
    <row r="5592" spans="1:18" ht="18">
      <c r="A5592" s="690"/>
      <c r="B5592" s="691"/>
      <c r="C5592" s="691"/>
      <c r="D5592" s="691"/>
      <c r="E5592" s="691"/>
      <c r="F5592" s="866"/>
      <c r="G5592" s="691"/>
      <c r="H5592" s="866"/>
      <c r="I5592" s="1849"/>
      <c r="J5592" s="691"/>
      <c r="K5592" s="693"/>
      <c r="L5592" s="866"/>
      <c r="M5592" s="691"/>
      <c r="N5592" s="866"/>
      <c r="O5592" s="691"/>
      <c r="P5592" s="2010"/>
      <c r="Q5592" s="1064"/>
      <c r="R5592" s="1064"/>
    </row>
    <row r="5593" spans="1:18" ht="18.600000000000001" thickBot="1">
      <c r="A5593" s="1982" t="s">
        <v>32</v>
      </c>
      <c r="B5593" s="1983"/>
      <c r="C5593" s="1984" t="s">
        <v>33</v>
      </c>
      <c r="D5593" s="1985"/>
      <c r="E5593" s="694" t="s">
        <v>34</v>
      </c>
      <c r="F5593" s="694" t="s">
        <v>35</v>
      </c>
      <c r="G5593" s="1986" t="s">
        <v>36</v>
      </c>
      <c r="H5593" s="1987"/>
      <c r="I5593" s="1987"/>
      <c r="J5593" s="1987"/>
      <c r="K5593" s="1987"/>
      <c r="L5593" s="1987"/>
      <c r="M5593" s="1987"/>
      <c r="N5593" s="1987"/>
      <c r="O5593" s="1987"/>
      <c r="P5593" s="2010"/>
      <c r="Q5593" s="1064"/>
      <c r="R5593" s="1064"/>
    </row>
    <row r="5594" spans="1:18" ht="18">
      <c r="A5594" s="1988"/>
      <c r="B5594" s="1989"/>
      <c r="C5594" s="1990"/>
      <c r="D5594" s="1989"/>
      <c r="E5594" s="868"/>
      <c r="F5594" s="867"/>
      <c r="G5594" s="1991"/>
      <c r="H5594" s="1992"/>
      <c r="I5594" s="1992"/>
      <c r="J5594" s="1992"/>
      <c r="K5594" s="1992"/>
      <c r="L5594" s="1992"/>
      <c r="M5594" s="1992"/>
      <c r="N5594" s="1992"/>
      <c r="O5594" s="1992"/>
      <c r="P5594" s="2010"/>
      <c r="Q5594" s="1064"/>
      <c r="R5594" s="1064"/>
    </row>
    <row r="5595" spans="1:18" ht="18">
      <c r="A5595" s="1997" t="s">
        <v>37</v>
      </c>
      <c r="B5595" s="1998"/>
      <c r="C5595" s="1990"/>
      <c r="D5595" s="1989"/>
      <c r="E5595" s="868"/>
      <c r="F5595" s="867"/>
      <c r="G5595" s="1993"/>
      <c r="H5595" s="1994"/>
      <c r="I5595" s="1994"/>
      <c r="J5595" s="1994"/>
      <c r="K5595" s="1994"/>
      <c r="L5595" s="1994"/>
      <c r="M5595" s="1994"/>
      <c r="N5595" s="1994"/>
      <c r="O5595" s="1994"/>
      <c r="P5595" s="2010"/>
      <c r="Q5595" s="1064"/>
      <c r="R5595" s="1064"/>
    </row>
    <row r="5596" spans="1:18" ht="18">
      <c r="A5596" s="1997" t="s">
        <v>38</v>
      </c>
      <c r="B5596" s="1998"/>
      <c r="C5596" s="1990"/>
      <c r="D5596" s="1989"/>
      <c r="E5596" s="868"/>
      <c r="F5596" s="867"/>
      <c r="G5596" s="1993"/>
      <c r="H5596" s="1994"/>
      <c r="I5596" s="1994"/>
      <c r="J5596" s="1994"/>
      <c r="K5596" s="1994"/>
      <c r="L5596" s="1994"/>
      <c r="M5596" s="1994"/>
      <c r="N5596" s="1994"/>
      <c r="O5596" s="1994"/>
      <c r="P5596" s="2010"/>
      <c r="Q5596" s="1064"/>
      <c r="R5596" s="1064"/>
    </row>
    <row r="5597" spans="1:18" ht="18">
      <c r="A5597" s="1997" t="s">
        <v>39</v>
      </c>
      <c r="B5597" s="1998"/>
      <c r="C5597" s="1990"/>
      <c r="D5597" s="1989"/>
      <c r="E5597" s="868"/>
      <c r="F5597" s="867"/>
      <c r="G5597" s="1993"/>
      <c r="H5597" s="1994"/>
      <c r="I5597" s="1994"/>
      <c r="J5597" s="1994"/>
      <c r="K5597" s="1994"/>
      <c r="L5597" s="1994"/>
      <c r="M5597" s="1994"/>
      <c r="N5597" s="1994"/>
      <c r="O5597" s="1994"/>
      <c r="P5597" s="2010"/>
      <c r="Q5597" s="1064"/>
      <c r="R5597" s="1064"/>
    </row>
    <row r="5598" spans="1:18" ht="18">
      <c r="A5598" s="1997" t="s">
        <v>40</v>
      </c>
      <c r="B5598" s="1998"/>
      <c r="C5598" s="1990"/>
      <c r="D5598" s="1989"/>
      <c r="E5598" s="868"/>
      <c r="F5598" s="867"/>
      <c r="G5598" s="1993"/>
      <c r="H5598" s="1994"/>
      <c r="I5598" s="1994"/>
      <c r="J5598" s="1994"/>
      <c r="K5598" s="1994"/>
      <c r="L5598" s="1994"/>
      <c r="M5598" s="1994"/>
      <c r="N5598" s="1994"/>
      <c r="O5598" s="1994"/>
      <c r="P5598" s="2010"/>
      <c r="Q5598" s="1064"/>
      <c r="R5598" s="1064"/>
    </row>
    <row r="5599" spans="1:18" ht="18.600000000000001" thickBot="1">
      <c r="A5599" s="1999" t="s">
        <v>41</v>
      </c>
      <c r="B5599" s="2000"/>
      <c r="C5599" s="2001"/>
      <c r="D5599" s="2002"/>
      <c r="E5599" s="696"/>
      <c r="F5599" s="865"/>
      <c r="G5599" s="1995"/>
      <c r="H5599" s="1996"/>
      <c r="I5599" s="1996"/>
      <c r="J5599" s="1996"/>
      <c r="K5599" s="1996"/>
      <c r="L5599" s="1996"/>
      <c r="M5599" s="1996"/>
      <c r="N5599" s="1996"/>
      <c r="O5599" s="1996"/>
      <c r="P5599" s="2010"/>
      <c r="Q5599" s="1064"/>
      <c r="R5599" s="1064"/>
    </row>
    <row r="5600" spans="1:18" ht="18">
      <c r="A5600" s="690"/>
      <c r="B5600" s="691"/>
      <c r="C5600" s="691"/>
      <c r="D5600" s="691"/>
      <c r="E5600" s="691"/>
      <c r="F5600" s="866"/>
      <c r="G5600" s="691"/>
      <c r="H5600" s="698"/>
      <c r="I5600" s="699"/>
      <c r="J5600" s="700"/>
      <c r="K5600" s="701"/>
      <c r="L5600" s="702"/>
      <c r="M5600" s="691"/>
      <c r="N5600" s="866"/>
      <c r="O5600" s="691"/>
      <c r="P5600" s="2010"/>
      <c r="Q5600" s="1064"/>
      <c r="R5600" s="1064"/>
    </row>
    <row r="5601" spans="1:18" ht="18">
      <c r="A5601" s="703" t="s">
        <v>42</v>
      </c>
      <c r="B5601" s="704"/>
      <c r="C5601" s="691"/>
      <c r="D5601" s="691"/>
      <c r="E5601" s="691"/>
      <c r="F5601" s="866"/>
      <c r="G5601" s="704"/>
      <c r="H5601" s="698"/>
      <c r="I5601" s="699"/>
      <c r="J5601" s="700"/>
      <c r="K5601" s="693"/>
      <c r="L5601" s="705"/>
      <c r="M5601" s="691"/>
      <c r="N5601" s="1979" t="s">
        <v>43</v>
      </c>
      <c r="O5601" s="1979"/>
      <c r="P5601" s="2010"/>
      <c r="Q5601" s="1064"/>
      <c r="R5601" s="1064"/>
    </row>
    <row r="5602" spans="1:18" ht="18">
      <c r="A5602" s="703"/>
      <c r="B5602" s="704"/>
      <c r="C5602" s="691"/>
      <c r="D5602" s="691"/>
      <c r="E5602" s="691"/>
      <c r="F5602" s="866"/>
      <c r="G5602" s="691"/>
      <c r="H5602" s="866"/>
      <c r="I5602" s="1849"/>
      <c r="J5602" s="691"/>
      <c r="K5602" s="693"/>
      <c r="L5602" s="866"/>
      <c r="M5602" s="691"/>
      <c r="N5602" s="866"/>
      <c r="O5602" s="704"/>
      <c r="P5602" s="2010"/>
      <c r="Q5602" s="1064"/>
      <c r="R5602" s="1064"/>
    </row>
    <row r="5603" spans="1:18" ht="18">
      <c r="A5603" s="703" t="s">
        <v>44</v>
      </c>
      <c r="B5603" s="704"/>
      <c r="C5603" s="691"/>
      <c r="D5603" s="691"/>
      <c r="E5603" s="691"/>
      <c r="F5603" s="866"/>
      <c r="G5603" s="691"/>
      <c r="H5603" s="866"/>
      <c r="I5603" s="1849"/>
      <c r="J5603" s="691"/>
      <c r="K5603" s="693"/>
      <c r="L5603" s="866"/>
      <c r="M5603" s="691"/>
      <c r="N5603" s="1979" t="s">
        <v>45</v>
      </c>
      <c r="O5603" s="1979"/>
      <c r="P5603" s="2010"/>
      <c r="Q5603" s="1064"/>
      <c r="R5603" s="1064"/>
    </row>
    <row r="5604" spans="1:18" ht="18.600000000000001" thickBot="1">
      <c r="A5604" s="682"/>
      <c r="B5604" s="683"/>
      <c r="C5604" s="683"/>
      <c r="D5604" s="683"/>
      <c r="E5604" s="683"/>
      <c r="F5604" s="684"/>
      <c r="G5604" s="683"/>
      <c r="H5604" s="684"/>
      <c r="I5604" s="1850"/>
      <c r="J5604" s="683"/>
      <c r="K5604" s="706"/>
      <c r="L5604" s="684"/>
      <c r="M5604" s="683"/>
      <c r="N5604" s="684"/>
      <c r="O5604" s="683"/>
      <c r="P5604" s="2010"/>
      <c r="Q5604" s="1064"/>
      <c r="R5604" s="1064"/>
    </row>
    <row r="5609" spans="1:18" ht="17.399999999999999">
      <c r="A5609" s="711" t="s">
        <v>48</v>
      </c>
      <c r="B5609" s="711"/>
      <c r="C5609" s="712"/>
      <c r="D5609" s="712"/>
      <c r="E5609" s="712"/>
      <c r="F5609" s="713"/>
      <c r="G5609" s="712"/>
      <c r="H5609" s="712"/>
      <c r="I5609" s="714"/>
      <c r="J5609" s="715"/>
      <c r="K5609" s="716"/>
      <c r="L5609" s="1978" t="s">
        <v>0</v>
      </c>
      <c r="M5609" s="1978"/>
      <c r="N5609" s="1978"/>
      <c r="O5609" s="1978"/>
      <c r="P5609" s="717"/>
      <c r="Q5609" s="717"/>
      <c r="R5609" s="717"/>
    </row>
    <row r="5610" spans="1:18" ht="17.399999999999999">
      <c r="A5610" s="718" t="s">
        <v>1</v>
      </c>
      <c r="B5610" s="718"/>
      <c r="C5610" s="718"/>
      <c r="D5610" s="719" t="s">
        <v>2</v>
      </c>
      <c r="E5610" s="719"/>
      <c r="F5610" s="720"/>
      <c r="G5610" s="720"/>
      <c r="H5610" s="720"/>
      <c r="I5610" s="721"/>
      <c r="J5610" s="864"/>
      <c r="K5610" s="723" t="s">
        <v>3</v>
      </c>
      <c r="L5610" s="864"/>
      <c r="M5610" s="718"/>
      <c r="N5610" s="720"/>
      <c r="O5610" s="718"/>
      <c r="P5610" s="724"/>
      <c r="Q5610" s="1059"/>
      <c r="R5610" s="1059"/>
    </row>
    <row r="5611" spans="1:18" ht="52.2">
      <c r="A5611" s="640" t="s">
        <v>4</v>
      </c>
      <c r="B5611" s="640" t="s">
        <v>5</v>
      </c>
      <c r="C5611" s="640" t="s">
        <v>6</v>
      </c>
      <c r="D5611" s="640" t="s">
        <v>7</v>
      </c>
      <c r="E5611" s="640" t="s">
        <v>8</v>
      </c>
      <c r="F5611" s="641" t="s">
        <v>9</v>
      </c>
      <c r="G5611" s="642" t="s">
        <v>10</v>
      </c>
      <c r="H5611" s="642" t="s">
        <v>11</v>
      </c>
      <c r="I5611" s="643" t="s">
        <v>12</v>
      </c>
      <c r="J5611" s="644" t="s">
        <v>13</v>
      </c>
      <c r="K5611" s="645" t="s">
        <v>14</v>
      </c>
      <c r="L5611" s="646" t="s">
        <v>15</v>
      </c>
      <c r="M5611" s="641" t="s">
        <v>16</v>
      </c>
      <c r="N5611" s="641" t="s">
        <v>17</v>
      </c>
      <c r="O5611" s="642" t="s">
        <v>18</v>
      </c>
      <c r="P5611" s="641" t="s">
        <v>192</v>
      </c>
      <c r="Q5611" s="1063"/>
      <c r="R5611" s="1063"/>
    </row>
    <row r="5612" spans="1:18" ht="17.399999999999999">
      <c r="A5612" s="549"/>
      <c r="B5612" s="549"/>
      <c r="C5612" s="549"/>
      <c r="D5612" s="549"/>
      <c r="E5612" s="549"/>
      <c r="F5612" s="549"/>
      <c r="G5612" s="549"/>
      <c r="H5612" s="549"/>
      <c r="I5612" s="560"/>
      <c r="J5612" s="549"/>
      <c r="K5612" s="561"/>
      <c r="L5612" s="560"/>
      <c r="M5612" s="549"/>
      <c r="N5612" s="549"/>
      <c r="O5612" s="549"/>
      <c r="P5612" s="549"/>
      <c r="Q5612" s="1059"/>
      <c r="R5612" s="1059"/>
    </row>
    <row r="5613" spans="1:18" ht="17.399999999999999">
      <c r="A5613" s="547" t="s">
        <v>481</v>
      </c>
      <c r="B5613" s="547" t="s">
        <v>442</v>
      </c>
      <c r="C5613" s="547" t="s">
        <v>19</v>
      </c>
      <c r="D5613" s="547" t="s">
        <v>20</v>
      </c>
      <c r="E5613" s="780" t="s">
        <v>420</v>
      </c>
      <c r="F5613" s="549">
        <v>16</v>
      </c>
      <c r="G5613" s="549" t="s">
        <v>21</v>
      </c>
      <c r="H5613" s="549" t="s">
        <v>179</v>
      </c>
      <c r="I5613" s="558">
        <v>33.799999999999997</v>
      </c>
      <c r="J5613" s="567">
        <v>9</v>
      </c>
      <c r="K5613" s="648">
        <v>2</v>
      </c>
      <c r="L5613" s="725">
        <f>(I5613*J5613*K5613/1000)</f>
        <v>0.60839999999999994</v>
      </c>
      <c r="M5613" s="549"/>
      <c r="N5613" s="549"/>
      <c r="O5613" s="549"/>
      <c r="P5613" s="549"/>
      <c r="Q5613" s="1059"/>
      <c r="R5613" s="1059"/>
    </row>
    <row r="5614" spans="1:18" ht="17.399999999999999">
      <c r="A5614" s="549"/>
      <c r="B5614" s="549" t="s">
        <v>206</v>
      </c>
      <c r="C5614" s="549"/>
      <c r="D5614" s="549"/>
      <c r="E5614" s="549"/>
      <c r="F5614" s="549"/>
      <c r="G5614" s="650"/>
      <c r="H5614" s="549"/>
      <c r="I5614" s="558"/>
      <c r="J5614" s="567"/>
      <c r="K5614" s="648">
        <f t="shared" ref="K5614" si="1215">SUM(K5613)</f>
        <v>2</v>
      </c>
      <c r="L5614" s="710">
        <f>SUM(L5613)</f>
        <v>0.60839999999999994</v>
      </c>
      <c r="M5614" s="549"/>
      <c r="N5614" s="549"/>
      <c r="O5614" s="549"/>
      <c r="P5614" s="549"/>
      <c r="Q5614" s="1059"/>
      <c r="R5614" s="1059"/>
    </row>
    <row r="5615" spans="1:18" ht="17.399999999999999">
      <c r="A5615" s="549"/>
      <c r="B5615" s="549"/>
      <c r="C5615" s="549"/>
      <c r="D5615" s="549"/>
      <c r="E5615" s="549"/>
      <c r="F5615" s="549"/>
      <c r="G5615" s="549"/>
      <c r="H5615" s="549"/>
      <c r="I5615" s="560"/>
      <c r="J5615" s="549"/>
      <c r="K5615" s="561"/>
      <c r="L5615" s="728"/>
      <c r="M5615" s="549"/>
      <c r="N5615" s="549"/>
      <c r="O5615" s="549"/>
      <c r="P5615" s="549"/>
      <c r="Q5615" s="1059"/>
      <c r="R5615" s="1059"/>
    </row>
    <row r="5616" spans="1:18" ht="17.399999999999999">
      <c r="A5616" s="547" t="s">
        <v>481</v>
      </c>
      <c r="B5616" s="547" t="s">
        <v>561</v>
      </c>
      <c r="C5616" s="547" t="s">
        <v>19</v>
      </c>
      <c r="D5616" s="547" t="s">
        <v>20</v>
      </c>
      <c r="E5616" s="780" t="s">
        <v>420</v>
      </c>
      <c r="F5616" s="549">
        <v>16</v>
      </c>
      <c r="G5616" s="869" t="s">
        <v>21</v>
      </c>
      <c r="H5616" s="869" t="s">
        <v>179</v>
      </c>
      <c r="I5616" s="1881">
        <v>33.799999999999997</v>
      </c>
      <c r="J5616" s="756">
        <v>8.6999999999999993</v>
      </c>
      <c r="K5616" s="757">
        <v>27</v>
      </c>
      <c r="L5616" s="725">
        <f t="shared" ref="L5616" si="1216">(I5616*J5616*K5616/1000)</f>
        <v>7.9396199999999988</v>
      </c>
      <c r="M5616" s="549"/>
      <c r="N5616" s="549"/>
      <c r="O5616" s="549"/>
      <c r="P5616" s="549"/>
      <c r="Q5616" s="1059"/>
      <c r="R5616" s="1059"/>
    </row>
    <row r="5617" spans="1:19" ht="17.399999999999999">
      <c r="A5617" s="549"/>
      <c r="B5617" s="549" t="s">
        <v>560</v>
      </c>
      <c r="C5617" s="549"/>
      <c r="D5617" s="549"/>
      <c r="E5617" s="549"/>
      <c r="F5617" s="549"/>
      <c r="G5617" s="869" t="s">
        <v>21</v>
      </c>
      <c r="H5617" s="869" t="s">
        <v>179</v>
      </c>
      <c r="I5617" s="1881">
        <v>33.799999999999997</v>
      </c>
      <c r="J5617" s="756">
        <v>9</v>
      </c>
      <c r="K5617" s="757">
        <v>68</v>
      </c>
      <c r="L5617" s="725">
        <f>(I5617*J5617*K5617/1000)</f>
        <v>20.685599999999997</v>
      </c>
      <c r="M5617" s="549"/>
      <c r="N5617" s="549"/>
      <c r="O5617" s="549"/>
      <c r="P5617" s="549"/>
      <c r="Q5617" s="1059"/>
      <c r="R5617" s="1059"/>
    </row>
    <row r="5618" spans="1:19" ht="17.399999999999999">
      <c r="A5618" s="549"/>
      <c r="B5618" s="549"/>
      <c r="C5618" s="549"/>
      <c r="D5618" s="549"/>
      <c r="E5618" s="549"/>
      <c r="F5618" s="549"/>
      <c r="G5618" s="869" t="s">
        <v>21</v>
      </c>
      <c r="H5618" s="869" t="s">
        <v>179</v>
      </c>
      <c r="I5618" s="1881">
        <v>33.799999999999997</v>
      </c>
      <c r="J5618" s="756">
        <v>10.9</v>
      </c>
      <c r="K5618" s="757">
        <v>8</v>
      </c>
      <c r="L5618" s="725">
        <f>(I5618*J5618*K5618/1000)</f>
        <v>2.9473599999999998</v>
      </c>
      <c r="M5618" s="549"/>
      <c r="N5618" s="549"/>
      <c r="O5618" s="549"/>
      <c r="P5618" s="549"/>
      <c r="Q5618" s="1059"/>
      <c r="R5618" s="1059"/>
    </row>
    <row r="5619" spans="1:19" ht="17.399999999999999">
      <c r="A5619" s="549"/>
      <c r="B5619" s="549"/>
      <c r="C5619" s="549"/>
      <c r="D5619" s="549"/>
      <c r="E5619" s="549"/>
      <c r="F5619" s="549"/>
      <c r="G5619" s="869" t="s">
        <v>21</v>
      </c>
      <c r="H5619" s="869" t="s">
        <v>179</v>
      </c>
      <c r="I5619" s="1881">
        <v>33.799999999999997</v>
      </c>
      <c r="J5619" s="756">
        <v>11.5</v>
      </c>
      <c r="K5619" s="757">
        <v>192</v>
      </c>
      <c r="L5619" s="725">
        <f>(I5619*J5619*K5619/1000)</f>
        <v>74.630399999999995</v>
      </c>
      <c r="M5619" s="549"/>
      <c r="N5619" s="549"/>
      <c r="O5619" s="549"/>
      <c r="P5619" s="549"/>
      <c r="Q5619" s="1059"/>
      <c r="R5619" s="1059"/>
    </row>
    <row r="5620" spans="1:19" ht="17.399999999999999">
      <c r="A5620" s="549"/>
      <c r="B5620" s="549"/>
      <c r="C5620" s="549"/>
      <c r="D5620" s="549"/>
      <c r="E5620" s="549"/>
      <c r="F5620" s="549"/>
      <c r="G5620" s="869" t="s">
        <v>21</v>
      </c>
      <c r="H5620" s="869" t="s">
        <v>179</v>
      </c>
      <c r="I5620" s="1881">
        <v>33.799999999999997</v>
      </c>
      <c r="J5620" s="756">
        <v>11.6</v>
      </c>
      <c r="K5620" s="757">
        <v>32</v>
      </c>
      <c r="L5620" s="725">
        <f>(I5620*J5620*K5620/1000)</f>
        <v>12.546559999999998</v>
      </c>
      <c r="M5620" s="549"/>
      <c r="N5620" s="549"/>
      <c r="O5620" s="549"/>
      <c r="P5620" s="549"/>
      <c r="Q5620" s="1059"/>
      <c r="R5620" s="1059"/>
    </row>
    <row r="5621" spans="1:19" ht="17.399999999999999">
      <c r="A5621" s="549"/>
      <c r="B5621" s="549"/>
      <c r="C5621" s="549"/>
      <c r="D5621" s="549"/>
      <c r="E5621" s="549"/>
      <c r="F5621" s="549"/>
      <c r="G5621" s="869"/>
      <c r="H5621" s="650"/>
      <c r="I5621" s="1882"/>
      <c r="J5621" s="871"/>
      <c r="K5621" s="757">
        <f>SUM(K5616:K5620)</f>
        <v>327</v>
      </c>
      <c r="L5621" s="870">
        <f>SUM(L5616:L5620)</f>
        <v>118.74954</v>
      </c>
      <c r="M5621" s="549"/>
      <c r="N5621" s="549"/>
      <c r="O5621" s="549"/>
      <c r="P5621" s="549"/>
      <c r="Q5621" s="1059"/>
      <c r="R5621" s="1059"/>
    </row>
    <row r="5622" spans="1:19" ht="17.399999999999999">
      <c r="A5622" s="549"/>
      <c r="B5622" s="549"/>
      <c r="C5622" s="549"/>
      <c r="D5622" s="549"/>
      <c r="E5622" s="549"/>
      <c r="F5622" s="549"/>
      <c r="G5622" s="549"/>
      <c r="H5622" s="549"/>
      <c r="I5622" s="560"/>
      <c r="J5622" s="549"/>
      <c r="K5622" s="561"/>
      <c r="L5622" s="728"/>
      <c r="M5622" s="549"/>
      <c r="N5622" s="549"/>
      <c r="O5622" s="549"/>
      <c r="P5622" s="549"/>
      <c r="Q5622" s="1059"/>
      <c r="R5622" s="1059"/>
    </row>
    <row r="5623" spans="1:19" ht="17.399999999999999">
      <c r="A5623" s="549"/>
      <c r="B5623" s="549"/>
      <c r="C5623" s="549"/>
      <c r="D5623" s="549"/>
      <c r="E5623" s="549"/>
      <c r="F5623" s="549"/>
      <c r="G5623" s="549"/>
      <c r="H5623" s="549"/>
      <c r="I5623" s="560"/>
      <c r="J5623" s="549"/>
      <c r="K5623" s="561"/>
      <c r="L5623" s="710">
        <f>+L5621+L5614</f>
        <v>119.35794</v>
      </c>
      <c r="M5623" s="549"/>
      <c r="N5623" s="549"/>
      <c r="O5623" s="549"/>
      <c r="P5623" s="549"/>
      <c r="Q5623" s="1059"/>
      <c r="R5623" s="1059"/>
    </row>
    <row r="5628" spans="1:19" ht="17.399999999999999">
      <c r="A5628" s="711" t="s">
        <v>48</v>
      </c>
      <c r="B5628" s="711"/>
      <c r="C5628" s="712"/>
      <c r="D5628" s="712"/>
      <c r="E5628" s="712"/>
      <c r="F5628" s="713"/>
      <c r="G5628" s="712"/>
      <c r="H5628" s="712"/>
      <c r="I5628" s="714"/>
      <c r="J5628" s="715"/>
      <c r="K5628" s="716"/>
      <c r="L5628" s="1978" t="s">
        <v>0</v>
      </c>
      <c r="M5628" s="1978"/>
      <c r="N5628" s="1978"/>
      <c r="O5628" s="1978"/>
      <c r="P5628" s="717"/>
      <c r="Q5628" s="717"/>
      <c r="R5628" s="717"/>
    </row>
    <row r="5629" spans="1:19" ht="17.399999999999999">
      <c r="A5629" s="718" t="s">
        <v>1</v>
      </c>
      <c r="B5629" s="718"/>
      <c r="C5629" s="718"/>
      <c r="D5629" s="719" t="s">
        <v>2</v>
      </c>
      <c r="E5629" s="719"/>
      <c r="F5629" s="720"/>
      <c r="G5629" s="720"/>
      <c r="H5629" s="720"/>
      <c r="I5629" s="721"/>
      <c r="J5629" s="902"/>
      <c r="K5629" s="723" t="s">
        <v>3</v>
      </c>
      <c r="L5629" s="902"/>
      <c r="M5629" s="718"/>
      <c r="N5629" s="720"/>
      <c r="O5629" s="718"/>
      <c r="P5629" s="724"/>
      <c r="Q5629" s="1059"/>
      <c r="R5629" s="1059"/>
    </row>
    <row r="5630" spans="1:19" ht="52.2">
      <c r="A5630" s="640" t="s">
        <v>4</v>
      </c>
      <c r="B5630" s="640" t="s">
        <v>5</v>
      </c>
      <c r="C5630" s="640" t="s">
        <v>6</v>
      </c>
      <c r="D5630" s="640" t="s">
        <v>7</v>
      </c>
      <c r="E5630" s="640" t="s">
        <v>8</v>
      </c>
      <c r="F5630" s="641" t="s">
        <v>9</v>
      </c>
      <c r="G5630" s="642" t="s">
        <v>10</v>
      </c>
      <c r="H5630" s="642" t="s">
        <v>11</v>
      </c>
      <c r="I5630" s="643" t="s">
        <v>12</v>
      </c>
      <c r="J5630" s="644" t="s">
        <v>13</v>
      </c>
      <c r="K5630" s="645" t="s">
        <v>14</v>
      </c>
      <c r="L5630" s="646" t="s">
        <v>15</v>
      </c>
      <c r="M5630" s="641" t="s">
        <v>16</v>
      </c>
      <c r="N5630" s="641" t="s">
        <v>17</v>
      </c>
      <c r="O5630" s="642" t="s">
        <v>18</v>
      </c>
      <c r="P5630" s="641" t="s">
        <v>192</v>
      </c>
      <c r="Q5630" s="1063"/>
      <c r="R5630" s="1063"/>
    </row>
    <row r="5631" spans="1:19" ht="17.399999999999999">
      <c r="A5631" s="547" t="s">
        <v>445</v>
      </c>
      <c r="B5631" s="547" t="s">
        <v>487</v>
      </c>
      <c r="C5631" s="547" t="s">
        <v>19</v>
      </c>
      <c r="D5631" s="547" t="s">
        <v>20</v>
      </c>
      <c r="E5631" s="547" t="s">
        <v>47</v>
      </c>
      <c r="F5631" s="549">
        <v>10</v>
      </c>
      <c r="G5631" s="549" t="s">
        <v>21</v>
      </c>
      <c r="H5631" s="599" t="s">
        <v>131</v>
      </c>
      <c r="I5631" s="558">
        <v>7.34</v>
      </c>
      <c r="J5631" s="567">
        <v>10</v>
      </c>
      <c r="K5631" s="648">
        <v>61</v>
      </c>
      <c r="L5631" s="552">
        <f t="shared" ref="L5631:L5634" si="1217">(I5631*J5631*K5631/1000)</f>
        <v>4.4774000000000003</v>
      </c>
      <c r="M5631" s="549"/>
      <c r="N5631" s="549"/>
      <c r="O5631" s="549"/>
      <c r="P5631" s="2013" t="s">
        <v>648</v>
      </c>
      <c r="Q5631" s="1071">
        <v>41</v>
      </c>
      <c r="R5631" s="1071">
        <f t="shared" ref="R5631:R5634" si="1218">I5631*J5631*Q5631/1000</f>
        <v>3.0094000000000003</v>
      </c>
      <c r="S5631" s="497" t="s">
        <v>685</v>
      </c>
    </row>
    <row r="5632" spans="1:19" ht="17.399999999999999">
      <c r="A5632" s="547"/>
      <c r="B5632" s="752" t="s">
        <v>439</v>
      </c>
      <c r="C5632" s="547"/>
      <c r="D5632" s="547"/>
      <c r="E5632" s="547"/>
      <c r="F5632" s="549"/>
      <c r="G5632" s="549" t="s">
        <v>21</v>
      </c>
      <c r="H5632" s="549" t="s">
        <v>131</v>
      </c>
      <c r="I5632" s="558">
        <v>7.34</v>
      </c>
      <c r="J5632" s="567">
        <v>11</v>
      </c>
      <c r="K5632" s="648">
        <v>101</v>
      </c>
      <c r="L5632" s="552">
        <f t="shared" si="1217"/>
        <v>8.1547400000000003</v>
      </c>
      <c r="M5632" s="549"/>
      <c r="N5632" s="549"/>
      <c r="O5632" s="549"/>
      <c r="P5632" s="2014"/>
      <c r="Q5632" s="1071">
        <v>101</v>
      </c>
      <c r="R5632" s="1071">
        <f t="shared" si="1218"/>
        <v>8.1547400000000003</v>
      </c>
    </row>
    <row r="5633" spans="1:19" ht="17.399999999999999">
      <c r="A5633" s="549"/>
      <c r="B5633" s="549"/>
      <c r="C5633" s="549"/>
      <c r="D5633" s="549"/>
      <c r="E5633" s="549"/>
      <c r="F5633" s="549"/>
      <c r="G5633" s="549" t="s">
        <v>21</v>
      </c>
      <c r="H5633" s="549" t="s">
        <v>131</v>
      </c>
      <c r="I5633" s="558">
        <v>7.34</v>
      </c>
      <c r="J5633" s="567">
        <v>11.5</v>
      </c>
      <c r="K5633" s="648">
        <v>41</v>
      </c>
      <c r="L5633" s="552">
        <f t="shared" si="1217"/>
        <v>3.4608099999999999</v>
      </c>
      <c r="M5633" s="549"/>
      <c r="N5633" s="549"/>
      <c r="O5633" s="549"/>
      <c r="P5633" s="2014"/>
      <c r="Q5633" s="1071">
        <v>41</v>
      </c>
      <c r="R5633" s="1071">
        <f t="shared" si="1218"/>
        <v>3.4608099999999999</v>
      </c>
    </row>
    <row r="5634" spans="1:19" ht="17.399999999999999">
      <c r="A5634" s="549"/>
      <c r="B5634" s="549"/>
      <c r="C5634" s="549"/>
      <c r="D5634" s="549"/>
      <c r="E5634" s="549"/>
      <c r="F5634" s="549"/>
      <c r="G5634" s="549" t="s">
        <v>21</v>
      </c>
      <c r="H5634" s="549" t="s">
        <v>131</v>
      </c>
      <c r="I5634" s="558">
        <v>7.34</v>
      </c>
      <c r="J5634" s="567">
        <v>12</v>
      </c>
      <c r="K5634" s="648">
        <v>99</v>
      </c>
      <c r="L5634" s="552">
        <f t="shared" si="1217"/>
        <v>8.7199200000000001</v>
      </c>
      <c r="M5634" s="549"/>
      <c r="N5634" s="549"/>
      <c r="O5634" s="549"/>
      <c r="P5634" s="2014"/>
      <c r="Q5634" s="1071">
        <v>99</v>
      </c>
      <c r="R5634" s="1071">
        <f t="shared" si="1218"/>
        <v>8.7199200000000001</v>
      </c>
    </row>
    <row r="5635" spans="1:19" ht="17.399999999999999">
      <c r="A5635" s="549"/>
      <c r="B5635" s="549"/>
      <c r="C5635" s="549"/>
      <c r="D5635" s="549"/>
      <c r="E5635" s="549"/>
      <c r="F5635" s="549"/>
      <c r="G5635" s="549"/>
      <c r="H5635" s="549"/>
      <c r="I5635" s="558"/>
      <c r="J5635" s="567"/>
      <c r="K5635" s="648">
        <f t="shared" ref="K5635:L5635" si="1219">SUM(K5631:K5634)</f>
        <v>302</v>
      </c>
      <c r="L5635" s="765">
        <f t="shared" si="1219"/>
        <v>24.812869999999997</v>
      </c>
      <c r="M5635" s="550"/>
      <c r="N5635" s="550"/>
      <c r="O5635" s="550"/>
      <c r="P5635" s="2014"/>
      <c r="Q5635" s="648">
        <f t="shared" ref="Q5635:R5635" si="1220">SUM(Q5631:Q5634)</f>
        <v>282</v>
      </c>
      <c r="R5635" s="765">
        <f t="shared" si="1220"/>
        <v>23.34487</v>
      </c>
    </row>
    <row r="5636" spans="1:19" s="497" customFormat="1" ht="17.399999999999999">
      <c r="A5636" s="549"/>
      <c r="B5636" s="549"/>
      <c r="C5636" s="549"/>
      <c r="D5636" s="549"/>
      <c r="E5636" s="549"/>
      <c r="F5636" s="549"/>
      <c r="G5636" s="549"/>
      <c r="H5636" s="549"/>
      <c r="I5636" s="558"/>
      <c r="J5636" s="567"/>
      <c r="K5636" s="648"/>
      <c r="L5636" s="765"/>
      <c r="M5636" s="550"/>
      <c r="N5636" s="550"/>
      <c r="O5636" s="550"/>
      <c r="P5636" s="2014"/>
      <c r="Q5636" s="1071"/>
      <c r="R5636" s="1071"/>
    </row>
    <row r="5637" spans="1:19" ht="17.399999999999999">
      <c r="A5637" s="547" t="s">
        <v>445</v>
      </c>
      <c r="B5637" s="547" t="s">
        <v>488</v>
      </c>
      <c r="C5637" s="547" t="s">
        <v>19</v>
      </c>
      <c r="D5637" s="547" t="s">
        <v>20</v>
      </c>
      <c r="E5637" s="547" t="s">
        <v>47</v>
      </c>
      <c r="F5637" s="549">
        <v>10</v>
      </c>
      <c r="G5637" s="549" t="s">
        <v>21</v>
      </c>
      <c r="H5637" s="599" t="s">
        <v>131</v>
      </c>
      <c r="I5637" s="558">
        <v>7.34</v>
      </c>
      <c r="J5637" s="567">
        <v>10</v>
      </c>
      <c r="K5637" s="648">
        <v>36</v>
      </c>
      <c r="L5637" s="552">
        <f t="shared" ref="L5637:L5644" si="1221">(I5637*J5637*K5637/1000)</f>
        <v>2.6424000000000003</v>
      </c>
      <c r="M5637" s="550"/>
      <c r="N5637" s="550"/>
      <c r="O5637" s="550"/>
      <c r="P5637" s="2014"/>
      <c r="Q5637" s="1071"/>
      <c r="R5637" s="1071">
        <f t="shared" ref="R5637:R5644" si="1222">I5637*J5637*Q5637/1000</f>
        <v>0</v>
      </c>
      <c r="S5637" s="497" t="s">
        <v>685</v>
      </c>
    </row>
    <row r="5638" spans="1:19" ht="17.399999999999999">
      <c r="A5638" s="547"/>
      <c r="B5638" s="752" t="s">
        <v>439</v>
      </c>
      <c r="C5638" s="547"/>
      <c r="D5638" s="547"/>
      <c r="E5638" s="547"/>
      <c r="F5638" s="549"/>
      <c r="G5638" s="549" t="s">
        <v>21</v>
      </c>
      <c r="H5638" s="549" t="s">
        <v>131</v>
      </c>
      <c r="I5638" s="558">
        <v>7.34</v>
      </c>
      <c r="J5638" s="567">
        <v>10.5</v>
      </c>
      <c r="K5638" s="648">
        <v>75</v>
      </c>
      <c r="L5638" s="552">
        <f t="shared" si="1221"/>
        <v>5.7802499999999988</v>
      </c>
      <c r="M5638" s="550"/>
      <c r="N5638" s="550"/>
      <c r="O5638" s="550"/>
      <c r="P5638" s="2014"/>
      <c r="Q5638" s="1071">
        <v>17</v>
      </c>
      <c r="R5638" s="1071">
        <f t="shared" si="1222"/>
        <v>1.3101899999999997</v>
      </c>
    </row>
    <row r="5639" spans="1:19" ht="17.399999999999999">
      <c r="A5639" s="549"/>
      <c r="B5639" s="549"/>
      <c r="C5639" s="549"/>
      <c r="D5639" s="549"/>
      <c r="E5639" s="549"/>
      <c r="F5639" s="549"/>
      <c r="G5639" s="549" t="s">
        <v>21</v>
      </c>
      <c r="H5639" s="549" t="s">
        <v>131</v>
      </c>
      <c r="I5639" s="558">
        <v>7.34</v>
      </c>
      <c r="J5639" s="567">
        <v>10.7</v>
      </c>
      <c r="K5639" s="648">
        <v>38</v>
      </c>
      <c r="L5639" s="552">
        <f t="shared" si="1221"/>
        <v>2.9844439999999999</v>
      </c>
      <c r="M5639" s="550"/>
      <c r="N5639" s="550"/>
      <c r="O5639" s="550"/>
      <c r="P5639" s="2014"/>
      <c r="Q5639" s="1071">
        <v>38</v>
      </c>
      <c r="R5639" s="1071">
        <f t="shared" si="1222"/>
        <v>2.9844439999999999</v>
      </c>
    </row>
    <row r="5640" spans="1:19" ht="17.399999999999999">
      <c r="A5640" s="549"/>
      <c r="B5640" s="549"/>
      <c r="C5640" s="549"/>
      <c r="D5640" s="549"/>
      <c r="E5640" s="549"/>
      <c r="F5640" s="549"/>
      <c r="G5640" s="549" t="s">
        <v>21</v>
      </c>
      <c r="H5640" s="549" t="s">
        <v>131</v>
      </c>
      <c r="I5640" s="558">
        <v>7.34</v>
      </c>
      <c r="J5640" s="567">
        <v>11</v>
      </c>
      <c r="K5640" s="648">
        <v>67</v>
      </c>
      <c r="L5640" s="552">
        <f t="shared" si="1221"/>
        <v>5.4095800000000001</v>
      </c>
      <c r="M5640" s="550"/>
      <c r="N5640" s="550"/>
      <c r="O5640" s="550"/>
      <c r="P5640" s="2014"/>
      <c r="Q5640" s="1071">
        <v>67</v>
      </c>
      <c r="R5640" s="1071">
        <f t="shared" si="1222"/>
        <v>5.4095800000000001</v>
      </c>
    </row>
    <row r="5641" spans="1:19" ht="17.399999999999999">
      <c r="A5641" s="549"/>
      <c r="B5641" s="549"/>
      <c r="C5641" s="549"/>
      <c r="D5641" s="549"/>
      <c r="E5641" s="549"/>
      <c r="F5641" s="549"/>
      <c r="G5641" s="549" t="s">
        <v>21</v>
      </c>
      <c r="H5641" s="549" t="s">
        <v>131</v>
      </c>
      <c r="I5641" s="558">
        <v>7.34</v>
      </c>
      <c r="J5641" s="567">
        <v>11.2</v>
      </c>
      <c r="K5641" s="648">
        <v>28</v>
      </c>
      <c r="L5641" s="552">
        <f t="shared" si="1221"/>
        <v>2.3018239999999999</v>
      </c>
      <c r="M5641" s="550"/>
      <c r="N5641" s="550"/>
      <c r="O5641" s="550"/>
      <c r="P5641" s="2014"/>
      <c r="Q5641" s="1071">
        <v>28</v>
      </c>
      <c r="R5641" s="1071">
        <f t="shared" si="1222"/>
        <v>2.3018239999999999</v>
      </c>
    </row>
    <row r="5642" spans="1:19" ht="17.399999999999999">
      <c r="A5642" s="549"/>
      <c r="B5642" s="549"/>
      <c r="C5642" s="549"/>
      <c r="D5642" s="549"/>
      <c r="E5642" s="549"/>
      <c r="F5642" s="549"/>
      <c r="G5642" s="549" t="s">
        <v>21</v>
      </c>
      <c r="H5642" s="549" t="s">
        <v>131</v>
      </c>
      <c r="I5642" s="558">
        <v>7.34</v>
      </c>
      <c r="J5642" s="567">
        <v>11.5</v>
      </c>
      <c r="K5642" s="648">
        <v>27</v>
      </c>
      <c r="L5642" s="552">
        <f t="shared" si="1221"/>
        <v>2.2790699999999999</v>
      </c>
      <c r="M5642" s="550"/>
      <c r="N5642" s="550"/>
      <c r="O5642" s="550"/>
      <c r="P5642" s="2014"/>
      <c r="Q5642" s="1071">
        <v>27</v>
      </c>
      <c r="R5642" s="1071">
        <f t="shared" si="1222"/>
        <v>2.2790699999999999</v>
      </c>
    </row>
    <row r="5643" spans="1:19" ht="17.399999999999999">
      <c r="A5643" s="549"/>
      <c r="B5643" s="549"/>
      <c r="C5643" s="549"/>
      <c r="D5643" s="549"/>
      <c r="E5643" s="549"/>
      <c r="F5643" s="549"/>
      <c r="G5643" s="549" t="s">
        <v>21</v>
      </c>
      <c r="H5643" s="549" t="s">
        <v>131</v>
      </c>
      <c r="I5643" s="558">
        <v>7.34</v>
      </c>
      <c r="J5643" s="567">
        <v>11.8</v>
      </c>
      <c r="K5643" s="648">
        <v>44</v>
      </c>
      <c r="L5643" s="552">
        <f t="shared" si="1221"/>
        <v>3.8109280000000005</v>
      </c>
      <c r="M5643" s="550"/>
      <c r="N5643" s="550"/>
      <c r="O5643" s="550"/>
      <c r="P5643" s="2014"/>
      <c r="Q5643" s="1071">
        <v>44</v>
      </c>
      <c r="R5643" s="1071">
        <f t="shared" si="1222"/>
        <v>3.8109280000000005</v>
      </c>
    </row>
    <row r="5644" spans="1:19" ht="17.399999999999999">
      <c r="A5644" s="549"/>
      <c r="B5644" s="549"/>
      <c r="C5644" s="549"/>
      <c r="D5644" s="549"/>
      <c r="E5644" s="549"/>
      <c r="F5644" s="549"/>
      <c r="G5644" s="549" t="s">
        <v>21</v>
      </c>
      <c r="H5644" s="549" t="s">
        <v>131</v>
      </c>
      <c r="I5644" s="558">
        <v>7.34</v>
      </c>
      <c r="J5644" s="567">
        <v>12</v>
      </c>
      <c r="K5644" s="648">
        <v>112</v>
      </c>
      <c r="L5644" s="552">
        <f t="shared" si="1221"/>
        <v>9.86496</v>
      </c>
      <c r="M5644" s="550"/>
      <c r="N5644" s="550"/>
      <c r="O5644" s="550"/>
      <c r="P5644" s="2014"/>
      <c r="Q5644" s="1071">
        <v>112</v>
      </c>
      <c r="R5644" s="1071">
        <f t="shared" si="1222"/>
        <v>9.86496</v>
      </c>
    </row>
    <row r="5645" spans="1:19" ht="17.399999999999999">
      <c r="A5645" s="549"/>
      <c r="B5645" s="549"/>
      <c r="C5645" s="549"/>
      <c r="D5645" s="549"/>
      <c r="E5645" s="549"/>
      <c r="F5645" s="549"/>
      <c r="G5645" s="549"/>
      <c r="H5645" s="549"/>
      <c r="I5645" s="558"/>
      <c r="J5645" s="567"/>
      <c r="K5645" s="648">
        <f t="shared" ref="K5645:N5645" si="1223">SUM(K5637:K5644)</f>
        <v>427</v>
      </c>
      <c r="L5645" s="765">
        <f t="shared" si="1223"/>
        <v>35.073456</v>
      </c>
      <c r="M5645" s="766">
        <f t="shared" si="1223"/>
        <v>0</v>
      </c>
      <c r="N5645" s="765">
        <f t="shared" si="1223"/>
        <v>0</v>
      </c>
      <c r="O5645" s="550"/>
      <c r="P5645" s="2014"/>
      <c r="Q5645" s="648">
        <f t="shared" ref="Q5645:R5645" si="1224">SUM(Q5637:Q5644)</f>
        <v>333</v>
      </c>
      <c r="R5645" s="765">
        <f t="shared" si="1224"/>
        <v>27.960996000000002</v>
      </c>
    </row>
    <row r="5646" spans="1:19" ht="17.399999999999999">
      <c r="A5646" s="549"/>
      <c r="B5646" s="549"/>
      <c r="C5646" s="549"/>
      <c r="D5646" s="549"/>
      <c r="E5646" s="549"/>
      <c r="F5646" s="549"/>
      <c r="G5646" s="549"/>
      <c r="H5646" s="549"/>
      <c r="I5646" s="560"/>
      <c r="J5646" s="549"/>
      <c r="K5646" s="561"/>
      <c r="L5646" s="548"/>
      <c r="M5646" s="550"/>
      <c r="N5646" s="550"/>
      <c r="O5646" s="550"/>
      <c r="P5646" s="2014"/>
      <c r="Q5646" s="1071"/>
      <c r="R5646" s="1071"/>
    </row>
    <row r="5647" spans="1:19" ht="17.399999999999999">
      <c r="A5647" s="547" t="s">
        <v>523</v>
      </c>
      <c r="B5647" s="547" t="s">
        <v>525</v>
      </c>
      <c r="C5647" s="547" t="s">
        <v>19</v>
      </c>
      <c r="D5647" s="547" t="s">
        <v>20</v>
      </c>
      <c r="E5647" s="547" t="s">
        <v>47</v>
      </c>
      <c r="F5647" s="549">
        <v>10</v>
      </c>
      <c r="G5647" s="549" t="s">
        <v>21</v>
      </c>
      <c r="H5647" s="599" t="s">
        <v>131</v>
      </c>
      <c r="I5647" s="558">
        <v>7.34</v>
      </c>
      <c r="J5647" s="567">
        <v>11</v>
      </c>
      <c r="K5647" s="648">
        <v>7</v>
      </c>
      <c r="L5647" s="552">
        <f>(I5647*J5647*K5647/1000)</f>
        <v>0.5651799999999999</v>
      </c>
      <c r="M5647" s="550"/>
      <c r="N5647" s="550"/>
      <c r="O5647" s="550"/>
      <c r="P5647" s="2014"/>
      <c r="Q5647" s="1071">
        <v>7</v>
      </c>
      <c r="R5647" s="1071">
        <f>I5647*J5647*Q5647/1000</f>
        <v>0.5651799999999999</v>
      </c>
      <c r="S5647" s="497" t="s">
        <v>685</v>
      </c>
    </row>
    <row r="5648" spans="1:19" ht="17.399999999999999">
      <c r="A5648" s="547"/>
      <c r="B5648" s="752" t="s">
        <v>439</v>
      </c>
      <c r="C5648" s="547"/>
      <c r="D5648" s="547"/>
      <c r="E5648" s="547"/>
      <c r="F5648" s="549"/>
      <c r="G5648" s="549"/>
      <c r="H5648" s="549"/>
      <c r="I5648" s="558"/>
      <c r="J5648" s="567"/>
      <c r="K5648" s="648">
        <f t="shared" ref="K5648:N5648" si="1225">SUM(K5647)</f>
        <v>7</v>
      </c>
      <c r="L5648" s="765">
        <f t="shared" si="1225"/>
        <v>0.5651799999999999</v>
      </c>
      <c r="M5648" s="766">
        <f t="shared" si="1225"/>
        <v>0</v>
      </c>
      <c r="N5648" s="765">
        <f t="shared" si="1225"/>
        <v>0</v>
      </c>
      <c r="O5648" s="550"/>
      <c r="P5648" s="2014"/>
      <c r="Q5648" s="648">
        <f t="shared" ref="Q5648:R5648" si="1226">SUM(Q5647)</f>
        <v>7</v>
      </c>
      <c r="R5648" s="765">
        <f t="shared" si="1226"/>
        <v>0.5651799999999999</v>
      </c>
    </row>
    <row r="5649" spans="1:19" ht="17.399999999999999">
      <c r="A5649" s="549"/>
      <c r="B5649" s="549"/>
      <c r="C5649" s="549"/>
      <c r="D5649" s="549"/>
      <c r="E5649" s="549"/>
      <c r="F5649" s="549"/>
      <c r="G5649" s="549"/>
      <c r="H5649" s="549"/>
      <c r="I5649" s="560"/>
      <c r="J5649" s="549"/>
      <c r="K5649" s="561"/>
      <c r="L5649" s="548"/>
      <c r="M5649" s="550"/>
      <c r="N5649" s="550"/>
      <c r="O5649" s="550"/>
      <c r="P5649" s="2014"/>
      <c r="Q5649" s="1071"/>
      <c r="R5649" s="1071"/>
    </row>
    <row r="5650" spans="1:19" ht="17.399999999999999">
      <c r="A5650" s="547" t="s">
        <v>523</v>
      </c>
      <c r="B5650" s="547" t="s">
        <v>527</v>
      </c>
      <c r="C5650" s="547" t="s">
        <v>19</v>
      </c>
      <c r="D5650" s="547" t="s">
        <v>20</v>
      </c>
      <c r="E5650" s="547" t="s">
        <v>47</v>
      </c>
      <c r="F5650" s="549">
        <v>10</v>
      </c>
      <c r="G5650" s="549" t="s">
        <v>21</v>
      </c>
      <c r="H5650" s="599" t="s">
        <v>131</v>
      </c>
      <c r="I5650" s="558">
        <v>7.34</v>
      </c>
      <c r="J5650" s="567">
        <v>9.35</v>
      </c>
      <c r="K5650" s="648">
        <v>12</v>
      </c>
      <c r="L5650" s="552">
        <f>(I5650*J5650*K5650/1000)</f>
        <v>0.82354799999999984</v>
      </c>
      <c r="M5650" s="550"/>
      <c r="N5650" s="550"/>
      <c r="O5650" s="765">
        <v>9.25</v>
      </c>
      <c r="P5650" s="2014"/>
      <c r="Q5650" s="1071">
        <v>12</v>
      </c>
      <c r="R5650" s="1071">
        <f>I5650*J5650*Q5650/1000</f>
        <v>0.82354799999999984</v>
      </c>
      <c r="S5650" s="497" t="s">
        <v>685</v>
      </c>
    </row>
    <row r="5651" spans="1:19" ht="17.399999999999999">
      <c r="A5651" s="549"/>
      <c r="B5651" s="549" t="s">
        <v>439</v>
      </c>
      <c r="C5651" s="549"/>
      <c r="D5651" s="549"/>
      <c r="E5651" s="549"/>
      <c r="F5651" s="549"/>
      <c r="G5651" s="549"/>
      <c r="H5651" s="549"/>
      <c r="I5651" s="558"/>
      <c r="J5651" s="647"/>
      <c r="K5651" s="648">
        <f>SUM(K5650:K5650)</f>
        <v>12</v>
      </c>
      <c r="L5651" s="765">
        <f>SUM(L5650:L5650)</f>
        <v>0.82354799999999984</v>
      </c>
      <c r="M5651" s="550"/>
      <c r="N5651" s="550"/>
      <c r="O5651" s="550"/>
      <c r="P5651" s="2015"/>
      <c r="Q5651" s="648">
        <f>SUM(Q5650:Q5650)</f>
        <v>12</v>
      </c>
      <c r="R5651" s="765">
        <f>SUM(R5650:R5650)</f>
        <v>0.82354799999999984</v>
      </c>
    </row>
    <row r="5652" spans="1:19" s="497" customFormat="1" ht="17.399999999999999">
      <c r="A5652" s="549"/>
      <c r="B5652" s="549"/>
      <c r="C5652" s="549"/>
      <c r="D5652" s="549"/>
      <c r="E5652" s="549"/>
      <c r="F5652" s="549"/>
      <c r="G5652" s="549"/>
      <c r="H5652" s="549"/>
      <c r="I5652" s="558"/>
      <c r="J5652" s="647"/>
      <c r="K5652" s="648"/>
      <c r="L5652" s="765"/>
      <c r="M5652" s="550"/>
      <c r="N5652" s="550"/>
      <c r="O5652" s="550"/>
      <c r="P5652" s="549"/>
      <c r="Q5652" s="1059"/>
      <c r="R5652" s="1059"/>
    </row>
    <row r="5653" spans="1:19" s="497" customFormat="1" ht="17.399999999999999">
      <c r="A5653" s="547" t="s">
        <v>445</v>
      </c>
      <c r="B5653" s="547" t="s">
        <v>519</v>
      </c>
      <c r="C5653" s="547" t="s">
        <v>19</v>
      </c>
      <c r="D5653" s="547" t="s">
        <v>20</v>
      </c>
      <c r="E5653" s="547" t="s">
        <v>57</v>
      </c>
      <c r="F5653" s="549">
        <v>10</v>
      </c>
      <c r="G5653" s="549" t="s">
        <v>21</v>
      </c>
      <c r="H5653" s="599" t="s">
        <v>131</v>
      </c>
      <c r="I5653" s="558">
        <v>7.34</v>
      </c>
      <c r="J5653" s="567">
        <v>9.35</v>
      </c>
      <c r="K5653" s="648">
        <v>13</v>
      </c>
      <c r="L5653" s="552">
        <f t="shared" ref="L5653:L5657" si="1227">(I5653*J5653*K5653/1000)</f>
        <v>0.89217699999999989</v>
      </c>
      <c r="M5653" s="550"/>
      <c r="N5653" s="550"/>
      <c r="O5653" s="550"/>
      <c r="P5653" s="2013" t="s">
        <v>649</v>
      </c>
      <c r="Q5653" s="1071">
        <v>13</v>
      </c>
      <c r="R5653" s="1071">
        <f>I5653*J5653*Q5653/1000</f>
        <v>0.89217699999999989</v>
      </c>
      <c r="S5653" s="497" t="s">
        <v>685</v>
      </c>
    </row>
    <row r="5654" spans="1:19" s="497" customFormat="1" ht="17.399999999999999">
      <c r="A5654" s="547"/>
      <c r="B5654" s="549" t="s">
        <v>423</v>
      </c>
      <c r="C5654" s="547"/>
      <c r="D5654" s="547"/>
      <c r="E5654" s="547"/>
      <c r="F5654" s="549"/>
      <c r="G5654" s="549" t="s">
        <v>21</v>
      </c>
      <c r="H5654" s="549" t="s">
        <v>131</v>
      </c>
      <c r="I5654" s="558">
        <v>7.34</v>
      </c>
      <c r="J5654" s="567">
        <v>10</v>
      </c>
      <c r="K5654" s="648">
        <v>49</v>
      </c>
      <c r="L5654" s="552">
        <f t="shared" si="1227"/>
        <v>3.5966000000000005</v>
      </c>
      <c r="M5654" s="550"/>
      <c r="N5654" s="550"/>
      <c r="O5654" s="550"/>
      <c r="P5654" s="2014"/>
      <c r="Q5654" s="1071"/>
      <c r="R5654" s="1071">
        <f t="shared" ref="R5654:R5657" si="1228">I5654*J5654*Q5654/1000</f>
        <v>0</v>
      </c>
    </row>
    <row r="5655" spans="1:19" s="497" customFormat="1" ht="17.399999999999999">
      <c r="A5655" s="547"/>
      <c r="B5655" s="752"/>
      <c r="C5655" s="547"/>
      <c r="D5655" s="547"/>
      <c r="E5655" s="547"/>
      <c r="F5655" s="549"/>
      <c r="G5655" s="549" t="s">
        <v>21</v>
      </c>
      <c r="H5655" s="549" t="s">
        <v>131</v>
      </c>
      <c r="I5655" s="558">
        <v>7.34</v>
      </c>
      <c r="J5655" s="567">
        <v>11</v>
      </c>
      <c r="K5655" s="648">
        <v>58</v>
      </c>
      <c r="L5655" s="552">
        <f t="shared" si="1227"/>
        <v>4.6829200000000002</v>
      </c>
      <c r="M5655" s="550"/>
      <c r="N5655" s="550"/>
      <c r="O5655" s="550"/>
      <c r="P5655" s="2014"/>
      <c r="Q5655" s="1071">
        <v>43</v>
      </c>
      <c r="R5655" s="1071">
        <f t="shared" si="1228"/>
        <v>3.4718199999999997</v>
      </c>
    </row>
    <row r="5656" spans="1:19" s="497" customFormat="1" ht="17.399999999999999">
      <c r="A5656" s="547"/>
      <c r="B5656" s="752"/>
      <c r="C5656" s="547"/>
      <c r="D5656" s="547"/>
      <c r="E5656" s="547"/>
      <c r="F5656" s="549"/>
      <c r="G5656" s="549" t="s">
        <v>21</v>
      </c>
      <c r="H5656" s="549" t="s">
        <v>131</v>
      </c>
      <c r="I5656" s="558">
        <v>7.34</v>
      </c>
      <c r="J5656" s="567">
        <v>11.5</v>
      </c>
      <c r="K5656" s="648">
        <v>16</v>
      </c>
      <c r="L5656" s="552">
        <f t="shared" si="1227"/>
        <v>1.35056</v>
      </c>
      <c r="M5656" s="550"/>
      <c r="N5656" s="550"/>
      <c r="O5656" s="550"/>
      <c r="P5656" s="2014"/>
      <c r="Q5656" s="1071">
        <v>16</v>
      </c>
      <c r="R5656" s="1071">
        <f t="shared" si="1228"/>
        <v>1.35056</v>
      </c>
    </row>
    <row r="5657" spans="1:19" s="497" customFormat="1" ht="17.399999999999999">
      <c r="A5657" s="547"/>
      <c r="B5657" s="752"/>
      <c r="C5657" s="547"/>
      <c r="D5657" s="547"/>
      <c r="E5657" s="547"/>
      <c r="F5657" s="549"/>
      <c r="G5657" s="549" t="s">
        <v>21</v>
      </c>
      <c r="H5657" s="549" t="s">
        <v>131</v>
      </c>
      <c r="I5657" s="558">
        <v>7.34</v>
      </c>
      <c r="J5657" s="567">
        <v>12</v>
      </c>
      <c r="K5657" s="648">
        <v>85</v>
      </c>
      <c r="L5657" s="552">
        <f t="shared" si="1227"/>
        <v>7.4868000000000006</v>
      </c>
      <c r="M5657" s="550"/>
      <c r="N5657" s="550"/>
      <c r="O5657" s="550"/>
      <c r="P5657" s="2014"/>
      <c r="Q5657" s="1071">
        <v>85</v>
      </c>
      <c r="R5657" s="1071">
        <f t="shared" si="1228"/>
        <v>7.4868000000000006</v>
      </c>
    </row>
    <row r="5658" spans="1:19" s="497" customFormat="1" ht="17.399999999999999">
      <c r="A5658" s="547"/>
      <c r="B5658" s="752"/>
      <c r="C5658" s="547"/>
      <c r="D5658" s="547"/>
      <c r="E5658" s="547"/>
      <c r="F5658" s="549"/>
      <c r="G5658" s="549"/>
      <c r="H5658" s="549"/>
      <c r="I5658" s="558"/>
      <c r="J5658" s="567"/>
      <c r="K5658" s="648">
        <f t="shared" ref="K5658:L5658" si="1229">SUM(K5653:K5657)</f>
        <v>221</v>
      </c>
      <c r="L5658" s="765">
        <f t="shared" si="1229"/>
        <v>18.009057000000002</v>
      </c>
      <c r="M5658" s="550"/>
      <c r="N5658" s="550"/>
      <c r="O5658" s="550"/>
      <c r="P5658" s="2014"/>
      <c r="Q5658" s="648">
        <f t="shared" ref="Q5658:R5658" si="1230">SUM(Q5653:Q5657)</f>
        <v>157</v>
      </c>
      <c r="R5658" s="765">
        <f t="shared" si="1230"/>
        <v>13.201357</v>
      </c>
    </row>
    <row r="5659" spans="1:19" s="497" customFormat="1" ht="17.399999999999999">
      <c r="A5659" s="547"/>
      <c r="B5659" s="752"/>
      <c r="C5659" s="547"/>
      <c r="D5659" s="547"/>
      <c r="E5659" s="547"/>
      <c r="F5659" s="549"/>
      <c r="G5659" s="549"/>
      <c r="H5659" s="549"/>
      <c r="I5659" s="558"/>
      <c r="J5659" s="567"/>
      <c r="K5659" s="648"/>
      <c r="L5659" s="765"/>
      <c r="M5659" s="550"/>
      <c r="N5659" s="550"/>
      <c r="O5659" s="550"/>
      <c r="P5659" s="2014"/>
      <c r="Q5659" s="1071"/>
      <c r="R5659" s="1071"/>
    </row>
    <row r="5660" spans="1:19" ht="17.399999999999999">
      <c r="A5660" s="547" t="s">
        <v>445</v>
      </c>
      <c r="B5660" s="547" t="s">
        <v>517</v>
      </c>
      <c r="C5660" s="547" t="s">
        <v>19</v>
      </c>
      <c r="D5660" s="547" t="s">
        <v>20</v>
      </c>
      <c r="E5660" s="547" t="s">
        <v>57</v>
      </c>
      <c r="F5660" s="549">
        <v>10</v>
      </c>
      <c r="G5660" s="549" t="s">
        <v>21</v>
      </c>
      <c r="H5660" s="599" t="s">
        <v>131</v>
      </c>
      <c r="I5660" s="558">
        <v>7.34</v>
      </c>
      <c r="J5660" s="567">
        <v>9.35</v>
      </c>
      <c r="K5660" s="648">
        <v>292</v>
      </c>
      <c r="L5660" s="552">
        <f t="shared" ref="L5660:L5662" si="1231">(I5660*J5660*K5660/1000)</f>
        <v>20.039667999999999</v>
      </c>
      <c r="M5660" s="550"/>
      <c r="N5660" s="550"/>
      <c r="O5660" s="550"/>
      <c r="P5660" s="2014"/>
      <c r="Q5660" s="1071">
        <v>214</v>
      </c>
      <c r="R5660" s="1071">
        <f t="shared" ref="R5660:R5662" si="1232">I5660*J5660*Q5660/1000</f>
        <v>14.686605999999998</v>
      </c>
      <c r="S5660" s="497" t="s">
        <v>685</v>
      </c>
    </row>
    <row r="5661" spans="1:19" ht="17.399999999999999">
      <c r="A5661" s="547"/>
      <c r="B5661" s="549" t="s">
        <v>423</v>
      </c>
      <c r="C5661" s="547"/>
      <c r="D5661" s="547"/>
      <c r="E5661" s="547"/>
      <c r="F5661" s="549"/>
      <c r="G5661" s="549" t="s">
        <v>21</v>
      </c>
      <c r="H5661" s="549" t="s">
        <v>131</v>
      </c>
      <c r="I5661" s="558">
        <v>7.34</v>
      </c>
      <c r="J5661" s="567">
        <v>10</v>
      </c>
      <c r="K5661" s="648">
        <v>4</v>
      </c>
      <c r="L5661" s="552">
        <f t="shared" si="1231"/>
        <v>0.29360000000000003</v>
      </c>
      <c r="M5661" s="550"/>
      <c r="N5661" s="550"/>
      <c r="O5661" s="550"/>
      <c r="P5661" s="2014"/>
      <c r="Q5661" s="1071"/>
      <c r="R5661" s="1071">
        <f t="shared" si="1232"/>
        <v>0</v>
      </c>
    </row>
    <row r="5662" spans="1:19" ht="17.399999999999999">
      <c r="A5662" s="549"/>
      <c r="B5662" s="549"/>
      <c r="C5662" s="549"/>
      <c r="D5662" s="549"/>
      <c r="E5662" s="549"/>
      <c r="F5662" s="549"/>
      <c r="G5662" s="549" t="s">
        <v>21</v>
      </c>
      <c r="H5662" s="549" t="s">
        <v>131</v>
      </c>
      <c r="I5662" s="558">
        <v>7.34</v>
      </c>
      <c r="J5662" s="567">
        <v>11.5</v>
      </c>
      <c r="K5662" s="648">
        <v>74</v>
      </c>
      <c r="L5662" s="552">
        <f t="shared" si="1231"/>
        <v>6.24634</v>
      </c>
      <c r="M5662" s="550"/>
      <c r="N5662" s="550"/>
      <c r="O5662" s="550"/>
      <c r="P5662" s="2014"/>
      <c r="Q5662" s="1071">
        <v>74</v>
      </c>
      <c r="R5662" s="1071">
        <f t="shared" si="1232"/>
        <v>6.24634</v>
      </c>
    </row>
    <row r="5663" spans="1:19" ht="17.399999999999999">
      <c r="A5663" s="549"/>
      <c r="B5663" s="549"/>
      <c r="C5663" s="549"/>
      <c r="D5663" s="549"/>
      <c r="E5663" s="549"/>
      <c r="F5663" s="549"/>
      <c r="G5663" s="549"/>
      <c r="H5663" s="549"/>
      <c r="I5663" s="558"/>
      <c r="J5663" s="567"/>
      <c r="K5663" s="648">
        <f t="shared" ref="K5663:L5663" si="1233">SUM(K5660:K5662)</f>
        <v>370</v>
      </c>
      <c r="L5663" s="765">
        <f t="shared" si="1233"/>
        <v>26.579608</v>
      </c>
      <c r="M5663" s="550"/>
      <c r="N5663" s="550"/>
      <c r="O5663" s="550"/>
      <c r="P5663" s="2015"/>
      <c r="Q5663" s="648">
        <f t="shared" ref="Q5663:R5663" si="1234">SUM(Q5660:Q5662)</f>
        <v>288</v>
      </c>
      <c r="R5663" s="765">
        <f t="shared" si="1234"/>
        <v>20.932945999999998</v>
      </c>
    </row>
    <row r="5664" spans="1:19" ht="17.399999999999999">
      <c r="A5664" s="549"/>
      <c r="B5664" s="549"/>
      <c r="C5664" s="549"/>
      <c r="D5664" s="549"/>
      <c r="E5664" s="549"/>
      <c r="F5664" s="549"/>
      <c r="G5664" s="549"/>
      <c r="H5664" s="549"/>
      <c r="I5664" s="560"/>
      <c r="J5664" s="549"/>
      <c r="K5664" s="561"/>
      <c r="L5664" s="548"/>
      <c r="M5664" s="550"/>
      <c r="N5664" s="550"/>
      <c r="O5664" s="550"/>
      <c r="P5664" s="549"/>
      <c r="Q5664" s="1059"/>
      <c r="R5664" s="1059"/>
    </row>
    <row r="5665" spans="1:19" s="497" customFormat="1" ht="17.399999999999999">
      <c r="A5665" s="547" t="s">
        <v>523</v>
      </c>
      <c r="B5665" s="547" t="s">
        <v>593</v>
      </c>
      <c r="C5665" s="547" t="s">
        <v>19</v>
      </c>
      <c r="D5665" s="547" t="s">
        <v>20</v>
      </c>
      <c r="E5665" s="547" t="s">
        <v>359</v>
      </c>
      <c r="F5665" s="549">
        <v>10</v>
      </c>
      <c r="G5665" s="549" t="s">
        <v>21</v>
      </c>
      <c r="H5665" s="599" t="s">
        <v>131</v>
      </c>
      <c r="I5665" s="558">
        <v>7.36</v>
      </c>
      <c r="J5665" s="567">
        <v>12</v>
      </c>
      <c r="K5665" s="648">
        <v>34</v>
      </c>
      <c r="L5665" s="552">
        <f>(I5665*J5665*K5665/1000)</f>
        <v>3.0028800000000002</v>
      </c>
      <c r="M5665" s="550"/>
      <c r="N5665" s="550"/>
      <c r="O5665" s="550"/>
      <c r="P5665" s="549" t="s">
        <v>650</v>
      </c>
      <c r="Q5665" s="1071">
        <v>34</v>
      </c>
      <c r="R5665" s="1071">
        <f>I5665*J5665*Q5665/1000</f>
        <v>3.0028800000000002</v>
      </c>
      <c r="S5665" s="497" t="s">
        <v>685</v>
      </c>
    </row>
    <row r="5666" spans="1:19" s="497" customFormat="1" ht="17.399999999999999">
      <c r="A5666" s="547"/>
      <c r="B5666" s="752" t="s">
        <v>277</v>
      </c>
      <c r="C5666" s="547"/>
      <c r="D5666" s="547"/>
      <c r="E5666" s="547"/>
      <c r="F5666" s="549"/>
      <c r="G5666" s="549"/>
      <c r="H5666" s="549"/>
      <c r="I5666" s="558"/>
      <c r="J5666" s="567"/>
      <c r="K5666" s="648">
        <f t="shared" ref="K5666:L5666" si="1235">SUM(K5665)</f>
        <v>34</v>
      </c>
      <c r="L5666" s="765">
        <f t="shared" si="1235"/>
        <v>3.0028800000000002</v>
      </c>
      <c r="M5666" s="550"/>
      <c r="N5666" s="550"/>
      <c r="O5666" s="550"/>
      <c r="P5666" s="549"/>
      <c r="Q5666" s="648">
        <f t="shared" ref="Q5666:R5666" si="1236">SUM(Q5665)</f>
        <v>34</v>
      </c>
      <c r="R5666" s="765">
        <f t="shared" si="1236"/>
        <v>3.0028800000000002</v>
      </c>
    </row>
    <row r="5667" spans="1:19" s="497" customFormat="1" ht="17.399999999999999">
      <c r="A5667" s="547"/>
      <c r="B5667" s="752"/>
      <c r="C5667" s="547"/>
      <c r="D5667" s="547"/>
      <c r="E5667" s="547"/>
      <c r="F5667" s="549"/>
      <c r="G5667" s="549"/>
      <c r="H5667" s="549"/>
      <c r="I5667" s="558"/>
      <c r="J5667" s="567"/>
      <c r="K5667" s="648"/>
      <c r="L5667" s="765"/>
      <c r="M5667" s="550"/>
      <c r="N5667" s="550"/>
      <c r="O5667" s="550"/>
      <c r="P5667" s="549"/>
      <c r="Q5667" s="1059"/>
      <c r="R5667" s="1059"/>
    </row>
    <row r="5668" spans="1:19" s="497" customFormat="1" ht="17.399999999999999">
      <c r="A5668" s="547" t="s">
        <v>445</v>
      </c>
      <c r="B5668" s="547" t="s">
        <v>594</v>
      </c>
      <c r="C5668" s="547" t="s">
        <v>19</v>
      </c>
      <c r="D5668" s="547" t="s">
        <v>20</v>
      </c>
      <c r="E5668" s="780" t="s">
        <v>420</v>
      </c>
      <c r="F5668" s="549">
        <v>10</v>
      </c>
      <c r="G5668" s="549" t="s">
        <v>21</v>
      </c>
      <c r="H5668" s="599" t="s">
        <v>131</v>
      </c>
      <c r="I5668" s="558">
        <v>7.34</v>
      </c>
      <c r="J5668" s="567">
        <v>12</v>
      </c>
      <c r="K5668" s="648">
        <v>3</v>
      </c>
      <c r="L5668" s="552">
        <f>(I5668*J5668*K5668/1000)</f>
        <v>0.26424000000000003</v>
      </c>
      <c r="M5668" s="550">
        <v>3</v>
      </c>
      <c r="N5668" s="550">
        <f>J5668*M5668*I5668/1000</f>
        <v>0.26424000000000003</v>
      </c>
      <c r="O5668" s="550"/>
      <c r="P5668" s="549" t="s">
        <v>651</v>
      </c>
      <c r="Q5668" s="1059">
        <v>3</v>
      </c>
      <c r="R5668" s="1059"/>
      <c r="S5668" s="497" t="s">
        <v>685</v>
      </c>
    </row>
    <row r="5669" spans="1:19" s="497" customFormat="1" ht="17.399999999999999">
      <c r="A5669" s="547"/>
      <c r="B5669" s="549" t="s">
        <v>52</v>
      </c>
      <c r="C5669" s="547"/>
      <c r="D5669" s="547"/>
      <c r="E5669" s="547"/>
      <c r="F5669" s="549"/>
      <c r="G5669" s="549"/>
      <c r="H5669" s="549"/>
      <c r="I5669" s="558"/>
      <c r="J5669" s="567"/>
      <c r="K5669" s="648">
        <f t="shared" ref="K5669" si="1237">SUM(K5668)</f>
        <v>3</v>
      </c>
      <c r="L5669" s="765">
        <f>SUM(L5668)</f>
        <v>0.26424000000000003</v>
      </c>
      <c r="M5669" s="766">
        <f t="shared" ref="M5669" si="1238">SUM(M5668)</f>
        <v>3</v>
      </c>
      <c r="N5669" s="765">
        <f>SUM(N5668)</f>
        <v>0.26424000000000003</v>
      </c>
      <c r="O5669" s="550"/>
      <c r="P5669" s="549"/>
      <c r="Q5669" s="1059"/>
      <c r="R5669" s="1059"/>
    </row>
    <row r="5670" spans="1:19" s="497" customFormat="1" ht="17.399999999999999">
      <c r="A5670" s="549"/>
      <c r="B5670" s="549"/>
      <c r="C5670" s="549"/>
      <c r="D5670" s="549"/>
      <c r="E5670" s="549"/>
      <c r="F5670" s="549"/>
      <c r="G5670" s="549"/>
      <c r="H5670" s="549"/>
      <c r="I5670" s="558"/>
      <c r="J5670" s="647"/>
      <c r="K5670" s="648">
        <f>SUM(K5631:K5669)/2</f>
        <v>1376</v>
      </c>
      <c r="L5670" s="765">
        <f>SUM(L5631:L5669)/2</f>
        <v>109.13083900000001</v>
      </c>
      <c r="M5670" s="766">
        <f>SUM(M5631:M5669)/2</f>
        <v>3</v>
      </c>
      <c r="N5670" s="765">
        <f>SUM(N5631:N5669)/2</f>
        <v>0.26424000000000003</v>
      </c>
      <c r="O5670" s="550"/>
      <c r="P5670" s="549"/>
      <c r="Q5670" s="648">
        <f>SUM(Q5631:Q5669)/2</f>
        <v>1114.5</v>
      </c>
      <c r="R5670" s="765">
        <f>SUM(R5631:R5669)/2</f>
        <v>89.831776999999988</v>
      </c>
    </row>
    <row r="5671" spans="1:19" s="497" customFormat="1" ht="17.399999999999999">
      <c r="A5671" s="549"/>
      <c r="B5671" s="549"/>
      <c r="C5671" s="549"/>
      <c r="D5671" s="549"/>
      <c r="E5671" s="549"/>
      <c r="F5671" s="549"/>
      <c r="G5671" s="549"/>
      <c r="H5671" s="549"/>
      <c r="I5671" s="558"/>
      <c r="J5671" s="647"/>
      <c r="K5671" s="648"/>
      <c r="L5671" s="765"/>
      <c r="M5671" s="550"/>
      <c r="N5671" s="550"/>
      <c r="O5671" s="550"/>
      <c r="P5671" s="549"/>
      <c r="Q5671" s="1059"/>
      <c r="R5671" s="1059"/>
    </row>
    <row r="5672" spans="1:19" s="497" customFormat="1" ht="17.399999999999999">
      <c r="A5672" s="549"/>
      <c r="B5672" s="549"/>
      <c r="C5672" s="549"/>
      <c r="D5672" s="549"/>
      <c r="E5672" s="549"/>
      <c r="F5672" s="549"/>
      <c r="G5672" s="549"/>
      <c r="H5672" s="549"/>
      <c r="I5672" s="558"/>
      <c r="J5672" s="647"/>
      <c r="K5672" s="648"/>
      <c r="L5672" s="765"/>
      <c r="M5672" s="550"/>
      <c r="N5672" s="550"/>
      <c r="O5672" s="550"/>
      <c r="P5672" s="549"/>
      <c r="Q5672" s="1059"/>
      <c r="R5672" s="1059"/>
    </row>
    <row r="5673" spans="1:19" s="497" customFormat="1" ht="18">
      <c r="A5673" s="547" t="s">
        <v>541</v>
      </c>
      <c r="B5673" s="979" t="s">
        <v>642</v>
      </c>
      <c r="C5673" s="547" t="s">
        <v>19</v>
      </c>
      <c r="D5673" s="547" t="s">
        <v>20</v>
      </c>
      <c r="E5673" s="547" t="s">
        <v>47</v>
      </c>
      <c r="F5673" s="550">
        <v>10</v>
      </c>
      <c r="G5673" s="550" t="s">
        <v>21</v>
      </c>
      <c r="H5673" s="599" t="s">
        <v>131</v>
      </c>
      <c r="I5673" s="558">
        <v>7.34</v>
      </c>
      <c r="J5673" s="914">
        <v>11.8</v>
      </c>
      <c r="K5673" s="915">
        <v>235</v>
      </c>
      <c r="L5673" s="552">
        <f>(I5673*J5673*K5673/1000)</f>
        <v>20.353820000000002</v>
      </c>
      <c r="M5673" s="550"/>
      <c r="N5673" s="550"/>
      <c r="O5673" s="550"/>
      <c r="P5673" s="2013" t="s">
        <v>652</v>
      </c>
      <c r="Q5673" s="497" t="s">
        <v>686</v>
      </c>
      <c r="R5673" s="1071"/>
    </row>
    <row r="5674" spans="1:19" s="497" customFormat="1" ht="17.399999999999999">
      <c r="A5674" s="550"/>
      <c r="B5674" s="964" t="s">
        <v>621</v>
      </c>
      <c r="C5674" s="550"/>
      <c r="D5674" s="550"/>
      <c r="E5674" s="550"/>
      <c r="F5674" s="550"/>
      <c r="G5674" s="550"/>
      <c r="H5674" s="550"/>
      <c r="I5674" s="551"/>
      <c r="J5674" s="765"/>
      <c r="K5674" s="766">
        <f>SUM(K5673:K5673)</f>
        <v>235</v>
      </c>
      <c r="L5674" s="765">
        <f>SUM(L5673:L5673)</f>
        <v>20.353820000000002</v>
      </c>
      <c r="M5674" s="550"/>
      <c r="N5674" s="550"/>
      <c r="O5674" s="550"/>
      <c r="P5674" s="2014"/>
      <c r="Q5674" s="1071"/>
      <c r="R5674" s="1071"/>
    </row>
    <row r="5675" spans="1:19" s="497" customFormat="1" ht="17.399999999999999">
      <c r="A5675" s="550"/>
      <c r="B5675" s="550"/>
      <c r="C5675" s="550"/>
      <c r="D5675" s="550"/>
      <c r="E5675" s="550"/>
      <c r="F5675" s="550"/>
      <c r="G5675" s="550"/>
      <c r="H5675" s="550"/>
      <c r="I5675" s="551"/>
      <c r="J5675" s="765"/>
      <c r="K5675" s="766"/>
      <c r="L5675" s="765"/>
      <c r="M5675" s="550"/>
      <c r="N5675" s="550"/>
      <c r="O5675" s="550"/>
      <c r="P5675" s="2014"/>
      <c r="Q5675" s="1071"/>
      <c r="R5675" s="1071"/>
    </row>
    <row r="5676" spans="1:19" s="497" customFormat="1" ht="18">
      <c r="A5676" s="547" t="s">
        <v>445</v>
      </c>
      <c r="B5676" s="547" t="s">
        <v>643</v>
      </c>
      <c r="C5676" s="547" t="s">
        <v>19</v>
      </c>
      <c r="D5676" s="547" t="s">
        <v>20</v>
      </c>
      <c r="E5676" s="547" t="s">
        <v>47</v>
      </c>
      <c r="F5676" s="550">
        <v>10</v>
      </c>
      <c r="G5676" s="550" t="s">
        <v>21</v>
      </c>
      <c r="H5676" s="599" t="s">
        <v>131</v>
      </c>
      <c r="I5676" s="558">
        <v>7.34</v>
      </c>
      <c r="J5676" s="914">
        <v>10</v>
      </c>
      <c r="K5676" s="915">
        <v>252</v>
      </c>
      <c r="L5676" s="552">
        <f t="shared" ref="L5676:L5681" si="1239">(I5676*J5676*K5676/1000)</f>
        <v>18.496800000000004</v>
      </c>
      <c r="M5676" s="550"/>
      <c r="N5676" s="550"/>
      <c r="O5676" s="550"/>
      <c r="P5676" s="2014"/>
      <c r="Q5676" s="497" t="s">
        <v>686</v>
      </c>
      <c r="R5676" s="1071"/>
    </row>
    <row r="5677" spans="1:19" s="497" customFormat="1" ht="18">
      <c r="A5677" s="550"/>
      <c r="B5677" s="964" t="s">
        <v>621</v>
      </c>
      <c r="C5677" s="550"/>
      <c r="D5677" s="550"/>
      <c r="E5677" s="550"/>
      <c r="F5677" s="550"/>
      <c r="G5677" s="550" t="s">
        <v>21</v>
      </c>
      <c r="H5677" s="549" t="s">
        <v>131</v>
      </c>
      <c r="I5677" s="558">
        <v>7.34</v>
      </c>
      <c r="J5677" s="914">
        <v>10.5</v>
      </c>
      <c r="K5677" s="915">
        <v>518</v>
      </c>
      <c r="L5677" s="552">
        <f t="shared" si="1239"/>
        <v>39.922259999999994</v>
      </c>
      <c r="M5677" s="550"/>
      <c r="N5677" s="550"/>
      <c r="O5677" s="550"/>
      <c r="P5677" s="2014"/>
      <c r="Q5677" s="1071"/>
      <c r="R5677" s="1071"/>
    </row>
    <row r="5678" spans="1:19" s="497" customFormat="1" ht="18">
      <c r="A5678" s="550"/>
      <c r="B5678" s="550"/>
      <c r="C5678" s="550"/>
      <c r="D5678" s="550"/>
      <c r="E5678" s="550"/>
      <c r="F5678" s="550"/>
      <c r="G5678" s="550" t="s">
        <v>21</v>
      </c>
      <c r="H5678" s="549" t="s">
        <v>131</v>
      </c>
      <c r="I5678" s="558">
        <v>7.34</v>
      </c>
      <c r="J5678" s="914">
        <v>11</v>
      </c>
      <c r="K5678" s="915">
        <v>159</v>
      </c>
      <c r="L5678" s="552">
        <f t="shared" si="1239"/>
        <v>12.83766</v>
      </c>
      <c r="M5678" s="550"/>
      <c r="N5678" s="550"/>
      <c r="O5678" s="550"/>
      <c r="P5678" s="2014"/>
      <c r="Q5678" s="1071"/>
      <c r="R5678" s="1071"/>
    </row>
    <row r="5679" spans="1:19" s="497" customFormat="1" ht="18">
      <c r="A5679" s="550"/>
      <c r="B5679" s="550"/>
      <c r="C5679" s="550"/>
      <c r="D5679" s="550"/>
      <c r="E5679" s="550"/>
      <c r="F5679" s="550"/>
      <c r="G5679" s="550" t="s">
        <v>21</v>
      </c>
      <c r="H5679" s="549" t="s">
        <v>131</v>
      </c>
      <c r="I5679" s="558">
        <v>7.34</v>
      </c>
      <c r="J5679" s="914">
        <v>11.5</v>
      </c>
      <c r="K5679" s="915">
        <v>336</v>
      </c>
      <c r="L5679" s="552">
        <f t="shared" si="1239"/>
        <v>28.361759999999997</v>
      </c>
      <c r="M5679" s="550"/>
      <c r="N5679" s="550"/>
      <c r="O5679" s="550"/>
      <c r="P5679" s="2014"/>
      <c r="Q5679" s="1071">
        <v>158</v>
      </c>
      <c r="R5679" s="1071">
        <f>I5679*J5679*Q5679/1000</f>
        <v>13.336779999999999</v>
      </c>
    </row>
    <row r="5680" spans="1:19" s="497" customFormat="1" ht="18">
      <c r="A5680" s="550"/>
      <c r="B5680" s="550"/>
      <c r="C5680" s="550"/>
      <c r="D5680" s="550"/>
      <c r="E5680" s="550"/>
      <c r="F5680" s="550"/>
      <c r="G5680" s="550" t="s">
        <v>21</v>
      </c>
      <c r="H5680" s="549" t="s">
        <v>131</v>
      </c>
      <c r="I5680" s="558">
        <v>7.34</v>
      </c>
      <c r="J5680" s="914">
        <v>11.7</v>
      </c>
      <c r="K5680" s="915">
        <v>40</v>
      </c>
      <c r="L5680" s="552">
        <f t="shared" si="1239"/>
        <v>3.43512</v>
      </c>
      <c r="M5680" s="550"/>
      <c r="N5680" s="550"/>
      <c r="O5680" s="550"/>
      <c r="P5680" s="2014"/>
      <c r="Q5680" s="1071"/>
      <c r="R5680" s="1071"/>
    </row>
    <row r="5681" spans="1:18" s="497" customFormat="1" ht="18">
      <c r="A5681" s="550"/>
      <c r="B5681" s="550"/>
      <c r="C5681" s="550"/>
      <c r="D5681" s="550"/>
      <c r="E5681" s="550"/>
      <c r="F5681" s="550"/>
      <c r="G5681" s="550" t="s">
        <v>21</v>
      </c>
      <c r="H5681" s="549" t="s">
        <v>131</v>
      </c>
      <c r="I5681" s="558">
        <v>7.34</v>
      </c>
      <c r="J5681" s="914">
        <v>12</v>
      </c>
      <c r="K5681" s="915">
        <v>138</v>
      </c>
      <c r="L5681" s="552">
        <f t="shared" si="1239"/>
        <v>12.15504</v>
      </c>
      <c r="M5681" s="550"/>
      <c r="N5681" s="550"/>
      <c r="O5681" s="550"/>
      <c r="P5681" s="2014"/>
      <c r="Q5681" s="1071">
        <v>32</v>
      </c>
      <c r="R5681" s="1071">
        <f>I5681*J5681*Q5681/1000</f>
        <v>2.8185599999999997</v>
      </c>
    </row>
    <row r="5682" spans="1:18" s="497" customFormat="1" ht="17.399999999999999">
      <c r="A5682" s="550"/>
      <c r="B5682" s="550"/>
      <c r="C5682" s="550"/>
      <c r="D5682" s="550"/>
      <c r="E5682" s="550"/>
      <c r="F5682" s="550"/>
      <c r="G5682" s="550"/>
      <c r="H5682" s="550"/>
      <c r="I5682" s="551"/>
      <c r="J5682" s="765"/>
      <c r="K5682" s="766">
        <f>SUM(K5676:K5681)</f>
        <v>1443</v>
      </c>
      <c r="L5682" s="765">
        <f>SUM(L5676:L5681)</f>
        <v>115.20864</v>
      </c>
      <c r="M5682" s="550"/>
      <c r="N5682" s="550"/>
      <c r="O5682" s="550"/>
      <c r="P5682" s="2015"/>
      <c r="Q5682" s="766">
        <f>SUM(Q5676:Q5681)</f>
        <v>190</v>
      </c>
      <c r="R5682" s="765">
        <f>SUM(R5676:R5681)</f>
        <v>16.155339999999999</v>
      </c>
    </row>
    <row r="5683" spans="1:18" s="497" customFormat="1" ht="17.399999999999999">
      <c r="A5683" s="550"/>
      <c r="B5683" s="550"/>
      <c r="C5683" s="550"/>
      <c r="D5683" s="550"/>
      <c r="E5683" s="550"/>
      <c r="F5683" s="550"/>
      <c r="G5683" s="550"/>
      <c r="H5683" s="550"/>
      <c r="I5683" s="551"/>
      <c r="J5683" s="765"/>
      <c r="K5683" s="766">
        <f>+K5682+K5674</f>
        <v>1678</v>
      </c>
      <c r="L5683" s="765">
        <f>+L5682+L5674</f>
        <v>135.56246000000002</v>
      </c>
      <c r="M5683" s="550"/>
      <c r="N5683" s="550"/>
      <c r="O5683" s="550"/>
      <c r="P5683" s="549"/>
      <c r="Q5683" s="1059"/>
      <c r="R5683" s="1059"/>
    </row>
    <row r="5684" spans="1:18" s="497" customFormat="1" ht="17.399999999999999">
      <c r="A5684" s="549"/>
      <c r="B5684" s="549"/>
      <c r="C5684" s="549"/>
      <c r="D5684" s="549"/>
      <c r="E5684" s="549"/>
      <c r="F5684" s="549"/>
      <c r="G5684" s="549"/>
      <c r="H5684" s="549"/>
      <c r="I5684" s="558"/>
      <c r="J5684" s="647"/>
      <c r="K5684" s="648"/>
      <c r="L5684" s="765"/>
      <c r="M5684" s="550"/>
      <c r="N5684" s="550"/>
      <c r="O5684" s="550"/>
      <c r="P5684" s="549"/>
      <c r="Q5684" s="1059"/>
      <c r="R5684" s="1059"/>
    </row>
    <row r="5685" spans="1:18" s="497" customFormat="1" ht="17.399999999999999">
      <c r="A5685" s="547"/>
      <c r="B5685" s="752"/>
      <c r="C5685" s="547"/>
      <c r="D5685" s="547"/>
      <c r="E5685" s="547"/>
      <c r="F5685" s="549"/>
      <c r="G5685" s="549"/>
      <c r="H5685" s="549"/>
      <c r="I5685" s="558"/>
      <c r="J5685" s="567"/>
      <c r="K5685" s="648"/>
      <c r="L5685" s="765"/>
      <c r="M5685" s="549"/>
      <c r="N5685" s="549"/>
      <c r="O5685" s="549"/>
      <c r="P5685" s="549"/>
      <c r="Q5685" s="1059"/>
      <c r="R5685" s="1059"/>
    </row>
    <row r="5686" spans="1:18" s="497" customFormat="1" ht="18">
      <c r="A5686" s="547" t="s">
        <v>541</v>
      </c>
      <c r="B5686" s="979" t="s">
        <v>642</v>
      </c>
      <c r="C5686" s="547" t="s">
        <v>19</v>
      </c>
      <c r="D5686" s="547" t="s">
        <v>20</v>
      </c>
      <c r="E5686" s="547" t="s">
        <v>47</v>
      </c>
      <c r="F5686" s="550">
        <v>10</v>
      </c>
      <c r="G5686" s="550" t="s">
        <v>21</v>
      </c>
      <c r="H5686" s="599" t="s">
        <v>130</v>
      </c>
      <c r="I5686" s="551">
        <v>6.17</v>
      </c>
      <c r="J5686" s="996">
        <v>11.8</v>
      </c>
      <c r="K5686" s="997">
        <v>21</v>
      </c>
      <c r="L5686" s="552">
        <f>(I5686*J5686*K5686/1000)</f>
        <v>1.528926</v>
      </c>
      <c r="M5686" s="550"/>
      <c r="N5686" s="550"/>
      <c r="O5686" s="550"/>
      <c r="P5686" s="2083" t="s">
        <v>653</v>
      </c>
      <c r="Q5686" s="497" t="s">
        <v>706</v>
      </c>
      <c r="R5686" s="1072"/>
    </row>
    <row r="5687" spans="1:18" s="497" customFormat="1" ht="18">
      <c r="A5687" s="547"/>
      <c r="B5687" s="964" t="s">
        <v>621</v>
      </c>
      <c r="C5687" s="755"/>
      <c r="D5687" s="547"/>
      <c r="E5687" s="547"/>
      <c r="F5687" s="550"/>
      <c r="G5687" s="550" t="s">
        <v>21</v>
      </c>
      <c r="H5687" s="550" t="s">
        <v>130</v>
      </c>
      <c r="I5687" s="551">
        <v>6.17</v>
      </c>
      <c r="J5687" s="996">
        <v>9.8000000000000007</v>
      </c>
      <c r="K5687" s="997">
        <v>88</v>
      </c>
      <c r="L5687" s="552">
        <f>(I5687*J5687*K5687/1000)</f>
        <v>5.321008</v>
      </c>
      <c r="M5687" s="550"/>
      <c r="N5687" s="550"/>
      <c r="O5687" s="550"/>
      <c r="P5687" s="2084"/>
      <c r="R5687" s="1072"/>
    </row>
    <row r="5688" spans="1:18" s="497" customFormat="1" ht="17.399999999999999">
      <c r="A5688" s="550"/>
      <c r="B5688" s="550"/>
      <c r="C5688" s="550"/>
      <c r="D5688" s="550"/>
      <c r="E5688" s="550"/>
      <c r="F5688" s="550"/>
      <c r="G5688" s="550"/>
      <c r="H5688" s="550"/>
      <c r="I5688" s="551"/>
      <c r="J5688" s="765"/>
      <c r="K5688" s="766">
        <f>SUM(K5686:K5687)</f>
        <v>109</v>
      </c>
      <c r="L5688" s="765">
        <f>SUM(L5686:L5687)</f>
        <v>6.8499340000000002</v>
      </c>
      <c r="M5688" s="550"/>
      <c r="N5688" s="550"/>
      <c r="O5688" s="550"/>
      <c r="P5688" s="2084"/>
      <c r="R5688" s="1072"/>
    </row>
    <row r="5689" spans="1:18" s="497" customFormat="1" ht="17.399999999999999">
      <c r="A5689" s="547"/>
      <c r="B5689" s="752"/>
      <c r="C5689" s="547"/>
      <c r="D5689" s="547"/>
      <c r="E5689" s="547"/>
      <c r="F5689" s="550"/>
      <c r="G5689" s="550"/>
      <c r="H5689" s="550"/>
      <c r="I5689" s="551"/>
      <c r="J5689" s="765"/>
      <c r="K5689" s="766"/>
      <c r="L5689" s="765"/>
      <c r="M5689" s="550"/>
      <c r="N5689" s="550"/>
      <c r="O5689" s="550"/>
      <c r="P5689" s="2084"/>
      <c r="R5689" s="1072"/>
    </row>
    <row r="5690" spans="1:18" s="497" customFormat="1" ht="18">
      <c r="A5690" s="547" t="s">
        <v>445</v>
      </c>
      <c r="B5690" s="547" t="s">
        <v>643</v>
      </c>
      <c r="C5690" s="547" t="s">
        <v>19</v>
      </c>
      <c r="D5690" s="547" t="s">
        <v>20</v>
      </c>
      <c r="E5690" s="547" t="s">
        <v>47</v>
      </c>
      <c r="F5690" s="550">
        <v>10</v>
      </c>
      <c r="G5690" s="550" t="s">
        <v>21</v>
      </c>
      <c r="H5690" s="599" t="s">
        <v>130</v>
      </c>
      <c r="I5690" s="551">
        <v>6.17</v>
      </c>
      <c r="J5690" s="913">
        <v>12</v>
      </c>
      <c r="K5690" s="915">
        <v>22</v>
      </c>
      <c r="L5690" s="552">
        <f t="shared" ref="L5690:L5698" si="1240">(I5690*J5690*K5690/1000)</f>
        <v>1.6288799999999999</v>
      </c>
      <c r="M5690" s="549"/>
      <c r="N5690" s="549"/>
      <c r="O5690" s="549"/>
      <c r="P5690" s="2084"/>
      <c r="Q5690" s="497" t="s">
        <v>703</v>
      </c>
      <c r="R5690" s="1072"/>
    </row>
    <row r="5691" spans="1:18" s="497" customFormat="1" ht="18">
      <c r="A5691" s="550"/>
      <c r="B5691" s="964" t="s">
        <v>621</v>
      </c>
      <c r="C5691" s="550"/>
      <c r="D5691" s="550"/>
      <c r="E5691" s="550"/>
      <c r="F5691" s="550"/>
      <c r="G5691" s="550" t="s">
        <v>21</v>
      </c>
      <c r="H5691" s="550" t="s">
        <v>130</v>
      </c>
      <c r="I5691" s="551">
        <v>6.17</v>
      </c>
      <c r="J5691" s="913">
        <v>10.5</v>
      </c>
      <c r="K5691" s="915">
        <v>57</v>
      </c>
      <c r="L5691" s="552">
        <f t="shared" si="1240"/>
        <v>3.6927449999999999</v>
      </c>
      <c r="M5691" s="549"/>
      <c r="N5691" s="549"/>
      <c r="O5691" s="549"/>
      <c r="P5691" s="2084"/>
      <c r="Q5691" s="497" t="s">
        <v>705</v>
      </c>
      <c r="R5691" s="1072"/>
    </row>
    <row r="5692" spans="1:18" s="497" customFormat="1" ht="18">
      <c r="A5692" s="550"/>
      <c r="B5692" s="550"/>
      <c r="C5692" s="550"/>
      <c r="D5692" s="550"/>
      <c r="E5692" s="550"/>
      <c r="F5692" s="550"/>
      <c r="G5692" s="550" t="s">
        <v>21</v>
      </c>
      <c r="H5692" s="550" t="s">
        <v>130</v>
      </c>
      <c r="I5692" s="551">
        <v>6.17</v>
      </c>
      <c r="J5692" s="913">
        <v>11.5</v>
      </c>
      <c r="K5692" s="915">
        <v>40</v>
      </c>
      <c r="L5692" s="552">
        <f t="shared" si="1240"/>
        <v>2.8381999999999996</v>
      </c>
      <c r="M5692" s="549"/>
      <c r="N5692" s="549"/>
      <c r="O5692" s="549"/>
      <c r="P5692" s="2084"/>
      <c r="Q5692" s="1072"/>
      <c r="R5692" s="1072"/>
    </row>
    <row r="5693" spans="1:18" s="497" customFormat="1" ht="18">
      <c r="A5693" s="550"/>
      <c r="B5693" s="550"/>
      <c r="C5693" s="550"/>
      <c r="D5693" s="550"/>
      <c r="E5693" s="550"/>
      <c r="F5693" s="550"/>
      <c r="G5693" s="550" t="s">
        <v>21</v>
      </c>
      <c r="H5693" s="550" t="s">
        <v>130</v>
      </c>
      <c r="I5693" s="551">
        <v>6.17</v>
      </c>
      <c r="J5693" s="913">
        <v>11</v>
      </c>
      <c r="K5693" s="915">
        <v>14</v>
      </c>
      <c r="L5693" s="552">
        <f t="shared" si="1240"/>
        <v>0.95018000000000002</v>
      </c>
      <c r="M5693" s="549"/>
      <c r="N5693" s="549"/>
      <c r="O5693" s="549"/>
      <c r="P5693" s="2084"/>
      <c r="Q5693" s="1072"/>
      <c r="R5693" s="1072"/>
    </row>
    <row r="5694" spans="1:18" s="497" customFormat="1" ht="18">
      <c r="A5694" s="550"/>
      <c r="B5694" s="550"/>
      <c r="C5694" s="550"/>
      <c r="D5694" s="550"/>
      <c r="E5694" s="550"/>
      <c r="F5694" s="550"/>
      <c r="G5694" s="550" t="s">
        <v>21</v>
      </c>
      <c r="H5694" s="550" t="s">
        <v>130</v>
      </c>
      <c r="I5694" s="551">
        <v>6.17</v>
      </c>
      <c r="J5694" s="913">
        <v>10</v>
      </c>
      <c r="K5694" s="915">
        <v>8</v>
      </c>
      <c r="L5694" s="552">
        <f t="shared" si="1240"/>
        <v>0.49360000000000004</v>
      </c>
      <c r="M5694" s="549"/>
      <c r="N5694" s="549"/>
      <c r="O5694" s="549"/>
      <c r="P5694" s="2084"/>
      <c r="Q5694" s="1072"/>
      <c r="R5694" s="1072"/>
    </row>
    <row r="5695" spans="1:18" s="497" customFormat="1" ht="18">
      <c r="A5695" s="550"/>
      <c r="B5695" s="550"/>
      <c r="C5695" s="550"/>
      <c r="D5695" s="550"/>
      <c r="E5695" s="550"/>
      <c r="F5695" s="550"/>
      <c r="G5695" s="550" t="s">
        <v>21</v>
      </c>
      <c r="H5695" s="550" t="s">
        <v>130</v>
      </c>
      <c r="I5695" s="551">
        <v>6.17</v>
      </c>
      <c r="J5695" s="913">
        <v>11.7</v>
      </c>
      <c r="K5695" s="915">
        <v>28</v>
      </c>
      <c r="L5695" s="552">
        <f t="shared" si="1240"/>
        <v>2.0212919999999999</v>
      </c>
      <c r="M5695" s="549"/>
      <c r="N5695" s="549"/>
      <c r="O5695" s="549"/>
      <c r="P5695" s="2084"/>
      <c r="Q5695" s="1072"/>
      <c r="R5695" s="1072"/>
    </row>
    <row r="5696" spans="1:18" s="497" customFormat="1" ht="18">
      <c r="A5696" s="550"/>
      <c r="B5696" s="550"/>
      <c r="C5696" s="550"/>
      <c r="D5696" s="550"/>
      <c r="E5696" s="550"/>
      <c r="F5696" s="550"/>
      <c r="G5696" s="550" t="s">
        <v>21</v>
      </c>
      <c r="H5696" s="550" t="s">
        <v>130</v>
      </c>
      <c r="I5696" s="551">
        <v>6.17</v>
      </c>
      <c r="J5696" s="913">
        <v>9.8000000000000007</v>
      </c>
      <c r="K5696" s="915">
        <v>36</v>
      </c>
      <c r="L5696" s="552">
        <f t="shared" si="1240"/>
        <v>2.1767759999999998</v>
      </c>
      <c r="M5696" s="549"/>
      <c r="N5696" s="549"/>
      <c r="O5696" s="549"/>
      <c r="P5696" s="2084"/>
      <c r="Q5696" s="1072"/>
      <c r="R5696" s="1072"/>
    </row>
    <row r="5697" spans="1:18" s="497" customFormat="1" ht="18">
      <c r="A5697" s="547"/>
      <c r="B5697" s="752"/>
      <c r="C5697" s="547"/>
      <c r="D5697" s="547"/>
      <c r="E5697" s="547"/>
      <c r="F5697" s="549"/>
      <c r="G5697" s="550" t="s">
        <v>21</v>
      </c>
      <c r="H5697" s="550" t="s">
        <v>130</v>
      </c>
      <c r="I5697" s="551">
        <v>6.17</v>
      </c>
      <c r="J5697" s="913">
        <v>6.15</v>
      </c>
      <c r="K5697" s="915">
        <v>96</v>
      </c>
      <c r="L5697" s="552">
        <f t="shared" si="1240"/>
        <v>3.6427680000000002</v>
      </c>
      <c r="M5697" s="549"/>
      <c r="N5697" s="549"/>
      <c r="O5697" s="549"/>
      <c r="P5697" s="2084"/>
      <c r="Q5697" s="1072"/>
      <c r="R5697" s="1072"/>
    </row>
    <row r="5698" spans="1:18" s="497" customFormat="1" ht="18">
      <c r="A5698" s="547"/>
      <c r="B5698" s="752"/>
      <c r="C5698" s="547"/>
      <c r="D5698" s="547"/>
      <c r="E5698" s="547"/>
      <c r="F5698" s="549"/>
      <c r="G5698" s="550" t="s">
        <v>21</v>
      </c>
      <c r="H5698" s="550" t="s">
        <v>130</v>
      </c>
      <c r="I5698" s="551">
        <v>6.17</v>
      </c>
      <c r="J5698" s="913">
        <v>7</v>
      </c>
      <c r="K5698" s="915">
        <v>39</v>
      </c>
      <c r="L5698" s="552">
        <f t="shared" si="1240"/>
        <v>1.68441</v>
      </c>
      <c r="M5698" s="549"/>
      <c r="N5698" s="549"/>
      <c r="O5698" s="549"/>
      <c r="P5698" s="2084"/>
      <c r="Q5698" s="1072"/>
      <c r="R5698" s="1072"/>
    </row>
    <row r="5699" spans="1:18" s="497" customFormat="1" ht="17.399999999999999">
      <c r="A5699" s="547"/>
      <c r="B5699" s="752"/>
      <c r="C5699" s="547"/>
      <c r="D5699" s="547"/>
      <c r="E5699" s="547"/>
      <c r="F5699" s="549"/>
      <c r="G5699" s="549"/>
      <c r="H5699" s="549"/>
      <c r="I5699" s="558"/>
      <c r="J5699" s="567"/>
      <c r="K5699" s="766">
        <f>SUM(K5690:K5698)</f>
        <v>340</v>
      </c>
      <c r="L5699" s="765">
        <f>SUM(L5690:L5698)</f>
        <v>19.128851000000001</v>
      </c>
      <c r="M5699" s="549"/>
      <c r="N5699" s="549"/>
      <c r="O5699" s="549"/>
      <c r="P5699" s="2085"/>
      <c r="Q5699" s="1072"/>
      <c r="R5699" s="1072"/>
    </row>
    <row r="5700" spans="1:18" s="497" customFormat="1" ht="17.399999999999999">
      <c r="A5700" s="549"/>
      <c r="B5700" s="549"/>
      <c r="C5700" s="549"/>
      <c r="D5700" s="549"/>
      <c r="E5700" s="549"/>
      <c r="F5700" s="549"/>
      <c r="G5700" s="549"/>
      <c r="H5700" s="549"/>
      <c r="I5700" s="558"/>
      <c r="J5700" s="647"/>
      <c r="K5700" s="648">
        <f>SUM(K5686:K5699)/2</f>
        <v>449</v>
      </c>
      <c r="L5700" s="567">
        <f>SUM(L5686:L5699)/2</f>
        <v>25.978785000000002</v>
      </c>
      <c r="M5700" s="549"/>
      <c r="N5700" s="549"/>
      <c r="O5700" s="549"/>
      <c r="P5700" s="549"/>
      <c r="Q5700" s="1059"/>
      <c r="R5700" s="1059"/>
    </row>
    <row r="5701" spans="1:18" s="497" customFormat="1" ht="17.399999999999999">
      <c r="A5701" s="549"/>
      <c r="B5701" s="549"/>
      <c r="C5701" s="549"/>
      <c r="D5701" s="549"/>
      <c r="E5701" s="549"/>
      <c r="F5701" s="549"/>
      <c r="G5701" s="549"/>
      <c r="H5701" s="549"/>
      <c r="I5701" s="558"/>
      <c r="J5701" s="647"/>
      <c r="K5701" s="648"/>
      <c r="L5701" s="567"/>
      <c r="M5701" s="549"/>
      <c r="N5701" s="549"/>
      <c r="O5701" s="549"/>
      <c r="P5701" s="549"/>
      <c r="Q5701" s="1059"/>
      <c r="R5701" s="1059"/>
    </row>
    <row r="5702" spans="1:18" ht="17.399999999999999">
      <c r="A5702" s="547" t="s">
        <v>445</v>
      </c>
      <c r="B5702" s="547" t="s">
        <v>488</v>
      </c>
      <c r="C5702" s="547" t="s">
        <v>19</v>
      </c>
      <c r="D5702" s="547" t="s">
        <v>20</v>
      </c>
      <c r="E5702" s="547" t="s">
        <v>47</v>
      </c>
      <c r="F5702" s="549">
        <v>10</v>
      </c>
      <c r="G5702" s="549" t="s">
        <v>21</v>
      </c>
      <c r="H5702" s="599" t="s">
        <v>130</v>
      </c>
      <c r="I5702" s="558">
        <v>6.17</v>
      </c>
      <c r="J5702" s="567">
        <v>11.3</v>
      </c>
      <c r="K5702" s="648">
        <v>38</v>
      </c>
      <c r="L5702" s="552">
        <f t="shared" ref="L5702:L5703" si="1241">(I5702*J5702*K5702/1000)</f>
        <v>2.6493980000000001</v>
      </c>
      <c r="M5702" s="549"/>
      <c r="N5702" s="549"/>
      <c r="O5702" s="549"/>
      <c r="P5702" s="2013" t="s">
        <v>654</v>
      </c>
      <c r="Q5702" s="497" t="s">
        <v>686</v>
      </c>
      <c r="R5702" s="1071"/>
    </row>
    <row r="5703" spans="1:18" ht="17.399999999999999">
      <c r="A5703" s="547"/>
      <c r="B5703" s="752" t="s">
        <v>439</v>
      </c>
      <c r="C5703" s="547"/>
      <c r="D5703" s="547"/>
      <c r="E5703" s="547"/>
      <c r="F5703" s="549"/>
      <c r="G5703" s="549" t="s">
        <v>21</v>
      </c>
      <c r="H5703" s="549" t="s">
        <v>130</v>
      </c>
      <c r="I5703" s="558">
        <v>6.17</v>
      </c>
      <c r="J5703" s="567">
        <v>12</v>
      </c>
      <c r="K5703" s="648">
        <v>19</v>
      </c>
      <c r="L5703" s="552">
        <f t="shared" si="1241"/>
        <v>1.4067599999999998</v>
      </c>
      <c r="M5703" s="549"/>
      <c r="N5703" s="549"/>
      <c r="O5703" s="549"/>
      <c r="P5703" s="2014"/>
      <c r="Q5703" s="1071"/>
      <c r="R5703" s="1071"/>
    </row>
    <row r="5704" spans="1:18" ht="17.399999999999999">
      <c r="A5704" s="549"/>
      <c r="B5704" s="549"/>
      <c r="C5704" s="549"/>
      <c r="D5704" s="549"/>
      <c r="E5704" s="549"/>
      <c r="F5704" s="549"/>
      <c r="G5704" s="549"/>
      <c r="H5704" s="549"/>
      <c r="I5704" s="558"/>
      <c r="J5704" s="567"/>
      <c r="K5704" s="648">
        <f t="shared" ref="K5704:L5704" si="1242">SUM(K5702:K5703)</f>
        <v>57</v>
      </c>
      <c r="L5704" s="765">
        <f t="shared" si="1242"/>
        <v>4.0561579999999999</v>
      </c>
      <c r="M5704" s="550"/>
      <c r="N5704" s="549"/>
      <c r="O5704" s="549"/>
      <c r="P5704" s="2014"/>
      <c r="Q5704" s="1071"/>
      <c r="R5704" s="1071"/>
    </row>
    <row r="5705" spans="1:18" ht="17.399999999999999">
      <c r="A5705" s="549"/>
      <c r="B5705" s="549"/>
      <c r="C5705" s="549"/>
      <c r="D5705" s="549"/>
      <c r="E5705" s="549"/>
      <c r="F5705" s="549"/>
      <c r="G5705" s="549"/>
      <c r="H5705" s="549"/>
      <c r="I5705" s="560"/>
      <c r="J5705" s="549"/>
      <c r="K5705" s="561"/>
      <c r="L5705" s="548"/>
      <c r="M5705" s="550"/>
      <c r="N5705" s="549"/>
      <c r="O5705" s="549"/>
      <c r="P5705" s="2014"/>
      <c r="Q5705" s="1071"/>
      <c r="R5705" s="1071"/>
    </row>
    <row r="5706" spans="1:18" ht="17.399999999999999">
      <c r="A5706" s="547" t="s">
        <v>445</v>
      </c>
      <c r="B5706" s="547" t="s">
        <v>487</v>
      </c>
      <c r="C5706" s="547" t="s">
        <v>19</v>
      </c>
      <c r="D5706" s="547" t="s">
        <v>20</v>
      </c>
      <c r="E5706" s="547" t="s">
        <v>47</v>
      </c>
      <c r="F5706" s="549">
        <v>10</v>
      </c>
      <c r="G5706" s="549" t="s">
        <v>21</v>
      </c>
      <c r="H5706" s="599" t="s">
        <v>130</v>
      </c>
      <c r="I5706" s="558">
        <v>6.17</v>
      </c>
      <c r="J5706" s="567">
        <v>8.85</v>
      </c>
      <c r="K5706" s="648">
        <v>58</v>
      </c>
      <c r="L5706" s="552">
        <f>(I5706*J5706*K5706/1000)</f>
        <v>3.1670609999999999</v>
      </c>
      <c r="M5706" s="550">
        <f>7+3</f>
        <v>10</v>
      </c>
      <c r="N5706" s="567">
        <f t="shared" ref="N5706:N5708" si="1243">J5706*M5706*I5706/1000</f>
        <v>0.546045</v>
      </c>
      <c r="O5706" s="549"/>
      <c r="P5706" s="2014"/>
      <c r="Q5706" s="497" t="s">
        <v>686</v>
      </c>
      <c r="R5706" s="1071"/>
    </row>
    <row r="5707" spans="1:18" ht="17.399999999999999">
      <c r="A5707" s="547"/>
      <c r="B5707" s="752" t="s">
        <v>439</v>
      </c>
      <c r="C5707" s="547"/>
      <c r="D5707" s="547"/>
      <c r="E5707" s="547"/>
      <c r="F5707" s="549"/>
      <c r="G5707" s="549" t="s">
        <v>21</v>
      </c>
      <c r="H5707" s="549" t="s">
        <v>130</v>
      </c>
      <c r="I5707" s="558">
        <v>6.17</v>
      </c>
      <c r="J5707" s="567">
        <v>11.3</v>
      </c>
      <c r="K5707" s="648">
        <v>12</v>
      </c>
      <c r="L5707" s="552">
        <f>(I5707*J5707*K5707/1000)</f>
        <v>0.83665200000000006</v>
      </c>
      <c r="M5707" s="550">
        <v>4</v>
      </c>
      <c r="N5707" s="567">
        <f t="shared" si="1243"/>
        <v>0.27888400000000002</v>
      </c>
      <c r="O5707" s="549"/>
      <c r="P5707" s="2014"/>
      <c r="Q5707" s="1071"/>
      <c r="R5707" s="1071"/>
    </row>
    <row r="5708" spans="1:18" ht="17.399999999999999">
      <c r="A5708" s="549"/>
      <c r="B5708" s="549"/>
      <c r="C5708" s="549"/>
      <c r="D5708" s="549"/>
      <c r="E5708" s="549"/>
      <c r="F5708" s="549"/>
      <c r="G5708" s="549" t="s">
        <v>21</v>
      </c>
      <c r="H5708" s="549" t="s">
        <v>130</v>
      </c>
      <c r="I5708" s="558">
        <v>6.17</v>
      </c>
      <c r="J5708" s="567">
        <v>12</v>
      </c>
      <c r="K5708" s="648">
        <v>11</v>
      </c>
      <c r="L5708" s="552">
        <f>(I5708*J5708*K5708/1000)</f>
        <v>0.81443999999999994</v>
      </c>
      <c r="M5708" s="550">
        <v>5</v>
      </c>
      <c r="N5708" s="567">
        <f t="shared" si="1243"/>
        <v>0.37019999999999997</v>
      </c>
      <c r="O5708" s="549"/>
      <c r="P5708" s="2014"/>
      <c r="Q5708" s="1071"/>
      <c r="R5708" s="1071"/>
    </row>
    <row r="5709" spans="1:18" ht="17.399999999999999">
      <c r="A5709" s="549"/>
      <c r="B5709" s="549"/>
      <c r="C5709" s="549"/>
      <c r="D5709" s="549"/>
      <c r="E5709" s="549"/>
      <c r="F5709" s="549"/>
      <c r="G5709" s="549"/>
      <c r="H5709" s="549"/>
      <c r="I5709" s="558"/>
      <c r="J5709" s="567"/>
      <c r="K5709" s="648">
        <f>SUM(K5706:K5708)</f>
        <v>81</v>
      </c>
      <c r="L5709" s="765">
        <f>SUM(L5706:L5708)</f>
        <v>4.8181530000000006</v>
      </c>
      <c r="M5709" s="766">
        <f>SUM(M5706:M5708)</f>
        <v>19</v>
      </c>
      <c r="N5709" s="567">
        <f>SUM(N5706:N5708)</f>
        <v>1.1951290000000001</v>
      </c>
      <c r="O5709" s="549"/>
      <c r="P5709" s="2015"/>
      <c r="Q5709" s="1071"/>
      <c r="R5709" s="1071"/>
    </row>
    <row r="5710" spans="1:18" s="497" customFormat="1" ht="17.399999999999999">
      <c r="A5710" s="549"/>
      <c r="B5710" s="549"/>
      <c r="C5710" s="549"/>
      <c r="D5710" s="549"/>
      <c r="E5710" s="549"/>
      <c r="F5710" s="549"/>
      <c r="G5710" s="549"/>
      <c r="H5710" s="549"/>
      <c r="I5710" s="558"/>
      <c r="J5710" s="567"/>
      <c r="K5710" s="648"/>
      <c r="L5710" s="552"/>
      <c r="M5710" s="648"/>
      <c r="N5710" s="567"/>
      <c r="O5710" s="549"/>
      <c r="P5710" s="549"/>
      <c r="Q5710" s="1059"/>
      <c r="R5710" s="1059"/>
    </row>
    <row r="5711" spans="1:18" s="497" customFormat="1" ht="17.399999999999999">
      <c r="A5711" s="547" t="s">
        <v>523</v>
      </c>
      <c r="B5711" s="852" t="s">
        <v>593</v>
      </c>
      <c r="C5711" s="547" t="s">
        <v>19</v>
      </c>
      <c r="D5711" s="547" t="s">
        <v>20</v>
      </c>
      <c r="E5711" s="547" t="s">
        <v>359</v>
      </c>
      <c r="F5711" s="549">
        <v>10</v>
      </c>
      <c r="G5711" s="549" t="s">
        <v>21</v>
      </c>
      <c r="H5711" s="599" t="s">
        <v>130</v>
      </c>
      <c r="I5711" s="558">
        <v>6.17</v>
      </c>
      <c r="J5711" s="567">
        <v>12</v>
      </c>
      <c r="K5711" s="648">
        <v>56</v>
      </c>
      <c r="L5711" s="552">
        <f>(I5711*J5711*K5711/1000)</f>
        <v>4.1462399999999997</v>
      </c>
      <c r="M5711" s="549"/>
      <c r="N5711" s="549"/>
      <c r="O5711" s="549"/>
      <c r="P5711" s="549" t="s">
        <v>655</v>
      </c>
      <c r="Q5711" s="497" t="s">
        <v>686</v>
      </c>
      <c r="R5711" s="1059"/>
    </row>
    <row r="5712" spans="1:18" s="497" customFormat="1" ht="17.399999999999999">
      <c r="A5712" s="547"/>
      <c r="B5712" s="752" t="s">
        <v>277</v>
      </c>
      <c r="C5712" s="547"/>
      <c r="D5712" s="547"/>
      <c r="E5712" s="547"/>
      <c r="F5712" s="549"/>
      <c r="G5712" s="549"/>
      <c r="H5712" s="549"/>
      <c r="I5712" s="558"/>
      <c r="J5712" s="567"/>
      <c r="K5712" s="648">
        <f t="shared" ref="K5712:L5712" si="1244">SUM(K5711)</f>
        <v>56</v>
      </c>
      <c r="L5712" s="567">
        <f t="shared" si="1244"/>
        <v>4.1462399999999997</v>
      </c>
      <c r="M5712" s="549"/>
      <c r="N5712" s="549"/>
      <c r="O5712" s="549"/>
      <c r="P5712" s="549"/>
      <c r="Q5712" s="1059"/>
      <c r="R5712" s="1059"/>
    </row>
    <row r="5713" spans="1:18" s="497" customFormat="1" ht="17.399999999999999">
      <c r="A5713" s="549"/>
      <c r="B5713" s="549"/>
      <c r="C5713" s="549"/>
      <c r="D5713" s="549"/>
      <c r="E5713" s="549"/>
      <c r="F5713" s="549"/>
      <c r="G5713" s="549"/>
      <c r="H5713" s="549"/>
      <c r="I5713" s="558"/>
      <c r="J5713" s="567"/>
      <c r="K5713" s="648">
        <f>SUM(K5702:K5712)/2</f>
        <v>194</v>
      </c>
      <c r="L5713" s="567">
        <f>SUM(L5702:L5712)/2</f>
        <v>13.020550999999999</v>
      </c>
      <c r="M5713" s="648">
        <f>SUM(M5702:M5712)/2</f>
        <v>19</v>
      </c>
      <c r="N5713" s="567">
        <f>SUM(N5702:N5712)/2</f>
        <v>1.1951290000000001</v>
      </c>
      <c r="O5713" s="549"/>
      <c r="P5713" s="549"/>
      <c r="Q5713" s="1059"/>
      <c r="R5713" s="1059"/>
    </row>
    <row r="5714" spans="1:18" s="497" customFormat="1" ht="17.399999999999999">
      <c r="A5714" s="549"/>
      <c r="B5714" s="549"/>
      <c r="C5714" s="549"/>
      <c r="D5714" s="549"/>
      <c r="E5714" s="549"/>
      <c r="F5714" s="549"/>
      <c r="G5714" s="549"/>
      <c r="H5714" s="549"/>
      <c r="I5714" s="558"/>
      <c r="J5714" s="567"/>
      <c r="K5714" s="648"/>
      <c r="L5714" s="567"/>
      <c r="M5714" s="549"/>
      <c r="N5714" s="549"/>
      <c r="O5714" s="549"/>
      <c r="P5714" s="549"/>
      <c r="Q5714" s="1059"/>
      <c r="R5714" s="1059"/>
    </row>
    <row r="5715" spans="1:18" s="497" customFormat="1" ht="17.399999999999999">
      <c r="A5715" s="549"/>
      <c r="B5715" s="549"/>
      <c r="C5715" s="549"/>
      <c r="D5715" s="549"/>
      <c r="E5715" s="549"/>
      <c r="F5715" s="549"/>
      <c r="G5715" s="549"/>
      <c r="H5715" s="549"/>
      <c r="I5715" s="558"/>
      <c r="J5715" s="567"/>
      <c r="K5715" s="648"/>
      <c r="L5715" s="567"/>
      <c r="M5715" s="549"/>
      <c r="N5715" s="549"/>
      <c r="O5715" s="549"/>
      <c r="P5715" s="549"/>
      <c r="Q5715" s="1059"/>
      <c r="R5715" s="1059"/>
    </row>
    <row r="5716" spans="1:18" ht="17.399999999999999">
      <c r="A5716" s="547" t="s">
        <v>445</v>
      </c>
      <c r="B5716" s="547" t="s">
        <v>488</v>
      </c>
      <c r="C5716" s="547" t="s">
        <v>19</v>
      </c>
      <c r="D5716" s="547" t="s">
        <v>60</v>
      </c>
      <c r="E5716" s="547" t="s">
        <v>323</v>
      </c>
      <c r="F5716" s="549">
        <v>10</v>
      </c>
      <c r="G5716" s="549" t="s">
        <v>61</v>
      </c>
      <c r="H5716" s="599" t="s">
        <v>130</v>
      </c>
      <c r="I5716" s="558">
        <v>6.17</v>
      </c>
      <c r="J5716" s="567">
        <v>10.5</v>
      </c>
      <c r="K5716" s="648">
        <v>8</v>
      </c>
      <c r="L5716" s="552">
        <f>(I5716*J5716*K5716/1000)</f>
        <v>0.51827999999999996</v>
      </c>
      <c r="M5716" s="549"/>
      <c r="N5716" s="549"/>
      <c r="O5716" s="549"/>
      <c r="P5716" s="1003" t="s">
        <v>656</v>
      </c>
      <c r="Q5716" s="497" t="s">
        <v>686</v>
      </c>
      <c r="R5716" s="1071"/>
    </row>
    <row r="5717" spans="1:18" ht="17.399999999999999">
      <c r="A5717" s="547"/>
      <c r="B5717" s="752" t="s">
        <v>439</v>
      </c>
      <c r="C5717" s="547"/>
      <c r="D5717" s="547"/>
      <c r="E5717" s="547"/>
      <c r="F5717" s="549"/>
      <c r="G5717" s="549"/>
      <c r="H5717" s="549"/>
      <c r="I5717" s="558"/>
      <c r="J5717" s="567"/>
      <c r="K5717" s="648">
        <f t="shared" ref="K5717" si="1245">SUM(K5716)</f>
        <v>8</v>
      </c>
      <c r="L5717" s="765">
        <f>SUM(L5716)</f>
        <v>0.51827999999999996</v>
      </c>
      <c r="M5717" s="549"/>
      <c r="N5717" s="549"/>
      <c r="O5717" s="549"/>
      <c r="P5717" s="1004"/>
      <c r="Q5717" s="1071"/>
      <c r="R5717" s="1071"/>
    </row>
    <row r="5718" spans="1:18" s="497" customFormat="1" ht="17.399999999999999">
      <c r="A5718" s="547"/>
      <c r="B5718" s="752"/>
      <c r="C5718" s="547"/>
      <c r="D5718" s="547"/>
      <c r="E5718" s="547"/>
      <c r="F5718" s="549"/>
      <c r="G5718" s="549"/>
      <c r="H5718" s="549"/>
      <c r="I5718" s="558"/>
      <c r="J5718" s="567"/>
      <c r="K5718" s="648"/>
      <c r="L5718" s="765"/>
      <c r="M5718" s="549"/>
      <c r="N5718" s="549"/>
      <c r="O5718" s="549"/>
      <c r="P5718" s="1004"/>
      <c r="Q5718" s="1071"/>
      <c r="R5718" s="1071"/>
    </row>
    <row r="5719" spans="1:18" s="497" customFormat="1" ht="17.399999999999999">
      <c r="A5719" s="547" t="s">
        <v>523</v>
      </c>
      <c r="B5719" s="852" t="s">
        <v>593</v>
      </c>
      <c r="C5719" s="547" t="s">
        <v>19</v>
      </c>
      <c r="D5719" s="547" t="s">
        <v>60</v>
      </c>
      <c r="E5719" s="547" t="s">
        <v>270</v>
      </c>
      <c r="F5719" s="549">
        <v>8</v>
      </c>
      <c r="G5719" s="549" t="s">
        <v>61</v>
      </c>
      <c r="H5719" s="599" t="s">
        <v>130</v>
      </c>
      <c r="I5719" s="558">
        <v>6.17</v>
      </c>
      <c r="J5719" s="567">
        <v>12</v>
      </c>
      <c r="K5719" s="648">
        <v>40</v>
      </c>
      <c r="L5719" s="552">
        <f>(I5719*J5719*K5719/1000)</f>
        <v>2.9615999999999993</v>
      </c>
      <c r="M5719" s="549"/>
      <c r="N5719" s="549"/>
      <c r="O5719" s="549"/>
      <c r="P5719" s="1003" t="s">
        <v>657</v>
      </c>
      <c r="Q5719" s="497" t="s">
        <v>686</v>
      </c>
      <c r="R5719" s="1071"/>
    </row>
    <row r="5720" spans="1:18" s="497" customFormat="1" ht="17.399999999999999">
      <c r="A5720" s="547"/>
      <c r="B5720" s="752" t="s">
        <v>277</v>
      </c>
      <c r="C5720" s="547"/>
      <c r="D5720" s="547"/>
      <c r="E5720" s="547"/>
      <c r="F5720" s="549"/>
      <c r="G5720" s="549"/>
      <c r="H5720" s="549"/>
      <c r="I5720" s="558"/>
      <c r="J5720" s="567"/>
      <c r="K5720" s="648">
        <f t="shared" ref="K5720" si="1246">SUM(K5719)</f>
        <v>40</v>
      </c>
      <c r="L5720" s="567">
        <f>SUM(L5719)</f>
        <v>2.9615999999999993</v>
      </c>
      <c r="M5720" s="549"/>
      <c r="N5720" s="549"/>
      <c r="O5720" s="549"/>
      <c r="P5720" s="1005"/>
      <c r="Q5720" s="1071"/>
      <c r="R5720" s="1071"/>
    </row>
    <row r="5721" spans="1:18" s="497" customFormat="1" ht="17.399999999999999">
      <c r="A5721" s="547"/>
      <c r="B5721" s="752"/>
      <c r="C5721" s="547"/>
      <c r="D5721" s="547"/>
      <c r="E5721" s="547"/>
      <c r="F5721" s="549"/>
      <c r="G5721" s="549"/>
      <c r="H5721" s="549"/>
      <c r="I5721" s="558"/>
      <c r="J5721" s="567"/>
      <c r="K5721" s="766">
        <f>SUM(K5716:K5720)/2</f>
        <v>48</v>
      </c>
      <c r="L5721" s="765">
        <f>SUM(L5716:L5720)/2</f>
        <v>3.4798799999999996</v>
      </c>
      <c r="M5721" s="549"/>
      <c r="N5721" s="549"/>
      <c r="O5721" s="549"/>
      <c r="P5721" s="549"/>
      <c r="Q5721" s="1059"/>
      <c r="R5721" s="1059"/>
    </row>
    <row r="5722" spans="1:18" s="497" customFormat="1" ht="17.399999999999999">
      <c r="A5722" s="547"/>
      <c r="B5722" s="752"/>
      <c r="C5722" s="547"/>
      <c r="D5722" s="547"/>
      <c r="E5722" s="547"/>
      <c r="F5722" s="549"/>
      <c r="G5722" s="549"/>
      <c r="H5722" s="549"/>
      <c r="I5722" s="558"/>
      <c r="J5722" s="567"/>
      <c r="K5722" s="765"/>
      <c r="L5722" s="765"/>
      <c r="M5722" s="549"/>
      <c r="N5722" s="549"/>
      <c r="O5722" s="549"/>
      <c r="P5722" s="549"/>
      <c r="Q5722" s="1059"/>
      <c r="R5722" s="1059"/>
    </row>
    <row r="5723" spans="1:18" s="497" customFormat="1" ht="17.399999999999999">
      <c r="A5723" s="547"/>
      <c r="B5723" s="560"/>
      <c r="C5723" s="547"/>
      <c r="D5723" s="547"/>
      <c r="E5723" s="547"/>
      <c r="F5723" s="549"/>
      <c r="G5723" s="650"/>
      <c r="H5723" s="549"/>
      <c r="I5723" s="558"/>
      <c r="J5723" s="567"/>
      <c r="K5723" s="648"/>
      <c r="L5723" s="567"/>
      <c r="M5723" s="549"/>
      <c r="N5723" s="549"/>
      <c r="O5723" s="549"/>
      <c r="P5723" s="549"/>
      <c r="Q5723" s="1059"/>
      <c r="R5723" s="1059"/>
    </row>
    <row r="5724" spans="1:18" ht="17.399999999999999">
      <c r="A5724" s="547" t="s">
        <v>445</v>
      </c>
      <c r="B5724" s="547" t="s">
        <v>487</v>
      </c>
      <c r="C5724" s="547" t="s">
        <v>19</v>
      </c>
      <c r="D5724" s="547" t="s">
        <v>60</v>
      </c>
      <c r="E5724" s="547" t="s">
        <v>323</v>
      </c>
      <c r="F5724" s="549">
        <v>10</v>
      </c>
      <c r="G5724" s="549" t="s">
        <v>61</v>
      </c>
      <c r="H5724" s="599" t="s">
        <v>131</v>
      </c>
      <c r="I5724" s="558">
        <v>7.34</v>
      </c>
      <c r="J5724" s="567">
        <v>10.5</v>
      </c>
      <c r="K5724" s="648">
        <v>6</v>
      </c>
      <c r="L5724" s="552">
        <f>(I5724*J5724*K5724/1000)</f>
        <v>0.46241999999999994</v>
      </c>
      <c r="M5724" s="549">
        <v>3</v>
      </c>
      <c r="N5724" s="549">
        <f>J5724*M5724*I5724/1000</f>
        <v>0.23121</v>
      </c>
      <c r="O5724" s="549"/>
      <c r="P5724" s="2013" t="s">
        <v>658</v>
      </c>
      <c r="Q5724" s="497" t="s">
        <v>686</v>
      </c>
      <c r="R5724" s="1071"/>
    </row>
    <row r="5725" spans="1:18" ht="17.399999999999999">
      <c r="A5725" s="547"/>
      <c r="B5725" s="752" t="s">
        <v>439</v>
      </c>
      <c r="C5725" s="547"/>
      <c r="D5725" s="547"/>
      <c r="E5725" s="547"/>
      <c r="F5725" s="549"/>
      <c r="G5725" s="549"/>
      <c r="H5725" s="549"/>
      <c r="I5725" s="558"/>
      <c r="J5725" s="567"/>
      <c r="K5725" s="648">
        <f t="shared" ref="K5725:N5725" si="1247">SUM(K5724)</f>
        <v>6</v>
      </c>
      <c r="L5725" s="765">
        <f t="shared" si="1247"/>
        <v>0.46241999999999994</v>
      </c>
      <c r="M5725" s="648">
        <f t="shared" si="1247"/>
        <v>3</v>
      </c>
      <c r="N5725" s="765">
        <f t="shared" si="1247"/>
        <v>0.23121</v>
      </c>
      <c r="O5725" s="549"/>
      <c r="P5725" s="2014"/>
      <c r="Q5725" s="1071"/>
      <c r="R5725" s="1071"/>
    </row>
    <row r="5726" spans="1:18" ht="17.399999999999999">
      <c r="A5726" s="549"/>
      <c r="B5726" s="549"/>
      <c r="C5726" s="549"/>
      <c r="D5726" s="549"/>
      <c r="E5726" s="549"/>
      <c r="F5726" s="549"/>
      <c r="G5726" s="549"/>
      <c r="H5726" s="549"/>
      <c r="I5726" s="560"/>
      <c r="J5726" s="549"/>
      <c r="K5726" s="561"/>
      <c r="L5726" s="548"/>
      <c r="M5726" s="549"/>
      <c r="N5726" s="549"/>
      <c r="O5726" s="549"/>
      <c r="P5726" s="2014"/>
      <c r="Q5726" s="1071"/>
      <c r="R5726" s="1071"/>
    </row>
    <row r="5727" spans="1:18" ht="17.399999999999999">
      <c r="A5727" s="547" t="s">
        <v>445</v>
      </c>
      <c r="B5727" s="547" t="s">
        <v>488</v>
      </c>
      <c r="C5727" s="547" t="s">
        <v>19</v>
      </c>
      <c r="D5727" s="547" t="s">
        <v>60</v>
      </c>
      <c r="E5727" s="547" t="s">
        <v>323</v>
      </c>
      <c r="F5727" s="549">
        <v>10</v>
      </c>
      <c r="G5727" s="549" t="s">
        <v>61</v>
      </c>
      <c r="H5727" s="599" t="s">
        <v>131</v>
      </c>
      <c r="I5727" s="558">
        <v>7.34</v>
      </c>
      <c r="J5727" s="567">
        <v>10.5</v>
      </c>
      <c r="K5727" s="648">
        <v>13</v>
      </c>
      <c r="L5727" s="552">
        <f>(I5727*J5727*K5727/1000)</f>
        <v>1.0019099999999999</v>
      </c>
      <c r="M5727" s="549"/>
      <c r="N5727" s="549"/>
      <c r="O5727" s="549"/>
      <c r="P5727" s="2014"/>
      <c r="Q5727" s="497" t="s">
        <v>686</v>
      </c>
      <c r="R5727" s="1071"/>
    </row>
    <row r="5728" spans="1:18" ht="17.399999999999999">
      <c r="A5728" s="547"/>
      <c r="B5728" s="752" t="s">
        <v>439</v>
      </c>
      <c r="C5728" s="547"/>
      <c r="D5728" s="547"/>
      <c r="E5728" s="547"/>
      <c r="F5728" s="549"/>
      <c r="G5728" s="549"/>
      <c r="H5728" s="549"/>
      <c r="I5728" s="558"/>
      <c r="J5728" s="567"/>
      <c r="K5728" s="648">
        <f t="shared" ref="K5728:L5728" si="1248">SUM(K5727)</f>
        <v>13</v>
      </c>
      <c r="L5728" s="765">
        <f t="shared" si="1248"/>
        <v>1.0019099999999999</v>
      </c>
      <c r="M5728" s="648"/>
      <c r="N5728" s="567"/>
      <c r="O5728" s="549"/>
      <c r="P5728" s="2014"/>
      <c r="Q5728" s="1071"/>
      <c r="R5728" s="1071"/>
    </row>
    <row r="5729" spans="1:18" ht="17.399999999999999">
      <c r="A5729" s="549"/>
      <c r="B5729" s="549"/>
      <c r="C5729" s="549"/>
      <c r="D5729" s="549"/>
      <c r="E5729" s="549"/>
      <c r="F5729" s="549"/>
      <c r="G5729" s="549"/>
      <c r="H5729" s="549"/>
      <c r="I5729" s="560"/>
      <c r="J5729" s="549"/>
      <c r="K5729" s="561"/>
      <c r="L5729" s="560"/>
      <c r="M5729" s="549"/>
      <c r="N5729" s="549"/>
      <c r="O5729" s="549"/>
      <c r="P5729" s="2014"/>
      <c r="Q5729" s="1071"/>
      <c r="R5729" s="1071"/>
    </row>
    <row r="5730" spans="1:18" ht="17.399999999999999">
      <c r="A5730" s="547" t="s">
        <v>523</v>
      </c>
      <c r="B5730" s="852" t="s">
        <v>525</v>
      </c>
      <c r="C5730" s="547" t="s">
        <v>19</v>
      </c>
      <c r="D5730" s="547" t="s">
        <v>60</v>
      </c>
      <c r="E5730" s="547" t="s">
        <v>323</v>
      </c>
      <c r="F5730" s="549">
        <v>10</v>
      </c>
      <c r="G5730" s="549" t="s">
        <v>61</v>
      </c>
      <c r="H5730" s="599" t="s">
        <v>131</v>
      </c>
      <c r="I5730" s="558">
        <v>7.34</v>
      </c>
      <c r="J5730" s="567">
        <v>10.5</v>
      </c>
      <c r="K5730" s="648">
        <v>1</v>
      </c>
      <c r="L5730" s="552">
        <f>(I5730*J5730*K5730/1000)</f>
        <v>7.707E-2</v>
      </c>
      <c r="M5730" s="549">
        <v>1</v>
      </c>
      <c r="N5730" s="549">
        <f>J5730*M5730*I5730/1000</f>
        <v>7.707E-2</v>
      </c>
      <c r="O5730" s="549"/>
      <c r="P5730" s="2014"/>
      <c r="Q5730" s="497" t="s">
        <v>686</v>
      </c>
      <c r="R5730" s="1071"/>
    </row>
    <row r="5731" spans="1:18" ht="17.399999999999999">
      <c r="A5731" s="547"/>
      <c r="B5731" s="752" t="s">
        <v>439</v>
      </c>
      <c r="C5731" s="547"/>
      <c r="D5731" s="547"/>
      <c r="E5731" s="547"/>
      <c r="F5731" s="549"/>
      <c r="G5731" s="549"/>
      <c r="H5731" s="549"/>
      <c r="I5731" s="558"/>
      <c r="J5731" s="567"/>
      <c r="K5731" s="648">
        <f t="shared" ref="K5731:M5731" si="1249">SUM(K5730)</f>
        <v>1</v>
      </c>
      <c r="L5731" s="765">
        <f>SUM(L5730)</f>
        <v>7.707E-2</v>
      </c>
      <c r="M5731" s="648">
        <f t="shared" si="1249"/>
        <v>1</v>
      </c>
      <c r="N5731" s="567">
        <f>SUM(N5730)</f>
        <v>7.707E-2</v>
      </c>
      <c r="O5731" s="549"/>
      <c r="P5731" s="2015"/>
      <c r="Q5731" s="1071"/>
      <c r="R5731" s="1071"/>
    </row>
    <row r="5732" spans="1:18" s="497" customFormat="1" ht="17.399999999999999">
      <c r="A5732" s="547"/>
      <c r="B5732" s="752"/>
      <c r="C5732" s="547"/>
      <c r="D5732" s="547"/>
      <c r="E5732" s="547"/>
      <c r="F5732" s="549"/>
      <c r="G5732" s="549"/>
      <c r="H5732" s="549"/>
      <c r="I5732" s="558"/>
      <c r="J5732" s="567"/>
      <c r="K5732" s="648"/>
      <c r="L5732" s="567"/>
      <c r="M5732" s="648"/>
      <c r="N5732" s="567"/>
      <c r="O5732" s="549"/>
      <c r="P5732" s="549"/>
      <c r="Q5732" s="1059"/>
      <c r="R5732" s="1059"/>
    </row>
    <row r="5733" spans="1:18" s="497" customFormat="1" ht="17.399999999999999">
      <c r="A5733" s="547" t="s">
        <v>523</v>
      </c>
      <c r="B5733" s="852" t="s">
        <v>593</v>
      </c>
      <c r="C5733" s="547" t="s">
        <v>19</v>
      </c>
      <c r="D5733" s="547" t="s">
        <v>60</v>
      </c>
      <c r="E5733" s="547" t="s">
        <v>270</v>
      </c>
      <c r="F5733" s="549">
        <v>8</v>
      </c>
      <c r="G5733" s="549" t="s">
        <v>61</v>
      </c>
      <c r="H5733" s="599" t="s">
        <v>131</v>
      </c>
      <c r="I5733" s="558">
        <v>7.36</v>
      </c>
      <c r="J5733" s="567">
        <v>12</v>
      </c>
      <c r="K5733" s="648">
        <v>20</v>
      </c>
      <c r="L5733" s="552">
        <f>(I5733*J5733*K5733/1000)</f>
        <v>1.7664000000000002</v>
      </c>
      <c r="M5733" s="549"/>
      <c r="N5733" s="549"/>
      <c r="O5733" s="549"/>
      <c r="P5733" s="549" t="s">
        <v>659</v>
      </c>
      <c r="Q5733" s="497" t="s">
        <v>686</v>
      </c>
      <c r="R5733" s="1059"/>
    </row>
    <row r="5734" spans="1:18" s="497" customFormat="1" ht="17.399999999999999">
      <c r="A5734" s="547"/>
      <c r="B5734" s="752" t="s">
        <v>277</v>
      </c>
      <c r="C5734" s="547"/>
      <c r="D5734" s="547"/>
      <c r="E5734" s="547"/>
      <c r="F5734" s="549"/>
      <c r="G5734" s="549"/>
      <c r="H5734" s="549"/>
      <c r="I5734" s="558"/>
      <c r="J5734" s="567"/>
      <c r="K5734" s="648">
        <f t="shared" ref="K5734" si="1250">SUM(K5733)</f>
        <v>20</v>
      </c>
      <c r="L5734" s="567">
        <f>SUM(L5733)</f>
        <v>1.7664000000000002</v>
      </c>
      <c r="M5734" s="549"/>
      <c r="N5734" s="549"/>
      <c r="O5734" s="549"/>
      <c r="P5734" s="549"/>
      <c r="Q5734" s="1059"/>
      <c r="R5734" s="1059"/>
    </row>
    <row r="5735" spans="1:18" s="497" customFormat="1" ht="17.399999999999999">
      <c r="A5735" s="547"/>
      <c r="B5735" s="752"/>
      <c r="C5735" s="547"/>
      <c r="D5735" s="547"/>
      <c r="E5735" s="547"/>
      <c r="F5735" s="549"/>
      <c r="G5735" s="549"/>
      <c r="H5735" s="549"/>
      <c r="I5735" s="558"/>
      <c r="J5735" s="567"/>
      <c r="K5735" s="648">
        <f>SUM(K5724:K5734)/2</f>
        <v>40</v>
      </c>
      <c r="L5735" s="567">
        <f>SUM(L5724:L5734)/2</f>
        <v>3.3077999999999999</v>
      </c>
      <c r="M5735" s="648">
        <f>SUM(M5724:M5734)/2</f>
        <v>4</v>
      </c>
      <c r="N5735" s="567">
        <f>SUM(N5724:N5734)/2</f>
        <v>0.30828</v>
      </c>
      <c r="O5735" s="549"/>
      <c r="P5735" s="549"/>
      <c r="Q5735" s="1059"/>
      <c r="R5735" s="1059"/>
    </row>
    <row r="5736" spans="1:18" s="497" customFormat="1" ht="17.399999999999999">
      <c r="A5736" s="547"/>
      <c r="B5736" s="752"/>
      <c r="C5736" s="547"/>
      <c r="D5736" s="547"/>
      <c r="E5736" s="547"/>
      <c r="F5736" s="549"/>
      <c r="G5736" s="549"/>
      <c r="H5736" s="549"/>
      <c r="I5736" s="558"/>
      <c r="J5736" s="567"/>
      <c r="K5736" s="648"/>
      <c r="L5736" s="567"/>
      <c r="M5736" s="549"/>
      <c r="N5736" s="549"/>
      <c r="O5736" s="549"/>
      <c r="P5736" s="549"/>
      <c r="Q5736" s="1059"/>
      <c r="R5736" s="1059"/>
    </row>
    <row r="5737" spans="1:18" ht="17.399999999999999">
      <c r="A5737" s="549"/>
      <c r="B5737" s="549"/>
      <c r="C5737" s="549"/>
      <c r="D5737" s="549"/>
      <c r="E5737" s="549"/>
      <c r="F5737" s="549"/>
      <c r="G5737" s="549"/>
      <c r="H5737" s="549"/>
      <c r="I5737" s="560"/>
      <c r="J5737" s="549"/>
      <c r="K5737" s="561"/>
      <c r="L5737" s="560"/>
      <c r="M5737" s="549"/>
      <c r="N5737" s="549"/>
      <c r="O5737" s="549"/>
      <c r="P5737" s="549"/>
      <c r="Q5737" s="1059"/>
      <c r="R5737" s="1059"/>
    </row>
    <row r="5738" spans="1:18" s="497" customFormat="1" ht="18">
      <c r="A5738" s="547" t="s">
        <v>272</v>
      </c>
      <c r="B5738" s="852" t="s">
        <v>580</v>
      </c>
      <c r="C5738" s="547" t="s">
        <v>446</v>
      </c>
      <c r="D5738" s="813" t="s">
        <v>447</v>
      </c>
      <c r="E5738" s="547" t="s">
        <v>359</v>
      </c>
      <c r="F5738" s="549">
        <v>10</v>
      </c>
      <c r="G5738" s="549" t="s">
        <v>21</v>
      </c>
      <c r="H5738" s="599" t="s">
        <v>131</v>
      </c>
      <c r="I5738" s="558">
        <v>7.36</v>
      </c>
      <c r="J5738" s="567">
        <v>10.5</v>
      </c>
      <c r="K5738" s="648">
        <v>36</v>
      </c>
      <c r="L5738" s="552">
        <f t="shared" ref="L5738:L5739" si="1251">(I5738*J5738*K5738/1000)</f>
        <v>2.7820800000000001</v>
      </c>
      <c r="M5738" s="549"/>
      <c r="N5738" s="549"/>
      <c r="O5738" s="549"/>
      <c r="P5738" s="549"/>
      <c r="Q5738" s="1076" t="s">
        <v>707</v>
      </c>
      <c r="R5738" s="1059"/>
    </row>
    <row r="5739" spans="1:18" s="497" customFormat="1" ht="17.399999999999999">
      <c r="A5739" s="549"/>
      <c r="B5739" s="549"/>
      <c r="C5739" s="549"/>
      <c r="D5739" s="549"/>
      <c r="E5739" s="549"/>
      <c r="F5739" s="549"/>
      <c r="G5739" s="549" t="s">
        <v>21</v>
      </c>
      <c r="H5739" s="549" t="s">
        <v>131</v>
      </c>
      <c r="I5739" s="558">
        <v>7.36</v>
      </c>
      <c r="J5739" s="567">
        <v>11.5</v>
      </c>
      <c r="K5739" s="648">
        <v>52</v>
      </c>
      <c r="L5739" s="552">
        <f t="shared" si="1251"/>
        <v>4.4012799999999999</v>
      </c>
      <c r="M5739" s="549"/>
      <c r="N5739" s="549"/>
      <c r="O5739" s="549"/>
      <c r="P5739" s="549"/>
      <c r="Q5739" s="1059"/>
      <c r="R5739" s="1059"/>
    </row>
    <row r="5740" spans="1:18" s="497" customFormat="1" ht="17.399999999999999">
      <c r="A5740" s="547"/>
      <c r="B5740" s="752"/>
      <c r="C5740" s="547"/>
      <c r="D5740" s="547"/>
      <c r="E5740" s="547"/>
      <c r="F5740" s="549"/>
      <c r="G5740" s="549"/>
      <c r="H5740" s="549"/>
      <c r="I5740" s="558"/>
      <c r="J5740" s="567"/>
      <c r="K5740" s="648">
        <f t="shared" ref="K5740:L5740" si="1252">SUM(K5738:K5739)</f>
        <v>88</v>
      </c>
      <c r="L5740" s="567">
        <f t="shared" si="1252"/>
        <v>7.1833600000000004</v>
      </c>
      <c r="M5740" s="549"/>
      <c r="N5740" s="549"/>
      <c r="O5740" s="549"/>
      <c r="P5740" s="549" t="s">
        <v>660</v>
      </c>
      <c r="Q5740" s="1059"/>
      <c r="R5740" s="1059"/>
    </row>
    <row r="5741" spans="1:18" s="497" customFormat="1" ht="17.399999999999999">
      <c r="A5741" s="547"/>
      <c r="B5741" s="752"/>
      <c r="C5741" s="547"/>
      <c r="D5741" s="547"/>
      <c r="E5741" s="547"/>
      <c r="F5741" s="549"/>
      <c r="G5741" s="549"/>
      <c r="H5741" s="549"/>
      <c r="I5741" s="558"/>
      <c r="J5741" s="567"/>
      <c r="K5741" s="648"/>
      <c r="L5741" s="567"/>
      <c r="M5741" s="549"/>
      <c r="N5741" s="549"/>
      <c r="O5741" s="549"/>
      <c r="P5741" s="549"/>
      <c r="Q5741" s="1059"/>
      <c r="R5741" s="1059"/>
    </row>
    <row r="5742" spans="1:18" s="497" customFormat="1" ht="17.399999999999999">
      <c r="A5742" s="547"/>
      <c r="B5742" s="752"/>
      <c r="C5742" s="547"/>
      <c r="D5742" s="547"/>
      <c r="E5742" s="547"/>
      <c r="F5742" s="549"/>
      <c r="G5742" s="549"/>
      <c r="H5742" s="549"/>
      <c r="I5742" s="558"/>
      <c r="J5742" s="567"/>
      <c r="K5742" s="648"/>
      <c r="L5742" s="765"/>
      <c r="M5742" s="549"/>
      <c r="N5742" s="549"/>
      <c r="O5742" s="549"/>
      <c r="P5742" s="549"/>
      <c r="Q5742" s="1059"/>
      <c r="R5742" s="1059"/>
    </row>
    <row r="5743" spans="1:18" s="497" customFormat="1" ht="18">
      <c r="A5743" s="547" t="s">
        <v>272</v>
      </c>
      <c r="B5743" s="852" t="s">
        <v>580</v>
      </c>
      <c r="C5743" s="547" t="s">
        <v>446</v>
      </c>
      <c r="D5743" s="813" t="s">
        <v>447</v>
      </c>
      <c r="E5743" s="547" t="s">
        <v>359</v>
      </c>
      <c r="F5743" s="549">
        <v>10</v>
      </c>
      <c r="G5743" s="549" t="s">
        <v>21</v>
      </c>
      <c r="H5743" s="599" t="s">
        <v>130</v>
      </c>
      <c r="I5743" s="558">
        <v>6.17</v>
      </c>
      <c r="J5743" s="567">
        <v>7.15</v>
      </c>
      <c r="K5743" s="648">
        <v>31</v>
      </c>
      <c r="L5743" s="552">
        <f t="shared" ref="L5743:L5746" si="1253">(I5743*J5743*K5743/1000)</f>
        <v>1.3675805000000001</v>
      </c>
      <c r="M5743" s="549"/>
      <c r="N5743" s="549"/>
      <c r="O5743" s="549"/>
      <c r="P5743" s="549"/>
      <c r="Q5743" s="1076" t="s">
        <v>707</v>
      </c>
      <c r="R5743" s="1059"/>
    </row>
    <row r="5744" spans="1:18" s="497" customFormat="1" ht="17.399999999999999">
      <c r="A5744" s="549"/>
      <c r="B5744" s="549"/>
      <c r="C5744" s="549"/>
      <c r="D5744" s="549"/>
      <c r="E5744" s="549"/>
      <c r="F5744" s="549"/>
      <c r="G5744" s="549" t="s">
        <v>21</v>
      </c>
      <c r="H5744" s="549" t="s">
        <v>130</v>
      </c>
      <c r="I5744" s="558">
        <v>6.17</v>
      </c>
      <c r="J5744" s="567">
        <v>10</v>
      </c>
      <c r="K5744" s="648">
        <v>16</v>
      </c>
      <c r="L5744" s="552">
        <f t="shared" si="1253"/>
        <v>0.98720000000000008</v>
      </c>
      <c r="M5744" s="549"/>
      <c r="N5744" s="549"/>
      <c r="O5744" s="549"/>
      <c r="P5744" s="549"/>
      <c r="Q5744" s="1059"/>
      <c r="R5744" s="1059"/>
    </row>
    <row r="5745" spans="1:18" s="497" customFormat="1" ht="17.399999999999999">
      <c r="A5745" s="547"/>
      <c r="B5745" s="752"/>
      <c r="C5745" s="547"/>
      <c r="D5745" s="547"/>
      <c r="E5745" s="547"/>
      <c r="F5745" s="549"/>
      <c r="G5745" s="549" t="s">
        <v>21</v>
      </c>
      <c r="H5745" s="549" t="s">
        <v>130</v>
      </c>
      <c r="I5745" s="558">
        <v>6.17</v>
      </c>
      <c r="J5745" s="567">
        <v>11</v>
      </c>
      <c r="K5745" s="648">
        <v>8</v>
      </c>
      <c r="L5745" s="552">
        <f t="shared" si="1253"/>
        <v>0.54296</v>
      </c>
      <c r="M5745" s="549"/>
      <c r="N5745" s="549"/>
      <c r="O5745" s="549"/>
      <c r="P5745" s="549"/>
      <c r="Q5745" s="1059"/>
      <c r="R5745" s="1059"/>
    </row>
    <row r="5746" spans="1:18" s="497" customFormat="1" ht="17.399999999999999">
      <c r="A5746" s="547"/>
      <c r="B5746" s="752"/>
      <c r="C5746" s="547"/>
      <c r="D5746" s="547"/>
      <c r="E5746" s="547"/>
      <c r="F5746" s="549"/>
      <c r="G5746" s="549" t="s">
        <v>21</v>
      </c>
      <c r="H5746" s="549" t="s">
        <v>130</v>
      </c>
      <c r="I5746" s="558">
        <v>6.17</v>
      </c>
      <c r="J5746" s="567">
        <v>11.5</v>
      </c>
      <c r="K5746" s="648">
        <v>22</v>
      </c>
      <c r="L5746" s="552">
        <f t="shared" si="1253"/>
        <v>1.56101</v>
      </c>
      <c r="M5746" s="549"/>
      <c r="N5746" s="549"/>
      <c r="O5746" s="549"/>
      <c r="P5746" s="549"/>
      <c r="Q5746" s="1059"/>
      <c r="R5746" s="1059"/>
    </row>
    <row r="5747" spans="1:18" s="497" customFormat="1" ht="17.399999999999999">
      <c r="A5747" s="547"/>
      <c r="B5747" s="752"/>
      <c r="C5747" s="547"/>
      <c r="D5747" s="547"/>
      <c r="E5747" s="547"/>
      <c r="F5747" s="549"/>
      <c r="G5747" s="549"/>
      <c r="H5747" s="549"/>
      <c r="I5747" s="558"/>
      <c r="J5747" s="567"/>
      <c r="K5747" s="648">
        <f t="shared" ref="K5747:L5747" si="1254">SUM(K5743:K5746)</f>
        <v>77</v>
      </c>
      <c r="L5747" s="567">
        <f t="shared" si="1254"/>
        <v>4.4587505000000007</v>
      </c>
      <c r="M5747" s="549"/>
      <c r="N5747" s="549"/>
      <c r="O5747" s="549"/>
      <c r="P5747" s="549" t="s">
        <v>661</v>
      </c>
      <c r="Q5747" s="1059"/>
      <c r="R5747" s="1059"/>
    </row>
    <row r="5748" spans="1:18" s="497" customFormat="1" ht="17.399999999999999">
      <c r="A5748" s="547"/>
      <c r="B5748" s="752"/>
      <c r="C5748" s="547"/>
      <c r="D5748" s="547"/>
      <c r="E5748" s="547"/>
      <c r="F5748" s="549"/>
      <c r="G5748" s="549"/>
      <c r="H5748" s="549"/>
      <c r="I5748" s="558"/>
      <c r="J5748" s="567"/>
      <c r="K5748" s="648"/>
      <c r="L5748" s="567"/>
      <c r="M5748" s="549"/>
      <c r="N5748" s="549"/>
      <c r="O5748" s="549"/>
      <c r="P5748" s="549"/>
      <c r="Q5748" s="1059"/>
      <c r="R5748" s="1059"/>
    </row>
    <row r="5749" spans="1:18" s="497" customFormat="1" ht="17.399999999999999">
      <c r="A5749" s="547"/>
      <c r="B5749" s="752"/>
      <c r="C5749" s="547"/>
      <c r="D5749" s="547"/>
      <c r="E5749" s="547"/>
      <c r="F5749" s="549"/>
      <c r="G5749" s="549"/>
      <c r="H5749" s="549"/>
      <c r="I5749" s="558"/>
      <c r="J5749" s="567"/>
      <c r="K5749" s="648"/>
      <c r="L5749" s="567"/>
      <c r="M5749" s="549"/>
      <c r="N5749" s="549"/>
      <c r="O5749" s="549"/>
      <c r="P5749" s="549"/>
      <c r="Q5749" s="1059"/>
      <c r="R5749" s="1059"/>
    </row>
    <row r="5750" spans="1:18" s="497" customFormat="1" ht="17.399999999999999">
      <c r="A5750" s="547"/>
      <c r="B5750" s="752"/>
      <c r="C5750" s="547"/>
      <c r="D5750" s="547"/>
      <c r="E5750" s="547"/>
      <c r="F5750" s="549"/>
      <c r="G5750" s="549"/>
      <c r="H5750" s="549"/>
      <c r="I5750" s="558"/>
      <c r="J5750" s="567"/>
      <c r="K5750" s="648"/>
      <c r="L5750" s="765"/>
      <c r="M5750" s="549"/>
      <c r="N5750" s="549"/>
      <c r="O5750" s="549"/>
      <c r="P5750" s="549"/>
      <c r="Q5750" s="1059"/>
      <c r="R5750" s="1059"/>
    </row>
    <row r="5751" spans="1:18" s="497" customFormat="1" ht="18">
      <c r="A5751" s="547" t="s">
        <v>272</v>
      </c>
      <c r="B5751" s="852" t="s">
        <v>580</v>
      </c>
      <c r="C5751" s="547" t="s">
        <v>446</v>
      </c>
      <c r="D5751" s="813" t="s">
        <v>450</v>
      </c>
      <c r="E5751" s="547" t="s">
        <v>270</v>
      </c>
      <c r="F5751" s="548">
        <v>10</v>
      </c>
      <c r="G5751" s="549" t="s">
        <v>61</v>
      </c>
      <c r="H5751" s="599" t="s">
        <v>130</v>
      </c>
      <c r="I5751" s="558">
        <v>6.17</v>
      </c>
      <c r="J5751" s="567">
        <v>10</v>
      </c>
      <c r="K5751" s="648">
        <v>23</v>
      </c>
      <c r="L5751" s="552">
        <f t="shared" ref="L5751:L5753" si="1255">(I5751*J5751*K5751/1000)</f>
        <v>1.4191</v>
      </c>
      <c r="M5751" s="549"/>
      <c r="N5751" s="549"/>
      <c r="O5751" s="549"/>
      <c r="P5751" s="549"/>
      <c r="Q5751" s="1076" t="s">
        <v>707</v>
      </c>
      <c r="R5751" s="1059"/>
    </row>
    <row r="5752" spans="1:18" s="497" customFormat="1" ht="17.399999999999999">
      <c r="A5752" s="549"/>
      <c r="B5752" s="549"/>
      <c r="C5752" s="549"/>
      <c r="D5752" s="549"/>
      <c r="E5752" s="549"/>
      <c r="F5752" s="549"/>
      <c r="G5752" s="549" t="s">
        <v>61</v>
      </c>
      <c r="H5752" s="549" t="s">
        <v>130</v>
      </c>
      <c r="I5752" s="558">
        <v>6.17</v>
      </c>
      <c r="J5752" s="567">
        <v>11.5</v>
      </c>
      <c r="K5752" s="648">
        <v>22</v>
      </c>
      <c r="L5752" s="552">
        <f t="shared" si="1255"/>
        <v>1.56101</v>
      </c>
      <c r="M5752" s="549"/>
      <c r="N5752" s="549"/>
      <c r="O5752" s="549"/>
      <c r="P5752" s="549"/>
      <c r="Q5752" s="1059"/>
      <c r="R5752" s="1059"/>
    </row>
    <row r="5753" spans="1:18" s="497" customFormat="1" ht="17.399999999999999">
      <c r="A5753" s="547"/>
      <c r="B5753" s="752"/>
      <c r="C5753" s="547"/>
      <c r="D5753" s="547"/>
      <c r="E5753" s="547"/>
      <c r="F5753" s="549"/>
      <c r="G5753" s="549" t="s">
        <v>61</v>
      </c>
      <c r="H5753" s="549" t="s">
        <v>130</v>
      </c>
      <c r="I5753" s="558">
        <v>6.17</v>
      </c>
      <c r="J5753" s="567">
        <v>12</v>
      </c>
      <c r="K5753" s="648">
        <v>3</v>
      </c>
      <c r="L5753" s="552">
        <f t="shared" si="1255"/>
        <v>0.22211999999999998</v>
      </c>
      <c r="M5753" s="549"/>
      <c r="N5753" s="549"/>
      <c r="O5753" s="549"/>
      <c r="P5753" s="549"/>
      <c r="Q5753" s="1059"/>
      <c r="R5753" s="1059"/>
    </row>
    <row r="5754" spans="1:18" s="497" customFormat="1" ht="17.399999999999999">
      <c r="A5754" s="547"/>
      <c r="B5754" s="752"/>
      <c r="C5754" s="547"/>
      <c r="D5754" s="547"/>
      <c r="E5754" s="547"/>
      <c r="F5754" s="549"/>
      <c r="G5754" s="549"/>
      <c r="H5754" s="549"/>
      <c r="I5754" s="558"/>
      <c r="J5754" s="567"/>
      <c r="K5754" s="648">
        <f t="shared" ref="K5754:L5754" si="1256">SUM(K5751:K5753)</f>
        <v>48</v>
      </c>
      <c r="L5754" s="567">
        <f t="shared" si="1256"/>
        <v>3.2022299999999997</v>
      </c>
      <c r="M5754" s="549"/>
      <c r="N5754" s="549"/>
      <c r="O5754" s="549"/>
      <c r="P5754" s="549" t="s">
        <v>662</v>
      </c>
      <c r="Q5754" s="1059"/>
      <c r="R5754" s="1059"/>
    </row>
    <row r="5755" spans="1:18" s="497" customFormat="1" ht="17.399999999999999">
      <c r="A5755" s="547"/>
      <c r="B5755" s="752"/>
      <c r="C5755" s="547"/>
      <c r="D5755" s="547"/>
      <c r="E5755" s="547"/>
      <c r="F5755" s="549"/>
      <c r="G5755" s="549"/>
      <c r="H5755" s="549"/>
      <c r="I5755" s="558"/>
      <c r="J5755" s="567"/>
      <c r="K5755" s="648"/>
      <c r="L5755" s="567"/>
      <c r="M5755" s="549"/>
      <c r="N5755" s="549"/>
      <c r="O5755" s="549"/>
      <c r="P5755" s="549"/>
      <c r="Q5755" s="1059"/>
      <c r="R5755" s="1059"/>
    </row>
    <row r="5756" spans="1:18" s="497" customFormat="1" ht="18">
      <c r="A5756" s="547" t="s">
        <v>445</v>
      </c>
      <c r="B5756" s="547" t="s">
        <v>646</v>
      </c>
      <c r="C5756" s="547" t="s">
        <v>446</v>
      </c>
      <c r="D5756" s="813" t="s">
        <v>450</v>
      </c>
      <c r="E5756" s="547" t="s">
        <v>270</v>
      </c>
      <c r="F5756" s="1018">
        <v>10</v>
      </c>
      <c r="G5756" s="549" t="s">
        <v>61</v>
      </c>
      <c r="H5756" s="599" t="s">
        <v>130</v>
      </c>
      <c r="I5756" s="558">
        <v>6.17</v>
      </c>
      <c r="J5756" s="567">
        <v>8.6</v>
      </c>
      <c r="K5756" s="648">
        <v>48</v>
      </c>
      <c r="L5756" s="552">
        <f t="shared" ref="L5756:L5761" si="1257">(I5756*J5756*K5756/1000)</f>
        <v>2.5469759999999995</v>
      </c>
      <c r="M5756" s="549"/>
      <c r="N5756" s="549"/>
      <c r="O5756" s="549"/>
      <c r="P5756" s="549"/>
      <c r="Q5756" s="1076" t="s">
        <v>707</v>
      </c>
      <c r="R5756" s="1059"/>
    </row>
    <row r="5757" spans="1:18" s="497" customFormat="1" ht="17.399999999999999">
      <c r="A5757" s="549"/>
      <c r="B5757" s="549"/>
      <c r="C5757" s="549"/>
      <c r="D5757" s="549"/>
      <c r="E5757" s="549"/>
      <c r="F5757" s="549"/>
      <c r="G5757" s="549" t="s">
        <v>61</v>
      </c>
      <c r="H5757" s="549" t="s">
        <v>130</v>
      </c>
      <c r="I5757" s="558">
        <v>6.17</v>
      </c>
      <c r="J5757" s="567">
        <v>9.5</v>
      </c>
      <c r="K5757" s="648">
        <v>46</v>
      </c>
      <c r="L5757" s="552">
        <f t="shared" si="1257"/>
        <v>2.6962899999999999</v>
      </c>
      <c r="M5757" s="549"/>
      <c r="N5757" s="549"/>
      <c r="O5757" s="549"/>
      <c r="P5757" s="549"/>
      <c r="Q5757" s="1059"/>
      <c r="R5757" s="1059"/>
    </row>
    <row r="5758" spans="1:18" s="497" customFormat="1" ht="17.399999999999999">
      <c r="A5758" s="549"/>
      <c r="B5758" s="549"/>
      <c r="C5758" s="549"/>
      <c r="D5758" s="549"/>
      <c r="E5758" s="549"/>
      <c r="F5758" s="549"/>
      <c r="G5758" s="549" t="s">
        <v>61</v>
      </c>
      <c r="H5758" s="549" t="s">
        <v>130</v>
      </c>
      <c r="I5758" s="558">
        <v>6.17</v>
      </c>
      <c r="J5758" s="567">
        <v>10</v>
      </c>
      <c r="K5758" s="648">
        <v>24</v>
      </c>
      <c r="L5758" s="552">
        <f t="shared" si="1257"/>
        <v>1.4808000000000001</v>
      </c>
      <c r="M5758" s="549"/>
      <c r="N5758" s="549"/>
      <c r="O5758" s="549"/>
      <c r="P5758" s="549"/>
      <c r="Q5758" s="1059"/>
      <c r="R5758" s="1059"/>
    </row>
    <row r="5759" spans="1:18" s="497" customFormat="1" ht="17.399999999999999">
      <c r="A5759" s="549"/>
      <c r="B5759" s="549"/>
      <c r="C5759" s="549"/>
      <c r="D5759" s="549"/>
      <c r="E5759" s="549"/>
      <c r="F5759" s="549"/>
      <c r="G5759" s="549" t="s">
        <v>61</v>
      </c>
      <c r="H5759" s="549" t="s">
        <v>130</v>
      </c>
      <c r="I5759" s="558">
        <v>6.17</v>
      </c>
      <c r="J5759" s="567">
        <v>10.5</v>
      </c>
      <c r="K5759" s="648">
        <v>96</v>
      </c>
      <c r="L5759" s="552">
        <f t="shared" si="1257"/>
        <v>6.21936</v>
      </c>
      <c r="M5759" s="549"/>
      <c r="N5759" s="549"/>
      <c r="O5759" s="549"/>
      <c r="P5759" s="549"/>
      <c r="Q5759" s="1059"/>
      <c r="R5759" s="1059"/>
    </row>
    <row r="5760" spans="1:18" s="497" customFormat="1" ht="17.399999999999999">
      <c r="A5760" s="549"/>
      <c r="B5760" s="549"/>
      <c r="C5760" s="549"/>
      <c r="D5760" s="549"/>
      <c r="E5760" s="549"/>
      <c r="F5760" s="549"/>
      <c r="G5760" s="549" t="s">
        <v>61</v>
      </c>
      <c r="H5760" s="549" t="s">
        <v>130</v>
      </c>
      <c r="I5760" s="558">
        <v>6.17</v>
      </c>
      <c r="J5760" s="567">
        <v>11</v>
      </c>
      <c r="K5760" s="648">
        <v>39</v>
      </c>
      <c r="L5760" s="552">
        <f t="shared" si="1257"/>
        <v>2.6469300000000002</v>
      </c>
      <c r="M5760" s="549"/>
      <c r="N5760" s="549"/>
      <c r="O5760" s="549"/>
      <c r="P5760" s="549"/>
      <c r="Q5760" s="1059"/>
      <c r="R5760" s="1059"/>
    </row>
    <row r="5761" spans="1:18" s="497" customFormat="1" ht="17.399999999999999">
      <c r="A5761" s="549"/>
      <c r="B5761" s="549"/>
      <c r="C5761" s="549"/>
      <c r="D5761" s="549"/>
      <c r="E5761" s="549"/>
      <c r="F5761" s="549"/>
      <c r="G5761" s="549" t="s">
        <v>61</v>
      </c>
      <c r="H5761" s="549" t="s">
        <v>130</v>
      </c>
      <c r="I5761" s="558">
        <v>6.17</v>
      </c>
      <c r="J5761" s="567">
        <v>11.5</v>
      </c>
      <c r="K5761" s="648">
        <v>31</v>
      </c>
      <c r="L5761" s="552">
        <f t="shared" si="1257"/>
        <v>2.199605</v>
      </c>
      <c r="M5761" s="549"/>
      <c r="N5761" s="549"/>
      <c r="O5761" s="549"/>
      <c r="P5761" s="549"/>
      <c r="Q5761" s="1059"/>
      <c r="R5761" s="1059"/>
    </row>
    <row r="5762" spans="1:18" s="497" customFormat="1" ht="17.399999999999999">
      <c r="A5762" s="549"/>
      <c r="B5762" s="549"/>
      <c r="C5762" s="549"/>
      <c r="D5762" s="549"/>
      <c r="E5762" s="549"/>
      <c r="F5762" s="549"/>
      <c r="G5762" s="549"/>
      <c r="H5762" s="549"/>
      <c r="I5762" s="558"/>
      <c r="J5762" s="567"/>
      <c r="K5762" s="648">
        <f t="shared" ref="K5762:L5762" si="1258">SUM(K5756:K5761)</f>
        <v>284</v>
      </c>
      <c r="L5762" s="567">
        <f t="shared" si="1258"/>
        <v>17.789960999999998</v>
      </c>
      <c r="M5762" s="549"/>
      <c r="N5762" s="549"/>
      <c r="O5762" s="549"/>
      <c r="P5762" s="549"/>
      <c r="Q5762" s="1059"/>
      <c r="R5762" s="1059"/>
    </row>
    <row r="5763" spans="1:18" s="497" customFormat="1" ht="17.399999999999999">
      <c r="A5763" s="549"/>
      <c r="B5763" s="549"/>
      <c r="C5763" s="549"/>
      <c r="D5763" s="549"/>
      <c r="E5763" s="549"/>
      <c r="F5763" s="549"/>
      <c r="G5763" s="549"/>
      <c r="H5763" s="549"/>
      <c r="I5763" s="558"/>
      <c r="J5763" s="567"/>
      <c r="K5763" s="648"/>
      <c r="L5763" s="567">
        <f>+L5762+L5754</f>
        <v>20.992190999999998</v>
      </c>
      <c r="M5763" s="549"/>
      <c r="N5763" s="549"/>
      <c r="O5763" s="549"/>
      <c r="P5763" s="549"/>
      <c r="Q5763" s="1059"/>
      <c r="R5763" s="1059"/>
    </row>
    <row r="5764" spans="1:18" s="497" customFormat="1" ht="17.399999999999999">
      <c r="A5764" s="547"/>
      <c r="B5764" s="752"/>
      <c r="C5764" s="547"/>
      <c r="D5764" s="547"/>
      <c r="E5764" s="547"/>
      <c r="F5764" s="549"/>
      <c r="G5764" s="549"/>
      <c r="H5764" s="549"/>
      <c r="I5764" s="558"/>
      <c r="J5764" s="567"/>
      <c r="K5764" s="648"/>
      <c r="L5764" s="567"/>
      <c r="M5764" s="549"/>
      <c r="N5764" s="549"/>
      <c r="O5764" s="549"/>
      <c r="P5764" s="549"/>
      <c r="Q5764" s="1059"/>
      <c r="R5764" s="1059"/>
    </row>
    <row r="5765" spans="1:18" s="497" customFormat="1" ht="18">
      <c r="A5765" s="547" t="s">
        <v>272</v>
      </c>
      <c r="B5765" s="852" t="s">
        <v>580</v>
      </c>
      <c r="C5765" s="547" t="s">
        <v>446</v>
      </c>
      <c r="D5765" s="813" t="s">
        <v>450</v>
      </c>
      <c r="E5765" s="547" t="s">
        <v>270</v>
      </c>
      <c r="F5765" s="548">
        <v>10</v>
      </c>
      <c r="G5765" s="549" t="s">
        <v>61</v>
      </c>
      <c r="H5765" s="599" t="s">
        <v>131</v>
      </c>
      <c r="I5765" s="558">
        <v>7.36</v>
      </c>
      <c r="J5765" s="567">
        <v>10</v>
      </c>
      <c r="K5765" s="648">
        <v>2</v>
      </c>
      <c r="L5765" s="552">
        <f>(I5765*J5765*K5765/1000)</f>
        <v>0.14720000000000003</v>
      </c>
      <c r="M5765" s="549"/>
      <c r="N5765" s="549"/>
      <c r="O5765" s="549"/>
      <c r="P5765" s="549"/>
      <c r="Q5765" s="1076" t="s">
        <v>707</v>
      </c>
      <c r="R5765" s="1059"/>
    </row>
    <row r="5766" spans="1:18" s="497" customFormat="1" ht="17.399999999999999">
      <c r="A5766" s="549"/>
      <c r="B5766" s="549"/>
      <c r="C5766" s="549"/>
      <c r="D5766" s="549"/>
      <c r="E5766" s="549"/>
      <c r="F5766" s="549"/>
      <c r="G5766" s="549"/>
      <c r="H5766" s="549"/>
      <c r="I5766" s="558"/>
      <c r="J5766" s="567"/>
      <c r="K5766" s="648">
        <f t="shared" ref="K5766" si="1259">SUM(K5765)</f>
        <v>2</v>
      </c>
      <c r="L5766" s="567">
        <f>SUM(L5765)</f>
        <v>0.14720000000000003</v>
      </c>
      <c r="M5766" s="549"/>
      <c r="N5766" s="549"/>
      <c r="O5766" s="549"/>
      <c r="P5766" s="549"/>
      <c r="Q5766" s="1059"/>
      <c r="R5766" s="1059"/>
    </row>
    <row r="5767" spans="1:18" s="497" customFormat="1" ht="17.399999999999999">
      <c r="A5767" s="549"/>
      <c r="B5767" s="549"/>
      <c r="C5767" s="549"/>
      <c r="D5767" s="549"/>
      <c r="E5767" s="549"/>
      <c r="F5767" s="549"/>
      <c r="G5767" s="549"/>
      <c r="H5767" s="549"/>
      <c r="I5767" s="558"/>
      <c r="J5767" s="567"/>
      <c r="K5767" s="648"/>
      <c r="L5767" s="567"/>
      <c r="M5767" s="549"/>
      <c r="N5767" s="549"/>
      <c r="O5767" s="549"/>
      <c r="P5767" s="549"/>
      <c r="Q5767" s="1059"/>
      <c r="R5767" s="1059"/>
    </row>
    <row r="5768" spans="1:18" s="497" customFormat="1" ht="18">
      <c r="A5768" s="547" t="s">
        <v>445</v>
      </c>
      <c r="B5768" s="547" t="s">
        <v>646</v>
      </c>
      <c r="C5768" s="547" t="s">
        <v>446</v>
      </c>
      <c r="D5768" s="813" t="s">
        <v>450</v>
      </c>
      <c r="E5768" s="547" t="s">
        <v>270</v>
      </c>
      <c r="F5768" s="548">
        <v>10</v>
      </c>
      <c r="G5768" s="549" t="s">
        <v>61</v>
      </c>
      <c r="H5768" s="599" t="s">
        <v>131</v>
      </c>
      <c r="I5768" s="558">
        <v>7.36</v>
      </c>
      <c r="J5768" s="914">
        <v>10</v>
      </c>
      <c r="K5768" s="915">
        <v>5</v>
      </c>
      <c r="L5768" s="552">
        <f>(I5768*J5768*K5768/1000)</f>
        <v>0.36800000000000005</v>
      </c>
      <c r="M5768" s="549"/>
      <c r="N5768" s="549"/>
      <c r="O5768" s="549"/>
      <c r="P5768" s="549"/>
      <c r="Q5768" s="1076" t="s">
        <v>707</v>
      </c>
      <c r="R5768" s="1059"/>
    </row>
    <row r="5769" spans="1:18" s="497" customFormat="1" ht="17.399999999999999">
      <c r="A5769" s="549"/>
      <c r="B5769" s="549"/>
      <c r="C5769" s="549"/>
      <c r="D5769" s="549"/>
      <c r="E5769" s="549"/>
      <c r="F5769" s="549"/>
      <c r="G5769" s="549"/>
      <c r="H5769" s="549"/>
      <c r="I5769" s="558"/>
      <c r="J5769" s="567"/>
      <c r="K5769" s="648">
        <f t="shared" ref="K5769" si="1260">SUM(K5768)</f>
        <v>5</v>
      </c>
      <c r="L5769" s="567">
        <f>SUM(L5768)</f>
        <v>0.36800000000000005</v>
      </c>
      <c r="M5769" s="549"/>
      <c r="N5769" s="549"/>
      <c r="O5769" s="549"/>
      <c r="P5769" s="549"/>
      <c r="Q5769" s="1059"/>
      <c r="R5769" s="1059"/>
    </row>
    <row r="5770" spans="1:18" s="497" customFormat="1" ht="17.399999999999999">
      <c r="A5770" s="549"/>
      <c r="B5770" s="549"/>
      <c r="C5770" s="549"/>
      <c r="D5770" s="549"/>
      <c r="E5770" s="549"/>
      <c r="F5770" s="549"/>
      <c r="G5770" s="549"/>
      <c r="H5770" s="549"/>
      <c r="I5770" s="558"/>
      <c r="J5770" s="567"/>
      <c r="K5770" s="648">
        <f>SUM(K5765:K5769)/2</f>
        <v>7</v>
      </c>
      <c r="L5770" s="567">
        <f>SUM(L5765:L5769)/2</f>
        <v>0.5152000000000001</v>
      </c>
      <c r="M5770" s="549"/>
      <c r="N5770" s="549"/>
      <c r="O5770" s="549"/>
      <c r="P5770" s="549" t="s">
        <v>663</v>
      </c>
      <c r="Q5770" s="1059"/>
      <c r="R5770" s="1059"/>
    </row>
    <row r="5771" spans="1:18" s="497" customFormat="1" ht="17.399999999999999">
      <c r="A5771" s="549"/>
      <c r="B5771" s="549"/>
      <c r="C5771" s="549"/>
      <c r="D5771" s="549"/>
      <c r="E5771" s="549"/>
      <c r="F5771" s="549"/>
      <c r="G5771" s="549"/>
      <c r="H5771" s="549"/>
      <c r="I5771" s="558"/>
      <c r="J5771" s="567"/>
      <c r="K5771" s="648"/>
      <c r="L5771" s="567"/>
      <c r="M5771" s="549"/>
      <c r="N5771" s="549"/>
      <c r="O5771" s="549"/>
      <c r="P5771" s="549"/>
      <c r="Q5771" s="1059"/>
      <c r="R5771" s="1059"/>
    </row>
    <row r="5772" spans="1:18" s="497" customFormat="1" ht="17.399999999999999">
      <c r="A5772" s="549"/>
      <c r="B5772" s="549"/>
      <c r="C5772" s="549"/>
      <c r="D5772" s="549"/>
      <c r="E5772" s="549"/>
      <c r="F5772" s="549"/>
      <c r="G5772" s="549"/>
      <c r="H5772" s="549"/>
      <c r="I5772" s="558"/>
      <c r="J5772" s="567"/>
      <c r="K5772" s="648"/>
      <c r="L5772" s="567"/>
      <c r="M5772" s="549"/>
      <c r="N5772" s="549"/>
      <c r="O5772" s="549"/>
      <c r="P5772" s="549"/>
      <c r="Q5772" s="1059"/>
      <c r="R5772" s="1059"/>
    </row>
    <row r="5773" spans="1:18" s="497" customFormat="1" ht="17.399999999999999">
      <c r="A5773" s="549"/>
      <c r="B5773" s="549"/>
      <c r="C5773" s="549"/>
      <c r="D5773" s="549"/>
      <c r="E5773" s="549"/>
      <c r="F5773" s="549"/>
      <c r="G5773" s="549"/>
      <c r="H5773" s="549"/>
      <c r="I5773" s="558"/>
      <c r="J5773" s="567"/>
      <c r="K5773" s="648"/>
      <c r="L5773" s="567"/>
      <c r="M5773" s="549"/>
      <c r="N5773" s="549"/>
      <c r="O5773" s="549"/>
      <c r="P5773" s="549"/>
      <c r="Q5773" s="1059"/>
      <c r="R5773" s="1059"/>
    </row>
    <row r="5774" spans="1:18" ht="17.399999999999999">
      <c r="A5774" s="549"/>
      <c r="B5774" s="549"/>
      <c r="C5774" s="549"/>
      <c r="D5774" s="549"/>
      <c r="E5774" s="549"/>
      <c r="F5774" s="549"/>
      <c r="G5774" s="549"/>
      <c r="H5774" s="549"/>
      <c r="I5774" s="560"/>
      <c r="J5774" s="549"/>
      <c r="K5774" s="561"/>
      <c r="L5774" s="568">
        <f>+L5766+L5754+L5747+L5740+L5735+L5721+L5713+L5700+L5683+L5670+L5762+L5769</f>
        <v>323.62981650000006</v>
      </c>
      <c r="M5774" s="549"/>
      <c r="N5774" s="568">
        <f>+N5766+N5754+N5747+N5740+N5735+N5721+N5713+N5700+N5683+N5670</f>
        <v>1.767649</v>
      </c>
      <c r="O5774" s="549"/>
      <c r="P5774" s="549"/>
      <c r="Q5774" s="1059"/>
      <c r="R5774" s="1059"/>
    </row>
    <row r="5775" spans="1:18" ht="18">
      <c r="A5775" s="653" t="s">
        <v>48</v>
      </c>
      <c r="B5775" s="653"/>
      <c r="C5775" s="654"/>
      <c r="D5775" s="654"/>
      <c r="E5775" s="654"/>
      <c r="F5775" s="909"/>
      <c r="G5775" s="654"/>
      <c r="H5775" s="909"/>
      <c r="I5775" s="656"/>
      <c r="J5775" s="654"/>
      <c r="K5775" s="657"/>
      <c r="L5775" s="2003" t="s">
        <v>0</v>
      </c>
      <c r="M5775" s="2003"/>
      <c r="N5775" s="2003"/>
      <c r="O5775" s="2004"/>
      <c r="P5775" s="2010"/>
      <c r="Q5775" s="1064"/>
      <c r="R5775" s="1064"/>
    </row>
    <row r="5776" spans="1:18" ht="18">
      <c r="A5776" s="658" t="s">
        <v>1</v>
      </c>
      <c r="B5776" s="658"/>
      <c r="C5776" s="658"/>
      <c r="D5776" s="659" t="s">
        <v>2</v>
      </c>
      <c r="E5776" s="659"/>
      <c r="F5776" s="660"/>
      <c r="G5776" s="660"/>
      <c r="H5776" s="660"/>
      <c r="I5776" s="661"/>
      <c r="J5776" s="660"/>
      <c r="K5776" s="662" t="s">
        <v>3</v>
      </c>
      <c r="L5776" s="660"/>
      <c r="M5776" s="658"/>
      <c r="N5776" s="660"/>
      <c r="O5776" s="663"/>
      <c r="P5776" s="2010"/>
      <c r="Q5776" s="1064"/>
      <c r="R5776" s="1064"/>
    </row>
    <row r="5777" spans="1:18" ht="18">
      <c r="A5777" s="909" t="s">
        <v>22</v>
      </c>
      <c r="B5777" s="1990" t="s">
        <v>23</v>
      </c>
      <c r="C5777" s="2005"/>
      <c r="D5777" s="1989"/>
      <c r="E5777" s="909" t="s">
        <v>24</v>
      </c>
      <c r="F5777" s="1990" t="s">
        <v>25</v>
      </c>
      <c r="G5777" s="1989"/>
      <c r="H5777" s="1990" t="s">
        <v>26</v>
      </c>
      <c r="I5777" s="2005"/>
      <c r="J5777" s="2005"/>
      <c r="K5777" s="1989"/>
      <c r="L5777" s="2006" t="s">
        <v>27</v>
      </c>
      <c r="M5777" s="2006"/>
      <c r="N5777" s="2006"/>
      <c r="O5777" s="1990"/>
      <c r="P5777" s="2010"/>
      <c r="Q5777" s="1064"/>
      <c r="R5777" s="1064"/>
    </row>
    <row r="5778" spans="1:18" ht="18">
      <c r="A5778" s="664"/>
      <c r="B5778" s="1975"/>
      <c r="C5778" s="1976"/>
      <c r="D5778" s="1977"/>
      <c r="E5778" s="665"/>
      <c r="F5778" s="1975"/>
      <c r="G5778" s="1977"/>
      <c r="H5778" s="1975"/>
      <c r="I5778" s="1976"/>
      <c r="J5778" s="1976"/>
      <c r="K5778" s="1977"/>
      <c r="L5778" s="1975"/>
      <c r="M5778" s="1976"/>
      <c r="N5778" s="1976"/>
      <c r="O5778" s="1976"/>
      <c r="P5778" s="2010"/>
      <c r="Q5778" s="1064"/>
      <c r="R5778" s="1064"/>
    </row>
    <row r="5779" spans="1:18" ht="18">
      <c r="A5779" s="664"/>
      <c r="B5779" s="904"/>
      <c r="C5779" s="905"/>
      <c r="D5779" s="906"/>
      <c r="E5779" s="665"/>
      <c r="F5779" s="904"/>
      <c r="G5779" s="906"/>
      <c r="H5779" s="904"/>
      <c r="I5779" s="1842"/>
      <c r="J5779" s="905"/>
      <c r="K5779" s="906"/>
      <c r="L5779" s="905"/>
      <c r="M5779" s="905"/>
      <c r="N5779" s="905"/>
      <c r="O5779" s="905"/>
      <c r="P5779" s="2010"/>
      <c r="Q5779" s="1064"/>
      <c r="R5779" s="1064"/>
    </row>
    <row r="5780" spans="1:18" ht="18">
      <c r="A5780" s="664" t="s">
        <v>28</v>
      </c>
      <c r="B5780" s="1975" t="s">
        <v>198</v>
      </c>
      <c r="C5780" s="1976"/>
      <c r="D5780" s="1977"/>
      <c r="E5780" s="665">
        <f>+L5670+L5683-0.749</f>
        <v>243.94429900000003</v>
      </c>
      <c r="F5780" s="1975">
        <v>10</v>
      </c>
      <c r="G5780" s="1977"/>
      <c r="H5780" s="1975" t="s">
        <v>49</v>
      </c>
      <c r="I5780" s="1976"/>
      <c r="J5780" s="1976"/>
      <c r="K5780" s="1977"/>
      <c r="L5780" s="1976" t="s">
        <v>644</v>
      </c>
      <c r="M5780" s="1976"/>
      <c r="N5780" s="1976"/>
      <c r="O5780" s="1976"/>
      <c r="P5780" s="2010"/>
      <c r="Q5780" s="1064"/>
      <c r="R5780" s="1064"/>
    </row>
    <row r="5781" spans="1:18" ht="18">
      <c r="A5781" s="664" t="s">
        <v>29</v>
      </c>
      <c r="B5781" s="1975" t="s">
        <v>199</v>
      </c>
      <c r="C5781" s="1976"/>
      <c r="D5781" s="1977"/>
      <c r="E5781" s="665">
        <f>+L5700+L5713-1.195</f>
        <v>37.804335999999999</v>
      </c>
      <c r="F5781" s="1975">
        <v>10</v>
      </c>
      <c r="G5781" s="1977"/>
      <c r="H5781" s="1975" t="s">
        <v>49</v>
      </c>
      <c r="I5781" s="1976"/>
      <c r="J5781" s="1976"/>
      <c r="K5781" s="1977"/>
      <c r="L5781" s="1976" t="s">
        <v>645</v>
      </c>
      <c r="M5781" s="1976"/>
      <c r="N5781" s="1976"/>
      <c r="O5781" s="1976"/>
      <c r="P5781" s="2010"/>
      <c r="Q5781" s="1064"/>
      <c r="R5781" s="1064"/>
    </row>
    <row r="5782" spans="1:18" s="497" customFormat="1" ht="18">
      <c r="A5782" s="664"/>
      <c r="B5782" s="992"/>
      <c r="C5782" s="993"/>
      <c r="D5782" s="994"/>
      <c r="E5782" s="665"/>
      <c r="F5782" s="992"/>
      <c r="G5782" s="994"/>
      <c r="H5782" s="992"/>
      <c r="I5782" s="1842"/>
      <c r="J5782" s="993"/>
      <c r="K5782" s="994"/>
      <c r="L5782" s="993"/>
      <c r="M5782" s="993"/>
      <c r="N5782" s="993"/>
      <c r="O5782" s="993"/>
      <c r="P5782" s="2010"/>
      <c r="Q5782" s="1064"/>
      <c r="R5782" s="1064"/>
    </row>
    <row r="5783" spans="1:18" ht="18">
      <c r="A5783" s="664"/>
      <c r="B5783" s="1975"/>
      <c r="C5783" s="1976"/>
      <c r="D5783" s="1977"/>
      <c r="E5783" s="665"/>
      <c r="F5783" s="1975"/>
      <c r="G5783" s="1977"/>
      <c r="H5783" s="1975"/>
      <c r="I5783" s="1976"/>
      <c r="J5783" s="1976"/>
      <c r="K5783" s="1977"/>
      <c r="L5783" s="1976"/>
      <c r="M5783" s="1976"/>
      <c r="N5783" s="1976"/>
      <c r="O5783" s="1976"/>
      <c r="P5783" s="2010"/>
      <c r="Q5783" s="1064"/>
      <c r="R5783" s="1064"/>
    </row>
    <row r="5784" spans="1:18" ht="18">
      <c r="A5784" s="664" t="s">
        <v>30</v>
      </c>
      <c r="B5784" s="1975" t="s">
        <v>570</v>
      </c>
      <c r="C5784" s="1976"/>
      <c r="D5784" s="1977"/>
      <c r="E5784" s="665">
        <f>+L5721</f>
        <v>3.4798799999999996</v>
      </c>
      <c r="F5784" s="1975">
        <v>10</v>
      </c>
      <c r="G5784" s="1977"/>
      <c r="H5784" s="1975" t="s">
        <v>155</v>
      </c>
      <c r="I5784" s="1976"/>
      <c r="J5784" s="1976"/>
      <c r="K5784" s="1977"/>
      <c r="L5784" s="1976" t="s">
        <v>437</v>
      </c>
      <c r="M5784" s="1976"/>
      <c r="N5784" s="1976"/>
      <c r="O5784" s="1976"/>
      <c r="P5784" s="2010"/>
      <c r="Q5784" s="1064"/>
      <c r="R5784" s="1064"/>
    </row>
    <row r="5785" spans="1:18" s="497" customFormat="1" ht="18">
      <c r="A5785" s="664" t="s">
        <v>46</v>
      </c>
      <c r="B5785" s="1975" t="s">
        <v>595</v>
      </c>
      <c r="C5785" s="1976"/>
      <c r="D5785" s="1977"/>
      <c r="E5785" s="665">
        <f>+L5735-0.308</f>
        <v>2.9998</v>
      </c>
      <c r="F5785" s="1975">
        <v>10</v>
      </c>
      <c r="G5785" s="1977"/>
      <c r="H5785" s="1975" t="s">
        <v>155</v>
      </c>
      <c r="I5785" s="1976"/>
      <c r="J5785" s="1976"/>
      <c r="K5785" s="1977"/>
      <c r="L5785" s="1976" t="s">
        <v>437</v>
      </c>
      <c r="M5785" s="1976"/>
      <c r="N5785" s="1976"/>
      <c r="O5785" s="1976"/>
      <c r="P5785" s="2010"/>
      <c r="Q5785" s="1064"/>
      <c r="R5785" s="1064"/>
    </row>
    <row r="5786" spans="1:18" s="497" customFormat="1" ht="18">
      <c r="A5786" s="664"/>
      <c r="B5786" s="954"/>
      <c r="C5786" s="955"/>
      <c r="D5786" s="956"/>
      <c r="E5786" s="665"/>
      <c r="F5786" s="954"/>
      <c r="G5786" s="956"/>
      <c r="H5786" s="954"/>
      <c r="I5786" s="1842"/>
      <c r="J5786" s="955"/>
      <c r="K5786" s="956"/>
      <c r="L5786" s="955"/>
      <c r="M5786" s="955"/>
      <c r="N5786" s="955"/>
      <c r="O5786" s="955"/>
      <c r="P5786" s="2010"/>
      <c r="Q5786" s="1064"/>
      <c r="R5786" s="1064"/>
    </row>
    <row r="5787" spans="1:18" s="497" customFormat="1" ht="18">
      <c r="A5787" s="664"/>
      <c r="B5787" s="954"/>
      <c r="C5787" s="955"/>
      <c r="D5787" s="956"/>
      <c r="E5787" s="665"/>
      <c r="F5787" s="954"/>
      <c r="G5787" s="956"/>
      <c r="H5787" s="954"/>
      <c r="I5787" s="1842"/>
      <c r="J5787" s="955"/>
      <c r="K5787" s="956"/>
      <c r="L5787" s="955"/>
      <c r="M5787" s="955"/>
      <c r="N5787" s="955"/>
      <c r="O5787" s="955"/>
      <c r="P5787" s="2010"/>
      <c r="Q5787" s="1064"/>
      <c r="R5787" s="1064"/>
    </row>
    <row r="5788" spans="1:18" s="497" customFormat="1" ht="18">
      <c r="A5788" s="847" t="s">
        <v>58</v>
      </c>
      <c r="B5788" s="1975" t="s">
        <v>198</v>
      </c>
      <c r="C5788" s="1976"/>
      <c r="D5788" s="1977"/>
      <c r="E5788" s="665">
        <f>+L5740</f>
        <v>7.1833600000000004</v>
      </c>
      <c r="F5788" s="1975">
        <v>10</v>
      </c>
      <c r="G5788" s="1977"/>
      <c r="H5788" s="1973" t="s">
        <v>447</v>
      </c>
      <c r="I5788" s="2018"/>
      <c r="J5788" s="2018"/>
      <c r="K5788" s="1974"/>
      <c r="L5788" s="2018" t="s">
        <v>436</v>
      </c>
      <c r="M5788" s="2018"/>
      <c r="N5788" s="2018"/>
      <c r="O5788" s="2018"/>
      <c r="P5788" s="2010"/>
      <c r="Q5788" s="1064"/>
      <c r="R5788" s="1064"/>
    </row>
    <row r="5789" spans="1:18" s="497" customFormat="1" ht="18">
      <c r="A5789" s="847" t="s">
        <v>163</v>
      </c>
      <c r="B5789" s="1975" t="s">
        <v>199</v>
      </c>
      <c r="C5789" s="1976"/>
      <c r="D5789" s="1977"/>
      <c r="E5789" s="665">
        <v>5</v>
      </c>
      <c r="F5789" s="1975">
        <v>10</v>
      </c>
      <c r="G5789" s="1977"/>
      <c r="H5789" s="1973" t="s">
        <v>447</v>
      </c>
      <c r="I5789" s="2018"/>
      <c r="J5789" s="2018"/>
      <c r="K5789" s="1974"/>
      <c r="L5789" s="2018" t="s">
        <v>436</v>
      </c>
      <c r="M5789" s="2018"/>
      <c r="N5789" s="2018"/>
      <c r="O5789" s="2018"/>
      <c r="P5789" s="2010"/>
      <c r="Q5789" s="1064"/>
      <c r="R5789" s="1064"/>
    </row>
    <row r="5790" spans="1:18" s="497" customFormat="1" ht="18">
      <c r="A5790" s="664"/>
      <c r="B5790" s="954"/>
      <c r="C5790" s="955"/>
      <c r="D5790" s="956"/>
      <c r="E5790" s="665"/>
      <c r="F5790" s="954"/>
      <c r="G5790" s="956"/>
      <c r="H5790" s="954"/>
      <c r="I5790" s="1842"/>
      <c r="J5790" s="955"/>
      <c r="K5790" s="956"/>
      <c r="L5790" s="955"/>
      <c r="M5790" s="955"/>
      <c r="N5790" s="955"/>
      <c r="O5790" s="955"/>
      <c r="P5790" s="2010"/>
      <c r="Q5790" s="1064"/>
      <c r="R5790" s="1064"/>
    </row>
    <row r="5791" spans="1:18" s="497" customFormat="1" ht="18">
      <c r="A5791" s="847" t="s">
        <v>302</v>
      </c>
      <c r="B5791" s="1975" t="s">
        <v>570</v>
      </c>
      <c r="C5791" s="1976"/>
      <c r="D5791" s="1977"/>
      <c r="E5791" s="665">
        <f>+L5763</f>
        <v>20.992190999999998</v>
      </c>
      <c r="F5791" s="1975">
        <v>10</v>
      </c>
      <c r="G5791" s="1977"/>
      <c r="H5791" s="1973" t="s">
        <v>450</v>
      </c>
      <c r="I5791" s="2018"/>
      <c r="J5791" s="2018"/>
      <c r="K5791" s="1974"/>
      <c r="L5791" s="2018" t="s">
        <v>437</v>
      </c>
      <c r="M5791" s="2018"/>
      <c r="N5791" s="2018"/>
      <c r="O5791" s="2018"/>
      <c r="P5791" s="2010"/>
      <c r="Q5791" s="1064"/>
      <c r="R5791" s="1064"/>
    </row>
    <row r="5792" spans="1:18" s="497" customFormat="1" ht="18">
      <c r="A5792" s="847"/>
      <c r="B5792" s="1006"/>
      <c r="C5792" s="1007"/>
      <c r="D5792" s="1008"/>
      <c r="E5792" s="665"/>
      <c r="F5792" s="1006"/>
      <c r="G5792" s="1008"/>
      <c r="H5792" s="1010"/>
      <c r="I5792" s="1855"/>
      <c r="J5792" s="1011"/>
      <c r="K5792" s="1012"/>
      <c r="L5792" s="1011"/>
      <c r="M5792" s="1011"/>
      <c r="N5792" s="1011"/>
      <c r="O5792" s="1011"/>
      <c r="P5792" s="2010"/>
      <c r="Q5792" s="1064"/>
      <c r="R5792" s="1064"/>
    </row>
    <row r="5793" spans="1:18" s="497" customFormat="1" ht="18">
      <c r="A5793" s="847" t="s">
        <v>380</v>
      </c>
      <c r="B5793" s="1975" t="s">
        <v>595</v>
      </c>
      <c r="C5793" s="1976"/>
      <c r="D5793" s="1977"/>
      <c r="E5793" s="665">
        <v>5</v>
      </c>
      <c r="F5793" s="1975">
        <v>10</v>
      </c>
      <c r="G5793" s="1977"/>
      <c r="H5793" s="1973" t="s">
        <v>450</v>
      </c>
      <c r="I5793" s="2018"/>
      <c r="J5793" s="2018"/>
      <c r="K5793" s="1974"/>
      <c r="L5793" s="2018" t="s">
        <v>437</v>
      </c>
      <c r="M5793" s="2018"/>
      <c r="N5793" s="2018"/>
      <c r="O5793" s="2018"/>
      <c r="P5793" s="2010"/>
      <c r="Q5793" s="1064"/>
      <c r="R5793" s="1064"/>
    </row>
    <row r="5794" spans="1:18" ht="18">
      <c r="A5794" s="664"/>
      <c r="B5794" s="1975"/>
      <c r="C5794" s="1976"/>
      <c r="D5794" s="1977"/>
      <c r="E5794" s="665"/>
      <c r="F5794" s="1975"/>
      <c r="G5794" s="1977"/>
      <c r="H5794" s="1975"/>
      <c r="I5794" s="1976"/>
      <c r="J5794" s="1976"/>
      <c r="K5794" s="1977"/>
      <c r="L5794" s="1976"/>
      <c r="M5794" s="1976"/>
      <c r="N5794" s="1976"/>
      <c r="O5794" s="1976"/>
      <c r="P5794" s="2010"/>
      <c r="Q5794" s="1064"/>
      <c r="R5794" s="1064"/>
    </row>
    <row r="5795" spans="1:18" ht="18.600000000000001" thickBot="1">
      <c r="A5795" s="664"/>
      <c r="B5795" s="904"/>
      <c r="C5795" s="905"/>
      <c r="D5795" s="905"/>
      <c r="E5795" s="665"/>
      <c r="F5795" s="905"/>
      <c r="G5795" s="906"/>
      <c r="H5795" s="904"/>
      <c r="I5795" s="1842"/>
      <c r="J5795" s="905"/>
      <c r="K5795" s="669"/>
      <c r="L5795" s="672"/>
      <c r="M5795" s="673"/>
      <c r="N5795" s="673"/>
      <c r="O5795" s="673"/>
      <c r="P5795" s="2010"/>
      <c r="Q5795" s="1064"/>
      <c r="R5795" s="1064"/>
    </row>
    <row r="5796" spans="1:18" ht="18">
      <c r="A5796" s="674"/>
      <c r="B5796" s="675"/>
      <c r="C5796" s="676"/>
      <c r="D5796" s="676"/>
      <c r="E5796" s="1980">
        <f>SUM(E5778:E5795)</f>
        <v>326.40386599999999</v>
      </c>
      <c r="F5796" s="677"/>
      <c r="G5796" s="678"/>
      <c r="H5796" s="679"/>
      <c r="I5796" s="1848"/>
      <c r="J5796" s="676"/>
      <c r="K5796" s="680"/>
      <c r="L5796" s="679"/>
      <c r="M5796" s="676"/>
      <c r="N5796" s="677"/>
      <c r="O5796" s="676"/>
      <c r="P5796" s="2010"/>
      <c r="Q5796" s="1064"/>
      <c r="R5796" s="1064"/>
    </row>
    <row r="5797" spans="1:18" ht="18.600000000000001" thickBot="1">
      <c r="A5797" s="681"/>
      <c r="B5797" s="682"/>
      <c r="C5797" s="683"/>
      <c r="D5797" s="683"/>
      <c r="E5797" s="1981"/>
      <c r="F5797" s="684"/>
      <c r="G5797" s="685"/>
      <c r="H5797" s="686"/>
      <c r="I5797" s="1850"/>
      <c r="J5797" s="683"/>
      <c r="K5797" s="687"/>
      <c r="L5797" s="686"/>
      <c r="M5797" s="683"/>
      <c r="N5797" s="684"/>
      <c r="O5797" s="683"/>
      <c r="P5797" s="2010"/>
      <c r="Q5797" s="1064"/>
      <c r="R5797" s="1064"/>
    </row>
    <row r="5798" spans="1:18" ht="18">
      <c r="A5798" s="688" t="s">
        <v>31</v>
      </c>
      <c r="B5798" s="676"/>
      <c r="C5798" s="676"/>
      <c r="D5798" s="676"/>
      <c r="E5798" s="676"/>
      <c r="F5798" s="677"/>
      <c r="G5798" s="676"/>
      <c r="H5798" s="677"/>
      <c r="I5798" s="1848"/>
      <c r="J5798" s="676"/>
      <c r="K5798" s="689"/>
      <c r="L5798" s="677"/>
      <c r="M5798" s="676"/>
      <c r="N5798" s="677"/>
      <c r="O5798" s="676"/>
      <c r="P5798" s="2010"/>
      <c r="Q5798" s="1064"/>
      <c r="R5798" s="1064"/>
    </row>
    <row r="5799" spans="1:18" ht="18">
      <c r="A5799" s="690"/>
      <c r="B5799" s="691"/>
      <c r="C5799" s="691"/>
      <c r="D5799" s="691"/>
      <c r="E5799" s="691"/>
      <c r="F5799" s="903"/>
      <c r="G5799" s="691"/>
      <c r="H5799" s="903"/>
      <c r="I5799" s="1849"/>
      <c r="J5799" s="691"/>
      <c r="K5799" s="693"/>
      <c r="L5799" s="903"/>
      <c r="M5799" s="691"/>
      <c r="N5799" s="903"/>
      <c r="O5799" s="691"/>
      <c r="P5799" s="2010"/>
      <c r="Q5799" s="1064"/>
      <c r="R5799" s="1064"/>
    </row>
    <row r="5800" spans="1:18" ht="18.600000000000001" thickBot="1">
      <c r="A5800" s="1982" t="s">
        <v>32</v>
      </c>
      <c r="B5800" s="1983"/>
      <c r="C5800" s="1984" t="s">
        <v>33</v>
      </c>
      <c r="D5800" s="1985"/>
      <c r="E5800" s="694" t="s">
        <v>34</v>
      </c>
      <c r="F5800" s="694" t="s">
        <v>35</v>
      </c>
      <c r="G5800" s="1986" t="s">
        <v>36</v>
      </c>
      <c r="H5800" s="1987"/>
      <c r="I5800" s="1987"/>
      <c r="J5800" s="1987"/>
      <c r="K5800" s="1987"/>
      <c r="L5800" s="1987"/>
      <c r="M5800" s="1987"/>
      <c r="N5800" s="1987"/>
      <c r="O5800" s="1987"/>
      <c r="P5800" s="2010"/>
      <c r="Q5800" s="1064"/>
      <c r="R5800" s="1064"/>
    </row>
    <row r="5801" spans="1:18" ht="18">
      <c r="A5801" s="1988"/>
      <c r="B5801" s="1989"/>
      <c r="C5801" s="1990"/>
      <c r="D5801" s="1989"/>
      <c r="E5801" s="909"/>
      <c r="F5801" s="907"/>
      <c r="G5801" s="1991"/>
      <c r="H5801" s="1992"/>
      <c r="I5801" s="1992"/>
      <c r="J5801" s="1992"/>
      <c r="K5801" s="1992"/>
      <c r="L5801" s="1992"/>
      <c r="M5801" s="1992"/>
      <c r="N5801" s="1992"/>
      <c r="O5801" s="1992"/>
      <c r="P5801" s="2010"/>
      <c r="Q5801" s="1064"/>
      <c r="R5801" s="1064"/>
    </row>
    <row r="5802" spans="1:18" ht="18">
      <c r="A5802" s="1997" t="s">
        <v>37</v>
      </c>
      <c r="B5802" s="1998"/>
      <c r="C5802" s="1990"/>
      <c r="D5802" s="1989"/>
      <c r="E5802" s="909"/>
      <c r="F5802" s="907"/>
      <c r="G5802" s="1993"/>
      <c r="H5802" s="1994"/>
      <c r="I5802" s="1994"/>
      <c r="J5802" s="1994"/>
      <c r="K5802" s="1994"/>
      <c r="L5802" s="1994"/>
      <c r="M5802" s="1994"/>
      <c r="N5802" s="1994"/>
      <c r="O5802" s="1994"/>
      <c r="P5802" s="2010"/>
      <c r="Q5802" s="1064"/>
      <c r="R5802" s="1064"/>
    </row>
    <row r="5803" spans="1:18" ht="18">
      <c r="A5803" s="1997" t="s">
        <v>38</v>
      </c>
      <c r="B5803" s="1998"/>
      <c r="C5803" s="1990"/>
      <c r="D5803" s="1989"/>
      <c r="E5803" s="909"/>
      <c r="F5803" s="907"/>
      <c r="G5803" s="1993"/>
      <c r="H5803" s="1994"/>
      <c r="I5803" s="1994"/>
      <c r="J5803" s="1994"/>
      <c r="K5803" s="1994"/>
      <c r="L5803" s="1994"/>
      <c r="M5803" s="1994"/>
      <c r="N5803" s="1994"/>
      <c r="O5803" s="1994"/>
      <c r="P5803" s="2010"/>
      <c r="Q5803" s="1064"/>
      <c r="R5803" s="1064"/>
    </row>
    <row r="5804" spans="1:18" ht="18">
      <c r="A5804" s="1997" t="s">
        <v>39</v>
      </c>
      <c r="B5804" s="1998"/>
      <c r="C5804" s="1990"/>
      <c r="D5804" s="1989"/>
      <c r="E5804" s="909"/>
      <c r="F5804" s="907"/>
      <c r="G5804" s="1993"/>
      <c r="H5804" s="1994"/>
      <c r="I5804" s="1994"/>
      <c r="J5804" s="1994"/>
      <c r="K5804" s="1994"/>
      <c r="L5804" s="1994"/>
      <c r="M5804" s="1994"/>
      <c r="N5804" s="1994"/>
      <c r="O5804" s="1994"/>
      <c r="P5804" s="2010"/>
      <c r="Q5804" s="1064"/>
      <c r="R5804" s="1064"/>
    </row>
    <row r="5805" spans="1:18" ht="18">
      <c r="A5805" s="1997" t="s">
        <v>40</v>
      </c>
      <c r="B5805" s="1998"/>
      <c r="C5805" s="1990"/>
      <c r="D5805" s="1989"/>
      <c r="E5805" s="909"/>
      <c r="F5805" s="907"/>
      <c r="G5805" s="1993"/>
      <c r="H5805" s="1994"/>
      <c r="I5805" s="1994"/>
      <c r="J5805" s="1994"/>
      <c r="K5805" s="1994"/>
      <c r="L5805" s="1994"/>
      <c r="M5805" s="1994"/>
      <c r="N5805" s="1994"/>
      <c r="O5805" s="1994"/>
      <c r="P5805" s="2010"/>
      <c r="Q5805" s="1064"/>
      <c r="R5805" s="1064"/>
    </row>
    <row r="5806" spans="1:18" ht="18.600000000000001" thickBot="1">
      <c r="A5806" s="1999" t="s">
        <v>41</v>
      </c>
      <c r="B5806" s="2000"/>
      <c r="C5806" s="2001"/>
      <c r="D5806" s="2002"/>
      <c r="E5806" s="696"/>
      <c r="F5806" s="908"/>
      <c r="G5806" s="1995"/>
      <c r="H5806" s="1996"/>
      <c r="I5806" s="1996"/>
      <c r="J5806" s="1996"/>
      <c r="K5806" s="1996"/>
      <c r="L5806" s="1996"/>
      <c r="M5806" s="1996"/>
      <c r="N5806" s="1996"/>
      <c r="O5806" s="1996"/>
      <c r="P5806" s="2010"/>
      <c r="Q5806" s="1064"/>
      <c r="R5806" s="1064"/>
    </row>
    <row r="5807" spans="1:18" ht="18">
      <c r="A5807" s="690"/>
      <c r="B5807" s="691"/>
      <c r="C5807" s="691"/>
      <c r="D5807" s="691"/>
      <c r="E5807" s="691"/>
      <c r="F5807" s="903"/>
      <c r="G5807" s="691"/>
      <c r="H5807" s="698"/>
      <c r="I5807" s="699"/>
      <c r="J5807" s="700"/>
      <c r="K5807" s="701"/>
      <c r="L5807" s="702"/>
      <c r="M5807" s="691"/>
      <c r="N5807" s="903"/>
      <c r="O5807" s="691"/>
      <c r="P5807" s="2010"/>
      <c r="Q5807" s="1064"/>
      <c r="R5807" s="1064"/>
    </row>
    <row r="5808" spans="1:18" ht="18">
      <c r="A5808" s="703" t="s">
        <v>42</v>
      </c>
      <c r="B5808" s="704"/>
      <c r="C5808" s="691"/>
      <c r="D5808" s="691"/>
      <c r="E5808" s="691"/>
      <c r="F5808" s="903"/>
      <c r="G5808" s="704"/>
      <c r="H5808" s="698"/>
      <c r="I5808" s="699"/>
      <c r="J5808" s="700"/>
      <c r="K5808" s="693"/>
      <c r="L5808" s="705"/>
      <c r="M5808" s="691"/>
      <c r="N5808" s="1979" t="s">
        <v>43</v>
      </c>
      <c r="O5808" s="1979"/>
      <c r="P5808" s="2010"/>
      <c r="Q5808" s="1064"/>
      <c r="R5808" s="1064"/>
    </row>
    <row r="5809" spans="1:19" ht="18">
      <c r="A5809" s="703"/>
      <c r="B5809" s="704"/>
      <c r="C5809" s="691"/>
      <c r="D5809" s="691"/>
      <c r="E5809" s="691"/>
      <c r="F5809" s="903"/>
      <c r="G5809" s="691"/>
      <c r="H5809" s="903"/>
      <c r="I5809" s="1849"/>
      <c r="J5809" s="691"/>
      <c r="K5809" s="693"/>
      <c r="L5809" s="903"/>
      <c r="M5809" s="691"/>
      <c r="N5809" s="903"/>
      <c r="O5809" s="704"/>
      <c r="P5809" s="2010"/>
      <c r="Q5809" s="1064"/>
      <c r="R5809" s="1064"/>
    </row>
    <row r="5810" spans="1:19" ht="18">
      <c r="A5810" s="703" t="s">
        <v>44</v>
      </c>
      <c r="B5810" s="704"/>
      <c r="C5810" s="691"/>
      <c r="D5810" s="691"/>
      <c r="E5810" s="691"/>
      <c r="F5810" s="903"/>
      <c r="G5810" s="691"/>
      <c r="H5810" s="903"/>
      <c r="I5810" s="1849"/>
      <c r="J5810" s="691"/>
      <c r="K5810" s="693"/>
      <c r="L5810" s="903"/>
      <c r="M5810" s="691"/>
      <c r="N5810" s="1979" t="s">
        <v>45</v>
      </c>
      <c r="O5810" s="1979"/>
      <c r="P5810" s="2010"/>
      <c r="Q5810" s="1064"/>
      <c r="R5810" s="1064"/>
    </row>
    <row r="5811" spans="1:19" ht="18.600000000000001" thickBot="1">
      <c r="A5811" s="682"/>
      <c r="B5811" s="683"/>
      <c r="C5811" s="683"/>
      <c r="D5811" s="683"/>
      <c r="E5811" s="683"/>
      <c r="F5811" s="684"/>
      <c r="G5811" s="683"/>
      <c r="H5811" s="684"/>
      <c r="I5811" s="1850"/>
      <c r="J5811" s="683"/>
      <c r="K5811" s="706"/>
      <c r="L5811" s="684"/>
      <c r="M5811" s="683"/>
      <c r="N5811" s="684"/>
      <c r="O5811" s="683"/>
      <c r="P5811" s="2010"/>
      <c r="Q5811" s="1064"/>
      <c r="R5811" s="1064"/>
    </row>
    <row r="5815" spans="1:19" ht="17.399999999999999">
      <c r="A5815" s="1000" t="s">
        <v>48</v>
      </c>
      <c r="B5815" s="1000"/>
      <c r="C5815" s="718"/>
      <c r="D5815" s="718"/>
      <c r="E5815" s="718"/>
      <c r="F5815" s="720"/>
      <c r="G5815" s="718"/>
      <c r="H5815" s="718"/>
      <c r="I5815" s="721"/>
      <c r="J5815" s="1001"/>
      <c r="K5815" s="1002"/>
      <c r="L5815" s="1978" t="s">
        <v>0</v>
      </c>
      <c r="M5815" s="1978"/>
      <c r="N5815" s="1978"/>
      <c r="O5815" s="1978"/>
      <c r="P5815" s="549"/>
      <c r="Q5815" s="1059"/>
      <c r="R5815" s="1059"/>
    </row>
    <row r="5816" spans="1:19" ht="17.399999999999999">
      <c r="A5816" s="718" t="s">
        <v>1</v>
      </c>
      <c r="B5816" s="718"/>
      <c r="C5816" s="718"/>
      <c r="D5816" s="719" t="s">
        <v>2</v>
      </c>
      <c r="E5816" s="719"/>
      <c r="F5816" s="720"/>
      <c r="G5816" s="720"/>
      <c r="H5816" s="720"/>
      <c r="I5816" s="721"/>
      <c r="J5816" s="995"/>
      <c r="K5816" s="1002" t="s">
        <v>3</v>
      </c>
      <c r="L5816" s="995"/>
      <c r="M5816" s="718"/>
      <c r="N5816" s="720"/>
      <c r="O5816" s="718"/>
      <c r="P5816" s="549"/>
      <c r="Q5816" s="1059"/>
      <c r="R5816" s="1059"/>
    </row>
    <row r="5817" spans="1:19" ht="59.25" customHeight="1">
      <c r="A5817" s="640" t="s">
        <v>4</v>
      </c>
      <c r="B5817" s="640" t="s">
        <v>5</v>
      </c>
      <c r="C5817" s="640" t="s">
        <v>6</v>
      </c>
      <c r="D5817" s="640" t="s">
        <v>7</v>
      </c>
      <c r="E5817" s="640" t="s">
        <v>8</v>
      </c>
      <c r="F5817" s="641" t="s">
        <v>9</v>
      </c>
      <c r="G5817" s="642" t="s">
        <v>10</v>
      </c>
      <c r="H5817" s="642" t="s">
        <v>11</v>
      </c>
      <c r="I5817" s="643" t="s">
        <v>12</v>
      </c>
      <c r="J5817" s="644" t="s">
        <v>13</v>
      </c>
      <c r="K5817" s="645" t="s">
        <v>14</v>
      </c>
      <c r="L5817" s="646" t="s">
        <v>15</v>
      </c>
      <c r="M5817" s="641" t="s">
        <v>16</v>
      </c>
      <c r="N5817" s="641" t="s">
        <v>17</v>
      </c>
      <c r="O5817" s="642" t="s">
        <v>18</v>
      </c>
      <c r="P5817" s="641" t="s">
        <v>192</v>
      </c>
      <c r="Q5817" s="1063"/>
      <c r="R5817" s="1063"/>
    </row>
    <row r="5818" spans="1:19" s="497" customFormat="1" ht="17.399999999999999">
      <c r="A5818" s="550"/>
      <c r="B5818" s="550"/>
      <c r="C5818" s="550"/>
      <c r="D5818" s="550"/>
      <c r="E5818" s="550"/>
      <c r="F5818" s="550"/>
      <c r="G5818" s="550"/>
      <c r="H5818" s="550"/>
      <c r="I5818" s="551"/>
      <c r="J5818" s="765"/>
      <c r="K5818" s="766"/>
      <c r="L5818" s="765"/>
      <c r="M5818" s="550"/>
      <c r="N5818" s="550"/>
      <c r="O5818" s="550"/>
      <c r="P5818" s="550"/>
      <c r="Q5818" s="1065"/>
      <c r="R5818" s="1065"/>
    </row>
    <row r="5819" spans="1:19" ht="17.399999999999999">
      <c r="A5819" s="547" t="s">
        <v>445</v>
      </c>
      <c r="B5819" s="547" t="s">
        <v>487</v>
      </c>
      <c r="C5819" s="547" t="s">
        <v>19</v>
      </c>
      <c r="D5819" s="547" t="s">
        <v>20</v>
      </c>
      <c r="E5819" s="547" t="s">
        <v>47</v>
      </c>
      <c r="F5819" s="550">
        <v>9</v>
      </c>
      <c r="G5819" s="550" t="s">
        <v>21</v>
      </c>
      <c r="H5819" s="599" t="s">
        <v>69</v>
      </c>
      <c r="I5819" s="551">
        <v>6.85</v>
      </c>
      <c r="J5819" s="765">
        <v>9.5</v>
      </c>
      <c r="K5819" s="766">
        <v>5</v>
      </c>
      <c r="L5819" s="552">
        <f t="shared" ref="L5819:L5826" si="1261">(I5819*J5819*K5819/1000)</f>
        <v>0.32537500000000003</v>
      </c>
      <c r="M5819" s="550"/>
      <c r="N5819" s="550"/>
      <c r="O5819" s="550"/>
      <c r="P5819" s="2086" t="s">
        <v>628</v>
      </c>
      <c r="Q5819" s="1073"/>
      <c r="R5819" s="1073"/>
      <c r="S5819" s="497" t="s">
        <v>665</v>
      </c>
    </row>
    <row r="5820" spans="1:19" ht="17.399999999999999">
      <c r="A5820" s="547"/>
      <c r="B5820" s="752" t="s">
        <v>439</v>
      </c>
      <c r="C5820" s="547"/>
      <c r="D5820" s="547"/>
      <c r="E5820" s="547"/>
      <c r="F5820" s="550"/>
      <c r="G5820" s="550" t="s">
        <v>21</v>
      </c>
      <c r="H5820" s="550" t="s">
        <v>69</v>
      </c>
      <c r="I5820" s="551">
        <v>6.85</v>
      </c>
      <c r="J5820" s="765">
        <v>10</v>
      </c>
      <c r="K5820" s="766">
        <v>6</v>
      </c>
      <c r="L5820" s="552">
        <f t="shared" si="1261"/>
        <v>0.41099999999999998</v>
      </c>
      <c r="M5820" s="550"/>
      <c r="N5820" s="550"/>
      <c r="O5820" s="550"/>
      <c r="P5820" s="2087"/>
      <c r="Q5820" s="1073"/>
      <c r="R5820" s="1073"/>
    </row>
    <row r="5821" spans="1:19" ht="17.399999999999999">
      <c r="A5821" s="550"/>
      <c r="B5821" s="550"/>
      <c r="C5821" s="550"/>
      <c r="D5821" s="550"/>
      <c r="E5821" s="550"/>
      <c r="F5821" s="550"/>
      <c r="G5821" s="550" t="s">
        <v>21</v>
      </c>
      <c r="H5821" s="550" t="s">
        <v>69</v>
      </c>
      <c r="I5821" s="551">
        <v>6.85</v>
      </c>
      <c r="J5821" s="765">
        <v>10.5</v>
      </c>
      <c r="K5821" s="766">
        <v>11</v>
      </c>
      <c r="L5821" s="552">
        <f t="shared" si="1261"/>
        <v>0.79117499999999996</v>
      </c>
      <c r="M5821" s="550"/>
      <c r="N5821" s="550"/>
      <c r="O5821" s="550"/>
      <c r="P5821" s="2087"/>
      <c r="Q5821" s="1073"/>
      <c r="R5821" s="1073"/>
    </row>
    <row r="5822" spans="1:19" ht="17.399999999999999">
      <c r="A5822" s="550"/>
      <c r="B5822" s="550"/>
      <c r="C5822" s="550"/>
      <c r="D5822" s="550"/>
      <c r="E5822" s="550"/>
      <c r="F5822" s="550"/>
      <c r="G5822" s="550" t="s">
        <v>21</v>
      </c>
      <c r="H5822" s="550" t="s">
        <v>69</v>
      </c>
      <c r="I5822" s="551">
        <v>6.85</v>
      </c>
      <c r="J5822" s="765">
        <v>10.8</v>
      </c>
      <c r="K5822" s="766">
        <v>84</v>
      </c>
      <c r="L5822" s="552">
        <f t="shared" si="1261"/>
        <v>6.2143200000000007</v>
      </c>
      <c r="M5822" s="550"/>
      <c r="N5822" s="550"/>
      <c r="O5822" s="550"/>
      <c r="P5822" s="2087"/>
      <c r="Q5822" s="1073"/>
      <c r="R5822" s="1073"/>
    </row>
    <row r="5823" spans="1:19" ht="17.399999999999999">
      <c r="A5823" s="550"/>
      <c r="B5823" s="550"/>
      <c r="C5823" s="550"/>
      <c r="D5823" s="550"/>
      <c r="E5823" s="550"/>
      <c r="F5823" s="550"/>
      <c r="G5823" s="550" t="s">
        <v>21</v>
      </c>
      <c r="H5823" s="550" t="s">
        <v>69</v>
      </c>
      <c r="I5823" s="551">
        <v>6.85</v>
      </c>
      <c r="J5823" s="765">
        <v>11</v>
      </c>
      <c r="K5823" s="766">
        <v>44</v>
      </c>
      <c r="L5823" s="552">
        <f t="shared" si="1261"/>
        <v>3.3153999999999995</v>
      </c>
      <c r="M5823" s="550"/>
      <c r="N5823" s="550"/>
      <c r="O5823" s="550"/>
      <c r="P5823" s="2087"/>
      <c r="Q5823" s="1073"/>
      <c r="R5823" s="1073"/>
    </row>
    <row r="5824" spans="1:19" ht="17.399999999999999">
      <c r="A5824" s="550"/>
      <c r="B5824" s="550"/>
      <c r="C5824" s="550"/>
      <c r="D5824" s="550"/>
      <c r="E5824" s="550"/>
      <c r="F5824" s="550"/>
      <c r="G5824" s="550" t="s">
        <v>21</v>
      </c>
      <c r="H5824" s="550" t="s">
        <v>69</v>
      </c>
      <c r="I5824" s="551">
        <v>6.85</v>
      </c>
      <c r="J5824" s="765">
        <v>11.5</v>
      </c>
      <c r="K5824" s="766">
        <v>13</v>
      </c>
      <c r="L5824" s="552">
        <f t="shared" si="1261"/>
        <v>1.0240749999999998</v>
      </c>
      <c r="M5824" s="550"/>
      <c r="N5824" s="550"/>
      <c r="O5824" s="550"/>
      <c r="P5824" s="2087"/>
      <c r="Q5824" s="1073"/>
      <c r="R5824" s="1073"/>
    </row>
    <row r="5825" spans="1:19" ht="17.399999999999999">
      <c r="A5825" s="550"/>
      <c r="B5825" s="550"/>
      <c r="C5825" s="550"/>
      <c r="D5825" s="550"/>
      <c r="E5825" s="550"/>
      <c r="F5825" s="550"/>
      <c r="G5825" s="550" t="s">
        <v>21</v>
      </c>
      <c r="H5825" s="550" t="s">
        <v>69</v>
      </c>
      <c r="I5825" s="551">
        <v>6.85</v>
      </c>
      <c r="J5825" s="765">
        <v>11.7</v>
      </c>
      <c r="K5825" s="766">
        <v>152</v>
      </c>
      <c r="L5825" s="552">
        <f t="shared" si="1261"/>
        <v>12.182039999999999</v>
      </c>
      <c r="M5825" s="550"/>
      <c r="N5825" s="550"/>
      <c r="O5825" s="550"/>
      <c r="P5825" s="2087"/>
      <c r="Q5825" s="1073"/>
      <c r="R5825" s="1073"/>
    </row>
    <row r="5826" spans="1:19" ht="17.399999999999999">
      <c r="A5826" s="550"/>
      <c r="B5826" s="550"/>
      <c r="C5826" s="550"/>
      <c r="D5826" s="550"/>
      <c r="E5826" s="550"/>
      <c r="F5826" s="550"/>
      <c r="G5826" s="550" t="s">
        <v>21</v>
      </c>
      <c r="H5826" s="550" t="s">
        <v>69</v>
      </c>
      <c r="I5826" s="551">
        <v>6.85</v>
      </c>
      <c r="J5826" s="765">
        <v>12</v>
      </c>
      <c r="K5826" s="766">
        <v>15</v>
      </c>
      <c r="L5826" s="552">
        <f t="shared" si="1261"/>
        <v>1.2329999999999999</v>
      </c>
      <c r="M5826" s="550"/>
      <c r="N5826" s="550"/>
      <c r="O5826" s="550"/>
      <c r="P5826" s="2087"/>
      <c r="Q5826" s="1073"/>
      <c r="R5826" s="1073"/>
    </row>
    <row r="5827" spans="1:19" ht="17.399999999999999">
      <c r="A5827" s="550"/>
      <c r="B5827" s="550"/>
      <c r="C5827" s="550"/>
      <c r="D5827" s="550"/>
      <c r="E5827" s="550"/>
      <c r="F5827" s="550"/>
      <c r="G5827" s="550"/>
      <c r="H5827" s="550"/>
      <c r="I5827" s="551"/>
      <c r="J5827" s="765"/>
      <c r="K5827" s="766">
        <f>SUM(K5819:K5826)</f>
        <v>330</v>
      </c>
      <c r="L5827" s="765">
        <f>SUM(L5819:L5826)</f>
        <v>25.496385</v>
      </c>
      <c r="M5827" s="550"/>
      <c r="N5827" s="550"/>
      <c r="O5827" s="550"/>
      <c r="P5827" s="2087"/>
      <c r="Q5827" s="1073"/>
      <c r="R5827" s="1073"/>
    </row>
    <row r="5828" spans="1:19" ht="17.399999999999999">
      <c r="A5828" s="550"/>
      <c r="B5828" s="550"/>
      <c r="C5828" s="550"/>
      <c r="D5828" s="550"/>
      <c r="E5828" s="550"/>
      <c r="F5828" s="550"/>
      <c r="G5828" s="550"/>
      <c r="H5828" s="550"/>
      <c r="I5828" s="1865"/>
      <c r="J5828" s="550"/>
      <c r="K5828" s="772"/>
      <c r="L5828" s="548"/>
      <c r="M5828" s="550"/>
      <c r="N5828" s="550"/>
      <c r="O5828" s="550"/>
      <c r="P5828" s="2087"/>
      <c r="Q5828" s="1073"/>
      <c r="R5828" s="1073"/>
    </row>
    <row r="5829" spans="1:19" ht="17.399999999999999">
      <c r="A5829" s="547" t="s">
        <v>445</v>
      </c>
      <c r="B5829" s="547" t="s">
        <v>488</v>
      </c>
      <c r="C5829" s="547" t="s">
        <v>19</v>
      </c>
      <c r="D5829" s="547" t="s">
        <v>20</v>
      </c>
      <c r="E5829" s="547" t="s">
        <v>47</v>
      </c>
      <c r="F5829" s="550">
        <v>9</v>
      </c>
      <c r="G5829" s="550" t="s">
        <v>21</v>
      </c>
      <c r="H5829" s="599" t="s">
        <v>69</v>
      </c>
      <c r="I5829" s="551">
        <v>6.85</v>
      </c>
      <c r="J5829" s="765">
        <v>9.5</v>
      </c>
      <c r="K5829" s="766">
        <v>52</v>
      </c>
      <c r="L5829" s="552">
        <f t="shared" ref="L5829:L5835" si="1262">(I5829*J5829*K5829/1000)</f>
        <v>3.3839000000000001</v>
      </c>
      <c r="M5829" s="550"/>
      <c r="N5829" s="550"/>
      <c r="O5829" s="550"/>
      <c r="P5829" s="2087"/>
      <c r="Q5829" s="1073"/>
      <c r="R5829" s="1073"/>
      <c r="S5829" s="497" t="s">
        <v>665</v>
      </c>
    </row>
    <row r="5830" spans="1:19" ht="17.399999999999999">
      <c r="A5830" s="547"/>
      <c r="B5830" s="752" t="s">
        <v>439</v>
      </c>
      <c r="C5830" s="547"/>
      <c r="D5830" s="547"/>
      <c r="E5830" s="547"/>
      <c r="F5830" s="550"/>
      <c r="G5830" s="550" t="s">
        <v>21</v>
      </c>
      <c r="H5830" s="550" t="s">
        <v>69</v>
      </c>
      <c r="I5830" s="551">
        <v>6.85</v>
      </c>
      <c r="J5830" s="765">
        <v>10</v>
      </c>
      <c r="K5830" s="766">
        <v>43</v>
      </c>
      <c r="L5830" s="552">
        <f t="shared" si="1262"/>
        <v>2.9455</v>
      </c>
      <c r="M5830" s="550"/>
      <c r="N5830" s="550"/>
      <c r="O5830" s="550"/>
      <c r="P5830" s="2087"/>
      <c r="Q5830" s="1073"/>
      <c r="R5830" s="1073"/>
    </row>
    <row r="5831" spans="1:19" ht="17.399999999999999">
      <c r="A5831" s="550"/>
      <c r="B5831" s="550"/>
      <c r="C5831" s="550"/>
      <c r="D5831" s="550"/>
      <c r="E5831" s="550"/>
      <c r="F5831" s="550"/>
      <c r="G5831" s="550" t="s">
        <v>21</v>
      </c>
      <c r="H5831" s="550" t="s">
        <v>69</v>
      </c>
      <c r="I5831" s="551">
        <v>6.85</v>
      </c>
      <c r="J5831" s="765">
        <v>10.5</v>
      </c>
      <c r="K5831" s="766">
        <v>60</v>
      </c>
      <c r="L5831" s="552">
        <f t="shared" si="1262"/>
        <v>4.3155000000000001</v>
      </c>
      <c r="M5831" s="550"/>
      <c r="N5831" s="550"/>
      <c r="O5831" s="550"/>
      <c r="P5831" s="2087"/>
      <c r="Q5831" s="1073"/>
      <c r="R5831" s="1073"/>
    </row>
    <row r="5832" spans="1:19" ht="17.399999999999999">
      <c r="A5832" s="550"/>
      <c r="B5832" s="550"/>
      <c r="C5832" s="550"/>
      <c r="D5832" s="550"/>
      <c r="E5832" s="550"/>
      <c r="F5832" s="550"/>
      <c r="G5832" s="550" t="s">
        <v>21</v>
      </c>
      <c r="H5832" s="550" t="s">
        <v>69</v>
      </c>
      <c r="I5832" s="551">
        <v>6.85</v>
      </c>
      <c r="J5832" s="765">
        <v>10.8</v>
      </c>
      <c r="K5832" s="766">
        <v>12</v>
      </c>
      <c r="L5832" s="552">
        <f t="shared" si="1262"/>
        <v>0.88775999999999999</v>
      </c>
      <c r="M5832" s="550"/>
      <c r="N5832" s="550"/>
      <c r="O5832" s="550"/>
      <c r="P5832" s="2087"/>
      <c r="Q5832" s="1073"/>
      <c r="R5832" s="1073"/>
    </row>
    <row r="5833" spans="1:19" ht="17.399999999999999">
      <c r="A5833" s="550"/>
      <c r="B5833" s="550"/>
      <c r="C5833" s="550"/>
      <c r="D5833" s="550"/>
      <c r="E5833" s="550"/>
      <c r="F5833" s="550"/>
      <c r="G5833" s="550" t="s">
        <v>21</v>
      </c>
      <c r="H5833" s="550" t="s">
        <v>69</v>
      </c>
      <c r="I5833" s="551">
        <v>6.85</v>
      </c>
      <c r="J5833" s="765">
        <v>11</v>
      </c>
      <c r="K5833" s="766">
        <v>33</v>
      </c>
      <c r="L5833" s="552">
        <f t="shared" si="1262"/>
        <v>2.4865499999999998</v>
      </c>
      <c r="M5833" s="550"/>
      <c r="N5833" s="550"/>
      <c r="O5833" s="550"/>
      <c r="P5833" s="2087"/>
      <c r="Q5833" s="1073"/>
      <c r="R5833" s="1073"/>
    </row>
    <row r="5834" spans="1:19" ht="17.399999999999999">
      <c r="A5834" s="550"/>
      <c r="B5834" s="550"/>
      <c r="C5834" s="550"/>
      <c r="D5834" s="550"/>
      <c r="E5834" s="550"/>
      <c r="F5834" s="550"/>
      <c r="G5834" s="550" t="s">
        <v>21</v>
      </c>
      <c r="H5834" s="550" t="s">
        <v>69</v>
      </c>
      <c r="I5834" s="551">
        <v>6.85</v>
      </c>
      <c r="J5834" s="765">
        <v>11.5</v>
      </c>
      <c r="K5834" s="766">
        <v>100</v>
      </c>
      <c r="L5834" s="552">
        <f t="shared" si="1262"/>
        <v>7.8774999999999995</v>
      </c>
      <c r="M5834" s="550"/>
      <c r="N5834" s="550"/>
      <c r="O5834" s="550"/>
      <c r="P5834" s="2087"/>
      <c r="Q5834" s="1073"/>
      <c r="R5834" s="1073"/>
    </row>
    <row r="5835" spans="1:19" ht="17.399999999999999">
      <c r="A5835" s="550"/>
      <c r="B5835" s="550"/>
      <c r="C5835" s="550"/>
      <c r="D5835" s="550"/>
      <c r="E5835" s="550"/>
      <c r="F5835" s="550"/>
      <c r="G5835" s="550" t="s">
        <v>21</v>
      </c>
      <c r="H5835" s="550" t="s">
        <v>69</v>
      </c>
      <c r="I5835" s="551">
        <v>6.85</v>
      </c>
      <c r="J5835" s="765">
        <v>12</v>
      </c>
      <c r="K5835" s="766">
        <v>19</v>
      </c>
      <c r="L5835" s="552">
        <f t="shared" si="1262"/>
        <v>1.5617999999999996</v>
      </c>
      <c r="M5835" s="550"/>
      <c r="N5835" s="550"/>
      <c r="O5835" s="550"/>
      <c r="P5835" s="2087"/>
      <c r="Q5835" s="1073"/>
      <c r="R5835" s="1073"/>
    </row>
    <row r="5836" spans="1:19" ht="17.399999999999999">
      <c r="A5836" s="550"/>
      <c r="B5836" s="550"/>
      <c r="C5836" s="550"/>
      <c r="D5836" s="550"/>
      <c r="E5836" s="550"/>
      <c r="F5836" s="550"/>
      <c r="G5836" s="550"/>
      <c r="H5836" s="550"/>
      <c r="I5836" s="551"/>
      <c r="J5836" s="765"/>
      <c r="K5836" s="766">
        <f>SUM(K5829:K5835)</f>
        <v>319</v>
      </c>
      <c r="L5836" s="765">
        <f>SUM(L5829:L5835)</f>
        <v>23.458509999999997</v>
      </c>
      <c r="M5836" s="550"/>
      <c r="N5836" s="550"/>
      <c r="O5836" s="550"/>
      <c r="P5836" s="2087"/>
      <c r="Q5836" s="1073"/>
      <c r="R5836" s="1073"/>
    </row>
    <row r="5837" spans="1:19" s="497" customFormat="1" ht="17.399999999999999">
      <c r="A5837" s="550"/>
      <c r="B5837" s="550"/>
      <c r="C5837" s="550"/>
      <c r="D5837" s="550"/>
      <c r="E5837" s="550"/>
      <c r="F5837" s="550"/>
      <c r="G5837" s="550"/>
      <c r="H5837" s="550"/>
      <c r="I5837" s="551"/>
      <c r="J5837" s="765"/>
      <c r="K5837" s="766"/>
      <c r="L5837" s="765"/>
      <c r="M5837" s="550"/>
      <c r="N5837" s="550"/>
      <c r="O5837" s="550"/>
      <c r="P5837" s="2087"/>
      <c r="Q5837" s="1073"/>
      <c r="R5837" s="1073"/>
    </row>
    <row r="5838" spans="1:19" ht="17.399999999999999">
      <c r="A5838" s="547" t="s">
        <v>523</v>
      </c>
      <c r="B5838" s="547" t="s">
        <v>525</v>
      </c>
      <c r="C5838" s="547" t="s">
        <v>19</v>
      </c>
      <c r="D5838" s="547" t="s">
        <v>20</v>
      </c>
      <c r="E5838" s="547" t="s">
        <v>47</v>
      </c>
      <c r="F5838" s="550">
        <v>9</v>
      </c>
      <c r="G5838" s="550" t="s">
        <v>21</v>
      </c>
      <c r="H5838" s="599" t="s">
        <v>69</v>
      </c>
      <c r="I5838" s="551">
        <v>6.85</v>
      </c>
      <c r="J5838" s="765">
        <v>12</v>
      </c>
      <c r="K5838" s="766">
        <v>17</v>
      </c>
      <c r="L5838" s="552">
        <f>(I5838*J5838*K5838/1000)</f>
        <v>1.3973999999999998</v>
      </c>
      <c r="M5838" s="766">
        <v>15</v>
      </c>
      <c r="N5838" s="765">
        <f>J5838*M5838*I5838/1000</f>
        <v>1.2330000000000001</v>
      </c>
      <c r="O5838" s="550"/>
      <c r="P5838" s="2087"/>
      <c r="Q5838" s="1073"/>
      <c r="R5838" s="1073"/>
      <c r="S5838" s="497" t="s">
        <v>665</v>
      </c>
    </row>
    <row r="5839" spans="1:19" ht="17.399999999999999">
      <c r="A5839" s="547"/>
      <c r="B5839" s="752" t="s">
        <v>439</v>
      </c>
      <c r="C5839" s="547"/>
      <c r="D5839" s="547"/>
      <c r="E5839" s="547"/>
      <c r="F5839" s="550"/>
      <c r="G5839" s="550"/>
      <c r="H5839" s="550"/>
      <c r="I5839" s="551"/>
      <c r="J5839" s="765"/>
      <c r="K5839" s="766">
        <f t="shared" ref="K5839:M5839" si="1263">SUM(K5838)</f>
        <v>17</v>
      </c>
      <c r="L5839" s="765">
        <f>SUM(L5838)</f>
        <v>1.3973999999999998</v>
      </c>
      <c r="M5839" s="766">
        <f t="shared" si="1263"/>
        <v>15</v>
      </c>
      <c r="N5839" s="765">
        <f>SUM(N5838)</f>
        <v>1.2330000000000001</v>
      </c>
      <c r="O5839" s="550"/>
      <c r="P5839" s="2087"/>
      <c r="Q5839" s="1073"/>
      <c r="R5839" s="1073"/>
    </row>
    <row r="5840" spans="1:19" s="497" customFormat="1" ht="17.399999999999999">
      <c r="A5840" s="547"/>
      <c r="B5840" s="752"/>
      <c r="C5840" s="547"/>
      <c r="D5840" s="547"/>
      <c r="E5840" s="547"/>
      <c r="F5840" s="550"/>
      <c r="G5840" s="550"/>
      <c r="H5840" s="550"/>
      <c r="I5840" s="551"/>
      <c r="J5840" s="765"/>
      <c r="K5840" s="766"/>
      <c r="L5840" s="765"/>
      <c r="M5840" s="550"/>
      <c r="N5840" s="550"/>
      <c r="O5840" s="550"/>
      <c r="P5840" s="2087"/>
      <c r="Q5840" s="1073"/>
      <c r="R5840" s="1073"/>
    </row>
    <row r="5841" spans="1:19" s="497" customFormat="1" ht="17.399999999999999">
      <c r="A5841" s="547" t="s">
        <v>445</v>
      </c>
      <c r="B5841" s="547" t="s">
        <v>591</v>
      </c>
      <c r="C5841" s="547" t="s">
        <v>19</v>
      </c>
      <c r="D5841" s="547" t="s">
        <v>20</v>
      </c>
      <c r="E5841" s="547" t="s">
        <v>47</v>
      </c>
      <c r="F5841" s="550">
        <v>9</v>
      </c>
      <c r="G5841" s="550" t="s">
        <v>21</v>
      </c>
      <c r="H5841" s="599" t="s">
        <v>69</v>
      </c>
      <c r="I5841" s="551">
        <v>6.85</v>
      </c>
      <c r="J5841" s="765">
        <v>10</v>
      </c>
      <c r="K5841" s="766">
        <v>1</v>
      </c>
      <c r="L5841" s="552">
        <f>(I5841*J5841*K5841/1000)</f>
        <v>6.8500000000000005E-2</v>
      </c>
      <c r="M5841" s="550"/>
      <c r="N5841" s="550"/>
      <c r="O5841" s="550"/>
      <c r="P5841" s="2087"/>
      <c r="Q5841" s="1073"/>
      <c r="R5841" s="1073"/>
      <c r="S5841" s="497" t="s">
        <v>665</v>
      </c>
    </row>
    <row r="5842" spans="1:19" s="497" customFormat="1" ht="17.399999999999999">
      <c r="A5842" s="547"/>
      <c r="B5842" s="792" t="s">
        <v>238</v>
      </c>
      <c r="C5842" s="547"/>
      <c r="D5842" s="547"/>
      <c r="E5842" s="547"/>
      <c r="F5842" s="550"/>
      <c r="G5842" s="550"/>
      <c r="H5842" s="550"/>
      <c r="I5842" s="551"/>
      <c r="J5842" s="765"/>
      <c r="K5842" s="766">
        <f t="shared" ref="K5842" si="1264">SUM(K5841)</f>
        <v>1</v>
      </c>
      <c r="L5842" s="765">
        <f>SUM(L5841)</f>
        <v>6.8500000000000005E-2</v>
      </c>
      <c r="M5842" s="550"/>
      <c r="N5842" s="550"/>
      <c r="O5842" s="550"/>
      <c r="P5842" s="2088"/>
      <c r="Q5842" s="1073"/>
      <c r="R5842" s="1073"/>
    </row>
    <row r="5843" spans="1:19" s="497" customFormat="1" ht="17.399999999999999">
      <c r="A5843" s="547"/>
      <c r="B5843" s="792"/>
      <c r="C5843" s="547"/>
      <c r="D5843" s="547"/>
      <c r="E5843" s="547"/>
      <c r="F5843" s="550"/>
      <c r="G5843" s="550"/>
      <c r="H5843" s="550"/>
      <c r="I5843" s="551"/>
      <c r="J5843" s="765"/>
      <c r="K5843" s="766"/>
      <c r="L5843" s="765"/>
      <c r="M5843" s="550"/>
      <c r="N5843" s="550"/>
      <c r="O5843" s="550"/>
      <c r="P5843" s="550"/>
      <c r="Q5843" s="1065"/>
      <c r="R5843" s="1065"/>
    </row>
    <row r="5844" spans="1:19" ht="17.399999999999999">
      <c r="A5844" s="547" t="s">
        <v>445</v>
      </c>
      <c r="B5844" s="547" t="s">
        <v>512</v>
      </c>
      <c r="C5844" s="547" t="s">
        <v>19</v>
      </c>
      <c r="D5844" s="547" t="s">
        <v>20</v>
      </c>
      <c r="E5844" s="547" t="s">
        <v>57</v>
      </c>
      <c r="F5844" s="550">
        <v>9</v>
      </c>
      <c r="G5844" s="550" t="s">
        <v>21</v>
      </c>
      <c r="H5844" s="599" t="s">
        <v>69</v>
      </c>
      <c r="I5844" s="551">
        <v>6.85</v>
      </c>
      <c r="J5844" s="765">
        <v>9.6999999999999993</v>
      </c>
      <c r="K5844" s="766">
        <v>152</v>
      </c>
      <c r="L5844" s="552">
        <f t="shared" ref="L5844:L5847" si="1265">(I5844*J5844*K5844/1000)</f>
        <v>10.099639999999999</v>
      </c>
      <c r="M5844" s="550"/>
      <c r="N5844" s="550"/>
      <c r="O5844" s="550"/>
      <c r="P5844" s="2089" t="s">
        <v>629</v>
      </c>
      <c r="Q5844" s="1073"/>
      <c r="R5844" s="1073"/>
      <c r="S5844" s="497" t="s">
        <v>665</v>
      </c>
    </row>
    <row r="5845" spans="1:19" ht="17.399999999999999">
      <c r="A5845" s="547"/>
      <c r="B5845" s="949" t="s">
        <v>423</v>
      </c>
      <c r="C5845" s="547"/>
      <c r="D5845" s="547"/>
      <c r="E5845" s="547"/>
      <c r="F5845" s="550"/>
      <c r="G5845" s="550" t="s">
        <v>21</v>
      </c>
      <c r="H5845" s="550" t="s">
        <v>69</v>
      </c>
      <c r="I5845" s="551">
        <v>6.85</v>
      </c>
      <c r="J5845" s="765">
        <v>10.5</v>
      </c>
      <c r="K5845" s="766">
        <v>49</v>
      </c>
      <c r="L5845" s="552">
        <f t="shared" si="1265"/>
        <v>3.5243249999999997</v>
      </c>
      <c r="M5845" s="550"/>
      <c r="N5845" s="550"/>
      <c r="O5845" s="550"/>
      <c r="P5845" s="2089"/>
      <c r="Q5845" s="1073"/>
      <c r="R5845" s="1073"/>
    </row>
    <row r="5846" spans="1:19" ht="17.399999999999999">
      <c r="A5846" s="550"/>
      <c r="B5846" s="550"/>
      <c r="C5846" s="550"/>
      <c r="D5846" s="550"/>
      <c r="E5846" s="550"/>
      <c r="F5846" s="550"/>
      <c r="G5846" s="550" t="s">
        <v>21</v>
      </c>
      <c r="H5846" s="550" t="s">
        <v>69</v>
      </c>
      <c r="I5846" s="551">
        <v>6.85</v>
      </c>
      <c r="J5846" s="765">
        <v>11.3</v>
      </c>
      <c r="K5846" s="766">
        <v>51</v>
      </c>
      <c r="L5846" s="552">
        <f t="shared" si="1265"/>
        <v>3.9476550000000001</v>
      </c>
      <c r="M5846" s="550"/>
      <c r="N5846" s="550"/>
      <c r="O5846" s="550"/>
      <c r="P5846" s="2089"/>
      <c r="Q5846" s="1073"/>
      <c r="R5846" s="1073"/>
    </row>
    <row r="5847" spans="1:19" ht="17.399999999999999">
      <c r="A5847" s="550"/>
      <c r="B5847" s="550"/>
      <c r="C5847" s="550"/>
      <c r="D5847" s="550"/>
      <c r="E5847" s="550"/>
      <c r="F5847" s="550"/>
      <c r="G5847" s="550" t="s">
        <v>21</v>
      </c>
      <c r="H5847" s="550" t="s">
        <v>69</v>
      </c>
      <c r="I5847" s="551">
        <v>6.85</v>
      </c>
      <c r="J5847" s="765">
        <v>12</v>
      </c>
      <c r="K5847" s="766">
        <v>35</v>
      </c>
      <c r="L5847" s="552">
        <f t="shared" si="1265"/>
        <v>2.8769999999999993</v>
      </c>
      <c r="M5847" s="550"/>
      <c r="N5847" s="550"/>
      <c r="O5847" s="550"/>
      <c r="P5847" s="2089"/>
      <c r="Q5847" s="1073"/>
      <c r="R5847" s="1073"/>
    </row>
    <row r="5848" spans="1:19" ht="17.399999999999999">
      <c r="A5848" s="550"/>
      <c r="B5848" s="550"/>
      <c r="C5848" s="550"/>
      <c r="D5848" s="550"/>
      <c r="E5848" s="550"/>
      <c r="F5848" s="550"/>
      <c r="G5848" s="550"/>
      <c r="H5848" s="550"/>
      <c r="I5848" s="802"/>
      <c r="J5848" s="765"/>
      <c r="K5848" s="766">
        <f t="shared" ref="K5848" si="1266">SUM(K5844:K5847)</f>
        <v>287</v>
      </c>
      <c r="L5848" s="764">
        <f>SUM(L5844:L5847)</f>
        <v>20.448619999999998</v>
      </c>
      <c r="M5848" s="550"/>
      <c r="N5848" s="550"/>
      <c r="O5848" s="550"/>
      <c r="P5848" s="550"/>
      <c r="Q5848" s="1065"/>
      <c r="R5848" s="1065"/>
    </row>
    <row r="5849" spans="1:19" ht="17.399999999999999">
      <c r="A5849" s="550"/>
      <c r="B5849" s="550"/>
      <c r="C5849" s="550"/>
      <c r="D5849" s="550"/>
      <c r="E5849" s="550"/>
      <c r="F5849" s="550"/>
      <c r="G5849" s="550"/>
      <c r="H5849" s="550"/>
      <c r="I5849" s="1865"/>
      <c r="J5849" s="550"/>
      <c r="K5849" s="772"/>
      <c r="L5849" s="548"/>
      <c r="M5849" s="550"/>
      <c r="N5849" s="550"/>
      <c r="O5849" s="550"/>
      <c r="P5849" s="550"/>
      <c r="Q5849" s="1065"/>
      <c r="R5849" s="1065"/>
    </row>
    <row r="5850" spans="1:19" s="497" customFormat="1" ht="17.399999999999999">
      <c r="A5850" s="547" t="s">
        <v>523</v>
      </c>
      <c r="B5850" s="547" t="s">
        <v>593</v>
      </c>
      <c r="C5850" s="547" t="s">
        <v>19</v>
      </c>
      <c r="D5850" s="547" t="s">
        <v>20</v>
      </c>
      <c r="E5850" s="547" t="s">
        <v>359</v>
      </c>
      <c r="F5850" s="550">
        <v>9</v>
      </c>
      <c r="G5850" s="550" t="s">
        <v>21</v>
      </c>
      <c r="H5850" s="599" t="s">
        <v>69</v>
      </c>
      <c r="I5850" s="551">
        <v>6.86</v>
      </c>
      <c r="J5850" s="765">
        <v>12</v>
      </c>
      <c r="K5850" s="766">
        <v>6</v>
      </c>
      <c r="L5850" s="552">
        <f>(I5850*J5850*K5850/1000)</f>
        <v>0.49392000000000008</v>
      </c>
      <c r="M5850" s="550"/>
      <c r="N5850" s="550"/>
      <c r="O5850" s="550"/>
      <c r="P5850" s="550" t="s">
        <v>630</v>
      </c>
      <c r="Q5850" s="1065"/>
      <c r="R5850" s="1065"/>
      <c r="S5850" s="497" t="s">
        <v>665</v>
      </c>
    </row>
    <row r="5851" spans="1:19" s="497" customFormat="1" ht="17.399999999999999">
      <c r="A5851" s="547"/>
      <c r="B5851" s="752" t="s">
        <v>277</v>
      </c>
      <c r="C5851" s="547"/>
      <c r="D5851" s="547"/>
      <c r="E5851" s="547"/>
      <c r="F5851" s="550"/>
      <c r="G5851" s="550"/>
      <c r="H5851" s="550"/>
      <c r="I5851" s="551"/>
      <c r="J5851" s="765"/>
      <c r="K5851" s="766">
        <f t="shared" ref="K5851" si="1267">SUM(K5850)</f>
        <v>6</v>
      </c>
      <c r="L5851" s="765">
        <f>SUM(L5850)</f>
        <v>0.49392000000000008</v>
      </c>
      <c r="M5851" s="550"/>
      <c r="N5851" s="550"/>
      <c r="O5851" s="550"/>
      <c r="P5851" s="550"/>
      <c r="Q5851" s="1065"/>
      <c r="R5851" s="1065"/>
    </row>
    <row r="5852" spans="1:19" s="497" customFormat="1" ht="17.399999999999999">
      <c r="A5852" s="547"/>
      <c r="B5852" s="752"/>
      <c r="C5852" s="547"/>
      <c r="D5852" s="547"/>
      <c r="E5852" s="547"/>
      <c r="F5852" s="550"/>
      <c r="G5852" s="550"/>
      <c r="H5852" s="550"/>
      <c r="I5852" s="551"/>
      <c r="J5852" s="765"/>
      <c r="K5852" s="766">
        <f>SUM(K5819:K5851)/2</f>
        <v>960</v>
      </c>
      <c r="L5852" s="765">
        <f>SUM(L5819:L5851)/2</f>
        <v>71.363334999999992</v>
      </c>
      <c r="M5852" s="766">
        <f>SUM(M5819:M5851)/2</f>
        <v>15</v>
      </c>
      <c r="N5852" s="765">
        <f>SUM(N5819:N5851)/2</f>
        <v>1.2330000000000001</v>
      </c>
      <c r="O5852" s="550"/>
      <c r="P5852" s="550"/>
      <c r="Q5852" s="1065"/>
      <c r="R5852" s="1065"/>
    </row>
    <row r="5853" spans="1:19" s="497" customFormat="1" ht="17.399999999999999">
      <c r="A5853" s="547"/>
      <c r="B5853" s="752"/>
      <c r="C5853" s="547"/>
      <c r="D5853" s="547"/>
      <c r="E5853" s="547"/>
      <c r="F5853" s="550"/>
      <c r="G5853" s="550"/>
      <c r="H5853" s="550"/>
      <c r="I5853" s="551"/>
      <c r="J5853" s="765"/>
      <c r="K5853" s="766"/>
      <c r="L5853" s="765" t="s">
        <v>575</v>
      </c>
      <c r="M5853" s="550"/>
      <c r="N5853" s="550"/>
      <c r="O5853" s="550"/>
      <c r="P5853" s="550"/>
      <c r="Q5853" s="1065"/>
      <c r="R5853" s="1065"/>
    </row>
    <row r="5854" spans="1:19" s="497" customFormat="1" ht="17.399999999999999">
      <c r="A5854" s="550"/>
      <c r="B5854" s="550"/>
      <c r="C5854" s="550"/>
      <c r="D5854" s="550"/>
      <c r="E5854" s="548"/>
      <c r="F5854" s="550"/>
      <c r="G5854" s="550"/>
      <c r="H5854" s="550"/>
      <c r="I5854" s="551"/>
      <c r="J5854" s="765"/>
      <c r="K5854" s="766"/>
      <c r="L5854" s="765"/>
      <c r="M5854" s="550"/>
      <c r="N5854" s="550"/>
      <c r="O5854" s="550"/>
      <c r="P5854" s="550"/>
      <c r="Q5854" s="1065"/>
      <c r="R5854" s="1065"/>
    </row>
    <row r="5855" spans="1:19" s="497" customFormat="1" ht="17.399999999999999">
      <c r="A5855" s="547" t="s">
        <v>445</v>
      </c>
      <c r="B5855" s="547" t="s">
        <v>490</v>
      </c>
      <c r="C5855" s="547" t="s">
        <v>19</v>
      </c>
      <c r="D5855" s="547" t="s">
        <v>20</v>
      </c>
      <c r="E5855" s="780" t="s">
        <v>420</v>
      </c>
      <c r="F5855" s="754">
        <v>9</v>
      </c>
      <c r="G5855" s="550" t="s">
        <v>21</v>
      </c>
      <c r="H5855" s="599" t="s">
        <v>69</v>
      </c>
      <c r="I5855" s="551">
        <v>6.85</v>
      </c>
      <c r="J5855" s="765">
        <v>10</v>
      </c>
      <c r="K5855" s="766">
        <v>84</v>
      </c>
      <c r="L5855" s="552">
        <f>(I5855*J5855*K5855/1000)</f>
        <v>5.7539999999999996</v>
      </c>
      <c r="M5855" s="550"/>
      <c r="N5855" s="550"/>
      <c r="O5855" s="550"/>
      <c r="P5855" s="2089" t="s">
        <v>631</v>
      </c>
      <c r="Q5855" s="1073"/>
      <c r="R5855" s="1073"/>
      <c r="S5855" s="497" t="s">
        <v>665</v>
      </c>
    </row>
    <row r="5856" spans="1:19" s="497" customFormat="1" ht="17.399999999999999">
      <c r="A5856" s="547"/>
      <c r="B5856" s="548" t="s">
        <v>52</v>
      </c>
      <c r="C5856" s="547"/>
      <c r="D5856" s="547"/>
      <c r="E5856" s="780"/>
      <c r="F5856" s="754"/>
      <c r="G5856" s="550" t="s">
        <v>21</v>
      </c>
      <c r="H5856" s="550" t="s">
        <v>69</v>
      </c>
      <c r="I5856" s="551">
        <v>6.85</v>
      </c>
      <c r="J5856" s="765">
        <v>12</v>
      </c>
      <c r="K5856" s="766">
        <v>42</v>
      </c>
      <c r="L5856" s="552">
        <f>(I5856*J5856*K5856/1000)</f>
        <v>3.4523999999999995</v>
      </c>
      <c r="M5856" s="550"/>
      <c r="N5856" s="550"/>
      <c r="O5856" s="550"/>
      <c r="P5856" s="2089"/>
      <c r="Q5856" s="1073"/>
      <c r="R5856" s="1073"/>
    </row>
    <row r="5857" spans="1:22" s="497" customFormat="1" ht="17.399999999999999">
      <c r="A5857" s="550"/>
      <c r="B5857" s="550"/>
      <c r="C5857" s="550"/>
      <c r="D5857" s="550"/>
      <c r="E5857" s="548"/>
      <c r="F5857" s="550"/>
      <c r="G5857" s="550"/>
      <c r="H5857" s="550"/>
      <c r="I5857" s="551"/>
      <c r="J5857" s="765"/>
      <c r="K5857" s="766">
        <f>SUM(K5855:K5856)</f>
        <v>126</v>
      </c>
      <c r="L5857" s="765">
        <f>SUM(L5855:L5856)</f>
        <v>9.2063999999999986</v>
      </c>
      <c r="M5857" s="550"/>
      <c r="N5857" s="550"/>
      <c r="O5857" s="550"/>
      <c r="P5857" s="550"/>
      <c r="Q5857" s="1065"/>
      <c r="R5857" s="1065"/>
    </row>
    <row r="5858" spans="1:22" s="497" customFormat="1" ht="17.399999999999999">
      <c r="A5858" s="550"/>
      <c r="B5858" s="550"/>
      <c r="C5858" s="550"/>
      <c r="D5858" s="550"/>
      <c r="E5858" s="548"/>
      <c r="F5858" s="550"/>
      <c r="G5858" s="550"/>
      <c r="H5858" s="550"/>
      <c r="I5858" s="551"/>
      <c r="J5858" s="765"/>
      <c r="K5858" s="766"/>
      <c r="L5858" s="765"/>
      <c r="M5858" s="550"/>
      <c r="N5858" s="550"/>
      <c r="O5858" s="550"/>
      <c r="P5858" s="550"/>
      <c r="Q5858" s="1065"/>
      <c r="R5858" s="1065"/>
    </row>
    <row r="5859" spans="1:22" s="497" customFormat="1" ht="17.399999999999999">
      <c r="A5859" s="550"/>
      <c r="B5859" s="550"/>
      <c r="C5859" s="550"/>
      <c r="D5859" s="550"/>
      <c r="E5859" s="548"/>
      <c r="F5859" s="550"/>
      <c r="G5859" s="550"/>
      <c r="H5859" s="550"/>
      <c r="I5859" s="551"/>
      <c r="J5859" s="765"/>
      <c r="K5859" s="766"/>
      <c r="L5859" s="765"/>
      <c r="M5859" s="550"/>
      <c r="N5859" s="550"/>
      <c r="O5859" s="550"/>
      <c r="P5859" s="550"/>
      <c r="Q5859" s="1065"/>
      <c r="R5859" s="1065"/>
    </row>
    <row r="5860" spans="1:22" s="497" customFormat="1" ht="17.399999999999999">
      <c r="A5860" s="547"/>
      <c r="B5860" s="752"/>
      <c r="C5860" s="547"/>
      <c r="D5860" s="547"/>
      <c r="E5860" s="547"/>
      <c r="F5860" s="550"/>
      <c r="G5860" s="550"/>
      <c r="H5860" s="550"/>
      <c r="I5860" s="551"/>
      <c r="J5860" s="765"/>
      <c r="K5860" s="766"/>
      <c r="L5860" s="765"/>
      <c r="M5860" s="766"/>
      <c r="N5860" s="765"/>
      <c r="O5860" s="550"/>
      <c r="P5860" s="550"/>
      <c r="Q5860" s="1065"/>
      <c r="R5860" s="1065"/>
    </row>
    <row r="5861" spans="1:22" s="497" customFormat="1" ht="17.399999999999999">
      <c r="A5861" s="547" t="s">
        <v>445</v>
      </c>
      <c r="B5861" s="547" t="s">
        <v>620</v>
      </c>
      <c r="C5861" s="547" t="s">
        <v>19</v>
      </c>
      <c r="D5861" s="547" t="s">
        <v>20</v>
      </c>
      <c r="E5861" s="780" t="s">
        <v>47</v>
      </c>
      <c r="F5861" s="754">
        <v>9</v>
      </c>
      <c r="G5861" s="550" t="s">
        <v>21</v>
      </c>
      <c r="H5861" s="599" t="s">
        <v>69</v>
      </c>
      <c r="I5861" s="551">
        <v>6.85</v>
      </c>
      <c r="J5861" s="647">
        <v>12</v>
      </c>
      <c r="K5861" s="648">
        <v>332</v>
      </c>
      <c r="L5861" s="552">
        <f>(I5861*J5861*K5861/1000)</f>
        <v>27.290399999999998</v>
      </c>
      <c r="M5861" s="550"/>
      <c r="N5861" s="550"/>
      <c r="O5861" s="550"/>
      <c r="P5861" s="2089" t="s">
        <v>641</v>
      </c>
      <c r="Q5861" s="1073">
        <f>29+8+35+35+35+35+35+21+38+38+38+41</f>
        <v>388</v>
      </c>
      <c r="R5861" s="1148">
        <f>J5861*Q5861*I5861/1000</f>
        <v>31.893599999999999</v>
      </c>
      <c r="S5861" s="497" t="s">
        <v>665</v>
      </c>
      <c r="V5861" s="168">
        <f>Q5861-K5861</f>
        <v>56</v>
      </c>
    </row>
    <row r="5862" spans="1:22" s="497" customFormat="1" ht="17.399999999999999">
      <c r="A5862" s="547"/>
      <c r="B5862" s="754" t="s">
        <v>621</v>
      </c>
      <c r="C5862" s="547"/>
      <c r="D5862" s="547"/>
      <c r="E5862" s="780"/>
      <c r="F5862" s="754"/>
      <c r="G5862" s="550" t="s">
        <v>21</v>
      </c>
      <c r="H5862" s="550" t="s">
        <v>69</v>
      </c>
      <c r="I5862" s="551">
        <v>6.85</v>
      </c>
      <c r="J5862" s="647">
        <v>11.5</v>
      </c>
      <c r="K5862" s="648">
        <v>561</v>
      </c>
      <c r="L5862" s="552">
        <f>(I5862*J5862*K5862/1000)</f>
        <v>44.192774999999997</v>
      </c>
      <c r="M5862" s="550"/>
      <c r="N5862" s="550"/>
      <c r="O5862" s="550"/>
      <c r="P5862" s="2089"/>
      <c r="Q5862" s="1073">
        <f>34+39+39+39+44+32+1+39+39+39+39+39+32+2+18+37</f>
        <v>512</v>
      </c>
      <c r="R5862" s="1148">
        <f t="shared" ref="R5862:R5864" si="1268">J5862*Q5862*I5862/1000</f>
        <v>40.332799999999999</v>
      </c>
      <c r="V5862" s="168">
        <f t="shared" ref="V5862:V5864" si="1269">Q5862-K5862</f>
        <v>-49</v>
      </c>
    </row>
    <row r="5863" spans="1:22" s="497" customFormat="1" ht="17.399999999999999">
      <c r="A5863" s="550"/>
      <c r="B5863" s="550"/>
      <c r="C5863" s="550"/>
      <c r="D5863" s="550"/>
      <c r="E5863" s="548"/>
      <c r="F5863" s="550"/>
      <c r="G5863" s="550" t="s">
        <v>21</v>
      </c>
      <c r="H5863" s="550" t="s">
        <v>69</v>
      </c>
      <c r="I5863" s="551">
        <v>6.85</v>
      </c>
      <c r="J5863" s="647">
        <v>11</v>
      </c>
      <c r="K5863" s="648">
        <v>23</v>
      </c>
      <c r="L5863" s="552">
        <f>(I5863*J5863*K5863/1000)</f>
        <v>1.73305</v>
      </c>
      <c r="M5863" s="550"/>
      <c r="N5863" s="550"/>
      <c r="O5863" s="550"/>
      <c r="P5863" s="2089"/>
      <c r="Q5863" s="1073">
        <f>22+20+2</f>
        <v>44</v>
      </c>
      <c r="R5863" s="1148">
        <f t="shared" si="1268"/>
        <v>3.3153999999999995</v>
      </c>
      <c r="V5863" s="168">
        <f t="shared" si="1269"/>
        <v>21</v>
      </c>
    </row>
    <row r="5864" spans="1:22" s="497" customFormat="1" ht="17.399999999999999">
      <c r="A5864" s="550"/>
      <c r="B5864" s="550"/>
      <c r="C5864" s="550"/>
      <c r="D5864" s="550"/>
      <c r="E5864" s="548"/>
      <c r="F5864" s="550"/>
      <c r="G5864" s="550" t="s">
        <v>21</v>
      </c>
      <c r="H5864" s="550" t="s">
        <v>69</v>
      </c>
      <c r="I5864" s="551">
        <v>6.85</v>
      </c>
      <c r="J5864" s="647">
        <v>10</v>
      </c>
      <c r="K5864" s="648">
        <v>122</v>
      </c>
      <c r="L5864" s="552">
        <f>(I5864*J5864*K5864/1000)</f>
        <v>8.3569999999999993</v>
      </c>
      <c r="M5864" s="550"/>
      <c r="N5864" s="550"/>
      <c r="O5864" s="550"/>
      <c r="P5864" s="2089"/>
      <c r="Q5864" s="1073">
        <f>17+7+12+32+34</f>
        <v>102</v>
      </c>
      <c r="R5864" s="1148">
        <f t="shared" si="1268"/>
        <v>6.9870000000000001</v>
      </c>
      <c r="V5864" s="168">
        <f t="shared" si="1269"/>
        <v>-20</v>
      </c>
    </row>
    <row r="5865" spans="1:22" s="497" customFormat="1" ht="17.399999999999999">
      <c r="A5865" s="550"/>
      <c r="B5865" s="550"/>
      <c r="C5865" s="550"/>
      <c r="D5865" s="550"/>
      <c r="E5865" s="548"/>
      <c r="F5865" s="550"/>
      <c r="G5865" s="550"/>
      <c r="H5865" s="550"/>
      <c r="I5865" s="551"/>
      <c r="J5865" s="765"/>
      <c r="K5865" s="766">
        <f>SUM(K5861:K5864)</f>
        <v>1038</v>
      </c>
      <c r="L5865" s="765">
        <f>SUM(L5861:L5864)</f>
        <v>81.573224999999994</v>
      </c>
      <c r="M5865" s="550"/>
      <c r="N5865" s="550"/>
      <c r="O5865" s="550"/>
      <c r="P5865" s="2089"/>
      <c r="Q5865" s="766">
        <f>SUM(Q5861:Q5864)</f>
        <v>1046</v>
      </c>
      <c r="R5865" s="765">
        <f>SUM(R5861:R5864)</f>
        <v>82.52879999999999</v>
      </c>
    </row>
    <row r="5866" spans="1:22" s="497" customFormat="1" ht="17.399999999999999">
      <c r="A5866" s="550"/>
      <c r="B5866" s="550"/>
      <c r="C5866" s="550"/>
      <c r="D5866" s="550"/>
      <c r="E5866" s="548"/>
      <c r="F5866" s="550"/>
      <c r="G5866" s="550"/>
      <c r="H5866" s="550"/>
      <c r="I5866" s="551"/>
      <c r="J5866" s="765"/>
      <c r="K5866" s="766"/>
      <c r="L5866" s="765"/>
      <c r="M5866" s="550"/>
      <c r="N5866" s="550"/>
      <c r="O5866" s="550"/>
      <c r="P5866" s="2089"/>
      <c r="Q5866" s="1073"/>
      <c r="R5866" s="1148"/>
    </row>
    <row r="5867" spans="1:22" s="497" customFormat="1" ht="17.399999999999999">
      <c r="A5867" s="547" t="s">
        <v>541</v>
      </c>
      <c r="B5867" s="547" t="s">
        <v>622</v>
      </c>
      <c r="C5867" s="547" t="s">
        <v>19</v>
      </c>
      <c r="D5867" s="547" t="s">
        <v>20</v>
      </c>
      <c r="E5867" s="780" t="s">
        <v>47</v>
      </c>
      <c r="F5867" s="754">
        <v>9</v>
      </c>
      <c r="G5867" s="550" t="s">
        <v>21</v>
      </c>
      <c r="H5867" s="599" t="s">
        <v>69</v>
      </c>
      <c r="I5867" s="551">
        <v>6.85</v>
      </c>
      <c r="J5867" s="567">
        <v>11.8</v>
      </c>
      <c r="K5867" s="648">
        <v>125</v>
      </c>
      <c r="L5867" s="567">
        <v>10.1</v>
      </c>
      <c r="M5867" s="550"/>
      <c r="N5867" s="550"/>
      <c r="O5867" s="550"/>
      <c r="P5867" s="2089"/>
      <c r="Q5867" s="1073">
        <f>39+2+7+38+31</f>
        <v>117</v>
      </c>
      <c r="R5867" s="1148">
        <f>J5867*Q5867*I5867/1000</f>
        <v>9.4571100000000001</v>
      </c>
      <c r="S5867" s="497" t="s">
        <v>665</v>
      </c>
      <c r="V5867" s="168">
        <f>Q5867-K5867</f>
        <v>-8</v>
      </c>
    </row>
    <row r="5868" spans="1:22" s="497" customFormat="1" ht="17.399999999999999">
      <c r="A5868" s="550"/>
      <c r="B5868" s="754" t="s">
        <v>621</v>
      </c>
      <c r="C5868" s="550"/>
      <c r="D5868" s="550"/>
      <c r="E5868" s="548"/>
      <c r="F5868" s="550"/>
      <c r="G5868" s="550"/>
      <c r="H5868" s="550"/>
      <c r="I5868" s="551"/>
      <c r="J5868" s="765"/>
      <c r="K5868" s="766">
        <f>SUM(K5867:K5867)</f>
        <v>125</v>
      </c>
      <c r="L5868" s="765">
        <f>SUM(L5867:L5867)</f>
        <v>10.1</v>
      </c>
      <c r="M5868" s="550"/>
      <c r="N5868" s="550"/>
      <c r="O5868" s="550"/>
      <c r="P5868" s="2089"/>
      <c r="Q5868" s="766">
        <f>SUM(Q5867:Q5867)</f>
        <v>117</v>
      </c>
      <c r="R5868" s="765">
        <f>SUM(R5867:R5867)</f>
        <v>9.4571100000000001</v>
      </c>
    </row>
    <row r="5869" spans="1:22" s="497" customFormat="1" ht="17.399999999999999">
      <c r="A5869" s="550"/>
      <c r="B5869" s="550"/>
      <c r="C5869" s="550"/>
      <c r="D5869" s="550"/>
      <c r="E5869" s="548"/>
      <c r="F5869" s="550"/>
      <c r="G5869" s="550"/>
      <c r="H5869" s="550"/>
      <c r="I5869" s="551"/>
      <c r="J5869" s="765"/>
      <c r="K5869" s="766">
        <f>+K5868+K5865</f>
        <v>1163</v>
      </c>
      <c r="L5869" s="765">
        <f>+L5868+L5865</f>
        <v>91.673224999999988</v>
      </c>
      <c r="M5869" s="766">
        <f>+M5868+M5865</f>
        <v>0</v>
      </c>
      <c r="N5869" s="765">
        <f>+N5868+N5865</f>
        <v>0</v>
      </c>
      <c r="O5869" s="550"/>
      <c r="P5869" s="550"/>
      <c r="Q5869" s="1065"/>
      <c r="R5869" s="1065"/>
    </row>
    <row r="5870" spans="1:22" s="497" customFormat="1" ht="17.399999999999999">
      <c r="A5870" s="550"/>
      <c r="B5870" s="550"/>
      <c r="C5870" s="550"/>
      <c r="D5870" s="550"/>
      <c r="E5870" s="548"/>
      <c r="F5870" s="550"/>
      <c r="G5870" s="550"/>
      <c r="H5870" s="550"/>
      <c r="I5870" s="551"/>
      <c r="J5870" s="765"/>
      <c r="K5870" s="766"/>
      <c r="L5870" s="765"/>
      <c r="M5870" s="766"/>
      <c r="N5870" s="765"/>
      <c r="O5870" s="550"/>
      <c r="P5870" s="550"/>
      <c r="Q5870" s="1065"/>
      <c r="R5870" s="1065"/>
    </row>
    <row r="5871" spans="1:22" s="497" customFormat="1" ht="17.399999999999999">
      <c r="A5871" s="550"/>
      <c r="B5871" s="550"/>
      <c r="C5871" s="550"/>
      <c r="D5871" s="550"/>
      <c r="E5871" s="548"/>
      <c r="F5871" s="550"/>
      <c r="G5871" s="550"/>
      <c r="H5871" s="550"/>
      <c r="I5871" s="551"/>
      <c r="J5871" s="765"/>
      <c r="K5871" s="766"/>
      <c r="L5871" s="765"/>
      <c r="M5871" s="550"/>
      <c r="N5871" s="550"/>
      <c r="O5871" s="550"/>
      <c r="P5871" s="550"/>
      <c r="Q5871" s="1065"/>
      <c r="R5871" s="1065"/>
    </row>
    <row r="5872" spans="1:22" ht="17.399999999999999">
      <c r="A5872" s="547" t="s">
        <v>445</v>
      </c>
      <c r="B5872" s="547" t="s">
        <v>487</v>
      </c>
      <c r="C5872" s="547" t="s">
        <v>19</v>
      </c>
      <c r="D5872" s="547" t="s">
        <v>20</v>
      </c>
      <c r="E5872" s="547" t="s">
        <v>47</v>
      </c>
      <c r="F5872" s="550">
        <v>9</v>
      </c>
      <c r="G5872" s="550" t="s">
        <v>21</v>
      </c>
      <c r="H5872" s="599" t="s">
        <v>70</v>
      </c>
      <c r="I5872" s="551">
        <v>5.76</v>
      </c>
      <c r="J5872" s="765">
        <v>10</v>
      </c>
      <c r="K5872" s="766">
        <v>10</v>
      </c>
      <c r="L5872" s="552">
        <f t="shared" ref="L5872:L5876" si="1270">(I5872*J5872*K5872/1000)</f>
        <v>0.57599999999999996</v>
      </c>
      <c r="M5872" s="550"/>
      <c r="N5872" s="765">
        <f t="shared" ref="N5872:N5876" si="1271">J5872*M5872*I5872/1000</f>
        <v>0</v>
      </c>
      <c r="O5872" s="550"/>
      <c r="P5872" s="2089" t="s">
        <v>632</v>
      </c>
      <c r="Q5872" s="1073"/>
      <c r="R5872" s="1073"/>
      <c r="S5872" s="497" t="s">
        <v>680</v>
      </c>
    </row>
    <row r="5873" spans="1:19" ht="17.399999999999999">
      <c r="A5873" s="547"/>
      <c r="B5873" s="752" t="s">
        <v>439</v>
      </c>
      <c r="C5873" s="547"/>
      <c r="D5873" s="547"/>
      <c r="E5873" s="547"/>
      <c r="F5873" s="550"/>
      <c r="G5873" s="550" t="s">
        <v>21</v>
      </c>
      <c r="H5873" s="550" t="s">
        <v>70</v>
      </c>
      <c r="I5873" s="551">
        <v>5.76</v>
      </c>
      <c r="J5873" s="765">
        <v>10.5</v>
      </c>
      <c r="K5873" s="766">
        <v>125</v>
      </c>
      <c r="L5873" s="552">
        <f t="shared" si="1270"/>
        <v>7.56</v>
      </c>
      <c r="M5873" s="550"/>
      <c r="N5873" s="765">
        <f t="shared" si="1271"/>
        <v>0</v>
      </c>
      <c r="O5873" s="550"/>
      <c r="P5873" s="2089"/>
      <c r="Q5873" s="1073"/>
      <c r="R5873" s="1073"/>
    </row>
    <row r="5874" spans="1:19" ht="17.399999999999999">
      <c r="A5874" s="550"/>
      <c r="B5874" s="550"/>
      <c r="C5874" s="550"/>
      <c r="D5874" s="550"/>
      <c r="E5874" s="550"/>
      <c r="F5874" s="550"/>
      <c r="G5874" s="550" t="s">
        <v>21</v>
      </c>
      <c r="H5874" s="550" t="s">
        <v>70</v>
      </c>
      <c r="I5874" s="551">
        <v>5.76</v>
      </c>
      <c r="J5874" s="765">
        <v>11</v>
      </c>
      <c r="K5874" s="766">
        <v>79</v>
      </c>
      <c r="L5874" s="552">
        <f t="shared" si="1270"/>
        <v>5.0054399999999992</v>
      </c>
      <c r="M5874" s="550"/>
      <c r="N5874" s="765">
        <f t="shared" si="1271"/>
        <v>0</v>
      </c>
      <c r="O5874" s="550"/>
      <c r="P5874" s="2089"/>
      <c r="Q5874" s="1073"/>
      <c r="R5874" s="1073"/>
    </row>
    <row r="5875" spans="1:19" ht="17.399999999999999">
      <c r="A5875" s="550"/>
      <c r="B5875" s="550"/>
      <c r="C5875" s="550"/>
      <c r="D5875" s="550"/>
      <c r="E5875" s="550"/>
      <c r="F5875" s="550"/>
      <c r="G5875" s="550" t="s">
        <v>21</v>
      </c>
      <c r="H5875" s="550" t="s">
        <v>70</v>
      </c>
      <c r="I5875" s="551">
        <v>5.76</v>
      </c>
      <c r="J5875" s="765">
        <v>11.5</v>
      </c>
      <c r="K5875" s="766">
        <v>15</v>
      </c>
      <c r="L5875" s="552">
        <f t="shared" si="1270"/>
        <v>0.99359999999999993</v>
      </c>
      <c r="M5875" s="550"/>
      <c r="N5875" s="765">
        <f t="shared" si="1271"/>
        <v>0</v>
      </c>
      <c r="O5875" s="550"/>
      <c r="P5875" s="2089"/>
      <c r="Q5875" s="1073"/>
      <c r="R5875" s="1073"/>
    </row>
    <row r="5876" spans="1:19" ht="17.399999999999999">
      <c r="A5876" s="550"/>
      <c r="B5876" s="550"/>
      <c r="C5876" s="550"/>
      <c r="D5876" s="550"/>
      <c r="E5876" s="550"/>
      <c r="F5876" s="550"/>
      <c r="G5876" s="550" t="s">
        <v>21</v>
      </c>
      <c r="H5876" s="550" t="s">
        <v>70</v>
      </c>
      <c r="I5876" s="551">
        <v>5.76</v>
      </c>
      <c r="J5876" s="765">
        <v>12</v>
      </c>
      <c r="K5876" s="766">
        <v>109</v>
      </c>
      <c r="L5876" s="552">
        <f t="shared" si="1270"/>
        <v>7.5340800000000012</v>
      </c>
      <c r="M5876" s="550"/>
      <c r="N5876" s="765">
        <f t="shared" si="1271"/>
        <v>0</v>
      </c>
      <c r="O5876" s="550"/>
      <c r="P5876" s="2089"/>
      <c r="Q5876" s="1073"/>
      <c r="R5876" s="1073"/>
    </row>
    <row r="5877" spans="1:19" ht="17.399999999999999">
      <c r="A5877" s="550"/>
      <c r="B5877" s="550"/>
      <c r="C5877" s="550"/>
      <c r="D5877" s="550"/>
      <c r="E5877" s="550"/>
      <c r="F5877" s="550"/>
      <c r="G5877" s="550"/>
      <c r="H5877" s="550"/>
      <c r="I5877" s="551"/>
      <c r="J5877" s="765"/>
      <c r="K5877" s="766">
        <f t="shared" ref="K5877:N5877" si="1272">SUM(K5872:K5876)</f>
        <v>338</v>
      </c>
      <c r="L5877" s="765">
        <f t="shared" si="1272"/>
        <v>21.669119999999999</v>
      </c>
      <c r="M5877" s="766">
        <f t="shared" si="1272"/>
        <v>0</v>
      </c>
      <c r="N5877" s="765">
        <f t="shared" si="1272"/>
        <v>0</v>
      </c>
      <c r="O5877" s="550"/>
      <c r="P5877" s="2089"/>
      <c r="Q5877" s="1073"/>
      <c r="R5877" s="1073"/>
    </row>
    <row r="5878" spans="1:19" s="497" customFormat="1" ht="17.399999999999999">
      <c r="A5878" s="550"/>
      <c r="B5878" s="550"/>
      <c r="C5878" s="550"/>
      <c r="D5878" s="550"/>
      <c r="E5878" s="550"/>
      <c r="F5878" s="550"/>
      <c r="G5878" s="550"/>
      <c r="H5878" s="550"/>
      <c r="I5878" s="551"/>
      <c r="J5878" s="765"/>
      <c r="K5878" s="766"/>
      <c r="L5878" s="765"/>
      <c r="M5878" s="550"/>
      <c r="N5878" s="550"/>
      <c r="O5878" s="550"/>
      <c r="P5878" s="2089"/>
      <c r="Q5878" s="1073"/>
      <c r="R5878" s="1073"/>
    </row>
    <row r="5879" spans="1:19" ht="17.399999999999999">
      <c r="A5879" s="547" t="s">
        <v>445</v>
      </c>
      <c r="B5879" s="547" t="s">
        <v>488</v>
      </c>
      <c r="C5879" s="547" t="s">
        <v>19</v>
      </c>
      <c r="D5879" s="547" t="s">
        <v>20</v>
      </c>
      <c r="E5879" s="547" t="s">
        <v>47</v>
      </c>
      <c r="F5879" s="550">
        <v>9</v>
      </c>
      <c r="G5879" s="550" t="s">
        <v>21</v>
      </c>
      <c r="H5879" s="599" t="s">
        <v>70</v>
      </c>
      <c r="I5879" s="551">
        <v>5.76</v>
      </c>
      <c r="J5879" s="765">
        <v>10</v>
      </c>
      <c r="K5879" s="766">
        <v>45</v>
      </c>
      <c r="L5879" s="552">
        <f t="shared" ref="L5879:L5884" si="1273">(I5879*J5879*K5879/1000)</f>
        <v>2.5919999999999996</v>
      </c>
      <c r="M5879" s="550">
        <f>3+2+8</f>
        <v>13</v>
      </c>
      <c r="N5879" s="765">
        <f t="shared" ref="N5879:N5884" si="1274">J5879*M5879*I5879/1000</f>
        <v>0.74879999999999991</v>
      </c>
      <c r="O5879" s="550"/>
      <c r="P5879" s="2089"/>
      <c r="Q5879" s="1073"/>
      <c r="R5879" s="1073"/>
      <c r="S5879" s="497" t="s">
        <v>680</v>
      </c>
    </row>
    <row r="5880" spans="1:19" ht="17.399999999999999">
      <c r="A5880" s="547"/>
      <c r="B5880" s="752" t="s">
        <v>439</v>
      </c>
      <c r="C5880" s="547"/>
      <c r="D5880" s="547"/>
      <c r="E5880" s="547"/>
      <c r="F5880" s="550"/>
      <c r="G5880" s="550" t="s">
        <v>21</v>
      </c>
      <c r="H5880" s="550" t="s">
        <v>70</v>
      </c>
      <c r="I5880" s="551">
        <v>5.76</v>
      </c>
      <c r="J5880" s="765">
        <v>10.5</v>
      </c>
      <c r="K5880" s="766">
        <v>11</v>
      </c>
      <c r="L5880" s="552">
        <f t="shared" si="1273"/>
        <v>0.66527999999999998</v>
      </c>
      <c r="M5880" s="550">
        <v>1</v>
      </c>
      <c r="N5880" s="765">
        <f t="shared" si="1274"/>
        <v>6.0479999999999999E-2</v>
      </c>
      <c r="O5880" s="550"/>
      <c r="P5880" s="2089"/>
      <c r="Q5880" s="1073"/>
      <c r="R5880" s="1073"/>
    </row>
    <row r="5881" spans="1:19" ht="17.399999999999999">
      <c r="A5881" s="550"/>
      <c r="B5881" s="550"/>
      <c r="C5881" s="550"/>
      <c r="D5881" s="550"/>
      <c r="E5881" s="550"/>
      <c r="F5881" s="550"/>
      <c r="G5881" s="550" t="s">
        <v>21</v>
      </c>
      <c r="H5881" s="550" t="s">
        <v>70</v>
      </c>
      <c r="I5881" s="551">
        <v>5.76</v>
      </c>
      <c r="J5881" s="765">
        <v>11</v>
      </c>
      <c r="K5881" s="766">
        <v>32</v>
      </c>
      <c r="L5881" s="552">
        <f t="shared" si="1273"/>
        <v>2.02752</v>
      </c>
      <c r="M5881" s="550">
        <v>5</v>
      </c>
      <c r="N5881" s="765">
        <f t="shared" si="1274"/>
        <v>0.31680000000000003</v>
      </c>
      <c r="O5881" s="550"/>
      <c r="P5881" s="2089"/>
      <c r="Q5881" s="1073"/>
      <c r="R5881" s="1073"/>
    </row>
    <row r="5882" spans="1:19" ht="17.399999999999999">
      <c r="A5882" s="550"/>
      <c r="B5882" s="550"/>
      <c r="C5882" s="550"/>
      <c r="D5882" s="550"/>
      <c r="E5882" s="550"/>
      <c r="F5882" s="550"/>
      <c r="G5882" s="550" t="s">
        <v>21</v>
      </c>
      <c r="H5882" s="550" t="s">
        <v>70</v>
      </c>
      <c r="I5882" s="551">
        <v>5.76</v>
      </c>
      <c r="J5882" s="765">
        <v>11.3</v>
      </c>
      <c r="K5882" s="766">
        <v>78</v>
      </c>
      <c r="L5882" s="552">
        <f t="shared" si="1273"/>
        <v>5.0768640000000005</v>
      </c>
      <c r="M5882" s="550">
        <v>2</v>
      </c>
      <c r="N5882" s="765">
        <f t="shared" si="1274"/>
        <v>0.13017600000000001</v>
      </c>
      <c r="O5882" s="550"/>
      <c r="P5882" s="2089"/>
      <c r="Q5882" s="1073"/>
      <c r="R5882" s="1073"/>
    </row>
    <row r="5883" spans="1:19" ht="17.399999999999999">
      <c r="A5883" s="550"/>
      <c r="B5883" s="550"/>
      <c r="C5883" s="550"/>
      <c r="D5883" s="550"/>
      <c r="E5883" s="550"/>
      <c r="F5883" s="550"/>
      <c r="G5883" s="550" t="s">
        <v>21</v>
      </c>
      <c r="H5883" s="550" t="s">
        <v>70</v>
      </c>
      <c r="I5883" s="551">
        <v>5.76</v>
      </c>
      <c r="J5883" s="765">
        <v>11.5</v>
      </c>
      <c r="K5883" s="766">
        <v>29</v>
      </c>
      <c r="L5883" s="552">
        <f t="shared" si="1273"/>
        <v>1.9209599999999998</v>
      </c>
      <c r="M5883" s="550">
        <f>6+8</f>
        <v>14</v>
      </c>
      <c r="N5883" s="765">
        <f t="shared" si="1274"/>
        <v>0.92735999999999996</v>
      </c>
      <c r="O5883" s="550"/>
      <c r="P5883" s="2089"/>
      <c r="Q5883" s="1073"/>
      <c r="R5883" s="1073"/>
    </row>
    <row r="5884" spans="1:19" ht="17.399999999999999">
      <c r="A5884" s="550"/>
      <c r="B5884" s="550"/>
      <c r="C5884" s="550"/>
      <c r="D5884" s="550"/>
      <c r="E5884" s="550"/>
      <c r="F5884" s="550"/>
      <c r="G5884" s="550" t="s">
        <v>21</v>
      </c>
      <c r="H5884" s="550" t="s">
        <v>70</v>
      </c>
      <c r="I5884" s="551">
        <v>5.76</v>
      </c>
      <c r="J5884" s="765">
        <v>12</v>
      </c>
      <c r="K5884" s="766">
        <v>56</v>
      </c>
      <c r="L5884" s="552">
        <f t="shared" si="1273"/>
        <v>3.8707200000000004</v>
      </c>
      <c r="M5884" s="550">
        <v>3</v>
      </c>
      <c r="N5884" s="765">
        <f t="shared" si="1274"/>
        <v>0.20735999999999999</v>
      </c>
      <c r="O5884" s="550"/>
      <c r="P5884" s="2089"/>
      <c r="Q5884" s="1073"/>
      <c r="R5884" s="1073"/>
    </row>
    <row r="5885" spans="1:19" ht="17.399999999999999">
      <c r="A5885" s="550"/>
      <c r="B5885" s="550"/>
      <c r="C5885" s="550"/>
      <c r="D5885" s="550"/>
      <c r="E5885" s="550"/>
      <c r="F5885" s="550"/>
      <c r="G5885" s="550"/>
      <c r="H5885" s="550"/>
      <c r="I5885" s="551"/>
      <c r="J5885" s="765"/>
      <c r="K5885" s="766">
        <f>SUM(K5879:K5884)</f>
        <v>251</v>
      </c>
      <c r="L5885" s="765">
        <f>SUM(L5879:L5884)</f>
        <v>16.153344000000001</v>
      </c>
      <c r="M5885" s="766">
        <f>SUM(M5879:M5884)</f>
        <v>38</v>
      </c>
      <c r="N5885" s="765">
        <f>SUM(N5879:N5884)</f>
        <v>2.3909759999999998</v>
      </c>
      <c r="O5885" s="550"/>
      <c r="P5885" s="2089"/>
      <c r="Q5885" s="1073"/>
      <c r="R5885" s="1073"/>
    </row>
    <row r="5886" spans="1:19" s="497" customFormat="1" ht="17.399999999999999">
      <c r="A5886" s="550"/>
      <c r="B5886" s="550"/>
      <c r="C5886" s="550"/>
      <c r="D5886" s="550"/>
      <c r="E5886" s="550"/>
      <c r="F5886" s="550"/>
      <c r="G5886" s="550"/>
      <c r="H5886" s="550"/>
      <c r="I5886" s="551"/>
      <c r="J5886" s="765"/>
      <c r="K5886" s="766"/>
      <c r="L5886" s="552"/>
      <c r="M5886" s="766"/>
      <c r="N5886" s="765"/>
      <c r="O5886" s="550"/>
      <c r="P5886" s="550"/>
      <c r="Q5886" s="1065"/>
      <c r="R5886" s="1065"/>
    </row>
    <row r="5887" spans="1:19" s="497" customFormat="1" ht="17.399999999999999">
      <c r="A5887" s="547" t="s">
        <v>523</v>
      </c>
      <c r="B5887" s="852" t="s">
        <v>593</v>
      </c>
      <c r="C5887" s="547" t="s">
        <v>19</v>
      </c>
      <c r="D5887" s="547" t="s">
        <v>20</v>
      </c>
      <c r="E5887" s="547" t="s">
        <v>359</v>
      </c>
      <c r="F5887" s="550">
        <v>9</v>
      </c>
      <c r="G5887" s="550" t="s">
        <v>21</v>
      </c>
      <c r="H5887" s="599" t="s">
        <v>70</v>
      </c>
      <c r="I5887" s="551">
        <v>5.77</v>
      </c>
      <c r="J5887" s="765">
        <v>12</v>
      </c>
      <c r="K5887" s="766">
        <v>66</v>
      </c>
      <c r="L5887" s="552">
        <f>(I5887*J5887*K5887/1000)</f>
        <v>4.5698399999999992</v>
      </c>
      <c r="M5887" s="550"/>
      <c r="N5887" s="550"/>
      <c r="O5887" s="550"/>
      <c r="P5887" s="2089" t="s">
        <v>633</v>
      </c>
      <c r="Q5887" s="1073"/>
      <c r="R5887" s="1073"/>
      <c r="S5887" s="497" t="s">
        <v>680</v>
      </c>
    </row>
    <row r="5888" spans="1:19" s="497" customFormat="1" ht="17.399999999999999">
      <c r="A5888" s="547"/>
      <c r="B5888" s="752" t="s">
        <v>277</v>
      </c>
      <c r="C5888" s="547"/>
      <c r="D5888" s="547"/>
      <c r="E5888" s="547"/>
      <c r="F5888" s="550"/>
      <c r="G5888" s="550"/>
      <c r="H5888" s="550"/>
      <c r="I5888" s="551"/>
      <c r="J5888" s="765"/>
      <c r="K5888" s="766">
        <f t="shared" ref="K5888:L5888" si="1275">SUM(K5887)</f>
        <v>66</v>
      </c>
      <c r="L5888" s="765">
        <f t="shared" si="1275"/>
        <v>4.5698399999999992</v>
      </c>
      <c r="M5888" s="550"/>
      <c r="N5888" s="550"/>
      <c r="O5888" s="550"/>
      <c r="P5888" s="2089"/>
      <c r="Q5888" s="1073"/>
      <c r="R5888" s="1073"/>
    </row>
    <row r="5889" spans="1:19" s="497" customFormat="1" ht="17.399999999999999">
      <c r="A5889" s="550"/>
      <c r="B5889" s="550"/>
      <c r="C5889" s="550"/>
      <c r="D5889" s="550"/>
      <c r="E5889" s="550"/>
      <c r="F5889" s="550"/>
      <c r="G5889" s="550"/>
      <c r="H5889" s="550"/>
      <c r="I5889" s="551"/>
      <c r="J5889" s="765"/>
      <c r="K5889" s="766">
        <f>SUM(K5872:K5888)/2</f>
        <v>655</v>
      </c>
      <c r="L5889" s="765">
        <f>SUM(L5872:L5888)/2</f>
        <v>42.392304000000003</v>
      </c>
      <c r="M5889" s="766">
        <f>SUM(M5872:M5888)/2</f>
        <v>38</v>
      </c>
      <c r="N5889" s="765">
        <f>SUM(N5872:N5888)/2</f>
        <v>2.3909759999999998</v>
      </c>
      <c r="O5889" s="550"/>
      <c r="P5889" s="550"/>
      <c r="Q5889" s="1065"/>
      <c r="R5889" s="1065"/>
    </row>
    <row r="5890" spans="1:19" s="497" customFormat="1" ht="17.399999999999999">
      <c r="A5890" s="550"/>
      <c r="B5890" s="550"/>
      <c r="C5890" s="550"/>
      <c r="D5890" s="550"/>
      <c r="E5890" s="550"/>
      <c r="F5890" s="550"/>
      <c r="G5890" s="550"/>
      <c r="H5890" s="550"/>
      <c r="I5890" s="551"/>
      <c r="J5890" s="765"/>
      <c r="K5890" s="766"/>
      <c r="L5890" s="765"/>
      <c r="M5890" s="550"/>
      <c r="N5890" s="550"/>
      <c r="O5890" s="550"/>
      <c r="P5890" s="550"/>
      <c r="Q5890" s="1065"/>
      <c r="R5890" s="1065"/>
    </row>
    <row r="5891" spans="1:19" s="497" customFormat="1" ht="17.399999999999999">
      <c r="A5891" s="550"/>
      <c r="B5891" s="550"/>
      <c r="C5891" s="550"/>
      <c r="D5891" s="550"/>
      <c r="E5891" s="548"/>
      <c r="F5891" s="550"/>
      <c r="G5891" s="550"/>
      <c r="H5891" s="550"/>
      <c r="I5891" s="551"/>
      <c r="J5891" s="765"/>
      <c r="K5891" s="766"/>
      <c r="L5891" s="765"/>
      <c r="M5891" s="550"/>
      <c r="N5891" s="550"/>
      <c r="O5891" s="550"/>
      <c r="P5891" s="550"/>
      <c r="Q5891" s="1065"/>
      <c r="R5891" s="1065"/>
    </row>
    <row r="5892" spans="1:19" s="497" customFormat="1" ht="17.399999999999999">
      <c r="A5892" s="547"/>
      <c r="B5892" s="752"/>
      <c r="C5892" s="547"/>
      <c r="D5892" s="547"/>
      <c r="E5892" s="547"/>
      <c r="F5892" s="550"/>
      <c r="G5892" s="550"/>
      <c r="H5892" s="550"/>
      <c r="I5892" s="551"/>
      <c r="J5892" s="765"/>
      <c r="K5892" s="766"/>
      <c r="L5892" s="765"/>
      <c r="M5892" s="550"/>
      <c r="N5892" s="550"/>
      <c r="O5892" s="550"/>
      <c r="P5892" s="550"/>
      <c r="Q5892" s="1065"/>
      <c r="R5892" s="1065"/>
    </row>
    <row r="5893" spans="1:19" s="497" customFormat="1" ht="17.399999999999999">
      <c r="A5893" s="547"/>
      <c r="B5893" s="752"/>
      <c r="C5893" s="547"/>
      <c r="D5893" s="547"/>
      <c r="E5893" s="547"/>
      <c r="F5893" s="550"/>
      <c r="G5893" s="550"/>
      <c r="H5893" s="550"/>
      <c r="I5893" s="551"/>
      <c r="J5893" s="765"/>
      <c r="K5893" s="766"/>
      <c r="L5893" s="765"/>
      <c r="M5893" s="550"/>
      <c r="N5893" s="550"/>
      <c r="O5893" s="550"/>
      <c r="P5893" s="550"/>
      <c r="Q5893" s="1065"/>
      <c r="R5893" s="1065"/>
    </row>
    <row r="5894" spans="1:19" s="497" customFormat="1" ht="17.399999999999999">
      <c r="A5894" s="547" t="s">
        <v>445</v>
      </c>
      <c r="B5894" s="547" t="s">
        <v>490</v>
      </c>
      <c r="C5894" s="547" t="s">
        <v>19</v>
      </c>
      <c r="D5894" s="547" t="s">
        <v>20</v>
      </c>
      <c r="E5894" s="780" t="s">
        <v>420</v>
      </c>
      <c r="F5894" s="754">
        <v>9</v>
      </c>
      <c r="G5894" s="550" t="s">
        <v>21</v>
      </c>
      <c r="H5894" s="599" t="s">
        <v>70</v>
      </c>
      <c r="I5894" s="551">
        <v>5.76</v>
      </c>
      <c r="J5894" s="765">
        <v>10.5</v>
      </c>
      <c r="K5894" s="766">
        <v>36</v>
      </c>
      <c r="L5894" s="552">
        <f>(I5894*J5894*K5894/1000)</f>
        <v>2.1772799999999997</v>
      </c>
      <c r="M5894" s="550"/>
      <c r="N5894" s="765">
        <f t="shared" ref="N5894:N5895" si="1276">J5894*M5894*I5894/1000</f>
        <v>0</v>
      </c>
      <c r="O5894" s="550"/>
      <c r="P5894" s="2089" t="s">
        <v>634</v>
      </c>
      <c r="Q5894" s="1073">
        <f>20+15+2</f>
        <v>37</v>
      </c>
      <c r="R5894" s="1073"/>
      <c r="S5894" s="497" t="s">
        <v>680</v>
      </c>
    </row>
    <row r="5895" spans="1:19" s="497" customFormat="1" ht="17.399999999999999">
      <c r="A5895" s="547"/>
      <c r="B5895" s="548" t="s">
        <v>52</v>
      </c>
      <c r="C5895" s="547"/>
      <c r="D5895" s="547"/>
      <c r="E5895" s="547"/>
      <c r="F5895" s="550"/>
      <c r="G5895" s="550" t="s">
        <v>21</v>
      </c>
      <c r="H5895" s="550" t="s">
        <v>70</v>
      </c>
      <c r="I5895" s="551">
        <v>5.76</v>
      </c>
      <c r="J5895" s="765">
        <v>12</v>
      </c>
      <c r="K5895" s="766">
        <v>27</v>
      </c>
      <c r="L5895" s="552">
        <f>(I5895*J5895*K5895/1000)</f>
        <v>1.8662400000000003</v>
      </c>
      <c r="M5895" s="550">
        <v>16</v>
      </c>
      <c r="N5895" s="765">
        <f t="shared" si="1276"/>
        <v>1.10592</v>
      </c>
      <c r="O5895" s="550"/>
      <c r="P5895" s="2089"/>
      <c r="Q5895" s="1073">
        <f>10+10</f>
        <v>20</v>
      </c>
      <c r="R5895" s="1073"/>
    </row>
    <row r="5896" spans="1:19" s="497" customFormat="1" ht="17.399999999999999">
      <c r="A5896" s="550"/>
      <c r="B5896" s="550"/>
      <c r="C5896" s="550"/>
      <c r="D5896" s="550"/>
      <c r="E5896" s="548"/>
      <c r="F5896" s="550"/>
      <c r="G5896" s="550"/>
      <c r="H5896" s="550"/>
      <c r="I5896" s="551"/>
      <c r="J5896" s="765"/>
      <c r="K5896" s="766">
        <f>SUM(K5894:K5895)</f>
        <v>63</v>
      </c>
      <c r="L5896" s="765">
        <f>SUM(L5894:L5895)</f>
        <v>4.04352</v>
      </c>
      <c r="M5896" s="766">
        <f>SUM(M5894:M5895)</f>
        <v>16</v>
      </c>
      <c r="N5896" s="765">
        <f>SUM(N5894:N5895)</f>
        <v>1.10592</v>
      </c>
      <c r="O5896" s="550"/>
      <c r="P5896" s="550"/>
      <c r="Q5896" s="1065"/>
      <c r="R5896" s="1065"/>
    </row>
    <row r="5897" spans="1:19" s="497" customFormat="1" ht="17.399999999999999">
      <c r="A5897" s="550"/>
      <c r="B5897" s="550"/>
      <c r="C5897" s="550"/>
      <c r="D5897" s="550"/>
      <c r="E5897" s="548"/>
      <c r="F5897" s="550"/>
      <c r="G5897" s="550"/>
      <c r="H5897" s="550"/>
      <c r="I5897" s="551"/>
      <c r="J5897" s="765"/>
      <c r="K5897" s="766"/>
      <c r="L5897" s="765"/>
      <c r="M5897" s="550"/>
      <c r="N5897" s="550"/>
      <c r="O5897" s="550"/>
      <c r="P5897" s="550"/>
      <c r="Q5897" s="1065"/>
      <c r="R5897" s="1065"/>
    </row>
    <row r="5898" spans="1:19" ht="17.399999999999999">
      <c r="A5898" s="550"/>
      <c r="B5898" s="550"/>
      <c r="C5898" s="550"/>
      <c r="D5898" s="550"/>
      <c r="E5898" s="550"/>
      <c r="F5898" s="550"/>
      <c r="G5898" s="550"/>
      <c r="H5898" s="550"/>
      <c r="I5898" s="1865"/>
      <c r="J5898" s="550"/>
      <c r="K5898" s="772"/>
      <c r="L5898" s="548"/>
      <c r="M5898" s="550"/>
      <c r="N5898" s="550"/>
      <c r="O5898" s="550"/>
      <c r="P5898" s="550"/>
      <c r="Q5898" s="1065"/>
      <c r="R5898" s="1065"/>
    </row>
    <row r="5899" spans="1:19" s="497" customFormat="1" ht="17.399999999999999">
      <c r="A5899" s="547"/>
      <c r="B5899" s="752"/>
      <c r="C5899" s="547"/>
      <c r="D5899" s="547"/>
      <c r="E5899" s="547"/>
      <c r="F5899" s="550"/>
      <c r="G5899" s="550"/>
      <c r="H5899" s="550"/>
      <c r="I5899" s="551"/>
      <c r="J5899" s="765"/>
      <c r="K5899" s="766"/>
      <c r="L5899" s="765"/>
      <c r="M5899" s="550"/>
      <c r="N5899" s="550"/>
      <c r="O5899" s="550"/>
      <c r="P5899" s="550"/>
      <c r="Q5899" s="1065"/>
      <c r="R5899" s="1065"/>
    </row>
    <row r="5900" spans="1:19" s="497" customFormat="1" ht="17.399999999999999">
      <c r="A5900" s="550"/>
      <c r="B5900" s="550"/>
      <c r="C5900" s="550"/>
      <c r="D5900" s="550"/>
      <c r="E5900" s="550"/>
      <c r="F5900" s="550"/>
      <c r="G5900" s="550"/>
      <c r="H5900" s="550"/>
      <c r="I5900" s="551"/>
      <c r="J5900" s="765"/>
      <c r="K5900" s="766"/>
      <c r="L5900" s="765"/>
      <c r="M5900" s="550"/>
      <c r="N5900" s="550"/>
      <c r="O5900" s="550"/>
      <c r="P5900" s="550"/>
      <c r="Q5900" s="1065"/>
      <c r="R5900" s="1065"/>
    </row>
    <row r="5901" spans="1:19" ht="17.399999999999999">
      <c r="A5901" s="547" t="s">
        <v>445</v>
      </c>
      <c r="B5901" s="547" t="s">
        <v>488</v>
      </c>
      <c r="C5901" s="547" t="s">
        <v>19</v>
      </c>
      <c r="D5901" s="547" t="s">
        <v>60</v>
      </c>
      <c r="E5901" s="547" t="s">
        <v>323</v>
      </c>
      <c r="F5901" s="550">
        <v>9</v>
      </c>
      <c r="G5901" s="550" t="s">
        <v>61</v>
      </c>
      <c r="H5901" s="599" t="s">
        <v>70</v>
      </c>
      <c r="I5901" s="551">
        <v>5.76</v>
      </c>
      <c r="J5901" s="765">
        <v>11.5</v>
      </c>
      <c r="K5901" s="766">
        <v>8</v>
      </c>
      <c r="L5901" s="552">
        <f>(I5901*J5901*K5901/1000)</f>
        <v>0.52991999999999995</v>
      </c>
      <c r="M5901" s="550"/>
      <c r="N5901" s="550"/>
      <c r="O5901" s="550"/>
      <c r="P5901" s="2089" t="s">
        <v>635</v>
      </c>
      <c r="Q5901" s="1073"/>
      <c r="R5901" s="1073"/>
      <c r="S5901" s="497" t="s">
        <v>680</v>
      </c>
    </row>
    <row r="5902" spans="1:19" ht="17.399999999999999">
      <c r="A5902" s="547"/>
      <c r="B5902" s="752" t="s">
        <v>439</v>
      </c>
      <c r="C5902" s="547"/>
      <c r="D5902" s="547"/>
      <c r="E5902" s="547"/>
      <c r="F5902" s="550"/>
      <c r="G5902" s="550"/>
      <c r="H5902" s="550"/>
      <c r="I5902" s="551"/>
      <c r="J5902" s="765"/>
      <c r="K5902" s="766">
        <f t="shared" ref="K5902:N5902" si="1277">SUM(K5901)</f>
        <v>8</v>
      </c>
      <c r="L5902" s="765">
        <f t="shared" si="1277"/>
        <v>0.52991999999999995</v>
      </c>
      <c r="M5902" s="766">
        <f t="shared" si="1277"/>
        <v>0</v>
      </c>
      <c r="N5902" s="765">
        <f t="shared" si="1277"/>
        <v>0</v>
      </c>
      <c r="O5902" s="550"/>
      <c r="P5902" s="2089"/>
      <c r="Q5902" s="1073"/>
      <c r="R5902" s="1073"/>
    </row>
    <row r="5903" spans="1:19" s="497" customFormat="1" ht="17.399999999999999">
      <c r="A5903" s="547"/>
      <c r="B5903" s="752"/>
      <c r="C5903" s="547"/>
      <c r="D5903" s="547"/>
      <c r="E5903" s="547"/>
      <c r="F5903" s="550"/>
      <c r="G5903" s="550"/>
      <c r="H5903" s="550"/>
      <c r="I5903" s="551"/>
      <c r="J5903" s="765"/>
      <c r="K5903" s="766"/>
      <c r="L5903" s="765"/>
      <c r="M5903" s="550"/>
      <c r="N5903" s="550"/>
      <c r="O5903" s="550"/>
      <c r="P5903" s="2089"/>
      <c r="Q5903" s="1073"/>
      <c r="R5903" s="1073"/>
    </row>
    <row r="5904" spans="1:19" ht="17.399999999999999">
      <c r="A5904" s="547" t="s">
        <v>523</v>
      </c>
      <c r="B5904" s="852" t="s">
        <v>525</v>
      </c>
      <c r="C5904" s="547" t="s">
        <v>19</v>
      </c>
      <c r="D5904" s="547" t="s">
        <v>60</v>
      </c>
      <c r="E5904" s="547" t="s">
        <v>323</v>
      </c>
      <c r="F5904" s="550">
        <v>9</v>
      </c>
      <c r="G5904" s="550" t="s">
        <v>61</v>
      </c>
      <c r="H5904" s="599" t="s">
        <v>70</v>
      </c>
      <c r="I5904" s="551">
        <v>5.76</v>
      </c>
      <c r="J5904" s="765">
        <v>11.5</v>
      </c>
      <c r="K5904" s="766">
        <v>15</v>
      </c>
      <c r="L5904" s="552">
        <f>(I5904*J5904*K5904/1000)</f>
        <v>0.99359999999999993</v>
      </c>
      <c r="M5904" s="550">
        <v>11</v>
      </c>
      <c r="N5904" s="765">
        <f>J5904*M5904*I5904/1000</f>
        <v>0.72863999999999995</v>
      </c>
      <c r="O5904" s="550"/>
      <c r="P5904" s="2089"/>
      <c r="Q5904" s="1073"/>
      <c r="R5904" s="1073"/>
      <c r="S5904" s="497" t="s">
        <v>680</v>
      </c>
    </row>
    <row r="5905" spans="1:19" ht="17.399999999999999">
      <c r="A5905" s="547"/>
      <c r="B5905" s="752" t="s">
        <v>439</v>
      </c>
      <c r="C5905" s="547"/>
      <c r="D5905" s="547"/>
      <c r="E5905" s="547"/>
      <c r="F5905" s="550"/>
      <c r="G5905" s="550"/>
      <c r="H5905" s="550"/>
      <c r="I5905" s="551"/>
      <c r="J5905" s="765"/>
      <c r="K5905" s="766">
        <f t="shared" ref="K5905:N5905" si="1278">SUM(K5904)</f>
        <v>15</v>
      </c>
      <c r="L5905" s="765">
        <f t="shared" si="1278"/>
        <v>0.99359999999999993</v>
      </c>
      <c r="M5905" s="766">
        <f t="shared" si="1278"/>
        <v>11</v>
      </c>
      <c r="N5905" s="765">
        <f t="shared" si="1278"/>
        <v>0.72863999999999995</v>
      </c>
      <c r="O5905" s="550"/>
      <c r="P5905" s="2089"/>
      <c r="Q5905" s="1073"/>
      <c r="R5905" s="1073"/>
    </row>
    <row r="5906" spans="1:19" s="497" customFormat="1" ht="17.399999999999999">
      <c r="A5906" s="547"/>
      <c r="B5906" s="752"/>
      <c r="C5906" s="547"/>
      <c r="D5906" s="547"/>
      <c r="E5906" s="547"/>
      <c r="F5906" s="550"/>
      <c r="G5906" s="550"/>
      <c r="H5906" s="550"/>
      <c r="I5906" s="551"/>
      <c r="J5906" s="765"/>
      <c r="K5906" s="766"/>
      <c r="L5906" s="765"/>
      <c r="M5906" s="550"/>
      <c r="N5906" s="550"/>
      <c r="O5906" s="550"/>
      <c r="P5906" s="550"/>
      <c r="Q5906" s="1065"/>
      <c r="R5906" s="1065"/>
    </row>
    <row r="5907" spans="1:19" s="497" customFormat="1" ht="17.399999999999999">
      <c r="A5907" s="547" t="s">
        <v>445</v>
      </c>
      <c r="B5907" s="547" t="s">
        <v>571</v>
      </c>
      <c r="C5907" s="547" t="s">
        <v>19</v>
      </c>
      <c r="D5907" s="547" t="s">
        <v>60</v>
      </c>
      <c r="E5907" s="547" t="s">
        <v>572</v>
      </c>
      <c r="F5907" s="550">
        <v>9</v>
      </c>
      <c r="G5907" s="550" t="s">
        <v>61</v>
      </c>
      <c r="H5907" s="599" t="s">
        <v>70</v>
      </c>
      <c r="I5907" s="551">
        <v>5.76</v>
      </c>
      <c r="J5907" s="765">
        <v>9</v>
      </c>
      <c r="K5907" s="766">
        <f>20-10</f>
        <v>10</v>
      </c>
      <c r="L5907" s="552">
        <f>(I5907*J5907*K5907/1000)</f>
        <v>0.51839999999999997</v>
      </c>
      <c r="M5907" s="550"/>
      <c r="N5907" s="550"/>
      <c r="O5907" s="550"/>
      <c r="P5907" s="2089" t="s">
        <v>636</v>
      </c>
      <c r="Q5907" s="1073"/>
      <c r="R5907" s="1073"/>
      <c r="S5907" s="497" t="s">
        <v>680</v>
      </c>
    </row>
    <row r="5908" spans="1:19" s="497" customFormat="1" ht="17.399999999999999">
      <c r="A5908" s="547"/>
      <c r="B5908" s="813" t="s">
        <v>423</v>
      </c>
      <c r="C5908" s="547"/>
      <c r="D5908" s="547"/>
      <c r="E5908" s="547"/>
      <c r="F5908" s="550"/>
      <c r="G5908" s="550" t="s">
        <v>61</v>
      </c>
      <c r="H5908" s="550" t="s">
        <v>70</v>
      </c>
      <c r="I5908" s="551">
        <v>5.76</v>
      </c>
      <c r="J5908" s="765">
        <v>11.5</v>
      </c>
      <c r="K5908" s="766">
        <f>60-7</f>
        <v>53</v>
      </c>
      <c r="L5908" s="552">
        <f>(I5908*J5908*K5908/1000)</f>
        <v>3.5107199999999996</v>
      </c>
      <c r="M5908" s="550"/>
      <c r="N5908" s="550"/>
      <c r="O5908" s="550"/>
      <c r="P5908" s="2089"/>
      <c r="Q5908" s="1073"/>
      <c r="R5908" s="1073"/>
    </row>
    <row r="5909" spans="1:19" s="497" customFormat="1" ht="17.399999999999999">
      <c r="A5909" s="547"/>
      <c r="B5909" s="813"/>
      <c r="C5909" s="547"/>
      <c r="D5909" s="547"/>
      <c r="E5909" s="547"/>
      <c r="F5909" s="550"/>
      <c r="G5909" s="550" t="s">
        <v>61</v>
      </c>
      <c r="H5909" s="550" t="s">
        <v>70</v>
      </c>
      <c r="I5909" s="551">
        <v>5.76</v>
      </c>
      <c r="J5909" s="765">
        <v>12</v>
      </c>
      <c r="K5909" s="766">
        <f>20-7</f>
        <v>13</v>
      </c>
      <c r="L5909" s="552">
        <f>(I5909*J5909*K5909/1000)</f>
        <v>0.89856000000000003</v>
      </c>
      <c r="M5909" s="550"/>
      <c r="N5909" s="550"/>
      <c r="O5909" s="550"/>
      <c r="P5909" s="2089"/>
      <c r="Q5909" s="1073"/>
      <c r="R5909" s="1073"/>
    </row>
    <row r="5910" spans="1:19" s="497" customFormat="1" ht="17.399999999999999">
      <c r="A5910" s="547"/>
      <c r="B5910" s="752"/>
      <c r="C5910" s="547"/>
      <c r="D5910" s="547"/>
      <c r="E5910" s="547"/>
      <c r="F5910" s="550"/>
      <c r="G5910" s="550"/>
      <c r="H5910" s="550"/>
      <c r="I5910" s="551"/>
      <c r="J5910" s="765"/>
      <c r="K5910" s="766">
        <f>SUM(K5907:K5909)</f>
        <v>76</v>
      </c>
      <c r="L5910" s="765">
        <f>SUM(L5907:L5909)</f>
        <v>4.9276799999999996</v>
      </c>
      <c r="M5910" s="766">
        <f>SUM(M5907:M5909)</f>
        <v>0</v>
      </c>
      <c r="N5910" s="765">
        <f>SUM(N5907:N5909)</f>
        <v>0</v>
      </c>
      <c r="O5910" s="550"/>
      <c r="P5910" s="2089"/>
      <c r="Q5910" s="1073"/>
      <c r="R5910" s="1073"/>
    </row>
    <row r="5911" spans="1:19" s="497" customFormat="1" ht="17.399999999999999">
      <c r="A5911" s="547"/>
      <c r="B5911" s="752"/>
      <c r="C5911" s="547"/>
      <c r="D5911" s="547"/>
      <c r="E5911" s="547"/>
      <c r="F5911" s="550"/>
      <c r="G5911" s="550"/>
      <c r="H5911" s="550"/>
      <c r="I5911" s="551"/>
      <c r="J5911" s="765"/>
      <c r="K5911" s="766"/>
      <c r="L5911" s="765"/>
      <c r="M5911" s="766"/>
      <c r="N5911" s="765"/>
      <c r="O5911" s="550"/>
      <c r="P5911" s="550"/>
      <c r="Q5911" s="1065"/>
      <c r="R5911" s="1065"/>
    </row>
    <row r="5912" spans="1:19" s="497" customFormat="1" ht="17.399999999999999">
      <c r="A5912" s="547" t="s">
        <v>523</v>
      </c>
      <c r="B5912" s="852" t="s">
        <v>593</v>
      </c>
      <c r="C5912" s="547" t="s">
        <v>19</v>
      </c>
      <c r="D5912" s="547" t="s">
        <v>60</v>
      </c>
      <c r="E5912" s="547" t="s">
        <v>270</v>
      </c>
      <c r="F5912" s="550">
        <v>7</v>
      </c>
      <c r="G5912" s="550" t="s">
        <v>61</v>
      </c>
      <c r="H5912" s="599" t="s">
        <v>70</v>
      </c>
      <c r="I5912" s="551">
        <v>5.77</v>
      </c>
      <c r="J5912" s="765">
        <v>12</v>
      </c>
      <c r="K5912" s="766">
        <v>16</v>
      </c>
      <c r="L5912" s="552">
        <f>(I5912*J5912*K5912/1000)</f>
        <v>1.1078399999999999</v>
      </c>
      <c r="M5912" s="550"/>
      <c r="N5912" s="550"/>
      <c r="O5912" s="550"/>
      <c r="P5912" s="2089" t="s">
        <v>637</v>
      </c>
      <c r="Q5912" s="1073"/>
      <c r="R5912" s="1073"/>
      <c r="S5912" s="497" t="s">
        <v>680</v>
      </c>
    </row>
    <row r="5913" spans="1:19" s="497" customFormat="1" ht="17.399999999999999">
      <c r="A5913" s="547"/>
      <c r="B5913" s="752" t="s">
        <v>277</v>
      </c>
      <c r="C5913" s="550"/>
      <c r="D5913" s="550"/>
      <c r="E5913" s="548"/>
      <c r="F5913" s="550"/>
      <c r="G5913" s="550"/>
      <c r="H5913" s="550"/>
      <c r="I5913" s="551"/>
      <c r="J5913" s="765"/>
      <c r="K5913" s="766">
        <f t="shared" ref="K5913" si="1279">SUM(K5912)</f>
        <v>16</v>
      </c>
      <c r="L5913" s="765">
        <f>SUM(L5912)</f>
        <v>1.1078399999999999</v>
      </c>
      <c r="M5913" s="550"/>
      <c r="N5913" s="550"/>
      <c r="O5913" s="550"/>
      <c r="P5913" s="2089"/>
      <c r="Q5913" s="1073"/>
      <c r="R5913" s="1073"/>
    </row>
    <row r="5914" spans="1:19" s="497" customFormat="1" ht="17.399999999999999">
      <c r="A5914" s="547"/>
      <c r="B5914" s="752"/>
      <c r="C5914" s="547"/>
      <c r="D5914" s="547"/>
      <c r="E5914" s="547"/>
      <c r="F5914" s="550"/>
      <c r="G5914" s="550"/>
      <c r="H5914" s="550"/>
      <c r="I5914" s="551"/>
      <c r="J5914" s="765"/>
      <c r="K5914" s="766">
        <f>SUM(K5901:K5913)/2</f>
        <v>115</v>
      </c>
      <c r="L5914" s="765">
        <f>SUM(L5901:L5913)/2</f>
        <v>7.5590399999999995</v>
      </c>
      <c r="M5914" s="766">
        <f>SUM(M5901:M5913)/2</f>
        <v>11</v>
      </c>
      <c r="N5914" s="765">
        <f>SUM(N5901:N5913)/2</f>
        <v>0.72863999999999995</v>
      </c>
      <c r="O5914" s="550"/>
      <c r="P5914" s="550"/>
      <c r="Q5914" s="1065"/>
      <c r="R5914" s="1065"/>
    </row>
    <row r="5915" spans="1:19" s="497" customFormat="1" ht="17.399999999999999">
      <c r="A5915" s="547"/>
      <c r="B5915" s="752"/>
      <c r="C5915" s="547"/>
      <c r="D5915" s="547"/>
      <c r="E5915" s="547"/>
      <c r="F5915" s="550"/>
      <c r="G5915" s="550"/>
      <c r="H5915" s="550"/>
      <c r="I5915" s="551"/>
      <c r="J5915" s="765"/>
      <c r="K5915" s="766"/>
      <c r="L5915" s="765"/>
      <c r="M5915" s="550"/>
      <c r="N5915" s="550"/>
      <c r="O5915" s="550"/>
      <c r="P5915" s="550"/>
      <c r="Q5915" s="1065"/>
      <c r="R5915" s="1065"/>
    </row>
    <row r="5916" spans="1:19" s="497" customFormat="1" ht="17.399999999999999">
      <c r="A5916" s="547"/>
      <c r="B5916" s="752"/>
      <c r="C5916" s="547"/>
      <c r="D5916" s="547"/>
      <c r="E5916" s="547"/>
      <c r="F5916" s="550"/>
      <c r="G5916" s="550"/>
      <c r="H5916" s="550"/>
      <c r="I5916" s="551"/>
      <c r="J5916" s="765"/>
      <c r="K5916" s="766"/>
      <c r="L5916" s="765"/>
      <c r="M5916" s="550"/>
      <c r="N5916" s="550"/>
      <c r="O5916" s="550"/>
      <c r="P5916" s="1019"/>
      <c r="Q5916" s="1074"/>
      <c r="R5916" s="1074"/>
    </row>
    <row r="5917" spans="1:19" ht="17.399999999999999">
      <c r="A5917" s="550"/>
      <c r="B5917" s="550"/>
      <c r="C5917" s="550"/>
      <c r="D5917" s="550"/>
      <c r="E5917" s="550"/>
      <c r="F5917" s="550"/>
      <c r="G5917" s="550"/>
      <c r="H5917" s="550"/>
      <c r="I5917" s="1865"/>
      <c r="J5917" s="550"/>
      <c r="K5917" s="772"/>
      <c r="L5917" s="548"/>
      <c r="M5917" s="550"/>
      <c r="N5917" s="550"/>
      <c r="O5917" s="550"/>
      <c r="P5917" s="1019"/>
      <c r="Q5917" s="1074"/>
      <c r="R5917" s="1074"/>
    </row>
    <row r="5918" spans="1:19" ht="17.399999999999999">
      <c r="A5918" s="547" t="s">
        <v>445</v>
      </c>
      <c r="B5918" s="547" t="s">
        <v>488</v>
      </c>
      <c r="C5918" s="547" t="s">
        <v>19</v>
      </c>
      <c r="D5918" s="547" t="s">
        <v>60</v>
      </c>
      <c r="E5918" s="547" t="s">
        <v>323</v>
      </c>
      <c r="F5918" s="550">
        <v>9</v>
      </c>
      <c r="G5918" s="550" t="s">
        <v>61</v>
      </c>
      <c r="H5918" s="599" t="s">
        <v>69</v>
      </c>
      <c r="I5918" s="551">
        <v>6.85</v>
      </c>
      <c r="J5918" s="765">
        <v>11.7</v>
      </c>
      <c r="K5918" s="766">
        <v>14</v>
      </c>
      <c r="L5918" s="552">
        <f>(I5918*J5918*K5918/1000)</f>
        <v>1.1220300000000001</v>
      </c>
      <c r="M5918" s="550">
        <v>14</v>
      </c>
      <c r="N5918" s="765">
        <f>J5918*M5918*I5918/1000</f>
        <v>1.1220299999999996</v>
      </c>
      <c r="O5918" s="550"/>
      <c r="P5918" s="2089" t="s">
        <v>638</v>
      </c>
      <c r="Q5918" s="1073"/>
      <c r="R5918" s="1073"/>
      <c r="S5918" s="497" t="s">
        <v>680</v>
      </c>
    </row>
    <row r="5919" spans="1:19" ht="17.399999999999999">
      <c r="A5919" s="547"/>
      <c r="B5919" s="752" t="s">
        <v>439</v>
      </c>
      <c r="C5919" s="547"/>
      <c r="D5919" s="547"/>
      <c r="E5919" s="547"/>
      <c r="F5919" s="550"/>
      <c r="G5919" s="550"/>
      <c r="H5919" s="550"/>
      <c r="I5919" s="551"/>
      <c r="J5919" s="765"/>
      <c r="K5919" s="766">
        <f t="shared" ref="K5919:M5919" si="1280">SUM(K5918)</f>
        <v>14</v>
      </c>
      <c r="L5919" s="765">
        <f>SUM(L5918)</f>
        <v>1.1220300000000001</v>
      </c>
      <c r="M5919" s="766">
        <f t="shared" si="1280"/>
        <v>14</v>
      </c>
      <c r="N5919" s="765">
        <f>SUM(N5918)</f>
        <v>1.1220299999999996</v>
      </c>
      <c r="O5919" s="550"/>
      <c r="P5919" s="2089"/>
      <c r="Q5919" s="1073"/>
      <c r="R5919" s="1073"/>
    </row>
    <row r="5920" spans="1:19" s="497" customFormat="1" ht="17.399999999999999">
      <c r="A5920" s="547"/>
      <c r="B5920" s="752"/>
      <c r="C5920" s="547"/>
      <c r="D5920" s="547"/>
      <c r="E5920" s="547"/>
      <c r="F5920" s="550"/>
      <c r="G5920" s="550"/>
      <c r="H5920" s="550"/>
      <c r="I5920" s="551"/>
      <c r="J5920" s="765"/>
      <c r="K5920" s="766"/>
      <c r="L5920" s="765"/>
      <c r="M5920" s="550"/>
      <c r="N5920" s="550"/>
      <c r="O5920" s="550"/>
      <c r="P5920" s="1019"/>
      <c r="Q5920" s="1074"/>
      <c r="R5920" s="1074"/>
    </row>
    <row r="5921" spans="1:19" s="497" customFormat="1" ht="17.399999999999999">
      <c r="A5921" s="547" t="s">
        <v>445</v>
      </c>
      <c r="B5921" s="547" t="s">
        <v>618</v>
      </c>
      <c r="C5921" s="547" t="s">
        <v>19</v>
      </c>
      <c r="D5921" s="547" t="s">
        <v>60</v>
      </c>
      <c r="E5921" s="547" t="s">
        <v>270</v>
      </c>
      <c r="F5921" s="550">
        <v>7</v>
      </c>
      <c r="G5921" s="549" t="s">
        <v>61</v>
      </c>
      <c r="H5921" s="599" t="s">
        <v>69</v>
      </c>
      <c r="I5921" s="558">
        <v>6.86</v>
      </c>
      <c r="J5921" s="567">
        <v>6.15</v>
      </c>
      <c r="K5921" s="648">
        <v>25</v>
      </c>
      <c r="L5921" s="552">
        <f>(I5921*J5921*K5921/1000)</f>
        <v>1.0547250000000001</v>
      </c>
      <c r="M5921" s="550"/>
      <c r="N5921" s="550"/>
      <c r="O5921" s="550"/>
      <c r="P5921" s="2089" t="s">
        <v>639</v>
      </c>
      <c r="Q5921" s="1073"/>
      <c r="R5921" s="1073"/>
      <c r="S5921" s="497" t="s">
        <v>680</v>
      </c>
    </row>
    <row r="5922" spans="1:19" s="497" customFormat="1" ht="17.399999999999999">
      <c r="A5922" s="550"/>
      <c r="B5922" s="560" t="s">
        <v>619</v>
      </c>
      <c r="C5922" s="550"/>
      <c r="D5922" s="550"/>
      <c r="E5922" s="548"/>
      <c r="F5922" s="550"/>
      <c r="G5922" s="550"/>
      <c r="H5922" s="550"/>
      <c r="I5922" s="551"/>
      <c r="J5922" s="765"/>
      <c r="K5922" s="766">
        <f t="shared" ref="K5922" si="1281">SUM(K5921)</f>
        <v>25</v>
      </c>
      <c r="L5922" s="765">
        <f>SUM(L5921)</f>
        <v>1.0547250000000001</v>
      </c>
      <c r="M5922" s="550"/>
      <c r="N5922" s="550"/>
      <c r="O5922" s="550"/>
      <c r="P5922" s="2089"/>
      <c r="Q5922" s="1073"/>
      <c r="R5922" s="1073"/>
    </row>
    <row r="5923" spans="1:19" s="497" customFormat="1" ht="17.399999999999999">
      <c r="A5923" s="550"/>
      <c r="B5923" s="550"/>
      <c r="C5923" s="550"/>
      <c r="D5923" s="550"/>
      <c r="E5923" s="548"/>
      <c r="F5923" s="550"/>
      <c r="G5923" s="550"/>
      <c r="H5923" s="550"/>
      <c r="I5923" s="551"/>
      <c r="J5923" s="765"/>
      <c r="K5923" s="766"/>
      <c r="L5923" s="765"/>
      <c r="M5923" s="550"/>
      <c r="N5923" s="550"/>
      <c r="O5923" s="550"/>
      <c r="P5923" s="2089"/>
      <c r="Q5923" s="1073"/>
      <c r="R5923" s="1073"/>
    </row>
    <row r="5924" spans="1:19" s="497" customFormat="1" ht="17.399999999999999">
      <c r="A5924" s="547" t="s">
        <v>523</v>
      </c>
      <c r="B5924" s="852" t="s">
        <v>593</v>
      </c>
      <c r="C5924" s="547" t="s">
        <v>19</v>
      </c>
      <c r="D5924" s="547" t="s">
        <v>60</v>
      </c>
      <c r="E5924" s="547" t="s">
        <v>270</v>
      </c>
      <c r="F5924" s="550">
        <v>7</v>
      </c>
      <c r="G5924" s="549" t="s">
        <v>61</v>
      </c>
      <c r="H5924" s="599" t="s">
        <v>69</v>
      </c>
      <c r="I5924" s="558">
        <v>6.86</v>
      </c>
      <c r="J5924" s="567">
        <v>12</v>
      </c>
      <c r="K5924" s="648">
        <v>28</v>
      </c>
      <c r="L5924" s="552">
        <f>(I5924*J5924*K5924/1000)</f>
        <v>2.3049599999999999</v>
      </c>
      <c r="M5924" s="550"/>
      <c r="N5924" s="550"/>
      <c r="O5924" s="550"/>
      <c r="P5924" s="2089"/>
      <c r="Q5924" s="1073"/>
      <c r="R5924" s="1073"/>
      <c r="S5924" s="497" t="s">
        <v>680</v>
      </c>
    </row>
    <row r="5925" spans="1:19" s="497" customFormat="1" ht="17.399999999999999">
      <c r="A5925" s="547"/>
      <c r="B5925" s="752" t="s">
        <v>277</v>
      </c>
      <c r="C5925" s="550"/>
      <c r="D5925" s="550"/>
      <c r="E5925" s="548"/>
      <c r="F5925" s="550"/>
      <c r="G5925" s="549"/>
      <c r="H5925" s="549"/>
      <c r="I5925" s="558"/>
      <c r="J5925" s="567"/>
      <c r="K5925" s="648">
        <f t="shared" ref="K5925" si="1282">SUM(K5924)</f>
        <v>28</v>
      </c>
      <c r="L5925" s="567">
        <f>SUM(L5924)</f>
        <v>2.3049599999999999</v>
      </c>
      <c r="M5925" s="550"/>
      <c r="N5925" s="550"/>
      <c r="O5925" s="550"/>
      <c r="P5925" s="2089"/>
      <c r="Q5925" s="1073"/>
      <c r="R5925" s="1073"/>
    </row>
    <row r="5926" spans="1:19" s="497" customFormat="1" ht="17.399999999999999">
      <c r="A5926" s="547"/>
      <c r="B5926" s="752"/>
      <c r="C5926" s="550"/>
      <c r="D5926" s="550"/>
      <c r="E5926" s="548"/>
      <c r="F5926" s="550"/>
      <c r="G5926" s="549"/>
      <c r="H5926" s="549"/>
      <c r="I5926" s="558"/>
      <c r="J5926" s="567"/>
      <c r="K5926" s="648">
        <f>SUM(K5918:K5925)/2</f>
        <v>67</v>
      </c>
      <c r="L5926" s="567">
        <f>SUM(L5918:L5925)/2</f>
        <v>4.4817150000000003</v>
      </c>
      <c r="M5926" s="648">
        <f>SUM(M5918:M5925)/2</f>
        <v>14</v>
      </c>
      <c r="N5926" s="567">
        <f>SUM(N5918:N5925)/2</f>
        <v>1.1220299999999996</v>
      </c>
      <c r="O5926" s="550"/>
      <c r="P5926" s="1019"/>
      <c r="Q5926" s="1074"/>
      <c r="R5926" s="1074"/>
    </row>
    <row r="5927" spans="1:19" s="497" customFormat="1" ht="17.399999999999999">
      <c r="A5927" s="550"/>
      <c r="B5927" s="550"/>
      <c r="C5927" s="550"/>
      <c r="D5927" s="550"/>
      <c r="E5927" s="548"/>
      <c r="F5927" s="550"/>
      <c r="G5927" s="550"/>
      <c r="H5927" s="550"/>
      <c r="I5927" s="551"/>
      <c r="J5927" s="765"/>
      <c r="K5927" s="766"/>
      <c r="L5927" s="765"/>
      <c r="M5927" s="550"/>
      <c r="N5927" s="550"/>
      <c r="O5927" s="550"/>
      <c r="P5927" s="1019"/>
      <c r="Q5927" s="1074"/>
      <c r="R5927" s="1074"/>
    </row>
    <row r="5928" spans="1:19" s="497" customFormat="1" ht="17.399999999999999">
      <c r="A5928" s="550"/>
      <c r="B5928" s="550"/>
      <c r="C5928" s="550"/>
      <c r="D5928" s="550"/>
      <c r="E5928" s="548"/>
      <c r="F5928" s="550"/>
      <c r="G5928" s="550"/>
      <c r="H5928" s="550"/>
      <c r="I5928" s="551"/>
      <c r="J5928" s="765"/>
      <c r="K5928" s="766"/>
      <c r="L5928" s="765"/>
      <c r="M5928" s="550"/>
      <c r="N5928" s="550"/>
      <c r="O5928" s="550"/>
      <c r="P5928" s="1019"/>
      <c r="Q5928" s="1074"/>
      <c r="R5928" s="1074"/>
    </row>
    <row r="5929" spans="1:19" s="497" customFormat="1" ht="17.399999999999999">
      <c r="A5929" s="547" t="s">
        <v>272</v>
      </c>
      <c r="B5929" s="852" t="s">
        <v>580</v>
      </c>
      <c r="C5929" s="547" t="s">
        <v>446</v>
      </c>
      <c r="D5929" s="813" t="s">
        <v>450</v>
      </c>
      <c r="E5929" s="547" t="s">
        <v>270</v>
      </c>
      <c r="F5929" s="548">
        <v>7</v>
      </c>
      <c r="G5929" s="549" t="s">
        <v>61</v>
      </c>
      <c r="H5929" s="599" t="s">
        <v>70</v>
      </c>
      <c r="I5929" s="558">
        <v>5.77</v>
      </c>
      <c r="J5929" s="567">
        <v>10</v>
      </c>
      <c r="K5929" s="648">
        <v>59</v>
      </c>
      <c r="L5929" s="552">
        <f t="shared" ref="L5929:L5930" si="1283">(I5929*J5929*K5929/1000)</f>
        <v>3.4042999999999997</v>
      </c>
      <c r="M5929" s="550"/>
      <c r="N5929" s="550"/>
      <c r="O5929" s="550"/>
      <c r="P5929" s="2089" t="s">
        <v>640</v>
      </c>
      <c r="Q5929" s="1073"/>
      <c r="R5929" s="1073"/>
      <c r="S5929" s="497" t="s">
        <v>707</v>
      </c>
    </row>
    <row r="5930" spans="1:19" s="497" customFormat="1" ht="17.399999999999999">
      <c r="A5930" s="549"/>
      <c r="B5930" s="549"/>
      <c r="C5930" s="549"/>
      <c r="D5930" s="549"/>
      <c r="E5930" s="549"/>
      <c r="F5930" s="549"/>
      <c r="G5930" s="549" t="s">
        <v>61</v>
      </c>
      <c r="H5930" s="549" t="s">
        <v>70</v>
      </c>
      <c r="I5930" s="558">
        <v>5.77</v>
      </c>
      <c r="J5930" s="567">
        <v>12</v>
      </c>
      <c r="K5930" s="648">
        <v>16</v>
      </c>
      <c r="L5930" s="552">
        <f t="shared" si="1283"/>
        <v>1.1078399999999999</v>
      </c>
      <c r="M5930" s="550"/>
      <c r="N5930" s="550"/>
      <c r="O5930" s="550"/>
      <c r="P5930" s="2089"/>
      <c r="Q5930" s="1073"/>
      <c r="R5930" s="1073"/>
    </row>
    <row r="5931" spans="1:19" s="497" customFormat="1" ht="17.399999999999999">
      <c r="A5931" s="550"/>
      <c r="B5931" s="550"/>
      <c r="C5931" s="550"/>
      <c r="D5931" s="550"/>
      <c r="E5931" s="548"/>
      <c r="F5931" s="550"/>
      <c r="G5931" s="549"/>
      <c r="H5931" s="549"/>
      <c r="I5931" s="558"/>
      <c r="J5931" s="567"/>
      <c r="K5931" s="648">
        <f t="shared" ref="K5931:L5931" si="1284">SUM(K5929:K5930)</f>
        <v>75</v>
      </c>
      <c r="L5931" s="567">
        <f t="shared" si="1284"/>
        <v>4.5121399999999996</v>
      </c>
      <c r="M5931" s="550"/>
      <c r="N5931" s="550"/>
      <c r="O5931" s="550"/>
      <c r="P5931" s="2089"/>
      <c r="Q5931" s="1073"/>
      <c r="R5931" s="1073"/>
    </row>
    <row r="5932" spans="1:19" s="497" customFormat="1" ht="17.399999999999999">
      <c r="A5932" s="550"/>
      <c r="B5932" s="550"/>
      <c r="C5932" s="550"/>
      <c r="D5932" s="550"/>
      <c r="E5932" s="548"/>
      <c r="F5932" s="550"/>
      <c r="G5932" s="550"/>
      <c r="H5932" s="549"/>
      <c r="I5932" s="551"/>
      <c r="J5932" s="765"/>
      <c r="K5932" s="766"/>
      <c r="L5932" s="765"/>
      <c r="M5932" s="550"/>
      <c r="N5932" s="550"/>
      <c r="O5932" s="550"/>
      <c r="P5932" s="2089"/>
      <c r="Q5932" s="1073"/>
      <c r="R5932" s="1073"/>
    </row>
    <row r="5933" spans="1:19" s="497" customFormat="1" ht="17.399999999999999">
      <c r="A5933" s="547" t="s">
        <v>272</v>
      </c>
      <c r="B5933" s="852" t="s">
        <v>624</v>
      </c>
      <c r="C5933" s="547" t="s">
        <v>446</v>
      </c>
      <c r="D5933" s="813" t="s">
        <v>450</v>
      </c>
      <c r="E5933" s="547" t="s">
        <v>270</v>
      </c>
      <c r="F5933" s="548">
        <v>7</v>
      </c>
      <c r="G5933" s="549" t="s">
        <v>61</v>
      </c>
      <c r="H5933" s="599" t="s">
        <v>70</v>
      </c>
      <c r="I5933" s="558">
        <v>5.77</v>
      </c>
      <c r="J5933" s="647">
        <v>10</v>
      </c>
      <c r="K5933" s="648">
        <v>87</v>
      </c>
      <c r="L5933" s="552">
        <f>(I5933*J5933*K5933/1000)</f>
        <v>5.0198999999999998</v>
      </c>
      <c r="M5933" s="550"/>
      <c r="N5933" s="550"/>
      <c r="O5933" s="550"/>
      <c r="P5933" s="2089"/>
      <c r="Q5933" s="1073"/>
      <c r="R5933" s="1073"/>
      <c r="S5933" s="497" t="s">
        <v>707</v>
      </c>
    </row>
    <row r="5934" spans="1:19" s="497" customFormat="1" ht="17.399999999999999">
      <c r="A5934" s="549"/>
      <c r="B5934" s="549"/>
      <c r="C5934" s="549"/>
      <c r="D5934" s="549"/>
      <c r="E5934" s="549"/>
      <c r="F5934" s="549"/>
      <c r="G5934" s="549" t="s">
        <v>61</v>
      </c>
      <c r="H5934" s="549" t="s">
        <v>70</v>
      </c>
      <c r="I5934" s="558">
        <v>5.77</v>
      </c>
      <c r="J5934" s="647">
        <v>10.5</v>
      </c>
      <c r="K5934" s="648">
        <v>144</v>
      </c>
      <c r="L5934" s="552">
        <f>(I5934*J5934*K5934/1000)</f>
        <v>8.72424</v>
      </c>
      <c r="M5934" s="550"/>
      <c r="N5934" s="550"/>
      <c r="O5934" s="550"/>
      <c r="P5934" s="2089"/>
      <c r="Q5934" s="1073"/>
      <c r="R5934" s="1073"/>
    </row>
    <row r="5935" spans="1:19" s="497" customFormat="1" ht="17.399999999999999">
      <c r="A5935" s="550"/>
      <c r="B5935" s="550"/>
      <c r="C5935" s="550"/>
      <c r="D5935" s="550"/>
      <c r="E5935" s="548"/>
      <c r="F5935" s="550"/>
      <c r="G5935" s="549" t="s">
        <v>61</v>
      </c>
      <c r="H5935" s="549" t="s">
        <v>70</v>
      </c>
      <c r="I5935" s="558">
        <v>5.77</v>
      </c>
      <c r="J5935" s="647">
        <v>11.5</v>
      </c>
      <c r="K5935" s="648">
        <v>122</v>
      </c>
      <c r="L5935" s="552">
        <f>(I5935*J5935*K5935/1000)</f>
        <v>8.0953099999999978</v>
      </c>
      <c r="M5935" s="550"/>
      <c r="N5935" s="550"/>
      <c r="O5935" s="550"/>
      <c r="P5935" s="2089"/>
      <c r="Q5935" s="1073"/>
      <c r="R5935" s="1073"/>
    </row>
    <row r="5936" spans="1:19" s="497" customFormat="1" ht="17.399999999999999">
      <c r="A5936" s="550"/>
      <c r="B5936" s="550"/>
      <c r="C5936" s="550"/>
      <c r="D5936" s="550"/>
      <c r="E5936" s="548"/>
      <c r="F5936" s="550"/>
      <c r="G5936" s="549" t="s">
        <v>61</v>
      </c>
      <c r="H5936" s="549" t="s">
        <v>70</v>
      </c>
      <c r="I5936" s="558">
        <v>5.77</v>
      </c>
      <c r="J5936" s="647">
        <v>12</v>
      </c>
      <c r="K5936" s="648">
        <v>54</v>
      </c>
      <c r="L5936" s="552">
        <f t="shared" ref="L5936" si="1285">(I5936*J5936*K5936/1000)</f>
        <v>3.7389599999999996</v>
      </c>
      <c r="M5936" s="550"/>
      <c r="N5936" s="550"/>
      <c r="O5936" s="550"/>
      <c r="P5936" s="2089"/>
      <c r="Q5936" s="1073"/>
      <c r="R5936" s="1073"/>
    </row>
    <row r="5937" spans="1:18" s="497" customFormat="1" ht="17.399999999999999">
      <c r="A5937" s="550"/>
      <c r="B5937" s="550"/>
      <c r="C5937" s="550"/>
      <c r="D5937" s="550"/>
      <c r="E5937" s="548"/>
      <c r="F5937" s="550"/>
      <c r="G5937" s="550"/>
      <c r="H5937" s="549"/>
      <c r="I5937" s="551"/>
      <c r="J5937" s="765"/>
      <c r="K5937" s="766">
        <f>SUM(K5933:K5936)</f>
        <v>407</v>
      </c>
      <c r="L5937" s="765">
        <f>SUM(L5933:L5936)</f>
        <v>25.578409999999998</v>
      </c>
      <c r="M5937" s="550"/>
      <c r="N5937" s="550"/>
      <c r="O5937" s="550"/>
      <c r="P5937" s="2089"/>
      <c r="Q5937" s="1073"/>
      <c r="R5937" s="1073"/>
    </row>
    <row r="5938" spans="1:18" s="497" customFormat="1" ht="17.399999999999999">
      <c r="A5938" s="550"/>
      <c r="B5938" s="550"/>
      <c r="C5938" s="550"/>
      <c r="D5938" s="550"/>
      <c r="E5938" s="548"/>
      <c r="F5938" s="550"/>
      <c r="G5938" s="550"/>
      <c r="H5938" s="549"/>
      <c r="I5938" s="551"/>
      <c r="J5938" s="765"/>
      <c r="K5938" s="766"/>
      <c r="L5938" s="765">
        <f>+L5937+L5931</f>
        <v>30.090549999999997</v>
      </c>
      <c r="M5938" s="550"/>
      <c r="N5938" s="550"/>
      <c r="O5938" s="550"/>
      <c r="P5938" s="1019"/>
      <c r="Q5938" s="1074"/>
      <c r="R5938" s="1074"/>
    </row>
    <row r="5939" spans="1:18" s="497" customFormat="1" ht="17.399999999999999">
      <c r="A5939" s="550"/>
      <c r="B5939" s="550"/>
      <c r="C5939" s="550"/>
      <c r="D5939" s="550"/>
      <c r="E5939" s="548"/>
      <c r="F5939" s="550"/>
      <c r="G5939" s="550"/>
      <c r="H5939" s="549"/>
      <c r="I5939" s="551"/>
      <c r="J5939" s="765"/>
      <c r="K5939" s="766"/>
      <c r="L5939" s="765"/>
      <c r="M5939" s="550"/>
      <c r="N5939" s="550"/>
      <c r="O5939" s="550"/>
      <c r="P5939" s="1019"/>
      <c r="Q5939" s="1074"/>
      <c r="R5939" s="1074"/>
    </row>
    <row r="5940" spans="1:18" s="497" customFormat="1" ht="17.399999999999999">
      <c r="A5940" s="550"/>
      <c r="B5940" s="550"/>
      <c r="C5940" s="550"/>
      <c r="D5940" s="550"/>
      <c r="E5940" s="548"/>
      <c r="F5940" s="550"/>
      <c r="G5940" s="550"/>
      <c r="H5940" s="549"/>
      <c r="I5940" s="551"/>
      <c r="J5940" s="765"/>
      <c r="K5940" s="766"/>
      <c r="L5940" s="765"/>
      <c r="M5940" s="550"/>
      <c r="N5940" s="550"/>
      <c r="O5940" s="550"/>
      <c r="P5940" s="1019"/>
      <c r="Q5940" s="1074"/>
      <c r="R5940" s="1074"/>
    </row>
    <row r="5941" spans="1:18" s="497" customFormat="1" ht="17.399999999999999">
      <c r="A5941" s="547"/>
      <c r="B5941" s="547"/>
      <c r="C5941" s="547"/>
      <c r="D5941" s="547"/>
      <c r="E5941" s="547"/>
      <c r="F5941" s="550"/>
      <c r="G5941" s="550"/>
      <c r="H5941" s="549"/>
      <c r="I5941" s="551"/>
      <c r="J5941" s="765"/>
      <c r="K5941" s="766"/>
      <c r="L5941" s="552"/>
      <c r="M5941" s="550"/>
      <c r="N5941" s="765"/>
      <c r="O5941" s="550"/>
      <c r="P5941" s="1019"/>
      <c r="Q5941" s="1074"/>
      <c r="R5941" s="1074"/>
    </row>
    <row r="5942" spans="1:18" ht="17.399999999999999">
      <c r="A5942" s="547" t="s">
        <v>523</v>
      </c>
      <c r="B5942" s="547" t="s">
        <v>522</v>
      </c>
      <c r="C5942" s="547" t="s">
        <v>19</v>
      </c>
      <c r="D5942" s="547" t="s">
        <v>60</v>
      </c>
      <c r="E5942" s="547" t="s">
        <v>270</v>
      </c>
      <c r="F5942" s="550">
        <v>7</v>
      </c>
      <c r="G5942" s="550" t="s">
        <v>61</v>
      </c>
      <c r="H5942" s="550" t="s">
        <v>274</v>
      </c>
      <c r="I5942" s="551">
        <v>9</v>
      </c>
      <c r="J5942" s="765">
        <v>11.5</v>
      </c>
      <c r="K5942" s="766">
        <v>63</v>
      </c>
      <c r="L5942" s="552">
        <f>(I5942*J5942*K5942/1000)</f>
        <v>6.5205000000000002</v>
      </c>
      <c r="M5942" s="550">
        <v>32</v>
      </c>
      <c r="N5942" s="765">
        <f>J5942*M5942*I5942/1000</f>
        <v>3.3119999999999998</v>
      </c>
      <c r="O5942" s="550"/>
      <c r="P5942" s="2089"/>
      <c r="Q5942" s="1073"/>
      <c r="R5942" s="1073"/>
    </row>
    <row r="5943" spans="1:18" ht="17.399999999999999">
      <c r="A5943" s="550"/>
      <c r="B5943" s="754" t="s">
        <v>627</v>
      </c>
      <c r="C5943" s="550"/>
      <c r="D5943" s="550"/>
      <c r="E5943" s="548"/>
      <c r="F5943" s="550"/>
      <c r="G5943" s="550"/>
      <c r="H5943" s="550"/>
      <c r="I5943" s="551"/>
      <c r="J5943" s="765"/>
      <c r="K5943" s="766">
        <f>SUM(K5942:K5942)</f>
        <v>63</v>
      </c>
      <c r="L5943" s="765">
        <f>SUM(L5942:L5942)</f>
        <v>6.5205000000000002</v>
      </c>
      <c r="M5943" s="766">
        <f>SUM(M5942:M5942)</f>
        <v>32</v>
      </c>
      <c r="N5943" s="765">
        <f>SUM(N5942:N5942)</f>
        <v>3.3119999999999998</v>
      </c>
      <c r="O5943" s="550"/>
      <c r="P5943" s="2089"/>
      <c r="Q5943" s="1073"/>
      <c r="R5943" s="1073"/>
    </row>
    <row r="5944" spans="1:18" s="497" customFormat="1" ht="17.399999999999999">
      <c r="A5944" s="550"/>
      <c r="B5944" s="550"/>
      <c r="C5944" s="550"/>
      <c r="D5944" s="550"/>
      <c r="E5944" s="548"/>
      <c r="F5944" s="550"/>
      <c r="G5944" s="550"/>
      <c r="H5944" s="550"/>
      <c r="I5944" s="551"/>
      <c r="J5944" s="765"/>
      <c r="K5944" s="766"/>
      <c r="L5944" s="765"/>
      <c r="M5944" s="550"/>
      <c r="N5944" s="550"/>
      <c r="O5944" s="550"/>
      <c r="P5944" s="1019"/>
      <c r="Q5944" s="1074"/>
      <c r="R5944" s="1074"/>
    </row>
    <row r="5945" spans="1:18" s="497" customFormat="1" ht="17.399999999999999">
      <c r="A5945" s="550"/>
      <c r="B5945" s="550"/>
      <c r="C5945" s="550"/>
      <c r="D5945" s="550"/>
      <c r="E5945" s="548"/>
      <c r="F5945" s="550"/>
      <c r="G5945" s="550"/>
      <c r="H5945" s="550"/>
      <c r="I5945" s="551"/>
      <c r="J5945" s="765"/>
      <c r="K5945" s="766"/>
      <c r="L5945" s="765"/>
      <c r="M5945" s="550"/>
      <c r="N5945" s="550"/>
      <c r="O5945" s="550"/>
      <c r="P5945" s="1019"/>
      <c r="Q5945" s="1074"/>
      <c r="R5945" s="1074"/>
    </row>
    <row r="5946" spans="1:18" s="497" customFormat="1" ht="17.399999999999999">
      <c r="A5946" s="550"/>
      <c r="B5946" s="550"/>
      <c r="C5946" s="550"/>
      <c r="D5946" s="550"/>
      <c r="E5946" s="548"/>
      <c r="F5946" s="550"/>
      <c r="G5946" s="550"/>
      <c r="H5946" s="550"/>
      <c r="I5946" s="551"/>
      <c r="J5946" s="765"/>
      <c r="K5946" s="766"/>
      <c r="L5946" s="765"/>
      <c r="M5946" s="550"/>
      <c r="N5946" s="550"/>
      <c r="O5946" s="550"/>
      <c r="P5946" s="550"/>
      <c r="Q5946" s="1065"/>
      <c r="R5946" s="1065"/>
    </row>
    <row r="5947" spans="1:18" s="497" customFormat="1" ht="17.399999999999999">
      <c r="A5947" s="550"/>
      <c r="B5947" s="550"/>
      <c r="C5947" s="550"/>
      <c r="D5947" s="550"/>
      <c r="E5947" s="548"/>
      <c r="F5947" s="550"/>
      <c r="G5947" s="550"/>
      <c r="H5947" s="550"/>
      <c r="I5947" s="551"/>
      <c r="J5947" s="765"/>
      <c r="K5947" s="766"/>
      <c r="L5947" s="765">
        <f>+L5943+L5926+L5914+L5889+L5896+L5869+L5857+L5852+L5938</f>
        <v>267.33058899999997</v>
      </c>
      <c r="M5947" s="550"/>
      <c r="N5947" s="765">
        <f>+N5943+N5926+N5914+N5889+N5896+N5869+N5857+N5852</f>
        <v>9.8925660000000004</v>
      </c>
      <c r="O5947" s="550"/>
      <c r="P5947" s="550"/>
      <c r="Q5947" s="1065"/>
      <c r="R5947" s="1065"/>
    </row>
    <row r="5948" spans="1:18" ht="18">
      <c r="A5948" s="653" t="s">
        <v>48</v>
      </c>
      <c r="B5948" s="653"/>
      <c r="C5948" s="654"/>
      <c r="D5948" s="654"/>
      <c r="E5948" s="654"/>
      <c r="F5948" s="909"/>
      <c r="G5948" s="654"/>
      <c r="H5948" s="909"/>
      <c r="I5948" s="656"/>
      <c r="J5948" s="654"/>
      <c r="K5948" s="657"/>
      <c r="L5948" s="2003" t="s">
        <v>0</v>
      </c>
      <c r="M5948" s="2003"/>
      <c r="N5948" s="2003"/>
      <c r="O5948" s="2004"/>
      <c r="P5948" s="2010"/>
      <c r="Q5948" s="1064"/>
      <c r="R5948" s="1064"/>
    </row>
    <row r="5949" spans="1:18" ht="18">
      <c r="A5949" s="658" t="s">
        <v>1</v>
      </c>
      <c r="B5949" s="658"/>
      <c r="C5949" s="658"/>
      <c r="D5949" s="659" t="s">
        <v>2</v>
      </c>
      <c r="E5949" s="659"/>
      <c r="F5949" s="660"/>
      <c r="G5949" s="660"/>
      <c r="H5949" s="660"/>
      <c r="I5949" s="661"/>
      <c r="J5949" s="660"/>
      <c r="K5949" s="662" t="s">
        <v>3</v>
      </c>
      <c r="L5949" s="660"/>
      <c r="M5949" s="658"/>
      <c r="N5949" s="660"/>
      <c r="O5949" s="663"/>
      <c r="P5949" s="2010"/>
      <c r="Q5949" s="1064"/>
      <c r="R5949" s="1064"/>
    </row>
    <row r="5950" spans="1:18" ht="18">
      <c r="A5950" s="909" t="s">
        <v>22</v>
      </c>
      <c r="B5950" s="1990" t="s">
        <v>23</v>
      </c>
      <c r="C5950" s="2005"/>
      <c r="D5950" s="1989"/>
      <c r="E5950" s="909" t="s">
        <v>24</v>
      </c>
      <c r="F5950" s="1990" t="s">
        <v>25</v>
      </c>
      <c r="G5950" s="1989"/>
      <c r="H5950" s="1990" t="s">
        <v>26</v>
      </c>
      <c r="I5950" s="2005"/>
      <c r="J5950" s="2005"/>
      <c r="K5950" s="1989"/>
      <c r="L5950" s="2006" t="s">
        <v>27</v>
      </c>
      <c r="M5950" s="2006"/>
      <c r="N5950" s="2006"/>
      <c r="O5950" s="1990"/>
      <c r="P5950" s="2010"/>
      <c r="Q5950" s="1064"/>
      <c r="R5950" s="1064"/>
    </row>
    <row r="5951" spans="1:18" ht="18">
      <c r="A5951" s="664"/>
      <c r="B5951" s="1975"/>
      <c r="C5951" s="1976"/>
      <c r="D5951" s="1977"/>
      <c r="E5951" s="665"/>
      <c r="F5951" s="1975"/>
      <c r="G5951" s="1977"/>
      <c r="H5951" s="1975"/>
      <c r="I5951" s="1976"/>
      <c r="J5951" s="1976"/>
      <c r="K5951" s="1977"/>
      <c r="L5951" s="1975"/>
      <c r="M5951" s="1976"/>
      <c r="N5951" s="1976"/>
      <c r="O5951" s="1976"/>
      <c r="P5951" s="2010"/>
      <c r="Q5951" s="1064"/>
      <c r="R5951" s="1064"/>
    </row>
    <row r="5952" spans="1:18" ht="18">
      <c r="A5952" s="664"/>
      <c r="B5952" s="904"/>
      <c r="C5952" s="905"/>
      <c r="D5952" s="906"/>
      <c r="E5952" s="665"/>
      <c r="F5952" s="904"/>
      <c r="G5952" s="906"/>
      <c r="H5952" s="904"/>
      <c r="I5952" s="1842"/>
      <c r="J5952" s="905"/>
      <c r="K5952" s="906"/>
      <c r="L5952" s="905"/>
      <c r="M5952" s="905"/>
      <c r="N5952" s="905"/>
      <c r="O5952" s="905"/>
      <c r="P5952" s="2010"/>
      <c r="Q5952" s="1064"/>
      <c r="R5952" s="1064"/>
    </row>
    <row r="5953" spans="1:18" ht="18">
      <c r="A5953" s="664" t="s">
        <v>28</v>
      </c>
      <c r="B5953" s="1975" t="s">
        <v>71</v>
      </c>
      <c r="C5953" s="1976"/>
      <c r="D5953" s="1977"/>
      <c r="E5953" s="665">
        <f>+L5852+L5857+L5869-1.233</f>
        <v>171.00995999999998</v>
      </c>
      <c r="F5953" s="1975">
        <v>9</v>
      </c>
      <c r="G5953" s="1977"/>
      <c r="H5953" s="1975" t="s">
        <v>49</v>
      </c>
      <c r="I5953" s="1976"/>
      <c r="J5953" s="1976"/>
      <c r="K5953" s="1977"/>
      <c r="L5953" s="1976" t="s">
        <v>626</v>
      </c>
      <c r="M5953" s="1976"/>
      <c r="N5953" s="1976"/>
      <c r="O5953" s="1976"/>
      <c r="P5953" s="2010"/>
      <c r="Q5953" s="1064"/>
      <c r="R5953" s="1064"/>
    </row>
    <row r="5954" spans="1:18" ht="18">
      <c r="A5954" s="664" t="s">
        <v>29</v>
      </c>
      <c r="B5954" s="1975" t="s">
        <v>78</v>
      </c>
      <c r="C5954" s="1976"/>
      <c r="D5954" s="1977"/>
      <c r="E5954" s="665">
        <f>+L5896+L5889-2.391-1.106</f>
        <v>42.938824000000004</v>
      </c>
      <c r="F5954" s="1975">
        <v>9</v>
      </c>
      <c r="G5954" s="1977"/>
      <c r="H5954" s="1975" t="s">
        <v>49</v>
      </c>
      <c r="I5954" s="1976"/>
      <c r="J5954" s="1976"/>
      <c r="K5954" s="1977"/>
      <c r="L5954" s="1976" t="s">
        <v>625</v>
      </c>
      <c r="M5954" s="1976"/>
      <c r="N5954" s="1976"/>
      <c r="O5954" s="1976"/>
      <c r="P5954" s="2010"/>
      <c r="Q5954" s="1064"/>
      <c r="R5954" s="1064"/>
    </row>
    <row r="5955" spans="1:18" ht="18">
      <c r="A5955" s="664"/>
      <c r="B5955" s="1975"/>
      <c r="C5955" s="1976"/>
      <c r="D5955" s="1977"/>
      <c r="E5955" s="665"/>
      <c r="F5955" s="1975"/>
      <c r="G5955" s="1977"/>
      <c r="H5955" s="1975"/>
      <c r="I5955" s="1976"/>
      <c r="J5955" s="1976"/>
      <c r="K5955" s="1977"/>
      <c r="L5955" s="1976"/>
      <c r="M5955" s="1976"/>
      <c r="N5955" s="1976"/>
      <c r="O5955" s="1976"/>
      <c r="P5955" s="2010"/>
      <c r="Q5955" s="1064"/>
      <c r="R5955" s="1064"/>
    </row>
    <row r="5956" spans="1:18" ht="18">
      <c r="A5956" s="664" t="s">
        <v>30</v>
      </c>
      <c r="B5956" s="1975" t="s">
        <v>573</v>
      </c>
      <c r="C5956" s="1976"/>
      <c r="D5956" s="1977"/>
      <c r="E5956" s="665">
        <f>+L5914-0.729</f>
        <v>6.8300399999999994</v>
      </c>
      <c r="F5956" s="1975">
        <v>9</v>
      </c>
      <c r="G5956" s="1977"/>
      <c r="H5956" s="1975" t="s">
        <v>155</v>
      </c>
      <c r="I5956" s="1976"/>
      <c r="J5956" s="1976"/>
      <c r="K5956" s="1977"/>
      <c r="L5956" s="1976" t="s">
        <v>64</v>
      </c>
      <c r="M5956" s="1976"/>
      <c r="N5956" s="1976"/>
      <c r="O5956" s="1976"/>
      <c r="P5956" s="2010"/>
      <c r="Q5956" s="1064"/>
      <c r="R5956" s="1064"/>
    </row>
    <row r="5957" spans="1:18" s="497" customFormat="1" ht="18">
      <c r="A5957" s="664" t="s">
        <v>46</v>
      </c>
      <c r="B5957" s="1975" t="s">
        <v>623</v>
      </c>
      <c r="C5957" s="1976"/>
      <c r="D5957" s="1977"/>
      <c r="E5957" s="665">
        <f>+L5926-1.122</f>
        <v>3.3597150000000005</v>
      </c>
      <c r="F5957" s="1975">
        <v>9</v>
      </c>
      <c r="G5957" s="1977"/>
      <c r="H5957" s="1975" t="s">
        <v>155</v>
      </c>
      <c r="I5957" s="1976"/>
      <c r="J5957" s="1976"/>
      <c r="K5957" s="1977"/>
      <c r="L5957" s="1976" t="s">
        <v>64</v>
      </c>
      <c r="M5957" s="1976"/>
      <c r="N5957" s="1976"/>
      <c r="O5957" s="1976"/>
      <c r="P5957" s="2010"/>
      <c r="Q5957" s="1064"/>
      <c r="R5957" s="1064"/>
    </row>
    <row r="5958" spans="1:18" s="497" customFormat="1" ht="18">
      <c r="A5958" s="664" t="s">
        <v>58</v>
      </c>
      <c r="B5958" s="1975" t="s">
        <v>664</v>
      </c>
      <c r="C5958" s="1976"/>
      <c r="D5958" s="1977"/>
      <c r="E5958" s="665">
        <v>4</v>
      </c>
      <c r="F5958" s="1975">
        <v>9</v>
      </c>
      <c r="G5958" s="1977"/>
      <c r="H5958" s="1975" t="s">
        <v>155</v>
      </c>
      <c r="I5958" s="1976"/>
      <c r="J5958" s="1976"/>
      <c r="K5958" s="1977"/>
      <c r="L5958" s="1976" t="s">
        <v>64</v>
      </c>
      <c r="M5958" s="1976"/>
      <c r="N5958" s="1976"/>
      <c r="O5958" s="1976"/>
      <c r="P5958" s="2010"/>
      <c r="Q5958" s="1064"/>
      <c r="R5958" s="1064"/>
    </row>
    <row r="5959" spans="1:18" s="497" customFormat="1" ht="18">
      <c r="A5959" s="664"/>
      <c r="B5959" s="1975"/>
      <c r="C5959" s="1976"/>
      <c r="D5959" s="1977"/>
      <c r="E5959" s="665"/>
      <c r="F5959" s="1975"/>
      <c r="G5959" s="1977"/>
      <c r="H5959" s="1975"/>
      <c r="I5959" s="1976"/>
      <c r="J5959" s="1976"/>
      <c r="K5959" s="1977"/>
      <c r="L5959" s="1976"/>
      <c r="M5959" s="1976"/>
      <c r="N5959" s="1976"/>
      <c r="O5959" s="1976"/>
      <c r="P5959" s="2010"/>
      <c r="Q5959" s="1064"/>
      <c r="R5959" s="1064"/>
    </row>
    <row r="5960" spans="1:18" s="497" customFormat="1" ht="18">
      <c r="A5960" s="664" t="s">
        <v>163</v>
      </c>
      <c r="B5960" s="1975" t="s">
        <v>573</v>
      </c>
      <c r="C5960" s="1976"/>
      <c r="D5960" s="1977"/>
      <c r="E5960" s="665">
        <f>+L5938</f>
        <v>30.090549999999997</v>
      </c>
      <c r="F5960" s="1975">
        <v>7</v>
      </c>
      <c r="G5960" s="1977"/>
      <c r="H5960" s="1975" t="s">
        <v>450</v>
      </c>
      <c r="I5960" s="1976"/>
      <c r="J5960" s="1976"/>
      <c r="K5960" s="1977"/>
      <c r="L5960" s="1976" t="s">
        <v>64</v>
      </c>
      <c r="M5960" s="1976"/>
      <c r="N5960" s="1976"/>
      <c r="O5960" s="1976"/>
      <c r="P5960" s="2010"/>
      <c r="Q5960" s="1064"/>
      <c r="R5960" s="1064"/>
    </row>
    <row r="5961" spans="1:18" s="497" customFormat="1" ht="18">
      <c r="A5961" s="664"/>
      <c r="B5961" s="992"/>
      <c r="C5961" s="993"/>
      <c r="D5961" s="994"/>
      <c r="E5961" s="665"/>
      <c r="F5961" s="992"/>
      <c r="G5961" s="994"/>
      <c r="H5961" s="993"/>
      <c r="I5961" s="1842"/>
      <c r="J5961" s="993"/>
      <c r="K5961" s="993"/>
      <c r="L5961" s="993"/>
      <c r="M5961" s="993"/>
      <c r="N5961" s="993"/>
      <c r="O5961" s="993"/>
      <c r="P5961" s="2010"/>
      <c r="Q5961" s="1064"/>
      <c r="R5961" s="1064"/>
    </row>
    <row r="5962" spans="1:18" s="497" customFormat="1" ht="18">
      <c r="A5962" s="664"/>
      <c r="B5962" s="992"/>
      <c r="C5962" s="993"/>
      <c r="D5962" s="994"/>
      <c r="E5962" s="665"/>
      <c r="F5962" s="992"/>
      <c r="G5962" s="994"/>
      <c r="H5962" s="993"/>
      <c r="I5962" s="1842"/>
      <c r="J5962" s="993"/>
      <c r="K5962" s="993"/>
      <c r="L5962" s="993"/>
      <c r="M5962" s="993"/>
      <c r="N5962" s="993"/>
      <c r="O5962" s="993"/>
      <c r="P5962" s="2010"/>
      <c r="Q5962" s="1064"/>
      <c r="R5962" s="1064"/>
    </row>
    <row r="5963" spans="1:18" ht="18">
      <c r="A5963" s="664" t="s">
        <v>302</v>
      </c>
      <c r="B5963" s="1975" t="s">
        <v>574</v>
      </c>
      <c r="C5963" s="1976"/>
      <c r="D5963" s="1977"/>
      <c r="E5963" s="665">
        <v>5</v>
      </c>
      <c r="F5963" s="1975">
        <v>7</v>
      </c>
      <c r="G5963" s="1977"/>
      <c r="H5963" s="2007" t="s">
        <v>592</v>
      </c>
      <c r="I5963" s="2007"/>
      <c r="J5963" s="2007"/>
      <c r="K5963" s="2007"/>
      <c r="L5963" s="1976" t="s">
        <v>64</v>
      </c>
      <c r="M5963" s="1976"/>
      <c r="N5963" s="1976"/>
      <c r="O5963" s="1976"/>
      <c r="P5963" s="2010"/>
      <c r="Q5963" s="1064"/>
      <c r="R5963" s="1064"/>
    </row>
    <row r="5964" spans="1:18" ht="18">
      <c r="A5964" s="664"/>
      <c r="B5964" s="1975"/>
      <c r="C5964" s="1976"/>
      <c r="D5964" s="1977"/>
      <c r="E5964" s="665"/>
      <c r="F5964" s="1975"/>
      <c r="G5964" s="1977"/>
      <c r="H5964" s="1975"/>
      <c r="I5964" s="1976"/>
      <c r="J5964" s="1976"/>
      <c r="K5964" s="1977"/>
      <c r="L5964" s="1976"/>
      <c r="M5964" s="1976"/>
      <c r="N5964" s="1976"/>
      <c r="O5964" s="1976"/>
      <c r="P5964" s="2010"/>
      <c r="Q5964" s="1064"/>
      <c r="R5964" s="1064"/>
    </row>
    <row r="5965" spans="1:18" ht="18.600000000000001" thickBot="1">
      <c r="A5965" s="664"/>
      <c r="B5965" s="904"/>
      <c r="C5965" s="905"/>
      <c r="D5965" s="905"/>
      <c r="E5965" s="665"/>
      <c r="F5965" s="905"/>
      <c r="G5965" s="906"/>
      <c r="H5965" s="904"/>
      <c r="I5965" s="1842"/>
      <c r="J5965" s="905"/>
      <c r="K5965" s="669"/>
      <c r="L5965" s="672"/>
      <c r="M5965" s="673"/>
      <c r="N5965" s="673"/>
      <c r="O5965" s="673"/>
      <c r="P5965" s="2010"/>
      <c r="Q5965" s="1064"/>
      <c r="R5965" s="1064"/>
    </row>
    <row r="5966" spans="1:18" ht="18">
      <c r="A5966" s="674"/>
      <c r="B5966" s="675"/>
      <c r="C5966" s="676"/>
      <c r="D5966" s="676"/>
      <c r="E5966" s="1980">
        <f>SUM(E5951:E5965)</f>
        <v>263.22908899999999</v>
      </c>
      <c r="F5966" s="677"/>
      <c r="G5966" s="678"/>
      <c r="H5966" s="679"/>
      <c r="I5966" s="1848"/>
      <c r="J5966" s="676"/>
      <c r="K5966" s="680"/>
      <c r="L5966" s="679"/>
      <c r="M5966" s="676"/>
      <c r="N5966" s="677"/>
      <c r="O5966" s="676"/>
      <c r="P5966" s="2010"/>
      <c r="Q5966" s="1064"/>
      <c r="R5966" s="1064"/>
    </row>
    <row r="5967" spans="1:18" ht="18.600000000000001" thickBot="1">
      <c r="A5967" s="681"/>
      <c r="B5967" s="682"/>
      <c r="C5967" s="683"/>
      <c r="D5967" s="683"/>
      <c r="E5967" s="1981"/>
      <c r="F5967" s="684"/>
      <c r="G5967" s="685"/>
      <c r="H5967" s="686"/>
      <c r="I5967" s="1850"/>
      <c r="J5967" s="683"/>
      <c r="K5967" s="687"/>
      <c r="L5967" s="686"/>
      <c r="M5967" s="683"/>
      <c r="N5967" s="684"/>
      <c r="O5967" s="683"/>
      <c r="P5967" s="2010"/>
      <c r="Q5967" s="1064"/>
      <c r="R5967" s="1064"/>
    </row>
    <row r="5968" spans="1:18" ht="18">
      <c r="A5968" s="688" t="s">
        <v>31</v>
      </c>
      <c r="B5968" s="676"/>
      <c r="C5968" s="676"/>
      <c r="D5968" s="676"/>
      <c r="E5968" s="676" t="s">
        <v>575</v>
      </c>
      <c r="F5968" s="677"/>
      <c r="G5968" s="676"/>
      <c r="H5968" s="677"/>
      <c r="I5968" s="1848"/>
      <c r="J5968" s="676"/>
      <c r="K5968" s="689"/>
      <c r="L5968" s="677"/>
      <c r="M5968" s="676"/>
      <c r="N5968" s="677"/>
      <c r="O5968" s="676"/>
      <c r="P5968" s="2010"/>
      <c r="Q5968" s="1064"/>
      <c r="R5968" s="1064"/>
    </row>
    <row r="5969" spans="1:18" ht="18">
      <c r="A5969" s="690"/>
      <c r="B5969" s="691"/>
      <c r="C5969" s="691"/>
      <c r="D5969" s="691"/>
      <c r="E5969" s="691"/>
      <c r="F5969" s="903"/>
      <c r="G5969" s="691"/>
      <c r="H5969" s="903"/>
      <c r="I5969" s="1849"/>
      <c r="J5969" s="691"/>
      <c r="K5969" s="693"/>
      <c r="L5969" s="903"/>
      <c r="M5969" s="691"/>
      <c r="N5969" s="903"/>
      <c r="O5969" s="691"/>
      <c r="P5969" s="2010"/>
      <c r="Q5969" s="1064"/>
      <c r="R5969" s="1064"/>
    </row>
    <row r="5970" spans="1:18" ht="18.600000000000001" thickBot="1">
      <c r="A5970" s="1982" t="s">
        <v>32</v>
      </c>
      <c r="B5970" s="1983"/>
      <c r="C5970" s="1984" t="s">
        <v>33</v>
      </c>
      <c r="D5970" s="1985"/>
      <c r="E5970" s="694" t="s">
        <v>34</v>
      </c>
      <c r="F5970" s="694" t="s">
        <v>35</v>
      </c>
      <c r="G5970" s="1986" t="s">
        <v>36</v>
      </c>
      <c r="H5970" s="1987"/>
      <c r="I5970" s="1987"/>
      <c r="J5970" s="1987"/>
      <c r="K5970" s="1987"/>
      <c r="L5970" s="1987"/>
      <c r="M5970" s="1987"/>
      <c r="N5970" s="1987"/>
      <c r="O5970" s="1987"/>
      <c r="P5970" s="2010"/>
      <c r="Q5970" s="1064"/>
      <c r="R5970" s="1064"/>
    </row>
    <row r="5971" spans="1:18" ht="18">
      <c r="A5971" s="1988"/>
      <c r="B5971" s="1989"/>
      <c r="C5971" s="1990"/>
      <c r="D5971" s="1989"/>
      <c r="E5971" s="909"/>
      <c r="F5971" s="907"/>
      <c r="G5971" s="1991"/>
      <c r="H5971" s="1992"/>
      <c r="I5971" s="1992"/>
      <c r="J5971" s="1992"/>
      <c r="K5971" s="1992"/>
      <c r="L5971" s="1992"/>
      <c r="M5971" s="1992"/>
      <c r="N5971" s="1992"/>
      <c r="O5971" s="1992"/>
      <c r="P5971" s="2010"/>
      <c r="Q5971" s="1064"/>
      <c r="R5971" s="1064"/>
    </row>
    <row r="5972" spans="1:18" ht="18">
      <c r="A5972" s="1997" t="s">
        <v>37</v>
      </c>
      <c r="B5972" s="1998"/>
      <c r="C5972" s="1990"/>
      <c r="D5972" s="1989"/>
      <c r="E5972" s="909"/>
      <c r="F5972" s="907"/>
      <c r="G5972" s="1993"/>
      <c r="H5972" s="1994"/>
      <c r="I5972" s="1994"/>
      <c r="J5972" s="1994"/>
      <c r="K5972" s="1994"/>
      <c r="L5972" s="1994"/>
      <c r="M5972" s="1994"/>
      <c r="N5972" s="1994"/>
      <c r="O5972" s="1994"/>
      <c r="P5972" s="2010"/>
      <c r="Q5972" s="1064"/>
      <c r="R5972" s="1064"/>
    </row>
    <row r="5973" spans="1:18" ht="18">
      <c r="A5973" s="1997" t="s">
        <v>38</v>
      </c>
      <c r="B5973" s="1998"/>
      <c r="C5973" s="1990"/>
      <c r="D5973" s="1989"/>
      <c r="E5973" s="909"/>
      <c r="F5973" s="907"/>
      <c r="G5973" s="1993"/>
      <c r="H5973" s="1994"/>
      <c r="I5973" s="1994"/>
      <c r="J5973" s="1994"/>
      <c r="K5973" s="1994"/>
      <c r="L5973" s="1994"/>
      <c r="M5973" s="1994"/>
      <c r="N5973" s="1994"/>
      <c r="O5973" s="1994"/>
      <c r="P5973" s="2010"/>
      <c r="Q5973" s="1064"/>
      <c r="R5973" s="1064"/>
    </row>
    <row r="5974" spans="1:18" ht="18">
      <c r="A5974" s="1997" t="s">
        <v>39</v>
      </c>
      <c r="B5974" s="1998"/>
      <c r="C5974" s="1990"/>
      <c r="D5974" s="1989"/>
      <c r="E5974" s="909"/>
      <c r="F5974" s="907"/>
      <c r="G5974" s="1993"/>
      <c r="H5974" s="1994"/>
      <c r="I5974" s="1994"/>
      <c r="J5974" s="1994"/>
      <c r="K5974" s="1994"/>
      <c r="L5974" s="1994"/>
      <c r="M5974" s="1994"/>
      <c r="N5974" s="1994"/>
      <c r="O5974" s="1994"/>
      <c r="P5974" s="2010"/>
      <c r="Q5974" s="1064"/>
      <c r="R5974" s="1064"/>
    </row>
    <row r="5975" spans="1:18" ht="18">
      <c r="A5975" s="1997" t="s">
        <v>40</v>
      </c>
      <c r="B5975" s="1998"/>
      <c r="C5975" s="1990"/>
      <c r="D5975" s="1989"/>
      <c r="E5975" s="909"/>
      <c r="F5975" s="907"/>
      <c r="G5975" s="1993"/>
      <c r="H5975" s="1994"/>
      <c r="I5975" s="1994"/>
      <c r="J5975" s="1994"/>
      <c r="K5975" s="1994"/>
      <c r="L5975" s="1994"/>
      <c r="M5975" s="1994"/>
      <c r="N5975" s="1994"/>
      <c r="O5975" s="1994"/>
      <c r="P5975" s="2010"/>
      <c r="Q5975" s="1064"/>
      <c r="R5975" s="1064"/>
    </row>
    <row r="5976" spans="1:18" ht="18.600000000000001" thickBot="1">
      <c r="A5976" s="1999" t="s">
        <v>41</v>
      </c>
      <c r="B5976" s="2000"/>
      <c r="C5976" s="2001"/>
      <c r="D5976" s="2002"/>
      <c r="E5976" s="696"/>
      <c r="F5976" s="908"/>
      <c r="G5976" s="1995"/>
      <c r="H5976" s="1996"/>
      <c r="I5976" s="1996"/>
      <c r="J5976" s="1996"/>
      <c r="K5976" s="1996"/>
      <c r="L5976" s="1996"/>
      <c r="M5976" s="1996"/>
      <c r="N5976" s="1996"/>
      <c r="O5976" s="1996"/>
      <c r="P5976" s="2010"/>
      <c r="Q5976" s="1064"/>
      <c r="R5976" s="1064"/>
    </row>
    <row r="5977" spans="1:18" ht="18">
      <c r="A5977" s="690"/>
      <c r="B5977" s="691"/>
      <c r="C5977" s="691"/>
      <c r="D5977" s="691"/>
      <c r="E5977" s="691"/>
      <c r="F5977" s="903"/>
      <c r="G5977" s="691"/>
      <c r="H5977" s="698"/>
      <c r="I5977" s="699"/>
      <c r="J5977" s="700"/>
      <c r="K5977" s="701"/>
      <c r="L5977" s="702"/>
      <c r="M5977" s="691"/>
      <c r="N5977" s="903"/>
      <c r="O5977" s="691"/>
      <c r="P5977" s="2010"/>
      <c r="Q5977" s="1064"/>
      <c r="R5977" s="1064"/>
    </row>
    <row r="5978" spans="1:18" ht="18">
      <c r="A5978" s="703" t="s">
        <v>42</v>
      </c>
      <c r="B5978" s="704"/>
      <c r="C5978" s="691"/>
      <c r="D5978" s="691"/>
      <c r="E5978" s="691"/>
      <c r="F5978" s="903"/>
      <c r="G5978" s="704"/>
      <c r="H5978" s="698"/>
      <c r="I5978" s="699"/>
      <c r="J5978" s="700"/>
      <c r="K5978" s="693"/>
      <c r="L5978" s="705"/>
      <c r="M5978" s="691"/>
      <c r="N5978" s="1979" t="s">
        <v>43</v>
      </c>
      <c r="O5978" s="1979"/>
      <c r="P5978" s="2010"/>
      <c r="Q5978" s="1064"/>
      <c r="R5978" s="1064"/>
    </row>
    <row r="5979" spans="1:18" ht="18">
      <c r="A5979" s="703"/>
      <c r="B5979" s="704"/>
      <c r="C5979" s="691"/>
      <c r="D5979" s="691"/>
      <c r="E5979" s="691"/>
      <c r="F5979" s="903"/>
      <c r="G5979" s="691"/>
      <c r="H5979" s="903"/>
      <c r="I5979" s="1849"/>
      <c r="J5979" s="691"/>
      <c r="K5979" s="693"/>
      <c r="L5979" s="903"/>
      <c r="M5979" s="691"/>
      <c r="N5979" s="903"/>
      <c r="O5979" s="704"/>
      <c r="P5979" s="2010"/>
      <c r="Q5979" s="1064"/>
      <c r="R5979" s="1064"/>
    </row>
    <row r="5980" spans="1:18" ht="18">
      <c r="A5980" s="703" t="s">
        <v>44</v>
      </c>
      <c r="B5980" s="704"/>
      <c r="C5980" s="691"/>
      <c r="D5980" s="691"/>
      <c r="E5980" s="691"/>
      <c r="F5980" s="903"/>
      <c r="G5980" s="691"/>
      <c r="H5980" s="903"/>
      <c r="I5980" s="1849"/>
      <c r="J5980" s="691"/>
      <c r="K5980" s="693"/>
      <c r="L5980" s="903"/>
      <c r="M5980" s="691"/>
      <c r="N5980" s="1979" t="s">
        <v>45</v>
      </c>
      <c r="O5980" s="1979"/>
      <c r="P5980" s="2010"/>
      <c r="Q5980" s="1064"/>
      <c r="R5980" s="1064"/>
    </row>
    <row r="5981" spans="1:18" ht="18.600000000000001" thickBot="1">
      <c r="A5981" s="682"/>
      <c r="B5981" s="683"/>
      <c r="C5981" s="683"/>
      <c r="D5981" s="683"/>
      <c r="E5981" s="683"/>
      <c r="F5981" s="684"/>
      <c r="G5981" s="683"/>
      <c r="H5981" s="684"/>
      <c r="I5981" s="1850"/>
      <c r="J5981" s="683"/>
      <c r="K5981" s="706"/>
      <c r="L5981" s="684"/>
      <c r="M5981" s="683"/>
      <c r="N5981" s="684"/>
      <c r="O5981" s="683"/>
      <c r="P5981" s="2010"/>
      <c r="Q5981" s="1064"/>
      <c r="R5981" s="1064"/>
    </row>
    <row r="5986" spans="1:18" ht="17.399999999999999">
      <c r="A5986" s="711" t="s">
        <v>48</v>
      </c>
      <c r="B5986" s="711"/>
      <c r="C5986" s="712"/>
      <c r="D5986" s="712"/>
      <c r="E5986" s="712"/>
      <c r="F5986" s="713"/>
      <c r="G5986" s="712"/>
      <c r="H5986" s="712"/>
      <c r="I5986" s="714"/>
      <c r="J5986" s="715"/>
      <c r="K5986" s="716"/>
      <c r="L5986" s="1978" t="s">
        <v>0</v>
      </c>
      <c r="M5986" s="1978"/>
      <c r="N5986" s="1978"/>
      <c r="O5986" s="1978"/>
      <c r="P5986" s="717"/>
      <c r="Q5986" s="717"/>
      <c r="R5986" s="717"/>
    </row>
    <row r="5987" spans="1:18" ht="17.399999999999999">
      <c r="A5987" s="718" t="s">
        <v>1</v>
      </c>
      <c r="B5987" s="718"/>
      <c r="C5987" s="718"/>
      <c r="D5987" s="719" t="s">
        <v>2</v>
      </c>
      <c r="E5987" s="719"/>
      <c r="F5987" s="720"/>
      <c r="G5987" s="720"/>
      <c r="H5987" s="720"/>
      <c r="I5987" s="721"/>
      <c r="J5987" s="910"/>
      <c r="K5987" s="723" t="s">
        <v>3</v>
      </c>
      <c r="L5987" s="910"/>
      <c r="M5987" s="718"/>
      <c r="N5987" s="720"/>
      <c r="O5987" s="718"/>
      <c r="P5987" s="724"/>
      <c r="Q5987" s="1059"/>
      <c r="R5987" s="1059"/>
    </row>
    <row r="5988" spans="1:18" ht="52.2">
      <c r="A5988" s="640" t="s">
        <v>4</v>
      </c>
      <c r="B5988" s="640" t="s">
        <v>5</v>
      </c>
      <c r="C5988" s="640" t="s">
        <v>6</v>
      </c>
      <c r="D5988" s="640" t="s">
        <v>7</v>
      </c>
      <c r="E5988" s="640" t="s">
        <v>8</v>
      </c>
      <c r="F5988" s="641" t="s">
        <v>9</v>
      </c>
      <c r="G5988" s="642" t="s">
        <v>10</v>
      </c>
      <c r="H5988" s="642" t="s">
        <v>11</v>
      </c>
      <c r="I5988" s="643" t="s">
        <v>12</v>
      </c>
      <c r="J5988" s="644" t="s">
        <v>13</v>
      </c>
      <c r="K5988" s="645" t="s">
        <v>14</v>
      </c>
      <c r="L5988" s="646" t="s">
        <v>15</v>
      </c>
      <c r="M5988" s="641" t="s">
        <v>16</v>
      </c>
      <c r="N5988" s="641" t="s">
        <v>17</v>
      </c>
      <c r="O5988" s="642" t="s">
        <v>18</v>
      </c>
      <c r="P5988" s="641" t="s">
        <v>192</v>
      </c>
      <c r="Q5988" s="1063"/>
      <c r="R5988" s="1063"/>
    </row>
    <row r="5989" spans="1:18" ht="18">
      <c r="A5989" s="547" t="s">
        <v>445</v>
      </c>
      <c r="B5989" s="547" t="s">
        <v>488</v>
      </c>
      <c r="C5989" s="547" t="s">
        <v>19</v>
      </c>
      <c r="D5989" s="547" t="s">
        <v>60</v>
      </c>
      <c r="E5989" s="547" t="s">
        <v>323</v>
      </c>
      <c r="F5989" s="549"/>
      <c r="G5989" s="898" t="s">
        <v>61</v>
      </c>
      <c r="H5989" s="898" t="s">
        <v>124</v>
      </c>
      <c r="I5989" s="1586">
        <v>19.8</v>
      </c>
      <c r="J5989" s="914">
        <v>6</v>
      </c>
      <c r="K5989" s="915">
        <v>2</v>
      </c>
      <c r="L5989" s="552">
        <f>(I5989*J5989*K5989/1000)</f>
        <v>0.23760000000000003</v>
      </c>
      <c r="M5989" s="898"/>
      <c r="N5989" s="898"/>
      <c r="O5989" s="898"/>
      <c r="P5989" s="898"/>
      <c r="Q5989" s="1075"/>
      <c r="R5989" s="1075"/>
    </row>
    <row r="5990" spans="1:18" ht="18">
      <c r="A5990" s="547"/>
      <c r="B5990" s="752" t="s">
        <v>439</v>
      </c>
      <c r="C5990" s="547"/>
      <c r="D5990" s="547"/>
      <c r="E5990" s="547"/>
      <c r="F5990" s="549"/>
      <c r="G5990" s="898"/>
      <c r="H5990" s="898"/>
      <c r="I5990" s="1586"/>
      <c r="J5990" s="914"/>
      <c r="K5990" s="915">
        <f t="shared" ref="K5990:L5990" si="1286">SUM(K5989)</f>
        <v>2</v>
      </c>
      <c r="L5990" s="914">
        <f t="shared" si="1286"/>
        <v>0.23760000000000003</v>
      </c>
      <c r="M5990" s="898"/>
      <c r="N5990" s="898"/>
      <c r="O5990" s="898"/>
      <c r="P5990" s="898"/>
      <c r="Q5990" s="1075"/>
      <c r="R5990" s="1075"/>
    </row>
    <row r="5991" spans="1:18" ht="18">
      <c r="A5991" s="898"/>
      <c r="B5991" s="898"/>
      <c r="C5991" s="898"/>
      <c r="D5991" s="898"/>
      <c r="E5991" s="898"/>
      <c r="F5991" s="898"/>
      <c r="G5991" s="898"/>
      <c r="H5991" s="898"/>
      <c r="I5991" s="920"/>
      <c r="J5991" s="898"/>
      <c r="K5991" s="921"/>
      <c r="L5991" s="920"/>
      <c r="M5991" s="898"/>
      <c r="N5991" s="898"/>
      <c r="O5991" s="898"/>
      <c r="P5991" s="898"/>
      <c r="Q5991" s="1075"/>
      <c r="R5991" s="1075"/>
    </row>
    <row r="5992" spans="1:18" ht="18">
      <c r="A5992" s="780" t="s">
        <v>445</v>
      </c>
      <c r="B5992" s="780" t="s">
        <v>490</v>
      </c>
      <c r="C5992" s="780" t="s">
        <v>19</v>
      </c>
      <c r="D5992" s="780" t="s">
        <v>20</v>
      </c>
      <c r="E5992" s="780" t="s">
        <v>420</v>
      </c>
      <c r="F5992" s="754"/>
      <c r="G5992" s="898" t="s">
        <v>21</v>
      </c>
      <c r="H5992" s="898" t="s">
        <v>120</v>
      </c>
      <c r="I5992" s="1586">
        <v>18.2</v>
      </c>
      <c r="J5992" s="914">
        <v>8.6999999999999993</v>
      </c>
      <c r="K5992" s="915">
        <v>17</v>
      </c>
      <c r="L5992" s="552">
        <f t="shared" ref="L5992:L5999" si="1287">(I5992*J5992*K5992/1000)</f>
        <v>2.6917799999999996</v>
      </c>
      <c r="M5992" s="898"/>
      <c r="N5992" s="898"/>
      <c r="O5992" s="898"/>
      <c r="P5992" s="898"/>
      <c r="Q5992" s="1075"/>
      <c r="R5992" s="1075"/>
    </row>
    <row r="5993" spans="1:18" ht="18">
      <c r="A5993" s="780"/>
      <c r="B5993" s="754" t="s">
        <v>52</v>
      </c>
      <c r="C5993" s="780"/>
      <c r="D5993" s="780"/>
      <c r="E5993" s="780"/>
      <c r="F5993" s="754"/>
      <c r="G5993" s="898" t="s">
        <v>21</v>
      </c>
      <c r="H5993" s="898" t="s">
        <v>120</v>
      </c>
      <c r="I5993" s="1586">
        <v>18.2</v>
      </c>
      <c r="J5993" s="914">
        <v>9.5</v>
      </c>
      <c r="K5993" s="915">
        <v>11</v>
      </c>
      <c r="L5993" s="552">
        <f t="shared" si="1287"/>
        <v>1.9019000000000001</v>
      </c>
      <c r="M5993" s="898"/>
      <c r="N5993" s="898"/>
      <c r="O5993" s="898"/>
      <c r="P5993" s="898"/>
      <c r="Q5993" s="1075"/>
      <c r="R5993" s="1075"/>
    </row>
    <row r="5994" spans="1:18" ht="18">
      <c r="A5994" s="898"/>
      <c r="B5994" s="898"/>
      <c r="C5994" s="898"/>
      <c r="D5994" s="898"/>
      <c r="E5994" s="898"/>
      <c r="F5994" s="898"/>
      <c r="G5994" s="898" t="s">
        <v>21</v>
      </c>
      <c r="H5994" s="898" t="s">
        <v>120</v>
      </c>
      <c r="I5994" s="1586">
        <v>18.2</v>
      </c>
      <c r="J5994" s="914">
        <v>10.4</v>
      </c>
      <c r="K5994" s="915">
        <v>33</v>
      </c>
      <c r="L5994" s="552">
        <f t="shared" si="1287"/>
        <v>6.2462399999999993</v>
      </c>
      <c r="M5994" s="898"/>
      <c r="N5994" s="898"/>
      <c r="O5994" s="898"/>
      <c r="P5994" s="898"/>
      <c r="Q5994" s="1075"/>
      <c r="R5994" s="1075"/>
    </row>
    <row r="5995" spans="1:18" ht="18">
      <c r="A5995" s="898"/>
      <c r="B5995" s="898"/>
      <c r="C5995" s="898"/>
      <c r="D5995" s="898"/>
      <c r="E5995" s="898"/>
      <c r="F5995" s="898"/>
      <c r="G5995" s="898" t="s">
        <v>21</v>
      </c>
      <c r="H5995" s="898" t="s">
        <v>120</v>
      </c>
      <c r="I5995" s="1586">
        <v>18.2</v>
      </c>
      <c r="J5995" s="914">
        <v>10.6</v>
      </c>
      <c r="K5995" s="915">
        <v>14</v>
      </c>
      <c r="L5995" s="552">
        <f t="shared" si="1287"/>
        <v>2.7008799999999997</v>
      </c>
      <c r="M5995" s="898"/>
      <c r="N5995" s="898"/>
      <c r="O5995" s="898"/>
      <c r="P5995" s="898"/>
      <c r="Q5995" s="1075"/>
      <c r="R5995" s="1075"/>
    </row>
    <row r="5996" spans="1:18" ht="18">
      <c r="A5996" s="898"/>
      <c r="B5996" s="898"/>
      <c r="C5996" s="898"/>
      <c r="D5996" s="898"/>
      <c r="E5996" s="898"/>
      <c r="F5996" s="898"/>
      <c r="G5996" s="898" t="s">
        <v>21</v>
      </c>
      <c r="H5996" s="898" t="s">
        <v>120</v>
      </c>
      <c r="I5996" s="1586">
        <v>18.2</v>
      </c>
      <c r="J5996" s="914">
        <v>10.8</v>
      </c>
      <c r="K5996" s="915">
        <v>38</v>
      </c>
      <c r="L5996" s="552">
        <f t="shared" si="1287"/>
        <v>7.4692799999999995</v>
      </c>
      <c r="M5996" s="898"/>
      <c r="N5996" s="898"/>
      <c r="O5996" s="898"/>
      <c r="P5996" s="898"/>
      <c r="Q5996" s="1075"/>
      <c r="R5996" s="1075"/>
    </row>
    <row r="5997" spans="1:18" ht="18">
      <c r="A5997" s="898"/>
      <c r="B5997" s="898"/>
      <c r="C5997" s="898"/>
      <c r="D5997" s="898"/>
      <c r="E5997" s="898"/>
      <c r="F5997" s="898"/>
      <c r="G5997" s="898" t="s">
        <v>21</v>
      </c>
      <c r="H5997" s="898" t="s">
        <v>120</v>
      </c>
      <c r="I5997" s="1586">
        <v>18.2</v>
      </c>
      <c r="J5997" s="914">
        <v>11.3</v>
      </c>
      <c r="K5997" s="915">
        <v>28</v>
      </c>
      <c r="L5997" s="552">
        <f t="shared" si="1287"/>
        <v>5.7584799999999996</v>
      </c>
      <c r="M5997" s="898"/>
      <c r="N5997" s="898"/>
      <c r="O5997" s="898"/>
      <c r="P5997" s="898"/>
      <c r="Q5997" s="1075"/>
      <c r="R5997" s="1075"/>
    </row>
    <row r="5998" spans="1:18" ht="18">
      <c r="A5998" s="898"/>
      <c r="B5998" s="898"/>
      <c r="C5998" s="898"/>
      <c r="D5998" s="898"/>
      <c r="E5998" s="898"/>
      <c r="F5998" s="898"/>
      <c r="G5998" s="898" t="s">
        <v>21</v>
      </c>
      <c r="H5998" s="898" t="s">
        <v>120</v>
      </c>
      <c r="I5998" s="1586">
        <v>18.2</v>
      </c>
      <c r="J5998" s="914">
        <v>11.4</v>
      </c>
      <c r="K5998" s="915">
        <v>29</v>
      </c>
      <c r="L5998" s="552">
        <f t="shared" si="1287"/>
        <v>6.0169199999999998</v>
      </c>
      <c r="M5998" s="898"/>
      <c r="N5998" s="898"/>
      <c r="O5998" s="898"/>
      <c r="P5998" s="898"/>
      <c r="Q5998" s="1075"/>
      <c r="R5998" s="1075"/>
    </row>
    <row r="5999" spans="1:18" ht="18">
      <c r="A5999" s="898"/>
      <c r="B5999" s="898"/>
      <c r="C5999" s="898"/>
      <c r="D5999" s="898"/>
      <c r="E5999" s="898"/>
      <c r="F5999" s="898"/>
      <c r="G5999" s="898" t="s">
        <v>21</v>
      </c>
      <c r="H5999" s="898" t="s">
        <v>120</v>
      </c>
      <c r="I5999" s="1586">
        <v>18.2</v>
      </c>
      <c r="J5999" s="914">
        <v>12</v>
      </c>
      <c r="K5999" s="915">
        <v>13</v>
      </c>
      <c r="L5999" s="552">
        <f t="shared" si="1287"/>
        <v>2.8391999999999999</v>
      </c>
      <c r="M5999" s="898"/>
      <c r="N5999" s="898"/>
      <c r="O5999" s="898"/>
      <c r="P5999" s="898"/>
      <c r="Q5999" s="1075"/>
      <c r="R5999" s="1075"/>
    </row>
    <row r="6000" spans="1:18" ht="18">
      <c r="A6000" s="898"/>
      <c r="B6000" s="898"/>
      <c r="C6000" s="898"/>
      <c r="D6000" s="898"/>
      <c r="E6000" s="898"/>
      <c r="F6000" s="898"/>
      <c r="G6000" s="898"/>
      <c r="H6000" s="898"/>
      <c r="I6000" s="1586"/>
      <c r="J6000" s="914"/>
      <c r="K6000" s="915">
        <f t="shared" ref="K6000:L6000" si="1288">SUM(K5992:K5999)</f>
        <v>183</v>
      </c>
      <c r="L6000" s="914">
        <f t="shared" si="1288"/>
        <v>35.624679999999998</v>
      </c>
      <c r="M6000" s="898"/>
      <c r="N6000" s="898"/>
      <c r="O6000" s="898"/>
      <c r="P6000" s="898"/>
      <c r="Q6000" s="1075"/>
      <c r="R6000" s="1075"/>
    </row>
    <row r="6001" spans="1:18" ht="18">
      <c r="A6001" s="780" t="s">
        <v>445</v>
      </c>
      <c r="B6001" s="780" t="s">
        <v>490</v>
      </c>
      <c r="C6001" s="780" t="s">
        <v>19</v>
      </c>
      <c r="D6001" s="780" t="s">
        <v>20</v>
      </c>
      <c r="E6001" s="780" t="s">
        <v>420</v>
      </c>
      <c r="F6001" s="754"/>
      <c r="G6001" s="898" t="s">
        <v>21</v>
      </c>
      <c r="H6001" s="898" t="s">
        <v>122</v>
      </c>
      <c r="I6001" s="1586">
        <v>14.7</v>
      </c>
      <c r="J6001" s="914">
        <v>10.15</v>
      </c>
      <c r="K6001" s="915">
        <v>32</v>
      </c>
      <c r="L6001" s="552">
        <f t="shared" ref="L6001:L6002" si="1289">(I6001*J6001*K6001/1000)</f>
        <v>4.7745599999999992</v>
      </c>
      <c r="M6001" s="898"/>
      <c r="N6001" s="898"/>
      <c r="O6001" s="898"/>
      <c r="P6001" s="898"/>
      <c r="Q6001" s="1075"/>
      <c r="R6001" s="1075"/>
    </row>
    <row r="6002" spans="1:18" ht="18">
      <c r="A6002" s="780"/>
      <c r="B6002" s="754" t="s">
        <v>52</v>
      </c>
      <c r="C6002" s="780"/>
      <c r="D6002" s="780"/>
      <c r="E6002" s="780"/>
      <c r="F6002" s="754"/>
      <c r="G6002" s="898" t="s">
        <v>21</v>
      </c>
      <c r="H6002" s="898" t="s">
        <v>122</v>
      </c>
      <c r="I6002" s="1586">
        <v>14.7</v>
      </c>
      <c r="J6002" s="914">
        <v>11.5</v>
      </c>
      <c r="K6002" s="915">
        <v>27</v>
      </c>
      <c r="L6002" s="552">
        <f t="shared" si="1289"/>
        <v>4.5643499999999992</v>
      </c>
      <c r="M6002" s="898"/>
      <c r="N6002" s="898"/>
      <c r="O6002" s="898"/>
      <c r="P6002" s="898"/>
      <c r="Q6002" s="1075"/>
      <c r="R6002" s="1075"/>
    </row>
    <row r="6003" spans="1:18" ht="18">
      <c r="A6003" s="898"/>
      <c r="B6003" s="898"/>
      <c r="C6003" s="898"/>
      <c r="D6003" s="898"/>
      <c r="E6003" s="898"/>
      <c r="F6003" s="898"/>
      <c r="G6003" s="898"/>
      <c r="H6003" s="898"/>
      <c r="I6003" s="1586"/>
      <c r="J6003" s="914"/>
      <c r="K6003" s="915">
        <f t="shared" ref="K6003:L6003" si="1290">SUM(K6001:K6002)</f>
        <v>59</v>
      </c>
      <c r="L6003" s="914">
        <f t="shared" si="1290"/>
        <v>9.3389099999999985</v>
      </c>
      <c r="M6003" s="898"/>
      <c r="N6003" s="898"/>
      <c r="O6003" s="898"/>
      <c r="P6003" s="898"/>
      <c r="Q6003" s="1075"/>
      <c r="R6003" s="1075"/>
    </row>
    <row r="6004" spans="1:18" ht="18">
      <c r="A6004" s="898"/>
      <c r="B6004" s="898"/>
      <c r="C6004" s="898"/>
      <c r="D6004" s="898"/>
      <c r="E6004" s="898"/>
      <c r="F6004" s="898"/>
      <c r="G6004" s="898"/>
      <c r="H6004" s="898"/>
      <c r="I6004" s="920"/>
      <c r="J6004" s="898"/>
      <c r="K6004" s="921"/>
      <c r="L6004" s="920"/>
      <c r="M6004" s="898"/>
      <c r="N6004" s="898"/>
      <c r="O6004" s="898"/>
      <c r="P6004" s="898"/>
      <c r="Q6004" s="1075"/>
      <c r="R6004" s="1075"/>
    </row>
    <row r="6005" spans="1:18" ht="18">
      <c r="A6005" s="547" t="s">
        <v>445</v>
      </c>
      <c r="B6005" s="547" t="s">
        <v>576</v>
      </c>
      <c r="C6005" s="547" t="s">
        <v>19</v>
      </c>
      <c r="D6005" s="547" t="s">
        <v>20</v>
      </c>
      <c r="E6005" s="560" t="s">
        <v>464</v>
      </c>
      <c r="F6005" s="548"/>
      <c r="G6005" s="898" t="s">
        <v>21</v>
      </c>
      <c r="H6005" s="898" t="s">
        <v>120</v>
      </c>
      <c r="I6005" s="1586">
        <v>18.2</v>
      </c>
      <c r="J6005" s="914">
        <v>6.1</v>
      </c>
      <c r="K6005" s="915">
        <v>34</v>
      </c>
      <c r="L6005" s="552">
        <f t="shared" ref="L6005:L6010" si="1291">(I6005*J6005*K6005/1000)</f>
        <v>3.77468</v>
      </c>
      <c r="M6005" s="898"/>
      <c r="N6005" s="898"/>
      <c r="O6005" s="898"/>
      <c r="P6005" s="898"/>
      <c r="Q6005" s="1075"/>
      <c r="R6005" s="1075"/>
    </row>
    <row r="6006" spans="1:18" ht="18">
      <c r="A6006" s="547"/>
      <c r="B6006" s="549" t="s">
        <v>439</v>
      </c>
      <c r="C6006" s="547"/>
      <c r="D6006" s="547"/>
      <c r="E6006" s="547"/>
      <c r="F6006" s="548"/>
      <c r="G6006" s="898" t="s">
        <v>21</v>
      </c>
      <c r="H6006" s="898" t="s">
        <v>120</v>
      </c>
      <c r="I6006" s="1586">
        <v>18.2</v>
      </c>
      <c r="J6006" s="914">
        <v>8.4</v>
      </c>
      <c r="K6006" s="915">
        <v>29</v>
      </c>
      <c r="L6006" s="552">
        <f t="shared" si="1291"/>
        <v>4.4335199999999997</v>
      </c>
      <c r="M6006" s="898"/>
      <c r="N6006" s="898"/>
      <c r="O6006" s="898"/>
      <c r="P6006" s="898"/>
      <c r="Q6006" s="1075"/>
      <c r="R6006" s="1075"/>
    </row>
    <row r="6007" spans="1:18" ht="18">
      <c r="A6007" s="898"/>
      <c r="B6007" s="898"/>
      <c r="C6007" s="898"/>
      <c r="D6007" s="898"/>
      <c r="E6007" s="898"/>
      <c r="F6007" s="898"/>
      <c r="G6007" s="898" t="s">
        <v>21</v>
      </c>
      <c r="H6007" s="898" t="s">
        <v>120</v>
      </c>
      <c r="I6007" s="1586">
        <v>18.2</v>
      </c>
      <c r="J6007" s="914">
        <v>9.5</v>
      </c>
      <c r="K6007" s="915">
        <v>28</v>
      </c>
      <c r="L6007" s="552">
        <f t="shared" si="1291"/>
        <v>4.8411999999999997</v>
      </c>
      <c r="M6007" s="898"/>
      <c r="N6007" s="898"/>
      <c r="O6007" s="898"/>
      <c r="P6007" s="898"/>
      <c r="Q6007" s="1075"/>
      <c r="R6007" s="1075"/>
    </row>
    <row r="6008" spans="1:18" ht="18">
      <c r="A6008" s="898"/>
      <c r="B6008" s="898"/>
      <c r="C6008" s="898"/>
      <c r="D6008" s="898"/>
      <c r="E6008" s="898"/>
      <c r="F6008" s="898"/>
      <c r="G6008" s="898" t="s">
        <v>21</v>
      </c>
      <c r="H6008" s="898" t="s">
        <v>120</v>
      </c>
      <c r="I6008" s="1586">
        <v>18.2</v>
      </c>
      <c r="J6008" s="914">
        <v>10</v>
      </c>
      <c r="K6008" s="915">
        <v>26</v>
      </c>
      <c r="L6008" s="552">
        <f t="shared" si="1291"/>
        <v>4.7320000000000002</v>
      </c>
      <c r="M6008" s="898"/>
      <c r="N6008" s="898"/>
      <c r="O6008" s="898"/>
      <c r="P6008" s="898"/>
      <c r="Q6008" s="1075"/>
      <c r="R6008" s="1075"/>
    </row>
    <row r="6009" spans="1:18" ht="18">
      <c r="A6009" s="898"/>
      <c r="B6009" s="898"/>
      <c r="C6009" s="898"/>
      <c r="D6009" s="898"/>
      <c r="E6009" s="898"/>
      <c r="F6009" s="898"/>
      <c r="G6009" s="898" t="s">
        <v>21</v>
      </c>
      <c r="H6009" s="898" t="s">
        <v>120</v>
      </c>
      <c r="I6009" s="1586">
        <v>18.2</v>
      </c>
      <c r="J6009" s="914">
        <v>10.5</v>
      </c>
      <c r="K6009" s="915">
        <v>56</v>
      </c>
      <c r="L6009" s="552">
        <f t="shared" si="1291"/>
        <v>10.701600000000001</v>
      </c>
      <c r="M6009" s="898"/>
      <c r="N6009" s="898"/>
      <c r="O6009" s="898"/>
      <c r="P6009" s="898"/>
      <c r="Q6009" s="1075"/>
      <c r="R6009" s="1075"/>
    </row>
    <row r="6010" spans="1:18" ht="18">
      <c r="A6010" s="898"/>
      <c r="B6010" s="898"/>
      <c r="C6010" s="898"/>
      <c r="D6010" s="898"/>
      <c r="E6010" s="898"/>
      <c r="F6010" s="898"/>
      <c r="G6010" s="898" t="s">
        <v>21</v>
      </c>
      <c r="H6010" s="898" t="s">
        <v>120</v>
      </c>
      <c r="I6010" s="1586">
        <v>18.2</v>
      </c>
      <c r="J6010" s="914">
        <v>11.9</v>
      </c>
      <c r="K6010" s="915">
        <v>24</v>
      </c>
      <c r="L6010" s="552">
        <f t="shared" si="1291"/>
        <v>5.1979199999999999</v>
      </c>
      <c r="M6010" s="898"/>
      <c r="N6010" s="898"/>
      <c r="O6010" s="898"/>
      <c r="P6010" s="898"/>
      <c r="Q6010" s="1075"/>
      <c r="R6010" s="1075"/>
    </row>
    <row r="6011" spans="1:18" ht="18">
      <c r="A6011" s="898"/>
      <c r="B6011" s="898"/>
      <c r="C6011" s="898"/>
      <c r="D6011" s="898"/>
      <c r="E6011" s="898"/>
      <c r="F6011" s="898"/>
      <c r="G6011" s="898"/>
      <c r="H6011" s="898"/>
      <c r="I6011" s="1586"/>
      <c r="J6011" s="914"/>
      <c r="K6011" s="915">
        <f>SUM(K6005:K6010)</f>
        <v>197</v>
      </c>
      <c r="L6011" s="914">
        <f t="shared" ref="L6011" si="1292">SUM(L6005:L6010)</f>
        <v>33.68092</v>
      </c>
      <c r="M6011" s="898"/>
      <c r="N6011" s="898"/>
      <c r="O6011" s="898"/>
      <c r="P6011" s="898"/>
      <c r="Q6011" s="1075"/>
      <c r="R6011" s="1075"/>
    </row>
    <row r="6012" spans="1:18" ht="18">
      <c r="A6012" s="547" t="s">
        <v>445</v>
      </c>
      <c r="B6012" s="547" t="s">
        <v>576</v>
      </c>
      <c r="C6012" s="547" t="s">
        <v>19</v>
      </c>
      <c r="D6012" s="547" t="s">
        <v>20</v>
      </c>
      <c r="E6012" s="560" t="s">
        <v>464</v>
      </c>
      <c r="F6012" s="548"/>
      <c r="G6012" s="898" t="s">
        <v>21</v>
      </c>
      <c r="H6012" s="898" t="s">
        <v>122</v>
      </c>
      <c r="I6012" s="1586">
        <v>14.7</v>
      </c>
      <c r="J6012" s="914">
        <v>8.1999999999999993</v>
      </c>
      <c r="K6012" s="915">
        <v>117</v>
      </c>
      <c r="L6012" s="552">
        <f t="shared" ref="L6012:L6015" si="1293">(I6012*J6012*K6012/1000)</f>
        <v>14.103179999999996</v>
      </c>
      <c r="M6012" s="898"/>
      <c r="N6012" s="898"/>
      <c r="O6012" s="898"/>
      <c r="P6012" s="898"/>
      <c r="Q6012" s="1075"/>
      <c r="R6012" s="1075"/>
    </row>
    <row r="6013" spans="1:18" ht="18">
      <c r="A6013" s="547"/>
      <c r="B6013" s="549" t="s">
        <v>439</v>
      </c>
      <c r="C6013" s="547"/>
      <c r="D6013" s="547"/>
      <c r="E6013" s="547"/>
      <c r="F6013" s="548"/>
      <c r="G6013" s="898" t="s">
        <v>21</v>
      </c>
      <c r="H6013" s="898" t="s">
        <v>122</v>
      </c>
      <c r="I6013" s="1586">
        <v>14.7</v>
      </c>
      <c r="J6013" s="914">
        <v>8.3000000000000007</v>
      </c>
      <c r="K6013" s="915">
        <v>28</v>
      </c>
      <c r="L6013" s="552">
        <f t="shared" si="1293"/>
        <v>3.41628</v>
      </c>
      <c r="M6013" s="898"/>
      <c r="N6013" s="898"/>
      <c r="O6013" s="898"/>
      <c r="P6013" s="898"/>
      <c r="Q6013" s="1075"/>
      <c r="R6013" s="1075"/>
    </row>
    <row r="6014" spans="1:18" ht="18">
      <c r="A6014" s="898"/>
      <c r="B6014" s="898"/>
      <c r="C6014" s="898"/>
      <c r="D6014" s="898"/>
      <c r="E6014" s="898"/>
      <c r="F6014" s="898"/>
      <c r="G6014" s="898" t="s">
        <v>21</v>
      </c>
      <c r="H6014" s="898" t="s">
        <v>122</v>
      </c>
      <c r="I6014" s="1586">
        <v>14.7</v>
      </c>
      <c r="J6014" s="914">
        <v>9.1999999999999993</v>
      </c>
      <c r="K6014" s="915">
        <v>3</v>
      </c>
      <c r="L6014" s="552">
        <f t="shared" si="1293"/>
        <v>0.40571999999999991</v>
      </c>
      <c r="M6014" s="898"/>
      <c r="N6014" s="898"/>
      <c r="O6014" s="898"/>
      <c r="P6014" s="898"/>
      <c r="Q6014" s="1075"/>
      <c r="R6014" s="1075"/>
    </row>
    <row r="6015" spans="1:18" ht="18">
      <c r="A6015" s="898"/>
      <c r="B6015" s="898"/>
      <c r="C6015" s="898"/>
      <c r="D6015" s="898"/>
      <c r="E6015" s="898"/>
      <c r="F6015" s="898"/>
      <c r="G6015" s="898" t="s">
        <v>21</v>
      </c>
      <c r="H6015" s="898" t="s">
        <v>122</v>
      </c>
      <c r="I6015" s="1586">
        <v>14.7</v>
      </c>
      <c r="J6015" s="914">
        <v>11.5</v>
      </c>
      <c r="K6015" s="915">
        <v>10</v>
      </c>
      <c r="L6015" s="552">
        <f t="shared" si="1293"/>
        <v>1.6904999999999997</v>
      </c>
      <c r="M6015" s="898"/>
      <c r="N6015" s="898"/>
      <c r="O6015" s="898"/>
      <c r="P6015" s="898"/>
      <c r="Q6015" s="1075"/>
      <c r="R6015" s="1075"/>
    </row>
    <row r="6016" spans="1:18" ht="18">
      <c r="A6016" s="898"/>
      <c r="B6016" s="898"/>
      <c r="C6016" s="898"/>
      <c r="D6016" s="898"/>
      <c r="E6016" s="898"/>
      <c r="F6016" s="898"/>
      <c r="G6016" s="898"/>
      <c r="H6016" s="898"/>
      <c r="I6016" s="1586"/>
      <c r="J6016" s="914"/>
      <c r="K6016" s="915">
        <f>SUM(K6012:K6015)</f>
        <v>158</v>
      </c>
      <c r="L6016" s="914">
        <f t="shared" ref="L6016" si="1294">SUM(L6012:L6015)</f>
        <v>19.615679999999994</v>
      </c>
      <c r="M6016" s="898"/>
      <c r="N6016" s="898"/>
      <c r="O6016" s="898"/>
      <c r="P6016" s="898"/>
      <c r="Q6016" s="1075"/>
      <c r="R6016" s="1075"/>
    </row>
    <row r="6017" spans="1:18" ht="18">
      <c r="A6017" s="547" t="s">
        <v>445</v>
      </c>
      <c r="B6017" s="547" t="s">
        <v>576</v>
      </c>
      <c r="C6017" s="547" t="s">
        <v>19</v>
      </c>
      <c r="D6017" s="547" t="s">
        <v>20</v>
      </c>
      <c r="E6017" s="560" t="s">
        <v>464</v>
      </c>
      <c r="F6017" s="548"/>
      <c r="G6017" s="898" t="s">
        <v>21</v>
      </c>
      <c r="H6017" s="898" t="s">
        <v>124</v>
      </c>
      <c r="I6017" s="1586">
        <v>19.8</v>
      </c>
      <c r="J6017" s="914">
        <v>7.2</v>
      </c>
      <c r="K6017" s="915">
        <v>10</v>
      </c>
      <c r="L6017" s="552">
        <f t="shared" ref="L6017:L6019" si="1295">(I6017*J6017*K6017/1000)</f>
        <v>1.4256</v>
      </c>
      <c r="M6017" s="898"/>
      <c r="N6017" s="898"/>
      <c r="O6017" s="898"/>
      <c r="P6017" s="898"/>
      <c r="Q6017" s="1075"/>
      <c r="R6017" s="1075"/>
    </row>
    <row r="6018" spans="1:18" ht="18">
      <c r="A6018" s="547"/>
      <c r="B6018" s="549" t="s">
        <v>439</v>
      </c>
      <c r="C6018" s="547"/>
      <c r="D6018" s="547"/>
      <c r="E6018" s="547"/>
      <c r="F6018" s="548"/>
      <c r="G6018" s="898" t="s">
        <v>21</v>
      </c>
      <c r="H6018" s="898" t="s">
        <v>124</v>
      </c>
      <c r="I6018" s="1586">
        <v>19.8</v>
      </c>
      <c r="J6018" s="914">
        <v>11.7</v>
      </c>
      <c r="K6018" s="915">
        <v>26</v>
      </c>
      <c r="L6018" s="552">
        <f t="shared" si="1295"/>
        <v>6.0231599999999998</v>
      </c>
      <c r="M6018" s="898"/>
      <c r="N6018" s="898"/>
      <c r="O6018" s="898"/>
      <c r="P6018" s="898"/>
      <c r="Q6018" s="1075"/>
      <c r="R6018" s="1075"/>
    </row>
    <row r="6019" spans="1:18" ht="18">
      <c r="A6019" s="898"/>
      <c r="B6019" s="898"/>
      <c r="C6019" s="898"/>
      <c r="D6019" s="898"/>
      <c r="E6019" s="898"/>
      <c r="F6019" s="898"/>
      <c r="G6019" s="898" t="s">
        <v>21</v>
      </c>
      <c r="H6019" s="898" t="s">
        <v>124</v>
      </c>
      <c r="I6019" s="1586">
        <v>19.8</v>
      </c>
      <c r="J6019" s="914">
        <v>11.8</v>
      </c>
      <c r="K6019" s="915">
        <v>30</v>
      </c>
      <c r="L6019" s="552">
        <f t="shared" si="1295"/>
        <v>7.0092000000000008</v>
      </c>
      <c r="M6019" s="898"/>
      <c r="N6019" s="898"/>
      <c r="O6019" s="898"/>
      <c r="P6019" s="898"/>
      <c r="Q6019" s="1075"/>
      <c r="R6019" s="1075"/>
    </row>
    <row r="6020" spans="1:18" ht="18">
      <c r="A6020" s="898"/>
      <c r="B6020" s="898"/>
      <c r="C6020" s="898"/>
      <c r="D6020" s="898"/>
      <c r="E6020" s="898"/>
      <c r="F6020" s="898"/>
      <c r="G6020" s="898"/>
      <c r="H6020" s="898"/>
      <c r="I6020" s="1586"/>
      <c r="J6020" s="914"/>
      <c r="K6020" s="915">
        <f>SUM(K6017:K6019)</f>
        <v>66</v>
      </c>
      <c r="L6020" s="914">
        <f t="shared" ref="L6020" si="1296">SUM(L6017:L6019)</f>
        <v>14.45796</v>
      </c>
      <c r="M6020" s="898"/>
      <c r="N6020" s="898"/>
      <c r="O6020" s="898"/>
      <c r="P6020" s="898"/>
      <c r="Q6020" s="1075"/>
      <c r="R6020" s="1075"/>
    </row>
    <row r="6021" spans="1:18" ht="18">
      <c r="A6021" s="547" t="s">
        <v>445</v>
      </c>
      <c r="B6021" s="547" t="s">
        <v>576</v>
      </c>
      <c r="C6021" s="547" t="s">
        <v>19</v>
      </c>
      <c r="D6021" s="547" t="s">
        <v>20</v>
      </c>
      <c r="E6021" s="560" t="s">
        <v>464</v>
      </c>
      <c r="F6021" s="548"/>
      <c r="G6021" s="898" t="s">
        <v>21</v>
      </c>
      <c r="H6021" s="898" t="s">
        <v>126</v>
      </c>
      <c r="I6021" s="1586">
        <v>23.6</v>
      </c>
      <c r="J6021" s="914">
        <v>7.8</v>
      </c>
      <c r="K6021" s="915">
        <v>26</v>
      </c>
      <c r="L6021" s="552">
        <f t="shared" ref="L6021:L6025" si="1297">(I6021*J6021*K6021/1000)</f>
        <v>4.7860800000000001</v>
      </c>
      <c r="M6021" s="898"/>
      <c r="N6021" s="898"/>
      <c r="O6021" s="898"/>
      <c r="P6021" s="898"/>
      <c r="Q6021" s="1075"/>
      <c r="R6021" s="1075"/>
    </row>
    <row r="6022" spans="1:18" ht="18">
      <c r="A6022" s="547"/>
      <c r="B6022" s="549" t="s">
        <v>439</v>
      </c>
      <c r="C6022" s="547"/>
      <c r="D6022" s="547"/>
      <c r="E6022" s="547"/>
      <c r="F6022" s="548"/>
      <c r="G6022" s="898" t="s">
        <v>21</v>
      </c>
      <c r="H6022" s="898" t="s">
        <v>126</v>
      </c>
      <c r="I6022" s="1586">
        <v>23.6</v>
      </c>
      <c r="J6022" s="914">
        <v>8</v>
      </c>
      <c r="K6022" s="915">
        <v>35</v>
      </c>
      <c r="L6022" s="552">
        <f t="shared" si="1297"/>
        <v>6.6079999999999997</v>
      </c>
      <c r="M6022" s="898"/>
      <c r="N6022" s="898"/>
      <c r="O6022" s="898"/>
      <c r="P6022" s="898"/>
      <c r="Q6022" s="1075"/>
      <c r="R6022" s="1075"/>
    </row>
    <row r="6023" spans="1:18" ht="18">
      <c r="A6023" s="898"/>
      <c r="B6023" s="898"/>
      <c r="C6023" s="898"/>
      <c r="D6023" s="898"/>
      <c r="E6023" s="898"/>
      <c r="F6023" s="898"/>
      <c r="G6023" s="898" t="s">
        <v>21</v>
      </c>
      <c r="H6023" s="898" t="s">
        <v>126</v>
      </c>
      <c r="I6023" s="1586">
        <v>23.6</v>
      </c>
      <c r="J6023" s="914">
        <v>9.5</v>
      </c>
      <c r="K6023" s="915">
        <v>37</v>
      </c>
      <c r="L6023" s="552">
        <f t="shared" si="1297"/>
        <v>8.2954000000000008</v>
      </c>
      <c r="M6023" s="898"/>
      <c r="N6023" s="898"/>
      <c r="O6023" s="898"/>
      <c r="P6023" s="898"/>
      <c r="Q6023" s="1075"/>
      <c r="R6023" s="1075"/>
    </row>
    <row r="6024" spans="1:18" ht="18">
      <c r="A6024" s="898"/>
      <c r="B6024" s="898"/>
      <c r="C6024" s="898"/>
      <c r="D6024" s="898"/>
      <c r="E6024" s="898"/>
      <c r="F6024" s="898"/>
      <c r="G6024" s="898" t="s">
        <v>21</v>
      </c>
      <c r="H6024" s="898" t="s">
        <v>126</v>
      </c>
      <c r="I6024" s="1586">
        <v>23.6</v>
      </c>
      <c r="J6024" s="914">
        <v>10.9</v>
      </c>
      <c r="K6024" s="915">
        <v>14</v>
      </c>
      <c r="L6024" s="552">
        <f t="shared" si="1297"/>
        <v>3.6013600000000001</v>
      </c>
      <c r="M6024" s="898"/>
      <c r="N6024" s="898"/>
      <c r="O6024" s="898"/>
      <c r="P6024" s="898"/>
      <c r="Q6024" s="1075"/>
      <c r="R6024" s="1075"/>
    </row>
    <row r="6025" spans="1:18" ht="18">
      <c r="A6025" s="898"/>
      <c r="B6025" s="898"/>
      <c r="C6025" s="898"/>
      <c r="D6025" s="898"/>
      <c r="E6025" s="898"/>
      <c r="F6025" s="898"/>
      <c r="G6025" s="898" t="s">
        <v>21</v>
      </c>
      <c r="H6025" s="898" t="s">
        <v>126</v>
      </c>
      <c r="I6025" s="1586">
        <v>23.6</v>
      </c>
      <c r="J6025" s="914">
        <v>11.6</v>
      </c>
      <c r="K6025" s="915">
        <v>22</v>
      </c>
      <c r="L6025" s="552">
        <f t="shared" si="1297"/>
        <v>6.0227199999999996</v>
      </c>
      <c r="M6025" s="898"/>
      <c r="N6025" s="898"/>
      <c r="O6025" s="898"/>
      <c r="P6025" s="898"/>
      <c r="Q6025" s="1075"/>
      <c r="R6025" s="1075"/>
    </row>
    <row r="6026" spans="1:18" ht="18">
      <c r="A6026" s="898"/>
      <c r="B6026" s="898"/>
      <c r="C6026" s="898"/>
      <c r="D6026" s="898"/>
      <c r="E6026" s="898"/>
      <c r="F6026" s="898"/>
      <c r="G6026" s="898"/>
      <c r="H6026" s="898"/>
      <c r="I6026" s="1586"/>
      <c r="J6026" s="914"/>
      <c r="K6026" s="915">
        <f>SUM(K6021:K6025)</f>
        <v>134</v>
      </c>
      <c r="L6026" s="914">
        <f t="shared" ref="L6026" si="1298">SUM(L6021:L6025)</f>
        <v>29.313559999999999</v>
      </c>
      <c r="M6026" s="898"/>
      <c r="N6026" s="898"/>
      <c r="O6026" s="898"/>
      <c r="P6026" s="898"/>
      <c r="Q6026" s="1075"/>
      <c r="R6026" s="1075"/>
    </row>
    <row r="6027" spans="1:18" ht="18">
      <c r="A6027" s="898"/>
      <c r="B6027" s="898"/>
      <c r="C6027" s="898"/>
      <c r="D6027" s="898"/>
      <c r="E6027" s="898"/>
      <c r="F6027" s="898"/>
      <c r="G6027" s="898"/>
      <c r="H6027" s="898"/>
      <c r="I6027" s="920"/>
      <c r="J6027" s="898"/>
      <c r="K6027" s="921"/>
      <c r="L6027" s="920"/>
      <c r="M6027" s="898"/>
      <c r="N6027" s="898"/>
      <c r="O6027" s="898"/>
      <c r="P6027" s="898"/>
      <c r="Q6027" s="1075"/>
      <c r="R6027" s="1075"/>
    </row>
    <row r="6028" spans="1:18" ht="18">
      <c r="A6028" s="898"/>
      <c r="B6028" s="898"/>
      <c r="C6028" s="898"/>
      <c r="D6028" s="898"/>
      <c r="E6028" s="898"/>
      <c r="F6028" s="898"/>
      <c r="G6028" s="898"/>
      <c r="H6028" s="898"/>
      <c r="I6028" s="920"/>
      <c r="J6028" s="898"/>
      <c r="K6028" s="921"/>
      <c r="L6028" s="920"/>
      <c r="M6028" s="898"/>
      <c r="N6028" s="898"/>
      <c r="O6028" s="898"/>
      <c r="P6028" s="898"/>
      <c r="Q6028" s="1075"/>
      <c r="R6028" s="1075"/>
    </row>
    <row r="6029" spans="1:18" ht="18">
      <c r="A6029" s="547" t="s">
        <v>541</v>
      </c>
      <c r="B6029" s="547" t="s">
        <v>559</v>
      </c>
      <c r="C6029" s="547" t="s">
        <v>19</v>
      </c>
      <c r="D6029" s="547" t="s">
        <v>20</v>
      </c>
      <c r="E6029" s="547" t="s">
        <v>57</v>
      </c>
      <c r="F6029" s="549">
        <v>16</v>
      </c>
      <c r="G6029" s="883" t="s">
        <v>21</v>
      </c>
      <c r="H6029" s="883" t="s">
        <v>120</v>
      </c>
      <c r="I6029" s="1884">
        <v>18.2</v>
      </c>
      <c r="J6029" s="890">
        <v>8.4</v>
      </c>
      <c r="K6029" s="889">
        <v>5</v>
      </c>
      <c r="L6029" s="895">
        <f t="shared" ref="L6029:L6033" si="1299">(I6029*J6029*K6029/1000)</f>
        <v>0.76439999999999997</v>
      </c>
      <c r="M6029" s="898"/>
      <c r="N6029" s="898"/>
      <c r="O6029" s="898"/>
      <c r="P6029" s="898"/>
      <c r="Q6029" s="1075"/>
      <c r="R6029" s="1075"/>
    </row>
    <row r="6030" spans="1:18" ht="18">
      <c r="A6030" s="547"/>
      <c r="B6030" s="549" t="s">
        <v>564</v>
      </c>
      <c r="C6030" s="547"/>
      <c r="D6030" s="547"/>
      <c r="E6030" s="547"/>
      <c r="F6030" s="549"/>
      <c r="G6030" s="883" t="s">
        <v>21</v>
      </c>
      <c r="H6030" s="883" t="s">
        <v>120</v>
      </c>
      <c r="I6030" s="1884">
        <v>18.2</v>
      </c>
      <c r="J6030" s="890">
        <v>9.1</v>
      </c>
      <c r="K6030" s="889">
        <v>12</v>
      </c>
      <c r="L6030" s="895">
        <f t="shared" si="1299"/>
        <v>1.9874399999999997</v>
      </c>
      <c r="M6030" s="898"/>
      <c r="N6030" s="898"/>
      <c r="O6030" s="898"/>
      <c r="P6030" s="898"/>
      <c r="Q6030" s="1075"/>
      <c r="R6030" s="1075"/>
    </row>
    <row r="6031" spans="1:18" ht="18">
      <c r="A6031" s="898"/>
      <c r="B6031" s="898"/>
      <c r="C6031" s="898"/>
      <c r="D6031" s="898"/>
      <c r="E6031" s="898"/>
      <c r="F6031" s="898"/>
      <c r="G6031" s="883" t="s">
        <v>21</v>
      </c>
      <c r="H6031" s="883" t="s">
        <v>120</v>
      </c>
      <c r="I6031" s="1884">
        <v>18.2</v>
      </c>
      <c r="J6031" s="890">
        <v>9.3000000000000007</v>
      </c>
      <c r="K6031" s="889">
        <v>10</v>
      </c>
      <c r="L6031" s="895">
        <f t="shared" si="1299"/>
        <v>1.6926000000000001</v>
      </c>
      <c r="M6031" s="898"/>
      <c r="N6031" s="898"/>
      <c r="O6031" s="898"/>
      <c r="P6031" s="898"/>
      <c r="Q6031" s="1075"/>
      <c r="R6031" s="1075"/>
    </row>
    <row r="6032" spans="1:18" ht="18">
      <c r="A6032" s="898"/>
      <c r="B6032" s="898"/>
      <c r="C6032" s="898"/>
      <c r="D6032" s="898"/>
      <c r="E6032" s="898"/>
      <c r="F6032" s="898"/>
      <c r="G6032" s="883" t="s">
        <v>21</v>
      </c>
      <c r="H6032" s="883" t="s">
        <v>120</v>
      </c>
      <c r="I6032" s="1884">
        <v>18.2</v>
      </c>
      <c r="J6032" s="890">
        <v>10</v>
      </c>
      <c r="K6032" s="889">
        <v>8</v>
      </c>
      <c r="L6032" s="895">
        <f t="shared" si="1299"/>
        <v>1.456</v>
      </c>
      <c r="M6032" s="898"/>
      <c r="N6032" s="898"/>
      <c r="O6032" s="898"/>
      <c r="P6032" s="898"/>
      <c r="Q6032" s="1075"/>
      <c r="R6032" s="1075"/>
    </row>
    <row r="6033" spans="1:18" ht="18">
      <c r="A6033" s="898"/>
      <c r="B6033" s="898"/>
      <c r="C6033" s="898"/>
      <c r="D6033" s="898"/>
      <c r="E6033" s="898"/>
      <c r="F6033" s="898"/>
      <c r="G6033" s="883" t="s">
        <v>21</v>
      </c>
      <c r="H6033" s="883" t="s">
        <v>120</v>
      </c>
      <c r="I6033" s="1884">
        <v>18.2</v>
      </c>
      <c r="J6033" s="890">
        <v>10.9</v>
      </c>
      <c r="K6033" s="889">
        <v>2</v>
      </c>
      <c r="L6033" s="895">
        <f t="shared" si="1299"/>
        <v>0.39676</v>
      </c>
      <c r="M6033" s="898"/>
      <c r="N6033" s="898"/>
      <c r="O6033" s="898"/>
      <c r="P6033" s="898"/>
      <c r="Q6033" s="1075"/>
      <c r="R6033" s="1075"/>
    </row>
    <row r="6034" spans="1:18" ht="18">
      <c r="A6034" s="898"/>
      <c r="B6034" s="898"/>
      <c r="C6034" s="898"/>
      <c r="D6034" s="898"/>
      <c r="E6034" s="898"/>
      <c r="F6034" s="898"/>
      <c r="G6034" s="883"/>
      <c r="H6034" s="887"/>
      <c r="I6034" s="1885"/>
      <c r="J6034" s="896"/>
      <c r="K6034" s="889">
        <f t="shared" ref="K6034:L6034" si="1300">SUM(K6029:K6033)</f>
        <v>37</v>
      </c>
      <c r="L6034" s="890">
        <f t="shared" si="1300"/>
        <v>6.2972000000000001</v>
      </c>
      <c r="M6034" s="898"/>
      <c r="N6034" s="898"/>
      <c r="O6034" s="898"/>
      <c r="P6034" s="898"/>
      <c r="Q6034" s="1075"/>
      <c r="R6034" s="1075"/>
    </row>
    <row r="6035" spans="1:18" ht="18">
      <c r="A6035" s="547" t="s">
        <v>541</v>
      </c>
      <c r="B6035" s="547" t="s">
        <v>559</v>
      </c>
      <c r="C6035" s="547" t="s">
        <v>19</v>
      </c>
      <c r="D6035" s="547" t="s">
        <v>20</v>
      </c>
      <c r="E6035" s="547" t="s">
        <v>57</v>
      </c>
      <c r="F6035" s="549">
        <v>16</v>
      </c>
      <c r="G6035" s="883" t="s">
        <v>21</v>
      </c>
      <c r="H6035" s="883" t="s">
        <v>122</v>
      </c>
      <c r="I6035" s="1884">
        <v>14.7</v>
      </c>
      <c r="J6035" s="890">
        <v>7.5</v>
      </c>
      <c r="K6035" s="889">
        <v>9</v>
      </c>
      <c r="L6035" s="895">
        <f>(I6035*J6035*K6035/1000)</f>
        <v>0.99224999999999997</v>
      </c>
      <c r="M6035" s="898"/>
      <c r="N6035" s="898"/>
      <c r="O6035" s="898"/>
      <c r="P6035" s="898"/>
      <c r="Q6035" s="1075"/>
      <c r="R6035" s="1075"/>
    </row>
    <row r="6036" spans="1:18" ht="18">
      <c r="A6036" s="547"/>
      <c r="B6036" s="549" t="s">
        <v>564</v>
      </c>
      <c r="C6036" s="547"/>
      <c r="D6036" s="547"/>
      <c r="E6036" s="547"/>
      <c r="F6036" s="549"/>
      <c r="G6036" s="883"/>
      <c r="H6036" s="887"/>
      <c r="I6036" s="1885"/>
      <c r="J6036" s="896"/>
      <c r="K6036" s="889">
        <f t="shared" ref="K6036:L6036" si="1301">SUM(K6035)</f>
        <v>9</v>
      </c>
      <c r="L6036" s="890">
        <f t="shared" si="1301"/>
        <v>0.99224999999999997</v>
      </c>
      <c r="M6036" s="898"/>
      <c r="N6036" s="898"/>
      <c r="O6036" s="898"/>
      <c r="P6036" s="898"/>
      <c r="Q6036" s="1075"/>
      <c r="R6036" s="1075"/>
    </row>
    <row r="6037" spans="1:18" ht="18">
      <c r="A6037" s="547" t="s">
        <v>541</v>
      </c>
      <c r="B6037" s="547" t="s">
        <v>559</v>
      </c>
      <c r="C6037" s="547" t="s">
        <v>19</v>
      </c>
      <c r="D6037" s="547" t="s">
        <v>20</v>
      </c>
      <c r="E6037" s="547" t="s">
        <v>57</v>
      </c>
      <c r="F6037" s="549">
        <v>16</v>
      </c>
      <c r="G6037" s="883" t="s">
        <v>21</v>
      </c>
      <c r="H6037" s="883" t="s">
        <v>123</v>
      </c>
      <c r="I6037" s="1884">
        <v>16.5</v>
      </c>
      <c r="J6037" s="890">
        <v>8.6</v>
      </c>
      <c r="K6037" s="889">
        <v>2</v>
      </c>
      <c r="L6037" s="895">
        <f>(I6037*J6037*K6037/1000)</f>
        <v>0.2838</v>
      </c>
      <c r="M6037" s="898"/>
      <c r="N6037" s="898"/>
      <c r="O6037" s="898"/>
      <c r="P6037" s="898"/>
      <c r="Q6037" s="1075"/>
      <c r="R6037" s="1075"/>
    </row>
    <row r="6038" spans="1:18" ht="18">
      <c r="A6038" s="547"/>
      <c r="B6038" s="549" t="s">
        <v>564</v>
      </c>
      <c r="C6038" s="547"/>
      <c r="D6038" s="547"/>
      <c r="E6038" s="547"/>
      <c r="F6038" s="549"/>
      <c r="G6038" s="883"/>
      <c r="H6038" s="887"/>
      <c r="I6038" s="1885"/>
      <c r="J6038" s="896"/>
      <c r="K6038" s="889">
        <f t="shared" ref="K6038:L6038" si="1302">SUM(K6037)</f>
        <v>2</v>
      </c>
      <c r="L6038" s="890">
        <f t="shared" si="1302"/>
        <v>0.2838</v>
      </c>
      <c r="M6038" s="898"/>
      <c r="N6038" s="898"/>
      <c r="O6038" s="898"/>
      <c r="P6038" s="898"/>
      <c r="Q6038" s="1075"/>
      <c r="R6038" s="1075"/>
    </row>
    <row r="6039" spans="1:18" ht="18">
      <c r="A6039" s="547" t="s">
        <v>541</v>
      </c>
      <c r="B6039" s="547" t="s">
        <v>559</v>
      </c>
      <c r="C6039" s="547" t="s">
        <v>19</v>
      </c>
      <c r="D6039" s="547" t="s">
        <v>20</v>
      </c>
      <c r="E6039" s="547" t="s">
        <v>57</v>
      </c>
      <c r="F6039" s="549">
        <v>16</v>
      </c>
      <c r="G6039" s="883" t="s">
        <v>21</v>
      </c>
      <c r="H6039" s="883" t="s">
        <v>124</v>
      </c>
      <c r="I6039" s="1884">
        <v>19.8</v>
      </c>
      <c r="J6039" s="890">
        <v>9.8000000000000007</v>
      </c>
      <c r="K6039" s="889">
        <v>19</v>
      </c>
      <c r="L6039" s="895">
        <f>(I6039*J6039*K6039/1000)</f>
        <v>3.68676</v>
      </c>
      <c r="M6039" s="898"/>
      <c r="N6039" s="898"/>
      <c r="O6039" s="898"/>
      <c r="P6039" s="898"/>
      <c r="Q6039" s="1075"/>
      <c r="R6039" s="1075"/>
    </row>
    <row r="6040" spans="1:18" ht="18">
      <c r="A6040" s="547"/>
      <c r="B6040" s="549" t="s">
        <v>564</v>
      </c>
      <c r="C6040" s="547"/>
      <c r="D6040" s="547"/>
      <c r="E6040" s="547"/>
      <c r="F6040" s="549"/>
      <c r="G6040" s="883" t="s">
        <v>21</v>
      </c>
      <c r="H6040" s="883" t="s">
        <v>124</v>
      </c>
      <c r="I6040" s="1884">
        <v>19.8</v>
      </c>
      <c r="J6040" s="890">
        <v>9.9</v>
      </c>
      <c r="K6040" s="889">
        <v>7</v>
      </c>
      <c r="L6040" s="895">
        <f>(I6040*J6040*K6040/1000)</f>
        <v>1.3721400000000001</v>
      </c>
      <c r="M6040" s="898"/>
      <c r="N6040" s="898"/>
      <c r="O6040" s="898"/>
      <c r="P6040" s="898"/>
      <c r="Q6040" s="1075"/>
      <c r="R6040" s="1075"/>
    </row>
    <row r="6041" spans="1:18" ht="18">
      <c r="A6041" s="898"/>
      <c r="B6041" s="898"/>
      <c r="C6041" s="898"/>
      <c r="D6041" s="898"/>
      <c r="E6041" s="898"/>
      <c r="F6041" s="898"/>
      <c r="G6041" s="883" t="s">
        <v>21</v>
      </c>
      <c r="H6041" s="883" t="s">
        <v>124</v>
      </c>
      <c r="I6041" s="1884">
        <v>19.8</v>
      </c>
      <c r="J6041" s="890">
        <v>11.9</v>
      </c>
      <c r="K6041" s="889">
        <v>3</v>
      </c>
      <c r="L6041" s="895">
        <f>(I6041*J6041*K6041/1000)</f>
        <v>0.70686000000000004</v>
      </c>
      <c r="M6041" s="898"/>
      <c r="N6041" s="898"/>
      <c r="O6041" s="898"/>
      <c r="P6041" s="898"/>
      <c r="Q6041" s="1075"/>
      <c r="R6041" s="1075"/>
    </row>
    <row r="6042" spans="1:18" ht="18">
      <c r="A6042" s="898"/>
      <c r="B6042" s="898"/>
      <c r="C6042" s="898"/>
      <c r="D6042" s="898"/>
      <c r="E6042" s="898"/>
      <c r="F6042" s="898"/>
      <c r="G6042" s="883"/>
      <c r="H6042" s="887"/>
      <c r="I6042" s="1885"/>
      <c r="J6042" s="896"/>
      <c r="K6042" s="889">
        <f t="shared" ref="K6042:L6042" si="1303">SUM(K6039:K6041)</f>
        <v>29</v>
      </c>
      <c r="L6042" s="890">
        <f t="shared" si="1303"/>
        <v>5.7657600000000002</v>
      </c>
      <c r="M6042" s="898"/>
      <c r="N6042" s="898"/>
      <c r="O6042" s="898"/>
      <c r="P6042" s="898"/>
      <c r="Q6042" s="1075"/>
      <c r="R6042" s="1075"/>
    </row>
    <row r="6043" spans="1:18" ht="18">
      <c r="A6043" s="898"/>
      <c r="B6043" s="898"/>
      <c r="C6043" s="898"/>
      <c r="D6043" s="898"/>
      <c r="E6043" s="898"/>
      <c r="F6043" s="898"/>
      <c r="G6043" s="898"/>
      <c r="H6043" s="898"/>
      <c r="I6043" s="920"/>
      <c r="J6043" s="898"/>
      <c r="K6043" s="921"/>
      <c r="L6043" s="920"/>
      <c r="M6043" s="898"/>
      <c r="N6043" s="898"/>
      <c r="O6043" s="898"/>
      <c r="P6043" s="898"/>
      <c r="Q6043" s="1075"/>
      <c r="R6043" s="1075"/>
    </row>
    <row r="6044" spans="1:18" ht="18">
      <c r="A6044" s="898"/>
      <c r="B6044" s="898"/>
      <c r="C6044" s="898"/>
      <c r="D6044" s="898"/>
      <c r="E6044" s="898"/>
      <c r="F6044" s="898"/>
      <c r="G6044" s="898"/>
      <c r="H6044" s="898"/>
      <c r="I6044" s="920"/>
      <c r="J6044" s="898"/>
      <c r="K6044" s="921"/>
      <c r="L6044" s="920"/>
      <c r="M6044" s="898"/>
      <c r="N6044" s="898"/>
      <c r="O6044" s="898"/>
      <c r="P6044" s="898"/>
      <c r="Q6044" s="1075"/>
      <c r="R6044" s="1075"/>
    </row>
    <row r="6045" spans="1:18" ht="18">
      <c r="A6045" s="547" t="s">
        <v>541</v>
      </c>
      <c r="B6045" s="547" t="s">
        <v>559</v>
      </c>
      <c r="C6045" s="780" t="s">
        <v>19</v>
      </c>
      <c r="D6045" s="780" t="s">
        <v>20</v>
      </c>
      <c r="E6045" s="780" t="s">
        <v>420</v>
      </c>
      <c r="F6045" s="754"/>
      <c r="G6045" s="883" t="s">
        <v>21</v>
      </c>
      <c r="H6045" s="883" t="s">
        <v>120</v>
      </c>
      <c r="I6045" s="1884">
        <v>18.2</v>
      </c>
      <c r="J6045" s="890">
        <v>11.8</v>
      </c>
      <c r="K6045" s="889">
        <v>5</v>
      </c>
      <c r="L6045" s="895">
        <f>(I6045*J6045*K6045/1000)</f>
        <v>1.0737999999999999</v>
      </c>
      <c r="M6045" s="898"/>
      <c r="N6045" s="898"/>
      <c r="O6045" s="898"/>
      <c r="P6045" s="898"/>
      <c r="Q6045" s="1075"/>
      <c r="R6045" s="1075"/>
    </row>
    <row r="6046" spans="1:18" ht="18">
      <c r="A6046" s="547"/>
      <c r="B6046" s="549" t="s">
        <v>564</v>
      </c>
      <c r="C6046" s="780"/>
      <c r="D6046" s="780"/>
      <c r="E6046" s="780"/>
      <c r="F6046" s="754"/>
      <c r="G6046" s="883"/>
      <c r="H6046" s="887"/>
      <c r="I6046" s="1885"/>
      <c r="J6046" s="896"/>
      <c r="K6046" s="889">
        <f t="shared" ref="K6046:L6046" si="1304">SUM(K6045)</f>
        <v>5</v>
      </c>
      <c r="L6046" s="890">
        <f t="shared" si="1304"/>
        <v>1.0737999999999999</v>
      </c>
      <c r="M6046" s="898"/>
      <c r="N6046" s="898"/>
      <c r="O6046" s="898"/>
      <c r="P6046" s="898"/>
      <c r="Q6046" s="1075"/>
      <c r="R6046" s="1075"/>
    </row>
    <row r="6047" spans="1:18" ht="18">
      <c r="A6047" s="898"/>
      <c r="B6047" s="898"/>
      <c r="C6047" s="898"/>
      <c r="D6047" s="898"/>
      <c r="E6047" s="898"/>
      <c r="F6047" s="898"/>
      <c r="G6047" s="883" t="s">
        <v>21</v>
      </c>
      <c r="H6047" s="883" t="s">
        <v>122</v>
      </c>
      <c r="I6047" s="1884">
        <v>14.7</v>
      </c>
      <c r="J6047" s="890">
        <v>6.6</v>
      </c>
      <c r="K6047" s="889">
        <v>4</v>
      </c>
      <c r="L6047" s="895">
        <f t="shared" ref="L6047:L6053" si="1305">(I6047*J6047*K6047/1000)</f>
        <v>0.38807999999999998</v>
      </c>
      <c r="M6047" s="898"/>
      <c r="N6047" s="898"/>
      <c r="O6047" s="898"/>
      <c r="P6047" s="898"/>
      <c r="Q6047" s="1075"/>
      <c r="R6047" s="1075"/>
    </row>
    <row r="6048" spans="1:18" ht="18">
      <c r="A6048" s="898"/>
      <c r="B6048" s="898"/>
      <c r="C6048" s="898"/>
      <c r="D6048" s="898"/>
      <c r="E6048" s="898"/>
      <c r="F6048" s="898"/>
      <c r="G6048" s="883" t="s">
        <v>21</v>
      </c>
      <c r="H6048" s="883" t="s">
        <v>122</v>
      </c>
      <c r="I6048" s="1884">
        <v>14.7</v>
      </c>
      <c r="J6048" s="890">
        <v>7.3</v>
      </c>
      <c r="K6048" s="889">
        <v>12</v>
      </c>
      <c r="L6048" s="895">
        <f t="shared" si="1305"/>
        <v>1.2877199999999998</v>
      </c>
      <c r="M6048" s="898"/>
      <c r="N6048" s="898"/>
      <c r="O6048" s="898"/>
      <c r="P6048" s="898"/>
      <c r="Q6048" s="1075"/>
      <c r="R6048" s="1075"/>
    </row>
    <row r="6049" spans="1:18" ht="18">
      <c r="A6049" s="898"/>
      <c r="B6049" s="898"/>
      <c r="C6049" s="898"/>
      <c r="D6049" s="898"/>
      <c r="E6049" s="898"/>
      <c r="F6049" s="898"/>
      <c r="G6049" s="883" t="s">
        <v>21</v>
      </c>
      <c r="H6049" s="883" t="s">
        <v>122</v>
      </c>
      <c r="I6049" s="1884">
        <v>14.7</v>
      </c>
      <c r="J6049" s="890">
        <v>7.8</v>
      </c>
      <c r="K6049" s="889">
        <v>12</v>
      </c>
      <c r="L6049" s="895">
        <f t="shared" si="1305"/>
        <v>1.37592</v>
      </c>
      <c r="M6049" s="898"/>
      <c r="N6049" s="898"/>
      <c r="O6049" s="898"/>
      <c r="P6049" s="898"/>
      <c r="Q6049" s="1075"/>
      <c r="R6049" s="1075"/>
    </row>
    <row r="6050" spans="1:18" ht="18">
      <c r="A6050" s="898"/>
      <c r="B6050" s="898"/>
      <c r="C6050" s="898"/>
      <c r="D6050" s="898"/>
      <c r="E6050" s="898"/>
      <c r="F6050" s="898"/>
      <c r="G6050" s="883" t="s">
        <v>21</v>
      </c>
      <c r="H6050" s="883" t="s">
        <v>122</v>
      </c>
      <c r="I6050" s="1884">
        <v>14.7</v>
      </c>
      <c r="J6050" s="890">
        <v>10.199999999999999</v>
      </c>
      <c r="K6050" s="889">
        <v>8</v>
      </c>
      <c r="L6050" s="895">
        <f t="shared" si="1305"/>
        <v>1.1995199999999997</v>
      </c>
      <c r="M6050" s="898"/>
      <c r="N6050" s="898"/>
      <c r="O6050" s="898"/>
      <c r="P6050" s="898"/>
      <c r="Q6050" s="1075"/>
      <c r="R6050" s="1075"/>
    </row>
    <row r="6051" spans="1:18" ht="18">
      <c r="A6051" s="898"/>
      <c r="B6051" s="898"/>
      <c r="C6051" s="898"/>
      <c r="D6051" s="898"/>
      <c r="E6051" s="898"/>
      <c r="F6051" s="898"/>
      <c r="G6051" s="883" t="s">
        <v>21</v>
      </c>
      <c r="H6051" s="883" t="s">
        <v>122</v>
      </c>
      <c r="I6051" s="1884">
        <v>14.7</v>
      </c>
      <c r="J6051" s="890">
        <v>10.7</v>
      </c>
      <c r="K6051" s="889">
        <v>24</v>
      </c>
      <c r="L6051" s="895">
        <f t="shared" si="1305"/>
        <v>3.7749600000000001</v>
      </c>
      <c r="M6051" s="898"/>
      <c r="N6051" s="898"/>
      <c r="O6051" s="898"/>
      <c r="P6051" s="898"/>
      <c r="Q6051" s="1075"/>
      <c r="R6051" s="1075"/>
    </row>
    <row r="6052" spans="1:18" ht="18">
      <c r="A6052" s="898"/>
      <c r="B6052" s="898"/>
      <c r="C6052" s="898"/>
      <c r="D6052" s="898"/>
      <c r="E6052" s="898"/>
      <c r="F6052" s="898"/>
      <c r="G6052" s="883" t="s">
        <v>21</v>
      </c>
      <c r="H6052" s="883" t="s">
        <v>122</v>
      </c>
      <c r="I6052" s="1884">
        <v>14.7</v>
      </c>
      <c r="J6052" s="890">
        <v>11.5</v>
      </c>
      <c r="K6052" s="889">
        <v>12</v>
      </c>
      <c r="L6052" s="895">
        <f t="shared" si="1305"/>
        <v>2.0286</v>
      </c>
      <c r="M6052" s="898"/>
      <c r="N6052" s="898"/>
      <c r="O6052" s="898"/>
      <c r="P6052" s="898"/>
      <c r="Q6052" s="1075"/>
      <c r="R6052" s="1075"/>
    </row>
    <row r="6053" spans="1:18" ht="18">
      <c r="A6053" s="898"/>
      <c r="B6053" s="898"/>
      <c r="C6053" s="898"/>
      <c r="D6053" s="898"/>
      <c r="E6053" s="898"/>
      <c r="F6053" s="898"/>
      <c r="G6053" s="883" t="s">
        <v>21</v>
      </c>
      <c r="H6053" s="883" t="s">
        <v>122</v>
      </c>
      <c r="I6053" s="1884">
        <v>14.7</v>
      </c>
      <c r="J6053" s="890">
        <v>11.7</v>
      </c>
      <c r="K6053" s="889">
        <v>24</v>
      </c>
      <c r="L6053" s="895">
        <f t="shared" si="1305"/>
        <v>4.1277599999999994</v>
      </c>
      <c r="M6053" s="898"/>
      <c r="N6053" s="898"/>
      <c r="O6053" s="898"/>
      <c r="P6053" s="898"/>
      <c r="Q6053" s="1075"/>
      <c r="R6053" s="1075"/>
    </row>
    <row r="6054" spans="1:18" ht="18">
      <c r="A6054" s="898"/>
      <c r="B6054" s="898"/>
      <c r="C6054" s="898"/>
      <c r="D6054" s="898"/>
      <c r="E6054" s="898"/>
      <c r="F6054" s="898"/>
      <c r="G6054" s="883"/>
      <c r="H6054" s="887"/>
      <c r="I6054" s="1885"/>
      <c r="J6054" s="896"/>
      <c r="K6054" s="889">
        <f t="shared" ref="K6054:L6054" si="1306">SUM(K6047:K6053)</f>
        <v>96</v>
      </c>
      <c r="L6054" s="890">
        <f t="shared" si="1306"/>
        <v>14.182559999999999</v>
      </c>
      <c r="M6054" s="898"/>
      <c r="N6054" s="898"/>
      <c r="O6054" s="898"/>
      <c r="P6054" s="898"/>
      <c r="Q6054" s="1075"/>
      <c r="R6054" s="1075"/>
    </row>
    <row r="6055" spans="1:18" ht="18">
      <c r="A6055" s="547" t="s">
        <v>541</v>
      </c>
      <c r="B6055" s="547" t="s">
        <v>559</v>
      </c>
      <c r="C6055" s="780" t="s">
        <v>19</v>
      </c>
      <c r="D6055" s="780" t="s">
        <v>20</v>
      </c>
      <c r="E6055" s="780" t="s">
        <v>420</v>
      </c>
      <c r="F6055" s="754"/>
      <c r="G6055" s="883" t="s">
        <v>21</v>
      </c>
      <c r="H6055" s="883" t="s">
        <v>123</v>
      </c>
      <c r="I6055" s="1884">
        <v>16.5</v>
      </c>
      <c r="J6055" s="890">
        <v>7.1</v>
      </c>
      <c r="K6055" s="889">
        <v>14</v>
      </c>
      <c r="L6055" s="895">
        <f t="shared" ref="L6055:L6059" si="1307">(I6055*J6055*K6055/1000)</f>
        <v>1.6400999999999999</v>
      </c>
      <c r="M6055" s="898"/>
      <c r="N6055" s="898"/>
      <c r="O6055" s="898"/>
      <c r="P6055" s="898"/>
      <c r="Q6055" s="1075"/>
      <c r="R6055" s="1075"/>
    </row>
    <row r="6056" spans="1:18" ht="18">
      <c r="A6056" s="547"/>
      <c r="B6056" s="549" t="s">
        <v>564</v>
      </c>
      <c r="C6056" s="780"/>
      <c r="D6056" s="780"/>
      <c r="E6056" s="780"/>
      <c r="F6056" s="754"/>
      <c r="G6056" s="883" t="s">
        <v>21</v>
      </c>
      <c r="H6056" s="883" t="s">
        <v>123</v>
      </c>
      <c r="I6056" s="1884">
        <v>16.5</v>
      </c>
      <c r="J6056" s="890">
        <v>8.1</v>
      </c>
      <c r="K6056" s="889">
        <v>8</v>
      </c>
      <c r="L6056" s="895">
        <f t="shared" si="1307"/>
        <v>1.0692000000000002</v>
      </c>
      <c r="M6056" s="898"/>
      <c r="N6056" s="898"/>
      <c r="O6056" s="898"/>
      <c r="P6056" s="898"/>
      <c r="Q6056" s="1075"/>
      <c r="R6056" s="1075"/>
    </row>
    <row r="6057" spans="1:18" ht="18">
      <c r="A6057" s="898"/>
      <c r="B6057" s="898"/>
      <c r="C6057" s="898"/>
      <c r="D6057" s="898"/>
      <c r="E6057" s="898"/>
      <c r="F6057" s="898"/>
      <c r="G6057" s="883" t="s">
        <v>21</v>
      </c>
      <c r="H6057" s="883" t="s">
        <v>123</v>
      </c>
      <c r="I6057" s="1884">
        <v>16.5</v>
      </c>
      <c r="J6057" s="890">
        <v>10</v>
      </c>
      <c r="K6057" s="889">
        <v>7</v>
      </c>
      <c r="L6057" s="895">
        <f t="shared" si="1307"/>
        <v>1.155</v>
      </c>
      <c r="M6057" s="898"/>
      <c r="N6057" s="898"/>
      <c r="O6057" s="898"/>
      <c r="P6057" s="898"/>
      <c r="Q6057" s="1075"/>
      <c r="R6057" s="1075"/>
    </row>
    <row r="6058" spans="1:18" ht="18">
      <c r="A6058" s="898"/>
      <c r="B6058" s="898"/>
      <c r="C6058" s="898"/>
      <c r="D6058" s="898"/>
      <c r="E6058" s="898"/>
      <c r="F6058" s="898"/>
      <c r="G6058" s="883" t="s">
        <v>21</v>
      </c>
      <c r="H6058" s="883" t="s">
        <v>123</v>
      </c>
      <c r="I6058" s="1884">
        <v>16.5</v>
      </c>
      <c r="J6058" s="890">
        <v>11.4</v>
      </c>
      <c r="K6058" s="889">
        <v>4</v>
      </c>
      <c r="L6058" s="895">
        <f t="shared" si="1307"/>
        <v>0.75239999999999996</v>
      </c>
      <c r="M6058" s="898"/>
      <c r="N6058" s="898"/>
      <c r="O6058" s="898"/>
      <c r="P6058" s="898"/>
      <c r="Q6058" s="1075"/>
      <c r="R6058" s="1075"/>
    </row>
    <row r="6059" spans="1:18" ht="18">
      <c r="A6059" s="898"/>
      <c r="B6059" s="898"/>
      <c r="C6059" s="898"/>
      <c r="D6059" s="898"/>
      <c r="E6059" s="898"/>
      <c r="F6059" s="898"/>
      <c r="G6059" s="883" t="s">
        <v>21</v>
      </c>
      <c r="H6059" s="883" t="s">
        <v>123</v>
      </c>
      <c r="I6059" s="1884">
        <v>16.5</v>
      </c>
      <c r="J6059" s="890">
        <v>11.5</v>
      </c>
      <c r="K6059" s="889">
        <v>33</v>
      </c>
      <c r="L6059" s="895">
        <f t="shared" si="1307"/>
        <v>6.2617500000000001</v>
      </c>
      <c r="M6059" s="898"/>
      <c r="N6059" s="898"/>
      <c r="O6059" s="898"/>
      <c r="P6059" s="898"/>
      <c r="Q6059" s="1075"/>
      <c r="R6059" s="1075"/>
    </row>
    <row r="6060" spans="1:18" ht="18">
      <c r="A6060" s="898"/>
      <c r="B6060" s="898"/>
      <c r="C6060" s="898"/>
      <c r="D6060" s="898"/>
      <c r="E6060" s="898"/>
      <c r="F6060" s="898"/>
      <c r="G6060" s="883"/>
      <c r="H6060" s="887"/>
      <c r="I6060" s="1885"/>
      <c r="J6060" s="896"/>
      <c r="K6060" s="889">
        <f t="shared" ref="K6060:L6060" si="1308">SUM(K6055:K6059)</f>
        <v>66</v>
      </c>
      <c r="L6060" s="890">
        <f t="shared" si="1308"/>
        <v>10.878450000000001</v>
      </c>
      <c r="M6060" s="898"/>
      <c r="N6060" s="898"/>
      <c r="O6060" s="898"/>
      <c r="P6060" s="898"/>
      <c r="Q6060" s="1075"/>
      <c r="R6060" s="1075"/>
    </row>
    <row r="6061" spans="1:18" ht="18">
      <c r="A6061" s="547" t="s">
        <v>541</v>
      </c>
      <c r="B6061" s="547" t="s">
        <v>559</v>
      </c>
      <c r="C6061" s="780" t="s">
        <v>19</v>
      </c>
      <c r="D6061" s="780" t="s">
        <v>20</v>
      </c>
      <c r="E6061" s="780" t="s">
        <v>420</v>
      </c>
      <c r="F6061" s="754"/>
      <c r="G6061" s="883" t="s">
        <v>21</v>
      </c>
      <c r="H6061" s="883" t="s">
        <v>124</v>
      </c>
      <c r="I6061" s="1884">
        <v>19.8</v>
      </c>
      <c r="J6061" s="890">
        <v>6.8</v>
      </c>
      <c r="K6061" s="889">
        <v>8</v>
      </c>
      <c r="L6061" s="895">
        <f t="shared" ref="L6061:L6066" si="1309">(I6061*J6061*K6061/1000)</f>
        <v>1.0771200000000001</v>
      </c>
      <c r="M6061" s="898"/>
      <c r="N6061" s="898"/>
      <c r="O6061" s="898"/>
      <c r="P6061" s="898"/>
      <c r="Q6061" s="1075"/>
      <c r="R6061" s="1075"/>
    </row>
    <row r="6062" spans="1:18" ht="18">
      <c r="A6062" s="547"/>
      <c r="B6062" s="549" t="s">
        <v>564</v>
      </c>
      <c r="C6062" s="780"/>
      <c r="D6062" s="780"/>
      <c r="E6062" s="780"/>
      <c r="F6062" s="754"/>
      <c r="G6062" s="883" t="s">
        <v>21</v>
      </c>
      <c r="H6062" s="883" t="s">
        <v>124</v>
      </c>
      <c r="I6062" s="1884">
        <v>19.8</v>
      </c>
      <c r="J6062" s="890">
        <v>7.6</v>
      </c>
      <c r="K6062" s="889">
        <v>24</v>
      </c>
      <c r="L6062" s="895">
        <f t="shared" si="1309"/>
        <v>3.6115199999999996</v>
      </c>
      <c r="M6062" s="898"/>
      <c r="N6062" s="898"/>
      <c r="O6062" s="898"/>
      <c r="P6062" s="898"/>
      <c r="Q6062" s="1075"/>
      <c r="R6062" s="1075"/>
    </row>
    <row r="6063" spans="1:18" ht="18">
      <c r="A6063" s="898"/>
      <c r="B6063" s="898"/>
      <c r="C6063" s="898"/>
      <c r="D6063" s="898"/>
      <c r="E6063" s="898"/>
      <c r="F6063" s="898"/>
      <c r="G6063" s="883" t="s">
        <v>21</v>
      </c>
      <c r="H6063" s="883" t="s">
        <v>124</v>
      </c>
      <c r="I6063" s="1884">
        <v>19.8</v>
      </c>
      <c r="J6063" s="890">
        <v>8.1</v>
      </c>
      <c r="K6063" s="889">
        <v>8</v>
      </c>
      <c r="L6063" s="895">
        <f t="shared" si="1309"/>
        <v>1.28304</v>
      </c>
      <c r="M6063" s="898"/>
      <c r="N6063" s="898"/>
      <c r="O6063" s="898"/>
      <c r="P6063" s="898"/>
      <c r="Q6063" s="1075"/>
      <c r="R6063" s="1075"/>
    </row>
    <row r="6064" spans="1:18" ht="18">
      <c r="A6064" s="898"/>
      <c r="B6064" s="898"/>
      <c r="C6064" s="898"/>
      <c r="D6064" s="898"/>
      <c r="E6064" s="898"/>
      <c r="F6064" s="898"/>
      <c r="G6064" s="883" t="s">
        <v>21</v>
      </c>
      <c r="H6064" s="883" t="s">
        <v>124</v>
      </c>
      <c r="I6064" s="1884">
        <v>19.8</v>
      </c>
      <c r="J6064" s="890">
        <v>8.3000000000000007</v>
      </c>
      <c r="K6064" s="889">
        <v>2</v>
      </c>
      <c r="L6064" s="895">
        <f t="shared" si="1309"/>
        <v>0.32868000000000008</v>
      </c>
      <c r="M6064" s="898"/>
      <c r="N6064" s="898"/>
      <c r="O6064" s="898"/>
      <c r="P6064" s="898"/>
      <c r="Q6064" s="1075"/>
      <c r="R6064" s="1075"/>
    </row>
    <row r="6065" spans="1:18" ht="18">
      <c r="A6065" s="898"/>
      <c r="B6065" s="898"/>
      <c r="C6065" s="898"/>
      <c r="D6065" s="898"/>
      <c r="E6065" s="898"/>
      <c r="F6065" s="898"/>
      <c r="G6065" s="883" t="s">
        <v>21</v>
      </c>
      <c r="H6065" s="883" t="s">
        <v>124</v>
      </c>
      <c r="I6065" s="1884">
        <v>19.8</v>
      </c>
      <c r="J6065" s="890">
        <v>9.6</v>
      </c>
      <c r="K6065" s="889">
        <v>12</v>
      </c>
      <c r="L6065" s="895">
        <f t="shared" si="1309"/>
        <v>2.2809599999999999</v>
      </c>
      <c r="M6065" s="898"/>
      <c r="N6065" s="898"/>
      <c r="O6065" s="898"/>
      <c r="P6065" s="898"/>
      <c r="Q6065" s="1075"/>
      <c r="R6065" s="1075"/>
    </row>
    <row r="6066" spans="1:18" ht="18">
      <c r="A6066" s="898"/>
      <c r="B6066" s="898"/>
      <c r="C6066" s="898"/>
      <c r="D6066" s="898"/>
      <c r="E6066" s="898"/>
      <c r="F6066" s="898"/>
      <c r="G6066" s="883" t="s">
        <v>21</v>
      </c>
      <c r="H6066" s="883" t="s">
        <v>124</v>
      </c>
      <c r="I6066" s="1884">
        <v>19.8</v>
      </c>
      <c r="J6066" s="890">
        <v>10.5</v>
      </c>
      <c r="K6066" s="889">
        <v>12</v>
      </c>
      <c r="L6066" s="895">
        <f t="shared" si="1309"/>
        <v>2.4948000000000001</v>
      </c>
      <c r="M6066" s="898"/>
      <c r="N6066" s="898"/>
      <c r="O6066" s="898"/>
      <c r="P6066" s="898"/>
      <c r="Q6066" s="1075"/>
      <c r="R6066" s="1075"/>
    </row>
    <row r="6067" spans="1:18" ht="18">
      <c r="A6067" s="898"/>
      <c r="B6067" s="898"/>
      <c r="C6067" s="898"/>
      <c r="D6067" s="898"/>
      <c r="E6067" s="898"/>
      <c r="F6067" s="898"/>
      <c r="G6067" s="883"/>
      <c r="H6067" s="887"/>
      <c r="I6067" s="1885"/>
      <c r="J6067" s="896"/>
      <c r="K6067" s="889">
        <f t="shared" ref="K6067" si="1310">SUM(K6061:K6066)</f>
        <v>66</v>
      </c>
      <c r="L6067" s="890">
        <f>SUM(L6061:L6066)</f>
        <v>11.07612</v>
      </c>
      <c r="M6067" s="898"/>
      <c r="N6067" s="898"/>
      <c r="O6067" s="898"/>
      <c r="P6067" s="898"/>
      <c r="Q6067" s="1075"/>
      <c r="R6067" s="1075"/>
    </row>
    <row r="6068" spans="1:18" ht="18">
      <c r="A6068" s="547" t="s">
        <v>541</v>
      </c>
      <c r="B6068" s="547" t="s">
        <v>559</v>
      </c>
      <c r="C6068" s="780" t="s">
        <v>19</v>
      </c>
      <c r="D6068" s="780" t="s">
        <v>20</v>
      </c>
      <c r="E6068" s="780" t="s">
        <v>420</v>
      </c>
      <c r="F6068" s="754"/>
      <c r="G6068" s="883" t="s">
        <v>21</v>
      </c>
      <c r="H6068" s="883" t="s">
        <v>129</v>
      </c>
      <c r="I6068" s="1884">
        <v>17.899999999999999</v>
      </c>
      <c r="J6068" s="890">
        <v>6.6</v>
      </c>
      <c r="K6068" s="889">
        <v>24</v>
      </c>
      <c r="L6068" s="895">
        <f t="shared" ref="L6068" si="1311">(I6068*J6068*K6068/1000)</f>
        <v>2.8353599999999997</v>
      </c>
      <c r="M6068" s="898"/>
      <c r="N6068" s="898"/>
      <c r="O6068" s="898"/>
      <c r="P6068" s="898"/>
      <c r="Q6068" s="1075"/>
      <c r="R6068" s="1075"/>
    </row>
    <row r="6069" spans="1:18" ht="18">
      <c r="A6069" s="547"/>
      <c r="B6069" s="549" t="s">
        <v>564</v>
      </c>
      <c r="C6069" s="780"/>
      <c r="D6069" s="780"/>
      <c r="E6069" s="780"/>
      <c r="F6069" s="754"/>
      <c r="G6069" s="883" t="s">
        <v>21</v>
      </c>
      <c r="H6069" s="883" t="s">
        <v>129</v>
      </c>
      <c r="I6069" s="1884">
        <v>17.899999999999999</v>
      </c>
      <c r="J6069" s="890">
        <v>6.8</v>
      </c>
      <c r="K6069" s="889">
        <v>24</v>
      </c>
      <c r="L6069" s="895">
        <f>(I6069*J6069*K6069/1000)</f>
        <v>2.9212799999999999</v>
      </c>
      <c r="M6069" s="898"/>
      <c r="N6069" s="898"/>
      <c r="O6069" s="898"/>
      <c r="P6069" s="898"/>
      <c r="Q6069" s="1075"/>
      <c r="R6069" s="1075"/>
    </row>
    <row r="6070" spans="1:18" ht="18">
      <c r="A6070" s="898"/>
      <c r="B6070" s="898"/>
      <c r="C6070" s="898"/>
      <c r="D6070" s="898"/>
      <c r="E6070" s="898"/>
      <c r="F6070" s="898"/>
      <c r="G6070" s="883" t="s">
        <v>21</v>
      </c>
      <c r="H6070" s="883" t="s">
        <v>129</v>
      </c>
      <c r="I6070" s="1884">
        <v>17.899999999999999</v>
      </c>
      <c r="J6070" s="890">
        <v>7.8</v>
      </c>
      <c r="K6070" s="889">
        <v>8</v>
      </c>
      <c r="L6070" s="895">
        <f>(I6070*J6070*K6070/1000)</f>
        <v>1.1169599999999997</v>
      </c>
      <c r="M6070" s="898"/>
      <c r="N6070" s="898"/>
      <c r="O6070" s="898"/>
      <c r="P6070" s="898"/>
      <c r="Q6070" s="1075"/>
      <c r="R6070" s="1075"/>
    </row>
    <row r="6071" spans="1:18" ht="18">
      <c r="A6071" s="898"/>
      <c r="B6071" s="898"/>
      <c r="C6071" s="898"/>
      <c r="D6071" s="898"/>
      <c r="E6071" s="898"/>
      <c r="F6071" s="898"/>
      <c r="G6071" s="883" t="s">
        <v>21</v>
      </c>
      <c r="H6071" s="883" t="s">
        <v>129</v>
      </c>
      <c r="I6071" s="1884">
        <v>17.899999999999999</v>
      </c>
      <c r="J6071" s="890">
        <v>8</v>
      </c>
      <c r="K6071" s="889">
        <v>4</v>
      </c>
      <c r="L6071" s="895">
        <f>(I6071*J6071*K6071/1000)</f>
        <v>0.57279999999999998</v>
      </c>
      <c r="M6071" s="898"/>
      <c r="N6071" s="898"/>
      <c r="O6071" s="898"/>
      <c r="P6071" s="898"/>
      <c r="Q6071" s="1075"/>
      <c r="R6071" s="1075"/>
    </row>
    <row r="6072" spans="1:18" ht="18">
      <c r="A6072" s="898"/>
      <c r="B6072" s="898"/>
      <c r="C6072" s="898"/>
      <c r="D6072" s="898"/>
      <c r="E6072" s="898"/>
      <c r="F6072" s="898"/>
      <c r="G6072" s="883" t="s">
        <v>21</v>
      </c>
      <c r="H6072" s="883" t="s">
        <v>129</v>
      </c>
      <c r="I6072" s="1884">
        <v>17.899999999999999</v>
      </c>
      <c r="J6072" s="890">
        <v>9.6999999999999993</v>
      </c>
      <c r="K6072" s="889">
        <v>12</v>
      </c>
      <c r="L6072" s="895">
        <f>(I6072*J6072*K6072/1000)</f>
        <v>2.0835599999999994</v>
      </c>
      <c r="M6072" s="898"/>
      <c r="N6072" s="898"/>
      <c r="O6072" s="898"/>
      <c r="P6072" s="898"/>
      <c r="Q6072" s="1075"/>
      <c r="R6072" s="1075"/>
    </row>
    <row r="6073" spans="1:18" ht="18">
      <c r="A6073" s="898"/>
      <c r="B6073" s="898"/>
      <c r="C6073" s="898"/>
      <c r="D6073" s="898"/>
      <c r="E6073" s="898"/>
      <c r="F6073" s="898"/>
      <c r="G6073" s="883" t="s">
        <v>21</v>
      </c>
      <c r="H6073" s="883" t="s">
        <v>129</v>
      </c>
      <c r="I6073" s="1884">
        <v>17.899999999999999</v>
      </c>
      <c r="J6073" s="890">
        <v>9.8000000000000007</v>
      </c>
      <c r="K6073" s="889">
        <v>14</v>
      </c>
      <c r="L6073" s="895">
        <f>(I6073*J6073*K6073/1000)</f>
        <v>2.4558799999999996</v>
      </c>
      <c r="M6073" s="898"/>
      <c r="N6073" s="898"/>
      <c r="O6073" s="898"/>
      <c r="P6073" s="898"/>
      <c r="Q6073" s="1075"/>
      <c r="R6073" s="1075"/>
    </row>
    <row r="6074" spans="1:18" ht="18">
      <c r="A6074" s="898"/>
      <c r="B6074" s="898"/>
      <c r="C6074" s="898"/>
      <c r="D6074" s="898"/>
      <c r="E6074" s="898"/>
      <c r="F6074" s="898"/>
      <c r="G6074" s="883"/>
      <c r="H6074" s="887"/>
      <c r="I6074" s="1885"/>
      <c r="J6074" s="896"/>
      <c r="K6074" s="889">
        <f>SUM(K6068:K6073)</f>
        <v>86</v>
      </c>
      <c r="L6074" s="890">
        <f>SUM(L6068:L6073)</f>
        <v>11.98584</v>
      </c>
      <c r="M6074" s="898"/>
      <c r="N6074" s="898"/>
      <c r="O6074" s="898"/>
      <c r="P6074" s="898"/>
      <c r="Q6074" s="1075"/>
      <c r="R6074" s="1075"/>
    </row>
    <row r="6075" spans="1:18" ht="18">
      <c r="A6075" s="898"/>
      <c r="B6075" s="898"/>
      <c r="C6075" s="898"/>
      <c r="D6075" s="898"/>
      <c r="E6075" s="898"/>
      <c r="F6075" s="898"/>
      <c r="G6075" s="898"/>
      <c r="H6075" s="898"/>
      <c r="I6075" s="920"/>
      <c r="J6075" s="898"/>
      <c r="K6075" s="921"/>
      <c r="L6075" s="920"/>
      <c r="M6075" s="898"/>
      <c r="N6075" s="898"/>
      <c r="O6075" s="898"/>
      <c r="P6075" s="898"/>
      <c r="Q6075" s="1075"/>
      <c r="R6075" s="1075"/>
    </row>
    <row r="6076" spans="1:18" ht="18">
      <c r="A6076" s="898"/>
      <c r="B6076" s="898"/>
      <c r="C6076" s="898"/>
      <c r="D6076" s="898"/>
      <c r="E6076" s="898"/>
      <c r="F6076" s="898"/>
      <c r="G6076" s="898"/>
      <c r="H6076" s="898"/>
      <c r="I6076" s="920"/>
      <c r="J6076" s="898"/>
      <c r="K6076" s="921"/>
      <c r="L6076" s="920"/>
      <c r="M6076" s="898"/>
      <c r="N6076" s="898"/>
      <c r="O6076" s="898"/>
      <c r="P6076" s="898"/>
      <c r="Q6076" s="1075"/>
      <c r="R6076" s="1075"/>
    </row>
    <row r="6077" spans="1:18" ht="18">
      <c r="A6077" s="547" t="s">
        <v>541</v>
      </c>
      <c r="B6077" s="547" t="s">
        <v>559</v>
      </c>
      <c r="C6077" s="547" t="s">
        <v>19</v>
      </c>
      <c r="D6077" s="547" t="s">
        <v>60</v>
      </c>
      <c r="E6077" s="547" t="s">
        <v>572</v>
      </c>
      <c r="F6077" s="549"/>
      <c r="G6077" s="883" t="s">
        <v>61</v>
      </c>
      <c r="H6077" s="883" t="s">
        <v>126</v>
      </c>
      <c r="I6077" s="1884">
        <v>23.6</v>
      </c>
      <c r="J6077" s="890">
        <v>9.6</v>
      </c>
      <c r="K6077" s="889">
        <v>8</v>
      </c>
      <c r="L6077" s="895">
        <f t="shared" ref="L6077:L6078" si="1312">(I6077*J6077*K6077/1000)</f>
        <v>1.8124800000000001</v>
      </c>
      <c r="M6077" s="898"/>
      <c r="N6077" s="898"/>
      <c r="O6077" s="898"/>
      <c r="P6077" s="898"/>
      <c r="Q6077" s="1075"/>
      <c r="R6077" s="1075"/>
    </row>
    <row r="6078" spans="1:18" ht="18">
      <c r="A6078" s="547"/>
      <c r="B6078" s="549" t="s">
        <v>564</v>
      </c>
      <c r="C6078" s="547"/>
      <c r="D6078" s="547"/>
      <c r="E6078" s="547"/>
      <c r="F6078" s="549"/>
      <c r="G6078" s="883" t="s">
        <v>61</v>
      </c>
      <c r="H6078" s="883" t="s">
        <v>126</v>
      </c>
      <c r="I6078" s="1884">
        <v>23.6</v>
      </c>
      <c r="J6078" s="890">
        <v>11.6</v>
      </c>
      <c r="K6078" s="889">
        <v>9</v>
      </c>
      <c r="L6078" s="895">
        <f t="shared" si="1312"/>
        <v>2.4638400000000003</v>
      </c>
      <c r="M6078" s="898"/>
      <c r="N6078" s="898"/>
      <c r="O6078" s="898"/>
      <c r="P6078" s="898"/>
      <c r="Q6078" s="1075"/>
      <c r="R6078" s="1075"/>
    </row>
    <row r="6079" spans="1:18" ht="18">
      <c r="A6079" s="898"/>
      <c r="B6079" s="898"/>
      <c r="C6079" s="898"/>
      <c r="D6079" s="898"/>
      <c r="E6079" s="898"/>
      <c r="F6079" s="898"/>
      <c r="G6079" s="883"/>
      <c r="H6079" s="887"/>
      <c r="I6079" s="1885"/>
      <c r="J6079" s="896"/>
      <c r="K6079" s="889">
        <f t="shared" ref="K6079:L6079" si="1313">SUM(K6077:K6078)</f>
        <v>17</v>
      </c>
      <c r="L6079" s="890">
        <f t="shared" si="1313"/>
        <v>4.2763200000000001</v>
      </c>
      <c r="M6079" s="898"/>
      <c r="N6079" s="898"/>
      <c r="O6079" s="898"/>
      <c r="P6079" s="898"/>
      <c r="Q6079" s="1075"/>
      <c r="R6079" s="1075"/>
    </row>
    <row r="6080" spans="1:18" ht="18">
      <c r="A6080" s="547" t="s">
        <v>541</v>
      </c>
      <c r="B6080" s="547" t="s">
        <v>559</v>
      </c>
      <c r="C6080" s="547" t="s">
        <v>19</v>
      </c>
      <c r="D6080" s="547" t="s">
        <v>60</v>
      </c>
      <c r="E6080" s="547" t="s">
        <v>62</v>
      </c>
      <c r="F6080" s="549"/>
      <c r="G6080" s="883" t="s">
        <v>61</v>
      </c>
      <c r="H6080" s="883" t="s">
        <v>122</v>
      </c>
      <c r="I6080" s="1884">
        <v>14.7</v>
      </c>
      <c r="J6080" s="890">
        <v>6.1</v>
      </c>
      <c r="K6080" s="889">
        <v>4</v>
      </c>
      <c r="L6080" s="895">
        <f t="shared" ref="L6080:L6091" si="1314">(I6080*J6080*K6080/1000)</f>
        <v>0.35867999999999994</v>
      </c>
      <c r="M6080" s="898"/>
      <c r="N6080" s="898"/>
      <c r="O6080" s="898"/>
      <c r="P6080" s="898"/>
      <c r="Q6080" s="1075"/>
      <c r="R6080" s="1075"/>
    </row>
    <row r="6081" spans="1:18" ht="18">
      <c r="A6081" s="547"/>
      <c r="B6081" s="549" t="s">
        <v>564</v>
      </c>
      <c r="C6081" s="547"/>
      <c r="D6081" s="547"/>
      <c r="E6081" s="547"/>
      <c r="F6081" s="549"/>
      <c r="G6081" s="883" t="s">
        <v>61</v>
      </c>
      <c r="H6081" s="883" t="s">
        <v>122</v>
      </c>
      <c r="I6081" s="1884">
        <v>14.7</v>
      </c>
      <c r="J6081" s="890">
        <v>7</v>
      </c>
      <c r="K6081" s="889">
        <v>4</v>
      </c>
      <c r="L6081" s="895">
        <f t="shared" si="1314"/>
        <v>0.41159999999999997</v>
      </c>
      <c r="M6081" s="898"/>
      <c r="N6081" s="898"/>
      <c r="O6081" s="898"/>
      <c r="P6081" s="898"/>
      <c r="Q6081" s="1075"/>
      <c r="R6081" s="1075"/>
    </row>
    <row r="6082" spans="1:18" ht="18">
      <c r="A6082" s="898"/>
      <c r="B6082" s="898"/>
      <c r="C6082" s="898"/>
      <c r="D6082" s="898"/>
      <c r="E6082" s="898"/>
      <c r="F6082" s="898"/>
      <c r="G6082" s="883" t="s">
        <v>61</v>
      </c>
      <c r="H6082" s="883" t="s">
        <v>122</v>
      </c>
      <c r="I6082" s="1884">
        <v>14.7</v>
      </c>
      <c r="J6082" s="890">
        <v>7.2</v>
      </c>
      <c r="K6082" s="889">
        <v>8</v>
      </c>
      <c r="L6082" s="895">
        <f t="shared" si="1314"/>
        <v>0.84672000000000003</v>
      </c>
      <c r="M6082" s="898"/>
      <c r="N6082" s="898"/>
      <c r="O6082" s="898"/>
      <c r="P6082" s="898"/>
      <c r="Q6082" s="1075"/>
      <c r="R6082" s="1075"/>
    </row>
    <row r="6083" spans="1:18" ht="18">
      <c r="A6083" s="898"/>
      <c r="B6083" s="898"/>
      <c r="C6083" s="898"/>
      <c r="D6083" s="898"/>
      <c r="E6083" s="898"/>
      <c r="F6083" s="898"/>
      <c r="G6083" s="883" t="s">
        <v>61</v>
      </c>
      <c r="H6083" s="883" t="s">
        <v>122</v>
      </c>
      <c r="I6083" s="1884">
        <v>14.7</v>
      </c>
      <c r="J6083" s="890">
        <v>7.4</v>
      </c>
      <c r="K6083" s="889">
        <v>4</v>
      </c>
      <c r="L6083" s="895">
        <f t="shared" si="1314"/>
        <v>0.43512000000000001</v>
      </c>
      <c r="M6083" s="898"/>
      <c r="N6083" s="898"/>
      <c r="O6083" s="898"/>
      <c r="P6083" s="898"/>
      <c r="Q6083" s="1075"/>
      <c r="R6083" s="1075"/>
    </row>
    <row r="6084" spans="1:18" ht="18">
      <c r="A6084" s="898"/>
      <c r="B6084" s="898"/>
      <c r="C6084" s="898"/>
      <c r="D6084" s="898"/>
      <c r="E6084" s="898"/>
      <c r="F6084" s="898"/>
      <c r="G6084" s="883" t="s">
        <v>61</v>
      </c>
      <c r="H6084" s="883" t="s">
        <v>122</v>
      </c>
      <c r="I6084" s="1884">
        <v>14.7</v>
      </c>
      <c r="J6084" s="890">
        <v>7.7</v>
      </c>
      <c r="K6084" s="889">
        <v>8</v>
      </c>
      <c r="L6084" s="895">
        <f t="shared" si="1314"/>
        <v>0.90551999999999999</v>
      </c>
      <c r="M6084" s="898"/>
      <c r="N6084" s="898"/>
      <c r="O6084" s="898"/>
      <c r="P6084" s="898"/>
      <c r="Q6084" s="1075"/>
      <c r="R6084" s="1075"/>
    </row>
    <row r="6085" spans="1:18" ht="18">
      <c r="A6085" s="898"/>
      <c r="B6085" s="898"/>
      <c r="C6085" s="898"/>
      <c r="D6085" s="898"/>
      <c r="E6085" s="898"/>
      <c r="F6085" s="898"/>
      <c r="G6085" s="883" t="s">
        <v>61</v>
      </c>
      <c r="H6085" s="883" t="s">
        <v>122</v>
      </c>
      <c r="I6085" s="1884">
        <v>14.7</v>
      </c>
      <c r="J6085" s="890">
        <v>8.5</v>
      </c>
      <c r="K6085" s="889">
        <v>8</v>
      </c>
      <c r="L6085" s="895">
        <f t="shared" si="1314"/>
        <v>0.99959999999999993</v>
      </c>
      <c r="M6085" s="898"/>
      <c r="N6085" s="898"/>
      <c r="O6085" s="898"/>
      <c r="P6085" s="898"/>
      <c r="Q6085" s="1075"/>
      <c r="R6085" s="1075"/>
    </row>
    <row r="6086" spans="1:18" ht="18">
      <c r="A6086" s="898"/>
      <c r="B6086" s="898"/>
      <c r="C6086" s="898"/>
      <c r="D6086" s="898"/>
      <c r="E6086" s="898"/>
      <c r="F6086" s="898"/>
      <c r="G6086" s="883" t="s">
        <v>61</v>
      </c>
      <c r="H6086" s="883" t="s">
        <v>122</v>
      </c>
      <c r="I6086" s="1884">
        <v>14.7</v>
      </c>
      <c r="J6086" s="890">
        <v>9</v>
      </c>
      <c r="K6086" s="889">
        <v>52</v>
      </c>
      <c r="L6086" s="895">
        <f t="shared" si="1314"/>
        <v>6.879599999999999</v>
      </c>
      <c r="M6086" s="898"/>
      <c r="N6086" s="898"/>
      <c r="O6086" s="898"/>
      <c r="P6086" s="898"/>
      <c r="Q6086" s="1075"/>
      <c r="R6086" s="1075"/>
    </row>
    <row r="6087" spans="1:18" ht="18">
      <c r="A6087" s="898"/>
      <c r="B6087" s="898"/>
      <c r="C6087" s="898"/>
      <c r="D6087" s="898"/>
      <c r="E6087" s="898"/>
      <c r="F6087" s="898"/>
      <c r="G6087" s="883" t="s">
        <v>61</v>
      </c>
      <c r="H6087" s="883" t="s">
        <v>122</v>
      </c>
      <c r="I6087" s="1884">
        <v>14.7</v>
      </c>
      <c r="J6087" s="890">
        <v>9.4</v>
      </c>
      <c r="K6087" s="889">
        <v>32</v>
      </c>
      <c r="L6087" s="895">
        <f t="shared" si="1314"/>
        <v>4.4217599999999999</v>
      </c>
      <c r="M6087" s="898"/>
      <c r="N6087" s="898"/>
      <c r="O6087" s="898"/>
      <c r="P6087" s="898"/>
      <c r="Q6087" s="1075"/>
      <c r="R6087" s="1075"/>
    </row>
    <row r="6088" spans="1:18" ht="18">
      <c r="A6088" s="898"/>
      <c r="B6088" s="898"/>
      <c r="C6088" s="898"/>
      <c r="D6088" s="898"/>
      <c r="E6088" s="898"/>
      <c r="F6088" s="898"/>
      <c r="G6088" s="883" t="s">
        <v>61</v>
      </c>
      <c r="H6088" s="883" t="s">
        <v>122</v>
      </c>
      <c r="I6088" s="1884">
        <v>14.7</v>
      </c>
      <c r="J6088" s="890">
        <v>9.6</v>
      </c>
      <c r="K6088" s="889">
        <v>8</v>
      </c>
      <c r="L6088" s="895">
        <f t="shared" si="1314"/>
        <v>1.1289599999999997</v>
      </c>
      <c r="M6088" s="898"/>
      <c r="N6088" s="898"/>
      <c r="O6088" s="898"/>
      <c r="P6088" s="898"/>
      <c r="Q6088" s="1075"/>
      <c r="R6088" s="1075"/>
    </row>
    <row r="6089" spans="1:18" ht="18">
      <c r="A6089" s="898"/>
      <c r="B6089" s="898"/>
      <c r="C6089" s="898"/>
      <c r="D6089" s="898"/>
      <c r="E6089" s="898"/>
      <c r="F6089" s="898"/>
      <c r="G6089" s="883" t="s">
        <v>61</v>
      </c>
      <c r="H6089" s="883" t="s">
        <v>122</v>
      </c>
      <c r="I6089" s="1884">
        <v>14.7</v>
      </c>
      <c r="J6089" s="890">
        <v>10.7</v>
      </c>
      <c r="K6089" s="889">
        <v>8</v>
      </c>
      <c r="L6089" s="895">
        <f t="shared" si="1314"/>
        <v>1.2583199999999999</v>
      </c>
      <c r="M6089" s="898"/>
      <c r="N6089" s="898"/>
      <c r="O6089" s="898"/>
      <c r="P6089" s="898"/>
      <c r="Q6089" s="1075"/>
      <c r="R6089" s="1075"/>
    </row>
    <row r="6090" spans="1:18" ht="18">
      <c r="A6090" s="898"/>
      <c r="B6090" s="898"/>
      <c r="C6090" s="898"/>
      <c r="D6090" s="898"/>
      <c r="E6090" s="898"/>
      <c r="F6090" s="898"/>
      <c r="G6090" s="883" t="s">
        <v>61</v>
      </c>
      <c r="H6090" s="883" t="s">
        <v>122</v>
      </c>
      <c r="I6090" s="1884">
        <v>14.7</v>
      </c>
      <c r="J6090" s="890">
        <v>10.8</v>
      </c>
      <c r="K6090" s="889">
        <v>8</v>
      </c>
      <c r="L6090" s="895">
        <f t="shared" si="1314"/>
        <v>1.2700799999999999</v>
      </c>
      <c r="M6090" s="898"/>
      <c r="N6090" s="898"/>
      <c r="O6090" s="898"/>
      <c r="P6090" s="898"/>
      <c r="Q6090" s="1075"/>
      <c r="R6090" s="1075"/>
    </row>
    <row r="6091" spans="1:18" ht="18">
      <c r="A6091" s="898"/>
      <c r="B6091" s="898"/>
      <c r="C6091" s="898"/>
      <c r="D6091" s="898"/>
      <c r="E6091" s="898"/>
      <c r="F6091" s="898"/>
      <c r="G6091" s="883" t="s">
        <v>61</v>
      </c>
      <c r="H6091" s="883" t="s">
        <v>122</v>
      </c>
      <c r="I6091" s="1884">
        <v>14.7</v>
      </c>
      <c r="J6091" s="890">
        <v>11.3</v>
      </c>
      <c r="K6091" s="889">
        <v>24</v>
      </c>
      <c r="L6091" s="895">
        <f t="shared" si="1314"/>
        <v>3.9866400000000004</v>
      </c>
      <c r="M6091" s="898"/>
      <c r="N6091" s="898"/>
      <c r="O6091" s="898"/>
      <c r="P6091" s="898"/>
      <c r="Q6091" s="1075"/>
      <c r="R6091" s="1075"/>
    </row>
    <row r="6092" spans="1:18" ht="18">
      <c r="A6092" s="898"/>
      <c r="B6092" s="898"/>
      <c r="C6092" s="898"/>
      <c r="D6092" s="898"/>
      <c r="E6092" s="898"/>
      <c r="F6092" s="898"/>
      <c r="G6092" s="883"/>
      <c r="H6092" s="887"/>
      <c r="I6092" s="1885"/>
      <c r="J6092" s="896"/>
      <c r="K6092" s="889">
        <f t="shared" ref="K6092:L6092" si="1315">SUM(K6080:K6091)</f>
        <v>168</v>
      </c>
      <c r="L6092" s="890">
        <f t="shared" si="1315"/>
        <v>22.9026</v>
      </c>
      <c r="M6092" s="898"/>
      <c r="N6092" s="898"/>
      <c r="O6092" s="898"/>
      <c r="P6092" s="898"/>
      <c r="Q6092" s="1075"/>
      <c r="R6092" s="1075"/>
    </row>
    <row r="6093" spans="1:18" ht="18">
      <c r="A6093" s="898"/>
      <c r="B6093" s="898"/>
      <c r="C6093" s="898"/>
      <c r="D6093" s="898"/>
      <c r="E6093" s="898"/>
      <c r="F6093" s="898"/>
      <c r="G6093" s="898"/>
      <c r="H6093" s="898"/>
      <c r="I6093" s="920"/>
      <c r="J6093" s="898"/>
      <c r="K6093" s="921"/>
      <c r="L6093" s="920"/>
      <c r="M6093" s="898"/>
      <c r="N6093" s="898"/>
      <c r="O6093" s="898"/>
      <c r="P6093" s="898"/>
      <c r="Q6093" s="1075"/>
      <c r="R6093" s="1075"/>
    </row>
    <row r="6094" spans="1:18" ht="18">
      <c r="A6094" s="898"/>
      <c r="B6094" s="898"/>
      <c r="C6094" s="898"/>
      <c r="D6094" s="898"/>
      <c r="E6094" s="898"/>
      <c r="F6094" s="898"/>
      <c r="G6094" s="898"/>
      <c r="H6094" s="898"/>
      <c r="I6094" s="920"/>
      <c r="J6094" s="898"/>
      <c r="K6094" s="921"/>
      <c r="L6094" s="920"/>
      <c r="M6094" s="898"/>
      <c r="N6094" s="898"/>
      <c r="O6094" s="898"/>
      <c r="P6094" s="898"/>
      <c r="Q6094" s="1075"/>
      <c r="R6094" s="1075"/>
    </row>
    <row r="6097" spans="1:22" ht="17.399999999999999">
      <c r="A6097" s="711" t="s">
        <v>48</v>
      </c>
      <c r="B6097" s="711"/>
      <c r="C6097" s="712"/>
      <c r="D6097" s="712"/>
      <c r="E6097" s="712"/>
      <c r="F6097" s="713"/>
      <c r="G6097" s="712"/>
      <c r="H6097" s="712"/>
      <c r="I6097" s="714"/>
      <c r="J6097" s="715"/>
      <c r="K6097" s="716"/>
      <c r="L6097" s="1978" t="s">
        <v>0</v>
      </c>
      <c r="M6097" s="1978"/>
      <c r="N6097" s="1978"/>
      <c r="O6097" s="1978"/>
      <c r="P6097" s="717"/>
      <c r="Q6097" s="717"/>
      <c r="R6097" s="717"/>
    </row>
    <row r="6098" spans="1:22" ht="17.399999999999999">
      <c r="A6098" s="718" t="s">
        <v>1</v>
      </c>
      <c r="B6098" s="718"/>
      <c r="C6098" s="718"/>
      <c r="D6098" s="719" t="s">
        <v>2</v>
      </c>
      <c r="E6098" s="719"/>
      <c r="F6098" s="720"/>
      <c r="G6098" s="720"/>
      <c r="H6098" s="720"/>
      <c r="I6098" s="721"/>
      <c r="J6098" s="910"/>
      <c r="K6098" s="723" t="s">
        <v>3</v>
      </c>
      <c r="L6098" s="910"/>
      <c r="M6098" s="718"/>
      <c r="N6098" s="720"/>
      <c r="O6098" s="718"/>
      <c r="P6098" s="724"/>
      <c r="Q6098" s="1059"/>
      <c r="R6098" s="1059"/>
    </row>
    <row r="6099" spans="1:22" ht="52.2">
      <c r="A6099" s="640" t="s">
        <v>4</v>
      </c>
      <c r="B6099" s="640" t="s">
        <v>5</v>
      </c>
      <c r="C6099" s="640" t="s">
        <v>6</v>
      </c>
      <c r="D6099" s="640" t="s">
        <v>7</v>
      </c>
      <c r="E6099" s="640" t="s">
        <v>8</v>
      </c>
      <c r="F6099" s="641" t="s">
        <v>9</v>
      </c>
      <c r="G6099" s="642" t="s">
        <v>10</v>
      </c>
      <c r="H6099" s="642" t="s">
        <v>11</v>
      </c>
      <c r="I6099" s="643" t="s">
        <v>12</v>
      </c>
      <c r="J6099" s="644" t="s">
        <v>13</v>
      </c>
      <c r="K6099" s="645" t="s">
        <v>14</v>
      </c>
      <c r="L6099" s="646" t="s">
        <v>15</v>
      </c>
      <c r="M6099" s="641" t="s">
        <v>16</v>
      </c>
      <c r="N6099" s="641" t="s">
        <v>17</v>
      </c>
      <c r="O6099" s="642" t="s">
        <v>18</v>
      </c>
      <c r="P6099" s="641" t="s">
        <v>192</v>
      </c>
      <c r="Q6099" s="1063"/>
      <c r="R6099" s="1063"/>
    </row>
    <row r="6100" spans="1:22" ht="17.399999999999999">
      <c r="A6100" s="547" t="s">
        <v>445</v>
      </c>
      <c r="B6100" s="547" t="s">
        <v>490</v>
      </c>
      <c r="C6100" s="547" t="s">
        <v>19</v>
      </c>
      <c r="D6100" s="780" t="s">
        <v>20</v>
      </c>
      <c r="E6100" s="780" t="s">
        <v>420</v>
      </c>
      <c r="F6100" s="754">
        <v>13</v>
      </c>
      <c r="G6100" s="550" t="s">
        <v>21</v>
      </c>
      <c r="H6100" s="599" t="s">
        <v>120</v>
      </c>
      <c r="I6100" s="551">
        <v>18.2</v>
      </c>
      <c r="J6100" s="765">
        <v>8.6999999999999993</v>
      </c>
      <c r="K6100" s="766">
        <v>17</v>
      </c>
      <c r="L6100" s="552">
        <f t="shared" ref="L6100:L6107" si="1316">(I6100*J6100*K6100/1000)</f>
        <v>2.6917799999999996</v>
      </c>
      <c r="M6100" s="550"/>
      <c r="N6100" s="550"/>
      <c r="O6100" s="550"/>
      <c r="P6100" s="550"/>
      <c r="Q6100" s="1065"/>
      <c r="R6100" s="1065"/>
      <c r="S6100" s="497">
        <v>17</v>
      </c>
      <c r="T6100">
        <f>J6100*S6100*I6100/1000</f>
        <v>2.6917799999999992</v>
      </c>
      <c r="V6100" s="497" t="s">
        <v>608</v>
      </c>
    </row>
    <row r="6101" spans="1:22" ht="17.399999999999999">
      <c r="A6101" s="547"/>
      <c r="B6101" s="550" t="s">
        <v>52</v>
      </c>
      <c r="C6101" s="547"/>
      <c r="D6101" s="547"/>
      <c r="E6101" s="547"/>
      <c r="F6101" s="550"/>
      <c r="G6101" s="550" t="s">
        <v>21</v>
      </c>
      <c r="H6101" s="550" t="s">
        <v>120</v>
      </c>
      <c r="I6101" s="551">
        <v>18.2</v>
      </c>
      <c r="J6101" s="765">
        <v>9.5</v>
      </c>
      <c r="K6101" s="766">
        <v>11</v>
      </c>
      <c r="L6101" s="552">
        <f t="shared" si="1316"/>
        <v>1.9019000000000001</v>
      </c>
      <c r="M6101" s="550"/>
      <c r="N6101" s="550"/>
      <c r="O6101" s="550"/>
      <c r="P6101" s="550"/>
      <c r="Q6101" s="1065"/>
      <c r="R6101" s="1065"/>
      <c r="S6101">
        <v>11</v>
      </c>
      <c r="T6101" s="497">
        <f t="shared" ref="T6101:T6107" si="1317">J6101*S6101*I6101/1000</f>
        <v>1.9018999999999999</v>
      </c>
    </row>
    <row r="6102" spans="1:22" ht="17.399999999999999">
      <c r="A6102" s="550"/>
      <c r="B6102" s="550"/>
      <c r="C6102" s="550"/>
      <c r="D6102" s="549"/>
      <c r="E6102" s="549"/>
      <c r="F6102" s="549"/>
      <c r="G6102" s="550" t="s">
        <v>21</v>
      </c>
      <c r="H6102" s="550" t="s">
        <v>120</v>
      </c>
      <c r="I6102" s="551">
        <v>18.2</v>
      </c>
      <c r="J6102" s="765">
        <v>10.4</v>
      </c>
      <c r="K6102" s="766">
        <v>33</v>
      </c>
      <c r="L6102" s="552">
        <f t="shared" si="1316"/>
        <v>6.2462399999999993</v>
      </c>
      <c r="M6102" s="550"/>
      <c r="N6102" s="550"/>
      <c r="O6102" s="550"/>
      <c r="P6102" s="550"/>
      <c r="Q6102" s="1065"/>
      <c r="R6102" s="1065"/>
      <c r="S6102">
        <f>16+2</f>
        <v>18</v>
      </c>
      <c r="T6102" s="497">
        <f t="shared" si="1317"/>
        <v>3.4070399999999998</v>
      </c>
    </row>
    <row r="6103" spans="1:22" ht="17.399999999999999">
      <c r="A6103" s="550"/>
      <c r="B6103" s="550"/>
      <c r="C6103" s="550"/>
      <c r="D6103" s="549"/>
      <c r="E6103" s="549"/>
      <c r="F6103" s="549"/>
      <c r="G6103" s="550" t="s">
        <v>21</v>
      </c>
      <c r="H6103" s="550" t="s">
        <v>120</v>
      </c>
      <c r="I6103" s="551">
        <v>18.2</v>
      </c>
      <c r="J6103" s="765">
        <v>10.6</v>
      </c>
      <c r="K6103" s="766">
        <v>14</v>
      </c>
      <c r="L6103" s="552">
        <f t="shared" si="1316"/>
        <v>2.7008799999999997</v>
      </c>
      <c r="M6103" s="550"/>
      <c r="N6103" s="550"/>
      <c r="O6103" s="550"/>
      <c r="P6103" s="550"/>
      <c r="Q6103" s="1065"/>
      <c r="R6103" s="1065"/>
      <c r="S6103">
        <f>6+5</f>
        <v>11</v>
      </c>
      <c r="T6103" s="497">
        <f t="shared" si="1317"/>
        <v>2.1221199999999998</v>
      </c>
    </row>
    <row r="6104" spans="1:22" ht="17.399999999999999">
      <c r="A6104" s="550"/>
      <c r="B6104" s="550"/>
      <c r="C6104" s="550"/>
      <c r="D6104" s="549"/>
      <c r="E6104" s="549"/>
      <c r="F6104" s="549"/>
      <c r="G6104" s="550" t="s">
        <v>21</v>
      </c>
      <c r="H6104" s="550" t="s">
        <v>120</v>
      </c>
      <c r="I6104" s="551">
        <v>18.2</v>
      </c>
      <c r="J6104" s="765">
        <v>10.8</v>
      </c>
      <c r="K6104" s="766">
        <v>38</v>
      </c>
      <c r="L6104" s="552">
        <f t="shared" si="1316"/>
        <v>7.4692799999999995</v>
      </c>
      <c r="M6104" s="550"/>
      <c r="N6104" s="550"/>
      <c r="O6104" s="550"/>
      <c r="P6104" s="550"/>
      <c r="Q6104" s="1065"/>
      <c r="R6104" s="1065"/>
      <c r="S6104">
        <f>15+9+11</f>
        <v>35</v>
      </c>
      <c r="T6104" s="497">
        <f t="shared" si="1317"/>
        <v>6.879599999999999</v>
      </c>
    </row>
    <row r="6105" spans="1:22" ht="17.399999999999999">
      <c r="A6105" s="550"/>
      <c r="B6105" s="550"/>
      <c r="C6105" s="550"/>
      <c r="D6105" s="549"/>
      <c r="E6105" s="549"/>
      <c r="F6105" s="549"/>
      <c r="G6105" s="550" t="s">
        <v>21</v>
      </c>
      <c r="H6105" s="550" t="s">
        <v>120</v>
      </c>
      <c r="I6105" s="551">
        <v>18.2</v>
      </c>
      <c r="J6105" s="765">
        <v>11.3</v>
      </c>
      <c r="K6105" s="766">
        <v>28</v>
      </c>
      <c r="L6105" s="552">
        <f t="shared" si="1316"/>
        <v>5.7584799999999996</v>
      </c>
      <c r="M6105" s="550"/>
      <c r="N6105" s="550"/>
      <c r="O6105" s="550"/>
      <c r="P6105" s="550"/>
      <c r="Q6105" s="1065"/>
      <c r="R6105" s="1065"/>
      <c r="S6105">
        <f>14+1</f>
        <v>15</v>
      </c>
      <c r="T6105" s="497">
        <f t="shared" si="1317"/>
        <v>3.0849000000000002</v>
      </c>
    </row>
    <row r="6106" spans="1:22" ht="17.399999999999999">
      <c r="A6106" s="550"/>
      <c r="B6106" s="550"/>
      <c r="C6106" s="550"/>
      <c r="D6106" s="549"/>
      <c r="E6106" s="549"/>
      <c r="F6106" s="549"/>
      <c r="G6106" s="550" t="s">
        <v>21</v>
      </c>
      <c r="H6106" s="550" t="s">
        <v>120</v>
      </c>
      <c r="I6106" s="551">
        <v>18.2</v>
      </c>
      <c r="J6106" s="765">
        <v>11.4</v>
      </c>
      <c r="K6106" s="766">
        <v>29</v>
      </c>
      <c r="L6106" s="552">
        <f t="shared" si="1316"/>
        <v>6.0169199999999998</v>
      </c>
      <c r="M6106" s="550">
        <v>2</v>
      </c>
      <c r="N6106" s="550">
        <f t="shared" ref="N6106:N6107" si="1318">J6106*M6106*I6106/1000</f>
        <v>0.41496</v>
      </c>
      <c r="O6106" s="550"/>
      <c r="P6106" s="550"/>
      <c r="Q6106" s="1065"/>
      <c r="R6106" s="1065"/>
      <c r="S6106">
        <f>10+11</f>
        <v>21</v>
      </c>
      <c r="T6106" s="497">
        <f t="shared" si="1317"/>
        <v>4.3570799999999998</v>
      </c>
    </row>
    <row r="6107" spans="1:22" ht="17.399999999999999">
      <c r="A6107" s="550"/>
      <c r="B6107" s="550"/>
      <c r="C6107" s="550"/>
      <c r="D6107" s="549"/>
      <c r="E6107" s="549"/>
      <c r="F6107" s="549"/>
      <c r="G6107" s="550" t="s">
        <v>21</v>
      </c>
      <c r="H6107" s="550" t="s">
        <v>120</v>
      </c>
      <c r="I6107" s="551">
        <v>18.2</v>
      </c>
      <c r="J6107" s="765">
        <v>12</v>
      </c>
      <c r="K6107" s="766">
        <v>13</v>
      </c>
      <c r="L6107" s="552">
        <f t="shared" si="1316"/>
        <v>2.8391999999999999</v>
      </c>
      <c r="M6107" s="550">
        <v>2</v>
      </c>
      <c r="N6107" s="550">
        <f t="shared" si="1318"/>
        <v>0.43679999999999997</v>
      </c>
      <c r="O6107" s="550"/>
      <c r="P6107" s="550"/>
      <c r="Q6107" s="1065"/>
      <c r="R6107" s="1065"/>
      <c r="S6107">
        <f>2+4</f>
        <v>6</v>
      </c>
      <c r="T6107" s="497">
        <f t="shared" si="1317"/>
        <v>1.3103999999999998</v>
      </c>
    </row>
    <row r="6108" spans="1:22" ht="17.399999999999999">
      <c r="A6108" s="550"/>
      <c r="B6108" s="550"/>
      <c r="C6108" s="550"/>
      <c r="D6108" s="549"/>
      <c r="E6108" s="549"/>
      <c r="F6108" s="549"/>
      <c r="G6108" s="550"/>
      <c r="H6108" s="550"/>
      <c r="I6108" s="551"/>
      <c r="J6108" s="765"/>
      <c r="K6108" s="766">
        <f t="shared" ref="K6108:N6108" si="1319">SUM(K6100:K6107)</f>
        <v>183</v>
      </c>
      <c r="L6108" s="765">
        <f t="shared" si="1319"/>
        <v>35.624679999999998</v>
      </c>
      <c r="M6108" s="766">
        <f t="shared" si="1319"/>
        <v>4</v>
      </c>
      <c r="N6108" s="765">
        <f t="shared" si="1319"/>
        <v>0.85175999999999996</v>
      </c>
      <c r="O6108" s="550"/>
      <c r="P6108" s="550"/>
      <c r="Q6108" s="550"/>
      <c r="R6108" s="550"/>
      <c r="S6108" s="766">
        <f t="shared" ref="S6108:T6108" si="1320">SUM(S6100:S6107)</f>
        <v>134</v>
      </c>
      <c r="T6108" s="765">
        <f t="shared" si="1320"/>
        <v>25.754820000000002</v>
      </c>
    </row>
    <row r="6109" spans="1:22" s="497" customFormat="1" ht="17.399999999999999">
      <c r="A6109" s="550"/>
      <c r="B6109" s="550"/>
      <c r="C6109" s="550"/>
      <c r="D6109" s="549"/>
      <c r="E6109" s="549"/>
      <c r="F6109" s="549"/>
      <c r="G6109" s="550"/>
      <c r="H6109" s="550"/>
      <c r="I6109" s="551"/>
      <c r="J6109" s="765"/>
      <c r="K6109" s="766"/>
      <c r="L6109" s="765"/>
      <c r="M6109" s="550"/>
      <c r="N6109" s="550"/>
      <c r="O6109" s="550"/>
      <c r="P6109" s="550"/>
      <c r="Q6109" s="1065"/>
      <c r="R6109" s="1065"/>
    </row>
    <row r="6110" spans="1:22" ht="17.399999999999999">
      <c r="A6110" s="547" t="s">
        <v>541</v>
      </c>
      <c r="B6110" s="979" t="s">
        <v>559</v>
      </c>
      <c r="C6110" s="547" t="s">
        <v>19</v>
      </c>
      <c r="D6110" s="780" t="s">
        <v>20</v>
      </c>
      <c r="E6110" s="780" t="s">
        <v>420</v>
      </c>
      <c r="F6110" s="754">
        <v>13</v>
      </c>
      <c r="G6110" s="779" t="s">
        <v>21</v>
      </c>
      <c r="H6110" s="900" t="s">
        <v>120</v>
      </c>
      <c r="I6110" s="937">
        <v>18.2</v>
      </c>
      <c r="J6110" s="777">
        <v>11.8</v>
      </c>
      <c r="K6110" s="778">
        <v>5</v>
      </c>
      <c r="L6110" s="552">
        <f>(I6110*J6110*K6110/1000)</f>
        <v>1.0737999999999999</v>
      </c>
      <c r="M6110" s="550"/>
      <c r="N6110" s="550"/>
      <c r="O6110" s="550"/>
      <c r="P6110" s="550"/>
      <c r="Q6110" s="1065"/>
      <c r="R6110" s="1065"/>
      <c r="S6110" s="497">
        <v>2</v>
      </c>
      <c r="T6110" s="497">
        <f>J6110*S6110*I6110/1000</f>
        <v>0.42951999999999996</v>
      </c>
      <c r="V6110" s="497" t="s">
        <v>608</v>
      </c>
    </row>
    <row r="6111" spans="1:22" ht="17.399999999999999">
      <c r="A6111" s="547"/>
      <c r="B6111" s="550" t="s">
        <v>564</v>
      </c>
      <c r="C6111" s="547"/>
      <c r="D6111" s="547"/>
      <c r="E6111" s="547"/>
      <c r="F6111" s="550"/>
      <c r="G6111" s="779"/>
      <c r="H6111" s="768"/>
      <c r="I6111" s="1893"/>
      <c r="J6111" s="916"/>
      <c r="K6111" s="778">
        <f t="shared" ref="K6111" si="1321">SUM(K6110)</f>
        <v>5</v>
      </c>
      <c r="L6111" s="777">
        <f>SUM(L6110)</f>
        <v>1.0737999999999999</v>
      </c>
      <c r="M6111" s="550"/>
      <c r="N6111" s="550"/>
      <c r="O6111" s="550"/>
      <c r="P6111" s="550"/>
      <c r="Q6111" s="550"/>
      <c r="R6111" s="550"/>
      <c r="S6111" s="778">
        <f t="shared" ref="S6111" si="1322">SUM(S6110)</f>
        <v>2</v>
      </c>
      <c r="T6111" s="777">
        <f>SUM(T6110)</f>
        <v>0.42951999999999996</v>
      </c>
    </row>
    <row r="6112" spans="1:22" s="497" customFormat="1" ht="17.399999999999999">
      <c r="A6112" s="547"/>
      <c r="B6112" s="549"/>
      <c r="C6112" s="547"/>
      <c r="D6112" s="547"/>
      <c r="E6112" s="547"/>
      <c r="F6112" s="550"/>
      <c r="G6112" s="779"/>
      <c r="H6112" s="768"/>
      <c r="I6112" s="1893"/>
      <c r="J6112" s="916"/>
      <c r="K6112" s="933">
        <f>+K6111+K6108</f>
        <v>188</v>
      </c>
      <c r="L6112" s="777">
        <f>+L6111+L6108</f>
        <v>36.698479999999996</v>
      </c>
      <c r="M6112" s="933">
        <f>+M6111+M6108</f>
        <v>4</v>
      </c>
      <c r="N6112" s="777">
        <f>+N6111+N6108</f>
        <v>0.85175999999999996</v>
      </c>
      <c r="O6112" s="550"/>
      <c r="P6112" s="550"/>
      <c r="Q6112" s="550"/>
      <c r="R6112" s="550"/>
      <c r="S6112" s="933">
        <f>+S6111+S6108</f>
        <v>136</v>
      </c>
      <c r="T6112" s="777">
        <f>+T6111+T6108</f>
        <v>26.184340000000002</v>
      </c>
    </row>
    <row r="6113" spans="1:19" s="497" customFormat="1" ht="17.399999999999999">
      <c r="A6113" s="547"/>
      <c r="B6113" s="549"/>
      <c r="C6113" s="547"/>
      <c r="D6113" s="547"/>
      <c r="E6113" s="547"/>
      <c r="F6113" s="550"/>
      <c r="G6113" s="779"/>
      <c r="H6113" s="768"/>
      <c r="I6113" s="1893"/>
      <c r="J6113" s="916"/>
      <c r="K6113" s="778"/>
      <c r="L6113" s="777"/>
      <c r="M6113" s="550"/>
      <c r="N6113" s="550"/>
      <c r="O6113" s="550"/>
      <c r="P6113" s="550"/>
      <c r="Q6113" s="1065"/>
      <c r="R6113" s="1065"/>
    </row>
    <row r="6114" spans="1:19" s="497" customFormat="1" ht="17.399999999999999">
      <c r="A6114" s="547"/>
      <c r="B6114" s="549"/>
      <c r="C6114" s="547"/>
      <c r="D6114" s="547"/>
      <c r="E6114" s="547"/>
      <c r="F6114" s="550"/>
      <c r="G6114" s="779"/>
      <c r="H6114" s="768"/>
      <c r="I6114" s="1893"/>
      <c r="J6114" s="916"/>
      <c r="K6114" s="778"/>
      <c r="L6114" s="777"/>
      <c r="M6114" s="550"/>
      <c r="N6114" s="550"/>
      <c r="O6114" s="550"/>
      <c r="P6114" s="550"/>
      <c r="Q6114" s="1065"/>
      <c r="R6114" s="1065"/>
    </row>
    <row r="6115" spans="1:19" ht="17.399999999999999">
      <c r="A6115" s="547" t="s">
        <v>445</v>
      </c>
      <c r="B6115" s="547" t="s">
        <v>485</v>
      </c>
      <c r="C6115" s="547" t="s">
        <v>19</v>
      </c>
      <c r="D6115" s="547" t="s">
        <v>20</v>
      </c>
      <c r="E6115" s="547" t="s">
        <v>57</v>
      </c>
      <c r="F6115" s="548">
        <v>13</v>
      </c>
      <c r="G6115" s="550" t="s">
        <v>21</v>
      </c>
      <c r="H6115" s="599" t="s">
        <v>120</v>
      </c>
      <c r="I6115" s="551">
        <v>18.2</v>
      </c>
      <c r="J6115" s="765">
        <v>6.1</v>
      </c>
      <c r="K6115" s="766">
        <v>34</v>
      </c>
      <c r="L6115" s="552">
        <f t="shared" ref="L6115:L6120" si="1323">(I6115*J6115*K6115/1000)</f>
        <v>3.77468</v>
      </c>
      <c r="M6115" s="550">
        <f>7+7</f>
        <v>14</v>
      </c>
      <c r="N6115" s="550">
        <f>J6115*M6115*I6115/1000</f>
        <v>1.5542799999999997</v>
      </c>
      <c r="O6115" s="550"/>
      <c r="P6115" s="550"/>
      <c r="Q6115" s="1065"/>
      <c r="R6115" s="1065"/>
      <c r="S6115" s="497" t="s">
        <v>608</v>
      </c>
    </row>
    <row r="6116" spans="1:19" ht="17.399999999999999">
      <c r="A6116" s="547"/>
      <c r="B6116" s="112" t="s">
        <v>423</v>
      </c>
      <c r="C6116" s="547"/>
      <c r="D6116" s="547"/>
      <c r="E6116" s="547"/>
      <c r="F6116" s="548"/>
      <c r="G6116" s="550" t="s">
        <v>21</v>
      </c>
      <c r="H6116" s="550" t="s">
        <v>120</v>
      </c>
      <c r="I6116" s="551">
        <v>18.2</v>
      </c>
      <c r="J6116" s="765">
        <v>8.4</v>
      </c>
      <c r="K6116" s="766">
        <v>29</v>
      </c>
      <c r="L6116" s="552">
        <f t="shared" si="1323"/>
        <v>4.4335199999999997</v>
      </c>
      <c r="M6116" s="550"/>
      <c r="N6116" s="550">
        <f t="shared" ref="N6116:N6120" si="1324">J6116*M6116*I6116/1000</f>
        <v>0</v>
      </c>
      <c r="O6116" s="550"/>
      <c r="P6116" s="550"/>
      <c r="Q6116" s="1065"/>
      <c r="R6116" s="1065"/>
    </row>
    <row r="6117" spans="1:19" ht="17.399999999999999">
      <c r="A6117" s="549"/>
      <c r="B6117" s="549"/>
      <c r="C6117" s="549"/>
      <c r="D6117" s="549"/>
      <c r="E6117" s="549"/>
      <c r="F6117" s="549"/>
      <c r="G6117" s="550" t="s">
        <v>21</v>
      </c>
      <c r="H6117" s="550" t="s">
        <v>120</v>
      </c>
      <c r="I6117" s="551">
        <v>18.2</v>
      </c>
      <c r="J6117" s="765">
        <v>9.5</v>
      </c>
      <c r="K6117" s="766">
        <v>28</v>
      </c>
      <c r="L6117" s="552">
        <f t="shared" si="1323"/>
        <v>4.8411999999999997</v>
      </c>
      <c r="M6117" s="550">
        <v>2</v>
      </c>
      <c r="N6117" s="550">
        <f t="shared" si="1324"/>
        <v>0.3458</v>
      </c>
      <c r="O6117" s="550"/>
      <c r="P6117" s="550"/>
      <c r="Q6117" s="1065"/>
      <c r="R6117" s="1065"/>
    </row>
    <row r="6118" spans="1:19" ht="17.399999999999999">
      <c r="A6118" s="549"/>
      <c r="B6118" s="549"/>
      <c r="C6118" s="549"/>
      <c r="D6118" s="549"/>
      <c r="E6118" s="549"/>
      <c r="F6118" s="549"/>
      <c r="G6118" s="550" t="s">
        <v>21</v>
      </c>
      <c r="H6118" s="550" t="s">
        <v>120</v>
      </c>
      <c r="I6118" s="551">
        <v>18.2</v>
      </c>
      <c r="J6118" s="765">
        <v>10</v>
      </c>
      <c r="K6118" s="766">
        <v>26</v>
      </c>
      <c r="L6118" s="552">
        <f t="shared" si="1323"/>
        <v>4.7320000000000002</v>
      </c>
      <c r="M6118" s="550"/>
      <c r="N6118" s="550">
        <f t="shared" si="1324"/>
        <v>0</v>
      </c>
      <c r="O6118" s="550"/>
      <c r="P6118" s="550"/>
      <c r="Q6118" s="1065"/>
      <c r="R6118" s="1065"/>
    </row>
    <row r="6119" spans="1:19" ht="17.399999999999999">
      <c r="A6119" s="549"/>
      <c r="B6119" s="549"/>
      <c r="C6119" s="549"/>
      <c r="D6119" s="549"/>
      <c r="E6119" s="549"/>
      <c r="F6119" s="549"/>
      <c r="G6119" s="550" t="s">
        <v>21</v>
      </c>
      <c r="H6119" s="550" t="s">
        <v>120</v>
      </c>
      <c r="I6119" s="551">
        <v>18.2</v>
      </c>
      <c r="J6119" s="765">
        <v>10.5</v>
      </c>
      <c r="K6119" s="766">
        <v>56</v>
      </c>
      <c r="L6119" s="552">
        <f t="shared" si="1323"/>
        <v>10.701600000000001</v>
      </c>
      <c r="M6119" s="550">
        <f>1+3+3</f>
        <v>7</v>
      </c>
      <c r="N6119" s="550">
        <f t="shared" si="1324"/>
        <v>1.3377000000000001</v>
      </c>
      <c r="O6119" s="550"/>
      <c r="P6119" s="550"/>
      <c r="Q6119" s="1065"/>
      <c r="R6119" s="1065"/>
    </row>
    <row r="6120" spans="1:19" ht="17.399999999999999">
      <c r="A6120" s="549"/>
      <c r="B6120" s="549"/>
      <c r="C6120" s="549"/>
      <c r="D6120" s="549"/>
      <c r="E6120" s="549"/>
      <c r="F6120" s="549"/>
      <c r="G6120" s="550" t="s">
        <v>21</v>
      </c>
      <c r="H6120" s="550" t="s">
        <v>120</v>
      </c>
      <c r="I6120" s="551">
        <v>18.2</v>
      </c>
      <c r="J6120" s="765">
        <v>11.9</v>
      </c>
      <c r="K6120" s="766">
        <v>24</v>
      </c>
      <c r="L6120" s="552">
        <f t="shared" si="1323"/>
        <v>5.1979199999999999</v>
      </c>
      <c r="M6120" s="550">
        <v>4</v>
      </c>
      <c r="N6120" s="550">
        <f t="shared" si="1324"/>
        <v>0.86631999999999998</v>
      </c>
      <c r="O6120" s="550"/>
      <c r="P6120" s="550"/>
      <c r="Q6120" s="1065"/>
      <c r="R6120" s="1065"/>
    </row>
    <row r="6121" spans="1:19" ht="17.399999999999999">
      <c r="A6121" s="549"/>
      <c r="B6121" s="549"/>
      <c r="C6121" s="549"/>
      <c r="D6121" s="549"/>
      <c r="E6121" s="549"/>
      <c r="F6121" s="549"/>
      <c r="G6121" s="550"/>
      <c r="H6121" s="550"/>
      <c r="I6121" s="551"/>
      <c r="J6121" s="765"/>
      <c r="K6121" s="766">
        <f>SUM(K6115:K6120)</f>
        <v>197</v>
      </c>
      <c r="L6121" s="765">
        <f>SUM(L6115:L6120)</f>
        <v>33.68092</v>
      </c>
      <c r="M6121" s="766">
        <f>SUM(M6115:M6120)</f>
        <v>27</v>
      </c>
      <c r="N6121" s="765">
        <f>SUM(N6115:N6120)</f>
        <v>4.1040999999999999</v>
      </c>
      <c r="O6121" s="550"/>
      <c r="P6121" s="550"/>
      <c r="Q6121" s="1065"/>
      <c r="R6121" s="1065"/>
    </row>
    <row r="6122" spans="1:19" s="497" customFormat="1" ht="17.399999999999999">
      <c r="A6122" s="549"/>
      <c r="B6122" s="549"/>
      <c r="C6122" s="549"/>
      <c r="D6122" s="549"/>
      <c r="E6122" s="549"/>
      <c r="F6122" s="549"/>
      <c r="G6122" s="550"/>
      <c r="H6122" s="550"/>
      <c r="I6122" s="551"/>
      <c r="J6122" s="765"/>
      <c r="K6122" s="766"/>
      <c r="L6122" s="765"/>
      <c r="M6122" s="550"/>
      <c r="N6122" s="550"/>
      <c r="O6122" s="550"/>
      <c r="P6122" s="550"/>
      <c r="Q6122" s="1065"/>
      <c r="R6122" s="1065"/>
    </row>
    <row r="6123" spans="1:19" ht="17.399999999999999">
      <c r="A6123" s="547" t="s">
        <v>541</v>
      </c>
      <c r="B6123" s="979" t="s">
        <v>559</v>
      </c>
      <c r="C6123" s="547" t="s">
        <v>19</v>
      </c>
      <c r="D6123" s="547" t="s">
        <v>20</v>
      </c>
      <c r="E6123" s="547" t="s">
        <v>57</v>
      </c>
      <c r="F6123" s="548">
        <v>13</v>
      </c>
      <c r="G6123" s="779" t="s">
        <v>21</v>
      </c>
      <c r="H6123" s="900" t="s">
        <v>120</v>
      </c>
      <c r="I6123" s="937">
        <v>18.2</v>
      </c>
      <c r="J6123" s="777">
        <v>8.4</v>
      </c>
      <c r="K6123" s="778">
        <v>5</v>
      </c>
      <c r="L6123" s="552">
        <f t="shared" ref="L6123:L6127" si="1325">(I6123*J6123*K6123/1000)</f>
        <v>0.76439999999999997</v>
      </c>
      <c r="M6123" s="550"/>
      <c r="N6123" s="550"/>
      <c r="O6123" s="550"/>
      <c r="P6123" s="550"/>
      <c r="Q6123" s="1065"/>
      <c r="R6123" s="1065"/>
      <c r="S6123" s="497" t="s">
        <v>608</v>
      </c>
    </row>
    <row r="6124" spans="1:19" ht="17.399999999999999">
      <c r="A6124" s="547"/>
      <c r="B6124" s="549" t="s">
        <v>564</v>
      </c>
      <c r="C6124" s="547"/>
      <c r="D6124" s="547"/>
      <c r="E6124" s="547"/>
      <c r="F6124" s="549"/>
      <c r="G6124" s="779" t="s">
        <v>21</v>
      </c>
      <c r="H6124" s="779" t="s">
        <v>120</v>
      </c>
      <c r="I6124" s="937">
        <v>18.2</v>
      </c>
      <c r="J6124" s="777">
        <v>9.1</v>
      </c>
      <c r="K6124" s="778">
        <v>12</v>
      </c>
      <c r="L6124" s="552">
        <f t="shared" si="1325"/>
        <v>1.9874399999999997</v>
      </c>
      <c r="M6124" s="550"/>
      <c r="N6124" s="550"/>
      <c r="O6124" s="550"/>
      <c r="P6124" s="550"/>
      <c r="Q6124" s="1065"/>
      <c r="R6124" s="1065"/>
    </row>
    <row r="6125" spans="1:19" ht="17.399999999999999">
      <c r="A6125" s="549"/>
      <c r="B6125" s="549"/>
      <c r="C6125" s="549"/>
      <c r="D6125" s="549"/>
      <c r="E6125" s="549"/>
      <c r="F6125" s="549"/>
      <c r="G6125" s="779" t="s">
        <v>21</v>
      </c>
      <c r="H6125" s="779" t="s">
        <v>120</v>
      </c>
      <c r="I6125" s="937">
        <v>18.2</v>
      </c>
      <c r="J6125" s="777">
        <v>9.3000000000000007</v>
      </c>
      <c r="K6125" s="778">
        <v>10</v>
      </c>
      <c r="L6125" s="552">
        <f t="shared" si="1325"/>
        <v>1.6926000000000001</v>
      </c>
      <c r="M6125" s="550"/>
      <c r="N6125" s="550"/>
      <c r="O6125" s="550"/>
      <c r="P6125" s="550"/>
      <c r="Q6125" s="1065"/>
      <c r="R6125" s="1065"/>
    </row>
    <row r="6126" spans="1:19" ht="17.399999999999999">
      <c r="A6126" s="549"/>
      <c r="B6126" s="549"/>
      <c r="C6126" s="549"/>
      <c r="D6126" s="549"/>
      <c r="E6126" s="549"/>
      <c r="F6126" s="549"/>
      <c r="G6126" s="779" t="s">
        <v>21</v>
      </c>
      <c r="H6126" s="779" t="s">
        <v>120</v>
      </c>
      <c r="I6126" s="937">
        <v>18.2</v>
      </c>
      <c r="J6126" s="777">
        <v>10</v>
      </c>
      <c r="K6126" s="778">
        <v>8</v>
      </c>
      <c r="L6126" s="552">
        <f t="shared" si="1325"/>
        <v>1.456</v>
      </c>
      <c r="M6126" s="550"/>
      <c r="N6126" s="550"/>
      <c r="O6126" s="550"/>
      <c r="P6126" s="550"/>
      <c r="Q6126" s="1065"/>
      <c r="R6126" s="1065"/>
    </row>
    <row r="6127" spans="1:19" ht="17.399999999999999">
      <c r="A6127" s="549"/>
      <c r="B6127" s="549"/>
      <c r="C6127" s="549"/>
      <c r="D6127" s="549"/>
      <c r="E6127" s="549"/>
      <c r="F6127" s="549"/>
      <c r="G6127" s="779" t="s">
        <v>21</v>
      </c>
      <c r="H6127" s="779" t="s">
        <v>120</v>
      </c>
      <c r="I6127" s="937">
        <v>18.2</v>
      </c>
      <c r="J6127" s="765">
        <v>11.9</v>
      </c>
      <c r="K6127" s="778">
        <v>2</v>
      </c>
      <c r="L6127" s="552">
        <f t="shared" si="1325"/>
        <v>0.43315999999999999</v>
      </c>
      <c r="M6127" s="550"/>
      <c r="N6127" s="550"/>
      <c r="O6127" s="777">
        <v>10.9</v>
      </c>
      <c r="P6127" s="550"/>
      <c r="Q6127" s="1065"/>
      <c r="R6127" s="1065"/>
    </row>
    <row r="6128" spans="1:19" ht="17.399999999999999">
      <c r="A6128" s="549"/>
      <c r="B6128" s="549"/>
      <c r="C6128" s="549"/>
      <c r="D6128" s="549"/>
      <c r="E6128" s="549"/>
      <c r="F6128" s="549"/>
      <c r="G6128" s="779"/>
      <c r="H6128" s="768"/>
      <c r="I6128" s="1893"/>
      <c r="J6128" s="916"/>
      <c r="K6128" s="778">
        <f t="shared" ref="K6128:L6128" si="1326">SUM(K6123:K6127)</f>
        <v>37</v>
      </c>
      <c r="L6128" s="777">
        <f t="shared" si="1326"/>
        <v>6.3335999999999997</v>
      </c>
      <c r="M6128" s="550"/>
      <c r="N6128" s="550"/>
      <c r="O6128" s="550"/>
      <c r="P6128" s="550"/>
      <c r="Q6128" s="1065"/>
      <c r="R6128" s="1065"/>
    </row>
    <row r="6129" spans="1:21" s="497" customFormat="1" ht="17.399999999999999">
      <c r="A6129" s="549"/>
      <c r="B6129" s="549"/>
      <c r="C6129" s="549"/>
      <c r="D6129" s="549"/>
      <c r="E6129" s="549"/>
      <c r="F6129" s="549"/>
      <c r="G6129" s="779"/>
      <c r="H6129" s="768"/>
      <c r="I6129" s="1893"/>
      <c r="J6129" s="916"/>
      <c r="K6129" s="778"/>
      <c r="L6129" s="777"/>
      <c r="M6129" s="550"/>
      <c r="N6129" s="550"/>
      <c r="O6129" s="550"/>
      <c r="P6129" s="550"/>
      <c r="Q6129" s="1065"/>
      <c r="R6129" s="1065"/>
    </row>
    <row r="6130" spans="1:21" s="497" customFormat="1" ht="17.399999999999999">
      <c r="A6130" s="547" t="s">
        <v>361</v>
      </c>
      <c r="B6130" s="989" t="s">
        <v>584</v>
      </c>
      <c r="C6130" s="547" t="s">
        <v>19</v>
      </c>
      <c r="D6130" s="813" t="s">
        <v>20</v>
      </c>
      <c r="E6130" s="547" t="s">
        <v>47</v>
      </c>
      <c r="F6130" s="548">
        <v>13</v>
      </c>
      <c r="G6130" s="550" t="s">
        <v>21</v>
      </c>
      <c r="H6130" s="900" t="s">
        <v>120</v>
      </c>
      <c r="I6130" s="937">
        <v>18.2</v>
      </c>
      <c r="J6130" s="777">
        <v>6.7</v>
      </c>
      <c r="K6130" s="778">
        <v>22</v>
      </c>
      <c r="L6130" s="552">
        <f>(I6130*J6130*K6130/1000)</f>
        <v>2.68268</v>
      </c>
      <c r="M6130" s="766"/>
      <c r="N6130" s="550"/>
      <c r="O6130" s="550"/>
      <c r="P6130" s="550"/>
      <c r="Q6130" s="1065"/>
      <c r="R6130" s="1065"/>
      <c r="S6130" s="497">
        <v>22</v>
      </c>
      <c r="T6130" s="497" t="s">
        <v>616</v>
      </c>
      <c r="U6130" s="497" t="s">
        <v>666</v>
      </c>
    </row>
    <row r="6131" spans="1:21" s="497" customFormat="1" ht="17.399999999999999">
      <c r="A6131" s="547"/>
      <c r="B6131" s="990" t="s">
        <v>585</v>
      </c>
      <c r="C6131" s="547"/>
      <c r="D6131" s="813"/>
      <c r="E6131" s="547"/>
      <c r="F6131" s="548"/>
      <c r="G6131" s="550" t="s">
        <v>21</v>
      </c>
      <c r="H6131" s="779" t="s">
        <v>120</v>
      </c>
      <c r="I6131" s="937">
        <v>18.2</v>
      </c>
      <c r="J6131" s="777">
        <v>6.7</v>
      </c>
      <c r="K6131" s="778">
        <v>12</v>
      </c>
      <c r="L6131" s="552">
        <f>(I6131*J6131*K6131/1000)</f>
        <v>1.4632799999999999</v>
      </c>
      <c r="M6131" s="766"/>
      <c r="N6131" s="550"/>
      <c r="O6131" s="550"/>
      <c r="P6131" s="550"/>
      <c r="Q6131" s="1065"/>
      <c r="R6131" s="1065"/>
    </row>
    <row r="6132" spans="1:21" s="497" customFormat="1" ht="18">
      <c r="A6132" s="547"/>
      <c r="B6132" s="547"/>
      <c r="C6132" s="547"/>
      <c r="D6132" s="813"/>
      <c r="E6132" s="547"/>
      <c r="F6132" s="548"/>
      <c r="G6132" s="550" t="s">
        <v>21</v>
      </c>
      <c r="H6132" s="779" t="s">
        <v>120</v>
      </c>
      <c r="I6132" s="937">
        <v>18.2</v>
      </c>
      <c r="J6132" s="976">
        <v>11.1</v>
      </c>
      <c r="K6132" s="977">
        <v>22</v>
      </c>
      <c r="L6132" s="552">
        <f>(I6132*J6132*K6132/1000)</f>
        <v>4.4444399999999993</v>
      </c>
      <c r="M6132" s="766"/>
      <c r="N6132" s="550"/>
      <c r="O6132" s="550"/>
      <c r="P6132" s="550"/>
      <c r="Q6132" s="1065"/>
      <c r="R6132" s="1065"/>
    </row>
    <row r="6133" spans="1:21" s="497" customFormat="1" ht="17.399999999999999">
      <c r="A6133" s="549"/>
      <c r="B6133" s="869"/>
      <c r="C6133" s="549"/>
      <c r="D6133" s="549"/>
      <c r="E6133" s="549"/>
      <c r="F6133" s="549"/>
      <c r="G6133" s="550"/>
      <c r="H6133" s="779"/>
      <c r="I6133" s="1894"/>
      <c r="J6133" s="934"/>
      <c r="K6133" s="778">
        <f>SUM(K6130:K6132)</f>
        <v>56</v>
      </c>
      <c r="L6133" s="777">
        <f>SUM(L6130:L6132)</f>
        <v>8.5903999999999989</v>
      </c>
      <c r="M6133" s="778">
        <f>SUM(M6130)</f>
        <v>0</v>
      </c>
      <c r="N6133" s="777">
        <f>SUM(N6130)</f>
        <v>0</v>
      </c>
      <c r="O6133" s="550"/>
      <c r="P6133" s="550"/>
      <c r="Q6133" s="1065"/>
      <c r="R6133" s="1065"/>
      <c r="S6133" s="497" t="s">
        <v>617</v>
      </c>
    </row>
    <row r="6134" spans="1:21" s="497" customFormat="1" ht="17.399999999999999">
      <c r="A6134" s="549"/>
      <c r="B6134" s="549"/>
      <c r="C6134" s="549"/>
      <c r="D6134" s="549"/>
      <c r="E6134" s="549"/>
      <c r="F6134" s="549"/>
      <c r="G6134" s="779"/>
      <c r="H6134" s="779"/>
      <c r="I6134" s="1894"/>
      <c r="J6134" s="934"/>
      <c r="K6134" s="778"/>
      <c r="L6134" s="777"/>
      <c r="M6134" s="550"/>
      <c r="N6134" s="550"/>
      <c r="O6134" s="550"/>
      <c r="P6134" s="550"/>
      <c r="Q6134" s="1065"/>
      <c r="R6134" s="1065"/>
    </row>
    <row r="6135" spans="1:21" s="497" customFormat="1" ht="17.399999999999999">
      <c r="A6135" s="547" t="s">
        <v>361</v>
      </c>
      <c r="B6135" s="547" t="s">
        <v>583</v>
      </c>
      <c r="C6135" s="547" t="s">
        <v>19</v>
      </c>
      <c r="D6135" s="813" t="s">
        <v>20</v>
      </c>
      <c r="E6135" s="547" t="s">
        <v>47</v>
      </c>
      <c r="F6135" s="548">
        <v>13</v>
      </c>
      <c r="G6135" s="550" t="s">
        <v>21</v>
      </c>
      <c r="H6135" s="599" t="s">
        <v>120</v>
      </c>
      <c r="I6135" s="551">
        <v>18.2</v>
      </c>
      <c r="J6135" s="777">
        <v>8.4</v>
      </c>
      <c r="K6135" s="766">
        <v>2</v>
      </c>
      <c r="L6135" s="552">
        <f>(I6135*J6135*K6135/1000)</f>
        <v>0.30575999999999998</v>
      </c>
      <c r="M6135" s="550"/>
      <c r="N6135" s="550"/>
      <c r="O6135" s="765">
        <v>7</v>
      </c>
      <c r="P6135" s="550"/>
      <c r="Q6135" s="1065"/>
      <c r="R6135" s="1065"/>
      <c r="S6135" s="497" t="s">
        <v>608</v>
      </c>
    </row>
    <row r="6136" spans="1:21" s="497" customFormat="1" ht="17.399999999999999">
      <c r="A6136" s="549"/>
      <c r="B6136" s="548" t="s">
        <v>238</v>
      </c>
      <c r="C6136" s="549"/>
      <c r="D6136" s="549"/>
      <c r="E6136" s="549"/>
      <c r="F6136" s="549"/>
      <c r="G6136" s="550"/>
      <c r="H6136" s="550"/>
      <c r="I6136" s="551"/>
      <c r="J6136" s="765"/>
      <c r="K6136" s="766">
        <f t="shared" ref="K6136" si="1327">SUM(K6135)</f>
        <v>2</v>
      </c>
      <c r="L6136" s="765">
        <f>SUM(L6135)</f>
        <v>0.30575999999999998</v>
      </c>
      <c r="M6136" s="550"/>
      <c r="N6136" s="550"/>
      <c r="O6136" s="550"/>
      <c r="P6136" s="550"/>
      <c r="Q6136" s="1065"/>
      <c r="R6136" s="1065"/>
    </row>
    <row r="6137" spans="1:21" s="497" customFormat="1" ht="17.399999999999999">
      <c r="A6137" s="549"/>
      <c r="B6137" s="549"/>
      <c r="C6137" s="549"/>
      <c r="D6137" s="549"/>
      <c r="E6137" s="549"/>
      <c r="F6137" s="549"/>
      <c r="G6137" s="779"/>
      <c r="H6137" s="779"/>
      <c r="I6137" s="1894"/>
      <c r="J6137" s="934"/>
      <c r="K6137" s="778"/>
      <c r="L6137" s="777"/>
      <c r="M6137" s="550"/>
      <c r="N6137" s="550"/>
      <c r="O6137" s="550"/>
      <c r="P6137" s="550"/>
      <c r="Q6137" s="1065"/>
      <c r="R6137" s="1065"/>
    </row>
    <row r="6138" spans="1:21" s="497" customFormat="1" ht="17.399999999999999">
      <c r="A6138" s="547" t="s">
        <v>451</v>
      </c>
      <c r="B6138" s="852" t="s">
        <v>581</v>
      </c>
      <c r="C6138" s="547" t="s">
        <v>19</v>
      </c>
      <c r="D6138" s="813" t="s">
        <v>20</v>
      </c>
      <c r="E6138" s="547" t="s">
        <v>359</v>
      </c>
      <c r="F6138" s="548">
        <v>13</v>
      </c>
      <c r="G6138" s="550" t="s">
        <v>21</v>
      </c>
      <c r="H6138" s="599" t="s">
        <v>120</v>
      </c>
      <c r="I6138" s="551">
        <v>18.149999999999999</v>
      </c>
      <c r="J6138" s="765">
        <v>12</v>
      </c>
      <c r="K6138" s="766">
        <v>8</v>
      </c>
      <c r="L6138" s="552">
        <f>(I6138*J6138*K6138/1000)</f>
        <v>1.7423999999999999</v>
      </c>
      <c r="M6138" s="550"/>
      <c r="N6138" s="550"/>
      <c r="O6138" s="550"/>
      <c r="P6138" s="550"/>
      <c r="Q6138" s="1065"/>
      <c r="R6138" s="1065"/>
      <c r="S6138" s="497" t="s">
        <v>608</v>
      </c>
    </row>
    <row r="6139" spans="1:21" s="497" customFormat="1" ht="17.399999999999999">
      <c r="A6139" s="549"/>
      <c r="B6139" s="549" t="s">
        <v>277</v>
      </c>
      <c r="C6139" s="549"/>
      <c r="D6139" s="549"/>
      <c r="E6139" s="549"/>
      <c r="F6139" s="549"/>
      <c r="G6139" s="550"/>
      <c r="H6139" s="550"/>
      <c r="I6139" s="551"/>
      <c r="J6139" s="765"/>
      <c r="K6139" s="766">
        <f t="shared" ref="K6139" si="1328">SUM(K6138)</f>
        <v>8</v>
      </c>
      <c r="L6139" s="765">
        <f>SUM(L6138)</f>
        <v>1.7423999999999999</v>
      </c>
      <c r="M6139" s="550"/>
      <c r="N6139" s="550"/>
      <c r="O6139" s="550"/>
      <c r="P6139" s="550"/>
      <c r="Q6139" s="1065"/>
      <c r="R6139" s="1065"/>
    </row>
    <row r="6140" spans="1:21" s="497" customFormat="1" ht="17.399999999999999">
      <c r="A6140" s="547"/>
      <c r="B6140" s="549"/>
      <c r="C6140" s="547"/>
      <c r="D6140" s="547"/>
      <c r="E6140" s="547"/>
      <c r="F6140" s="550"/>
      <c r="G6140" s="779"/>
      <c r="H6140" s="768"/>
      <c r="I6140" s="1893"/>
      <c r="J6140" s="916"/>
      <c r="K6140" s="933">
        <f>SUM(K6115:K6139)/2</f>
        <v>300</v>
      </c>
      <c r="L6140" s="777">
        <f>SUM(L6115:L6139)/2</f>
        <v>50.653080000000017</v>
      </c>
      <c r="M6140" s="933">
        <f>SUM(M6115:M6139)/2</f>
        <v>27</v>
      </c>
      <c r="N6140" s="777">
        <f>SUM(N6115:N6139)/2</f>
        <v>4.1040999999999999</v>
      </c>
      <c r="O6140" s="550"/>
      <c r="P6140" s="550"/>
      <c r="Q6140" s="1065"/>
      <c r="R6140" s="1065"/>
    </row>
    <row r="6141" spans="1:21" s="497" customFormat="1" ht="17.399999999999999">
      <c r="A6141" s="547"/>
      <c r="B6141" s="549"/>
      <c r="C6141" s="547"/>
      <c r="D6141" s="547"/>
      <c r="E6141" s="547"/>
      <c r="F6141" s="550"/>
      <c r="G6141" s="779"/>
      <c r="H6141" s="768"/>
      <c r="I6141" s="1893"/>
      <c r="J6141" s="916"/>
      <c r="K6141" s="778"/>
      <c r="L6141" s="777"/>
      <c r="M6141" s="550"/>
      <c r="N6141" s="550"/>
      <c r="O6141" s="550"/>
      <c r="P6141" s="550"/>
      <c r="Q6141" s="1065"/>
      <c r="R6141" s="1065"/>
    </row>
    <row r="6142" spans="1:21" s="497" customFormat="1" ht="17.399999999999999">
      <c r="A6142" s="547"/>
      <c r="B6142" s="549"/>
      <c r="C6142" s="547"/>
      <c r="D6142" s="547"/>
      <c r="E6142" s="547"/>
      <c r="F6142" s="550"/>
      <c r="G6142" s="779"/>
      <c r="H6142" s="768"/>
      <c r="I6142" s="1893"/>
      <c r="J6142" s="916"/>
      <c r="K6142" s="778"/>
      <c r="L6142" s="777"/>
      <c r="M6142" s="550"/>
      <c r="N6142" s="550"/>
      <c r="O6142" s="550"/>
      <c r="P6142" s="550"/>
      <c r="Q6142" s="1065"/>
      <c r="R6142" s="1065"/>
    </row>
    <row r="6143" spans="1:21" ht="17.399999999999999">
      <c r="A6143" s="547" t="s">
        <v>541</v>
      </c>
      <c r="B6143" s="979" t="s">
        <v>559</v>
      </c>
      <c r="C6143" s="780" t="s">
        <v>19</v>
      </c>
      <c r="D6143" s="780" t="s">
        <v>20</v>
      </c>
      <c r="E6143" s="780" t="s">
        <v>420</v>
      </c>
      <c r="F6143" s="754">
        <v>13</v>
      </c>
      <c r="G6143" s="779" t="s">
        <v>21</v>
      </c>
      <c r="H6143" s="900" t="s">
        <v>123</v>
      </c>
      <c r="I6143" s="937">
        <v>16.5</v>
      </c>
      <c r="J6143" s="777">
        <v>7.1</v>
      </c>
      <c r="K6143" s="778">
        <v>14</v>
      </c>
      <c r="L6143" s="552">
        <f t="shared" ref="L6143:L6147" si="1329">(I6143*J6143*K6143/1000)</f>
        <v>1.6400999999999999</v>
      </c>
      <c r="M6143" s="550"/>
      <c r="N6143" s="550"/>
      <c r="O6143" s="550"/>
      <c r="P6143" s="550"/>
      <c r="Q6143" s="1065"/>
      <c r="R6143" s="1065"/>
      <c r="S6143" s="497" t="s">
        <v>608</v>
      </c>
    </row>
    <row r="6144" spans="1:21" ht="17.399999999999999">
      <c r="A6144" s="547"/>
      <c r="B6144" s="549" t="s">
        <v>564</v>
      </c>
      <c r="C6144" s="547"/>
      <c r="D6144" s="547"/>
      <c r="E6144" s="547"/>
      <c r="F6144" s="550"/>
      <c r="G6144" s="779" t="s">
        <v>21</v>
      </c>
      <c r="H6144" s="779" t="s">
        <v>123</v>
      </c>
      <c r="I6144" s="937">
        <v>16.5</v>
      </c>
      <c r="J6144" s="777">
        <v>8.1</v>
      </c>
      <c r="K6144" s="778">
        <v>8</v>
      </c>
      <c r="L6144" s="552">
        <f t="shared" si="1329"/>
        <v>1.0692000000000002</v>
      </c>
      <c r="M6144" s="550">
        <v>3</v>
      </c>
      <c r="N6144" s="550">
        <f t="shared" ref="N6144" si="1330">J6144*M6144*I6144/1000</f>
        <v>0.40094999999999992</v>
      </c>
      <c r="O6144" s="550"/>
      <c r="P6144" s="550"/>
      <c r="Q6144" s="1065"/>
      <c r="R6144" s="1065"/>
    </row>
    <row r="6145" spans="1:19" ht="17.399999999999999">
      <c r="A6145" s="549"/>
      <c r="B6145" s="549"/>
      <c r="C6145" s="549"/>
      <c r="D6145" s="549"/>
      <c r="E6145" s="549"/>
      <c r="F6145" s="549"/>
      <c r="G6145" s="779" t="s">
        <v>21</v>
      </c>
      <c r="H6145" s="779" t="s">
        <v>123</v>
      </c>
      <c r="I6145" s="937">
        <v>16.5</v>
      </c>
      <c r="J6145" s="777">
        <v>10</v>
      </c>
      <c r="K6145" s="778">
        <v>7</v>
      </c>
      <c r="L6145" s="552">
        <f t="shared" si="1329"/>
        <v>1.155</v>
      </c>
      <c r="M6145" s="550"/>
      <c r="N6145" s="550"/>
      <c r="O6145" s="550"/>
      <c r="P6145" s="550"/>
      <c r="Q6145" s="1065"/>
      <c r="R6145" s="1065"/>
    </row>
    <row r="6146" spans="1:19" ht="17.399999999999999">
      <c r="A6146" s="549"/>
      <c r="B6146" s="549"/>
      <c r="C6146" s="549"/>
      <c r="D6146" s="549"/>
      <c r="E6146" s="549"/>
      <c r="F6146" s="549"/>
      <c r="G6146" s="779" t="s">
        <v>21</v>
      </c>
      <c r="H6146" s="779" t="s">
        <v>123</v>
      </c>
      <c r="I6146" s="937">
        <v>16.5</v>
      </c>
      <c r="J6146" s="777">
        <v>11.4</v>
      </c>
      <c r="K6146" s="778">
        <v>4</v>
      </c>
      <c r="L6146" s="552">
        <f t="shared" si="1329"/>
        <v>0.75239999999999996</v>
      </c>
      <c r="M6146" s="550"/>
      <c r="N6146" s="550"/>
      <c r="O6146" s="550"/>
      <c r="P6146" s="550"/>
      <c r="Q6146" s="1065"/>
      <c r="R6146" s="1065"/>
    </row>
    <row r="6147" spans="1:19" ht="17.399999999999999">
      <c r="A6147" s="549"/>
      <c r="B6147" s="549"/>
      <c r="C6147" s="549"/>
      <c r="D6147" s="549"/>
      <c r="E6147" s="549"/>
      <c r="F6147" s="549"/>
      <c r="G6147" s="779" t="s">
        <v>21</v>
      </c>
      <c r="H6147" s="779" t="s">
        <v>123</v>
      </c>
      <c r="I6147" s="937">
        <v>16.5</v>
      </c>
      <c r="J6147" s="777">
        <v>11.5</v>
      </c>
      <c r="K6147" s="778">
        <v>33</v>
      </c>
      <c r="L6147" s="552">
        <f t="shared" si="1329"/>
        <v>6.2617500000000001</v>
      </c>
      <c r="M6147" s="550">
        <v>1</v>
      </c>
      <c r="N6147" s="550">
        <f t="shared" ref="N6147" si="1331">J6147*M6147*I6147/1000</f>
        <v>0.18975</v>
      </c>
      <c r="O6147" s="550"/>
      <c r="P6147" s="550"/>
      <c r="Q6147" s="1065"/>
      <c r="R6147" s="1065"/>
    </row>
    <row r="6148" spans="1:19" ht="17.399999999999999">
      <c r="A6148" s="549"/>
      <c r="B6148" s="549"/>
      <c r="C6148" s="549"/>
      <c r="D6148" s="549"/>
      <c r="E6148" s="549"/>
      <c r="F6148" s="549"/>
      <c r="G6148" s="779"/>
      <c r="H6148" s="768"/>
      <c r="I6148" s="1893"/>
      <c r="J6148" s="916"/>
      <c r="K6148" s="778">
        <f t="shared" ref="K6148:N6148" si="1332">SUM(K6143:K6147)</f>
        <v>66</v>
      </c>
      <c r="L6148" s="777">
        <f t="shared" si="1332"/>
        <v>10.878450000000001</v>
      </c>
      <c r="M6148" s="778">
        <f t="shared" si="1332"/>
        <v>4</v>
      </c>
      <c r="N6148" s="777">
        <f t="shared" si="1332"/>
        <v>0.59069999999999989</v>
      </c>
      <c r="O6148" s="550"/>
      <c r="P6148" s="550"/>
      <c r="Q6148" s="1065"/>
      <c r="R6148" s="1065"/>
    </row>
    <row r="6149" spans="1:19" s="497" customFormat="1" ht="17.399999999999999">
      <c r="A6149" s="549"/>
      <c r="B6149" s="549"/>
      <c r="C6149" s="549"/>
      <c r="D6149" s="549"/>
      <c r="E6149" s="549"/>
      <c r="F6149" s="549"/>
      <c r="G6149" s="779"/>
      <c r="H6149" s="768"/>
      <c r="I6149" s="1893"/>
      <c r="J6149" s="916"/>
      <c r="K6149" s="778"/>
      <c r="L6149" s="777"/>
      <c r="M6149" s="550"/>
      <c r="N6149" s="550"/>
      <c r="O6149" s="550"/>
      <c r="P6149" s="550"/>
      <c r="Q6149" s="1065"/>
      <c r="R6149" s="1065"/>
    </row>
    <row r="6150" spans="1:19" ht="17.399999999999999">
      <c r="A6150" s="549"/>
      <c r="B6150" s="549"/>
      <c r="C6150" s="549"/>
      <c r="D6150" s="549"/>
      <c r="E6150" s="549"/>
      <c r="F6150" s="549"/>
      <c r="G6150" s="550"/>
      <c r="H6150" s="550"/>
      <c r="I6150" s="1865"/>
      <c r="J6150" s="550"/>
      <c r="K6150" s="772"/>
      <c r="L6150" s="548"/>
      <c r="M6150" s="550"/>
      <c r="N6150" s="550"/>
      <c r="O6150" s="550"/>
      <c r="P6150" s="550"/>
      <c r="Q6150" s="1065"/>
      <c r="R6150" s="1065"/>
    </row>
    <row r="6151" spans="1:19" ht="17.399999999999999">
      <c r="A6151" s="547" t="s">
        <v>541</v>
      </c>
      <c r="B6151" s="979" t="s">
        <v>559</v>
      </c>
      <c r="C6151" s="547" t="s">
        <v>19</v>
      </c>
      <c r="D6151" s="547" t="s">
        <v>20</v>
      </c>
      <c r="E6151" s="547" t="s">
        <v>57</v>
      </c>
      <c r="F6151" s="549">
        <v>13</v>
      </c>
      <c r="G6151" s="779" t="s">
        <v>21</v>
      </c>
      <c r="H6151" s="900" t="s">
        <v>123</v>
      </c>
      <c r="I6151" s="937">
        <v>16.5</v>
      </c>
      <c r="J6151" s="777">
        <v>8.6</v>
      </c>
      <c r="K6151" s="778">
        <v>2</v>
      </c>
      <c r="L6151" s="552">
        <f>(I6151*J6151*K6151/1000)</f>
        <v>0.2838</v>
      </c>
      <c r="M6151" s="550">
        <v>2</v>
      </c>
      <c r="N6151" s="550">
        <f t="shared" ref="N6151" si="1333">J6151*M6151*I6151/1000</f>
        <v>0.2838</v>
      </c>
      <c r="O6151" s="550"/>
      <c r="P6151" s="550"/>
      <c r="Q6151" s="1065"/>
      <c r="R6151" s="1065"/>
      <c r="S6151" s="497" t="s">
        <v>608</v>
      </c>
    </row>
    <row r="6152" spans="1:19" ht="17.399999999999999">
      <c r="A6152" s="547"/>
      <c r="B6152" s="549" t="s">
        <v>564</v>
      </c>
      <c r="C6152" s="547"/>
      <c r="D6152" s="547"/>
      <c r="E6152" s="547"/>
      <c r="F6152" s="549"/>
      <c r="G6152" s="779"/>
      <c r="H6152" s="768"/>
      <c r="I6152" s="1893"/>
      <c r="J6152" s="916"/>
      <c r="K6152" s="778">
        <f t="shared" ref="K6152:N6152" si="1334">SUM(K6151)</f>
        <v>2</v>
      </c>
      <c r="L6152" s="777">
        <f t="shared" si="1334"/>
        <v>0.2838</v>
      </c>
      <c r="M6152" s="778">
        <f t="shared" si="1334"/>
        <v>2</v>
      </c>
      <c r="N6152" s="777">
        <f t="shared" si="1334"/>
        <v>0.2838</v>
      </c>
      <c r="O6152" s="550"/>
      <c r="P6152" s="550"/>
      <c r="Q6152" s="1065"/>
      <c r="R6152" s="1065"/>
    </row>
    <row r="6153" spans="1:19" s="497" customFormat="1" ht="17.399999999999999">
      <c r="A6153" s="547"/>
      <c r="B6153" s="549"/>
      <c r="C6153" s="547"/>
      <c r="D6153" s="547"/>
      <c r="E6153" s="547"/>
      <c r="F6153" s="549"/>
      <c r="G6153" s="779"/>
      <c r="H6153" s="768"/>
      <c r="I6153" s="1893"/>
      <c r="J6153" s="916"/>
      <c r="K6153" s="778"/>
      <c r="L6153" s="777"/>
      <c r="M6153" s="550"/>
      <c r="N6153" s="550"/>
      <c r="O6153" s="550"/>
      <c r="P6153" s="550"/>
      <c r="Q6153" s="1065"/>
      <c r="R6153" s="1065"/>
    </row>
    <row r="6154" spans="1:19" s="497" customFormat="1" ht="17.399999999999999">
      <c r="A6154" s="547" t="s">
        <v>361</v>
      </c>
      <c r="B6154" s="547" t="s">
        <v>583</v>
      </c>
      <c r="C6154" s="547" t="s">
        <v>19</v>
      </c>
      <c r="D6154" s="813" t="s">
        <v>20</v>
      </c>
      <c r="E6154" s="547" t="s">
        <v>47</v>
      </c>
      <c r="F6154" s="548">
        <v>13</v>
      </c>
      <c r="G6154" s="550" t="s">
        <v>21</v>
      </c>
      <c r="H6154" s="599" t="s">
        <v>123</v>
      </c>
      <c r="I6154" s="551">
        <v>16.5</v>
      </c>
      <c r="J6154" s="765">
        <v>10</v>
      </c>
      <c r="K6154" s="766">
        <v>8</v>
      </c>
      <c r="L6154" s="552">
        <f>(I6154*J6154*K6154/1000)</f>
        <v>1.32</v>
      </c>
      <c r="M6154" s="550">
        <v>8</v>
      </c>
      <c r="N6154" s="765">
        <f t="shared" ref="N6154" si="1335">J6154*M6154*I6154/1000</f>
        <v>1.32</v>
      </c>
      <c r="O6154" s="550"/>
      <c r="P6154" s="550"/>
      <c r="Q6154" s="1065"/>
      <c r="R6154" s="1065"/>
      <c r="S6154" s="497" t="s">
        <v>608</v>
      </c>
    </row>
    <row r="6155" spans="1:19" s="497" customFormat="1" ht="17.399999999999999">
      <c r="A6155" s="549"/>
      <c r="B6155" s="548" t="s">
        <v>238</v>
      </c>
      <c r="C6155" s="549"/>
      <c r="D6155" s="549"/>
      <c r="E6155" s="549"/>
      <c r="F6155" s="549"/>
      <c r="G6155" s="550"/>
      <c r="H6155" s="550"/>
      <c r="I6155" s="551"/>
      <c r="J6155" s="765"/>
      <c r="K6155" s="766">
        <f t="shared" ref="K6155:N6155" si="1336">SUM(K6154)</f>
        <v>8</v>
      </c>
      <c r="L6155" s="765">
        <f t="shared" si="1336"/>
        <v>1.32</v>
      </c>
      <c r="M6155" s="766">
        <f t="shared" si="1336"/>
        <v>8</v>
      </c>
      <c r="N6155" s="765">
        <f t="shared" si="1336"/>
        <v>1.32</v>
      </c>
      <c r="O6155" s="550"/>
      <c r="P6155" s="550"/>
      <c r="Q6155" s="1065"/>
      <c r="R6155" s="1065"/>
    </row>
    <row r="6156" spans="1:19" ht="17.399999999999999">
      <c r="A6156" s="549"/>
      <c r="B6156" s="549"/>
      <c r="C6156" s="549"/>
      <c r="D6156" s="549"/>
      <c r="E6156" s="549"/>
      <c r="F6156" s="549"/>
      <c r="G6156" s="550"/>
      <c r="H6156" s="550"/>
      <c r="I6156" s="1865"/>
      <c r="J6156" s="550"/>
      <c r="K6156" s="772"/>
      <c r="L6156" s="548"/>
      <c r="M6156" s="550"/>
      <c r="N6156" s="550"/>
      <c r="O6156" s="550"/>
      <c r="P6156" s="550"/>
      <c r="Q6156" s="1065"/>
      <c r="R6156" s="1065"/>
    </row>
    <row r="6157" spans="1:19" s="497" customFormat="1" ht="17.399999999999999">
      <c r="A6157" s="547" t="s">
        <v>451</v>
      </c>
      <c r="B6157" s="852" t="s">
        <v>581</v>
      </c>
      <c r="C6157" s="547" t="s">
        <v>19</v>
      </c>
      <c r="D6157" s="813" t="s">
        <v>20</v>
      </c>
      <c r="E6157" s="547" t="s">
        <v>359</v>
      </c>
      <c r="F6157" s="548">
        <v>13</v>
      </c>
      <c r="G6157" s="550" t="s">
        <v>21</v>
      </c>
      <c r="H6157" s="599" t="s">
        <v>123</v>
      </c>
      <c r="I6157" s="551">
        <v>16.5</v>
      </c>
      <c r="J6157" s="765">
        <v>12</v>
      </c>
      <c r="K6157" s="766">
        <v>24</v>
      </c>
      <c r="L6157" s="552">
        <f>(I6157*J6157*K6157/1000)</f>
        <v>4.7519999999999998</v>
      </c>
      <c r="M6157" s="550">
        <v>1</v>
      </c>
      <c r="N6157" s="550">
        <f t="shared" ref="N6157" si="1337">J6157*M6157*I6157/1000</f>
        <v>0.19800000000000001</v>
      </c>
      <c r="O6157" s="550"/>
      <c r="P6157" s="550"/>
      <c r="Q6157" s="1065"/>
      <c r="R6157" s="1065"/>
      <c r="S6157" s="497" t="s">
        <v>608</v>
      </c>
    </row>
    <row r="6158" spans="1:19" s="497" customFormat="1" ht="17.399999999999999">
      <c r="A6158" s="549"/>
      <c r="B6158" s="549" t="s">
        <v>277</v>
      </c>
      <c r="C6158" s="549"/>
      <c r="D6158" s="549"/>
      <c r="E6158" s="549"/>
      <c r="F6158" s="549"/>
      <c r="G6158" s="550"/>
      <c r="H6158" s="550"/>
      <c r="I6158" s="551"/>
      <c r="J6158" s="765"/>
      <c r="K6158" s="766">
        <f t="shared" ref="K6158:N6158" si="1338">SUM(K6157)</f>
        <v>24</v>
      </c>
      <c r="L6158" s="765">
        <f t="shared" si="1338"/>
        <v>4.7519999999999998</v>
      </c>
      <c r="M6158" s="766">
        <f t="shared" si="1338"/>
        <v>1</v>
      </c>
      <c r="N6158" s="765">
        <f t="shared" si="1338"/>
        <v>0.19800000000000001</v>
      </c>
      <c r="O6158" s="550"/>
      <c r="P6158" s="550"/>
      <c r="Q6158" s="1065"/>
      <c r="R6158" s="1065"/>
    </row>
    <row r="6159" spans="1:19" s="497" customFormat="1" ht="17.399999999999999">
      <c r="A6159" s="549"/>
      <c r="B6159" s="549"/>
      <c r="C6159" s="549"/>
      <c r="D6159" s="549"/>
      <c r="E6159" s="549"/>
      <c r="F6159" s="549"/>
      <c r="G6159" s="550"/>
      <c r="H6159" s="550"/>
      <c r="I6159" s="551"/>
      <c r="J6159" s="765"/>
      <c r="K6159" s="766">
        <f>SUM(K6151:K6158)/2</f>
        <v>34</v>
      </c>
      <c r="L6159" s="765">
        <f>SUM(L6151:L6158)/2</f>
        <v>6.3558000000000003</v>
      </c>
      <c r="M6159" s="766">
        <f>SUM(M6151:M6158)/2</f>
        <v>11</v>
      </c>
      <c r="N6159" s="765">
        <f>SUM(N6151:N6158)/2</f>
        <v>1.8018000000000001</v>
      </c>
      <c r="O6159" s="550"/>
      <c r="P6159" s="550"/>
      <c r="Q6159" s="1065"/>
      <c r="R6159" s="1065"/>
    </row>
    <row r="6160" spans="1:19" s="497" customFormat="1" ht="17.399999999999999">
      <c r="A6160" s="549"/>
      <c r="B6160" s="549"/>
      <c r="C6160" s="549"/>
      <c r="D6160" s="549"/>
      <c r="E6160" s="549"/>
      <c r="F6160" s="549"/>
      <c r="G6160" s="550"/>
      <c r="H6160" s="550"/>
      <c r="I6160" s="551"/>
      <c r="J6160" s="765"/>
      <c r="K6160" s="766"/>
      <c r="L6160" s="765"/>
      <c r="M6160" s="550"/>
      <c r="N6160" s="550"/>
      <c r="O6160" s="550"/>
      <c r="P6160" s="550"/>
      <c r="Q6160" s="1065"/>
      <c r="R6160" s="1065"/>
    </row>
    <row r="6161" spans="1:19" s="497" customFormat="1" ht="17.399999999999999">
      <c r="A6161" s="549"/>
      <c r="B6161" s="549"/>
      <c r="C6161" s="549"/>
      <c r="D6161" s="549"/>
      <c r="E6161" s="549"/>
      <c r="F6161" s="549"/>
      <c r="G6161" s="550"/>
      <c r="H6161" s="550"/>
      <c r="I6161" s="551"/>
      <c r="J6161" s="765"/>
      <c r="K6161" s="766"/>
      <c r="L6161" s="765"/>
      <c r="M6161" s="550"/>
      <c r="N6161" s="550"/>
      <c r="O6161" s="550"/>
      <c r="P6161" s="550"/>
      <c r="Q6161" s="1065"/>
      <c r="R6161" s="1065"/>
    </row>
    <row r="6162" spans="1:19" s="497" customFormat="1" ht="17.399999999999999">
      <c r="A6162" s="549"/>
      <c r="B6162" s="549"/>
      <c r="C6162" s="549"/>
      <c r="D6162" s="549"/>
      <c r="E6162" s="549"/>
      <c r="F6162" s="549"/>
      <c r="G6162" s="550"/>
      <c r="H6162" s="550"/>
      <c r="I6162" s="551"/>
      <c r="J6162" s="765"/>
      <c r="K6162" s="766"/>
      <c r="L6162" s="765"/>
      <c r="M6162" s="550"/>
      <c r="N6162" s="550"/>
      <c r="O6162" s="550"/>
      <c r="P6162" s="550"/>
      <c r="Q6162" s="1065"/>
      <c r="R6162" s="1065"/>
    </row>
    <row r="6163" spans="1:19" ht="17.399999999999999">
      <c r="A6163" s="547" t="s">
        <v>541</v>
      </c>
      <c r="B6163" s="979" t="s">
        <v>559</v>
      </c>
      <c r="C6163" s="780" t="s">
        <v>19</v>
      </c>
      <c r="D6163" s="780" t="s">
        <v>20</v>
      </c>
      <c r="E6163" s="780" t="s">
        <v>420</v>
      </c>
      <c r="F6163" s="754">
        <v>13</v>
      </c>
      <c r="G6163" s="779" t="s">
        <v>21</v>
      </c>
      <c r="H6163" s="900" t="s">
        <v>122</v>
      </c>
      <c r="I6163" s="937">
        <v>14.7</v>
      </c>
      <c r="J6163" s="777">
        <v>7.3</v>
      </c>
      <c r="K6163" s="778">
        <v>4</v>
      </c>
      <c r="L6163" s="552">
        <f t="shared" ref="L6163:L6169" si="1339">(I6163*J6163*K6163/1000)</f>
        <v>0.42923999999999995</v>
      </c>
      <c r="M6163" s="550"/>
      <c r="N6163" s="550"/>
      <c r="O6163" s="777">
        <v>6.6</v>
      </c>
      <c r="P6163" s="550"/>
      <c r="Q6163" s="1065"/>
      <c r="R6163" s="1065"/>
    </row>
    <row r="6164" spans="1:19" ht="17.399999999999999">
      <c r="A6164" s="547"/>
      <c r="B6164" s="549" t="s">
        <v>564</v>
      </c>
      <c r="C6164" s="547"/>
      <c r="D6164" s="547"/>
      <c r="E6164" s="547"/>
      <c r="F6164" s="550"/>
      <c r="G6164" s="779" t="s">
        <v>21</v>
      </c>
      <c r="H6164" s="779" t="s">
        <v>122</v>
      </c>
      <c r="I6164" s="937">
        <v>14.7</v>
      </c>
      <c r="J6164" s="777">
        <v>7.3</v>
      </c>
      <c r="K6164" s="778">
        <v>12</v>
      </c>
      <c r="L6164" s="552">
        <f t="shared" si="1339"/>
        <v>1.2877199999999998</v>
      </c>
      <c r="M6164" s="550"/>
      <c r="N6164" s="550"/>
      <c r="O6164" s="550"/>
      <c r="P6164" s="550"/>
      <c r="Q6164" s="1065"/>
      <c r="R6164" s="1065"/>
    </row>
    <row r="6165" spans="1:19" ht="17.399999999999999">
      <c r="A6165" s="549"/>
      <c r="B6165" s="549"/>
      <c r="C6165" s="549"/>
      <c r="D6165" s="549"/>
      <c r="E6165" s="549"/>
      <c r="F6165" s="549"/>
      <c r="G6165" s="779" t="s">
        <v>21</v>
      </c>
      <c r="H6165" s="779" t="s">
        <v>122</v>
      </c>
      <c r="I6165" s="937">
        <v>14.7</v>
      </c>
      <c r="J6165" s="777">
        <v>7.8</v>
      </c>
      <c r="K6165" s="778">
        <v>12</v>
      </c>
      <c r="L6165" s="552">
        <f t="shared" si="1339"/>
        <v>1.37592</v>
      </c>
      <c r="M6165" s="550">
        <v>2</v>
      </c>
      <c r="N6165" s="765">
        <f t="shared" ref="N6165" si="1340">J6165*M6165*I6165/1000</f>
        <v>0.22932</v>
      </c>
      <c r="O6165" s="550"/>
      <c r="P6165" s="550"/>
      <c r="Q6165" s="1065"/>
      <c r="R6165" s="1065"/>
    </row>
    <row r="6166" spans="1:19" ht="17.399999999999999">
      <c r="A6166" s="549"/>
      <c r="B6166" s="549"/>
      <c r="C6166" s="549"/>
      <c r="D6166" s="549"/>
      <c r="E6166" s="549"/>
      <c r="F6166" s="549"/>
      <c r="G6166" s="779" t="s">
        <v>21</v>
      </c>
      <c r="H6166" s="779" t="s">
        <v>122</v>
      </c>
      <c r="I6166" s="937">
        <v>14.7</v>
      </c>
      <c r="J6166" s="777">
        <v>10.199999999999999</v>
      </c>
      <c r="K6166" s="778">
        <v>8</v>
      </c>
      <c r="L6166" s="552">
        <f t="shared" si="1339"/>
        <v>1.1995199999999997</v>
      </c>
      <c r="M6166" s="550"/>
      <c r="N6166" s="550"/>
      <c r="O6166" s="550"/>
      <c r="P6166" s="550"/>
      <c r="Q6166" s="1065"/>
      <c r="R6166" s="1065"/>
    </row>
    <row r="6167" spans="1:19" ht="17.399999999999999">
      <c r="A6167" s="549"/>
      <c r="B6167" s="549"/>
      <c r="C6167" s="549"/>
      <c r="D6167" s="549"/>
      <c r="E6167" s="549"/>
      <c r="F6167" s="549"/>
      <c r="G6167" s="779" t="s">
        <v>21</v>
      </c>
      <c r="H6167" s="779" t="s">
        <v>122</v>
      </c>
      <c r="I6167" s="937">
        <v>14.7</v>
      </c>
      <c r="J6167" s="777">
        <v>10.7</v>
      </c>
      <c r="K6167" s="778">
        <v>24</v>
      </c>
      <c r="L6167" s="552">
        <f t="shared" si="1339"/>
        <v>3.7749600000000001</v>
      </c>
      <c r="M6167" s="550"/>
      <c r="N6167" s="550"/>
      <c r="O6167" s="550"/>
      <c r="P6167" s="550"/>
      <c r="Q6167" s="1065"/>
      <c r="R6167" s="1065"/>
    </row>
    <row r="6168" spans="1:19" ht="17.399999999999999">
      <c r="A6168" s="549"/>
      <c r="B6168" s="549"/>
      <c r="C6168" s="549"/>
      <c r="D6168" s="549"/>
      <c r="E6168" s="549"/>
      <c r="F6168" s="549"/>
      <c r="G6168" s="779" t="s">
        <v>21</v>
      </c>
      <c r="H6168" s="779" t="s">
        <v>122</v>
      </c>
      <c r="I6168" s="937">
        <v>14.7</v>
      </c>
      <c r="J6168" s="777">
        <v>11.5</v>
      </c>
      <c r="K6168" s="778">
        <v>12</v>
      </c>
      <c r="L6168" s="552">
        <f t="shared" si="1339"/>
        <v>2.0286</v>
      </c>
      <c r="M6168" s="550"/>
      <c r="N6168" s="550"/>
      <c r="O6168" s="550"/>
      <c r="P6168" s="550"/>
      <c r="Q6168" s="1065"/>
      <c r="R6168" s="1065"/>
    </row>
    <row r="6169" spans="1:19" ht="17.399999999999999">
      <c r="A6169" s="549"/>
      <c r="B6169" s="549"/>
      <c r="C6169" s="549"/>
      <c r="D6169" s="549"/>
      <c r="E6169" s="549"/>
      <c r="F6169" s="549"/>
      <c r="G6169" s="779" t="s">
        <v>21</v>
      </c>
      <c r="H6169" s="779" t="s">
        <v>122</v>
      </c>
      <c r="I6169" s="937">
        <v>14.7</v>
      </c>
      <c r="J6169" s="777">
        <v>11.7</v>
      </c>
      <c r="K6169" s="778">
        <v>24</v>
      </c>
      <c r="L6169" s="552">
        <f t="shared" si="1339"/>
        <v>4.1277599999999994</v>
      </c>
      <c r="M6169" s="550"/>
      <c r="N6169" s="550"/>
      <c r="O6169" s="550"/>
      <c r="P6169" s="550"/>
      <c r="Q6169" s="1065"/>
      <c r="R6169" s="1065"/>
    </row>
    <row r="6170" spans="1:19" ht="17.399999999999999">
      <c r="A6170" s="549"/>
      <c r="B6170" s="549"/>
      <c r="C6170" s="549"/>
      <c r="D6170" s="549"/>
      <c r="E6170" s="549"/>
      <c r="F6170" s="549"/>
      <c r="G6170" s="779"/>
      <c r="H6170" s="768"/>
      <c r="I6170" s="1893"/>
      <c r="J6170" s="916"/>
      <c r="K6170" s="778">
        <f>SUM(K6163:K6169)</f>
        <v>96</v>
      </c>
      <c r="L6170" s="777">
        <f>SUM(L6163:L6169)</f>
        <v>14.22372</v>
      </c>
      <c r="M6170" s="778">
        <f t="shared" ref="M6170:N6170" si="1341">SUM(M6163:M6169)</f>
        <v>2</v>
      </c>
      <c r="N6170" s="777">
        <f t="shared" si="1341"/>
        <v>0.22932</v>
      </c>
      <c r="O6170" s="550"/>
      <c r="P6170" s="550"/>
      <c r="Q6170" s="1065"/>
      <c r="R6170" s="1065"/>
      <c r="S6170" s="497" t="s">
        <v>608</v>
      </c>
    </row>
    <row r="6171" spans="1:19" s="497" customFormat="1" ht="17.399999999999999">
      <c r="A6171" s="549"/>
      <c r="B6171" s="549"/>
      <c r="C6171" s="549"/>
      <c r="D6171" s="549"/>
      <c r="E6171" s="549"/>
      <c r="F6171" s="549"/>
      <c r="G6171" s="779"/>
      <c r="H6171" s="768"/>
      <c r="I6171" s="1893"/>
      <c r="J6171" s="916"/>
      <c r="K6171" s="778"/>
      <c r="L6171" s="777"/>
      <c r="M6171" s="550"/>
      <c r="N6171" s="550"/>
      <c r="O6171" s="550"/>
      <c r="P6171" s="550"/>
      <c r="Q6171" s="1065"/>
      <c r="R6171" s="1065"/>
    </row>
    <row r="6172" spans="1:19" ht="17.399999999999999">
      <c r="A6172" s="547" t="s">
        <v>445</v>
      </c>
      <c r="B6172" s="547" t="s">
        <v>490</v>
      </c>
      <c r="C6172" s="780" t="s">
        <v>19</v>
      </c>
      <c r="D6172" s="780" t="s">
        <v>20</v>
      </c>
      <c r="E6172" s="780" t="s">
        <v>420</v>
      </c>
      <c r="F6172" s="754">
        <v>13</v>
      </c>
      <c r="G6172" s="550" t="s">
        <v>21</v>
      </c>
      <c r="H6172" s="599" t="s">
        <v>122</v>
      </c>
      <c r="I6172" s="551">
        <v>14.7</v>
      </c>
      <c r="J6172" s="777">
        <v>10.199999999999999</v>
      </c>
      <c r="K6172" s="766">
        <v>32</v>
      </c>
      <c r="L6172" s="552">
        <f>(I6172*J6172*K6172/1000)</f>
        <v>4.7980799999999988</v>
      </c>
      <c r="M6172" s="550"/>
      <c r="N6172" s="550"/>
      <c r="O6172" s="765">
        <v>10.15</v>
      </c>
      <c r="P6172" s="550"/>
      <c r="Q6172" s="1065"/>
      <c r="R6172" s="1065"/>
      <c r="S6172" s="497" t="s">
        <v>608</v>
      </c>
    </row>
    <row r="6173" spans="1:19" ht="17.399999999999999">
      <c r="A6173" s="547"/>
      <c r="B6173" s="550" t="s">
        <v>52</v>
      </c>
      <c r="C6173" s="547"/>
      <c r="D6173" s="547"/>
      <c r="E6173" s="547"/>
      <c r="F6173" s="550"/>
      <c r="G6173" s="550" t="s">
        <v>21</v>
      </c>
      <c r="H6173" s="550" t="s">
        <v>122</v>
      </c>
      <c r="I6173" s="551">
        <v>14.7</v>
      </c>
      <c r="J6173" s="765">
        <v>11.5</v>
      </c>
      <c r="K6173" s="766">
        <v>27</v>
      </c>
      <c r="L6173" s="552">
        <f>(I6173*J6173*K6173/1000)</f>
        <v>4.5643499999999992</v>
      </c>
      <c r="M6173" s="550"/>
      <c r="N6173" s="550"/>
      <c r="O6173" s="550"/>
      <c r="P6173" s="550"/>
      <c r="Q6173" s="1065"/>
      <c r="R6173" s="1065"/>
    </row>
    <row r="6174" spans="1:19" ht="17.399999999999999">
      <c r="A6174" s="550"/>
      <c r="B6174" s="550"/>
      <c r="C6174" s="549"/>
      <c r="D6174" s="549"/>
      <c r="E6174" s="549"/>
      <c r="F6174" s="549"/>
      <c r="G6174" s="550"/>
      <c r="H6174" s="550"/>
      <c r="I6174" s="551"/>
      <c r="J6174" s="765"/>
      <c r="K6174" s="766">
        <f t="shared" ref="K6174:N6174" si="1342">SUM(K6172:K6173)</f>
        <v>59</v>
      </c>
      <c r="L6174" s="765">
        <f>SUM(L6172:L6173)</f>
        <v>9.362429999999998</v>
      </c>
      <c r="M6174" s="766">
        <f t="shared" si="1342"/>
        <v>0</v>
      </c>
      <c r="N6174" s="765">
        <f t="shared" si="1342"/>
        <v>0</v>
      </c>
      <c r="O6174" s="550"/>
      <c r="P6174" s="550"/>
      <c r="Q6174" s="1065"/>
      <c r="R6174" s="1065"/>
    </row>
    <row r="6175" spans="1:19" s="497" customFormat="1" ht="17.399999999999999">
      <c r="A6175" s="549"/>
      <c r="B6175" s="549"/>
      <c r="C6175" s="549"/>
      <c r="D6175" s="549"/>
      <c r="E6175" s="549"/>
      <c r="F6175" s="549"/>
      <c r="G6175" s="550"/>
      <c r="H6175" s="550"/>
      <c r="I6175" s="551"/>
      <c r="J6175" s="765"/>
      <c r="K6175" s="766">
        <f>+K6174+K6170</f>
        <v>155</v>
      </c>
      <c r="L6175" s="765">
        <f>+L6174+L6170</f>
        <v>23.586149999999996</v>
      </c>
      <c r="M6175" s="766">
        <f>+M6174+M6170</f>
        <v>2</v>
      </c>
      <c r="N6175" s="765">
        <f>+N6174+N6170</f>
        <v>0.22932</v>
      </c>
      <c r="O6175" s="550"/>
      <c r="P6175" s="550"/>
      <c r="Q6175" s="1065"/>
      <c r="R6175" s="1065"/>
    </row>
    <row r="6176" spans="1:19" s="497" customFormat="1" ht="17.399999999999999">
      <c r="A6176" s="549"/>
      <c r="B6176" s="549"/>
      <c r="C6176" s="549"/>
      <c r="D6176" s="549"/>
      <c r="E6176" s="549"/>
      <c r="F6176" s="549"/>
      <c r="G6176" s="550"/>
      <c r="H6176" s="550"/>
      <c r="I6176" s="551"/>
      <c r="J6176" s="765"/>
      <c r="K6176" s="766"/>
      <c r="L6176" s="765"/>
      <c r="M6176" s="550"/>
      <c r="N6176" s="550"/>
      <c r="O6176" s="550"/>
      <c r="P6176" s="550"/>
      <c r="Q6176" s="1065"/>
      <c r="R6176" s="1065"/>
    </row>
    <row r="6177" spans="1:20" ht="17.399999999999999">
      <c r="A6177" s="549"/>
      <c r="B6177" s="549"/>
      <c r="C6177" s="549"/>
      <c r="D6177" s="549"/>
      <c r="E6177" s="549"/>
      <c r="F6177" s="549"/>
      <c r="G6177" s="550"/>
      <c r="H6177" s="550"/>
      <c r="I6177" s="1865"/>
      <c r="J6177" s="550"/>
      <c r="K6177" s="772"/>
      <c r="L6177" s="548"/>
      <c r="M6177" s="550"/>
      <c r="N6177" s="550"/>
      <c r="O6177" s="550"/>
      <c r="P6177" s="550"/>
      <c r="Q6177" s="1065"/>
      <c r="R6177" s="1065"/>
    </row>
    <row r="6178" spans="1:20" s="497" customFormat="1" ht="17.399999999999999">
      <c r="A6178" s="547" t="s">
        <v>451</v>
      </c>
      <c r="B6178" s="852" t="s">
        <v>581</v>
      </c>
      <c r="C6178" s="547" t="s">
        <v>19</v>
      </c>
      <c r="D6178" s="813" t="s">
        <v>20</v>
      </c>
      <c r="E6178" s="547" t="s">
        <v>359</v>
      </c>
      <c r="F6178" s="548">
        <v>13</v>
      </c>
      <c r="G6178" s="550" t="s">
        <v>21</v>
      </c>
      <c r="H6178" s="599" t="s">
        <v>122</v>
      </c>
      <c r="I6178" s="551">
        <v>14.66</v>
      </c>
      <c r="J6178" s="765">
        <v>12</v>
      </c>
      <c r="K6178" s="766">
        <v>60</v>
      </c>
      <c r="L6178" s="552">
        <f>(I6178*J6178*K6178/1000)</f>
        <v>10.555200000000001</v>
      </c>
      <c r="M6178" s="550"/>
      <c r="N6178" s="550"/>
      <c r="O6178" s="550"/>
      <c r="P6178" s="550"/>
      <c r="Q6178" s="1065"/>
      <c r="R6178" s="1065"/>
    </row>
    <row r="6179" spans="1:20" s="497" customFormat="1" ht="17.399999999999999">
      <c r="A6179" s="549"/>
      <c r="B6179" s="549" t="s">
        <v>277</v>
      </c>
      <c r="C6179" s="549"/>
      <c r="D6179" s="549"/>
      <c r="E6179" s="549"/>
      <c r="F6179" s="549"/>
      <c r="G6179" s="550"/>
      <c r="H6179" s="550"/>
      <c r="I6179" s="551"/>
      <c r="J6179" s="765"/>
      <c r="K6179" s="766">
        <f t="shared" ref="K6179:L6179" si="1343">SUM(K6178)</f>
        <v>60</v>
      </c>
      <c r="L6179" s="765">
        <f t="shared" si="1343"/>
        <v>10.555200000000001</v>
      </c>
      <c r="M6179" s="550"/>
      <c r="N6179" s="550"/>
      <c r="O6179" s="550"/>
      <c r="P6179" s="550"/>
      <c r="Q6179" s="1065"/>
      <c r="R6179" s="1065"/>
      <c r="S6179" s="497" t="s">
        <v>608</v>
      </c>
    </row>
    <row r="6180" spans="1:20" s="497" customFormat="1" ht="17.399999999999999">
      <c r="A6180" s="549"/>
      <c r="B6180" s="549"/>
      <c r="C6180" s="549"/>
      <c r="D6180" s="549"/>
      <c r="E6180" s="549"/>
      <c r="F6180" s="549"/>
      <c r="G6180" s="550"/>
      <c r="H6180" s="550"/>
      <c r="I6180" s="551"/>
      <c r="J6180" s="765"/>
      <c r="K6180" s="766"/>
      <c r="L6180" s="765"/>
      <c r="M6180" s="550"/>
      <c r="N6180" s="550"/>
      <c r="O6180" s="550"/>
      <c r="P6180" s="550"/>
      <c r="Q6180" s="1065"/>
      <c r="R6180" s="1065"/>
    </row>
    <row r="6181" spans="1:20" ht="17.399999999999999">
      <c r="A6181" s="547" t="s">
        <v>445</v>
      </c>
      <c r="B6181" s="547" t="s">
        <v>485</v>
      </c>
      <c r="C6181" s="547" t="s">
        <v>19</v>
      </c>
      <c r="D6181" s="547" t="s">
        <v>20</v>
      </c>
      <c r="E6181" s="547" t="s">
        <v>57</v>
      </c>
      <c r="F6181" s="548">
        <v>13</v>
      </c>
      <c r="G6181" s="550" t="s">
        <v>21</v>
      </c>
      <c r="H6181" s="599" t="s">
        <v>122</v>
      </c>
      <c r="I6181" s="551">
        <v>14.7</v>
      </c>
      <c r="J6181" s="765">
        <v>8.1999999999999993</v>
      </c>
      <c r="K6181" s="766">
        <v>117</v>
      </c>
      <c r="L6181" s="552">
        <f>(I6181*J6181*K6181/1000)</f>
        <v>14.103179999999996</v>
      </c>
      <c r="M6181" s="550"/>
      <c r="N6181" s="765">
        <f t="shared" ref="N6181:N6184" si="1344">J6181*M6181*I6181/1000</f>
        <v>0</v>
      </c>
      <c r="O6181" s="550"/>
      <c r="P6181" s="550"/>
      <c r="Q6181" s="1065"/>
      <c r="R6181" s="1065"/>
      <c r="S6181" s="497"/>
    </row>
    <row r="6182" spans="1:20" ht="17.399999999999999">
      <c r="A6182" s="547"/>
      <c r="B6182" s="112" t="s">
        <v>423</v>
      </c>
      <c r="C6182" s="547"/>
      <c r="D6182" s="547"/>
      <c r="E6182" s="547"/>
      <c r="F6182" s="548"/>
      <c r="G6182" s="550" t="s">
        <v>21</v>
      </c>
      <c r="H6182" s="550" t="s">
        <v>122</v>
      </c>
      <c r="I6182" s="551">
        <v>14.7</v>
      </c>
      <c r="J6182" s="765">
        <v>8.3000000000000007</v>
      </c>
      <c r="K6182" s="766">
        <v>28</v>
      </c>
      <c r="L6182" s="552">
        <f>(I6182*J6182*K6182/1000)</f>
        <v>3.41628</v>
      </c>
      <c r="M6182" s="550">
        <f>2+3</f>
        <v>5</v>
      </c>
      <c r="N6182" s="765">
        <f t="shared" si="1344"/>
        <v>0.61004999999999998</v>
      </c>
      <c r="O6182" s="550"/>
      <c r="P6182" s="550"/>
      <c r="Q6182" s="1065"/>
      <c r="R6182" s="1065"/>
    </row>
    <row r="6183" spans="1:20" ht="17.399999999999999">
      <c r="A6183" s="549"/>
      <c r="B6183" s="549"/>
      <c r="C6183" s="549"/>
      <c r="D6183" s="549"/>
      <c r="E6183" s="549"/>
      <c r="F6183" s="549"/>
      <c r="G6183" s="550" t="s">
        <v>21</v>
      </c>
      <c r="H6183" s="550" t="s">
        <v>122</v>
      </c>
      <c r="I6183" s="551">
        <v>14.7</v>
      </c>
      <c r="J6183" s="777">
        <v>9.3000000000000007</v>
      </c>
      <c r="K6183" s="766">
        <v>3</v>
      </c>
      <c r="L6183" s="552">
        <f>(I6183*J6183*K6183/1000)</f>
        <v>0.41012999999999999</v>
      </c>
      <c r="M6183" s="550">
        <v>2</v>
      </c>
      <c r="N6183" s="765">
        <f t="shared" si="1344"/>
        <v>0.27342</v>
      </c>
      <c r="O6183" s="765">
        <v>9.1999999999999993</v>
      </c>
      <c r="P6183" s="550"/>
      <c r="Q6183" s="1065"/>
      <c r="R6183" s="1065"/>
    </row>
    <row r="6184" spans="1:20" ht="17.399999999999999">
      <c r="A6184" s="549"/>
      <c r="B6184" s="549"/>
      <c r="C6184" s="549"/>
      <c r="D6184" s="549"/>
      <c r="E6184" s="549"/>
      <c r="F6184" s="549"/>
      <c r="G6184" s="550" t="s">
        <v>21</v>
      </c>
      <c r="H6184" s="550" t="s">
        <v>122</v>
      </c>
      <c r="I6184" s="551">
        <v>14.7</v>
      </c>
      <c r="J6184" s="765">
        <v>11.5</v>
      </c>
      <c r="K6184" s="766">
        <v>10</v>
      </c>
      <c r="L6184" s="552">
        <f>(I6184*J6184*K6184/1000)</f>
        <v>1.6904999999999997</v>
      </c>
      <c r="M6184" s="550"/>
      <c r="N6184" s="765">
        <f t="shared" si="1344"/>
        <v>0</v>
      </c>
      <c r="O6184" s="550"/>
      <c r="P6184" s="550"/>
      <c r="Q6184" s="1065"/>
      <c r="R6184" s="1065"/>
    </row>
    <row r="6185" spans="1:20" ht="17.399999999999999">
      <c r="A6185" s="549"/>
      <c r="B6185" s="549"/>
      <c r="C6185" s="549"/>
      <c r="D6185" s="549"/>
      <c r="E6185" s="549"/>
      <c r="F6185" s="549"/>
      <c r="G6185" s="550"/>
      <c r="H6185" s="550"/>
      <c r="I6185" s="551"/>
      <c r="J6185" s="765"/>
      <c r="K6185" s="766">
        <f>SUM(K6181:K6184)</f>
        <v>158</v>
      </c>
      <c r="L6185" s="765">
        <f>SUM(L6181:L6184)</f>
        <v>19.620089999999994</v>
      </c>
      <c r="M6185" s="766">
        <f>SUM(M6181:M6184)</f>
        <v>7</v>
      </c>
      <c r="N6185" s="765">
        <f t="shared" ref="N6185" si="1345">SUM(N6181:N6184)</f>
        <v>0.88346999999999998</v>
      </c>
      <c r="O6185" s="550"/>
      <c r="P6185" s="550"/>
      <c r="Q6185" s="1065"/>
      <c r="R6185" s="1065"/>
      <c r="S6185" s="497" t="s">
        <v>608</v>
      </c>
    </row>
    <row r="6186" spans="1:20" s="497" customFormat="1" ht="17.399999999999999">
      <c r="A6186" s="549"/>
      <c r="B6186" s="549"/>
      <c r="C6186" s="549"/>
      <c r="D6186" s="549"/>
      <c r="E6186" s="549"/>
      <c r="F6186" s="549"/>
      <c r="G6186" s="550"/>
      <c r="H6186" s="550"/>
      <c r="I6186" s="551"/>
      <c r="J6186" s="765"/>
      <c r="K6186" s="766"/>
      <c r="L6186" s="765"/>
      <c r="M6186" s="550"/>
      <c r="N6186" s="550"/>
      <c r="O6186" s="550"/>
      <c r="P6186" s="550"/>
      <c r="Q6186" s="1065"/>
      <c r="R6186" s="1065"/>
    </row>
    <row r="6187" spans="1:20" ht="17.399999999999999">
      <c r="A6187" s="547" t="s">
        <v>541</v>
      </c>
      <c r="B6187" s="979" t="s">
        <v>559</v>
      </c>
      <c r="C6187" s="547" t="s">
        <v>19</v>
      </c>
      <c r="D6187" s="547" t="s">
        <v>20</v>
      </c>
      <c r="E6187" s="547" t="s">
        <v>57</v>
      </c>
      <c r="F6187" s="548">
        <v>13</v>
      </c>
      <c r="G6187" s="779" t="s">
        <v>21</v>
      </c>
      <c r="H6187" s="900" t="s">
        <v>122</v>
      </c>
      <c r="I6187" s="937">
        <v>14.7</v>
      </c>
      <c r="J6187" s="777">
        <v>8.1999999999999993</v>
      </c>
      <c r="K6187" s="778">
        <v>9</v>
      </c>
      <c r="L6187" s="552">
        <f>(I6187*J6187*K6187/1000)</f>
        <v>1.0848599999999999</v>
      </c>
      <c r="M6187" s="550">
        <f>4+3</f>
        <v>7</v>
      </c>
      <c r="N6187" s="765">
        <f t="shared" ref="N6187" si="1346">J6187*M6187*I6187/1000</f>
        <v>0.84377999999999986</v>
      </c>
      <c r="O6187" s="777">
        <v>7.5</v>
      </c>
      <c r="P6187" s="550"/>
      <c r="Q6187" s="1065"/>
      <c r="R6187" s="1065"/>
      <c r="S6187" s="497" t="s">
        <v>608</v>
      </c>
    </row>
    <row r="6188" spans="1:20" ht="17.399999999999999">
      <c r="A6188" s="547"/>
      <c r="B6188" s="549" t="s">
        <v>564</v>
      </c>
      <c r="C6188" s="547"/>
      <c r="D6188" s="547"/>
      <c r="E6188" s="547"/>
      <c r="F6188" s="549"/>
      <c r="G6188" s="779"/>
      <c r="H6188" s="768"/>
      <c r="I6188" s="1893"/>
      <c r="J6188" s="916"/>
      <c r="K6188" s="778">
        <f t="shared" ref="K6188:N6188" si="1347">SUM(K6187)</f>
        <v>9</v>
      </c>
      <c r="L6188" s="777">
        <f t="shared" si="1347"/>
        <v>1.0848599999999999</v>
      </c>
      <c r="M6188" s="778">
        <f t="shared" si="1347"/>
        <v>7</v>
      </c>
      <c r="N6188" s="777">
        <f t="shared" si="1347"/>
        <v>0.84377999999999986</v>
      </c>
      <c r="O6188" s="550"/>
      <c r="P6188" s="550"/>
      <c r="Q6188" s="1065"/>
      <c r="R6188" s="1065"/>
    </row>
    <row r="6189" spans="1:20" s="497" customFormat="1" ht="17.399999999999999">
      <c r="A6189" s="547"/>
      <c r="B6189" s="549"/>
      <c r="C6189" s="547"/>
      <c r="D6189" s="547"/>
      <c r="E6189" s="547"/>
      <c r="F6189" s="549"/>
      <c r="G6189" s="779"/>
      <c r="H6189" s="768"/>
      <c r="I6189" s="1893"/>
      <c r="J6189" s="916"/>
      <c r="K6189" s="778"/>
      <c r="L6189" s="777"/>
      <c r="M6189" s="550"/>
      <c r="N6189" s="550"/>
      <c r="O6189" s="550"/>
      <c r="P6189" s="550"/>
      <c r="Q6189" s="1065"/>
      <c r="R6189" s="1065"/>
      <c r="T6189" s="497" t="s">
        <v>614</v>
      </c>
    </row>
    <row r="6190" spans="1:20" s="497" customFormat="1" ht="17.399999999999999">
      <c r="A6190" s="547" t="s">
        <v>361</v>
      </c>
      <c r="B6190" s="989" t="s">
        <v>584</v>
      </c>
      <c r="C6190" s="547" t="s">
        <v>19</v>
      </c>
      <c r="D6190" s="813" t="s">
        <v>20</v>
      </c>
      <c r="E6190" s="547" t="s">
        <v>47</v>
      </c>
      <c r="F6190" s="548">
        <v>13</v>
      </c>
      <c r="G6190" s="550" t="s">
        <v>21</v>
      </c>
      <c r="H6190" s="900" t="s">
        <v>122</v>
      </c>
      <c r="I6190" s="937">
        <v>14.7</v>
      </c>
      <c r="J6190" s="777">
        <v>9</v>
      </c>
      <c r="K6190" s="778">
        <f>32+32</f>
        <v>64</v>
      </c>
      <c r="L6190" s="552">
        <f t="shared" ref="L6190:L6195" si="1348">(I6190*J6190*K6190/1000)</f>
        <v>8.4671999999999983</v>
      </c>
      <c r="M6190" s="765"/>
      <c r="N6190" s="550"/>
      <c r="O6190" s="550"/>
      <c r="P6190" s="550"/>
      <c r="Q6190" s="1065"/>
      <c r="R6190" s="1065"/>
      <c r="S6190" s="497">
        <v>32</v>
      </c>
      <c r="T6190" s="991">
        <v>32</v>
      </c>
    </row>
    <row r="6191" spans="1:20" s="497" customFormat="1" ht="17.399999999999999">
      <c r="A6191" s="549"/>
      <c r="B6191" s="990" t="s">
        <v>585</v>
      </c>
      <c r="C6191" s="549"/>
      <c r="D6191" s="549"/>
      <c r="E6191" s="549"/>
      <c r="F6191" s="549"/>
      <c r="G6191" s="550" t="s">
        <v>21</v>
      </c>
      <c r="H6191" s="779" t="s">
        <v>122</v>
      </c>
      <c r="I6191" s="937">
        <v>14.7</v>
      </c>
      <c r="J6191" s="777">
        <v>9.3000000000000007</v>
      </c>
      <c r="K6191" s="778">
        <f>8+16</f>
        <v>24</v>
      </c>
      <c r="L6191" s="552">
        <f t="shared" si="1348"/>
        <v>3.28104</v>
      </c>
      <c r="M6191" s="765"/>
      <c r="N6191" s="550"/>
      <c r="O6191" s="550"/>
      <c r="P6191" s="550"/>
      <c r="Q6191" s="1065"/>
      <c r="R6191" s="1065"/>
      <c r="S6191" s="497">
        <v>16</v>
      </c>
      <c r="T6191" s="991">
        <v>8</v>
      </c>
    </row>
    <row r="6192" spans="1:20" s="497" customFormat="1" ht="17.399999999999999">
      <c r="A6192" s="549"/>
      <c r="B6192" s="549"/>
      <c r="C6192" s="549"/>
      <c r="D6192" s="549"/>
      <c r="E6192" s="549"/>
      <c r="F6192" s="549"/>
      <c r="G6192" s="550" t="s">
        <v>21</v>
      </c>
      <c r="H6192" s="779" t="s">
        <v>122</v>
      </c>
      <c r="I6192" s="937">
        <v>14.7</v>
      </c>
      <c r="J6192" s="777">
        <v>11</v>
      </c>
      <c r="K6192" s="778">
        <f>4+8</f>
        <v>12</v>
      </c>
      <c r="L6192" s="552">
        <f t="shared" si="1348"/>
        <v>1.9403999999999999</v>
      </c>
      <c r="M6192" s="765"/>
      <c r="N6192" s="550"/>
      <c r="O6192" s="777">
        <v>10.3</v>
      </c>
      <c r="P6192" s="550"/>
      <c r="Q6192" s="1065"/>
      <c r="R6192" s="1065"/>
      <c r="S6192" s="497">
        <v>8</v>
      </c>
      <c r="T6192" s="991">
        <v>4</v>
      </c>
    </row>
    <row r="6193" spans="1:22" s="497" customFormat="1" ht="17.399999999999999">
      <c r="A6193" s="549"/>
      <c r="B6193" s="549"/>
      <c r="C6193" s="549"/>
      <c r="D6193" s="549"/>
      <c r="E6193" s="549"/>
      <c r="F6193" s="549"/>
      <c r="G6193" s="550" t="s">
        <v>21</v>
      </c>
      <c r="H6193" s="779" t="s">
        <v>122</v>
      </c>
      <c r="I6193" s="937">
        <v>14.7</v>
      </c>
      <c r="J6193" s="777">
        <v>11</v>
      </c>
      <c r="K6193" s="778">
        <f>8+28</f>
        <v>36</v>
      </c>
      <c r="L6193" s="552">
        <f t="shared" si="1348"/>
        <v>5.8212000000000002</v>
      </c>
      <c r="M6193" s="766">
        <v>1</v>
      </c>
      <c r="N6193" s="765">
        <f>J6193*M6193*I6193/1000</f>
        <v>0.16169999999999998</v>
      </c>
      <c r="O6193" s="550"/>
      <c r="P6193" s="550"/>
      <c r="Q6193" s="1065"/>
      <c r="R6193" s="1065"/>
      <c r="S6193" s="497">
        <v>28</v>
      </c>
      <c r="T6193" s="991">
        <v>8</v>
      </c>
    </row>
    <row r="6194" spans="1:22" s="497" customFormat="1" ht="17.399999999999999">
      <c r="A6194" s="549"/>
      <c r="B6194" s="549"/>
      <c r="C6194" s="549"/>
      <c r="D6194" s="549"/>
      <c r="E6194" s="549"/>
      <c r="F6194" s="549"/>
      <c r="G6194" s="550" t="s">
        <v>21</v>
      </c>
      <c r="H6194" s="779" t="s">
        <v>122</v>
      </c>
      <c r="I6194" s="937">
        <v>14.7</v>
      </c>
      <c r="J6194" s="777">
        <v>11.35</v>
      </c>
      <c r="K6194" s="778">
        <v>16</v>
      </c>
      <c r="L6194" s="552">
        <f t="shared" si="1348"/>
        <v>2.6695199999999999</v>
      </c>
      <c r="M6194" s="766">
        <v>1</v>
      </c>
      <c r="N6194" s="765">
        <f>J6194*M6194*I6194/1000</f>
        <v>0.16684499999999999</v>
      </c>
      <c r="O6194" s="550"/>
      <c r="P6194" s="550"/>
      <c r="Q6194" s="1065"/>
      <c r="R6194" s="1065"/>
      <c r="T6194" s="991">
        <v>16</v>
      </c>
    </row>
    <row r="6195" spans="1:22" s="497" customFormat="1" ht="17.399999999999999">
      <c r="A6195" s="549"/>
      <c r="B6195" s="549"/>
      <c r="C6195" s="549"/>
      <c r="D6195" s="549"/>
      <c r="E6195" s="549"/>
      <c r="F6195" s="549"/>
      <c r="G6195" s="550" t="s">
        <v>21</v>
      </c>
      <c r="H6195" s="779" t="s">
        <v>122</v>
      </c>
      <c r="I6195" s="937">
        <v>14.7</v>
      </c>
      <c r="J6195" s="777">
        <v>11.7</v>
      </c>
      <c r="K6195" s="778">
        <f>50+56</f>
        <v>106</v>
      </c>
      <c r="L6195" s="552">
        <f t="shared" si="1348"/>
        <v>18.23094</v>
      </c>
      <c r="M6195" s="765"/>
      <c r="N6195" s="550"/>
      <c r="O6195" s="550"/>
      <c r="P6195" s="550"/>
      <c r="Q6195" s="1065"/>
      <c r="R6195" s="1065"/>
      <c r="S6195" s="497">
        <v>56</v>
      </c>
      <c r="T6195" s="991">
        <v>50</v>
      </c>
      <c r="U6195" s="497" t="s">
        <v>617</v>
      </c>
    </row>
    <row r="6196" spans="1:22" s="497" customFormat="1" ht="17.399999999999999">
      <c r="A6196" s="549"/>
      <c r="B6196" s="549"/>
      <c r="C6196" s="549"/>
      <c r="D6196" s="549"/>
      <c r="E6196" s="549"/>
      <c r="F6196" s="549"/>
      <c r="G6196" s="779"/>
      <c r="H6196" s="779"/>
      <c r="I6196" s="1895"/>
      <c r="J6196" s="935"/>
      <c r="K6196" s="778">
        <f>SUM(K6190:K6195)</f>
        <v>258</v>
      </c>
      <c r="L6196" s="777">
        <f>SUM(L6190:L6195)</f>
        <v>40.410299999999999</v>
      </c>
      <c r="M6196" s="933">
        <f>SUM(M6190:M6195)</f>
        <v>2</v>
      </c>
      <c r="N6196" s="777">
        <f>SUM(N6190:N6195)</f>
        <v>0.32854499999999998</v>
      </c>
      <c r="O6196" s="550"/>
      <c r="P6196" s="550"/>
      <c r="Q6196" s="1065"/>
      <c r="R6196" s="1065"/>
      <c r="T6196" s="752">
        <f>SUM(T6190:T6195)</f>
        <v>118</v>
      </c>
      <c r="U6196" s="759" t="s">
        <v>615</v>
      </c>
      <c r="V6196" s="759"/>
    </row>
    <row r="6197" spans="1:22" s="497" customFormat="1" ht="17.399999999999999">
      <c r="A6197" s="547"/>
      <c r="B6197" s="549"/>
      <c r="C6197" s="547"/>
      <c r="D6197" s="547"/>
      <c r="E6197" s="547"/>
      <c r="F6197" s="549"/>
      <c r="G6197" s="779"/>
      <c r="H6197" s="768"/>
      <c r="I6197" s="1893"/>
      <c r="J6197" s="916"/>
      <c r="K6197" s="933">
        <f>SUM(K6178:K6196)/2</f>
        <v>485</v>
      </c>
      <c r="L6197" s="777">
        <f>SUM(L6178:L6196)/2</f>
        <v>71.670450000000002</v>
      </c>
      <c r="M6197" s="933">
        <f>SUM(M6178:M6196)/2</f>
        <v>16</v>
      </c>
      <c r="N6197" s="777">
        <f>SUM(N6178:N6196)/2</f>
        <v>2.0557949999999998</v>
      </c>
      <c r="O6197" s="550"/>
      <c r="P6197" s="550"/>
      <c r="Q6197" s="1065"/>
      <c r="R6197" s="1065"/>
    </row>
    <row r="6198" spans="1:22" s="497" customFormat="1" ht="17.399999999999999">
      <c r="A6198" s="547"/>
      <c r="B6198" s="549"/>
      <c r="C6198" s="547"/>
      <c r="D6198" s="547"/>
      <c r="E6198" s="547"/>
      <c r="F6198" s="549"/>
      <c r="G6198" s="779"/>
      <c r="H6198" s="768"/>
      <c r="I6198" s="1893"/>
      <c r="J6198" s="916"/>
      <c r="K6198" s="778"/>
      <c r="L6198" s="777"/>
      <c r="M6198" s="550"/>
      <c r="N6198" s="550"/>
      <c r="O6198" s="550"/>
      <c r="P6198" s="550"/>
      <c r="Q6198" s="1065"/>
      <c r="R6198" s="1065"/>
    </row>
    <row r="6199" spans="1:22" ht="17.399999999999999">
      <c r="A6199" s="549"/>
      <c r="B6199" s="549"/>
      <c r="C6199" s="549"/>
      <c r="D6199" s="549"/>
      <c r="E6199" s="549"/>
      <c r="F6199" s="549"/>
      <c r="G6199" s="550"/>
      <c r="H6199" s="550"/>
      <c r="I6199" s="1865"/>
      <c r="J6199" s="550"/>
      <c r="K6199" s="772"/>
      <c r="L6199" s="548"/>
      <c r="M6199" s="550"/>
      <c r="N6199" s="550"/>
      <c r="O6199" s="550"/>
      <c r="P6199" s="550"/>
      <c r="Q6199" s="1065"/>
      <c r="R6199" s="1065"/>
    </row>
    <row r="6200" spans="1:22" ht="17.399999999999999">
      <c r="A6200" s="547" t="s">
        <v>541</v>
      </c>
      <c r="B6200" s="979" t="s">
        <v>559</v>
      </c>
      <c r="C6200" s="547" t="s">
        <v>19</v>
      </c>
      <c r="D6200" s="547" t="s">
        <v>60</v>
      </c>
      <c r="E6200" s="547" t="s">
        <v>62</v>
      </c>
      <c r="F6200" s="548">
        <v>13</v>
      </c>
      <c r="G6200" s="779" t="s">
        <v>61</v>
      </c>
      <c r="H6200" s="900" t="s">
        <v>122</v>
      </c>
      <c r="I6200" s="937">
        <v>14.7</v>
      </c>
      <c r="J6200" s="777">
        <v>7.2</v>
      </c>
      <c r="K6200" s="778">
        <v>4</v>
      </c>
      <c r="L6200" s="552">
        <f t="shared" ref="L6200:L6211" si="1349">(I6200*J6200*K6200/1000)</f>
        <v>0.42336000000000001</v>
      </c>
      <c r="M6200" s="550"/>
      <c r="N6200" s="550"/>
      <c r="O6200" s="777">
        <v>6.1</v>
      </c>
      <c r="P6200" s="550"/>
      <c r="Q6200" s="1065"/>
      <c r="R6200" s="1065"/>
      <c r="S6200" s="497"/>
    </row>
    <row r="6201" spans="1:22" ht="17.399999999999999">
      <c r="A6201" s="547"/>
      <c r="B6201" s="549" t="s">
        <v>564</v>
      </c>
      <c r="C6201" s="547"/>
      <c r="D6201" s="547"/>
      <c r="E6201" s="547"/>
      <c r="F6201" s="549"/>
      <c r="G6201" s="779" t="s">
        <v>61</v>
      </c>
      <c r="H6201" s="779" t="s">
        <v>122</v>
      </c>
      <c r="I6201" s="937">
        <v>14.7</v>
      </c>
      <c r="J6201" s="777">
        <v>7.2</v>
      </c>
      <c r="K6201" s="778">
        <v>4</v>
      </c>
      <c r="L6201" s="552">
        <f t="shared" si="1349"/>
        <v>0.42336000000000001</v>
      </c>
      <c r="M6201" s="550"/>
      <c r="N6201" s="550"/>
      <c r="O6201" s="777">
        <v>7</v>
      </c>
      <c r="P6201" s="550"/>
      <c r="Q6201" s="1065"/>
      <c r="R6201" s="1065"/>
    </row>
    <row r="6202" spans="1:22" ht="17.399999999999999">
      <c r="A6202" s="549"/>
      <c r="B6202" s="549"/>
      <c r="C6202" s="549"/>
      <c r="D6202" s="549"/>
      <c r="E6202" s="549"/>
      <c r="F6202" s="549"/>
      <c r="G6202" s="779" t="s">
        <v>61</v>
      </c>
      <c r="H6202" s="779" t="s">
        <v>122</v>
      </c>
      <c r="I6202" s="937">
        <v>14.7</v>
      </c>
      <c r="J6202" s="777">
        <v>7.2</v>
      </c>
      <c r="K6202" s="778">
        <v>8</v>
      </c>
      <c r="L6202" s="552">
        <f t="shared" si="1349"/>
        <v>0.84672000000000003</v>
      </c>
      <c r="M6202" s="550"/>
      <c r="N6202" s="550"/>
      <c r="O6202" s="550"/>
      <c r="P6202" s="550"/>
      <c r="Q6202" s="1065"/>
      <c r="R6202" s="1065"/>
    </row>
    <row r="6203" spans="1:22" ht="17.399999999999999">
      <c r="A6203" s="549"/>
      <c r="B6203" s="549"/>
      <c r="C6203" s="549"/>
      <c r="D6203" s="549"/>
      <c r="E6203" s="549"/>
      <c r="F6203" s="549"/>
      <c r="G6203" s="779" t="s">
        <v>61</v>
      </c>
      <c r="H6203" s="779" t="s">
        <v>122</v>
      </c>
      <c r="I6203" s="937">
        <v>14.7</v>
      </c>
      <c r="J6203" s="777">
        <v>7.7</v>
      </c>
      <c r="K6203" s="778">
        <v>4</v>
      </c>
      <c r="L6203" s="552">
        <f t="shared" si="1349"/>
        <v>0.45276</v>
      </c>
      <c r="M6203" s="550"/>
      <c r="N6203" s="550"/>
      <c r="O6203" s="777">
        <v>7.4</v>
      </c>
      <c r="P6203" s="550"/>
      <c r="Q6203" s="1065"/>
      <c r="R6203" s="1065"/>
    </row>
    <row r="6204" spans="1:22" ht="17.399999999999999">
      <c r="A6204" s="549"/>
      <c r="B6204" s="549"/>
      <c r="C6204" s="549"/>
      <c r="D6204" s="549"/>
      <c r="E6204" s="549"/>
      <c r="F6204" s="549"/>
      <c r="G6204" s="779" t="s">
        <v>61</v>
      </c>
      <c r="H6204" s="779" t="s">
        <v>122</v>
      </c>
      <c r="I6204" s="937">
        <v>14.7</v>
      </c>
      <c r="J6204" s="777">
        <v>7.7</v>
      </c>
      <c r="K6204" s="778">
        <v>8</v>
      </c>
      <c r="L6204" s="552">
        <f t="shared" si="1349"/>
        <v>0.90551999999999999</v>
      </c>
      <c r="M6204" s="550"/>
      <c r="N6204" s="550"/>
      <c r="O6204" s="550"/>
      <c r="P6204" s="550"/>
      <c r="Q6204" s="1065"/>
      <c r="R6204" s="1065"/>
    </row>
    <row r="6205" spans="1:22" ht="17.399999999999999">
      <c r="A6205" s="549"/>
      <c r="B6205" s="549"/>
      <c r="C6205" s="549"/>
      <c r="D6205" s="549"/>
      <c r="E6205" s="549"/>
      <c r="F6205" s="549"/>
      <c r="G6205" s="779" t="s">
        <v>61</v>
      </c>
      <c r="H6205" s="779" t="s">
        <v>122</v>
      </c>
      <c r="I6205" s="937">
        <v>14.7</v>
      </c>
      <c r="J6205" s="777">
        <v>8.5</v>
      </c>
      <c r="K6205" s="778">
        <v>8</v>
      </c>
      <c r="L6205" s="552">
        <f t="shared" si="1349"/>
        <v>0.99959999999999993</v>
      </c>
      <c r="M6205" s="550"/>
      <c r="N6205" s="550"/>
      <c r="O6205" s="550"/>
      <c r="P6205" s="550"/>
      <c r="Q6205" s="1065"/>
      <c r="R6205" s="1065"/>
    </row>
    <row r="6206" spans="1:22" ht="17.399999999999999">
      <c r="A6206" s="549"/>
      <c r="B6206" s="549"/>
      <c r="C6206" s="549"/>
      <c r="D6206" s="549"/>
      <c r="E6206" s="549"/>
      <c r="F6206" s="549"/>
      <c r="G6206" s="779" t="s">
        <v>61</v>
      </c>
      <c r="H6206" s="779" t="s">
        <v>122</v>
      </c>
      <c r="I6206" s="937">
        <v>14.7</v>
      </c>
      <c r="J6206" s="777">
        <v>9</v>
      </c>
      <c r="K6206" s="778">
        <v>52</v>
      </c>
      <c r="L6206" s="552">
        <f t="shared" si="1349"/>
        <v>6.879599999999999</v>
      </c>
      <c r="M6206" s="550"/>
      <c r="N6206" s="550"/>
      <c r="O6206" s="550"/>
      <c r="P6206" s="550"/>
      <c r="Q6206" s="1065"/>
      <c r="R6206" s="1065"/>
    </row>
    <row r="6207" spans="1:22" ht="17.399999999999999">
      <c r="A6207" s="549"/>
      <c r="B6207" s="549"/>
      <c r="C6207" s="549"/>
      <c r="D6207" s="549"/>
      <c r="E6207" s="549"/>
      <c r="F6207" s="549"/>
      <c r="G6207" s="779" t="s">
        <v>61</v>
      </c>
      <c r="H6207" s="779" t="s">
        <v>122</v>
      </c>
      <c r="I6207" s="937">
        <v>14.7</v>
      </c>
      <c r="J6207" s="777">
        <v>9.4</v>
      </c>
      <c r="K6207" s="778">
        <v>32</v>
      </c>
      <c r="L6207" s="552">
        <f t="shared" si="1349"/>
        <v>4.4217599999999999</v>
      </c>
      <c r="M6207" s="550"/>
      <c r="N6207" s="550"/>
      <c r="O6207" s="550"/>
      <c r="P6207" s="550"/>
      <c r="Q6207" s="1065"/>
      <c r="R6207" s="1065"/>
    </row>
    <row r="6208" spans="1:22" ht="17.399999999999999">
      <c r="A6208" s="549"/>
      <c r="B6208" s="549"/>
      <c r="C6208" s="549"/>
      <c r="D6208" s="549"/>
      <c r="E6208" s="549"/>
      <c r="F6208" s="549"/>
      <c r="G6208" s="779" t="s">
        <v>61</v>
      </c>
      <c r="H6208" s="779" t="s">
        <v>122</v>
      </c>
      <c r="I6208" s="937">
        <v>14.7</v>
      </c>
      <c r="J6208" s="777">
        <v>9.6</v>
      </c>
      <c r="K6208" s="778">
        <v>8</v>
      </c>
      <c r="L6208" s="552">
        <f t="shared" si="1349"/>
        <v>1.1289599999999997</v>
      </c>
      <c r="M6208" s="550"/>
      <c r="N6208" s="550"/>
      <c r="O6208" s="550"/>
      <c r="P6208" s="550"/>
      <c r="Q6208" s="1065"/>
      <c r="R6208" s="1065"/>
    </row>
    <row r="6209" spans="1:19" ht="17.399999999999999">
      <c r="A6209" s="549"/>
      <c r="B6209" s="549"/>
      <c r="C6209" s="549"/>
      <c r="D6209" s="549"/>
      <c r="E6209" s="549"/>
      <c r="F6209" s="549"/>
      <c r="G6209" s="779" t="s">
        <v>61</v>
      </c>
      <c r="H6209" s="779" t="s">
        <v>122</v>
      </c>
      <c r="I6209" s="937">
        <v>14.7</v>
      </c>
      <c r="J6209" s="777">
        <v>10.8</v>
      </c>
      <c r="K6209" s="778">
        <v>8</v>
      </c>
      <c r="L6209" s="552">
        <f t="shared" si="1349"/>
        <v>1.2700799999999999</v>
      </c>
      <c r="M6209" s="550"/>
      <c r="N6209" s="550"/>
      <c r="O6209" s="777">
        <v>10.7</v>
      </c>
      <c r="P6209" s="550"/>
      <c r="Q6209" s="1065"/>
      <c r="R6209" s="1065"/>
    </row>
    <row r="6210" spans="1:19" ht="17.399999999999999">
      <c r="A6210" s="549"/>
      <c r="B6210" s="549"/>
      <c r="C6210" s="549"/>
      <c r="D6210" s="549"/>
      <c r="E6210" s="549"/>
      <c r="F6210" s="549"/>
      <c r="G6210" s="779" t="s">
        <v>61</v>
      </c>
      <c r="H6210" s="779" t="s">
        <v>122</v>
      </c>
      <c r="I6210" s="937">
        <v>14.7</v>
      </c>
      <c r="J6210" s="777">
        <v>10.8</v>
      </c>
      <c r="K6210" s="778">
        <v>8</v>
      </c>
      <c r="L6210" s="552">
        <f t="shared" si="1349"/>
        <v>1.2700799999999999</v>
      </c>
      <c r="M6210" s="550"/>
      <c r="N6210" s="550"/>
      <c r="O6210" s="550"/>
      <c r="P6210" s="550"/>
      <c r="Q6210" s="1065"/>
      <c r="R6210" s="1065"/>
    </row>
    <row r="6211" spans="1:19" ht="17.399999999999999">
      <c r="A6211" s="549"/>
      <c r="B6211" s="549"/>
      <c r="C6211" s="549"/>
      <c r="D6211" s="549"/>
      <c r="E6211" s="549"/>
      <c r="F6211" s="549"/>
      <c r="G6211" s="779" t="s">
        <v>61</v>
      </c>
      <c r="H6211" s="779" t="s">
        <v>122</v>
      </c>
      <c r="I6211" s="937">
        <v>14.7</v>
      </c>
      <c r="J6211" s="777">
        <v>11.3</v>
      </c>
      <c r="K6211" s="778">
        <v>24</v>
      </c>
      <c r="L6211" s="552">
        <f t="shared" si="1349"/>
        <v>3.9866400000000004</v>
      </c>
      <c r="M6211" s="550"/>
      <c r="N6211" s="550"/>
      <c r="O6211" s="550"/>
      <c r="P6211" s="550"/>
      <c r="Q6211" s="1065"/>
      <c r="R6211" s="1065"/>
    </row>
    <row r="6212" spans="1:19" ht="17.399999999999999">
      <c r="A6212" s="549"/>
      <c r="B6212" s="549"/>
      <c r="C6212" s="549"/>
      <c r="D6212" s="549"/>
      <c r="E6212" s="549"/>
      <c r="F6212" s="549"/>
      <c r="G6212" s="779"/>
      <c r="H6212" s="768"/>
      <c r="I6212" s="1893"/>
      <c r="J6212" s="916"/>
      <c r="K6212" s="778">
        <f>SUM(K6200:K6211)</f>
        <v>168</v>
      </c>
      <c r="L6212" s="777">
        <f>SUM(L6200:L6211)</f>
        <v>23.00844</v>
      </c>
      <c r="M6212" s="550"/>
      <c r="N6212" s="550"/>
      <c r="O6212" s="550"/>
      <c r="P6212" s="550"/>
      <c r="Q6212" s="1065"/>
      <c r="R6212" s="1065"/>
      <c r="S6212" s="497" t="s">
        <v>608</v>
      </c>
    </row>
    <row r="6213" spans="1:19" s="497" customFormat="1" ht="17.399999999999999">
      <c r="A6213" s="549"/>
      <c r="B6213" s="549"/>
      <c r="C6213" s="549"/>
      <c r="D6213" s="549"/>
      <c r="E6213" s="549"/>
      <c r="F6213" s="549"/>
      <c r="G6213" s="779"/>
      <c r="H6213" s="768"/>
      <c r="I6213" s="1893"/>
      <c r="J6213" s="916"/>
      <c r="K6213" s="778"/>
      <c r="L6213" s="777"/>
      <c r="M6213" s="550"/>
      <c r="N6213" s="550"/>
      <c r="O6213" s="550"/>
      <c r="P6213" s="550"/>
      <c r="Q6213" s="1065"/>
      <c r="R6213" s="1065"/>
    </row>
    <row r="6214" spans="1:19" s="497" customFormat="1" ht="17.399999999999999">
      <c r="A6214" s="549"/>
      <c r="B6214" s="549"/>
      <c r="C6214" s="549"/>
      <c r="D6214" s="549"/>
      <c r="E6214" s="549"/>
      <c r="F6214" s="549"/>
      <c r="G6214" s="779"/>
      <c r="H6214" s="768"/>
      <c r="I6214" s="1893"/>
      <c r="J6214" s="916"/>
      <c r="K6214" s="778"/>
      <c r="L6214" s="777"/>
      <c r="M6214" s="550"/>
      <c r="N6214" s="550"/>
      <c r="O6214" s="550"/>
      <c r="P6214" s="550"/>
      <c r="Q6214" s="1065"/>
      <c r="R6214" s="1065"/>
    </row>
    <row r="6215" spans="1:19" s="497" customFormat="1" ht="17.399999999999999">
      <c r="A6215" s="549"/>
      <c r="B6215" s="549"/>
      <c r="C6215" s="549"/>
      <c r="D6215" s="549"/>
      <c r="E6215" s="549"/>
      <c r="F6215" s="549"/>
      <c r="G6215" s="779"/>
      <c r="H6215" s="768"/>
      <c r="I6215" s="1893"/>
      <c r="J6215" s="916"/>
      <c r="K6215" s="778"/>
      <c r="L6215" s="777"/>
      <c r="M6215" s="550"/>
      <c r="N6215" s="550"/>
      <c r="O6215" s="550"/>
      <c r="P6215" s="550"/>
      <c r="Q6215" s="1065"/>
      <c r="R6215" s="1065"/>
    </row>
    <row r="6216" spans="1:19" s="497" customFormat="1" ht="17.399999999999999">
      <c r="A6216" s="547" t="s">
        <v>451</v>
      </c>
      <c r="B6216" s="547" t="s">
        <v>578</v>
      </c>
      <c r="C6216" s="547" t="s">
        <v>446</v>
      </c>
      <c r="D6216" s="813" t="s">
        <v>447</v>
      </c>
      <c r="E6216" s="547" t="s">
        <v>359</v>
      </c>
      <c r="F6216" s="548">
        <v>13</v>
      </c>
      <c r="G6216" s="550" t="s">
        <v>21</v>
      </c>
      <c r="H6216" s="599" t="s">
        <v>120</v>
      </c>
      <c r="I6216" s="1893">
        <v>18.149999999999999</v>
      </c>
      <c r="J6216" s="765">
        <v>8.75</v>
      </c>
      <c r="K6216" s="766">
        <v>32</v>
      </c>
      <c r="L6216" s="552">
        <f>(I6216*J6216*K6216/1000)</f>
        <v>5.0819999999999999</v>
      </c>
      <c r="M6216" s="550"/>
      <c r="N6216" s="550"/>
      <c r="O6216" s="550"/>
      <c r="P6216" s="550"/>
      <c r="Q6216" s="1065"/>
      <c r="R6216" s="1065"/>
    </row>
    <row r="6217" spans="1:19" s="497" customFormat="1" ht="17.399999999999999">
      <c r="A6217" s="549"/>
      <c r="B6217" s="549"/>
      <c r="C6217" s="549"/>
      <c r="D6217" s="549"/>
      <c r="E6217" s="549"/>
      <c r="F6217" s="549"/>
      <c r="G6217" s="779"/>
      <c r="H6217" s="768"/>
      <c r="I6217" s="1893"/>
      <c r="J6217" s="916"/>
      <c r="K6217" s="933">
        <f t="shared" ref="K6217" si="1350">SUM(K6216)</f>
        <v>32</v>
      </c>
      <c r="L6217" s="777">
        <f>SUM(L6216)</f>
        <v>5.0819999999999999</v>
      </c>
      <c r="M6217" s="550"/>
      <c r="N6217" s="550"/>
      <c r="O6217" s="550"/>
      <c r="P6217" s="550"/>
      <c r="Q6217" s="1065"/>
      <c r="R6217" s="1065"/>
    </row>
    <row r="6218" spans="1:19" s="497" customFormat="1" ht="17.399999999999999">
      <c r="A6218" s="549"/>
      <c r="B6218" s="549"/>
      <c r="C6218" s="549"/>
      <c r="D6218" s="549"/>
      <c r="E6218" s="549"/>
      <c r="F6218" s="549"/>
      <c r="G6218" s="779"/>
      <c r="H6218" s="768"/>
      <c r="I6218" s="1893"/>
      <c r="J6218" s="916"/>
      <c r="K6218" s="778"/>
      <c r="L6218" s="777"/>
      <c r="M6218" s="550"/>
      <c r="N6218" s="550"/>
      <c r="O6218" s="550"/>
      <c r="P6218" s="550"/>
      <c r="Q6218" s="1065"/>
      <c r="R6218" s="1065"/>
    </row>
    <row r="6219" spans="1:19" s="497" customFormat="1" ht="17.399999999999999">
      <c r="A6219" s="547" t="s">
        <v>83</v>
      </c>
      <c r="B6219" s="547" t="s">
        <v>579</v>
      </c>
      <c r="C6219" s="547" t="s">
        <v>446</v>
      </c>
      <c r="D6219" s="813" t="s">
        <v>447</v>
      </c>
      <c r="E6219" s="547" t="s">
        <v>359</v>
      </c>
      <c r="F6219" s="548">
        <v>13</v>
      </c>
      <c r="G6219" s="550" t="s">
        <v>21</v>
      </c>
      <c r="H6219" s="599" t="s">
        <v>120</v>
      </c>
      <c r="I6219" s="551">
        <v>18.149999999999999</v>
      </c>
      <c r="J6219" s="765">
        <v>12</v>
      </c>
      <c r="K6219" s="766">
        <v>4</v>
      </c>
      <c r="L6219" s="552">
        <f>(I6219*J6219*K6219/1000)</f>
        <v>0.87119999999999997</v>
      </c>
      <c r="M6219" s="550"/>
      <c r="N6219" s="550"/>
      <c r="O6219" s="550"/>
      <c r="P6219" s="550"/>
      <c r="Q6219" s="1065"/>
      <c r="R6219" s="1065"/>
    </row>
    <row r="6220" spans="1:19" s="497" customFormat="1" ht="17.399999999999999">
      <c r="A6220" s="549"/>
      <c r="B6220" s="549"/>
      <c r="C6220" s="549"/>
      <c r="D6220" s="549"/>
      <c r="E6220" s="549"/>
      <c r="F6220" s="549"/>
      <c r="G6220" s="550"/>
      <c r="H6220" s="550"/>
      <c r="I6220" s="551"/>
      <c r="J6220" s="765"/>
      <c r="K6220" s="766">
        <f t="shared" ref="K6220:L6220" si="1351">SUM(K6219)</f>
        <v>4</v>
      </c>
      <c r="L6220" s="765">
        <f t="shared" si="1351"/>
        <v>0.87119999999999997</v>
      </c>
      <c r="M6220" s="550"/>
      <c r="N6220" s="550"/>
      <c r="O6220" s="550"/>
      <c r="P6220" s="550"/>
      <c r="Q6220" s="1065"/>
      <c r="R6220" s="1065"/>
    </row>
    <row r="6221" spans="1:19" s="497" customFormat="1" ht="17.399999999999999">
      <c r="A6221" s="549"/>
      <c r="B6221" s="549"/>
      <c r="C6221" s="549"/>
      <c r="D6221" s="549"/>
      <c r="E6221" s="549"/>
      <c r="F6221" s="549"/>
      <c r="G6221" s="550"/>
      <c r="H6221" s="550"/>
      <c r="I6221" s="551"/>
      <c r="J6221" s="765"/>
      <c r="K6221" s="766">
        <f>SUM(K6216:K6220)/2</f>
        <v>36</v>
      </c>
      <c r="L6221" s="765">
        <f>SUM(L6216:L6220)/2</f>
        <v>5.9531999999999998</v>
      </c>
      <c r="M6221" s="550"/>
      <c r="N6221" s="550"/>
      <c r="O6221" s="550"/>
      <c r="P6221" s="550"/>
      <c r="Q6221" s="1065"/>
      <c r="R6221" s="1065"/>
      <c r="S6221" s="497" t="s">
        <v>617</v>
      </c>
    </row>
    <row r="6222" spans="1:19" s="497" customFormat="1" ht="17.399999999999999">
      <c r="A6222" s="549"/>
      <c r="B6222" s="549"/>
      <c r="C6222" s="549"/>
      <c r="D6222" s="549"/>
      <c r="E6222" s="549"/>
      <c r="F6222" s="549"/>
      <c r="G6222" s="550"/>
      <c r="H6222" s="550"/>
      <c r="I6222" s="551"/>
      <c r="J6222" s="765"/>
      <c r="K6222" s="766"/>
      <c r="L6222" s="765"/>
      <c r="M6222" s="550"/>
      <c r="N6222" s="550"/>
      <c r="O6222" s="550"/>
      <c r="P6222" s="550"/>
      <c r="Q6222" s="1065"/>
      <c r="R6222" s="1065"/>
    </row>
    <row r="6223" spans="1:19" s="497" customFormat="1" ht="17.399999999999999">
      <c r="A6223" s="549"/>
      <c r="B6223" s="549"/>
      <c r="C6223" s="549"/>
      <c r="D6223" s="549"/>
      <c r="E6223" s="549"/>
      <c r="F6223" s="549"/>
      <c r="G6223" s="779"/>
      <c r="H6223" s="768"/>
      <c r="I6223" s="1893"/>
      <c r="J6223" s="916"/>
      <c r="K6223" s="778"/>
      <c r="L6223" s="777"/>
      <c r="M6223" s="550"/>
      <c r="N6223" s="550"/>
      <c r="O6223" s="550"/>
      <c r="P6223" s="550"/>
      <c r="Q6223" s="1065"/>
      <c r="R6223" s="1065"/>
    </row>
    <row r="6224" spans="1:19" s="497" customFormat="1" ht="17.399999999999999">
      <c r="A6224" s="852" t="s">
        <v>451</v>
      </c>
      <c r="B6224" s="852" t="s">
        <v>578</v>
      </c>
      <c r="C6224" s="852" t="s">
        <v>446</v>
      </c>
      <c r="D6224" s="998" t="s">
        <v>447</v>
      </c>
      <c r="E6224" s="852" t="s">
        <v>359</v>
      </c>
      <c r="F6224" s="853">
        <v>13</v>
      </c>
      <c r="G6224" s="599" t="s">
        <v>21</v>
      </c>
      <c r="H6224" s="899" t="s">
        <v>123</v>
      </c>
      <c r="I6224" s="1573">
        <v>16.5</v>
      </c>
      <c r="J6224" s="732">
        <v>6.25</v>
      </c>
      <c r="K6224" s="733">
        <v>28</v>
      </c>
      <c r="L6224" s="734">
        <f t="shared" ref="L6224:L6225" si="1352">(I6224*J6224*K6224/1000)</f>
        <v>2.8875000000000002</v>
      </c>
      <c r="M6224" s="599"/>
      <c r="N6224" s="599"/>
      <c r="O6224" s="599"/>
      <c r="P6224" s="599"/>
      <c r="Q6224" s="1066"/>
      <c r="R6224" s="1066"/>
      <c r="S6224" s="497" t="s">
        <v>665</v>
      </c>
    </row>
    <row r="6225" spans="1:19" s="497" customFormat="1" ht="17.399999999999999">
      <c r="A6225" s="599"/>
      <c r="B6225" s="599"/>
      <c r="C6225" s="599"/>
      <c r="D6225" s="599"/>
      <c r="E6225" s="599"/>
      <c r="F6225" s="599"/>
      <c r="G6225" s="599" t="s">
        <v>21</v>
      </c>
      <c r="H6225" s="599" t="s">
        <v>123</v>
      </c>
      <c r="I6225" s="1573">
        <v>16.5</v>
      </c>
      <c r="J6225" s="732">
        <v>9</v>
      </c>
      <c r="K6225" s="733">
        <v>56</v>
      </c>
      <c r="L6225" s="734">
        <f t="shared" si="1352"/>
        <v>8.3160000000000007</v>
      </c>
      <c r="M6225" s="599"/>
      <c r="N6225" s="599"/>
      <c r="O6225" s="599"/>
      <c r="P6225" s="599"/>
      <c r="Q6225" s="1066"/>
      <c r="R6225" s="1066"/>
    </row>
    <row r="6226" spans="1:19" s="497" customFormat="1" ht="17.399999999999999">
      <c r="A6226" s="599"/>
      <c r="B6226" s="599"/>
      <c r="C6226" s="599"/>
      <c r="D6226" s="599"/>
      <c r="E6226" s="599"/>
      <c r="F6226" s="599"/>
      <c r="G6226" s="900"/>
      <c r="H6226" s="961"/>
      <c r="I6226" s="1889"/>
      <c r="J6226" s="962"/>
      <c r="K6226" s="999">
        <f>SUM(K6224:K6225)</f>
        <v>84</v>
      </c>
      <c r="L6226" s="959">
        <f>SUM(L6224:L6225)</f>
        <v>11.203500000000002</v>
      </c>
      <c r="M6226" s="599"/>
      <c r="N6226" s="599"/>
      <c r="O6226" s="599"/>
      <c r="P6226" s="599"/>
      <c r="Q6226" s="1066"/>
      <c r="R6226" s="1066"/>
    </row>
    <row r="6227" spans="1:19" s="497" customFormat="1" ht="17.399999999999999">
      <c r="A6227" s="599"/>
      <c r="B6227" s="599"/>
      <c r="C6227" s="599"/>
      <c r="D6227" s="599"/>
      <c r="E6227" s="599"/>
      <c r="F6227" s="599"/>
      <c r="G6227" s="900"/>
      <c r="H6227" s="961"/>
      <c r="I6227" s="1889"/>
      <c r="J6227" s="962"/>
      <c r="K6227" s="999"/>
      <c r="L6227" s="959"/>
      <c r="M6227" s="599"/>
      <c r="N6227" s="599"/>
      <c r="O6227" s="599"/>
      <c r="P6227" s="599"/>
      <c r="Q6227" s="1066"/>
      <c r="R6227" s="1066"/>
    </row>
    <row r="6228" spans="1:19" s="497" customFormat="1" ht="17.399999999999999">
      <c r="A6228" s="852" t="s">
        <v>451</v>
      </c>
      <c r="B6228" s="852" t="s">
        <v>580</v>
      </c>
      <c r="C6228" s="852" t="s">
        <v>446</v>
      </c>
      <c r="D6228" s="998" t="s">
        <v>447</v>
      </c>
      <c r="E6228" s="852" t="s">
        <v>359</v>
      </c>
      <c r="F6228" s="853">
        <v>13</v>
      </c>
      <c r="G6228" s="599" t="s">
        <v>21</v>
      </c>
      <c r="H6228" s="899" t="s">
        <v>123</v>
      </c>
      <c r="I6228" s="1699">
        <v>16.5</v>
      </c>
      <c r="J6228" s="732">
        <v>10.4</v>
      </c>
      <c r="K6228" s="733">
        <v>5</v>
      </c>
      <c r="L6228" s="734">
        <f>(I6228*J6228*K6228/1000)</f>
        <v>0.85799999999999998</v>
      </c>
      <c r="M6228" s="599"/>
      <c r="N6228" s="599"/>
      <c r="O6228" s="599"/>
      <c r="P6228" s="599"/>
      <c r="Q6228" s="1066"/>
      <c r="R6228" s="1066"/>
      <c r="S6228" s="497" t="s">
        <v>665</v>
      </c>
    </row>
    <row r="6229" spans="1:19" s="497" customFormat="1" ht="17.399999999999999">
      <c r="A6229" s="599"/>
      <c r="B6229" s="599"/>
      <c r="C6229" s="599"/>
      <c r="D6229" s="599"/>
      <c r="E6229" s="599"/>
      <c r="F6229" s="599"/>
      <c r="G6229" s="599"/>
      <c r="H6229" s="599"/>
      <c r="I6229" s="1699"/>
      <c r="J6229" s="732"/>
      <c r="K6229" s="733">
        <f t="shared" ref="K6229:L6229" si="1353">SUM(K6228)</f>
        <v>5</v>
      </c>
      <c r="L6229" s="732">
        <f t="shared" si="1353"/>
        <v>0.85799999999999998</v>
      </c>
      <c r="M6229" s="599"/>
      <c r="N6229" s="599"/>
      <c r="O6229" s="599"/>
      <c r="P6229" s="599"/>
      <c r="Q6229" s="1066"/>
      <c r="R6229" s="1066"/>
    </row>
    <row r="6230" spans="1:19" s="497" customFormat="1" ht="17.399999999999999">
      <c r="A6230" s="599"/>
      <c r="B6230" s="599"/>
      <c r="C6230" s="599"/>
      <c r="D6230" s="599"/>
      <c r="E6230" s="599"/>
      <c r="F6230" s="599"/>
      <c r="G6230" s="599"/>
      <c r="H6230" s="599"/>
      <c r="I6230" s="1699"/>
      <c r="J6230" s="732"/>
      <c r="K6230" s="733">
        <f>SUM(K6224:K6229)/2</f>
        <v>89</v>
      </c>
      <c r="L6230" s="732">
        <f>SUM(L6224:L6229)/2</f>
        <v>12.061500000000002</v>
      </c>
      <c r="M6230" s="599"/>
      <c r="N6230" s="599"/>
      <c r="O6230" s="599"/>
      <c r="P6230" s="599"/>
      <c r="Q6230" s="1066"/>
      <c r="R6230" s="1066"/>
    </row>
    <row r="6231" spans="1:19" s="497" customFormat="1" ht="17.399999999999999">
      <c r="A6231" s="549"/>
      <c r="B6231" s="549"/>
      <c r="C6231" s="549"/>
      <c r="D6231" s="549"/>
      <c r="E6231" s="549"/>
      <c r="F6231" s="549"/>
      <c r="G6231" s="550"/>
      <c r="H6231" s="550"/>
      <c r="I6231" s="551"/>
      <c r="J6231" s="765"/>
      <c r="K6231" s="766"/>
      <c r="L6231" s="765"/>
      <c r="M6231" s="550"/>
      <c r="N6231" s="550"/>
      <c r="O6231" s="550"/>
      <c r="P6231" s="550"/>
      <c r="Q6231" s="1065"/>
      <c r="R6231" s="1065"/>
    </row>
    <row r="6232" spans="1:19" s="497" customFormat="1" ht="17.399999999999999">
      <c r="A6232" s="549"/>
      <c r="B6232" s="549"/>
      <c r="C6232" s="549"/>
      <c r="D6232" s="549"/>
      <c r="E6232" s="549"/>
      <c r="F6232" s="549"/>
      <c r="G6232" s="550"/>
      <c r="H6232" s="550"/>
      <c r="I6232" s="551"/>
      <c r="J6232" s="765"/>
      <c r="K6232" s="766"/>
      <c r="L6232" s="765"/>
      <c r="M6232" s="550"/>
      <c r="N6232" s="550"/>
      <c r="O6232" s="550"/>
      <c r="P6232" s="550"/>
      <c r="Q6232" s="1065"/>
      <c r="R6232" s="1065"/>
    </row>
    <row r="6233" spans="1:19" s="497" customFormat="1" ht="17.399999999999999">
      <c r="A6233" s="547" t="s">
        <v>451</v>
      </c>
      <c r="B6233" s="547" t="s">
        <v>580</v>
      </c>
      <c r="C6233" s="547" t="s">
        <v>446</v>
      </c>
      <c r="D6233" s="813" t="s">
        <v>447</v>
      </c>
      <c r="E6233" s="547" t="s">
        <v>359</v>
      </c>
      <c r="F6233" s="548">
        <v>13</v>
      </c>
      <c r="G6233" s="550" t="s">
        <v>21</v>
      </c>
      <c r="H6233" s="599" t="s">
        <v>122</v>
      </c>
      <c r="I6233" s="551">
        <v>14.66</v>
      </c>
      <c r="J6233" s="765">
        <v>7.25</v>
      </c>
      <c r="K6233" s="766">
        <v>1</v>
      </c>
      <c r="L6233" s="552">
        <f t="shared" ref="L6233:L6236" si="1354">(I6233*J6233*K6233/1000)</f>
        <v>0.10628499999999999</v>
      </c>
      <c r="M6233" s="550"/>
      <c r="N6233" s="550"/>
      <c r="O6233" s="765">
        <v>6.1</v>
      </c>
      <c r="P6233" s="550"/>
      <c r="Q6233" s="1065"/>
      <c r="R6233" s="1065"/>
    </row>
    <row r="6234" spans="1:19" s="497" customFormat="1" ht="17.399999999999999">
      <c r="A6234" s="549"/>
      <c r="B6234" s="549"/>
      <c r="C6234" s="549"/>
      <c r="D6234" s="549"/>
      <c r="E6234" s="549"/>
      <c r="F6234" s="549"/>
      <c r="G6234" s="550" t="s">
        <v>21</v>
      </c>
      <c r="H6234" s="550" t="s">
        <v>122</v>
      </c>
      <c r="I6234" s="551">
        <v>14.66</v>
      </c>
      <c r="J6234" s="765">
        <v>7.25</v>
      </c>
      <c r="K6234" s="766">
        <v>40</v>
      </c>
      <c r="L6234" s="552">
        <f t="shared" si="1354"/>
        <v>4.2513999999999994</v>
      </c>
      <c r="M6234" s="550"/>
      <c r="N6234" s="550"/>
      <c r="O6234" s="550"/>
      <c r="P6234" s="550"/>
      <c r="Q6234" s="1065"/>
      <c r="R6234" s="1065"/>
    </row>
    <row r="6235" spans="1:19" s="497" customFormat="1" ht="17.399999999999999">
      <c r="A6235" s="549"/>
      <c r="B6235" s="549"/>
      <c r="C6235" s="549"/>
      <c r="D6235" s="549"/>
      <c r="E6235" s="549"/>
      <c r="F6235" s="549"/>
      <c r="G6235" s="550" t="s">
        <v>21</v>
      </c>
      <c r="H6235" s="550" t="s">
        <v>122</v>
      </c>
      <c r="I6235" s="551">
        <v>14.66</v>
      </c>
      <c r="J6235" s="765">
        <v>10.7</v>
      </c>
      <c r="K6235" s="766">
        <v>10</v>
      </c>
      <c r="L6235" s="552">
        <f t="shared" si="1354"/>
        <v>1.5686199999999999</v>
      </c>
      <c r="M6235" s="550"/>
      <c r="N6235" s="550"/>
      <c r="O6235" s="550"/>
      <c r="P6235" s="550"/>
      <c r="Q6235" s="1065"/>
      <c r="R6235" s="1065"/>
    </row>
    <row r="6236" spans="1:19" s="497" customFormat="1" ht="17.399999999999999">
      <c r="A6236" s="549"/>
      <c r="B6236" s="549"/>
      <c r="C6236" s="549"/>
      <c r="D6236" s="549"/>
      <c r="E6236" s="549"/>
      <c r="F6236" s="549"/>
      <c r="G6236" s="550" t="s">
        <v>21</v>
      </c>
      <c r="H6236" s="550" t="s">
        <v>122</v>
      </c>
      <c r="I6236" s="551">
        <v>14.66</v>
      </c>
      <c r="J6236" s="765">
        <v>12</v>
      </c>
      <c r="K6236" s="766">
        <v>30</v>
      </c>
      <c r="L6236" s="552">
        <f t="shared" si="1354"/>
        <v>5.2776000000000005</v>
      </c>
      <c r="M6236" s="550"/>
      <c r="N6236" s="550"/>
      <c r="O6236" s="550"/>
      <c r="P6236" s="550"/>
      <c r="Q6236" s="1065"/>
      <c r="R6236" s="1065"/>
    </row>
    <row r="6237" spans="1:19" s="497" customFormat="1" ht="17.399999999999999">
      <c r="A6237" s="549"/>
      <c r="B6237" s="549"/>
      <c r="C6237" s="549"/>
      <c r="D6237" s="549"/>
      <c r="E6237" s="549"/>
      <c r="F6237" s="549"/>
      <c r="G6237" s="550"/>
      <c r="H6237" s="550"/>
      <c r="I6237" s="551"/>
      <c r="J6237" s="765"/>
      <c r="K6237" s="766">
        <f t="shared" ref="K6237:L6237" si="1355">SUM(K6233:K6236)</f>
        <v>81</v>
      </c>
      <c r="L6237" s="765">
        <f t="shared" si="1355"/>
        <v>11.203904999999999</v>
      </c>
      <c r="M6237" s="550"/>
      <c r="N6237" s="550"/>
      <c r="O6237" s="550"/>
      <c r="P6237" s="550"/>
      <c r="Q6237" s="1065"/>
      <c r="R6237" s="1065"/>
    </row>
    <row r="6238" spans="1:19" s="497" customFormat="1" ht="17.399999999999999">
      <c r="A6238" s="549"/>
      <c r="B6238" s="549"/>
      <c r="C6238" s="549"/>
      <c r="D6238" s="549"/>
      <c r="E6238" s="549"/>
      <c r="F6238" s="549"/>
      <c r="G6238" s="550"/>
      <c r="H6238" s="550"/>
      <c r="I6238" s="551"/>
      <c r="J6238" s="765"/>
      <c r="K6238" s="766"/>
      <c r="L6238" s="765"/>
      <c r="M6238" s="550"/>
      <c r="N6238" s="550"/>
      <c r="O6238" s="550"/>
      <c r="P6238" s="550"/>
      <c r="Q6238" s="1065"/>
      <c r="R6238" s="1065"/>
    </row>
    <row r="6239" spans="1:19" s="497" customFormat="1" ht="17.399999999999999">
      <c r="A6239" s="547" t="s">
        <v>451</v>
      </c>
      <c r="B6239" s="547" t="s">
        <v>578</v>
      </c>
      <c r="C6239" s="547" t="s">
        <v>446</v>
      </c>
      <c r="D6239" s="813" t="s">
        <v>447</v>
      </c>
      <c r="E6239" s="547" t="s">
        <v>359</v>
      </c>
      <c r="F6239" s="548">
        <v>13</v>
      </c>
      <c r="G6239" s="550" t="s">
        <v>21</v>
      </c>
      <c r="H6239" s="599" t="s">
        <v>122</v>
      </c>
      <c r="I6239" s="551">
        <v>14.66</v>
      </c>
      <c r="J6239" s="765">
        <v>7.25</v>
      </c>
      <c r="K6239" s="766">
        <v>84</v>
      </c>
      <c r="L6239" s="552">
        <f t="shared" ref="L6239:L6241" si="1356">(I6239*J6239*K6239/1000)</f>
        <v>8.9279400000000013</v>
      </c>
      <c r="M6239" s="550"/>
      <c r="N6239" s="550"/>
      <c r="O6239" s="550"/>
      <c r="P6239" s="550"/>
      <c r="Q6239" s="1065"/>
      <c r="R6239" s="1065"/>
    </row>
    <row r="6240" spans="1:19" s="497" customFormat="1" ht="17.399999999999999">
      <c r="A6240" s="549"/>
      <c r="B6240" s="549"/>
      <c r="C6240" s="549"/>
      <c r="D6240" s="549"/>
      <c r="E6240" s="549"/>
      <c r="F6240" s="549"/>
      <c r="G6240" s="550" t="s">
        <v>21</v>
      </c>
      <c r="H6240" s="550" t="s">
        <v>122</v>
      </c>
      <c r="I6240" s="551">
        <v>14.66</v>
      </c>
      <c r="J6240" s="765">
        <v>9.25</v>
      </c>
      <c r="K6240" s="766">
        <v>42</v>
      </c>
      <c r="L6240" s="552">
        <f t="shared" si="1356"/>
        <v>5.6954099999999999</v>
      </c>
      <c r="M6240" s="550"/>
      <c r="N6240" s="550"/>
      <c r="O6240" s="550"/>
      <c r="P6240" s="550"/>
      <c r="Q6240" s="1065"/>
      <c r="R6240" s="1065"/>
    </row>
    <row r="6241" spans="1:19" s="497" customFormat="1" ht="17.399999999999999">
      <c r="A6241" s="549"/>
      <c r="B6241" s="549"/>
      <c r="C6241" s="549"/>
      <c r="D6241" s="549"/>
      <c r="E6241" s="549"/>
      <c r="F6241" s="549"/>
      <c r="G6241" s="550" t="s">
        <v>21</v>
      </c>
      <c r="H6241" s="550" t="s">
        <v>122</v>
      </c>
      <c r="I6241" s="551">
        <v>14.66</v>
      </c>
      <c r="J6241" s="765">
        <v>12</v>
      </c>
      <c r="K6241" s="766">
        <v>28</v>
      </c>
      <c r="L6241" s="552">
        <f t="shared" si="1356"/>
        <v>4.9257600000000004</v>
      </c>
      <c r="M6241" s="550"/>
      <c r="N6241" s="550"/>
      <c r="O6241" s="550"/>
      <c r="P6241" s="550"/>
      <c r="Q6241" s="1065"/>
      <c r="R6241" s="1065"/>
    </row>
    <row r="6242" spans="1:19" s="497" customFormat="1" ht="17.399999999999999">
      <c r="A6242" s="549"/>
      <c r="B6242" s="549"/>
      <c r="C6242" s="549"/>
      <c r="D6242" s="549"/>
      <c r="E6242" s="549"/>
      <c r="F6242" s="549"/>
      <c r="G6242" s="779"/>
      <c r="H6242" s="768"/>
      <c r="I6242" s="1893"/>
      <c r="J6242" s="916"/>
      <c r="K6242" s="933">
        <f>SUM(K6239:K6241)</f>
        <v>154</v>
      </c>
      <c r="L6242" s="777">
        <f>SUM(L6239:L6241)</f>
        <v>19.549110000000002</v>
      </c>
      <c r="M6242" s="550"/>
      <c r="N6242" s="550"/>
      <c r="O6242" s="550"/>
      <c r="P6242" s="550"/>
      <c r="Q6242" s="1065"/>
      <c r="R6242" s="1065"/>
    </row>
    <row r="6243" spans="1:19" s="497" customFormat="1" ht="17.399999999999999">
      <c r="A6243" s="549"/>
      <c r="B6243" s="549"/>
      <c r="C6243" s="549"/>
      <c r="D6243" s="549"/>
      <c r="E6243" s="549"/>
      <c r="F6243" s="549"/>
      <c r="G6243" s="779"/>
      <c r="H6243" s="768"/>
      <c r="I6243" s="1893"/>
      <c r="J6243" s="916"/>
      <c r="K6243" s="778"/>
      <c r="L6243" s="777"/>
      <c r="M6243" s="550"/>
      <c r="N6243" s="550"/>
      <c r="O6243" s="550"/>
      <c r="P6243" s="550"/>
      <c r="Q6243" s="1065"/>
      <c r="R6243" s="1065"/>
    </row>
    <row r="6244" spans="1:19" s="497" customFormat="1" ht="17.399999999999999">
      <c r="A6244" s="547" t="s">
        <v>83</v>
      </c>
      <c r="B6244" s="547" t="s">
        <v>579</v>
      </c>
      <c r="C6244" s="547" t="s">
        <v>446</v>
      </c>
      <c r="D6244" s="813" t="s">
        <v>447</v>
      </c>
      <c r="E6244" s="547" t="s">
        <v>359</v>
      </c>
      <c r="F6244" s="548">
        <v>13</v>
      </c>
      <c r="G6244" s="550" t="s">
        <v>21</v>
      </c>
      <c r="H6244" s="599" t="s">
        <v>122</v>
      </c>
      <c r="I6244" s="551">
        <v>14.66</v>
      </c>
      <c r="J6244" s="765">
        <v>12</v>
      </c>
      <c r="K6244" s="766">
        <v>4</v>
      </c>
      <c r="L6244" s="552">
        <f>(I6244*J6244*K6244/1000)</f>
        <v>0.70368000000000008</v>
      </c>
      <c r="M6244" s="550"/>
      <c r="N6244" s="550"/>
      <c r="O6244" s="550"/>
      <c r="P6244" s="550"/>
      <c r="Q6244" s="1065"/>
      <c r="R6244" s="1065"/>
    </row>
    <row r="6245" spans="1:19" s="497" customFormat="1" ht="17.399999999999999">
      <c r="A6245" s="549"/>
      <c r="B6245" s="549"/>
      <c r="C6245" s="549"/>
      <c r="D6245" s="549"/>
      <c r="E6245" s="549"/>
      <c r="F6245" s="549"/>
      <c r="G6245" s="550"/>
      <c r="H6245" s="550"/>
      <c r="I6245" s="551"/>
      <c r="J6245" s="765"/>
      <c r="K6245" s="766">
        <f t="shared" ref="K6245:L6245" si="1357">SUM(K6244)</f>
        <v>4</v>
      </c>
      <c r="L6245" s="765">
        <f t="shared" si="1357"/>
        <v>0.70368000000000008</v>
      </c>
      <c r="M6245" s="550"/>
      <c r="N6245" s="550"/>
      <c r="O6245" s="550"/>
      <c r="P6245" s="550"/>
      <c r="Q6245" s="1065"/>
      <c r="R6245" s="1065"/>
    </row>
    <row r="6246" spans="1:19" s="497" customFormat="1" ht="17.399999999999999">
      <c r="A6246" s="549"/>
      <c r="B6246" s="549"/>
      <c r="C6246" s="549"/>
      <c r="D6246" s="549"/>
      <c r="E6246" s="549"/>
      <c r="F6246" s="549"/>
      <c r="G6246" s="550"/>
      <c r="H6246" s="550"/>
      <c r="I6246" s="551"/>
      <c r="J6246" s="765"/>
      <c r="K6246" s="766">
        <f>SUM(K6233:K6245)/2</f>
        <v>239</v>
      </c>
      <c r="L6246" s="765">
        <f>SUM(L6233:L6245)/2</f>
        <v>31.456694999999996</v>
      </c>
      <c r="M6246" s="550"/>
      <c r="N6246" s="550"/>
      <c r="O6246" s="550"/>
      <c r="P6246" s="550"/>
      <c r="Q6246" s="1065"/>
      <c r="R6246" s="1065"/>
      <c r="S6246" s="497" t="s">
        <v>617</v>
      </c>
    </row>
    <row r="6247" spans="1:19" s="497" customFormat="1" ht="17.399999999999999">
      <c r="A6247" s="549"/>
      <c r="B6247" s="549"/>
      <c r="C6247" s="549"/>
      <c r="D6247" s="549"/>
      <c r="E6247" s="549"/>
      <c r="F6247" s="549"/>
      <c r="G6247" s="550"/>
      <c r="H6247" s="550"/>
      <c r="I6247" s="551"/>
      <c r="J6247" s="765"/>
      <c r="K6247" s="766"/>
      <c r="L6247" s="765"/>
      <c r="M6247" s="550"/>
      <c r="N6247" s="550"/>
      <c r="O6247" s="550"/>
      <c r="P6247" s="550"/>
      <c r="Q6247" s="1065"/>
      <c r="R6247" s="1065"/>
    </row>
    <row r="6248" spans="1:19" s="497" customFormat="1" ht="17.399999999999999">
      <c r="A6248" s="549"/>
      <c r="B6248" s="549"/>
      <c r="C6248" s="549"/>
      <c r="D6248" s="549"/>
      <c r="E6248" s="549"/>
      <c r="F6248" s="549"/>
      <c r="G6248" s="779"/>
      <c r="H6248" s="768"/>
      <c r="I6248" s="1893"/>
      <c r="J6248" s="916"/>
      <c r="K6248" s="778"/>
      <c r="L6248" s="777" t="s">
        <v>575</v>
      </c>
      <c r="M6248" s="550"/>
      <c r="N6248" s="550"/>
      <c r="O6248" s="550"/>
      <c r="P6248" s="550"/>
      <c r="Q6248" s="1065"/>
      <c r="R6248" s="1065"/>
    </row>
    <row r="6249" spans="1:19" s="497" customFormat="1" ht="17.399999999999999">
      <c r="A6249" s="547" t="s">
        <v>451</v>
      </c>
      <c r="B6249" s="547" t="s">
        <v>578</v>
      </c>
      <c r="C6249" s="547" t="s">
        <v>446</v>
      </c>
      <c r="D6249" s="813" t="s">
        <v>447</v>
      </c>
      <c r="E6249" s="547" t="s">
        <v>359</v>
      </c>
      <c r="F6249" s="548">
        <v>13</v>
      </c>
      <c r="G6249" s="550" t="s">
        <v>21</v>
      </c>
      <c r="H6249" s="599" t="s">
        <v>121</v>
      </c>
      <c r="I6249" s="551">
        <v>12.9</v>
      </c>
      <c r="J6249" s="765">
        <v>7.25</v>
      </c>
      <c r="K6249" s="766">
        <v>58</v>
      </c>
      <c r="L6249" s="552">
        <f t="shared" ref="L6249:L6252" si="1358">(I6249*J6249*K6249/1000)</f>
        <v>5.4244500000000011</v>
      </c>
      <c r="M6249" s="550"/>
      <c r="N6249" s="550"/>
      <c r="O6249" s="550"/>
      <c r="P6249" s="550"/>
      <c r="Q6249" s="1065"/>
      <c r="R6249" s="1065"/>
    </row>
    <row r="6250" spans="1:19" s="497" customFormat="1" ht="17.399999999999999">
      <c r="A6250" s="549"/>
      <c r="B6250" s="549"/>
      <c r="C6250" s="549"/>
      <c r="D6250" s="549"/>
      <c r="E6250" s="549"/>
      <c r="F6250" s="549"/>
      <c r="G6250" s="550" t="s">
        <v>21</v>
      </c>
      <c r="H6250" s="550" t="s">
        <v>121</v>
      </c>
      <c r="I6250" s="551">
        <v>12.9</v>
      </c>
      <c r="J6250" s="765">
        <v>10</v>
      </c>
      <c r="K6250" s="766">
        <v>46</v>
      </c>
      <c r="L6250" s="552">
        <f t="shared" si="1358"/>
        <v>5.9340000000000002</v>
      </c>
      <c r="M6250" s="550"/>
      <c r="N6250" s="550"/>
      <c r="O6250" s="550"/>
      <c r="P6250" s="550"/>
      <c r="Q6250" s="1065"/>
      <c r="R6250" s="1065"/>
    </row>
    <row r="6251" spans="1:19" s="497" customFormat="1" ht="17.399999999999999">
      <c r="A6251" s="549"/>
      <c r="B6251" s="549"/>
      <c r="C6251" s="549"/>
      <c r="D6251" s="549"/>
      <c r="E6251" s="549"/>
      <c r="F6251" s="549"/>
      <c r="G6251" s="550" t="s">
        <v>21</v>
      </c>
      <c r="H6251" s="550" t="s">
        <v>121</v>
      </c>
      <c r="I6251" s="551">
        <v>12.9</v>
      </c>
      <c r="J6251" s="765">
        <v>11</v>
      </c>
      <c r="K6251" s="766">
        <v>154</v>
      </c>
      <c r="L6251" s="552">
        <f t="shared" si="1358"/>
        <v>21.852600000000002</v>
      </c>
      <c r="M6251" s="550"/>
      <c r="N6251" s="550"/>
      <c r="O6251" s="550"/>
      <c r="P6251" s="550"/>
      <c r="Q6251" s="1065"/>
      <c r="R6251" s="1065"/>
    </row>
    <row r="6252" spans="1:19" s="497" customFormat="1" ht="17.399999999999999">
      <c r="A6252" s="549"/>
      <c r="B6252" s="549"/>
      <c r="C6252" s="549"/>
      <c r="D6252" s="549"/>
      <c r="E6252" s="549"/>
      <c r="F6252" s="549"/>
      <c r="G6252" s="550" t="s">
        <v>21</v>
      </c>
      <c r="H6252" s="550" t="s">
        <v>121</v>
      </c>
      <c r="I6252" s="551">
        <v>12.9</v>
      </c>
      <c r="J6252" s="765">
        <v>12</v>
      </c>
      <c r="K6252" s="766">
        <v>70</v>
      </c>
      <c r="L6252" s="552">
        <f t="shared" si="1358"/>
        <v>10.836</v>
      </c>
      <c r="M6252" s="550"/>
      <c r="N6252" s="550"/>
      <c r="O6252" s="550"/>
      <c r="P6252" s="550"/>
      <c r="Q6252" s="1065"/>
      <c r="R6252" s="1065"/>
    </row>
    <row r="6253" spans="1:19" s="497" customFormat="1" ht="17.399999999999999">
      <c r="A6253" s="549"/>
      <c r="B6253" s="549"/>
      <c r="C6253" s="549"/>
      <c r="D6253" s="549"/>
      <c r="E6253" s="549"/>
      <c r="F6253" s="549"/>
      <c r="G6253" s="779"/>
      <c r="H6253" s="768"/>
      <c r="I6253" s="1893"/>
      <c r="J6253" s="916"/>
      <c r="K6253" s="933">
        <f>SUM(K6249:K6252)</f>
        <v>328</v>
      </c>
      <c r="L6253" s="777">
        <f>SUM(L6249:L6252)</f>
        <v>44.047049999999999</v>
      </c>
      <c r="M6253" s="550"/>
      <c r="N6253" s="550"/>
      <c r="O6253" s="550"/>
      <c r="P6253" s="550"/>
      <c r="Q6253" s="1065"/>
      <c r="R6253" s="1065"/>
    </row>
    <row r="6254" spans="1:19" s="497" customFormat="1" ht="17.399999999999999">
      <c r="A6254" s="549"/>
      <c r="B6254" s="549"/>
      <c r="C6254" s="549"/>
      <c r="D6254" s="549"/>
      <c r="E6254" s="549"/>
      <c r="F6254" s="549"/>
      <c r="G6254" s="779"/>
      <c r="H6254" s="768"/>
      <c r="I6254" s="1893"/>
      <c r="J6254" s="916"/>
      <c r="K6254" s="778"/>
      <c r="L6254" s="777"/>
      <c r="M6254" s="550"/>
      <c r="N6254" s="550"/>
      <c r="O6254" s="550"/>
      <c r="P6254" s="550"/>
      <c r="Q6254" s="1065"/>
      <c r="R6254" s="1065"/>
    </row>
    <row r="6255" spans="1:19" s="497" customFormat="1" ht="17.399999999999999">
      <c r="A6255" s="547" t="s">
        <v>451</v>
      </c>
      <c r="B6255" s="547" t="s">
        <v>580</v>
      </c>
      <c r="C6255" s="547" t="s">
        <v>446</v>
      </c>
      <c r="D6255" s="813" t="s">
        <v>447</v>
      </c>
      <c r="E6255" s="547" t="s">
        <v>359</v>
      </c>
      <c r="F6255" s="548">
        <v>13</v>
      </c>
      <c r="G6255" s="550" t="s">
        <v>21</v>
      </c>
      <c r="H6255" s="599" t="s">
        <v>121</v>
      </c>
      <c r="I6255" s="551">
        <v>12.9</v>
      </c>
      <c r="J6255" s="765">
        <v>7.25</v>
      </c>
      <c r="K6255" s="766">
        <v>12</v>
      </c>
      <c r="L6255" s="552">
        <f t="shared" ref="L6255:L6259" si="1359">(I6255*J6255*K6255/1000)</f>
        <v>1.1223000000000001</v>
      </c>
      <c r="M6255" s="550"/>
      <c r="N6255" s="550"/>
      <c r="O6255" s="550"/>
      <c r="P6255" s="550"/>
      <c r="Q6255" s="1065"/>
      <c r="R6255" s="1065"/>
    </row>
    <row r="6256" spans="1:19" s="497" customFormat="1" ht="17.399999999999999">
      <c r="A6256" s="549"/>
      <c r="B6256" s="549"/>
      <c r="C6256" s="549"/>
      <c r="D6256" s="549"/>
      <c r="E6256" s="549"/>
      <c r="F6256" s="549"/>
      <c r="G6256" s="550" t="s">
        <v>21</v>
      </c>
      <c r="H6256" s="550" t="s">
        <v>121</v>
      </c>
      <c r="I6256" s="551">
        <v>12.9</v>
      </c>
      <c r="J6256" s="765">
        <v>8.1</v>
      </c>
      <c r="K6256" s="766">
        <v>8</v>
      </c>
      <c r="L6256" s="552">
        <f t="shared" si="1359"/>
        <v>0.83592</v>
      </c>
      <c r="M6256" s="550"/>
      <c r="N6256" s="550"/>
      <c r="O6256" s="550"/>
      <c r="P6256" s="550"/>
      <c r="Q6256" s="1065"/>
      <c r="R6256" s="1065"/>
    </row>
    <row r="6257" spans="1:19" s="497" customFormat="1" ht="17.399999999999999">
      <c r="A6257" s="549"/>
      <c r="B6257" s="549"/>
      <c r="C6257" s="549"/>
      <c r="D6257" s="549"/>
      <c r="E6257" s="549"/>
      <c r="F6257" s="549"/>
      <c r="G6257" s="550" t="s">
        <v>21</v>
      </c>
      <c r="H6257" s="550" t="s">
        <v>121</v>
      </c>
      <c r="I6257" s="551">
        <v>12.9</v>
      </c>
      <c r="J6257" s="765">
        <v>10</v>
      </c>
      <c r="K6257" s="766">
        <v>47</v>
      </c>
      <c r="L6257" s="552">
        <f t="shared" si="1359"/>
        <v>6.0629999999999997</v>
      </c>
      <c r="M6257" s="550"/>
      <c r="N6257" s="550"/>
      <c r="O6257" s="550"/>
      <c r="P6257" s="550"/>
      <c r="Q6257" s="1065"/>
      <c r="R6257" s="1065"/>
    </row>
    <row r="6258" spans="1:19" s="497" customFormat="1" ht="17.399999999999999">
      <c r="A6258" s="549"/>
      <c r="B6258" s="549"/>
      <c r="C6258" s="549"/>
      <c r="D6258" s="549"/>
      <c r="E6258" s="549"/>
      <c r="F6258" s="549"/>
      <c r="G6258" s="550" t="s">
        <v>21</v>
      </c>
      <c r="H6258" s="550" t="s">
        <v>121</v>
      </c>
      <c r="I6258" s="551">
        <v>12.9</v>
      </c>
      <c r="J6258" s="765">
        <v>11</v>
      </c>
      <c r="K6258" s="766">
        <v>30</v>
      </c>
      <c r="L6258" s="552">
        <f t="shared" si="1359"/>
        <v>4.2569999999999997</v>
      </c>
      <c r="M6258" s="550"/>
      <c r="N6258" s="550"/>
      <c r="O6258" s="550"/>
      <c r="P6258" s="550"/>
      <c r="Q6258" s="1065"/>
      <c r="R6258" s="1065"/>
    </row>
    <row r="6259" spans="1:19" s="497" customFormat="1" ht="17.399999999999999">
      <c r="A6259" s="549"/>
      <c r="B6259" s="549"/>
      <c r="C6259" s="549"/>
      <c r="D6259" s="549"/>
      <c r="E6259" s="549"/>
      <c r="F6259" s="549"/>
      <c r="G6259" s="550" t="s">
        <v>21</v>
      </c>
      <c r="H6259" s="550" t="s">
        <v>121</v>
      </c>
      <c r="I6259" s="551">
        <v>12.9</v>
      </c>
      <c r="J6259" s="765">
        <v>12</v>
      </c>
      <c r="K6259" s="766">
        <v>6</v>
      </c>
      <c r="L6259" s="552">
        <f t="shared" si="1359"/>
        <v>0.92880000000000007</v>
      </c>
      <c r="M6259" s="550"/>
      <c r="N6259" s="550"/>
      <c r="O6259" s="550"/>
      <c r="P6259" s="550"/>
      <c r="Q6259" s="1065"/>
      <c r="R6259" s="1065"/>
    </row>
    <row r="6260" spans="1:19" s="497" customFormat="1" ht="17.399999999999999">
      <c r="A6260" s="549"/>
      <c r="B6260" s="549"/>
      <c r="C6260" s="549"/>
      <c r="D6260" s="549"/>
      <c r="E6260" s="549"/>
      <c r="F6260" s="549"/>
      <c r="G6260" s="550"/>
      <c r="H6260" s="550"/>
      <c r="I6260" s="551"/>
      <c r="J6260" s="765"/>
      <c r="K6260" s="766">
        <f t="shared" ref="K6260:L6260" si="1360">SUM(K6255:K6259)</f>
        <v>103</v>
      </c>
      <c r="L6260" s="765">
        <f t="shared" si="1360"/>
        <v>13.20702</v>
      </c>
      <c r="M6260" s="550"/>
      <c r="N6260" s="550"/>
      <c r="O6260" s="550"/>
      <c r="P6260" s="550"/>
      <c r="Q6260" s="1065"/>
      <c r="R6260" s="1065"/>
    </row>
    <row r="6261" spans="1:19" s="497" customFormat="1" ht="17.399999999999999">
      <c r="A6261" s="549"/>
      <c r="B6261" s="549"/>
      <c r="C6261" s="549"/>
      <c r="D6261" s="549"/>
      <c r="E6261" s="549"/>
      <c r="F6261" s="549"/>
      <c r="G6261" s="550"/>
      <c r="H6261" s="550"/>
      <c r="I6261" s="551"/>
      <c r="J6261" s="765"/>
      <c r="K6261" s="766"/>
      <c r="L6261" s="765"/>
      <c r="M6261" s="550"/>
      <c r="N6261" s="550"/>
      <c r="O6261" s="550"/>
      <c r="P6261" s="550"/>
      <c r="Q6261" s="1065"/>
      <c r="R6261" s="1065"/>
    </row>
    <row r="6262" spans="1:19" s="497" customFormat="1" ht="17.399999999999999">
      <c r="A6262" s="547" t="s">
        <v>451</v>
      </c>
      <c r="B6262" s="547" t="s">
        <v>581</v>
      </c>
      <c r="C6262" s="547" t="s">
        <v>19</v>
      </c>
      <c r="D6262" s="813" t="s">
        <v>20</v>
      </c>
      <c r="E6262" s="547" t="s">
        <v>359</v>
      </c>
      <c r="F6262" s="548">
        <v>13</v>
      </c>
      <c r="G6262" s="550" t="s">
        <v>21</v>
      </c>
      <c r="H6262" s="599" t="s">
        <v>121</v>
      </c>
      <c r="I6262" s="551">
        <v>12.9</v>
      </c>
      <c r="J6262" s="765">
        <v>12</v>
      </c>
      <c r="K6262" s="766">
        <v>14</v>
      </c>
      <c r="L6262" s="552">
        <f>(I6262*J6262*K6262/1000)</f>
        <v>2.1672000000000002</v>
      </c>
      <c r="M6262" s="550"/>
      <c r="N6262" s="550"/>
      <c r="O6262" s="550"/>
      <c r="P6262" s="550"/>
      <c r="Q6262" s="1065"/>
      <c r="R6262" s="1065"/>
    </row>
    <row r="6263" spans="1:19" s="497" customFormat="1" ht="17.399999999999999">
      <c r="A6263" s="549"/>
      <c r="B6263" s="549" t="s">
        <v>277</v>
      </c>
      <c r="C6263" s="549"/>
      <c r="D6263" s="549"/>
      <c r="E6263" s="549"/>
      <c r="F6263" s="549"/>
      <c r="G6263" s="550"/>
      <c r="H6263" s="550"/>
      <c r="I6263" s="551"/>
      <c r="J6263" s="765"/>
      <c r="K6263" s="766">
        <f t="shared" ref="K6263:L6263" si="1361">SUM(K6262)</f>
        <v>14</v>
      </c>
      <c r="L6263" s="765">
        <f t="shared" si="1361"/>
        <v>2.1672000000000002</v>
      </c>
      <c r="M6263" s="550"/>
      <c r="N6263" s="550"/>
      <c r="O6263" s="550"/>
      <c r="P6263" s="550"/>
      <c r="Q6263" s="1065"/>
      <c r="R6263" s="1065"/>
    </row>
    <row r="6264" spans="1:19" s="497" customFormat="1" ht="17.399999999999999">
      <c r="A6264" s="549"/>
      <c r="B6264" s="549"/>
      <c r="C6264" s="549"/>
      <c r="D6264" s="549"/>
      <c r="E6264" s="549"/>
      <c r="F6264" s="549"/>
      <c r="G6264" s="550"/>
      <c r="H6264" s="550"/>
      <c r="I6264" s="551"/>
      <c r="J6264" s="765"/>
      <c r="K6264" s="766">
        <f>SUM(K6249:K6263)/2</f>
        <v>445</v>
      </c>
      <c r="L6264" s="765">
        <f>SUM(L6249:L6263)/2</f>
        <v>59.421269999999993</v>
      </c>
      <c r="M6264" s="550"/>
      <c r="N6264" s="550"/>
      <c r="O6264" s="550"/>
      <c r="P6264" s="550"/>
      <c r="Q6264" s="1065"/>
      <c r="R6264" s="1065"/>
      <c r="S6264" s="497" t="s">
        <v>617</v>
      </c>
    </row>
    <row r="6265" spans="1:19" s="497" customFormat="1" ht="17.399999999999999">
      <c r="A6265" s="549"/>
      <c r="B6265" s="549"/>
      <c r="C6265" s="549"/>
      <c r="D6265" s="549"/>
      <c r="E6265" s="549"/>
      <c r="F6265" s="549"/>
      <c r="G6265" s="550"/>
      <c r="H6265" s="550"/>
      <c r="I6265" s="551"/>
      <c r="J6265" s="765"/>
      <c r="K6265" s="766"/>
      <c r="L6265" s="765"/>
      <c r="M6265" s="550"/>
      <c r="N6265" s="550"/>
      <c r="O6265" s="550"/>
      <c r="P6265" s="550"/>
      <c r="Q6265" s="1065"/>
      <c r="R6265" s="1065"/>
    </row>
    <row r="6266" spans="1:19" s="497" customFormat="1" ht="17.399999999999999">
      <c r="A6266" s="549"/>
      <c r="B6266" s="549"/>
      <c r="C6266" s="549"/>
      <c r="D6266" s="549"/>
      <c r="E6266" s="549"/>
      <c r="F6266" s="549"/>
      <c r="G6266" s="779"/>
      <c r="H6266" s="768"/>
      <c r="I6266" s="1893"/>
      <c r="J6266" s="916"/>
      <c r="K6266" s="778"/>
      <c r="L6266" s="777"/>
      <c r="M6266" s="550"/>
      <c r="N6266" s="550"/>
      <c r="O6266" s="550"/>
      <c r="P6266" s="550"/>
      <c r="Q6266" s="1065"/>
      <c r="R6266" s="1065"/>
    </row>
    <row r="6267" spans="1:19" s="497" customFormat="1" ht="17.399999999999999">
      <c r="A6267" s="549"/>
      <c r="B6267" s="549"/>
      <c r="C6267" s="549"/>
      <c r="D6267" s="549"/>
      <c r="E6267" s="549"/>
      <c r="F6267" s="549"/>
      <c r="G6267" s="779"/>
      <c r="H6267" s="768"/>
      <c r="I6267" s="1893"/>
      <c r="J6267" s="916"/>
      <c r="K6267" s="778"/>
      <c r="L6267" s="777"/>
      <c r="M6267" s="550"/>
      <c r="N6267" s="550"/>
      <c r="O6267" s="550"/>
      <c r="P6267" s="550"/>
      <c r="Q6267" s="1065"/>
      <c r="R6267" s="1065"/>
    </row>
    <row r="6268" spans="1:19" s="497" customFormat="1" ht="17.399999999999999">
      <c r="A6268" s="547" t="s">
        <v>451</v>
      </c>
      <c r="B6268" s="547" t="s">
        <v>580</v>
      </c>
      <c r="C6268" s="547" t="s">
        <v>446</v>
      </c>
      <c r="D6268" s="813" t="s">
        <v>450</v>
      </c>
      <c r="E6268" s="547" t="s">
        <v>270</v>
      </c>
      <c r="F6268" s="548">
        <v>13</v>
      </c>
      <c r="G6268" s="550" t="s">
        <v>61</v>
      </c>
      <c r="H6268" s="599" t="s">
        <v>121</v>
      </c>
      <c r="I6268" s="551">
        <v>12.9</v>
      </c>
      <c r="J6268" s="765">
        <v>11.5</v>
      </c>
      <c r="K6268" s="766">
        <v>8</v>
      </c>
      <c r="L6268" s="552">
        <f>(I6268*J6268*K6268/1000)</f>
        <v>1.1867999999999999</v>
      </c>
      <c r="M6268" s="550"/>
      <c r="N6268" s="550"/>
      <c r="O6268" s="550"/>
      <c r="P6268" s="550"/>
      <c r="Q6268" s="1065"/>
      <c r="R6268" s="1065"/>
    </row>
    <row r="6269" spans="1:19" s="497" customFormat="1" ht="17.399999999999999">
      <c r="A6269" s="549"/>
      <c r="B6269" s="549"/>
      <c r="C6269" s="549"/>
      <c r="D6269" s="549"/>
      <c r="E6269" s="549"/>
      <c r="F6269" s="549"/>
      <c r="G6269" s="550"/>
      <c r="H6269" s="550"/>
      <c r="I6269" s="551"/>
      <c r="J6269" s="765"/>
      <c r="K6269" s="766">
        <f t="shared" ref="K6269" si="1362">SUM(K6268)</f>
        <v>8</v>
      </c>
      <c r="L6269" s="765">
        <f>SUM(L6268)</f>
        <v>1.1867999999999999</v>
      </c>
      <c r="M6269" s="550"/>
      <c r="N6269" s="550"/>
      <c r="O6269" s="550"/>
      <c r="P6269" s="550"/>
      <c r="Q6269" s="1065"/>
      <c r="R6269" s="1065"/>
    </row>
    <row r="6270" spans="1:19" s="497" customFormat="1" ht="17.399999999999999">
      <c r="A6270" s="549"/>
      <c r="B6270" s="549"/>
      <c r="C6270" s="549"/>
      <c r="D6270" s="549"/>
      <c r="E6270" s="549"/>
      <c r="F6270" s="549"/>
      <c r="G6270" s="779"/>
      <c r="H6270" s="768"/>
      <c r="I6270" s="1893"/>
      <c r="J6270" s="916"/>
      <c r="K6270" s="778"/>
      <c r="L6270" s="777"/>
      <c r="M6270" s="550"/>
      <c r="N6270" s="550"/>
      <c r="O6270" s="550"/>
      <c r="P6270" s="550"/>
      <c r="Q6270" s="1065"/>
      <c r="R6270" s="1065"/>
    </row>
    <row r="6271" spans="1:19" s="497" customFormat="1" ht="17.399999999999999">
      <c r="A6271" s="547" t="s">
        <v>451</v>
      </c>
      <c r="B6271" s="547" t="s">
        <v>581</v>
      </c>
      <c r="C6271" s="547" t="s">
        <v>19</v>
      </c>
      <c r="D6271" s="813" t="s">
        <v>582</v>
      </c>
      <c r="E6271" s="547" t="s">
        <v>270</v>
      </c>
      <c r="F6271" s="548">
        <v>13</v>
      </c>
      <c r="G6271" s="550" t="s">
        <v>61</v>
      </c>
      <c r="H6271" s="599" t="s">
        <v>121</v>
      </c>
      <c r="I6271" s="551">
        <v>12.9</v>
      </c>
      <c r="J6271" s="765">
        <v>12</v>
      </c>
      <c r="K6271" s="766">
        <v>5</v>
      </c>
      <c r="L6271" s="552">
        <f>(I6271*J6271*K6271/1000)</f>
        <v>0.77400000000000002</v>
      </c>
      <c r="M6271" s="550"/>
      <c r="N6271" s="550"/>
      <c r="O6271" s="550"/>
      <c r="P6271" s="550"/>
      <c r="Q6271" s="1065"/>
      <c r="R6271" s="1065"/>
    </row>
    <row r="6272" spans="1:19" s="497" customFormat="1" ht="17.399999999999999">
      <c r="A6272" s="549"/>
      <c r="B6272" s="549" t="s">
        <v>277</v>
      </c>
      <c r="C6272" s="549"/>
      <c r="D6272" s="549"/>
      <c r="E6272" s="549"/>
      <c r="F6272" s="549"/>
      <c r="G6272" s="550"/>
      <c r="H6272" s="550"/>
      <c r="I6272" s="551"/>
      <c r="J6272" s="765"/>
      <c r="K6272" s="766">
        <f t="shared" ref="K6272" si="1363">SUM(K6271)</f>
        <v>5</v>
      </c>
      <c r="L6272" s="765">
        <f>SUM(L6271)</f>
        <v>0.77400000000000002</v>
      </c>
      <c r="M6272" s="550"/>
      <c r="N6272" s="550"/>
      <c r="O6272" s="550"/>
      <c r="P6272" s="550"/>
      <c r="Q6272" s="1065"/>
      <c r="R6272" s="1065"/>
    </row>
    <row r="6273" spans="1:19" s="497" customFormat="1" ht="17.399999999999999">
      <c r="A6273" s="549"/>
      <c r="B6273" s="549"/>
      <c r="C6273" s="549"/>
      <c r="D6273" s="549"/>
      <c r="E6273" s="549"/>
      <c r="F6273" s="549"/>
      <c r="G6273" s="779"/>
      <c r="H6273" s="768"/>
      <c r="I6273" s="1893"/>
      <c r="J6273" s="916"/>
      <c r="K6273" s="778"/>
      <c r="L6273" s="777">
        <f>+L6272+L6269</f>
        <v>1.9607999999999999</v>
      </c>
      <c r="M6273" s="550"/>
      <c r="N6273" s="550"/>
      <c r="O6273" s="550"/>
      <c r="P6273" s="550"/>
      <c r="Q6273" s="1065"/>
      <c r="R6273" s="1065"/>
      <c r="S6273" s="497" t="s">
        <v>617</v>
      </c>
    </row>
    <row r="6274" spans="1:19" s="497" customFormat="1" ht="17.399999999999999">
      <c r="A6274" s="549"/>
      <c r="B6274" s="549"/>
      <c r="C6274" s="549"/>
      <c r="D6274" s="549"/>
      <c r="E6274" s="549"/>
      <c r="F6274" s="549"/>
      <c r="G6274" s="779"/>
      <c r="H6274" s="768"/>
      <c r="I6274" s="1893"/>
      <c r="J6274" s="916"/>
      <c r="K6274" s="778"/>
      <c r="L6274" s="777"/>
      <c r="M6274" s="550"/>
      <c r="N6274" s="550"/>
      <c r="O6274" s="550"/>
      <c r="P6274" s="550"/>
      <c r="Q6274" s="1065"/>
      <c r="R6274" s="1065"/>
    </row>
    <row r="6275" spans="1:19" s="497" customFormat="1" ht="17.399999999999999">
      <c r="A6275" s="549"/>
      <c r="B6275" s="549"/>
      <c r="C6275" s="549"/>
      <c r="D6275" s="549"/>
      <c r="E6275" s="549"/>
      <c r="F6275" s="549"/>
      <c r="G6275" s="869"/>
      <c r="H6275" s="650"/>
      <c r="I6275" s="1882"/>
      <c r="J6275" s="871"/>
      <c r="K6275" s="757"/>
      <c r="L6275" s="756"/>
      <c r="M6275" s="549"/>
      <c r="N6275" s="549"/>
      <c r="O6275" s="549"/>
      <c r="P6275" s="549"/>
      <c r="Q6275" s="1059"/>
      <c r="R6275" s="1059"/>
    </row>
    <row r="6276" spans="1:19" s="497" customFormat="1" ht="17.399999999999999">
      <c r="A6276" s="852" t="s">
        <v>451</v>
      </c>
      <c r="B6276" s="852" t="s">
        <v>682</v>
      </c>
      <c r="C6276" s="852" t="s">
        <v>446</v>
      </c>
      <c r="D6276" s="998" t="s">
        <v>450</v>
      </c>
      <c r="E6276" s="852" t="s">
        <v>270</v>
      </c>
      <c r="F6276" s="853">
        <v>13</v>
      </c>
      <c r="G6276" s="599" t="s">
        <v>61</v>
      </c>
      <c r="H6276" s="899" t="s">
        <v>122</v>
      </c>
      <c r="I6276" s="1699">
        <v>14.66</v>
      </c>
      <c r="J6276" s="732">
        <v>7.5</v>
      </c>
      <c r="K6276" s="733">
        <v>24</v>
      </c>
      <c r="L6276" s="734">
        <f>(I6276*J6276*K6276/1000)</f>
        <v>2.6388000000000003</v>
      </c>
      <c r="M6276" s="599"/>
      <c r="N6276" s="599"/>
      <c r="O6276" s="599"/>
      <c r="P6276" s="599"/>
      <c r="Q6276" s="1066"/>
      <c r="R6276" s="1066"/>
      <c r="S6276" s="497" t="s">
        <v>665</v>
      </c>
    </row>
    <row r="6277" spans="1:19" s="497" customFormat="1" ht="17.399999999999999">
      <c r="A6277" s="599"/>
      <c r="B6277" s="599"/>
      <c r="C6277" s="599"/>
      <c r="D6277" s="599"/>
      <c r="E6277" s="599"/>
      <c r="F6277" s="599"/>
      <c r="G6277" s="599"/>
      <c r="H6277" s="599"/>
      <c r="I6277" s="1699"/>
      <c r="J6277" s="732"/>
      <c r="K6277" s="733">
        <f t="shared" ref="K6277" si="1364">SUM(K6276)</f>
        <v>24</v>
      </c>
      <c r="L6277" s="732">
        <f>SUM(L6276)</f>
        <v>2.6388000000000003</v>
      </c>
      <c r="M6277" s="599"/>
      <c r="N6277" s="599"/>
      <c r="O6277" s="599"/>
      <c r="P6277" s="599"/>
      <c r="Q6277" s="1066"/>
      <c r="R6277" s="1066"/>
      <c r="S6277" s="759"/>
    </row>
    <row r="6278" spans="1:19" s="497" customFormat="1" ht="17.399999999999999">
      <c r="A6278" s="549"/>
      <c r="B6278" s="549"/>
      <c r="C6278" s="549"/>
      <c r="D6278" s="549"/>
      <c r="E6278" s="549"/>
      <c r="F6278" s="549"/>
      <c r="G6278" s="550"/>
      <c r="H6278" s="550"/>
      <c r="I6278" s="551"/>
      <c r="J6278" s="765"/>
      <c r="K6278" s="766"/>
      <c r="L6278" s="765"/>
      <c r="M6278" s="550"/>
      <c r="N6278" s="550"/>
      <c r="O6278" s="550"/>
      <c r="P6278" s="550"/>
      <c r="Q6278" s="1065"/>
      <c r="R6278" s="1065"/>
    </row>
    <row r="6279" spans="1:19" s="497" customFormat="1" ht="17.399999999999999">
      <c r="A6279" s="549"/>
      <c r="B6279" s="549"/>
      <c r="C6279" s="549"/>
      <c r="D6279" s="549"/>
      <c r="E6279" s="549"/>
      <c r="F6279" s="549"/>
      <c r="G6279" s="550"/>
      <c r="H6279" s="550"/>
      <c r="I6279" s="551"/>
      <c r="J6279" s="765"/>
      <c r="K6279" s="766"/>
      <c r="L6279" s="765"/>
      <c r="M6279" s="550"/>
      <c r="N6279" s="550"/>
      <c r="O6279" s="550"/>
      <c r="P6279" s="550"/>
      <c r="Q6279" s="1065"/>
      <c r="R6279" s="1065"/>
    </row>
    <row r="6280" spans="1:19" s="497" customFormat="1" ht="17.399999999999999">
      <c r="A6280" s="547" t="s">
        <v>451</v>
      </c>
      <c r="B6280" s="852" t="s">
        <v>682</v>
      </c>
      <c r="C6280" s="547" t="s">
        <v>446</v>
      </c>
      <c r="D6280" s="813" t="s">
        <v>450</v>
      </c>
      <c r="E6280" s="547" t="s">
        <v>270</v>
      </c>
      <c r="F6280" s="548">
        <v>13</v>
      </c>
      <c r="G6280" s="550" t="s">
        <v>61</v>
      </c>
      <c r="H6280" s="599" t="s">
        <v>120</v>
      </c>
      <c r="I6280" s="551">
        <v>18.149999999999999</v>
      </c>
      <c r="J6280" s="765">
        <v>9.75</v>
      </c>
      <c r="K6280" s="766">
        <v>12</v>
      </c>
      <c r="L6280" s="552">
        <f>(I6280*J6280*K6280/1000)</f>
        <v>2.1235499999999998</v>
      </c>
      <c r="M6280" s="550"/>
      <c r="N6280" s="550"/>
      <c r="O6280" s="550"/>
      <c r="P6280" s="550"/>
      <c r="Q6280" s="1065"/>
      <c r="R6280" s="1065"/>
    </row>
    <row r="6281" spans="1:19" s="497" customFormat="1" ht="17.399999999999999">
      <c r="A6281" s="549"/>
      <c r="B6281" s="549"/>
      <c r="C6281" s="549"/>
      <c r="D6281" s="549"/>
      <c r="E6281" s="549"/>
      <c r="F6281" s="549"/>
      <c r="G6281" s="550"/>
      <c r="H6281" s="550"/>
      <c r="I6281" s="551"/>
      <c r="J6281" s="765"/>
      <c r="K6281" s="766">
        <f t="shared" ref="K6281" si="1365">SUM(K6280)</f>
        <v>12</v>
      </c>
      <c r="L6281" s="765">
        <f>SUM(L6280)</f>
        <v>2.1235499999999998</v>
      </c>
      <c r="M6281" s="550"/>
      <c r="N6281" s="550"/>
      <c r="O6281" s="550"/>
      <c r="P6281" s="550"/>
      <c r="Q6281" s="1065"/>
      <c r="R6281" s="1065"/>
      <c r="S6281" s="497" t="s">
        <v>617</v>
      </c>
    </row>
    <row r="6282" spans="1:19" s="497" customFormat="1" ht="17.399999999999999">
      <c r="A6282" s="549"/>
      <c r="B6282" s="549"/>
      <c r="C6282" s="549"/>
      <c r="D6282" s="549"/>
      <c r="E6282" s="549"/>
      <c r="F6282" s="549"/>
      <c r="G6282" s="550"/>
      <c r="H6282" s="550"/>
      <c r="I6282" s="551"/>
      <c r="J6282" s="765"/>
      <c r="K6282" s="766"/>
      <c r="L6282" s="765"/>
      <c r="M6282" s="550"/>
      <c r="N6282" s="550"/>
      <c r="O6282" s="550"/>
      <c r="P6282" s="550"/>
      <c r="Q6282" s="1065"/>
      <c r="R6282" s="1065"/>
    </row>
    <row r="6283" spans="1:19" s="497" customFormat="1" ht="17.399999999999999">
      <c r="A6283" s="549"/>
      <c r="B6283" s="549"/>
      <c r="C6283" s="549"/>
      <c r="D6283" s="549"/>
      <c r="E6283" s="549"/>
      <c r="F6283" s="549"/>
      <c r="G6283" s="550"/>
      <c r="H6283" s="550"/>
      <c r="I6283" s="551"/>
      <c r="J6283" s="765"/>
      <c r="K6283" s="766"/>
      <c r="L6283" s="765"/>
      <c r="M6283" s="550"/>
      <c r="N6283" s="550"/>
      <c r="O6283" s="550"/>
      <c r="P6283" s="550"/>
      <c r="Q6283" s="1065"/>
      <c r="R6283" s="1065"/>
    </row>
    <row r="6284" spans="1:19" ht="17.399999999999999">
      <c r="A6284" s="549"/>
      <c r="B6284" s="549"/>
      <c r="C6284" s="549"/>
      <c r="D6284" s="549"/>
      <c r="E6284" s="549"/>
      <c r="F6284" s="549"/>
      <c r="G6284" s="549"/>
      <c r="H6284" s="549"/>
      <c r="I6284" s="560"/>
      <c r="J6284" s="549"/>
      <c r="K6284" s="561"/>
      <c r="L6284" s="560"/>
      <c r="M6284" s="549"/>
      <c r="N6284" s="549"/>
      <c r="O6284" s="549"/>
      <c r="P6284" s="549"/>
      <c r="Q6284" s="1059"/>
      <c r="R6284" s="1059"/>
    </row>
    <row r="6285" spans="1:19" ht="17.399999999999999">
      <c r="A6285" s="549"/>
      <c r="B6285" s="549"/>
      <c r="C6285" s="549"/>
      <c r="D6285" s="549"/>
      <c r="E6285" s="549"/>
      <c r="F6285" s="549"/>
      <c r="G6285" s="549"/>
      <c r="H6285" s="549"/>
      <c r="I6285" s="560"/>
      <c r="J6285" s="549"/>
      <c r="K6285" s="561"/>
      <c r="L6285" s="568">
        <f>+L6273+L6277+L6281+L6264+L6246+L6230+L6221+L6212+L6197+L6175+L6159+L6148+L6140+L6112</f>
        <v>338.46666500000003</v>
      </c>
      <c r="M6285" s="549"/>
      <c r="N6285" s="568">
        <f>+N6273+N6277+N6281+N6264+N6246+N6230+N6221+N6212+N6197+N6175+N6159+N6148+N6140+N6112</f>
        <v>9.6334749999999989</v>
      </c>
      <c r="O6285" s="549"/>
      <c r="P6285" s="549"/>
      <c r="Q6285" s="1059"/>
      <c r="R6285" s="1059"/>
    </row>
    <row r="6286" spans="1:19" s="497" customFormat="1" ht="18">
      <c r="A6286" s="653" t="s">
        <v>48</v>
      </c>
      <c r="B6286" s="653"/>
      <c r="C6286" s="654"/>
      <c r="D6286" s="654"/>
      <c r="E6286" s="654"/>
      <c r="F6286" s="929"/>
      <c r="G6286" s="654"/>
      <c r="H6286" s="929"/>
      <c r="I6286" s="656"/>
      <c r="J6286" s="654"/>
      <c r="K6286" s="657"/>
      <c r="L6286" s="2003" t="s">
        <v>0</v>
      </c>
      <c r="M6286" s="2003"/>
      <c r="N6286" s="2003"/>
      <c r="O6286" s="2004"/>
      <c r="P6286" s="2010"/>
      <c r="Q6286" s="1064"/>
      <c r="R6286" s="1064"/>
    </row>
    <row r="6287" spans="1:19" s="497" customFormat="1" ht="18">
      <c r="A6287" s="658" t="s">
        <v>1</v>
      </c>
      <c r="B6287" s="658"/>
      <c r="C6287" s="658"/>
      <c r="D6287" s="659" t="s">
        <v>2</v>
      </c>
      <c r="E6287" s="659"/>
      <c r="F6287" s="660"/>
      <c r="G6287" s="660"/>
      <c r="H6287" s="660"/>
      <c r="I6287" s="661"/>
      <c r="J6287" s="660"/>
      <c r="K6287" s="662" t="s">
        <v>3</v>
      </c>
      <c r="L6287" s="660"/>
      <c r="M6287" s="658"/>
      <c r="N6287" s="660"/>
      <c r="O6287" s="663"/>
      <c r="P6287" s="2010"/>
      <c r="Q6287" s="1064"/>
      <c r="R6287" s="1064"/>
    </row>
    <row r="6288" spans="1:19" s="497" customFormat="1" ht="18">
      <c r="A6288" s="929" t="s">
        <v>22</v>
      </c>
      <c r="B6288" s="1990" t="s">
        <v>23</v>
      </c>
      <c r="C6288" s="2005"/>
      <c r="D6288" s="1989"/>
      <c r="E6288" s="929" t="s">
        <v>24</v>
      </c>
      <c r="F6288" s="1990" t="s">
        <v>25</v>
      </c>
      <c r="G6288" s="1989"/>
      <c r="H6288" s="1990" t="s">
        <v>26</v>
      </c>
      <c r="I6288" s="2005"/>
      <c r="J6288" s="2005"/>
      <c r="K6288" s="1989"/>
      <c r="L6288" s="2006" t="s">
        <v>27</v>
      </c>
      <c r="M6288" s="2006"/>
      <c r="N6288" s="2006"/>
      <c r="O6288" s="1990"/>
      <c r="P6288" s="2010"/>
      <c r="Q6288" s="1064"/>
      <c r="R6288" s="1064"/>
    </row>
    <row r="6289" spans="1:18" s="497" customFormat="1" ht="18">
      <c r="A6289" s="664"/>
      <c r="B6289" s="1975"/>
      <c r="C6289" s="1976"/>
      <c r="D6289" s="1977"/>
      <c r="E6289" s="665"/>
      <c r="F6289" s="1975"/>
      <c r="G6289" s="1977"/>
      <c r="H6289" s="1975"/>
      <c r="I6289" s="1976"/>
      <c r="J6289" s="1976"/>
      <c r="K6289" s="1977"/>
      <c r="L6289" s="1975"/>
      <c r="M6289" s="1976"/>
      <c r="N6289" s="1976"/>
      <c r="O6289" s="1976"/>
      <c r="P6289" s="2010"/>
      <c r="Q6289" s="1064"/>
      <c r="R6289" s="1064"/>
    </row>
    <row r="6290" spans="1:18" s="497" customFormat="1" ht="18">
      <c r="A6290" s="847" t="s">
        <v>28</v>
      </c>
      <c r="B6290" s="1975" t="s">
        <v>144</v>
      </c>
      <c r="C6290" s="1976"/>
      <c r="D6290" s="1977"/>
      <c r="E6290" s="665">
        <v>7</v>
      </c>
      <c r="F6290" s="1975">
        <v>13</v>
      </c>
      <c r="G6290" s="1977"/>
      <c r="H6290" s="1973" t="s">
        <v>447</v>
      </c>
      <c r="I6290" s="2018"/>
      <c r="J6290" s="2018"/>
      <c r="K6290" s="1974"/>
      <c r="L6290" s="2018" t="s">
        <v>436</v>
      </c>
      <c r="M6290" s="2018"/>
      <c r="N6290" s="2018"/>
      <c r="O6290" s="2018"/>
      <c r="P6290" s="2010"/>
      <c r="Q6290" s="1064"/>
      <c r="R6290" s="1064"/>
    </row>
    <row r="6291" spans="1:18" s="497" customFormat="1" ht="18">
      <c r="A6291" s="847" t="s">
        <v>29</v>
      </c>
      <c r="B6291" s="1975" t="s">
        <v>145</v>
      </c>
      <c r="C6291" s="1976"/>
      <c r="D6291" s="1977"/>
      <c r="E6291" s="665">
        <f>+L6230</f>
        <v>12.061500000000002</v>
      </c>
      <c r="F6291" s="1975">
        <v>13</v>
      </c>
      <c r="G6291" s="1977"/>
      <c r="H6291" s="1973" t="s">
        <v>447</v>
      </c>
      <c r="I6291" s="2018"/>
      <c r="J6291" s="2018"/>
      <c r="K6291" s="1974"/>
      <c r="L6291" s="2018" t="s">
        <v>436</v>
      </c>
      <c r="M6291" s="2018"/>
      <c r="N6291" s="2018"/>
      <c r="O6291" s="2018"/>
      <c r="P6291" s="2010"/>
      <c r="Q6291" s="1064"/>
      <c r="R6291" s="1064"/>
    </row>
    <row r="6292" spans="1:18" s="497" customFormat="1" ht="18">
      <c r="A6292" s="847" t="s">
        <v>30</v>
      </c>
      <c r="B6292" s="1975" t="s">
        <v>146</v>
      </c>
      <c r="C6292" s="1976"/>
      <c r="D6292" s="1977"/>
      <c r="E6292" s="665">
        <f>+L6246</f>
        <v>31.456694999999996</v>
      </c>
      <c r="F6292" s="1975">
        <v>13</v>
      </c>
      <c r="G6292" s="1977"/>
      <c r="H6292" s="1973" t="s">
        <v>447</v>
      </c>
      <c r="I6292" s="2018"/>
      <c r="J6292" s="2018"/>
      <c r="K6292" s="1974"/>
      <c r="L6292" s="2018" t="s">
        <v>436</v>
      </c>
      <c r="M6292" s="2018"/>
      <c r="N6292" s="2018"/>
      <c r="O6292" s="2018"/>
      <c r="P6292" s="2010"/>
      <c r="Q6292" s="1064"/>
      <c r="R6292" s="1064"/>
    </row>
    <row r="6293" spans="1:18" s="497" customFormat="1" ht="18">
      <c r="A6293" s="847" t="s">
        <v>46</v>
      </c>
      <c r="B6293" s="1975" t="s">
        <v>147</v>
      </c>
      <c r="C6293" s="1976"/>
      <c r="D6293" s="1977"/>
      <c r="E6293" s="665">
        <f>+L6264</f>
        <v>59.421269999999993</v>
      </c>
      <c r="F6293" s="1975">
        <v>13</v>
      </c>
      <c r="G6293" s="1977"/>
      <c r="H6293" s="1973" t="s">
        <v>447</v>
      </c>
      <c r="I6293" s="2018"/>
      <c r="J6293" s="2018"/>
      <c r="K6293" s="1974"/>
      <c r="L6293" s="2018" t="s">
        <v>436</v>
      </c>
      <c r="M6293" s="2018"/>
      <c r="N6293" s="2018"/>
      <c r="O6293" s="2018"/>
      <c r="P6293" s="2010"/>
      <c r="Q6293" s="1064"/>
      <c r="R6293" s="1064"/>
    </row>
    <row r="6294" spans="1:18" s="497" customFormat="1" ht="18">
      <c r="A6294" s="847"/>
      <c r="B6294" s="924"/>
      <c r="C6294" s="925"/>
      <c r="D6294" s="926"/>
      <c r="E6294" s="665"/>
      <c r="F6294" s="924"/>
      <c r="G6294" s="926"/>
      <c r="H6294" s="930"/>
      <c r="I6294" s="1855"/>
      <c r="J6294" s="931"/>
      <c r="K6294" s="932"/>
      <c r="L6294" s="931"/>
      <c r="M6294" s="931"/>
      <c r="N6294" s="931"/>
      <c r="O6294" s="931"/>
      <c r="P6294" s="2010"/>
      <c r="Q6294" s="1064"/>
      <c r="R6294" s="1064"/>
    </row>
    <row r="6295" spans="1:18" s="497" customFormat="1" ht="18">
      <c r="A6295" s="847"/>
      <c r="B6295" s="967"/>
      <c r="C6295" s="969"/>
      <c r="D6295" s="968"/>
      <c r="E6295" s="665"/>
      <c r="F6295" s="967"/>
      <c r="G6295" s="968"/>
      <c r="H6295" s="970"/>
      <c r="I6295" s="1855"/>
      <c r="J6295" s="971"/>
      <c r="K6295" s="972"/>
      <c r="L6295" s="971"/>
      <c r="M6295" s="971"/>
      <c r="N6295" s="971"/>
      <c r="O6295" s="971"/>
      <c r="P6295" s="2010"/>
      <c r="Q6295" s="1064"/>
      <c r="R6295" s="1064"/>
    </row>
    <row r="6296" spans="1:18" s="497" customFormat="1" ht="18">
      <c r="A6296" s="984" t="s">
        <v>58</v>
      </c>
      <c r="B6296" s="2080" t="s">
        <v>146</v>
      </c>
      <c r="C6296" s="2081"/>
      <c r="D6296" s="2082"/>
      <c r="E6296" s="985">
        <v>21.873999999999999</v>
      </c>
      <c r="F6296" s="2080">
        <v>13</v>
      </c>
      <c r="G6296" s="2082"/>
      <c r="H6296" s="2080" t="s">
        <v>49</v>
      </c>
      <c r="I6296" s="2081"/>
      <c r="J6296" s="2081"/>
      <c r="K6296" s="2082"/>
      <c r="L6296" s="2081" t="s">
        <v>436</v>
      </c>
      <c r="M6296" s="2081"/>
      <c r="N6296" s="2081"/>
      <c r="O6296" s="2081"/>
      <c r="P6296" s="2010"/>
      <c r="Q6296" s="1064"/>
      <c r="R6296" s="1064"/>
    </row>
    <row r="6297" spans="1:18" s="497" customFormat="1" ht="18">
      <c r="A6297" s="984" t="s">
        <v>163</v>
      </c>
      <c r="B6297" s="2080" t="s">
        <v>144</v>
      </c>
      <c r="C6297" s="2081"/>
      <c r="D6297" s="2082"/>
      <c r="E6297" s="985">
        <v>5.9080000000000004</v>
      </c>
      <c r="F6297" s="2080">
        <v>13</v>
      </c>
      <c r="G6297" s="2082"/>
      <c r="H6297" s="2080" t="s">
        <v>49</v>
      </c>
      <c r="I6297" s="2081"/>
      <c r="J6297" s="2081"/>
      <c r="K6297" s="2082"/>
      <c r="L6297" s="2081" t="s">
        <v>436</v>
      </c>
      <c r="M6297" s="2081"/>
      <c r="N6297" s="2081"/>
      <c r="O6297" s="2081"/>
      <c r="P6297" s="2010"/>
      <c r="Q6297" s="1064"/>
      <c r="R6297" s="1064"/>
    </row>
    <row r="6298" spans="1:18" s="497" customFormat="1" ht="18">
      <c r="A6298" s="984"/>
      <c r="B6298" s="986"/>
      <c r="C6298" s="987"/>
      <c r="D6298" s="988"/>
      <c r="E6298" s="985"/>
      <c r="F6298" s="986"/>
      <c r="G6298" s="988"/>
      <c r="H6298" s="986"/>
      <c r="I6298" s="1857"/>
      <c r="J6298" s="987"/>
      <c r="K6298" s="988"/>
      <c r="L6298" s="987"/>
      <c r="M6298" s="987"/>
      <c r="N6298" s="987"/>
      <c r="O6298" s="987"/>
      <c r="P6298" s="2010"/>
      <c r="Q6298" s="1064"/>
      <c r="R6298" s="1064"/>
    </row>
    <row r="6299" spans="1:18" s="497" customFormat="1" ht="18">
      <c r="A6299" s="847"/>
      <c r="B6299" s="1973"/>
      <c r="C6299" s="2018"/>
      <c r="D6299" s="1974"/>
      <c r="E6299" s="665"/>
      <c r="F6299" s="1973"/>
      <c r="G6299" s="1974"/>
      <c r="H6299" s="1973"/>
      <c r="I6299" s="2018"/>
      <c r="J6299" s="2018"/>
      <c r="K6299" s="1974"/>
      <c r="L6299" s="2018"/>
      <c r="M6299" s="2018"/>
      <c r="N6299" s="2018"/>
      <c r="O6299" s="2018"/>
      <c r="P6299" s="2010"/>
      <c r="Q6299" s="1064"/>
      <c r="R6299" s="1064"/>
    </row>
    <row r="6300" spans="1:18" s="497" customFormat="1" ht="18">
      <c r="A6300" s="936" t="s">
        <v>302</v>
      </c>
      <c r="B6300" s="1975" t="s">
        <v>587</v>
      </c>
      <c r="C6300" s="1976"/>
      <c r="D6300" s="1977"/>
      <c r="E6300" s="671">
        <v>5</v>
      </c>
      <c r="F6300" s="1973">
        <v>13</v>
      </c>
      <c r="G6300" s="1974"/>
      <c r="H6300" s="1973" t="s">
        <v>450</v>
      </c>
      <c r="I6300" s="2018"/>
      <c r="J6300" s="2018"/>
      <c r="K6300" s="1974"/>
      <c r="L6300" s="2018" t="s">
        <v>437</v>
      </c>
      <c r="M6300" s="2018"/>
      <c r="N6300" s="2018"/>
      <c r="O6300" s="2018"/>
      <c r="P6300" s="2010"/>
      <c r="Q6300" s="1064"/>
      <c r="R6300" s="1064"/>
    </row>
    <row r="6301" spans="1:18" s="497" customFormat="1" ht="18">
      <c r="A6301" s="936" t="s">
        <v>380</v>
      </c>
      <c r="B6301" s="1975" t="s">
        <v>254</v>
      </c>
      <c r="C6301" s="1976"/>
      <c r="D6301" s="1977"/>
      <c r="E6301" s="671">
        <v>5</v>
      </c>
      <c r="F6301" s="1973">
        <v>13</v>
      </c>
      <c r="G6301" s="1974"/>
      <c r="H6301" s="1973" t="s">
        <v>450</v>
      </c>
      <c r="I6301" s="2018"/>
      <c r="J6301" s="2018"/>
      <c r="K6301" s="1974"/>
      <c r="L6301" s="2018" t="s">
        <v>437</v>
      </c>
      <c r="M6301" s="2018"/>
      <c r="N6301" s="2018"/>
      <c r="O6301" s="2018"/>
      <c r="P6301" s="2010"/>
      <c r="Q6301" s="1064"/>
      <c r="R6301" s="1064"/>
    </row>
    <row r="6302" spans="1:18" s="497" customFormat="1" ht="18">
      <c r="A6302" s="936" t="s">
        <v>434</v>
      </c>
      <c r="B6302" s="1975" t="s">
        <v>586</v>
      </c>
      <c r="C6302" s="1976"/>
      <c r="D6302" s="1977"/>
      <c r="E6302" s="671">
        <v>5</v>
      </c>
      <c r="F6302" s="1973">
        <v>13</v>
      </c>
      <c r="G6302" s="1974"/>
      <c r="H6302" s="1973" t="s">
        <v>450</v>
      </c>
      <c r="I6302" s="2018"/>
      <c r="J6302" s="2018"/>
      <c r="K6302" s="1974"/>
      <c r="L6302" s="2018" t="s">
        <v>437</v>
      </c>
      <c r="M6302" s="2018"/>
      <c r="N6302" s="2018"/>
      <c r="O6302" s="2018"/>
      <c r="P6302" s="2010"/>
      <c r="Q6302" s="1064"/>
      <c r="R6302" s="1064"/>
    </row>
    <row r="6303" spans="1:18" s="497" customFormat="1" ht="18">
      <c r="A6303" s="670"/>
      <c r="B6303" s="1976"/>
      <c r="C6303" s="1976"/>
      <c r="D6303" s="1976"/>
      <c r="E6303" s="671"/>
      <c r="F6303" s="1975"/>
      <c r="G6303" s="1977"/>
      <c r="H6303" s="1975"/>
      <c r="I6303" s="1976"/>
      <c r="J6303" s="1976"/>
      <c r="K6303" s="1977"/>
      <c r="L6303" s="1976"/>
      <c r="M6303" s="1976"/>
      <c r="N6303" s="1976"/>
      <c r="O6303" s="1976"/>
      <c r="P6303" s="2010"/>
      <c r="Q6303" s="1064"/>
      <c r="R6303" s="1064"/>
    </row>
    <row r="6304" spans="1:18" s="497" customFormat="1" ht="18">
      <c r="A6304" s="983"/>
      <c r="B6304" s="981"/>
      <c r="C6304" s="981"/>
      <c r="D6304" s="981"/>
      <c r="E6304" s="671"/>
      <c r="F6304" s="980"/>
      <c r="G6304" s="982"/>
      <c r="H6304" s="980"/>
      <c r="I6304" s="1842"/>
      <c r="J6304" s="981"/>
      <c r="K6304" s="982"/>
      <c r="L6304" s="981"/>
      <c r="M6304" s="981"/>
      <c r="N6304" s="981"/>
      <c r="O6304" s="981"/>
      <c r="P6304" s="2010"/>
      <c r="Q6304" s="1064"/>
      <c r="R6304" s="1064"/>
    </row>
    <row r="6305" spans="1:18" s="497" customFormat="1" ht="18">
      <c r="A6305" s="664"/>
      <c r="B6305" s="1975"/>
      <c r="C6305" s="1976"/>
      <c r="D6305" s="1977"/>
      <c r="E6305" s="665"/>
      <c r="F6305" s="1975"/>
      <c r="G6305" s="1977"/>
      <c r="H6305" s="1975"/>
      <c r="I6305" s="1976"/>
      <c r="J6305" s="1976"/>
      <c r="K6305" s="1977"/>
      <c r="L6305" s="1976"/>
      <c r="M6305" s="1976"/>
      <c r="N6305" s="1976"/>
      <c r="O6305" s="1976"/>
      <c r="P6305" s="2010"/>
      <c r="Q6305" s="1064"/>
      <c r="R6305" s="1064"/>
    </row>
    <row r="6306" spans="1:18" s="497" customFormat="1" ht="18">
      <c r="A6306" s="664"/>
      <c r="B6306" s="1975"/>
      <c r="C6306" s="1976"/>
      <c r="D6306" s="1977"/>
      <c r="E6306" s="665"/>
      <c r="F6306" s="1975"/>
      <c r="G6306" s="1977"/>
      <c r="H6306" s="1975"/>
      <c r="I6306" s="1976"/>
      <c r="J6306" s="1976"/>
      <c r="K6306" s="1977"/>
      <c r="L6306" s="1976"/>
      <c r="M6306" s="1976"/>
      <c r="N6306" s="1976"/>
      <c r="O6306" s="1976"/>
      <c r="P6306" s="2010"/>
      <c r="Q6306" s="1064"/>
      <c r="R6306" s="1064"/>
    </row>
    <row r="6307" spans="1:18" s="497" customFormat="1" ht="18">
      <c r="A6307" s="983"/>
      <c r="B6307" s="981"/>
      <c r="C6307" s="981"/>
      <c r="D6307" s="981"/>
      <c r="E6307" s="671"/>
      <c r="F6307" s="980"/>
      <c r="G6307" s="982"/>
      <c r="H6307" s="980"/>
      <c r="I6307" s="1842"/>
      <c r="J6307" s="981"/>
      <c r="K6307" s="982"/>
      <c r="L6307" s="981"/>
      <c r="M6307" s="981"/>
      <c r="N6307" s="981"/>
      <c r="O6307" s="981"/>
      <c r="P6307" s="2010"/>
      <c r="Q6307" s="1064"/>
      <c r="R6307" s="1064"/>
    </row>
    <row r="6308" spans="1:18" s="497" customFormat="1" ht="18">
      <c r="A6308" s="973"/>
      <c r="B6308" s="969"/>
      <c r="C6308" s="969"/>
      <c r="D6308" s="969"/>
      <c r="E6308" s="671"/>
      <c r="F6308" s="967"/>
      <c r="G6308" s="968"/>
      <c r="H6308" s="967"/>
      <c r="I6308" s="1842"/>
      <c r="J6308" s="969"/>
      <c r="K6308" s="968"/>
      <c r="L6308" s="969"/>
      <c r="M6308" s="969"/>
      <c r="N6308" s="969"/>
      <c r="O6308" s="969"/>
      <c r="P6308" s="2010"/>
      <c r="Q6308" s="1064"/>
      <c r="R6308" s="1064"/>
    </row>
    <row r="6309" spans="1:18" s="497" customFormat="1" ht="18.600000000000001" thickBot="1">
      <c r="A6309" s="664"/>
      <c r="B6309" s="924"/>
      <c r="C6309" s="925"/>
      <c r="D6309" s="925"/>
      <c r="E6309" s="665"/>
      <c r="F6309" s="925"/>
      <c r="G6309" s="926"/>
      <c r="H6309" s="924"/>
      <c r="I6309" s="1842"/>
      <c r="J6309" s="925"/>
      <c r="K6309" s="669"/>
      <c r="L6309" s="672"/>
      <c r="M6309" s="673"/>
      <c r="N6309" s="673"/>
      <c r="O6309" s="673"/>
      <c r="P6309" s="2010"/>
      <c r="Q6309" s="1064"/>
      <c r="R6309" s="1064"/>
    </row>
    <row r="6310" spans="1:18" s="497" customFormat="1" ht="18">
      <c r="A6310" s="674"/>
      <c r="B6310" s="675"/>
      <c r="C6310" s="676"/>
      <c r="D6310" s="676"/>
      <c r="E6310" s="1980">
        <f>SUM(E6289:E6309)</f>
        <v>152.72146499999997</v>
      </c>
      <c r="F6310" s="677"/>
      <c r="G6310" s="678"/>
      <c r="H6310" s="679"/>
      <c r="I6310" s="1848"/>
      <c r="J6310" s="676"/>
      <c r="K6310" s="680"/>
      <c r="L6310" s="679"/>
      <c r="M6310" s="676"/>
      <c r="N6310" s="677"/>
      <c r="O6310" s="676"/>
      <c r="P6310" s="2010"/>
      <c r="Q6310" s="1064"/>
      <c r="R6310" s="1064"/>
    </row>
    <row r="6311" spans="1:18" s="497" customFormat="1" ht="18.600000000000001" thickBot="1">
      <c r="A6311" s="681"/>
      <c r="B6311" s="682"/>
      <c r="C6311" s="683"/>
      <c r="D6311" s="683"/>
      <c r="E6311" s="1981"/>
      <c r="F6311" s="684"/>
      <c r="G6311" s="685"/>
      <c r="H6311" s="686"/>
      <c r="I6311" s="1850"/>
      <c r="J6311" s="683"/>
      <c r="K6311" s="687"/>
      <c r="L6311" s="686"/>
      <c r="M6311" s="683"/>
      <c r="N6311" s="684"/>
      <c r="O6311" s="683"/>
      <c r="P6311" s="2010"/>
      <c r="Q6311" s="1064"/>
      <c r="R6311" s="1064"/>
    </row>
    <row r="6312" spans="1:18" s="497" customFormat="1" ht="18">
      <c r="A6312" s="688" t="s">
        <v>31</v>
      </c>
      <c r="B6312" s="676"/>
      <c r="C6312" s="676"/>
      <c r="D6312" s="676"/>
      <c r="E6312" s="676" t="s">
        <v>575</v>
      </c>
      <c r="F6312" s="677"/>
      <c r="G6312" s="676"/>
      <c r="H6312" s="677"/>
      <c r="I6312" s="1848"/>
      <c r="J6312" s="676"/>
      <c r="K6312" s="689"/>
      <c r="L6312" s="677"/>
      <c r="M6312" s="676"/>
      <c r="N6312" s="677"/>
      <c r="O6312" s="676"/>
      <c r="P6312" s="2010"/>
      <c r="Q6312" s="1064"/>
      <c r="R6312" s="1064"/>
    </row>
    <row r="6313" spans="1:18" s="497" customFormat="1" ht="18">
      <c r="A6313" s="690"/>
      <c r="B6313" s="691"/>
      <c r="C6313" s="691"/>
      <c r="D6313" s="691"/>
      <c r="E6313" s="691"/>
      <c r="F6313" s="923"/>
      <c r="G6313" s="691"/>
      <c r="H6313" s="923"/>
      <c r="I6313" s="1849"/>
      <c r="J6313" s="691"/>
      <c r="K6313" s="693"/>
      <c r="L6313" s="923"/>
      <c r="M6313" s="691"/>
      <c r="N6313" s="923"/>
      <c r="O6313" s="691"/>
      <c r="P6313" s="2010"/>
      <c r="Q6313" s="1064"/>
      <c r="R6313" s="1064"/>
    </row>
    <row r="6314" spans="1:18" s="497" customFormat="1" ht="18.600000000000001" thickBot="1">
      <c r="A6314" s="1982" t="s">
        <v>32</v>
      </c>
      <c r="B6314" s="1983"/>
      <c r="C6314" s="1984" t="s">
        <v>33</v>
      </c>
      <c r="D6314" s="1985"/>
      <c r="E6314" s="694" t="s">
        <v>34</v>
      </c>
      <c r="F6314" s="694" t="s">
        <v>35</v>
      </c>
      <c r="G6314" s="1986" t="s">
        <v>36</v>
      </c>
      <c r="H6314" s="1987"/>
      <c r="I6314" s="1987"/>
      <c r="J6314" s="1987"/>
      <c r="K6314" s="1987"/>
      <c r="L6314" s="1987"/>
      <c r="M6314" s="1987"/>
      <c r="N6314" s="1987"/>
      <c r="O6314" s="1987"/>
      <c r="P6314" s="2010"/>
      <c r="Q6314" s="1064"/>
      <c r="R6314" s="1064"/>
    </row>
    <row r="6315" spans="1:18" s="497" customFormat="1" ht="18">
      <c r="A6315" s="1988"/>
      <c r="B6315" s="1989"/>
      <c r="C6315" s="1990"/>
      <c r="D6315" s="1989"/>
      <c r="E6315" s="929"/>
      <c r="F6315" s="927"/>
      <c r="G6315" s="1991"/>
      <c r="H6315" s="1992"/>
      <c r="I6315" s="1992"/>
      <c r="J6315" s="1992"/>
      <c r="K6315" s="1992"/>
      <c r="L6315" s="1992"/>
      <c r="M6315" s="1992"/>
      <c r="N6315" s="1992"/>
      <c r="O6315" s="1992"/>
      <c r="P6315" s="2010"/>
      <c r="Q6315" s="1064"/>
      <c r="R6315" s="1064"/>
    </row>
    <row r="6316" spans="1:18" s="497" customFormat="1" ht="18">
      <c r="A6316" s="1997" t="s">
        <v>37</v>
      </c>
      <c r="B6316" s="1998"/>
      <c r="C6316" s="1990"/>
      <c r="D6316" s="1989"/>
      <c r="E6316" s="929"/>
      <c r="F6316" s="927"/>
      <c r="G6316" s="1993"/>
      <c r="H6316" s="1994"/>
      <c r="I6316" s="1994"/>
      <c r="J6316" s="1994"/>
      <c r="K6316" s="1994"/>
      <c r="L6316" s="1994"/>
      <c r="M6316" s="1994"/>
      <c r="N6316" s="1994"/>
      <c r="O6316" s="1994"/>
      <c r="P6316" s="2010"/>
      <c r="Q6316" s="1064"/>
      <c r="R6316" s="1064"/>
    </row>
    <row r="6317" spans="1:18" s="497" customFormat="1" ht="18">
      <c r="A6317" s="1997" t="s">
        <v>38</v>
      </c>
      <c r="B6317" s="1998"/>
      <c r="C6317" s="1990"/>
      <c r="D6317" s="1989"/>
      <c r="E6317" s="929"/>
      <c r="F6317" s="927"/>
      <c r="G6317" s="1993"/>
      <c r="H6317" s="1994"/>
      <c r="I6317" s="1994"/>
      <c r="J6317" s="1994"/>
      <c r="K6317" s="1994"/>
      <c r="L6317" s="1994"/>
      <c r="M6317" s="1994"/>
      <c r="N6317" s="1994"/>
      <c r="O6317" s="1994"/>
      <c r="P6317" s="2010"/>
      <c r="Q6317" s="1064"/>
      <c r="R6317" s="1064"/>
    </row>
    <row r="6318" spans="1:18" s="497" customFormat="1" ht="18">
      <c r="A6318" s="1997" t="s">
        <v>39</v>
      </c>
      <c r="B6318" s="1998"/>
      <c r="C6318" s="1990"/>
      <c r="D6318" s="1989"/>
      <c r="E6318" s="929"/>
      <c r="F6318" s="927"/>
      <c r="G6318" s="1993"/>
      <c r="H6318" s="1994"/>
      <c r="I6318" s="1994"/>
      <c r="J6318" s="1994"/>
      <c r="K6318" s="1994"/>
      <c r="L6318" s="1994"/>
      <c r="M6318" s="1994"/>
      <c r="N6318" s="1994"/>
      <c r="O6318" s="1994"/>
      <c r="P6318" s="2010"/>
      <c r="Q6318" s="1064"/>
      <c r="R6318" s="1064"/>
    </row>
    <row r="6319" spans="1:18" s="497" customFormat="1" ht="18">
      <c r="A6319" s="1997" t="s">
        <v>40</v>
      </c>
      <c r="B6319" s="1998"/>
      <c r="C6319" s="1990"/>
      <c r="D6319" s="1989"/>
      <c r="E6319" s="929"/>
      <c r="F6319" s="927"/>
      <c r="G6319" s="1993"/>
      <c r="H6319" s="1994"/>
      <c r="I6319" s="1994"/>
      <c r="J6319" s="1994"/>
      <c r="K6319" s="1994"/>
      <c r="L6319" s="1994"/>
      <c r="M6319" s="1994"/>
      <c r="N6319" s="1994"/>
      <c r="O6319" s="1994"/>
      <c r="P6319" s="2010"/>
      <c r="Q6319" s="1064"/>
      <c r="R6319" s="1064"/>
    </row>
    <row r="6320" spans="1:18" s="497" customFormat="1" ht="18.600000000000001" thickBot="1">
      <c r="A6320" s="1999" t="s">
        <v>41</v>
      </c>
      <c r="B6320" s="2000"/>
      <c r="C6320" s="2001"/>
      <c r="D6320" s="2002"/>
      <c r="E6320" s="696"/>
      <c r="F6320" s="928"/>
      <c r="G6320" s="1995"/>
      <c r="H6320" s="1996"/>
      <c r="I6320" s="1996"/>
      <c r="J6320" s="1996"/>
      <c r="K6320" s="1996"/>
      <c r="L6320" s="1996"/>
      <c r="M6320" s="1996"/>
      <c r="N6320" s="1996"/>
      <c r="O6320" s="1996"/>
      <c r="P6320" s="2010"/>
      <c r="Q6320" s="1064"/>
      <c r="R6320" s="1064"/>
    </row>
    <row r="6321" spans="1:24" s="497" customFormat="1" ht="18">
      <c r="A6321" s="690"/>
      <c r="B6321" s="691"/>
      <c r="C6321" s="691"/>
      <c r="D6321" s="691"/>
      <c r="E6321" s="691"/>
      <c r="F6321" s="923"/>
      <c r="G6321" s="691"/>
      <c r="H6321" s="698"/>
      <c r="I6321" s="699"/>
      <c r="J6321" s="700"/>
      <c r="K6321" s="701"/>
      <c r="L6321" s="702"/>
      <c r="M6321" s="691"/>
      <c r="N6321" s="923"/>
      <c r="O6321" s="691"/>
      <c r="P6321" s="2010"/>
      <c r="Q6321" s="1064"/>
      <c r="R6321" s="1064"/>
    </row>
    <row r="6322" spans="1:24" s="497" customFormat="1" ht="18">
      <c r="A6322" s="703" t="s">
        <v>42</v>
      </c>
      <c r="B6322" s="704"/>
      <c r="C6322" s="691"/>
      <c r="D6322" s="691"/>
      <c r="E6322" s="691"/>
      <c r="F6322" s="923"/>
      <c r="G6322" s="704"/>
      <c r="H6322" s="698"/>
      <c r="I6322" s="699"/>
      <c r="J6322" s="700"/>
      <c r="K6322" s="693"/>
      <c r="L6322" s="705"/>
      <c r="M6322" s="691"/>
      <c r="N6322" s="1979" t="s">
        <v>43</v>
      </c>
      <c r="O6322" s="1979"/>
      <c r="P6322" s="2010"/>
      <c r="Q6322" s="1064"/>
      <c r="R6322" s="1064"/>
    </row>
    <row r="6323" spans="1:24" s="497" customFormat="1" ht="18">
      <c r="A6323" s="703"/>
      <c r="B6323" s="704"/>
      <c r="C6323" s="691"/>
      <c r="D6323" s="691"/>
      <c r="E6323" s="691"/>
      <c r="F6323" s="923"/>
      <c r="G6323" s="691"/>
      <c r="H6323" s="923"/>
      <c r="I6323" s="1849"/>
      <c r="J6323" s="691"/>
      <c r="K6323" s="693"/>
      <c r="L6323" s="923"/>
      <c r="M6323" s="691"/>
      <c r="N6323" s="923"/>
      <c r="O6323" s="704"/>
      <c r="P6323" s="2010"/>
      <c r="Q6323" s="1064"/>
      <c r="R6323" s="1064"/>
    </row>
    <row r="6324" spans="1:24" s="497" customFormat="1" ht="18">
      <c r="A6324" s="703" t="s">
        <v>44</v>
      </c>
      <c r="B6324" s="704"/>
      <c r="C6324" s="691"/>
      <c r="D6324" s="691"/>
      <c r="E6324" s="691"/>
      <c r="F6324" s="923"/>
      <c r="G6324" s="691"/>
      <c r="H6324" s="923"/>
      <c r="I6324" s="1849"/>
      <c r="J6324" s="691"/>
      <c r="K6324" s="693"/>
      <c r="L6324" s="923"/>
      <c r="M6324" s="691"/>
      <c r="N6324" s="1979" t="s">
        <v>45</v>
      </c>
      <c r="O6324" s="1979"/>
      <c r="P6324" s="2010"/>
      <c r="Q6324" s="1064"/>
      <c r="R6324" s="1064"/>
    </row>
    <row r="6325" spans="1:24" s="497" customFormat="1" ht="18.600000000000001" thickBot="1">
      <c r="A6325" s="682"/>
      <c r="B6325" s="683"/>
      <c r="C6325" s="683"/>
      <c r="D6325" s="683"/>
      <c r="E6325" s="683"/>
      <c r="F6325" s="684"/>
      <c r="G6325" s="683"/>
      <c r="H6325" s="684"/>
      <c r="I6325" s="1850"/>
      <c r="J6325" s="683"/>
      <c r="K6325" s="706"/>
      <c r="L6325" s="684"/>
      <c r="M6325" s="683"/>
      <c r="N6325" s="684"/>
      <c r="O6325" s="683"/>
      <c r="P6325" s="2010"/>
      <c r="Q6325" s="1064"/>
      <c r="R6325" s="1064"/>
    </row>
    <row r="6329" spans="1:24" ht="17.399999999999999">
      <c r="A6329" s="711" t="s">
        <v>48</v>
      </c>
      <c r="B6329" s="711"/>
      <c r="C6329" s="712"/>
      <c r="D6329" s="712"/>
      <c r="E6329" s="712"/>
      <c r="F6329" s="713"/>
      <c r="G6329" s="712"/>
      <c r="H6329" s="712"/>
      <c r="I6329" s="714"/>
      <c r="J6329" s="715"/>
      <c r="K6329" s="716"/>
      <c r="L6329" s="1978" t="s">
        <v>0</v>
      </c>
      <c r="M6329" s="1978"/>
      <c r="N6329" s="1978"/>
      <c r="O6329" s="1978"/>
      <c r="P6329" s="717"/>
      <c r="Q6329" s="717"/>
      <c r="R6329" s="717"/>
    </row>
    <row r="6330" spans="1:24" ht="17.399999999999999">
      <c r="A6330" s="718" t="s">
        <v>1</v>
      </c>
      <c r="B6330" s="718"/>
      <c r="C6330" s="718"/>
      <c r="D6330" s="719" t="s">
        <v>2</v>
      </c>
      <c r="E6330" s="719"/>
      <c r="F6330" s="720"/>
      <c r="G6330" s="720"/>
      <c r="H6330" s="720"/>
      <c r="I6330" s="721"/>
      <c r="J6330" s="922"/>
      <c r="K6330" s="723" t="s">
        <v>3</v>
      </c>
      <c r="L6330" s="922"/>
      <c r="M6330" s="718"/>
      <c r="N6330" s="720"/>
      <c r="O6330" s="718"/>
      <c r="P6330" s="724"/>
      <c r="Q6330" s="1059"/>
      <c r="R6330" s="1059"/>
    </row>
    <row r="6331" spans="1:24" ht="52.2">
      <c r="A6331" s="640" t="s">
        <v>4</v>
      </c>
      <c r="B6331" s="640" t="s">
        <v>5</v>
      </c>
      <c r="C6331" s="640" t="s">
        <v>6</v>
      </c>
      <c r="D6331" s="640" t="s">
        <v>7</v>
      </c>
      <c r="E6331" s="640" t="s">
        <v>8</v>
      </c>
      <c r="F6331" s="641" t="s">
        <v>9</v>
      </c>
      <c r="G6331" s="642" t="s">
        <v>10</v>
      </c>
      <c r="H6331" s="642" t="s">
        <v>11</v>
      </c>
      <c r="I6331" s="643" t="s">
        <v>12</v>
      </c>
      <c r="J6331" s="644" t="s">
        <v>13</v>
      </c>
      <c r="K6331" s="645" t="s">
        <v>14</v>
      </c>
      <c r="L6331" s="646" t="s">
        <v>15</v>
      </c>
      <c r="M6331" s="641" t="s">
        <v>16</v>
      </c>
      <c r="N6331" s="641" t="s">
        <v>17</v>
      </c>
      <c r="O6331" s="642" t="s">
        <v>18</v>
      </c>
      <c r="P6331" s="641" t="s">
        <v>192</v>
      </c>
      <c r="Q6331" s="1063"/>
      <c r="R6331" s="1063"/>
    </row>
    <row r="6332" spans="1:24" ht="17.399999999999999">
      <c r="A6332" s="547" t="s">
        <v>445</v>
      </c>
      <c r="B6332" s="547" t="s">
        <v>485</v>
      </c>
      <c r="C6332" s="547" t="s">
        <v>19</v>
      </c>
      <c r="D6332" s="547" t="s">
        <v>20</v>
      </c>
      <c r="E6332" s="560" t="s">
        <v>57</v>
      </c>
      <c r="F6332" s="548">
        <v>14</v>
      </c>
      <c r="G6332" s="549" t="s">
        <v>21</v>
      </c>
      <c r="H6332" s="599" t="s">
        <v>126</v>
      </c>
      <c r="I6332" s="558">
        <v>23.6</v>
      </c>
      <c r="J6332" s="567">
        <v>7.8</v>
      </c>
      <c r="K6332" s="648">
        <v>26</v>
      </c>
      <c r="L6332" s="552">
        <f>(I6332*J6332*K6332/1000)</f>
        <v>4.7860800000000001</v>
      </c>
      <c r="M6332" s="549">
        <v>1</v>
      </c>
      <c r="N6332" s="549">
        <f>J6332*M6332*I6332/1000</f>
        <v>0.18408000000000002</v>
      </c>
      <c r="O6332" s="549"/>
      <c r="P6332" s="549"/>
      <c r="Q6332" s="1059"/>
      <c r="R6332" s="1059"/>
      <c r="S6332">
        <f>7+14+11</f>
        <v>32</v>
      </c>
      <c r="T6332">
        <f>J6332*S6332*I6332/1000</f>
        <v>5.8905600000000007</v>
      </c>
      <c r="U6332" s="432">
        <v>10.5</v>
      </c>
      <c r="V6332">
        <v>1</v>
      </c>
      <c r="W6332">
        <f>U6332*V6332*23.6</f>
        <v>247.8</v>
      </c>
      <c r="X6332" s="497" t="s">
        <v>647</v>
      </c>
    </row>
    <row r="6333" spans="1:24" ht="17.399999999999999">
      <c r="A6333" s="547"/>
      <c r="B6333" s="966" t="s">
        <v>423</v>
      </c>
      <c r="C6333" s="547"/>
      <c r="D6333" s="547"/>
      <c r="E6333" s="547"/>
      <c r="F6333" s="548"/>
      <c r="G6333" s="549" t="s">
        <v>21</v>
      </c>
      <c r="H6333" s="549" t="s">
        <v>126</v>
      </c>
      <c r="I6333" s="558">
        <v>23.6</v>
      </c>
      <c r="J6333" s="567">
        <v>8</v>
      </c>
      <c r="K6333" s="648">
        <v>35</v>
      </c>
      <c r="L6333" s="552">
        <f>(I6333*J6333*K6333/1000)</f>
        <v>6.6079999999999997</v>
      </c>
      <c r="M6333" s="549">
        <v>4</v>
      </c>
      <c r="N6333" s="549">
        <f t="shared" ref="N6333:N6335" si="1366">J6333*M6333*I6333/1000</f>
        <v>0.75520000000000009</v>
      </c>
      <c r="O6333" s="549"/>
      <c r="P6333" s="549"/>
      <c r="Q6333" s="1059"/>
      <c r="R6333" s="1059"/>
      <c r="S6333">
        <f>4+12</f>
        <v>16</v>
      </c>
      <c r="T6333" s="497">
        <f t="shared" ref="T6333:T6335" si="1367">J6333*S6333*I6333/1000</f>
        <v>3.0208000000000004</v>
      </c>
      <c r="U6333" s="432">
        <v>10</v>
      </c>
      <c r="V6333">
        <v>1</v>
      </c>
      <c r="W6333" s="497">
        <f t="shared" ref="W6333:W6338" si="1368">U6333*V6333*23.6</f>
        <v>236</v>
      </c>
    </row>
    <row r="6334" spans="1:24" ht="17.399999999999999">
      <c r="A6334" s="549"/>
      <c r="B6334" s="549"/>
      <c r="C6334" s="549"/>
      <c r="D6334" s="549"/>
      <c r="E6334" s="549"/>
      <c r="F6334" s="549"/>
      <c r="G6334" s="549" t="s">
        <v>21</v>
      </c>
      <c r="H6334" s="549" t="s">
        <v>126</v>
      </c>
      <c r="I6334" s="558">
        <v>23.6</v>
      </c>
      <c r="J6334" s="567">
        <v>9.5</v>
      </c>
      <c r="K6334" s="648">
        <v>37</v>
      </c>
      <c r="L6334" s="552">
        <f>(I6334*J6334*K6334/1000)</f>
        <v>8.2954000000000008</v>
      </c>
      <c r="M6334" s="549">
        <f>1+4</f>
        <v>5</v>
      </c>
      <c r="N6334" s="549">
        <f t="shared" si="1366"/>
        <v>1.121</v>
      </c>
      <c r="O6334" s="549"/>
      <c r="P6334" s="549"/>
      <c r="Q6334" s="1059"/>
      <c r="R6334" s="1059"/>
      <c r="S6334">
        <f>4+14+12</f>
        <v>30</v>
      </c>
      <c r="T6334" s="497">
        <f t="shared" si="1367"/>
        <v>6.726</v>
      </c>
      <c r="U6334" s="432">
        <v>9.1</v>
      </c>
      <c r="V6334">
        <v>2</v>
      </c>
      <c r="W6334" s="497">
        <f t="shared" si="1368"/>
        <v>429.52</v>
      </c>
    </row>
    <row r="6335" spans="1:24" ht="17.399999999999999">
      <c r="A6335" s="549"/>
      <c r="B6335" s="549"/>
      <c r="C6335" s="549"/>
      <c r="D6335" s="549"/>
      <c r="E6335" s="549"/>
      <c r="F6335" s="549"/>
      <c r="G6335" s="549" t="s">
        <v>21</v>
      </c>
      <c r="H6335" s="549" t="s">
        <v>126</v>
      </c>
      <c r="I6335" s="558">
        <v>23.6</v>
      </c>
      <c r="J6335" s="567">
        <v>10.9</v>
      </c>
      <c r="K6335" s="648">
        <v>14</v>
      </c>
      <c r="L6335" s="552">
        <f>(I6335*J6335*K6335/1000)</f>
        <v>3.6013600000000001</v>
      </c>
      <c r="M6335" s="549">
        <v>1</v>
      </c>
      <c r="N6335" s="549">
        <f t="shared" si="1366"/>
        <v>0.25724000000000002</v>
      </c>
      <c r="O6335" s="549"/>
      <c r="P6335" s="549"/>
      <c r="Q6335" s="1059"/>
      <c r="R6335" s="1059"/>
      <c r="S6335">
        <v>14</v>
      </c>
      <c r="T6335" s="497">
        <f t="shared" si="1367"/>
        <v>3.6013600000000001</v>
      </c>
      <c r="U6335" s="432">
        <v>8.6999999999999993</v>
      </c>
      <c r="V6335">
        <v>1</v>
      </c>
      <c r="W6335" s="497">
        <f t="shared" si="1368"/>
        <v>205.32</v>
      </c>
    </row>
    <row r="6336" spans="1:24" ht="17.399999999999999">
      <c r="A6336" s="549"/>
      <c r="B6336" s="549"/>
      <c r="C6336" s="549"/>
      <c r="D6336" s="549"/>
      <c r="E6336" s="549"/>
      <c r="F6336" s="549"/>
      <c r="G6336" s="549" t="s">
        <v>21</v>
      </c>
      <c r="H6336" s="549" t="s">
        <v>126</v>
      </c>
      <c r="I6336" s="558">
        <v>23.6</v>
      </c>
      <c r="J6336" s="567">
        <v>11.6</v>
      </c>
      <c r="K6336" s="648">
        <v>22</v>
      </c>
      <c r="L6336" s="552">
        <f>(I6336*J6336*K6336/1000)</f>
        <v>6.0227199999999996</v>
      </c>
      <c r="M6336" s="549"/>
      <c r="N6336" s="549"/>
      <c r="O6336" s="549"/>
      <c r="P6336" s="549"/>
      <c r="Q6336" s="1059"/>
      <c r="R6336" s="1059"/>
      <c r="U6336" s="432">
        <v>7.7</v>
      </c>
      <c r="V6336">
        <v>2</v>
      </c>
      <c r="W6336" s="497">
        <f t="shared" si="1368"/>
        <v>363.44000000000005</v>
      </c>
    </row>
    <row r="6337" spans="1:23" ht="17.399999999999999">
      <c r="A6337" s="549"/>
      <c r="B6337" s="549"/>
      <c r="C6337" s="549"/>
      <c r="D6337" s="549"/>
      <c r="E6337" s="549"/>
      <c r="F6337" s="549"/>
      <c r="G6337" s="549"/>
      <c r="H6337" s="549"/>
      <c r="I6337" s="558"/>
      <c r="J6337" s="567"/>
      <c r="K6337" s="648">
        <f>SUM(K6332:K6336)</f>
        <v>134</v>
      </c>
      <c r="L6337" s="567">
        <f>SUM(L6332:L6336)</f>
        <v>29.313559999999999</v>
      </c>
      <c r="M6337" s="648">
        <f>SUM(M6332:M6336)</f>
        <v>11</v>
      </c>
      <c r="N6337" s="567">
        <f t="shared" ref="N6337" si="1369">SUM(N6332:N6336)</f>
        <v>2.31752</v>
      </c>
      <c r="O6337" s="549"/>
      <c r="P6337" s="549"/>
      <c r="Q6337" s="549"/>
      <c r="R6337" s="549"/>
      <c r="S6337" s="648">
        <f>SUM(S6332:S6336)</f>
        <v>92</v>
      </c>
      <c r="T6337" s="567">
        <f>SUM(T6332:T6336)</f>
        <v>19.238720000000001</v>
      </c>
      <c r="U6337" s="432">
        <v>7.5</v>
      </c>
      <c r="V6337">
        <v>1</v>
      </c>
      <c r="W6337" s="497">
        <f t="shared" si="1368"/>
        <v>177</v>
      </c>
    </row>
    <row r="6338" spans="1:23" ht="17.399999999999999">
      <c r="A6338" s="549"/>
      <c r="B6338" s="549"/>
      <c r="C6338" s="549"/>
      <c r="D6338" s="549"/>
      <c r="E6338" s="549"/>
      <c r="F6338" s="549"/>
      <c r="G6338" s="549"/>
      <c r="H6338" s="549"/>
      <c r="I6338" s="560"/>
      <c r="J6338" s="549"/>
      <c r="K6338" s="561"/>
      <c r="L6338" s="568"/>
      <c r="M6338" s="549"/>
      <c r="N6338" s="549"/>
      <c r="O6338" s="549"/>
      <c r="P6338" s="549"/>
      <c r="Q6338" s="1059"/>
      <c r="R6338" s="1059"/>
      <c r="U6338" s="433">
        <v>12</v>
      </c>
      <c r="V6338">
        <f>6+11</f>
        <v>17</v>
      </c>
      <c r="W6338" s="497">
        <f t="shared" si="1368"/>
        <v>4814.4000000000005</v>
      </c>
    </row>
    <row r="6339" spans="1:23" s="497" customFormat="1" ht="17.399999999999999">
      <c r="A6339" s="547" t="s">
        <v>445</v>
      </c>
      <c r="B6339" s="547" t="s">
        <v>583</v>
      </c>
      <c r="C6339" s="547" t="s">
        <v>19</v>
      </c>
      <c r="D6339" s="547" t="s">
        <v>20</v>
      </c>
      <c r="E6339" s="560" t="s">
        <v>464</v>
      </c>
      <c r="F6339" s="548">
        <v>14</v>
      </c>
      <c r="G6339" s="549" t="s">
        <v>21</v>
      </c>
      <c r="H6339" s="599" t="s">
        <v>126</v>
      </c>
      <c r="I6339" s="558">
        <v>23.6</v>
      </c>
      <c r="J6339" s="567">
        <v>10</v>
      </c>
      <c r="K6339" s="648">
        <v>3</v>
      </c>
      <c r="L6339" s="552">
        <f>(I6339*J6339*K6339/1000)</f>
        <v>0.70799999999999996</v>
      </c>
      <c r="M6339" s="549"/>
      <c r="N6339" s="549"/>
      <c r="O6339" s="549"/>
      <c r="P6339" s="549"/>
      <c r="Q6339" s="1059"/>
      <c r="R6339" s="1059"/>
      <c r="S6339" s="497">
        <v>3</v>
      </c>
      <c r="T6339" s="497">
        <f>J6339*S6339*I6339/1000</f>
        <v>0.70799999999999996</v>
      </c>
      <c r="U6339" s="497" t="s">
        <v>647</v>
      </c>
    </row>
    <row r="6340" spans="1:23" s="497" customFormat="1" ht="17.399999999999999">
      <c r="A6340" s="547"/>
      <c r="B6340" s="949" t="s">
        <v>238</v>
      </c>
      <c r="C6340" s="547"/>
      <c r="D6340" s="547"/>
      <c r="E6340" s="547"/>
      <c r="F6340" s="548"/>
      <c r="G6340" s="549"/>
      <c r="H6340" s="549"/>
      <c r="I6340" s="558"/>
      <c r="J6340" s="567"/>
      <c r="K6340" s="648">
        <f t="shared" ref="K6340" si="1370">SUM(K6339)</f>
        <v>3</v>
      </c>
      <c r="L6340" s="567">
        <f>SUM(L6339)</f>
        <v>0.70799999999999996</v>
      </c>
      <c r="M6340" s="549"/>
      <c r="N6340" s="549"/>
      <c r="O6340" s="549"/>
      <c r="P6340" s="549"/>
      <c r="Q6340" s="549"/>
      <c r="R6340" s="549"/>
      <c r="S6340" s="648">
        <f t="shared" ref="S6340" si="1371">SUM(S6339)</f>
        <v>3</v>
      </c>
      <c r="T6340" s="567">
        <f>SUM(T6339)</f>
        <v>0.70799999999999996</v>
      </c>
    </row>
    <row r="6341" spans="1:23" s="497" customFormat="1" ht="17.399999999999999">
      <c r="A6341" s="549"/>
      <c r="B6341" s="549"/>
      <c r="C6341" s="549"/>
      <c r="D6341" s="549"/>
      <c r="E6341" s="549"/>
      <c r="F6341" s="549"/>
      <c r="G6341" s="549"/>
      <c r="H6341" s="549"/>
      <c r="I6341" s="558"/>
      <c r="J6341" s="567"/>
      <c r="K6341" s="648"/>
      <c r="L6341" s="567"/>
      <c r="M6341" s="549"/>
      <c r="N6341" s="549"/>
      <c r="O6341" s="549"/>
      <c r="P6341" s="549"/>
      <c r="Q6341" s="1059"/>
      <c r="R6341" s="1059"/>
    </row>
    <row r="6342" spans="1:23" s="497" customFormat="1" ht="17.399999999999999">
      <c r="A6342" s="547" t="s">
        <v>445</v>
      </c>
      <c r="B6342" s="547" t="s">
        <v>611</v>
      </c>
      <c r="C6342" s="547" t="s">
        <v>19</v>
      </c>
      <c r="D6342" s="547" t="s">
        <v>20</v>
      </c>
      <c r="E6342" s="560" t="s">
        <v>464</v>
      </c>
      <c r="F6342" s="548">
        <v>14</v>
      </c>
      <c r="G6342" s="549" t="s">
        <v>21</v>
      </c>
      <c r="H6342" s="599" t="s">
        <v>126</v>
      </c>
      <c r="I6342" s="558">
        <v>23.6</v>
      </c>
      <c r="J6342" s="950">
        <v>11.3</v>
      </c>
      <c r="K6342" s="951">
        <f>22+29+4</f>
        <v>55</v>
      </c>
      <c r="L6342" s="552">
        <f>(I6342*J6342*K6342/1000)</f>
        <v>14.667399999999999</v>
      </c>
      <c r="M6342" s="549">
        <v>6</v>
      </c>
      <c r="N6342" s="567">
        <f>J6342*M6342*I6342/1000</f>
        <v>1.6000800000000004</v>
      </c>
      <c r="O6342" s="549"/>
      <c r="P6342" s="549"/>
      <c r="Q6342" s="1059"/>
      <c r="R6342" s="1059"/>
      <c r="T6342" s="497">
        <f t="shared" ref="T6342:T6343" si="1372">J6342*S6342*I6342/1000</f>
        <v>0</v>
      </c>
      <c r="U6342" s="497" t="s">
        <v>647</v>
      </c>
    </row>
    <row r="6343" spans="1:23" ht="17.399999999999999">
      <c r="A6343" s="547"/>
      <c r="B6343" s="869" t="s">
        <v>585</v>
      </c>
      <c r="C6343" s="547"/>
      <c r="D6343" s="547"/>
      <c r="E6343" s="547"/>
      <c r="F6343" s="548"/>
      <c r="G6343" s="549" t="s">
        <v>21</v>
      </c>
      <c r="H6343" s="549" t="s">
        <v>126</v>
      </c>
      <c r="I6343" s="558">
        <v>23.6</v>
      </c>
      <c r="J6343" s="950">
        <v>11.65</v>
      </c>
      <c r="K6343" s="951">
        <f>112+230</f>
        <v>342</v>
      </c>
      <c r="L6343" s="552">
        <f>(I6343*J6343*K6343/1000)</f>
        <v>94.029479999999992</v>
      </c>
      <c r="M6343" s="549"/>
      <c r="N6343" s="549"/>
      <c r="O6343" s="549"/>
      <c r="P6343" s="549"/>
      <c r="Q6343" s="1059"/>
      <c r="R6343" s="1059"/>
      <c r="S6343">
        <f>12+12+12+12+12+12+12+12+13+12+12+12+12+12+12+12+12+12+12+12+12+12+12</f>
        <v>277</v>
      </c>
      <c r="T6343" s="497">
        <f t="shared" si="1372"/>
        <v>76.158380000000008</v>
      </c>
    </row>
    <row r="6344" spans="1:23" ht="17.399999999999999">
      <c r="A6344" s="549"/>
      <c r="B6344" s="549"/>
      <c r="C6344" s="549"/>
      <c r="D6344" s="549"/>
      <c r="E6344" s="549"/>
      <c r="F6344" s="549"/>
      <c r="G6344" s="549"/>
      <c r="H6344" s="952"/>
      <c r="I6344" s="1749"/>
      <c r="J6344" s="953"/>
      <c r="K6344" s="951">
        <f>SUM(K6342:K6343)</f>
        <v>397</v>
      </c>
      <c r="L6344" s="950">
        <f>SUM(L6342:L6343)</f>
        <v>108.69687999999999</v>
      </c>
      <c r="M6344" s="951">
        <f>SUM(M6342:M6343)</f>
        <v>6</v>
      </c>
      <c r="N6344" s="950">
        <f>SUM(N6342:N6343)</f>
        <v>1.6000800000000004</v>
      </c>
      <c r="O6344" s="549"/>
      <c r="P6344" s="549"/>
      <c r="Q6344" s="549"/>
      <c r="R6344" s="549"/>
      <c r="S6344" s="951">
        <f>SUM(S6342:S6343)</f>
        <v>277</v>
      </c>
      <c r="T6344" s="950">
        <f>SUM(T6342:T6343)</f>
        <v>76.158380000000008</v>
      </c>
    </row>
    <row r="6345" spans="1:23" ht="17.399999999999999">
      <c r="A6345" s="549"/>
      <c r="B6345" s="549"/>
      <c r="C6345" s="549"/>
      <c r="D6345" s="549"/>
      <c r="E6345" s="549"/>
      <c r="F6345" s="549"/>
      <c r="G6345" s="549"/>
      <c r="H6345" s="549"/>
      <c r="I6345" s="560"/>
      <c r="J6345" s="549"/>
      <c r="K6345" s="561"/>
      <c r="L6345" s="568"/>
      <c r="M6345" s="549"/>
      <c r="N6345" s="549"/>
      <c r="O6345" s="549"/>
      <c r="P6345" s="549"/>
      <c r="Q6345" s="1059"/>
      <c r="R6345" s="1059"/>
    </row>
    <row r="6346" spans="1:23" ht="17.399999999999999">
      <c r="A6346" s="547" t="s">
        <v>451</v>
      </c>
      <c r="B6346" s="547" t="s">
        <v>581</v>
      </c>
      <c r="C6346" s="547" t="s">
        <v>19</v>
      </c>
      <c r="D6346" s="813" t="s">
        <v>20</v>
      </c>
      <c r="E6346" s="547" t="s">
        <v>359</v>
      </c>
      <c r="F6346" s="548">
        <v>14</v>
      </c>
      <c r="G6346" s="549" t="s">
        <v>21</v>
      </c>
      <c r="H6346" s="599" t="s">
        <v>126</v>
      </c>
      <c r="I6346" s="558">
        <v>23.45</v>
      </c>
      <c r="J6346" s="567">
        <v>12</v>
      </c>
      <c r="K6346" s="648">
        <v>12</v>
      </c>
      <c r="L6346" s="552">
        <f>(I6346*J6346*K6346/1000)</f>
        <v>3.3767999999999998</v>
      </c>
      <c r="M6346" s="549">
        <v>5</v>
      </c>
      <c r="N6346" s="549">
        <f>J6346*M6346*I6346/1000</f>
        <v>1.407</v>
      </c>
      <c r="O6346" s="549"/>
      <c r="P6346" s="549"/>
      <c r="Q6346" s="1059"/>
      <c r="R6346" s="1059"/>
      <c r="S6346">
        <f>6+1</f>
        <v>7</v>
      </c>
      <c r="T6346" s="497">
        <f>J6346*S6346*I6346/1000</f>
        <v>1.9698</v>
      </c>
      <c r="U6346" s="497" t="s">
        <v>647</v>
      </c>
    </row>
    <row r="6347" spans="1:23" ht="17.399999999999999">
      <c r="A6347" s="549"/>
      <c r="B6347" s="549" t="s">
        <v>277</v>
      </c>
      <c r="C6347" s="549"/>
      <c r="D6347" s="549"/>
      <c r="E6347" s="549"/>
      <c r="F6347" s="549"/>
      <c r="G6347" s="549"/>
      <c r="H6347" s="549"/>
      <c r="I6347" s="558"/>
      <c r="J6347" s="567"/>
      <c r="K6347" s="648">
        <f t="shared" ref="K6347:M6347" si="1373">SUM(K6346)</f>
        <v>12</v>
      </c>
      <c r="L6347" s="567">
        <f>SUM(L6346)</f>
        <v>3.3767999999999998</v>
      </c>
      <c r="M6347" s="648">
        <f t="shared" si="1373"/>
        <v>5</v>
      </c>
      <c r="N6347" s="567">
        <f>SUM(N6346)</f>
        <v>1.407</v>
      </c>
      <c r="O6347" s="549"/>
      <c r="P6347" s="549"/>
      <c r="Q6347" s="549"/>
      <c r="R6347" s="549"/>
      <c r="S6347" s="648">
        <f t="shared" ref="S6347" si="1374">SUM(S6346)</f>
        <v>7</v>
      </c>
      <c r="T6347" s="567">
        <f>SUM(T6346)</f>
        <v>1.9698</v>
      </c>
    </row>
    <row r="6348" spans="1:23" s="497" customFormat="1" ht="17.399999999999999">
      <c r="A6348" s="549"/>
      <c r="B6348" s="549"/>
      <c r="C6348" s="549"/>
      <c r="D6348" s="549"/>
      <c r="E6348" s="549"/>
      <c r="F6348" s="549"/>
      <c r="G6348" s="549"/>
      <c r="H6348" s="549"/>
      <c r="I6348" s="558"/>
      <c r="J6348" s="567"/>
      <c r="K6348" s="648"/>
      <c r="L6348" s="567"/>
      <c r="M6348" s="648"/>
      <c r="N6348" s="567"/>
      <c r="O6348" s="549"/>
      <c r="P6348" s="549"/>
      <c r="Q6348" s="1059"/>
      <c r="R6348" s="1059"/>
    </row>
    <row r="6349" spans="1:23" s="497" customFormat="1" ht="17.399999999999999">
      <c r="A6349" s="547" t="s">
        <v>541</v>
      </c>
      <c r="B6349" s="547" t="s">
        <v>612</v>
      </c>
      <c r="C6349" s="547" t="s">
        <v>19</v>
      </c>
      <c r="D6349" s="547" t="s">
        <v>20</v>
      </c>
      <c r="E6349" s="560" t="s">
        <v>464</v>
      </c>
      <c r="F6349" s="548">
        <v>14</v>
      </c>
      <c r="G6349" s="550" t="s">
        <v>21</v>
      </c>
      <c r="H6349" s="599" t="s">
        <v>126</v>
      </c>
      <c r="I6349" s="551">
        <v>23.6</v>
      </c>
      <c r="J6349" s="765">
        <v>11.3</v>
      </c>
      <c r="K6349" s="766">
        <v>25</v>
      </c>
      <c r="L6349" s="552">
        <f>(I6349*J6349*K6349/1000)</f>
        <v>6.6669999999999998</v>
      </c>
      <c r="M6349" s="550"/>
      <c r="N6349" s="549"/>
      <c r="O6349" s="549"/>
      <c r="P6349" s="549"/>
      <c r="Q6349" s="1059"/>
      <c r="R6349" s="1059"/>
      <c r="S6349" s="497">
        <v>9</v>
      </c>
      <c r="T6349" s="497">
        <f t="shared" ref="T6349:T6350" si="1375">J6349*S6349*I6349/1000</f>
        <v>2.4001200000000003</v>
      </c>
      <c r="U6349" s="497" t="s">
        <v>647</v>
      </c>
    </row>
    <row r="6350" spans="1:23" s="497" customFormat="1" ht="17.399999999999999">
      <c r="A6350" s="547"/>
      <c r="B6350" s="869" t="s">
        <v>585</v>
      </c>
      <c r="C6350" s="547"/>
      <c r="D6350" s="547"/>
      <c r="E6350" s="560"/>
      <c r="F6350" s="548"/>
      <c r="G6350" s="550" t="s">
        <v>21</v>
      </c>
      <c r="H6350" s="550" t="s">
        <v>126</v>
      </c>
      <c r="I6350" s="551">
        <v>23.6</v>
      </c>
      <c r="J6350" s="765">
        <v>11.6</v>
      </c>
      <c r="K6350" s="766">
        <v>44</v>
      </c>
      <c r="L6350" s="552">
        <f>(I6350*J6350*K6350/1000)</f>
        <v>12.045439999999999</v>
      </c>
      <c r="M6350" s="550"/>
      <c r="N6350" s="549"/>
      <c r="O6350" s="549"/>
      <c r="P6350" s="549"/>
      <c r="Q6350" s="1059"/>
      <c r="R6350" s="1059"/>
      <c r="S6350" s="497">
        <f>12+10+1</f>
        <v>23</v>
      </c>
      <c r="T6350" s="497">
        <f t="shared" si="1375"/>
        <v>6.2964800000000007</v>
      </c>
    </row>
    <row r="6351" spans="1:23" s="497" customFormat="1" ht="17.399999999999999">
      <c r="A6351" s="549"/>
      <c r="B6351" s="869"/>
      <c r="C6351" s="549"/>
      <c r="D6351" s="549"/>
      <c r="E6351" s="549"/>
      <c r="F6351" s="549"/>
      <c r="G6351" s="550"/>
      <c r="H6351" s="779"/>
      <c r="I6351" s="1895"/>
      <c r="J6351" s="935"/>
      <c r="K6351" s="933">
        <f>SUM(K6349:K6350)</f>
        <v>69</v>
      </c>
      <c r="L6351" s="777">
        <f>SUM(L6349:L6350)</f>
        <v>18.712440000000001</v>
      </c>
      <c r="M6351" s="550"/>
      <c r="N6351" s="549"/>
      <c r="O6351" s="549"/>
      <c r="P6351" s="549"/>
      <c r="Q6351" s="549"/>
      <c r="R6351" s="549"/>
      <c r="S6351" s="933">
        <f>SUM(S6349:S6350)</f>
        <v>32</v>
      </c>
      <c r="T6351" s="777">
        <f>SUM(T6349:T6350)</f>
        <v>8.6966000000000001</v>
      </c>
    </row>
    <row r="6352" spans="1:23" s="497" customFormat="1" ht="17.399999999999999">
      <c r="A6352" s="549"/>
      <c r="B6352" s="549"/>
      <c r="C6352" s="549"/>
      <c r="D6352" s="549"/>
      <c r="E6352" s="549"/>
      <c r="F6352" s="549"/>
      <c r="G6352" s="549"/>
      <c r="H6352" s="549"/>
      <c r="I6352" s="558"/>
      <c r="J6352" s="567"/>
      <c r="K6352" s="648">
        <f>SUM(K6332:K6351)/2</f>
        <v>615</v>
      </c>
      <c r="L6352" s="567">
        <f>SUM(L6332:L6351)/2</f>
        <v>160.80767999999998</v>
      </c>
      <c r="M6352" s="648">
        <f>SUM(M6332:M6351)/2</f>
        <v>22</v>
      </c>
      <c r="N6352" s="567">
        <f>SUM(N6332:N6351)/2</f>
        <v>5.3246000000000002</v>
      </c>
      <c r="O6352" s="549"/>
      <c r="P6352" s="549"/>
      <c r="Q6352" s="549"/>
      <c r="R6352" s="549"/>
      <c r="S6352" s="648">
        <f>SUM(S6332:S6351)/2</f>
        <v>411</v>
      </c>
      <c r="T6352" s="567">
        <f>SUM(T6332:T6351)/2</f>
        <v>106.77149999999999</v>
      </c>
    </row>
    <row r="6353" spans="1:21" s="497" customFormat="1" ht="17.399999999999999">
      <c r="A6353" s="549"/>
      <c r="B6353" s="549"/>
      <c r="C6353" s="549"/>
      <c r="D6353" s="549"/>
      <c r="E6353" s="549"/>
      <c r="F6353" s="549"/>
      <c r="G6353" s="549"/>
      <c r="H6353" s="549"/>
      <c r="I6353" s="558"/>
      <c r="J6353" s="567"/>
      <c r="K6353" s="648"/>
      <c r="L6353" s="567"/>
      <c r="M6353" s="549"/>
      <c r="N6353" s="549"/>
      <c r="O6353" s="549"/>
      <c r="P6353" s="549"/>
      <c r="Q6353" s="1059"/>
      <c r="R6353" s="1059"/>
    </row>
    <row r="6354" spans="1:21" s="497" customFormat="1" ht="17.399999999999999">
      <c r="A6354" s="549"/>
      <c r="B6354" s="549"/>
      <c r="C6354" s="549"/>
      <c r="D6354" s="549"/>
      <c r="E6354" s="549"/>
      <c r="F6354" s="549"/>
      <c r="G6354" s="549"/>
      <c r="H6354" s="549"/>
      <c r="I6354" s="558"/>
      <c r="J6354" s="567"/>
      <c r="K6354" s="648"/>
      <c r="L6354" s="567"/>
      <c r="M6354" s="549"/>
      <c r="N6354" s="549"/>
      <c r="O6354" s="549"/>
      <c r="P6354" s="549"/>
      <c r="Q6354" s="1059"/>
      <c r="R6354" s="1059"/>
      <c r="U6354" s="497" t="s">
        <v>598</v>
      </c>
    </row>
    <row r="6355" spans="1:21" ht="17.399999999999999">
      <c r="A6355" s="547" t="s">
        <v>445</v>
      </c>
      <c r="B6355" s="547" t="s">
        <v>485</v>
      </c>
      <c r="C6355" s="547" t="s">
        <v>19</v>
      </c>
      <c r="D6355" s="547" t="s">
        <v>20</v>
      </c>
      <c r="E6355" s="560" t="s">
        <v>57</v>
      </c>
      <c r="F6355" s="548">
        <v>14</v>
      </c>
      <c r="G6355" s="550" t="s">
        <v>21</v>
      </c>
      <c r="H6355" s="599" t="s">
        <v>124</v>
      </c>
      <c r="I6355" s="551">
        <v>19.8</v>
      </c>
      <c r="J6355" s="765">
        <v>7.2</v>
      </c>
      <c r="K6355" s="766">
        <v>10</v>
      </c>
      <c r="L6355" s="552">
        <f>(I6355*J6355*K6355/1000)</f>
        <v>1.4256</v>
      </c>
      <c r="M6355" s="550"/>
      <c r="N6355" s="550">
        <f t="shared" ref="N6355:N6357" si="1376">J6355*M6355*I6355/1000</f>
        <v>0</v>
      </c>
      <c r="O6355" s="550"/>
      <c r="P6355" s="550"/>
      <c r="Q6355" s="1065"/>
      <c r="R6355" s="1065"/>
      <c r="S6355">
        <v>4174</v>
      </c>
      <c r="T6355">
        <v>52</v>
      </c>
      <c r="U6355" s="497" t="s">
        <v>671</v>
      </c>
    </row>
    <row r="6356" spans="1:21" ht="17.399999999999999">
      <c r="A6356" s="547"/>
      <c r="B6356" s="966" t="s">
        <v>423</v>
      </c>
      <c r="C6356" s="547"/>
      <c r="D6356" s="547"/>
      <c r="E6356" s="547"/>
      <c r="F6356" s="548"/>
      <c r="G6356" s="550" t="s">
        <v>21</v>
      </c>
      <c r="H6356" s="550" t="s">
        <v>124</v>
      </c>
      <c r="I6356" s="551">
        <v>19.8</v>
      </c>
      <c r="J6356" s="765">
        <v>11.7</v>
      </c>
      <c r="K6356" s="766">
        <v>26</v>
      </c>
      <c r="L6356" s="552">
        <f>(I6356*J6356*K6356/1000)</f>
        <v>6.0231599999999998</v>
      </c>
      <c r="M6356" s="550"/>
      <c r="N6356" s="550">
        <f t="shared" si="1376"/>
        <v>0</v>
      </c>
      <c r="O6356" s="550"/>
      <c r="P6356" s="550"/>
      <c r="Q6356" s="1065"/>
      <c r="R6356" s="1065"/>
      <c r="S6356" s="759">
        <v>3710</v>
      </c>
      <c r="T6356" s="759">
        <v>52</v>
      </c>
    </row>
    <row r="6357" spans="1:21" ht="17.399999999999999">
      <c r="A6357" s="550"/>
      <c r="B6357" s="550"/>
      <c r="C6357" s="550"/>
      <c r="D6357" s="550"/>
      <c r="E6357" s="550"/>
      <c r="F6357" s="550"/>
      <c r="G6357" s="550" t="s">
        <v>21</v>
      </c>
      <c r="H6357" s="550" t="s">
        <v>124</v>
      </c>
      <c r="I6357" s="551">
        <v>19.8</v>
      </c>
      <c r="J6357" s="765">
        <v>11.8</v>
      </c>
      <c r="K6357" s="766">
        <v>30</v>
      </c>
      <c r="L6357" s="552">
        <f>(I6357*J6357*K6357/1000)</f>
        <v>7.0092000000000008</v>
      </c>
      <c r="M6357" s="550"/>
      <c r="N6357" s="550">
        <f t="shared" si="1376"/>
        <v>0</v>
      </c>
      <c r="O6357" s="550"/>
      <c r="P6357" s="550"/>
      <c r="Q6357" s="1065"/>
      <c r="R6357" s="1065"/>
      <c r="S6357" s="759">
        <v>3753</v>
      </c>
      <c r="T6357" s="759">
        <v>52</v>
      </c>
      <c r="U6357" s="497" t="s">
        <v>599</v>
      </c>
    </row>
    <row r="6358" spans="1:21" ht="17.399999999999999">
      <c r="A6358" s="550"/>
      <c r="B6358" s="550"/>
      <c r="C6358" s="550"/>
      <c r="D6358" s="550"/>
      <c r="E6358" s="550"/>
      <c r="F6358" s="550"/>
      <c r="G6358" s="550"/>
      <c r="H6358" s="550"/>
      <c r="I6358" s="551"/>
      <c r="J6358" s="765"/>
      <c r="K6358" s="766">
        <f>SUM(K6355:K6357)</f>
        <v>66</v>
      </c>
      <c r="L6358" s="765">
        <f>SUM(L6355:L6357)</f>
        <v>14.45796</v>
      </c>
      <c r="M6358" s="766">
        <f>SUM(M6355:M6357)</f>
        <v>0</v>
      </c>
      <c r="N6358" s="765">
        <f>SUM(N6355:N6357)</f>
        <v>0</v>
      </c>
      <c r="O6358" s="550"/>
      <c r="P6358" s="550"/>
      <c r="Q6358" s="1065"/>
      <c r="R6358" s="1065"/>
      <c r="S6358" s="497"/>
    </row>
    <row r="6359" spans="1:21" s="497" customFormat="1" ht="17.399999999999999">
      <c r="A6359" s="549"/>
      <c r="B6359" s="549"/>
      <c r="C6359" s="549"/>
      <c r="D6359" s="549"/>
      <c r="E6359" s="549"/>
      <c r="F6359" s="549"/>
      <c r="G6359" s="549"/>
      <c r="H6359" s="549"/>
      <c r="I6359" s="558"/>
      <c r="J6359" s="567"/>
      <c r="K6359" s="648"/>
      <c r="L6359" s="567"/>
      <c r="M6359" s="549"/>
      <c r="N6359" s="549"/>
      <c r="O6359" s="549"/>
      <c r="P6359" s="549"/>
      <c r="Q6359" s="1059"/>
      <c r="R6359" s="1059"/>
    </row>
    <row r="6360" spans="1:21" ht="17.399999999999999">
      <c r="A6360" s="852" t="s">
        <v>451</v>
      </c>
      <c r="B6360" s="852" t="s">
        <v>581</v>
      </c>
      <c r="C6360" s="547" t="s">
        <v>19</v>
      </c>
      <c r="D6360" s="813" t="s">
        <v>20</v>
      </c>
      <c r="E6360" s="547" t="s">
        <v>359</v>
      </c>
      <c r="F6360" s="548">
        <v>14</v>
      </c>
      <c r="G6360" s="549" t="s">
        <v>21</v>
      </c>
      <c r="H6360" s="599" t="s">
        <v>124</v>
      </c>
      <c r="I6360" s="558">
        <v>19.72</v>
      </c>
      <c r="J6360" s="567">
        <v>12</v>
      </c>
      <c r="K6360" s="648">
        <v>20</v>
      </c>
      <c r="L6360" s="552">
        <f>(I6360*J6360*K6360/1000)</f>
        <v>4.7327999999999992</v>
      </c>
      <c r="M6360" s="549"/>
      <c r="N6360" s="549">
        <f>J6360*M6360*I6360/1000</f>
        <v>0</v>
      </c>
      <c r="O6360" s="549"/>
      <c r="P6360" s="549"/>
      <c r="Q6360" s="1059"/>
      <c r="R6360" s="1059"/>
      <c r="S6360" s="497" t="s">
        <v>667</v>
      </c>
    </row>
    <row r="6361" spans="1:21" ht="17.399999999999999">
      <c r="A6361" s="549"/>
      <c r="B6361" s="549" t="s">
        <v>277</v>
      </c>
      <c r="C6361" s="549"/>
      <c r="D6361" s="549"/>
      <c r="E6361" s="549"/>
      <c r="F6361" s="549"/>
      <c r="G6361" s="549"/>
      <c r="H6361" s="549"/>
      <c r="I6361" s="558"/>
      <c r="J6361" s="567"/>
      <c r="K6361" s="648">
        <f t="shared" ref="K6361:M6361" si="1377">SUM(K6360)</f>
        <v>20</v>
      </c>
      <c r="L6361" s="567">
        <f>SUM(L6360)</f>
        <v>4.7327999999999992</v>
      </c>
      <c r="M6361" s="648">
        <f t="shared" si="1377"/>
        <v>0</v>
      </c>
      <c r="N6361" s="567">
        <f>SUM(N6360)</f>
        <v>0</v>
      </c>
      <c r="O6361" s="549"/>
      <c r="P6361" s="549"/>
      <c r="Q6361" s="1059"/>
      <c r="R6361" s="1059"/>
    </row>
    <row r="6362" spans="1:21" s="497" customFormat="1" ht="17.399999999999999">
      <c r="A6362" s="549"/>
      <c r="B6362" s="549"/>
      <c r="C6362" s="549"/>
      <c r="D6362" s="549"/>
      <c r="E6362" s="549"/>
      <c r="F6362" s="549"/>
      <c r="G6362" s="549"/>
      <c r="H6362" s="549"/>
      <c r="I6362" s="558"/>
      <c r="J6362" s="567"/>
      <c r="K6362" s="648">
        <f>SUM(K6355:K6361)/2</f>
        <v>86</v>
      </c>
      <c r="L6362" s="567">
        <f>SUM(L6355:L6361)/2</f>
        <v>19.190759999999997</v>
      </c>
      <c r="M6362" s="648">
        <f>SUM(M6355:M6361)/2</f>
        <v>0</v>
      </c>
      <c r="N6362" s="567">
        <f>SUM(N6355:N6361)/2</f>
        <v>0</v>
      </c>
      <c r="O6362" s="549"/>
      <c r="P6362" s="549"/>
      <c r="Q6362" s="1059"/>
      <c r="R6362" s="1059"/>
    </row>
    <row r="6363" spans="1:21" s="497" customFormat="1" ht="17.399999999999999">
      <c r="A6363" s="549"/>
      <c r="B6363" s="549"/>
      <c r="C6363" s="549"/>
      <c r="D6363" s="549"/>
      <c r="E6363" s="549"/>
      <c r="F6363" s="549"/>
      <c r="G6363" s="549"/>
      <c r="H6363" s="549"/>
      <c r="I6363" s="558"/>
      <c r="J6363" s="567"/>
      <c r="K6363" s="648"/>
      <c r="L6363" s="567"/>
      <c r="M6363" s="648"/>
      <c r="N6363" s="567"/>
      <c r="O6363" s="549"/>
      <c r="P6363" s="549"/>
      <c r="Q6363" s="1059"/>
      <c r="R6363" s="1059"/>
    </row>
    <row r="6364" spans="1:21" s="497" customFormat="1" ht="17.399999999999999">
      <c r="A6364" s="549"/>
      <c r="B6364" s="549"/>
      <c r="C6364" s="549"/>
      <c r="D6364" s="549"/>
      <c r="E6364" s="549"/>
      <c r="F6364" s="549"/>
      <c r="G6364" s="549"/>
      <c r="H6364" s="549"/>
      <c r="I6364" s="558"/>
      <c r="J6364" s="567"/>
      <c r="K6364" s="648"/>
      <c r="L6364" s="567"/>
      <c r="M6364" s="549"/>
      <c r="N6364" s="549"/>
      <c r="O6364" s="549"/>
      <c r="P6364" s="549"/>
      <c r="Q6364" s="1059"/>
      <c r="R6364" s="1059"/>
    </row>
    <row r="6365" spans="1:21" ht="17.399999999999999">
      <c r="A6365" s="979" t="s">
        <v>541</v>
      </c>
      <c r="B6365" s="979" t="s">
        <v>559</v>
      </c>
      <c r="C6365" s="780" t="s">
        <v>19</v>
      </c>
      <c r="D6365" s="780" t="s">
        <v>20</v>
      </c>
      <c r="E6365" s="780" t="s">
        <v>420</v>
      </c>
      <c r="F6365" s="548">
        <v>14</v>
      </c>
      <c r="G6365" s="869" t="s">
        <v>21</v>
      </c>
      <c r="H6365" s="900" t="s">
        <v>124</v>
      </c>
      <c r="I6365" s="1881">
        <v>19.8</v>
      </c>
      <c r="J6365" s="756">
        <v>6.8</v>
      </c>
      <c r="K6365" s="757">
        <v>8</v>
      </c>
      <c r="L6365" s="552">
        <f t="shared" ref="L6365:L6370" si="1378">(I6365*J6365*K6365/1000)</f>
        <v>1.0771200000000001</v>
      </c>
      <c r="M6365" s="549">
        <v>2</v>
      </c>
      <c r="N6365" s="549">
        <f t="shared" ref="N6365:N6370" si="1379">J6365*M6365*I6365/1000</f>
        <v>0.26928000000000002</v>
      </c>
      <c r="O6365" s="549"/>
      <c r="P6365" s="549"/>
      <c r="Q6365" s="1059"/>
      <c r="R6365" s="1059"/>
      <c r="S6365">
        <v>2</v>
      </c>
      <c r="T6365" s="497" t="s">
        <v>596</v>
      </c>
      <c r="U6365" s="497" t="s">
        <v>671</v>
      </c>
    </row>
    <row r="6366" spans="1:21" ht="17.399999999999999">
      <c r="A6366" s="547"/>
      <c r="B6366" s="549" t="s">
        <v>564</v>
      </c>
      <c r="C6366" s="547"/>
      <c r="D6366" s="547"/>
      <c r="E6366" s="547"/>
      <c r="F6366" s="550"/>
      <c r="G6366" s="869" t="s">
        <v>21</v>
      </c>
      <c r="H6366" s="869" t="s">
        <v>124</v>
      </c>
      <c r="I6366" s="1881">
        <v>19.8</v>
      </c>
      <c r="J6366" s="756">
        <v>7.6</v>
      </c>
      <c r="K6366" s="757">
        <v>24</v>
      </c>
      <c r="L6366" s="552">
        <f t="shared" si="1378"/>
        <v>3.6115199999999996</v>
      </c>
      <c r="M6366" s="549">
        <f>5+5</f>
        <v>10</v>
      </c>
      <c r="N6366" s="549">
        <f t="shared" si="1379"/>
        <v>1.5047999999999999</v>
      </c>
      <c r="O6366" s="549"/>
      <c r="P6366" s="549"/>
      <c r="Q6366" s="1059"/>
      <c r="R6366" s="1059"/>
      <c r="S6366">
        <v>-5</v>
      </c>
      <c r="T6366" s="497" t="s">
        <v>597</v>
      </c>
    </row>
    <row r="6367" spans="1:21" ht="17.399999999999999">
      <c r="A6367" s="549"/>
      <c r="B6367" s="549"/>
      <c r="C6367" s="549"/>
      <c r="D6367" s="549"/>
      <c r="E6367" s="549"/>
      <c r="F6367" s="549"/>
      <c r="G6367" s="869" t="s">
        <v>21</v>
      </c>
      <c r="H6367" s="869" t="s">
        <v>124</v>
      </c>
      <c r="I6367" s="1881">
        <v>19.8</v>
      </c>
      <c r="J6367" s="756">
        <v>8.1</v>
      </c>
      <c r="K6367" s="757">
        <v>8</v>
      </c>
      <c r="L6367" s="552">
        <f t="shared" si="1378"/>
        <v>1.28304</v>
      </c>
      <c r="M6367" s="549">
        <v>2</v>
      </c>
      <c r="N6367" s="549">
        <f t="shared" si="1379"/>
        <v>0.32075999999999999</v>
      </c>
      <c r="O6367" s="549"/>
      <c r="P6367" s="549"/>
      <c r="Q6367" s="1059"/>
      <c r="R6367" s="1059"/>
    </row>
    <row r="6368" spans="1:21" ht="17.399999999999999">
      <c r="A6368" s="549"/>
      <c r="B6368" s="549"/>
      <c r="C6368" s="549"/>
      <c r="D6368" s="549"/>
      <c r="E6368" s="549"/>
      <c r="F6368" s="549"/>
      <c r="G6368" s="869" t="s">
        <v>21</v>
      </c>
      <c r="H6368" s="869" t="s">
        <v>124</v>
      </c>
      <c r="I6368" s="1881">
        <v>19.8</v>
      </c>
      <c r="J6368" s="756">
        <v>8.3000000000000007</v>
      </c>
      <c r="K6368" s="757">
        <v>2</v>
      </c>
      <c r="L6368" s="552">
        <f t="shared" si="1378"/>
        <v>0.32868000000000008</v>
      </c>
      <c r="M6368" s="549">
        <v>2</v>
      </c>
      <c r="N6368" s="549">
        <f t="shared" si="1379"/>
        <v>0.32868000000000008</v>
      </c>
      <c r="O6368" s="549"/>
      <c r="P6368" s="549"/>
      <c r="Q6368" s="1059"/>
      <c r="R6368" s="1059"/>
    </row>
    <row r="6369" spans="1:21" ht="17.399999999999999">
      <c r="A6369" s="549"/>
      <c r="B6369" s="549"/>
      <c r="C6369" s="549"/>
      <c r="D6369" s="549"/>
      <c r="E6369" s="549"/>
      <c r="F6369" s="549"/>
      <c r="G6369" s="869" t="s">
        <v>21</v>
      </c>
      <c r="H6369" s="869" t="s">
        <v>124</v>
      </c>
      <c r="I6369" s="1881">
        <v>19.8</v>
      </c>
      <c r="J6369" s="756">
        <v>9.6</v>
      </c>
      <c r="K6369" s="757">
        <v>12</v>
      </c>
      <c r="L6369" s="552">
        <f t="shared" si="1378"/>
        <v>2.2809599999999999</v>
      </c>
      <c r="M6369" s="549">
        <v>1</v>
      </c>
      <c r="N6369" s="549">
        <f t="shared" si="1379"/>
        <v>0.19008</v>
      </c>
      <c r="O6369" s="549"/>
      <c r="P6369" s="549"/>
      <c r="Q6369" s="1059"/>
      <c r="R6369" s="1059"/>
    </row>
    <row r="6370" spans="1:21" ht="17.399999999999999">
      <c r="A6370" s="549"/>
      <c r="B6370" s="549"/>
      <c r="C6370" s="549"/>
      <c r="D6370" s="549"/>
      <c r="E6370" s="549"/>
      <c r="F6370" s="549"/>
      <c r="G6370" s="869" t="s">
        <v>21</v>
      </c>
      <c r="H6370" s="869" t="s">
        <v>124</v>
      </c>
      <c r="I6370" s="1881">
        <v>19.8</v>
      </c>
      <c r="J6370" s="756">
        <v>10.5</v>
      </c>
      <c r="K6370" s="757">
        <v>12</v>
      </c>
      <c r="L6370" s="552">
        <f t="shared" si="1378"/>
        <v>2.4948000000000001</v>
      </c>
      <c r="M6370" s="549">
        <v>2</v>
      </c>
      <c r="N6370" s="549">
        <f t="shared" si="1379"/>
        <v>0.4158</v>
      </c>
      <c r="O6370" s="549"/>
      <c r="P6370" s="549"/>
      <c r="Q6370" s="1059"/>
      <c r="R6370" s="1059"/>
      <c r="S6370">
        <v>1</v>
      </c>
      <c r="T6370" s="497" t="s">
        <v>596</v>
      </c>
    </row>
    <row r="6371" spans="1:21" ht="17.399999999999999">
      <c r="A6371" s="549"/>
      <c r="B6371" s="549"/>
      <c r="C6371" s="549"/>
      <c r="D6371" s="549"/>
      <c r="E6371" s="549"/>
      <c r="F6371" s="549"/>
      <c r="G6371" s="869"/>
      <c r="H6371" s="650"/>
      <c r="I6371" s="1882"/>
      <c r="J6371" s="871"/>
      <c r="K6371" s="757">
        <f t="shared" ref="K6371:M6371" si="1380">SUM(K6365:K6370)</f>
        <v>66</v>
      </c>
      <c r="L6371" s="756">
        <f>SUM(L6365:L6370)</f>
        <v>11.07612</v>
      </c>
      <c r="M6371" s="757">
        <f t="shared" si="1380"/>
        <v>19</v>
      </c>
      <c r="N6371" s="756">
        <f>SUM(N6365:N6370)</f>
        <v>3.0293999999999999</v>
      </c>
      <c r="O6371" s="549"/>
      <c r="P6371" s="549"/>
      <c r="Q6371" s="1059"/>
      <c r="R6371" s="1059"/>
    </row>
    <row r="6372" spans="1:21" s="497" customFormat="1" ht="17.399999999999999">
      <c r="A6372" s="549"/>
      <c r="B6372" s="549"/>
      <c r="C6372" s="549"/>
      <c r="D6372" s="549"/>
      <c r="E6372" s="549"/>
      <c r="F6372" s="549"/>
      <c r="G6372" s="869"/>
      <c r="H6372" s="650"/>
      <c r="I6372" s="1882"/>
      <c r="J6372" s="871"/>
      <c r="K6372" s="757"/>
      <c r="L6372" s="756"/>
      <c r="M6372" s="549"/>
      <c r="N6372" s="549"/>
      <c r="O6372" s="549"/>
      <c r="P6372" s="549"/>
      <c r="Q6372" s="1059"/>
      <c r="R6372" s="1059"/>
    </row>
    <row r="6373" spans="1:21" s="497" customFormat="1" ht="17.399999999999999">
      <c r="A6373" s="979" t="s">
        <v>541</v>
      </c>
      <c r="B6373" s="979" t="s">
        <v>561</v>
      </c>
      <c r="C6373" s="780" t="s">
        <v>19</v>
      </c>
      <c r="D6373" s="780" t="s">
        <v>20</v>
      </c>
      <c r="E6373" s="780" t="s">
        <v>420</v>
      </c>
      <c r="F6373" s="548">
        <v>14</v>
      </c>
      <c r="G6373" s="869" t="s">
        <v>21</v>
      </c>
      <c r="H6373" s="900" t="s">
        <v>124</v>
      </c>
      <c r="I6373" s="1881">
        <v>19.8</v>
      </c>
      <c r="J6373" s="756">
        <v>6.8</v>
      </c>
      <c r="K6373" s="757">
        <v>16</v>
      </c>
      <c r="L6373" s="552">
        <f t="shared" ref="L6373:L6378" si="1381">(I6373*J6373*K6373/1000)</f>
        <v>2.1542400000000002</v>
      </c>
      <c r="M6373" s="550"/>
      <c r="N6373" s="549"/>
      <c r="O6373" s="549"/>
      <c r="P6373" s="549"/>
      <c r="Q6373" s="1059"/>
      <c r="R6373" s="1059"/>
      <c r="U6373" s="497" t="s">
        <v>671</v>
      </c>
    </row>
    <row r="6374" spans="1:21" s="497" customFormat="1" ht="17.399999999999999">
      <c r="A6374" s="547"/>
      <c r="B6374" s="549" t="s">
        <v>560</v>
      </c>
      <c r="C6374" s="547"/>
      <c r="D6374" s="547"/>
      <c r="E6374" s="547"/>
      <c r="F6374" s="550"/>
      <c r="G6374" s="869" t="s">
        <v>21</v>
      </c>
      <c r="H6374" s="869" t="s">
        <v>124</v>
      </c>
      <c r="I6374" s="1881">
        <v>19.8</v>
      </c>
      <c r="J6374" s="756">
        <v>7.6</v>
      </c>
      <c r="K6374" s="757">
        <v>52</v>
      </c>
      <c r="L6374" s="552">
        <f t="shared" si="1381"/>
        <v>7.824959999999999</v>
      </c>
      <c r="M6374" s="550"/>
      <c r="N6374" s="549"/>
      <c r="O6374" s="549"/>
      <c r="P6374" s="549"/>
      <c r="Q6374" s="1059"/>
      <c r="R6374" s="1059"/>
    </row>
    <row r="6375" spans="1:21" s="497" customFormat="1" ht="17.399999999999999">
      <c r="A6375" s="549"/>
      <c r="B6375" s="549"/>
      <c r="C6375" s="549"/>
      <c r="D6375" s="549"/>
      <c r="E6375" s="549"/>
      <c r="F6375" s="549"/>
      <c r="G6375" s="869" t="s">
        <v>21</v>
      </c>
      <c r="H6375" s="869" t="s">
        <v>124</v>
      </c>
      <c r="I6375" s="1881">
        <v>19.8</v>
      </c>
      <c r="J6375" s="756">
        <v>8.1</v>
      </c>
      <c r="K6375" s="757">
        <v>16</v>
      </c>
      <c r="L6375" s="552">
        <f t="shared" si="1381"/>
        <v>2.5660799999999999</v>
      </c>
      <c r="M6375" s="550"/>
      <c r="N6375" s="549"/>
      <c r="O6375" s="549"/>
      <c r="P6375" s="549"/>
      <c r="Q6375" s="1059"/>
      <c r="R6375" s="1059"/>
    </row>
    <row r="6376" spans="1:21" s="497" customFormat="1" ht="17.399999999999999">
      <c r="A6376" s="549"/>
      <c r="B6376" s="549"/>
      <c r="C6376" s="549"/>
      <c r="D6376" s="549"/>
      <c r="E6376" s="549"/>
      <c r="F6376" s="549"/>
      <c r="G6376" s="869" t="s">
        <v>21</v>
      </c>
      <c r="H6376" s="869" t="s">
        <v>124</v>
      </c>
      <c r="I6376" s="1881">
        <v>19.8</v>
      </c>
      <c r="J6376" s="756">
        <v>8.3000000000000007</v>
      </c>
      <c r="K6376" s="757">
        <v>14</v>
      </c>
      <c r="L6376" s="552">
        <f t="shared" si="1381"/>
        <v>2.3007600000000004</v>
      </c>
      <c r="M6376" s="550"/>
      <c r="N6376" s="549"/>
      <c r="O6376" s="549"/>
      <c r="P6376" s="549"/>
      <c r="Q6376" s="1059"/>
      <c r="R6376" s="1059"/>
    </row>
    <row r="6377" spans="1:21" s="497" customFormat="1" ht="17.399999999999999">
      <c r="A6377" s="549"/>
      <c r="B6377" s="549"/>
      <c r="C6377" s="549"/>
      <c r="D6377" s="549"/>
      <c r="E6377" s="549"/>
      <c r="F6377" s="549"/>
      <c r="G6377" s="869" t="s">
        <v>21</v>
      </c>
      <c r="H6377" s="869" t="s">
        <v>124</v>
      </c>
      <c r="I6377" s="1881">
        <v>19.8</v>
      </c>
      <c r="J6377" s="756">
        <v>9.6</v>
      </c>
      <c r="K6377" s="757">
        <v>26</v>
      </c>
      <c r="L6377" s="552">
        <f t="shared" si="1381"/>
        <v>4.9420799999999998</v>
      </c>
      <c r="M6377" s="550"/>
      <c r="N6377" s="549"/>
      <c r="O6377" s="549"/>
      <c r="P6377" s="549"/>
      <c r="Q6377" s="1059"/>
      <c r="R6377" s="1059"/>
    </row>
    <row r="6378" spans="1:21" s="497" customFormat="1" ht="17.399999999999999">
      <c r="A6378" s="549"/>
      <c r="B6378" s="549"/>
      <c r="C6378" s="549"/>
      <c r="D6378" s="549"/>
      <c r="E6378" s="549"/>
      <c r="F6378" s="549"/>
      <c r="G6378" s="869" t="s">
        <v>21</v>
      </c>
      <c r="H6378" s="869" t="s">
        <v>124</v>
      </c>
      <c r="I6378" s="1881">
        <v>19.8</v>
      </c>
      <c r="J6378" s="756">
        <v>10.5</v>
      </c>
      <c r="K6378" s="757">
        <v>36</v>
      </c>
      <c r="L6378" s="552">
        <f t="shared" si="1381"/>
        <v>7.4844000000000008</v>
      </c>
      <c r="M6378" s="550"/>
      <c r="N6378" s="549"/>
      <c r="O6378" s="549"/>
      <c r="P6378" s="549"/>
      <c r="Q6378" s="1059"/>
      <c r="R6378" s="1059"/>
    </row>
    <row r="6379" spans="1:21" s="497" customFormat="1" ht="17.399999999999999">
      <c r="A6379" s="549"/>
      <c r="B6379" s="549"/>
      <c r="C6379" s="549"/>
      <c r="D6379" s="549"/>
      <c r="E6379" s="549"/>
      <c r="F6379" s="549"/>
      <c r="G6379" s="869"/>
      <c r="H6379" s="650"/>
      <c r="I6379" s="1882"/>
      <c r="J6379" s="871"/>
      <c r="K6379" s="757">
        <f t="shared" ref="K6379" si="1382">SUM(K6373:K6378)</f>
        <v>160</v>
      </c>
      <c r="L6379" s="756">
        <f>SUM(L6373:L6378)</f>
        <v>27.27252</v>
      </c>
      <c r="M6379" s="550"/>
      <c r="N6379" s="549"/>
      <c r="O6379" s="549"/>
      <c r="P6379" s="549"/>
      <c r="Q6379" s="1059"/>
      <c r="R6379" s="1059"/>
    </row>
    <row r="6380" spans="1:21" s="497" customFormat="1" ht="17.399999999999999">
      <c r="A6380" s="549"/>
      <c r="B6380" s="549"/>
      <c r="C6380" s="549"/>
      <c r="D6380" s="549"/>
      <c r="E6380" s="549"/>
      <c r="F6380" s="549"/>
      <c r="G6380" s="869"/>
      <c r="H6380" s="650"/>
      <c r="I6380" s="1882"/>
      <c r="J6380" s="871"/>
      <c r="K6380" s="757"/>
      <c r="L6380" s="756">
        <f>+L6379+L6371</f>
        <v>38.348640000000003</v>
      </c>
      <c r="M6380" s="550"/>
      <c r="N6380" s="549"/>
      <c r="O6380" s="549"/>
      <c r="P6380" s="549"/>
      <c r="Q6380" s="1059"/>
      <c r="R6380" s="1059"/>
    </row>
    <row r="6381" spans="1:21" s="497" customFormat="1" ht="17.399999999999999">
      <c r="A6381" s="549"/>
      <c r="B6381" s="549"/>
      <c r="C6381" s="549"/>
      <c r="D6381" s="549"/>
      <c r="E6381" s="549"/>
      <c r="F6381" s="549"/>
      <c r="G6381" s="869"/>
      <c r="H6381" s="650"/>
      <c r="I6381" s="1882"/>
      <c r="J6381" s="871"/>
      <c r="K6381" s="757"/>
      <c r="L6381" s="756"/>
      <c r="M6381" s="550"/>
      <c r="N6381" s="549"/>
      <c r="O6381" s="549"/>
      <c r="P6381" s="549"/>
      <c r="Q6381" s="1059"/>
      <c r="R6381" s="1059"/>
    </row>
    <row r="6382" spans="1:21" ht="17.399999999999999">
      <c r="A6382" s="549"/>
      <c r="B6382" s="549"/>
      <c r="C6382" s="549"/>
      <c r="D6382" s="549"/>
      <c r="E6382" s="549"/>
      <c r="F6382" s="549"/>
      <c r="G6382" s="549"/>
      <c r="H6382" s="549"/>
      <c r="I6382" s="560"/>
      <c r="J6382" s="549"/>
      <c r="K6382" s="561"/>
      <c r="L6382" s="568"/>
      <c r="M6382" s="549"/>
      <c r="N6382" s="549"/>
      <c r="O6382" s="549"/>
      <c r="P6382" s="549"/>
      <c r="Q6382" s="1059"/>
      <c r="R6382" s="1059"/>
    </row>
    <row r="6383" spans="1:21" ht="17.399999999999999">
      <c r="A6383" s="979" t="s">
        <v>541</v>
      </c>
      <c r="B6383" s="979" t="s">
        <v>559</v>
      </c>
      <c r="C6383" s="780" t="s">
        <v>19</v>
      </c>
      <c r="D6383" s="780" t="s">
        <v>20</v>
      </c>
      <c r="E6383" s="780" t="s">
        <v>420</v>
      </c>
      <c r="F6383" s="548">
        <v>14</v>
      </c>
      <c r="G6383" s="869" t="s">
        <v>21</v>
      </c>
      <c r="H6383" s="900" t="s">
        <v>129</v>
      </c>
      <c r="I6383" s="1881">
        <v>17.899999999999999</v>
      </c>
      <c r="J6383" s="756">
        <v>6.6</v>
      </c>
      <c r="K6383" s="757">
        <v>24</v>
      </c>
      <c r="L6383" s="552">
        <f t="shared" ref="L6383" si="1383">(I6383*J6383*K6383/1000)</f>
        <v>2.8353599999999997</v>
      </c>
      <c r="M6383" s="549">
        <v>3</v>
      </c>
      <c r="N6383" s="549">
        <f t="shared" ref="N6383" si="1384">J6383*M6383*I6383/1000</f>
        <v>0.3544199999999999</v>
      </c>
      <c r="O6383" s="549"/>
      <c r="P6383" s="549"/>
      <c r="Q6383" s="1059"/>
      <c r="R6383" s="1059"/>
      <c r="S6383">
        <v>20</v>
      </c>
      <c r="U6383" s="497" t="s">
        <v>671</v>
      </c>
    </row>
    <row r="6384" spans="1:21" ht="17.399999999999999">
      <c r="A6384" s="547"/>
      <c r="B6384" s="549" t="s">
        <v>564</v>
      </c>
      <c r="C6384" s="547"/>
      <c r="D6384" s="547"/>
      <c r="E6384" s="547"/>
      <c r="F6384" s="550"/>
      <c r="G6384" s="869" t="s">
        <v>21</v>
      </c>
      <c r="H6384" s="869" t="s">
        <v>129</v>
      </c>
      <c r="I6384" s="1881">
        <v>17.899999999999999</v>
      </c>
      <c r="J6384" s="756">
        <v>6.8</v>
      </c>
      <c r="K6384" s="757">
        <v>24</v>
      </c>
      <c r="L6384" s="552">
        <f>(I6384*J6384*K6384/1000)</f>
        <v>2.9212799999999999</v>
      </c>
      <c r="M6384" s="549"/>
      <c r="N6384" s="549"/>
      <c r="O6384" s="549"/>
      <c r="P6384" s="549"/>
      <c r="Q6384" s="1059"/>
      <c r="R6384" s="1059"/>
    </row>
    <row r="6385" spans="1:21" ht="17.399999999999999">
      <c r="A6385" s="549"/>
      <c r="B6385" s="549"/>
      <c r="C6385" s="549"/>
      <c r="D6385" s="549"/>
      <c r="E6385" s="549"/>
      <c r="F6385" s="549"/>
      <c r="G6385" s="869" t="s">
        <v>21</v>
      </c>
      <c r="H6385" s="869" t="s">
        <v>129</v>
      </c>
      <c r="I6385" s="1881">
        <v>17.899999999999999</v>
      </c>
      <c r="J6385" s="756">
        <v>7.8</v>
      </c>
      <c r="K6385" s="757">
        <v>8</v>
      </c>
      <c r="L6385" s="552">
        <f>(I6385*J6385*K6385/1000)</f>
        <v>1.1169599999999997</v>
      </c>
      <c r="M6385" s="549"/>
      <c r="N6385" s="549"/>
      <c r="O6385" s="549"/>
      <c r="P6385" s="549"/>
      <c r="Q6385" s="1059"/>
      <c r="R6385" s="1059"/>
      <c r="S6385">
        <v>8</v>
      </c>
    </row>
    <row r="6386" spans="1:21" ht="17.399999999999999">
      <c r="A6386" s="549"/>
      <c r="B6386" s="549"/>
      <c r="C6386" s="549"/>
      <c r="D6386" s="549"/>
      <c r="E6386" s="549"/>
      <c r="F6386" s="549"/>
      <c r="G6386" s="869" t="s">
        <v>21</v>
      </c>
      <c r="H6386" s="869" t="s">
        <v>129</v>
      </c>
      <c r="I6386" s="1881">
        <v>17.899999999999999</v>
      </c>
      <c r="J6386" s="756">
        <v>8</v>
      </c>
      <c r="K6386" s="757">
        <v>4</v>
      </c>
      <c r="L6386" s="552">
        <f>(I6386*J6386*K6386/1000)</f>
        <v>0.57279999999999998</v>
      </c>
      <c r="M6386" s="549"/>
      <c r="N6386" s="549"/>
      <c r="O6386" s="549"/>
      <c r="P6386" s="549"/>
      <c r="Q6386" s="1059"/>
      <c r="R6386" s="1059"/>
    </row>
    <row r="6387" spans="1:21" ht="17.399999999999999">
      <c r="A6387" s="549"/>
      <c r="B6387" s="549"/>
      <c r="C6387" s="549"/>
      <c r="D6387" s="549"/>
      <c r="E6387" s="549"/>
      <c r="F6387" s="549"/>
      <c r="G6387" s="869" t="s">
        <v>21</v>
      </c>
      <c r="H6387" s="869" t="s">
        <v>129</v>
      </c>
      <c r="I6387" s="1881">
        <v>17.899999999999999</v>
      </c>
      <c r="J6387" s="756">
        <v>9.6999999999999993</v>
      </c>
      <c r="K6387" s="757">
        <v>12</v>
      </c>
      <c r="L6387" s="552">
        <f>(I6387*J6387*K6387/1000)</f>
        <v>2.0835599999999994</v>
      </c>
      <c r="M6387" s="549"/>
      <c r="N6387" s="549"/>
      <c r="O6387" s="549"/>
      <c r="P6387" s="549"/>
      <c r="Q6387" s="1059"/>
      <c r="R6387" s="1059"/>
      <c r="S6387">
        <v>17</v>
      </c>
    </row>
    <row r="6388" spans="1:21" ht="17.399999999999999">
      <c r="A6388" s="549"/>
      <c r="B6388" s="549"/>
      <c r="C6388" s="549"/>
      <c r="D6388" s="549"/>
      <c r="E6388" s="549"/>
      <c r="F6388" s="549"/>
      <c r="G6388" s="869" t="s">
        <v>21</v>
      </c>
      <c r="H6388" s="869" t="s">
        <v>129</v>
      </c>
      <c r="I6388" s="1881">
        <v>17.899999999999999</v>
      </c>
      <c r="J6388" s="756">
        <v>9.8000000000000007</v>
      </c>
      <c r="K6388" s="757">
        <v>14</v>
      </c>
      <c r="L6388" s="552">
        <f>(I6388*J6388*K6388/1000)</f>
        <v>2.4558799999999996</v>
      </c>
      <c r="M6388" s="549">
        <v>1</v>
      </c>
      <c r="N6388" s="549">
        <f t="shared" ref="N6388" si="1385">J6388*M6388*I6388/1000</f>
        <v>0.17541999999999999</v>
      </c>
      <c r="O6388" s="549"/>
      <c r="P6388" s="549"/>
      <c r="Q6388" s="1059"/>
      <c r="R6388" s="1059"/>
      <c r="S6388">
        <v>12</v>
      </c>
    </row>
    <row r="6389" spans="1:21" ht="17.399999999999999">
      <c r="A6389" s="549"/>
      <c r="B6389" s="549"/>
      <c r="C6389" s="549"/>
      <c r="D6389" s="549"/>
      <c r="E6389" s="549"/>
      <c r="F6389" s="549"/>
      <c r="G6389" s="869"/>
      <c r="H6389" s="650"/>
      <c r="I6389" s="1882"/>
      <c r="J6389" s="871"/>
      <c r="K6389" s="757">
        <f>SUM(K6383:K6388)</f>
        <v>86</v>
      </c>
      <c r="L6389" s="756">
        <f>SUM(L6383:L6388)</f>
        <v>11.98584</v>
      </c>
      <c r="M6389" s="757">
        <f>SUM(M6383:M6388)</f>
        <v>4</v>
      </c>
      <c r="N6389" s="756">
        <f>SUM(N6383:N6388)</f>
        <v>0.52983999999999987</v>
      </c>
      <c r="O6389" s="549"/>
      <c r="P6389" s="549"/>
      <c r="Q6389" s="1059"/>
      <c r="R6389" s="1059"/>
    </row>
    <row r="6390" spans="1:21" ht="17.399999999999999">
      <c r="A6390" s="549"/>
      <c r="B6390" s="549"/>
      <c r="C6390" s="549"/>
      <c r="D6390" s="549"/>
      <c r="E6390" s="549"/>
      <c r="F6390" s="549"/>
      <c r="G6390" s="549"/>
      <c r="H6390" s="549"/>
      <c r="I6390" s="560"/>
      <c r="J6390" s="549"/>
      <c r="K6390" s="561"/>
      <c r="L6390" s="568"/>
      <c r="M6390" s="549"/>
      <c r="N6390" s="549"/>
      <c r="O6390" s="549"/>
      <c r="P6390" s="549"/>
      <c r="Q6390" s="1059"/>
      <c r="R6390" s="1059"/>
    </row>
    <row r="6391" spans="1:21" s="497" customFormat="1" ht="17.399999999999999">
      <c r="A6391" s="979" t="s">
        <v>541</v>
      </c>
      <c r="B6391" s="979" t="s">
        <v>561</v>
      </c>
      <c r="C6391" s="780" t="s">
        <v>19</v>
      </c>
      <c r="D6391" s="780" t="s">
        <v>20</v>
      </c>
      <c r="E6391" s="780" t="s">
        <v>420</v>
      </c>
      <c r="F6391" s="548">
        <v>14</v>
      </c>
      <c r="G6391" s="869" t="s">
        <v>21</v>
      </c>
      <c r="H6391" s="900" t="s">
        <v>129</v>
      </c>
      <c r="I6391" s="1881">
        <v>17.899999999999999</v>
      </c>
      <c r="J6391" s="756">
        <v>6.6</v>
      </c>
      <c r="K6391" s="757">
        <v>52</v>
      </c>
      <c r="L6391" s="552">
        <f t="shared" ref="L6391:L6396" si="1386">(I6391*J6391*K6391/1000)</f>
        <v>6.143279999999999</v>
      </c>
      <c r="M6391" s="550"/>
      <c r="N6391" s="549"/>
      <c r="O6391" s="549"/>
      <c r="P6391" s="549"/>
      <c r="Q6391" s="1059"/>
      <c r="R6391" s="1059"/>
      <c r="S6391" s="497">
        <v>21</v>
      </c>
      <c r="U6391" s="497" t="s">
        <v>667</v>
      </c>
    </row>
    <row r="6392" spans="1:21" s="497" customFormat="1" ht="17.399999999999999">
      <c r="A6392" s="547"/>
      <c r="B6392" s="549" t="s">
        <v>560</v>
      </c>
      <c r="C6392" s="547"/>
      <c r="D6392" s="547"/>
      <c r="E6392" s="547"/>
      <c r="F6392" s="550"/>
      <c r="G6392" s="869" t="s">
        <v>21</v>
      </c>
      <c r="H6392" s="869" t="s">
        <v>129</v>
      </c>
      <c r="I6392" s="1881">
        <v>17.899999999999999</v>
      </c>
      <c r="J6392" s="756">
        <v>6.8</v>
      </c>
      <c r="K6392" s="757">
        <v>52</v>
      </c>
      <c r="L6392" s="552">
        <f t="shared" si="1386"/>
        <v>6.32944</v>
      </c>
      <c r="M6392" s="550"/>
      <c r="N6392" s="549"/>
      <c r="O6392" s="549"/>
      <c r="P6392" s="549"/>
      <c r="Q6392" s="1059"/>
      <c r="R6392" s="1059"/>
    </row>
    <row r="6393" spans="1:21" s="497" customFormat="1" ht="17.399999999999999">
      <c r="A6393" s="549"/>
      <c r="B6393" s="549"/>
      <c r="C6393" s="549"/>
      <c r="D6393" s="549"/>
      <c r="E6393" s="549"/>
      <c r="F6393" s="549"/>
      <c r="G6393" s="869" t="s">
        <v>21</v>
      </c>
      <c r="H6393" s="869" t="s">
        <v>129</v>
      </c>
      <c r="I6393" s="1881">
        <v>17.899999999999999</v>
      </c>
      <c r="J6393" s="756">
        <v>7.8</v>
      </c>
      <c r="K6393" s="757">
        <v>16</v>
      </c>
      <c r="L6393" s="552">
        <f t="shared" si="1386"/>
        <v>2.2339199999999995</v>
      </c>
      <c r="M6393" s="550"/>
      <c r="N6393" s="549"/>
      <c r="O6393" s="549"/>
      <c r="P6393" s="549"/>
      <c r="Q6393" s="1059"/>
      <c r="R6393" s="1059"/>
      <c r="S6393" s="497">
        <v>1</v>
      </c>
    </row>
    <row r="6394" spans="1:21" s="497" customFormat="1" ht="17.399999999999999">
      <c r="A6394" s="549"/>
      <c r="B6394" s="549"/>
      <c r="C6394" s="549"/>
      <c r="D6394" s="549"/>
      <c r="E6394" s="549"/>
      <c r="F6394" s="549"/>
      <c r="G6394" s="869" t="s">
        <v>21</v>
      </c>
      <c r="H6394" s="869" t="s">
        <v>129</v>
      </c>
      <c r="I6394" s="1881">
        <v>17.899999999999999</v>
      </c>
      <c r="J6394" s="756">
        <v>8</v>
      </c>
      <c r="K6394" s="757">
        <v>8</v>
      </c>
      <c r="L6394" s="552">
        <f t="shared" si="1386"/>
        <v>1.1456</v>
      </c>
      <c r="M6394" s="550"/>
      <c r="N6394" s="549"/>
      <c r="O6394" s="549"/>
      <c r="P6394" s="549"/>
      <c r="Q6394" s="1059"/>
      <c r="R6394" s="1059"/>
    </row>
    <row r="6395" spans="1:21" s="497" customFormat="1" ht="17.399999999999999">
      <c r="A6395" s="549"/>
      <c r="B6395" s="549"/>
      <c r="C6395" s="549"/>
      <c r="D6395" s="549"/>
      <c r="E6395" s="549"/>
      <c r="F6395" s="549"/>
      <c r="G6395" s="869" t="s">
        <v>21</v>
      </c>
      <c r="H6395" s="869" t="s">
        <v>129</v>
      </c>
      <c r="I6395" s="1881">
        <v>17.899999999999999</v>
      </c>
      <c r="J6395" s="756">
        <v>9.6999999999999993</v>
      </c>
      <c r="K6395" s="757">
        <v>26</v>
      </c>
      <c r="L6395" s="552">
        <f t="shared" si="1386"/>
        <v>4.5143799999999992</v>
      </c>
      <c r="M6395" s="550"/>
      <c r="N6395" s="549"/>
      <c r="O6395" s="549"/>
      <c r="P6395" s="549"/>
      <c r="Q6395" s="1059"/>
      <c r="R6395" s="1059"/>
      <c r="S6395" s="497">
        <v>8</v>
      </c>
    </row>
    <row r="6396" spans="1:21" s="497" customFormat="1" ht="17.399999999999999">
      <c r="A6396" s="549"/>
      <c r="B6396" s="549"/>
      <c r="C6396" s="549"/>
      <c r="D6396" s="549"/>
      <c r="E6396" s="549"/>
      <c r="F6396" s="549"/>
      <c r="G6396" s="869" t="s">
        <v>21</v>
      </c>
      <c r="H6396" s="869" t="s">
        <v>129</v>
      </c>
      <c r="I6396" s="1881">
        <v>17.899999999999999</v>
      </c>
      <c r="J6396" s="756">
        <v>9.8000000000000007</v>
      </c>
      <c r="K6396" s="757">
        <v>26</v>
      </c>
      <c r="L6396" s="552">
        <f t="shared" si="1386"/>
        <v>4.5609200000000003</v>
      </c>
      <c r="M6396" s="550"/>
      <c r="N6396" s="549"/>
      <c r="O6396" s="549"/>
      <c r="P6396" s="549"/>
      <c r="Q6396" s="1059"/>
      <c r="R6396" s="1059"/>
    </row>
    <row r="6397" spans="1:21" s="497" customFormat="1" ht="17.399999999999999">
      <c r="A6397" s="549"/>
      <c r="B6397" s="549"/>
      <c r="C6397" s="549"/>
      <c r="D6397" s="549"/>
      <c r="E6397" s="549"/>
      <c r="F6397" s="549"/>
      <c r="G6397" s="869"/>
      <c r="H6397" s="650"/>
      <c r="I6397" s="1882"/>
      <c r="J6397" s="871"/>
      <c r="K6397" s="757">
        <f t="shared" ref="K6397" si="1387">SUM(K6391:K6396)</f>
        <v>180</v>
      </c>
      <c r="L6397" s="756">
        <f>SUM(L6391:L6396)</f>
        <v>24.927539999999997</v>
      </c>
      <c r="M6397" s="550"/>
      <c r="N6397" s="549"/>
      <c r="O6397" s="549"/>
      <c r="P6397" s="549"/>
      <c r="Q6397" s="1059"/>
      <c r="R6397" s="1059"/>
    </row>
    <row r="6398" spans="1:21" s="497" customFormat="1" ht="17.399999999999999">
      <c r="A6398" s="549"/>
      <c r="B6398" s="549"/>
      <c r="C6398" s="549"/>
      <c r="D6398" s="549"/>
      <c r="E6398" s="549"/>
      <c r="F6398" s="549"/>
      <c r="G6398" s="869"/>
      <c r="H6398" s="650"/>
      <c r="I6398" s="1882"/>
      <c r="J6398" s="871"/>
      <c r="K6398" s="757"/>
      <c r="L6398" s="756"/>
      <c r="M6398" s="550"/>
      <c r="N6398" s="549"/>
      <c r="O6398" s="549"/>
      <c r="P6398" s="549"/>
      <c r="Q6398" s="1059"/>
      <c r="R6398" s="1059"/>
    </row>
    <row r="6399" spans="1:21" ht="17.399999999999999">
      <c r="A6399" s="852" t="s">
        <v>451</v>
      </c>
      <c r="B6399" s="852" t="s">
        <v>581</v>
      </c>
      <c r="C6399" s="547" t="s">
        <v>19</v>
      </c>
      <c r="D6399" s="813" t="s">
        <v>20</v>
      </c>
      <c r="E6399" s="547" t="s">
        <v>359</v>
      </c>
      <c r="F6399" s="548">
        <v>14</v>
      </c>
      <c r="G6399" s="549" t="s">
        <v>21</v>
      </c>
      <c r="H6399" s="599" t="s">
        <v>129</v>
      </c>
      <c r="I6399" s="558">
        <v>17.82</v>
      </c>
      <c r="J6399" s="567">
        <v>12</v>
      </c>
      <c r="K6399" s="648">
        <v>14</v>
      </c>
      <c r="L6399" s="552">
        <f>(I6399*J6399*K6399/1000)</f>
        <v>2.9937600000000004</v>
      </c>
      <c r="M6399" s="549">
        <v>2</v>
      </c>
      <c r="N6399" s="549">
        <f t="shared" ref="N6399" si="1388">J6399*M6399*I6399/1000</f>
        <v>0.42768</v>
      </c>
      <c r="O6399" s="549"/>
      <c r="P6399" s="549"/>
      <c r="Q6399" s="1059"/>
      <c r="R6399" s="1059"/>
      <c r="S6399" s="497" t="s">
        <v>667</v>
      </c>
    </row>
    <row r="6400" spans="1:21" ht="17.399999999999999">
      <c r="A6400" s="549"/>
      <c r="B6400" s="549" t="s">
        <v>277</v>
      </c>
      <c r="C6400" s="549"/>
      <c r="D6400" s="549"/>
      <c r="E6400" s="549"/>
      <c r="F6400" s="549"/>
      <c r="G6400" s="549"/>
      <c r="H6400" s="549"/>
      <c r="I6400" s="558"/>
      <c r="J6400" s="567"/>
      <c r="K6400" s="648">
        <f t="shared" ref="K6400:N6400" si="1389">SUM(K6399)</f>
        <v>14</v>
      </c>
      <c r="L6400" s="567">
        <f>SUM(L6399)</f>
        <v>2.9937600000000004</v>
      </c>
      <c r="M6400" s="648">
        <f t="shared" si="1389"/>
        <v>2</v>
      </c>
      <c r="N6400" s="567">
        <f t="shared" si="1389"/>
        <v>0.42768</v>
      </c>
      <c r="O6400" s="549"/>
      <c r="P6400" s="549"/>
      <c r="Q6400" s="1059"/>
      <c r="R6400" s="1059"/>
    </row>
    <row r="6401" spans="1:19" s="497" customFormat="1" ht="17.399999999999999">
      <c r="A6401" s="549"/>
      <c r="B6401" s="549"/>
      <c r="C6401" s="549"/>
      <c r="D6401" s="549"/>
      <c r="E6401" s="549"/>
      <c r="F6401" s="549"/>
      <c r="G6401" s="549"/>
      <c r="H6401" s="549"/>
      <c r="I6401" s="558"/>
      <c r="J6401" s="567"/>
      <c r="K6401" s="648">
        <f>+K6400+K6389</f>
        <v>100</v>
      </c>
      <c r="L6401" s="567">
        <f>+L6400+L6389+L6397</f>
        <v>39.907139999999998</v>
      </c>
      <c r="M6401" s="648">
        <f>+M6400+M6389</f>
        <v>6</v>
      </c>
      <c r="N6401" s="567">
        <f>+N6400+N6389</f>
        <v>0.95751999999999993</v>
      </c>
      <c r="O6401" s="549"/>
      <c r="P6401" s="549"/>
      <c r="Q6401" s="1059"/>
      <c r="R6401" s="1059"/>
    </row>
    <row r="6402" spans="1:19" s="497" customFormat="1" ht="17.399999999999999">
      <c r="A6402" s="549"/>
      <c r="B6402" s="549"/>
      <c r="C6402" s="549"/>
      <c r="D6402" s="549"/>
      <c r="E6402" s="549"/>
      <c r="F6402" s="549"/>
      <c r="G6402" s="549"/>
      <c r="H6402" s="549"/>
      <c r="I6402" s="558"/>
      <c r="J6402" s="567"/>
      <c r="K6402" s="648"/>
      <c r="L6402" s="567"/>
      <c r="M6402" s="549"/>
      <c r="N6402" s="549"/>
      <c r="O6402" s="549"/>
      <c r="P6402" s="549"/>
      <c r="Q6402" s="1059"/>
      <c r="R6402" s="1059"/>
    </row>
    <row r="6403" spans="1:19" s="497" customFormat="1" ht="17.399999999999999">
      <c r="A6403" s="549"/>
      <c r="B6403" s="549"/>
      <c r="C6403" s="549"/>
      <c r="D6403" s="549"/>
      <c r="E6403" s="549"/>
      <c r="F6403" s="549"/>
      <c r="G6403" s="549"/>
      <c r="H6403" s="549"/>
      <c r="I6403" s="558"/>
      <c r="J6403" s="567"/>
      <c r="K6403" s="648"/>
      <c r="L6403" s="567"/>
      <c r="M6403" s="549"/>
      <c r="N6403" s="549"/>
      <c r="O6403" s="549"/>
      <c r="P6403" s="549"/>
      <c r="Q6403" s="1059"/>
      <c r="R6403" s="1059"/>
    </row>
    <row r="6404" spans="1:19" s="497" customFormat="1" ht="17.399999999999999">
      <c r="A6404" s="979" t="s">
        <v>541</v>
      </c>
      <c r="B6404" s="979" t="s">
        <v>561</v>
      </c>
      <c r="C6404" s="547" t="s">
        <v>19</v>
      </c>
      <c r="D6404" s="547" t="s">
        <v>60</v>
      </c>
      <c r="E6404" s="547" t="s">
        <v>247</v>
      </c>
      <c r="F6404" s="549">
        <v>14</v>
      </c>
      <c r="G6404" s="883" t="s">
        <v>61</v>
      </c>
      <c r="H6404" s="883" t="s">
        <v>129</v>
      </c>
      <c r="I6404" s="1884">
        <v>17.899999999999999</v>
      </c>
      <c r="J6404" s="890">
        <v>8.1</v>
      </c>
      <c r="K6404" s="889">
        <v>35</v>
      </c>
      <c r="L6404" s="895">
        <f>(I6404*J6404*K6404/1000)</f>
        <v>5.0746499999999992</v>
      </c>
      <c r="M6404" s="549">
        <v>28</v>
      </c>
      <c r="N6404" s="567">
        <f>J6404*M6404*I6404/1000</f>
        <v>4.0597199999999996</v>
      </c>
      <c r="O6404" s="549"/>
      <c r="P6404" s="549"/>
      <c r="Q6404" s="1059"/>
      <c r="R6404" s="1059"/>
    </row>
    <row r="6405" spans="1:19" s="497" customFormat="1" ht="18">
      <c r="A6405" s="549"/>
      <c r="B6405" s="898" t="s">
        <v>240</v>
      </c>
      <c r="C6405" s="549"/>
      <c r="D6405" s="549"/>
      <c r="E6405" s="549"/>
      <c r="F6405" s="549"/>
      <c r="G6405" s="883" t="s">
        <v>61</v>
      </c>
      <c r="H6405" s="883" t="s">
        <v>129</v>
      </c>
      <c r="I6405" s="1884">
        <v>17.899999999999999</v>
      </c>
      <c r="J6405" s="890">
        <v>10.9</v>
      </c>
      <c r="K6405" s="889">
        <v>13</v>
      </c>
      <c r="L6405" s="895">
        <f>(I6405*J6405*K6405/1000)</f>
        <v>2.5364299999999997</v>
      </c>
      <c r="M6405" s="549">
        <v>1</v>
      </c>
      <c r="N6405" s="567">
        <f>J6405*M6405*I6405/1000</f>
        <v>0.19510999999999998</v>
      </c>
      <c r="O6405" s="549"/>
      <c r="P6405" s="549"/>
      <c r="Q6405" s="1059"/>
      <c r="R6405" s="1059"/>
    </row>
    <row r="6406" spans="1:19" s="497" customFormat="1" ht="17.399999999999999">
      <c r="A6406" s="549"/>
      <c r="B6406" s="549"/>
      <c r="C6406" s="549"/>
      <c r="D6406" s="549"/>
      <c r="E6406" s="549"/>
      <c r="F6406" s="549"/>
      <c r="G6406" s="549"/>
      <c r="H6406" s="549"/>
      <c r="I6406" s="558"/>
      <c r="J6406" s="567"/>
      <c r="K6406" s="648">
        <f t="shared" ref="K6406" si="1390">SUM(K6404:K6405)</f>
        <v>48</v>
      </c>
      <c r="L6406" s="567">
        <f>SUM(L6404:L6405)</f>
        <v>7.6110799999999994</v>
      </c>
      <c r="M6406" s="648">
        <f t="shared" ref="M6406" si="1391">SUM(M6404:M6405)</f>
        <v>29</v>
      </c>
      <c r="N6406" s="567">
        <f>SUM(N6404:N6405)</f>
        <v>4.2548299999999992</v>
      </c>
      <c r="O6406" s="549"/>
      <c r="P6406" s="549"/>
      <c r="Q6406" s="1059"/>
      <c r="R6406" s="1059"/>
    </row>
    <row r="6407" spans="1:19" s="497" customFormat="1" ht="17.399999999999999">
      <c r="A6407" s="549"/>
      <c r="B6407" s="549"/>
      <c r="C6407" s="549"/>
      <c r="D6407" s="549"/>
      <c r="E6407" s="549"/>
      <c r="F6407" s="549"/>
      <c r="G6407" s="549"/>
      <c r="H6407" s="549"/>
      <c r="I6407" s="558"/>
      <c r="J6407" s="567"/>
      <c r="K6407" s="648"/>
      <c r="L6407" s="567"/>
      <c r="M6407" s="648"/>
      <c r="N6407" s="567"/>
      <c r="O6407" s="549"/>
      <c r="P6407" s="549"/>
      <c r="Q6407" s="1059"/>
      <c r="R6407" s="1059"/>
    </row>
    <row r="6408" spans="1:19" s="497" customFormat="1" ht="17.399999999999999">
      <c r="A6408" s="549"/>
      <c r="B6408" s="549"/>
      <c r="C6408" s="549"/>
      <c r="D6408" s="549"/>
      <c r="E6408" s="549"/>
      <c r="F6408" s="549"/>
      <c r="G6408" s="549"/>
      <c r="H6408" s="549"/>
      <c r="I6408" s="558"/>
      <c r="J6408" s="567"/>
      <c r="K6408" s="648"/>
      <c r="L6408" s="567"/>
      <c r="M6408" s="549"/>
      <c r="N6408" s="549"/>
      <c r="O6408" s="549"/>
      <c r="P6408" s="549"/>
      <c r="Q6408" s="1059"/>
      <c r="R6408" s="1059"/>
    </row>
    <row r="6409" spans="1:19" ht="17.399999999999999">
      <c r="A6409" s="547" t="s">
        <v>445</v>
      </c>
      <c r="B6409" s="547" t="s">
        <v>488</v>
      </c>
      <c r="C6409" s="547" t="s">
        <v>19</v>
      </c>
      <c r="D6409" s="547" t="s">
        <v>60</v>
      </c>
      <c r="E6409" s="547" t="s">
        <v>323</v>
      </c>
      <c r="F6409" s="548">
        <v>14</v>
      </c>
      <c r="G6409" s="549" t="s">
        <v>61</v>
      </c>
      <c r="H6409" s="599" t="s">
        <v>124</v>
      </c>
      <c r="I6409" s="558">
        <v>19.8</v>
      </c>
      <c r="J6409" s="567">
        <v>6</v>
      </c>
      <c r="K6409" s="648">
        <v>2</v>
      </c>
      <c r="L6409" s="552">
        <f>(I6409*J6409*K6409/1000)</f>
        <v>0.23760000000000003</v>
      </c>
      <c r="M6409" s="549">
        <v>2</v>
      </c>
      <c r="N6409" s="567">
        <f t="shared" ref="N6409" si="1392">J6409*M6409*I6409/1000</f>
        <v>0.23760000000000003</v>
      </c>
      <c r="O6409" s="549"/>
      <c r="P6409" s="549"/>
      <c r="Q6409" s="1059"/>
      <c r="R6409" s="1059"/>
      <c r="S6409" s="497" t="s">
        <v>667</v>
      </c>
    </row>
    <row r="6410" spans="1:19" ht="17.399999999999999">
      <c r="A6410" s="547"/>
      <c r="B6410" s="752" t="s">
        <v>439</v>
      </c>
      <c r="C6410" s="547"/>
      <c r="D6410" s="547"/>
      <c r="E6410" s="547"/>
      <c r="F6410" s="549"/>
      <c r="G6410" s="549"/>
      <c r="H6410" s="549"/>
      <c r="I6410" s="558"/>
      <c r="J6410" s="567"/>
      <c r="K6410" s="648">
        <f t="shared" ref="K6410:N6410" si="1393">SUM(K6409)</f>
        <v>2</v>
      </c>
      <c r="L6410" s="567">
        <f t="shared" si="1393"/>
        <v>0.23760000000000003</v>
      </c>
      <c r="M6410" s="648">
        <f t="shared" si="1393"/>
        <v>2</v>
      </c>
      <c r="N6410" s="567">
        <f t="shared" si="1393"/>
        <v>0.23760000000000003</v>
      </c>
      <c r="O6410" s="549"/>
      <c r="P6410" s="549"/>
      <c r="Q6410" s="1059"/>
      <c r="R6410" s="1059"/>
    </row>
    <row r="6411" spans="1:19" ht="17.399999999999999">
      <c r="A6411" s="549"/>
      <c r="B6411" s="549"/>
      <c r="C6411" s="549"/>
      <c r="D6411" s="549"/>
      <c r="E6411" s="549"/>
      <c r="F6411" s="549"/>
      <c r="G6411" s="549"/>
      <c r="H6411" s="549"/>
      <c r="I6411" s="560"/>
      <c r="J6411" s="549"/>
      <c r="K6411" s="561"/>
      <c r="L6411" s="568"/>
      <c r="M6411" s="549"/>
      <c r="N6411" s="567"/>
      <c r="O6411" s="549"/>
      <c r="P6411" s="549"/>
      <c r="Q6411" s="1059"/>
      <c r="R6411" s="1059"/>
    </row>
    <row r="6412" spans="1:19" ht="17.399999999999999">
      <c r="A6412" s="547" t="s">
        <v>445</v>
      </c>
      <c r="B6412" s="547" t="s">
        <v>519</v>
      </c>
      <c r="C6412" s="547" t="s">
        <v>19</v>
      </c>
      <c r="D6412" s="547" t="s">
        <v>60</v>
      </c>
      <c r="E6412" s="547" t="s">
        <v>90</v>
      </c>
      <c r="F6412" s="548">
        <v>14</v>
      </c>
      <c r="G6412" s="549" t="s">
        <v>61</v>
      </c>
      <c r="H6412" s="599" t="s">
        <v>124</v>
      </c>
      <c r="I6412" s="558">
        <v>19.8</v>
      </c>
      <c r="J6412" s="567">
        <v>6.7</v>
      </c>
      <c r="K6412" s="648">
        <v>28</v>
      </c>
      <c r="L6412" s="552">
        <f>(I6412*J6412*K6412/1000)</f>
        <v>3.71448</v>
      </c>
      <c r="M6412" s="549">
        <f>1+4</f>
        <v>5</v>
      </c>
      <c r="N6412" s="567">
        <f t="shared" ref="N6412:N6413" si="1394">J6412*M6412*I6412/1000</f>
        <v>0.66330000000000011</v>
      </c>
      <c r="O6412" s="549"/>
      <c r="P6412" s="549"/>
      <c r="Q6412" s="1059"/>
      <c r="R6412" s="1059"/>
      <c r="S6412" s="497" t="s">
        <v>679</v>
      </c>
    </row>
    <row r="6413" spans="1:19" ht="17.399999999999999">
      <c r="A6413" s="547"/>
      <c r="B6413" s="549" t="s">
        <v>423</v>
      </c>
      <c r="C6413" s="547"/>
      <c r="D6413" s="547"/>
      <c r="E6413" s="547"/>
      <c r="F6413" s="549"/>
      <c r="G6413" s="549" t="s">
        <v>61</v>
      </c>
      <c r="H6413" s="549" t="s">
        <v>124</v>
      </c>
      <c r="I6413" s="558">
        <v>19.8</v>
      </c>
      <c r="J6413" s="567">
        <v>12</v>
      </c>
      <c r="K6413" s="648">
        <v>56</v>
      </c>
      <c r="L6413" s="552">
        <f>(I6413*J6413*K6413/1000)</f>
        <v>13.305600000000002</v>
      </c>
      <c r="M6413" s="549"/>
      <c r="N6413" s="567">
        <f t="shared" si="1394"/>
        <v>0</v>
      </c>
      <c r="O6413" s="549"/>
      <c r="P6413" s="549"/>
      <c r="Q6413" s="1059"/>
      <c r="R6413" s="1059"/>
    </row>
    <row r="6414" spans="1:19" ht="17.399999999999999">
      <c r="A6414" s="549"/>
      <c r="B6414" s="549"/>
      <c r="C6414" s="549"/>
      <c r="D6414" s="549"/>
      <c r="E6414" s="549"/>
      <c r="F6414" s="549"/>
      <c r="G6414" s="549"/>
      <c r="H6414" s="549"/>
      <c r="I6414" s="558"/>
      <c r="J6414" s="567"/>
      <c r="K6414" s="648">
        <f>SUM(K6412:K6413)</f>
        <v>84</v>
      </c>
      <c r="L6414" s="567">
        <f>SUM(L6412:L6413)</f>
        <v>17.02008</v>
      </c>
      <c r="M6414" s="648">
        <f>SUM(M6412:M6413)</f>
        <v>5</v>
      </c>
      <c r="N6414" s="567">
        <f>SUM(N6412:N6413)</f>
        <v>0.66330000000000011</v>
      </c>
      <c r="O6414" s="549"/>
      <c r="P6414" s="549"/>
      <c r="Q6414" s="1059"/>
      <c r="R6414" s="1059"/>
    </row>
    <row r="6415" spans="1:19" s="497" customFormat="1" ht="17.399999999999999">
      <c r="A6415" s="549"/>
      <c r="B6415" s="549"/>
      <c r="C6415" s="549"/>
      <c r="D6415" s="549"/>
      <c r="E6415" s="549"/>
      <c r="F6415" s="549"/>
      <c r="G6415" s="549"/>
      <c r="H6415" s="549"/>
      <c r="I6415" s="558"/>
      <c r="J6415" s="567"/>
      <c r="K6415" s="648">
        <f>+K6414+K6410</f>
        <v>86</v>
      </c>
      <c r="L6415" s="567">
        <f>+L6414+L6410</f>
        <v>17.257680000000001</v>
      </c>
      <c r="M6415" s="648">
        <f>+M6414+M6410</f>
        <v>7</v>
      </c>
      <c r="N6415" s="567">
        <f>+N6414+N6410</f>
        <v>0.90090000000000015</v>
      </c>
      <c r="O6415" s="549"/>
      <c r="P6415" s="549"/>
      <c r="Q6415" s="1059"/>
      <c r="R6415" s="1059"/>
    </row>
    <row r="6416" spans="1:19" s="497" customFormat="1" ht="17.399999999999999">
      <c r="A6416" s="549"/>
      <c r="B6416" s="549"/>
      <c r="C6416" s="549"/>
      <c r="D6416" s="549"/>
      <c r="E6416" s="549"/>
      <c r="F6416" s="549"/>
      <c r="G6416" s="549"/>
      <c r="H6416" s="549"/>
      <c r="I6416" s="558"/>
      <c r="J6416" s="567"/>
      <c r="K6416" s="648"/>
      <c r="L6416" s="567"/>
      <c r="M6416" s="549"/>
      <c r="N6416" s="549"/>
      <c r="O6416" s="549"/>
      <c r="P6416" s="549"/>
      <c r="Q6416" s="1059"/>
      <c r="R6416" s="1059"/>
    </row>
    <row r="6417" spans="1:19" s="497" customFormat="1" ht="17.399999999999999">
      <c r="A6417" s="549"/>
      <c r="B6417" s="549"/>
      <c r="C6417" s="549"/>
      <c r="D6417" s="549"/>
      <c r="E6417" s="549"/>
      <c r="F6417" s="549"/>
      <c r="G6417" s="549"/>
      <c r="H6417" s="549"/>
      <c r="I6417" s="558"/>
      <c r="J6417" s="567"/>
      <c r="K6417" s="648"/>
      <c r="L6417" s="567"/>
      <c r="M6417" s="549"/>
      <c r="N6417" s="549"/>
      <c r="O6417" s="549"/>
      <c r="P6417" s="549"/>
      <c r="Q6417" s="1059"/>
      <c r="R6417" s="1059"/>
    </row>
    <row r="6418" spans="1:19" ht="17.399999999999999">
      <c r="A6418" s="547" t="s">
        <v>272</v>
      </c>
      <c r="B6418" s="852" t="s">
        <v>578</v>
      </c>
      <c r="C6418" s="547" t="s">
        <v>446</v>
      </c>
      <c r="D6418" s="813" t="s">
        <v>447</v>
      </c>
      <c r="E6418" s="547" t="s">
        <v>359</v>
      </c>
      <c r="F6418" s="548">
        <v>14</v>
      </c>
      <c r="G6418" s="549" t="s">
        <v>21</v>
      </c>
      <c r="H6418" s="599" t="s">
        <v>126</v>
      </c>
      <c r="I6418" s="558">
        <v>23.45</v>
      </c>
      <c r="J6418" s="647">
        <v>9.4</v>
      </c>
      <c r="K6418" s="648">
        <v>5</v>
      </c>
      <c r="L6418" s="567">
        <v>1.1045</v>
      </c>
      <c r="M6418" s="549"/>
      <c r="N6418" s="549"/>
      <c r="O6418" s="549"/>
      <c r="P6418" s="549"/>
      <c r="Q6418" s="1059"/>
      <c r="R6418" s="1059"/>
      <c r="S6418" s="497" t="s">
        <v>665</v>
      </c>
    </row>
    <row r="6419" spans="1:19" ht="17.399999999999999">
      <c r="A6419" s="549"/>
      <c r="B6419" s="549"/>
      <c r="C6419" s="549"/>
      <c r="D6419" s="549"/>
      <c r="E6419" s="549"/>
      <c r="F6419" s="549"/>
      <c r="G6419" s="549" t="s">
        <v>21</v>
      </c>
      <c r="H6419" s="549" t="s">
        <v>126</v>
      </c>
      <c r="I6419" s="558">
        <v>23.45</v>
      </c>
      <c r="J6419" s="647">
        <v>11.1</v>
      </c>
      <c r="K6419" s="648">
        <v>10</v>
      </c>
      <c r="L6419" s="567">
        <v>2.6084999999999998</v>
      </c>
      <c r="M6419" s="549"/>
      <c r="N6419" s="549"/>
      <c r="O6419" s="549"/>
      <c r="P6419" s="549"/>
      <c r="Q6419" s="1059"/>
      <c r="R6419" s="1059"/>
    </row>
    <row r="6420" spans="1:19" s="497" customFormat="1" ht="17.399999999999999">
      <c r="A6420" s="549"/>
      <c r="B6420" s="549"/>
      <c r="C6420" s="549"/>
      <c r="D6420" s="549"/>
      <c r="E6420" s="549"/>
      <c r="F6420" s="549"/>
      <c r="G6420" s="549"/>
      <c r="H6420" s="549"/>
      <c r="I6420" s="558"/>
      <c r="J6420" s="647"/>
      <c r="K6420" s="648">
        <f t="shared" ref="K6420" si="1395">SUM(K6418:K6419)</f>
        <v>15</v>
      </c>
      <c r="L6420" s="567">
        <f>SUM(L6418:L6419)</f>
        <v>3.7130000000000001</v>
      </c>
      <c r="M6420" s="549"/>
      <c r="N6420" s="549"/>
      <c r="O6420" s="549"/>
      <c r="P6420" s="549"/>
      <c r="Q6420" s="1059"/>
      <c r="R6420" s="1059"/>
    </row>
    <row r="6421" spans="1:19" s="497" customFormat="1" ht="17.399999999999999">
      <c r="A6421" s="549"/>
      <c r="B6421" s="549"/>
      <c r="C6421" s="549"/>
      <c r="D6421" s="549"/>
      <c r="E6421" s="549"/>
      <c r="F6421" s="549"/>
      <c r="G6421" s="549"/>
      <c r="H6421" s="549"/>
      <c r="I6421" s="558"/>
      <c r="J6421" s="647"/>
      <c r="K6421" s="648"/>
      <c r="L6421" s="567"/>
      <c r="M6421" s="549"/>
      <c r="N6421" s="549"/>
      <c r="O6421" s="549"/>
      <c r="P6421" s="549"/>
      <c r="Q6421" s="1059"/>
      <c r="R6421" s="1059"/>
    </row>
    <row r="6422" spans="1:19" s="497" customFormat="1" ht="17.399999999999999">
      <c r="A6422" s="547" t="s">
        <v>445</v>
      </c>
      <c r="B6422" s="547" t="s">
        <v>613</v>
      </c>
      <c r="C6422" s="547" t="s">
        <v>446</v>
      </c>
      <c r="D6422" s="813" t="s">
        <v>447</v>
      </c>
      <c r="E6422" s="547" t="s">
        <v>359</v>
      </c>
      <c r="F6422" s="548">
        <v>14</v>
      </c>
      <c r="G6422" s="550" t="s">
        <v>21</v>
      </c>
      <c r="H6422" s="599" t="s">
        <v>126</v>
      </c>
      <c r="I6422" s="551">
        <v>23.45</v>
      </c>
      <c r="J6422" s="765">
        <v>10.5</v>
      </c>
      <c r="K6422" s="766">
        <v>29</v>
      </c>
      <c r="L6422" s="552">
        <f>(I6422*J6422*K6422/1000)</f>
        <v>7.1405249999999993</v>
      </c>
      <c r="M6422" s="550"/>
      <c r="N6422" s="549"/>
      <c r="O6422" s="549"/>
      <c r="P6422" s="549"/>
      <c r="Q6422" s="1059"/>
      <c r="R6422" s="1059"/>
      <c r="S6422" s="497" t="s">
        <v>665</v>
      </c>
    </row>
    <row r="6423" spans="1:19" s="497" customFormat="1" ht="17.399999999999999">
      <c r="A6423" s="549"/>
      <c r="B6423" s="549"/>
      <c r="C6423" s="549"/>
      <c r="D6423" s="549"/>
      <c r="E6423" s="549"/>
      <c r="F6423" s="549"/>
      <c r="G6423" s="550" t="s">
        <v>21</v>
      </c>
      <c r="H6423" s="550" t="s">
        <v>126</v>
      </c>
      <c r="I6423" s="551">
        <v>23.45</v>
      </c>
      <c r="J6423" s="765">
        <v>9.4</v>
      </c>
      <c r="K6423" s="766">
        <v>26</v>
      </c>
      <c r="L6423" s="552">
        <f>(I6423*J6423*K6423/1000)</f>
        <v>5.7311800000000002</v>
      </c>
      <c r="M6423" s="550"/>
      <c r="N6423" s="549"/>
      <c r="O6423" s="549"/>
      <c r="P6423" s="549"/>
      <c r="Q6423" s="1059"/>
      <c r="R6423" s="1059"/>
    </row>
    <row r="6424" spans="1:19" s="497" customFormat="1" ht="17.399999999999999">
      <c r="A6424" s="549"/>
      <c r="B6424" s="549"/>
      <c r="C6424" s="549"/>
      <c r="D6424" s="549"/>
      <c r="E6424" s="549"/>
      <c r="F6424" s="549"/>
      <c r="G6424" s="550"/>
      <c r="H6424" s="550"/>
      <c r="I6424" s="551"/>
      <c r="J6424" s="764"/>
      <c r="K6424" s="766">
        <f t="shared" ref="K6424" si="1396">SUM(K6422:K6423)</f>
        <v>55</v>
      </c>
      <c r="L6424" s="765">
        <f>SUM(L6422:L6423)</f>
        <v>12.871704999999999</v>
      </c>
      <c r="M6424" s="550"/>
      <c r="N6424" s="549"/>
      <c r="O6424" s="549"/>
      <c r="P6424" s="549"/>
      <c r="Q6424" s="1059"/>
      <c r="R6424" s="1059"/>
    </row>
    <row r="6425" spans="1:19" s="497" customFormat="1" ht="17.399999999999999">
      <c r="A6425" s="549"/>
      <c r="B6425" s="549"/>
      <c r="C6425" s="549"/>
      <c r="D6425" s="549"/>
      <c r="E6425" s="549"/>
      <c r="F6425" s="549"/>
      <c r="G6425" s="550"/>
      <c r="H6425" s="550"/>
      <c r="I6425" s="551"/>
      <c r="J6425" s="764"/>
      <c r="K6425" s="766"/>
      <c r="L6425" s="765">
        <f>+L6424+L6420</f>
        <v>16.584705</v>
      </c>
      <c r="M6425" s="550"/>
      <c r="N6425" s="549"/>
      <c r="O6425" s="549"/>
      <c r="P6425" s="549"/>
      <c r="Q6425" s="1059"/>
      <c r="R6425" s="1059"/>
    </row>
    <row r="6426" spans="1:19" s="497" customFormat="1" ht="17.399999999999999">
      <c r="A6426" s="549"/>
      <c r="B6426" s="549"/>
      <c r="C6426" s="549"/>
      <c r="D6426" s="549"/>
      <c r="E6426" s="549"/>
      <c r="F6426" s="549"/>
      <c r="G6426" s="550"/>
      <c r="H6426" s="550"/>
      <c r="I6426" s="551"/>
      <c r="J6426" s="764"/>
      <c r="K6426" s="766"/>
      <c r="L6426" s="765"/>
      <c r="M6426" s="550"/>
      <c r="N6426" s="549"/>
      <c r="O6426" s="549"/>
      <c r="P6426" s="549"/>
      <c r="Q6426" s="1059"/>
      <c r="R6426" s="1059"/>
    </row>
    <row r="6427" spans="1:19" s="497" customFormat="1" ht="17.399999999999999">
      <c r="A6427" s="549"/>
      <c r="B6427" s="549"/>
      <c r="C6427" s="549"/>
      <c r="D6427" s="549"/>
      <c r="E6427" s="549"/>
      <c r="F6427" s="549"/>
      <c r="G6427" s="550"/>
      <c r="H6427" s="550"/>
      <c r="I6427" s="551"/>
      <c r="J6427" s="765"/>
      <c r="K6427" s="766"/>
      <c r="L6427" s="765"/>
      <c r="M6427" s="550"/>
      <c r="N6427" s="549"/>
      <c r="O6427" s="549"/>
      <c r="P6427" s="549"/>
      <c r="Q6427" s="1059"/>
      <c r="R6427" s="1059"/>
    </row>
    <row r="6428" spans="1:19" s="497" customFormat="1" ht="17.399999999999999">
      <c r="A6428" s="547" t="s">
        <v>83</v>
      </c>
      <c r="B6428" s="547" t="s">
        <v>579</v>
      </c>
      <c r="C6428" s="547" t="s">
        <v>446</v>
      </c>
      <c r="D6428" s="813" t="s">
        <v>447</v>
      </c>
      <c r="E6428" s="547" t="s">
        <v>359</v>
      </c>
      <c r="F6428" s="548">
        <v>14</v>
      </c>
      <c r="G6428" s="549" t="s">
        <v>21</v>
      </c>
      <c r="H6428" s="599" t="s">
        <v>125</v>
      </c>
      <c r="I6428" s="558">
        <v>21.7</v>
      </c>
      <c r="J6428" s="567">
        <v>9</v>
      </c>
      <c r="K6428" s="648">
        <v>2</v>
      </c>
      <c r="L6428" s="552">
        <f>(I6428*J6428*K6428/1000)</f>
        <v>0.39059999999999995</v>
      </c>
      <c r="M6428" s="549"/>
      <c r="N6428" s="549"/>
      <c r="O6428" s="567">
        <v>8.9</v>
      </c>
      <c r="P6428" s="549"/>
      <c r="Q6428" s="1059"/>
      <c r="R6428" s="1059"/>
      <c r="S6428" s="497" t="s">
        <v>665</v>
      </c>
    </row>
    <row r="6429" spans="1:19" s="497" customFormat="1" ht="17.399999999999999">
      <c r="A6429" s="549"/>
      <c r="B6429" s="549"/>
      <c r="C6429" s="549"/>
      <c r="D6429" s="549"/>
      <c r="E6429" s="549"/>
      <c r="F6429" s="549"/>
      <c r="G6429" s="549"/>
      <c r="H6429" s="549"/>
      <c r="I6429" s="558"/>
      <c r="J6429" s="567"/>
      <c r="K6429" s="648">
        <f t="shared" ref="K6429:L6429" si="1397">SUM(K6428)</f>
        <v>2</v>
      </c>
      <c r="L6429" s="567">
        <f t="shared" si="1397"/>
        <v>0.39059999999999995</v>
      </c>
      <c r="M6429" s="549"/>
      <c r="N6429" s="549"/>
      <c r="O6429" s="549"/>
      <c r="P6429" s="549"/>
      <c r="Q6429" s="1059"/>
      <c r="R6429" s="1059"/>
    </row>
    <row r="6430" spans="1:19" s="497" customFormat="1" ht="17.399999999999999">
      <c r="A6430" s="549"/>
      <c r="B6430" s="549"/>
      <c r="C6430" s="549"/>
      <c r="D6430" s="549"/>
      <c r="E6430" s="549"/>
      <c r="F6430" s="549"/>
      <c r="G6430" s="549"/>
      <c r="H6430" s="549"/>
      <c r="I6430" s="558"/>
      <c r="J6430" s="567"/>
      <c r="K6430" s="648"/>
      <c r="L6430" s="567"/>
      <c r="M6430" s="549"/>
      <c r="N6430" s="549"/>
      <c r="O6430" s="549"/>
      <c r="P6430" s="549"/>
      <c r="Q6430" s="1059"/>
      <c r="R6430" s="1059"/>
    </row>
    <row r="6431" spans="1:19" ht="17.399999999999999">
      <c r="A6431" s="547" t="s">
        <v>272</v>
      </c>
      <c r="B6431" s="852" t="s">
        <v>580</v>
      </c>
      <c r="C6431" s="547" t="s">
        <v>446</v>
      </c>
      <c r="D6431" s="813" t="s">
        <v>447</v>
      </c>
      <c r="E6431" s="547" t="s">
        <v>359</v>
      </c>
      <c r="F6431" s="548">
        <v>14</v>
      </c>
      <c r="G6431" s="549" t="s">
        <v>21</v>
      </c>
      <c r="H6431" s="599" t="s">
        <v>125</v>
      </c>
      <c r="I6431" s="558">
        <v>21.7</v>
      </c>
      <c r="J6431" s="567">
        <v>11.1</v>
      </c>
      <c r="K6431" s="648">
        <v>1</v>
      </c>
      <c r="L6431" s="552">
        <f>(I6431*J6431*K6431/1000)</f>
        <v>0.24086999999999997</v>
      </c>
      <c r="M6431" s="549"/>
      <c r="N6431" s="549"/>
      <c r="O6431" s="549"/>
      <c r="P6431" s="549"/>
      <c r="Q6431" s="1059"/>
      <c r="R6431" s="1059"/>
      <c r="S6431" s="497" t="s">
        <v>665</v>
      </c>
    </row>
    <row r="6432" spans="1:19" ht="17.399999999999999">
      <c r="A6432" s="549"/>
      <c r="B6432" s="549"/>
      <c r="C6432" s="549"/>
      <c r="D6432" s="549"/>
      <c r="E6432" s="549"/>
      <c r="F6432" s="549"/>
      <c r="G6432" s="549"/>
      <c r="H6432" s="549"/>
      <c r="I6432" s="558"/>
      <c r="J6432" s="567"/>
      <c r="K6432" s="648">
        <f t="shared" ref="K6432:L6432" si="1398">SUM(K6431)</f>
        <v>1</v>
      </c>
      <c r="L6432" s="567">
        <f t="shared" si="1398"/>
        <v>0.24086999999999997</v>
      </c>
      <c r="M6432" s="549"/>
      <c r="N6432" s="549"/>
      <c r="O6432" s="549"/>
      <c r="P6432" s="549"/>
      <c r="Q6432" s="1059"/>
      <c r="R6432" s="1059"/>
    </row>
    <row r="6433" spans="1:19" s="497" customFormat="1" ht="17.399999999999999">
      <c r="A6433" s="549"/>
      <c r="B6433" s="549"/>
      <c r="C6433" s="549"/>
      <c r="D6433" s="549"/>
      <c r="E6433" s="549"/>
      <c r="F6433" s="549"/>
      <c r="G6433" s="549"/>
      <c r="H6433" s="549"/>
      <c r="I6433" s="558"/>
      <c r="J6433" s="567"/>
      <c r="K6433" s="648"/>
      <c r="L6433" s="567"/>
      <c r="M6433" s="549"/>
      <c r="N6433" s="549"/>
      <c r="O6433" s="549"/>
      <c r="P6433" s="549"/>
      <c r="Q6433" s="1059"/>
      <c r="R6433" s="1059"/>
    </row>
    <row r="6434" spans="1:19" ht="17.399999999999999">
      <c r="A6434" s="547" t="s">
        <v>272</v>
      </c>
      <c r="B6434" s="852" t="s">
        <v>589</v>
      </c>
      <c r="C6434" s="547" t="s">
        <v>446</v>
      </c>
      <c r="D6434" s="813" t="s">
        <v>447</v>
      </c>
      <c r="E6434" s="547" t="s">
        <v>359</v>
      </c>
      <c r="F6434" s="548">
        <v>14</v>
      </c>
      <c r="G6434" s="549" t="s">
        <v>21</v>
      </c>
      <c r="H6434" s="599" t="s">
        <v>125</v>
      </c>
      <c r="I6434" s="558">
        <v>21.7</v>
      </c>
      <c r="J6434" s="567">
        <v>9</v>
      </c>
      <c r="K6434" s="648">
        <v>56</v>
      </c>
      <c r="L6434" s="552">
        <f t="shared" ref="L6434:L6437" si="1399">(I6434*J6434*K6434/1000)</f>
        <v>10.9368</v>
      </c>
      <c r="M6434" s="549"/>
      <c r="N6434" s="549"/>
      <c r="O6434" s="549"/>
      <c r="P6434" s="549"/>
      <c r="Q6434" s="1059"/>
      <c r="R6434" s="1059"/>
      <c r="S6434" s="497" t="s">
        <v>665</v>
      </c>
    </row>
    <row r="6435" spans="1:19" ht="17.399999999999999">
      <c r="A6435" s="549"/>
      <c r="B6435" s="549"/>
      <c r="C6435" s="549"/>
      <c r="D6435" s="549"/>
      <c r="E6435" s="549"/>
      <c r="F6435" s="549"/>
      <c r="G6435" s="549" t="s">
        <v>21</v>
      </c>
      <c r="H6435" s="549" t="s">
        <v>125</v>
      </c>
      <c r="I6435" s="558">
        <v>21.7</v>
      </c>
      <c r="J6435" s="567">
        <v>10</v>
      </c>
      <c r="K6435" s="648">
        <v>36</v>
      </c>
      <c r="L6435" s="552">
        <f t="shared" si="1399"/>
        <v>7.8120000000000003</v>
      </c>
      <c r="M6435" s="549"/>
      <c r="N6435" s="549"/>
      <c r="O6435" s="549"/>
      <c r="P6435" s="549"/>
      <c r="Q6435" s="1059"/>
      <c r="R6435" s="1059"/>
    </row>
    <row r="6436" spans="1:19" ht="17.399999999999999">
      <c r="A6436" s="549"/>
      <c r="B6436" s="549"/>
      <c r="C6436" s="549"/>
      <c r="D6436" s="549"/>
      <c r="E6436" s="549"/>
      <c r="F6436" s="549"/>
      <c r="G6436" s="549" t="s">
        <v>21</v>
      </c>
      <c r="H6436" s="549" t="s">
        <v>125</v>
      </c>
      <c r="I6436" s="558">
        <v>21.7</v>
      </c>
      <c r="J6436" s="567">
        <v>10.3</v>
      </c>
      <c r="K6436" s="648">
        <v>56</v>
      </c>
      <c r="L6436" s="552">
        <f t="shared" si="1399"/>
        <v>12.516560000000002</v>
      </c>
      <c r="M6436" s="549"/>
      <c r="N6436" s="549"/>
      <c r="O6436" s="549"/>
      <c r="P6436" s="549"/>
      <c r="Q6436" s="1059"/>
      <c r="R6436" s="1059"/>
    </row>
    <row r="6437" spans="1:19" ht="17.399999999999999">
      <c r="A6437" s="549"/>
      <c r="B6437" s="549"/>
      <c r="C6437" s="549"/>
      <c r="D6437" s="549"/>
      <c r="E6437" s="549"/>
      <c r="F6437" s="549"/>
      <c r="G6437" s="549" t="s">
        <v>21</v>
      </c>
      <c r="H6437" s="549" t="s">
        <v>125</v>
      </c>
      <c r="I6437" s="558">
        <v>21.7</v>
      </c>
      <c r="J6437" s="567">
        <v>11.1</v>
      </c>
      <c r="K6437" s="648">
        <v>10</v>
      </c>
      <c r="L6437" s="552">
        <f t="shared" si="1399"/>
        <v>2.4086999999999996</v>
      </c>
      <c r="M6437" s="549"/>
      <c r="N6437" s="549"/>
      <c r="O6437" s="549"/>
      <c r="P6437" s="549"/>
      <c r="Q6437" s="1059"/>
      <c r="R6437" s="1059"/>
    </row>
    <row r="6438" spans="1:19" ht="17.399999999999999">
      <c r="A6438" s="549"/>
      <c r="B6438" s="549"/>
      <c r="C6438" s="549"/>
      <c r="D6438" s="549"/>
      <c r="E6438" s="549"/>
      <c r="F6438" s="549"/>
      <c r="G6438" s="549"/>
      <c r="H6438" s="549"/>
      <c r="I6438" s="558"/>
      <c r="J6438" s="567"/>
      <c r="K6438" s="648">
        <f t="shared" ref="K6438" si="1400">SUM(K6434:K6437)</f>
        <v>158</v>
      </c>
      <c r="L6438" s="567">
        <f>SUM(L6434:L6437)</f>
        <v>33.674059999999997</v>
      </c>
      <c r="M6438" s="549"/>
      <c r="N6438" s="549"/>
      <c r="O6438" s="549"/>
      <c r="P6438" s="549"/>
      <c r="Q6438" s="1059"/>
      <c r="R6438" s="1059"/>
    </row>
    <row r="6439" spans="1:19" ht="17.399999999999999">
      <c r="A6439" s="549"/>
      <c r="B6439" s="549"/>
      <c r="C6439" s="549"/>
      <c r="D6439" s="549"/>
      <c r="E6439" s="549"/>
      <c r="F6439" s="549"/>
      <c r="G6439" s="549"/>
      <c r="H6439" s="549"/>
      <c r="I6439" s="560"/>
      <c r="J6439" s="549"/>
      <c r="K6439" s="561"/>
      <c r="L6439" s="568"/>
      <c r="M6439" s="549"/>
      <c r="N6439" s="549"/>
      <c r="O6439" s="549"/>
      <c r="P6439" s="549"/>
      <c r="Q6439" s="1059"/>
      <c r="R6439" s="1059"/>
    </row>
    <row r="6440" spans="1:19" ht="17.399999999999999">
      <c r="A6440" s="547" t="s">
        <v>451</v>
      </c>
      <c r="B6440" s="852" t="s">
        <v>581</v>
      </c>
      <c r="C6440" s="547" t="s">
        <v>19</v>
      </c>
      <c r="D6440" s="813" t="s">
        <v>20</v>
      </c>
      <c r="E6440" s="547" t="s">
        <v>359</v>
      </c>
      <c r="F6440" s="548">
        <v>14</v>
      </c>
      <c r="G6440" s="549" t="s">
        <v>21</v>
      </c>
      <c r="H6440" s="599" t="s">
        <v>125</v>
      </c>
      <c r="I6440" s="558">
        <v>21.7</v>
      </c>
      <c r="J6440" s="567">
        <v>12</v>
      </c>
      <c r="K6440" s="648">
        <v>14</v>
      </c>
      <c r="L6440" s="552">
        <f>(I6440*J6440*K6440/1000)</f>
        <v>3.6455999999999995</v>
      </c>
      <c r="M6440" s="549"/>
      <c r="N6440" s="549"/>
      <c r="O6440" s="549"/>
      <c r="P6440" s="549"/>
      <c r="Q6440" s="1059"/>
      <c r="R6440" s="1059"/>
      <c r="S6440" s="497" t="s">
        <v>665</v>
      </c>
    </row>
    <row r="6441" spans="1:19" ht="17.399999999999999">
      <c r="A6441" s="549"/>
      <c r="B6441" s="549" t="s">
        <v>277</v>
      </c>
      <c r="C6441" s="549"/>
      <c r="D6441" s="549"/>
      <c r="E6441" s="549"/>
      <c r="F6441" s="549"/>
      <c r="G6441" s="549"/>
      <c r="H6441" s="549"/>
      <c r="I6441" s="558"/>
      <c r="J6441" s="567"/>
      <c r="K6441" s="648">
        <f t="shared" ref="K6441" si="1401">SUM(K6440)</f>
        <v>14</v>
      </c>
      <c r="L6441" s="567">
        <f>SUM(L6440)</f>
        <v>3.6455999999999995</v>
      </c>
      <c r="M6441" s="549"/>
      <c r="N6441" s="549"/>
      <c r="O6441" s="549"/>
      <c r="P6441" s="549"/>
      <c r="Q6441" s="1059"/>
      <c r="R6441" s="1059"/>
    </row>
    <row r="6442" spans="1:19" s="497" customFormat="1" ht="17.399999999999999">
      <c r="A6442" s="549"/>
      <c r="B6442" s="549"/>
      <c r="C6442" s="549"/>
      <c r="D6442" s="549"/>
      <c r="E6442" s="549"/>
      <c r="F6442" s="549"/>
      <c r="G6442" s="549"/>
      <c r="H6442" s="549"/>
      <c r="I6442" s="558"/>
      <c r="J6442" s="567"/>
      <c r="K6442" s="648">
        <f>SUM(K6428:K6441)/2</f>
        <v>175</v>
      </c>
      <c r="L6442" s="567">
        <f>SUM(L6428:L6441)/2</f>
        <v>37.951129999999999</v>
      </c>
      <c r="M6442" s="549"/>
      <c r="N6442" s="549"/>
      <c r="O6442" s="549"/>
      <c r="P6442" s="549"/>
      <c r="Q6442" s="1059"/>
      <c r="R6442" s="1059"/>
    </row>
    <row r="6443" spans="1:19" s="497" customFormat="1" ht="17.399999999999999">
      <c r="A6443" s="549"/>
      <c r="B6443" s="549"/>
      <c r="C6443" s="549"/>
      <c r="D6443" s="549"/>
      <c r="E6443" s="549"/>
      <c r="F6443" s="549"/>
      <c r="G6443" s="549"/>
      <c r="H6443" s="549"/>
      <c r="I6443" s="558"/>
      <c r="J6443" s="567"/>
      <c r="K6443" s="648"/>
      <c r="L6443" s="567"/>
      <c r="M6443" s="549"/>
      <c r="N6443" s="549"/>
      <c r="O6443" s="549"/>
      <c r="P6443" s="549"/>
      <c r="Q6443" s="1059"/>
      <c r="R6443" s="1059"/>
    </row>
    <row r="6444" spans="1:19" s="497" customFormat="1" ht="17.399999999999999">
      <c r="A6444" s="549"/>
      <c r="B6444" s="549"/>
      <c r="C6444" s="549"/>
      <c r="D6444" s="549"/>
      <c r="E6444" s="549"/>
      <c r="F6444" s="549"/>
      <c r="G6444" s="549"/>
      <c r="H6444" s="549"/>
      <c r="I6444" s="558"/>
      <c r="J6444" s="567"/>
      <c r="K6444" s="648"/>
      <c r="L6444" s="567"/>
      <c r="M6444" s="549"/>
      <c r="N6444" s="549"/>
      <c r="O6444" s="549"/>
      <c r="P6444" s="549"/>
      <c r="Q6444" s="1059"/>
      <c r="R6444" s="1059"/>
    </row>
    <row r="6445" spans="1:19" s="497" customFormat="1" ht="17.399999999999999">
      <c r="A6445" s="547" t="s">
        <v>83</v>
      </c>
      <c r="B6445" s="547" t="s">
        <v>579</v>
      </c>
      <c r="C6445" s="547" t="s">
        <v>446</v>
      </c>
      <c r="D6445" s="813" t="s">
        <v>447</v>
      </c>
      <c r="E6445" s="547" t="s">
        <v>359</v>
      </c>
      <c r="F6445" s="548">
        <v>14</v>
      </c>
      <c r="G6445" s="549" t="s">
        <v>21</v>
      </c>
      <c r="H6445" s="599" t="s">
        <v>124</v>
      </c>
      <c r="I6445" s="558">
        <v>19.72</v>
      </c>
      <c r="J6445" s="567">
        <v>10.6</v>
      </c>
      <c r="K6445" s="648">
        <v>4</v>
      </c>
      <c r="L6445" s="552">
        <f>(I6445*J6445*K6445/1000)</f>
        <v>0.83612799999999998</v>
      </c>
      <c r="M6445" s="549"/>
      <c r="N6445" s="549"/>
      <c r="O6445" s="549"/>
      <c r="P6445" s="549"/>
      <c r="Q6445" s="1059"/>
      <c r="R6445" s="1059"/>
      <c r="S6445" s="497" t="s">
        <v>665</v>
      </c>
    </row>
    <row r="6446" spans="1:19" s="497" customFormat="1" ht="17.399999999999999">
      <c r="A6446" s="549"/>
      <c r="B6446" s="549"/>
      <c r="C6446" s="549"/>
      <c r="D6446" s="549"/>
      <c r="E6446" s="549"/>
      <c r="F6446" s="549"/>
      <c r="G6446" s="549" t="s">
        <v>21</v>
      </c>
      <c r="H6446" s="549" t="s">
        <v>124</v>
      </c>
      <c r="I6446" s="558">
        <v>19.72</v>
      </c>
      <c r="J6446" s="567">
        <v>11.4</v>
      </c>
      <c r="K6446" s="648">
        <v>12</v>
      </c>
      <c r="L6446" s="552">
        <f>(I6446*J6446*K6446/1000)</f>
        <v>2.6976960000000001</v>
      </c>
      <c r="M6446" s="549"/>
      <c r="N6446" s="549"/>
      <c r="O6446" s="549"/>
      <c r="P6446" s="549"/>
      <c r="Q6446" s="1059"/>
      <c r="R6446" s="1059"/>
    </row>
    <row r="6447" spans="1:19" s="497" customFormat="1" ht="17.399999999999999">
      <c r="A6447" s="549"/>
      <c r="B6447" s="549"/>
      <c r="C6447" s="549"/>
      <c r="D6447" s="549"/>
      <c r="E6447" s="549"/>
      <c r="F6447" s="549"/>
      <c r="G6447" s="549"/>
      <c r="H6447" s="549"/>
      <c r="I6447" s="558"/>
      <c r="J6447" s="567"/>
      <c r="K6447" s="648">
        <f t="shared" ref="K6447:L6447" si="1402">SUM(K6445:K6446)</f>
        <v>16</v>
      </c>
      <c r="L6447" s="567">
        <f t="shared" si="1402"/>
        <v>3.5338240000000001</v>
      </c>
      <c r="M6447" s="549"/>
      <c r="N6447" s="549"/>
      <c r="O6447" s="549"/>
      <c r="P6447" s="549"/>
      <c r="Q6447" s="1059"/>
      <c r="R6447" s="1059"/>
    </row>
    <row r="6448" spans="1:19" s="497" customFormat="1" ht="17.399999999999999">
      <c r="A6448" s="549"/>
      <c r="B6448" s="549"/>
      <c r="C6448" s="549"/>
      <c r="D6448" s="549"/>
      <c r="E6448" s="549"/>
      <c r="F6448" s="549"/>
      <c r="G6448" s="549"/>
      <c r="H6448" s="549"/>
      <c r="I6448" s="558"/>
      <c r="J6448" s="567"/>
      <c r="K6448" s="648"/>
      <c r="L6448" s="567"/>
      <c r="M6448" s="549"/>
      <c r="N6448" s="549"/>
      <c r="O6448" s="549"/>
      <c r="P6448" s="549"/>
      <c r="Q6448" s="1059"/>
      <c r="R6448" s="1059"/>
    </row>
    <row r="6449" spans="1:19" s="497" customFormat="1" ht="17.399999999999999">
      <c r="A6449" s="547" t="s">
        <v>83</v>
      </c>
      <c r="B6449" s="547" t="s">
        <v>588</v>
      </c>
      <c r="C6449" s="547" t="s">
        <v>446</v>
      </c>
      <c r="D6449" s="813" t="s">
        <v>447</v>
      </c>
      <c r="E6449" s="547" t="s">
        <v>359</v>
      </c>
      <c r="F6449" s="548">
        <v>14</v>
      </c>
      <c r="G6449" s="549" t="s">
        <v>21</v>
      </c>
      <c r="H6449" s="599" t="s">
        <v>124</v>
      </c>
      <c r="I6449" s="558">
        <v>19.72</v>
      </c>
      <c r="J6449" s="567">
        <v>9.8000000000000007</v>
      </c>
      <c r="K6449" s="648">
        <v>14</v>
      </c>
      <c r="L6449" s="552">
        <f t="shared" ref="L6449:L6452" si="1403">(I6449*J6449*K6449/1000)</f>
        <v>2.705584</v>
      </c>
      <c r="M6449" s="549"/>
      <c r="N6449" s="549"/>
      <c r="O6449" s="549"/>
      <c r="P6449" s="549"/>
      <c r="Q6449" s="1059"/>
      <c r="R6449" s="1059"/>
      <c r="S6449" s="497" t="s">
        <v>665</v>
      </c>
    </row>
    <row r="6450" spans="1:19" s="497" customFormat="1" ht="17.399999999999999">
      <c r="A6450" s="549"/>
      <c r="B6450" s="549"/>
      <c r="C6450" s="549"/>
      <c r="D6450" s="549"/>
      <c r="E6450" s="549"/>
      <c r="F6450" s="549"/>
      <c r="G6450" s="549" t="s">
        <v>21</v>
      </c>
      <c r="H6450" s="549" t="s">
        <v>124</v>
      </c>
      <c r="I6450" s="558">
        <v>19.72</v>
      </c>
      <c r="J6450" s="567">
        <v>10.6</v>
      </c>
      <c r="K6450" s="648">
        <v>13</v>
      </c>
      <c r="L6450" s="552">
        <f t="shared" si="1403"/>
        <v>2.7174159999999996</v>
      </c>
      <c r="M6450" s="549"/>
      <c r="N6450" s="549"/>
      <c r="O6450" s="549"/>
      <c r="P6450" s="549"/>
      <c r="Q6450" s="1059"/>
      <c r="R6450" s="1059"/>
    </row>
    <row r="6451" spans="1:19" s="497" customFormat="1" ht="17.399999999999999">
      <c r="A6451" s="549"/>
      <c r="B6451" s="549"/>
      <c r="C6451" s="549"/>
      <c r="D6451" s="549"/>
      <c r="E6451" s="549"/>
      <c r="F6451" s="549"/>
      <c r="G6451" s="549" t="s">
        <v>21</v>
      </c>
      <c r="H6451" s="549" t="s">
        <v>124</v>
      </c>
      <c r="I6451" s="558">
        <v>19.72</v>
      </c>
      <c r="J6451" s="567">
        <v>11.4</v>
      </c>
      <c r="K6451" s="648">
        <v>13</v>
      </c>
      <c r="L6451" s="552">
        <f t="shared" si="1403"/>
        <v>2.922504</v>
      </c>
      <c r="M6451" s="549"/>
      <c r="N6451" s="549"/>
      <c r="O6451" s="549"/>
      <c r="P6451" s="549"/>
      <c r="Q6451" s="1059"/>
      <c r="R6451" s="1059"/>
    </row>
    <row r="6452" spans="1:19" s="497" customFormat="1" ht="17.399999999999999">
      <c r="A6452" s="549"/>
      <c r="B6452" s="549"/>
      <c r="C6452" s="549"/>
      <c r="D6452" s="549"/>
      <c r="E6452" s="549"/>
      <c r="F6452" s="549"/>
      <c r="G6452" s="549" t="s">
        <v>21</v>
      </c>
      <c r="H6452" s="549" t="s">
        <v>124</v>
      </c>
      <c r="I6452" s="558">
        <v>19.72</v>
      </c>
      <c r="J6452" s="567">
        <v>11.9</v>
      </c>
      <c r="K6452" s="648">
        <v>18</v>
      </c>
      <c r="L6452" s="552">
        <f t="shared" si="1403"/>
        <v>4.224024</v>
      </c>
      <c r="M6452" s="549"/>
      <c r="N6452" s="549"/>
      <c r="O6452" s="549"/>
      <c r="P6452" s="549"/>
      <c r="Q6452" s="1059"/>
      <c r="R6452" s="1059"/>
    </row>
    <row r="6453" spans="1:19" s="497" customFormat="1" ht="17.399999999999999">
      <c r="A6453" s="549"/>
      <c r="B6453" s="549"/>
      <c r="C6453" s="549"/>
      <c r="D6453" s="549"/>
      <c r="E6453" s="549"/>
      <c r="F6453" s="549"/>
      <c r="G6453" s="549"/>
      <c r="H6453" s="549"/>
      <c r="I6453" s="564"/>
      <c r="J6453" s="567"/>
      <c r="K6453" s="648">
        <f t="shared" ref="K6453:L6453" si="1404">SUM(K6449:K6452)</f>
        <v>58</v>
      </c>
      <c r="L6453" s="567">
        <f t="shared" si="1404"/>
        <v>12.569528</v>
      </c>
      <c r="M6453" s="549"/>
      <c r="N6453" s="549"/>
      <c r="O6453" s="549"/>
      <c r="P6453" s="549"/>
      <c r="Q6453" s="1059"/>
      <c r="R6453" s="1059"/>
    </row>
    <row r="6454" spans="1:19" s="497" customFormat="1" ht="17.399999999999999">
      <c r="A6454" s="549"/>
      <c r="B6454" s="549"/>
      <c r="C6454" s="549"/>
      <c r="D6454" s="549"/>
      <c r="E6454" s="549"/>
      <c r="F6454" s="549"/>
      <c r="G6454" s="549"/>
      <c r="H6454" s="549"/>
      <c r="I6454" s="558"/>
      <c r="J6454" s="567"/>
      <c r="K6454" s="648"/>
      <c r="L6454" s="567"/>
      <c r="M6454" s="549"/>
      <c r="N6454" s="549"/>
      <c r="O6454" s="549"/>
      <c r="P6454" s="549"/>
      <c r="Q6454" s="1059"/>
      <c r="R6454" s="1059"/>
    </row>
    <row r="6455" spans="1:19" ht="17.399999999999999">
      <c r="A6455" s="547" t="s">
        <v>272</v>
      </c>
      <c r="B6455" s="852" t="s">
        <v>589</v>
      </c>
      <c r="C6455" s="547" t="s">
        <v>446</v>
      </c>
      <c r="D6455" s="813" t="s">
        <v>447</v>
      </c>
      <c r="E6455" s="547" t="s">
        <v>359</v>
      </c>
      <c r="F6455" s="548">
        <v>14</v>
      </c>
      <c r="G6455" s="549" t="s">
        <v>21</v>
      </c>
      <c r="H6455" s="599" t="s">
        <v>124</v>
      </c>
      <c r="I6455" s="558">
        <v>19.72</v>
      </c>
      <c r="J6455" s="567">
        <v>9.5</v>
      </c>
      <c r="K6455" s="648">
        <v>15</v>
      </c>
      <c r="L6455" s="552">
        <f>(I6455*J6455*K6455/1000)</f>
        <v>2.8100999999999994</v>
      </c>
      <c r="M6455" s="549"/>
      <c r="N6455" s="549"/>
      <c r="O6455" s="549"/>
      <c r="P6455" s="549"/>
      <c r="Q6455" s="1059"/>
      <c r="R6455" s="1059"/>
      <c r="S6455" s="497" t="s">
        <v>665</v>
      </c>
    </row>
    <row r="6456" spans="1:19" ht="17.399999999999999">
      <c r="A6456" s="549"/>
      <c r="B6456" s="549"/>
      <c r="C6456" s="549"/>
      <c r="D6456" s="549"/>
      <c r="E6456" s="549"/>
      <c r="F6456" s="549"/>
      <c r="G6456" s="549" t="s">
        <v>21</v>
      </c>
      <c r="H6456" s="549" t="s">
        <v>124</v>
      </c>
      <c r="I6456" s="558">
        <v>19.72</v>
      </c>
      <c r="J6456" s="567">
        <v>10.6</v>
      </c>
      <c r="K6456" s="648">
        <v>37</v>
      </c>
      <c r="L6456" s="552">
        <f>(I6456*J6456*K6456/1000)</f>
        <v>7.7341839999999991</v>
      </c>
      <c r="M6456" s="549"/>
      <c r="N6456" s="549"/>
      <c r="O6456" s="549"/>
      <c r="P6456" s="549"/>
      <c r="Q6456" s="1059"/>
      <c r="R6456" s="1059"/>
    </row>
    <row r="6457" spans="1:19" ht="17.399999999999999">
      <c r="A6457" s="549"/>
      <c r="B6457" s="549"/>
      <c r="C6457" s="549"/>
      <c r="D6457" s="549"/>
      <c r="E6457" s="549"/>
      <c r="F6457" s="549"/>
      <c r="G6457" s="549"/>
      <c r="H6457" s="549"/>
      <c r="I6457" s="558"/>
      <c r="J6457" s="567"/>
      <c r="K6457" s="648">
        <f>SUM(K6455:K6456)</f>
        <v>52</v>
      </c>
      <c r="L6457" s="567">
        <f>SUM(L6455:L6456)</f>
        <v>10.544283999999998</v>
      </c>
      <c r="M6457" s="549"/>
      <c r="N6457" s="549"/>
      <c r="O6457" s="549"/>
      <c r="P6457" s="549"/>
      <c r="Q6457" s="1059"/>
      <c r="R6457" s="1059"/>
    </row>
    <row r="6458" spans="1:19" s="497" customFormat="1" ht="17.399999999999999">
      <c r="A6458" s="549"/>
      <c r="B6458" s="549"/>
      <c r="C6458" s="549"/>
      <c r="D6458" s="549"/>
      <c r="E6458" s="549"/>
      <c r="F6458" s="549"/>
      <c r="G6458" s="549"/>
      <c r="H6458" s="549"/>
      <c r="I6458" s="558"/>
      <c r="J6458" s="567"/>
      <c r="K6458" s="648">
        <f>SUM(K6445:K6457)/2</f>
        <v>126</v>
      </c>
      <c r="L6458" s="567">
        <f>SUM(L6445:L6457)/2</f>
        <v>26.647635999999999</v>
      </c>
      <c r="M6458" s="549"/>
      <c r="N6458" s="549"/>
      <c r="O6458" s="549"/>
      <c r="P6458" s="549"/>
      <c r="Q6458" s="1059"/>
      <c r="R6458" s="1059"/>
    </row>
    <row r="6459" spans="1:19" s="497" customFormat="1" ht="17.399999999999999">
      <c r="A6459" s="549"/>
      <c r="B6459" s="549"/>
      <c r="C6459" s="549"/>
      <c r="D6459" s="549"/>
      <c r="E6459" s="549"/>
      <c r="F6459" s="549"/>
      <c r="G6459" s="549"/>
      <c r="H6459" s="549"/>
      <c r="I6459" s="558"/>
      <c r="J6459" s="567"/>
      <c r="K6459" s="648"/>
      <c r="L6459" s="567"/>
      <c r="M6459" s="549"/>
      <c r="N6459" s="549"/>
      <c r="O6459" s="549"/>
      <c r="P6459" s="549"/>
      <c r="Q6459" s="1059"/>
      <c r="R6459" s="1059"/>
    </row>
    <row r="6460" spans="1:19" s="497" customFormat="1" ht="17.399999999999999">
      <c r="A6460" s="549"/>
      <c r="B6460" s="549"/>
      <c r="C6460" s="549"/>
      <c r="D6460" s="549"/>
      <c r="E6460" s="549"/>
      <c r="F6460" s="549"/>
      <c r="G6460" s="549"/>
      <c r="H6460" s="549"/>
      <c r="I6460" s="558"/>
      <c r="J6460" s="567"/>
      <c r="K6460" s="648"/>
      <c r="L6460" s="567"/>
      <c r="M6460" s="549"/>
      <c r="N6460" s="549"/>
      <c r="O6460" s="549"/>
      <c r="P6460" s="549"/>
      <c r="Q6460" s="1059"/>
      <c r="R6460" s="1059"/>
    </row>
    <row r="6461" spans="1:19" s="497" customFormat="1" ht="17.399999999999999">
      <c r="A6461" s="549"/>
      <c r="B6461" s="549"/>
      <c r="C6461" s="549"/>
      <c r="D6461" s="549"/>
      <c r="E6461" s="549"/>
      <c r="F6461" s="549"/>
      <c r="G6461" s="549"/>
      <c r="H6461" s="549"/>
      <c r="I6461" s="558"/>
      <c r="J6461" s="567"/>
      <c r="K6461" s="648"/>
      <c r="L6461" s="567"/>
      <c r="M6461" s="549"/>
      <c r="N6461" s="549"/>
      <c r="O6461" s="549"/>
      <c r="P6461" s="549"/>
      <c r="Q6461" s="1059"/>
      <c r="R6461" s="1059"/>
    </row>
    <row r="6462" spans="1:19" s="497" customFormat="1" ht="17.399999999999999">
      <c r="A6462" s="547" t="s">
        <v>83</v>
      </c>
      <c r="B6462" s="547" t="s">
        <v>579</v>
      </c>
      <c r="C6462" s="547" t="s">
        <v>446</v>
      </c>
      <c r="D6462" s="813" t="s">
        <v>447</v>
      </c>
      <c r="E6462" s="547" t="s">
        <v>359</v>
      </c>
      <c r="F6462" s="548">
        <v>14</v>
      </c>
      <c r="G6462" s="549" t="s">
        <v>21</v>
      </c>
      <c r="H6462" s="599" t="s">
        <v>129</v>
      </c>
      <c r="I6462" s="558">
        <v>17.82</v>
      </c>
      <c r="J6462" s="567">
        <v>12</v>
      </c>
      <c r="K6462" s="648">
        <v>1</v>
      </c>
      <c r="L6462" s="552">
        <f>(I6462*J6462*K6462/1000)</f>
        <v>0.21384</v>
      </c>
      <c r="M6462" s="549"/>
      <c r="N6462" s="549"/>
      <c r="O6462" s="549"/>
      <c r="P6462" s="549"/>
      <c r="Q6462" s="1059"/>
      <c r="R6462" s="1059"/>
      <c r="S6462" s="497" t="s">
        <v>665</v>
      </c>
    </row>
    <row r="6463" spans="1:19" s="497" customFormat="1" ht="17.399999999999999">
      <c r="A6463" s="549"/>
      <c r="B6463" s="549"/>
      <c r="C6463" s="549"/>
      <c r="D6463" s="549"/>
      <c r="E6463" s="549"/>
      <c r="F6463" s="549"/>
      <c r="G6463" s="549"/>
      <c r="H6463" s="549"/>
      <c r="I6463" s="558"/>
      <c r="J6463" s="567"/>
      <c r="K6463" s="648">
        <f t="shared" ref="K6463:L6463" si="1405">SUM(K6462)</f>
        <v>1</v>
      </c>
      <c r="L6463" s="567">
        <f t="shared" si="1405"/>
        <v>0.21384</v>
      </c>
      <c r="M6463" s="549"/>
      <c r="N6463" s="549"/>
      <c r="O6463" s="549"/>
      <c r="P6463" s="549"/>
      <c r="Q6463" s="1059"/>
      <c r="R6463" s="1059"/>
    </row>
    <row r="6464" spans="1:19" s="497" customFormat="1" ht="17.399999999999999">
      <c r="A6464" s="549"/>
      <c r="B6464" s="549"/>
      <c r="C6464" s="549"/>
      <c r="D6464" s="549"/>
      <c r="E6464" s="549"/>
      <c r="F6464" s="549"/>
      <c r="G6464" s="549"/>
      <c r="H6464" s="549"/>
      <c r="I6464" s="558"/>
      <c r="J6464" s="567"/>
      <c r="K6464" s="648"/>
      <c r="L6464" s="567"/>
      <c r="M6464" s="549"/>
      <c r="N6464" s="549"/>
      <c r="O6464" s="549"/>
      <c r="P6464" s="549"/>
      <c r="Q6464" s="1059"/>
      <c r="R6464" s="1059"/>
    </row>
    <row r="6465" spans="1:19" ht="17.399999999999999">
      <c r="A6465" s="547" t="s">
        <v>272</v>
      </c>
      <c r="B6465" s="852" t="s">
        <v>580</v>
      </c>
      <c r="C6465" s="547" t="s">
        <v>446</v>
      </c>
      <c r="D6465" s="813" t="s">
        <v>447</v>
      </c>
      <c r="E6465" s="547" t="s">
        <v>359</v>
      </c>
      <c r="F6465" s="548">
        <v>14</v>
      </c>
      <c r="G6465" s="549" t="s">
        <v>21</v>
      </c>
      <c r="H6465" s="599" t="s">
        <v>129</v>
      </c>
      <c r="I6465" s="558">
        <v>17.82</v>
      </c>
      <c r="J6465" s="567">
        <v>10</v>
      </c>
      <c r="K6465" s="648">
        <v>10</v>
      </c>
      <c r="L6465" s="552">
        <f t="shared" ref="L6465:L6466" si="1406">(I6465*J6465*K6465/1000)</f>
        <v>1.782</v>
      </c>
      <c r="M6465" s="549"/>
      <c r="N6465" s="549"/>
      <c r="O6465" s="549"/>
      <c r="P6465" s="549"/>
      <c r="Q6465" s="1059"/>
      <c r="R6465" s="1059"/>
      <c r="S6465" s="497" t="s">
        <v>665</v>
      </c>
    </row>
    <row r="6466" spans="1:19" ht="17.399999999999999">
      <c r="A6466" s="549"/>
      <c r="B6466" s="549"/>
      <c r="C6466" s="549"/>
      <c r="D6466" s="549"/>
      <c r="E6466" s="549"/>
      <c r="F6466" s="549"/>
      <c r="G6466" s="549" t="s">
        <v>21</v>
      </c>
      <c r="H6466" s="549" t="s">
        <v>129</v>
      </c>
      <c r="I6466" s="558">
        <v>17.82</v>
      </c>
      <c r="J6466" s="567">
        <v>12</v>
      </c>
      <c r="K6466" s="648">
        <v>40</v>
      </c>
      <c r="L6466" s="552">
        <f t="shared" si="1406"/>
        <v>8.5536000000000012</v>
      </c>
      <c r="M6466" s="549"/>
      <c r="N6466" s="549"/>
      <c r="O6466" s="549"/>
      <c r="P6466" s="549"/>
      <c r="Q6466" s="1059"/>
      <c r="R6466" s="1059"/>
    </row>
    <row r="6467" spans="1:19" ht="17.399999999999999">
      <c r="A6467" s="549"/>
      <c r="B6467" s="549"/>
      <c r="C6467" s="549"/>
      <c r="D6467" s="549"/>
      <c r="E6467" s="549"/>
      <c r="F6467" s="549"/>
      <c r="G6467" s="549"/>
      <c r="H6467" s="549"/>
      <c r="I6467" s="558"/>
      <c r="J6467" s="567"/>
      <c r="K6467" s="648">
        <f t="shared" ref="K6467:L6467" si="1407">SUM(K6465:K6466)</f>
        <v>50</v>
      </c>
      <c r="L6467" s="567">
        <f t="shared" si="1407"/>
        <v>10.335600000000001</v>
      </c>
      <c r="M6467" s="549"/>
      <c r="N6467" s="549"/>
      <c r="O6467" s="549"/>
      <c r="P6467" s="549"/>
      <c r="Q6467" s="1059"/>
      <c r="R6467" s="1059"/>
    </row>
    <row r="6468" spans="1:19" ht="17.399999999999999">
      <c r="A6468" s="549"/>
      <c r="B6468" s="549"/>
      <c r="C6468" s="549"/>
      <c r="D6468" s="549"/>
      <c r="E6468" s="549"/>
      <c r="F6468" s="549"/>
      <c r="G6468" s="549"/>
      <c r="H6468" s="549"/>
      <c r="I6468" s="560"/>
      <c r="J6468" s="549"/>
      <c r="K6468" s="561"/>
      <c r="L6468" s="568"/>
      <c r="M6468" s="549"/>
      <c r="N6468" s="549"/>
      <c r="O6468" s="549"/>
      <c r="P6468" s="549"/>
      <c r="Q6468" s="1059"/>
      <c r="R6468" s="1059"/>
    </row>
    <row r="6469" spans="1:19" ht="17.399999999999999">
      <c r="A6469" s="547" t="s">
        <v>272</v>
      </c>
      <c r="B6469" s="852" t="s">
        <v>578</v>
      </c>
      <c r="C6469" s="547" t="s">
        <v>446</v>
      </c>
      <c r="D6469" s="813" t="s">
        <v>447</v>
      </c>
      <c r="E6469" s="547" t="s">
        <v>359</v>
      </c>
      <c r="F6469" s="548">
        <v>14</v>
      </c>
      <c r="G6469" s="549" t="s">
        <v>21</v>
      </c>
      <c r="H6469" s="599" t="s">
        <v>129</v>
      </c>
      <c r="I6469" s="558">
        <v>17.82</v>
      </c>
      <c r="J6469" s="647">
        <v>12</v>
      </c>
      <c r="K6469" s="648">
        <v>92</v>
      </c>
      <c r="L6469" s="567">
        <v>19.673280000000002</v>
      </c>
      <c r="M6469" s="549"/>
      <c r="N6469" s="549"/>
      <c r="O6469" s="549"/>
      <c r="P6469" s="549"/>
      <c r="Q6469" s="1059"/>
      <c r="R6469" s="1059"/>
      <c r="S6469" s="497" t="s">
        <v>665</v>
      </c>
    </row>
    <row r="6470" spans="1:19" ht="17.399999999999999">
      <c r="A6470" s="549"/>
      <c r="B6470" s="549"/>
      <c r="C6470" s="549"/>
      <c r="D6470" s="549"/>
      <c r="E6470" s="549"/>
      <c r="F6470" s="549"/>
      <c r="G6470" s="549" t="s">
        <v>21</v>
      </c>
      <c r="H6470" s="549" t="s">
        <v>129</v>
      </c>
      <c r="I6470" s="558">
        <v>17.82</v>
      </c>
      <c r="J6470" s="647">
        <v>11.5</v>
      </c>
      <c r="K6470" s="648">
        <v>18</v>
      </c>
      <c r="L6470" s="567">
        <v>3.6887399999999997</v>
      </c>
      <c r="M6470" s="549"/>
      <c r="N6470" s="549"/>
      <c r="O6470" s="549"/>
      <c r="P6470" s="549"/>
      <c r="Q6470" s="1059"/>
      <c r="R6470" s="1059"/>
    </row>
    <row r="6471" spans="1:19" ht="17.399999999999999">
      <c r="A6471" s="549"/>
      <c r="B6471" s="549"/>
      <c r="C6471" s="549"/>
      <c r="D6471" s="549"/>
      <c r="E6471" s="549"/>
      <c r="F6471" s="549"/>
      <c r="G6471" s="549" t="s">
        <v>21</v>
      </c>
      <c r="H6471" s="549" t="s">
        <v>129</v>
      </c>
      <c r="I6471" s="558">
        <v>17.82</v>
      </c>
      <c r="J6471" s="647">
        <v>11</v>
      </c>
      <c r="K6471" s="648">
        <v>19</v>
      </c>
      <c r="L6471" s="567">
        <v>3.72438</v>
      </c>
      <c r="M6471" s="549"/>
      <c r="N6471" s="549"/>
      <c r="O6471" s="549"/>
      <c r="P6471" s="549"/>
      <c r="Q6471" s="1059"/>
      <c r="R6471" s="1059"/>
    </row>
    <row r="6472" spans="1:19" ht="17.399999999999999">
      <c r="A6472" s="549"/>
      <c r="B6472" s="549"/>
      <c r="C6472" s="549"/>
      <c r="D6472" s="549"/>
      <c r="E6472" s="549"/>
      <c r="F6472" s="549"/>
      <c r="G6472" s="549" t="s">
        <v>21</v>
      </c>
      <c r="H6472" s="549" t="s">
        <v>129</v>
      </c>
      <c r="I6472" s="558">
        <v>17.82</v>
      </c>
      <c r="J6472" s="647">
        <v>11.8</v>
      </c>
      <c r="K6472" s="648">
        <v>56</v>
      </c>
      <c r="L6472" s="567">
        <v>11.775455999999998</v>
      </c>
      <c r="M6472" s="549"/>
      <c r="N6472" s="549"/>
      <c r="O6472" s="549"/>
      <c r="P6472" s="549"/>
      <c r="Q6472" s="1059"/>
      <c r="R6472" s="1059"/>
    </row>
    <row r="6473" spans="1:19" ht="17.399999999999999">
      <c r="A6473" s="549"/>
      <c r="B6473" s="549"/>
      <c r="C6473" s="549"/>
      <c r="D6473" s="549"/>
      <c r="E6473" s="549"/>
      <c r="F6473" s="549"/>
      <c r="G6473" s="549" t="s">
        <v>21</v>
      </c>
      <c r="H6473" s="549" t="s">
        <v>129</v>
      </c>
      <c r="I6473" s="558">
        <v>17.82</v>
      </c>
      <c r="J6473" s="647">
        <v>7.25</v>
      </c>
      <c r="K6473" s="648">
        <v>30</v>
      </c>
      <c r="L6473" s="567">
        <v>3.8758499999999998</v>
      </c>
      <c r="M6473" s="549"/>
      <c r="N6473" s="549"/>
      <c r="O6473" s="549"/>
      <c r="P6473" s="549"/>
      <c r="Q6473" s="1059"/>
      <c r="R6473" s="1059"/>
    </row>
    <row r="6474" spans="1:19" s="497" customFormat="1" ht="17.399999999999999">
      <c r="A6474" s="549"/>
      <c r="B6474" s="549"/>
      <c r="C6474" s="549"/>
      <c r="D6474" s="549"/>
      <c r="E6474" s="549"/>
      <c r="F6474" s="549"/>
      <c r="G6474" s="549"/>
      <c r="H6474" s="549"/>
      <c r="I6474" s="558"/>
      <c r="J6474" s="647"/>
      <c r="K6474" s="648">
        <f>SUM(K6469:K6473)</f>
        <v>215</v>
      </c>
      <c r="L6474" s="567">
        <f>SUM(L6469:L6473)</f>
        <v>42.737706000000003</v>
      </c>
      <c r="M6474" s="549"/>
      <c r="N6474" s="549"/>
      <c r="O6474" s="549"/>
      <c r="P6474" s="549"/>
      <c r="Q6474" s="1059"/>
      <c r="R6474" s="1059"/>
    </row>
    <row r="6475" spans="1:19" s="497" customFormat="1" ht="17.399999999999999">
      <c r="A6475" s="549"/>
      <c r="B6475" s="549"/>
      <c r="C6475" s="549"/>
      <c r="D6475" s="549"/>
      <c r="E6475" s="549"/>
      <c r="F6475" s="549"/>
      <c r="G6475" s="549"/>
      <c r="H6475" s="549"/>
      <c r="I6475" s="558"/>
      <c r="J6475" s="647"/>
      <c r="K6475" s="648"/>
      <c r="L6475" s="567"/>
      <c r="M6475" s="549"/>
      <c r="N6475" s="549"/>
      <c r="O6475" s="549"/>
      <c r="P6475" s="549"/>
      <c r="Q6475" s="1059"/>
      <c r="R6475" s="1059"/>
    </row>
    <row r="6476" spans="1:19" s="497" customFormat="1" ht="17.399999999999999">
      <c r="A6476" s="547" t="s">
        <v>445</v>
      </c>
      <c r="B6476" s="547" t="s">
        <v>613</v>
      </c>
      <c r="C6476" s="547" t="s">
        <v>446</v>
      </c>
      <c r="D6476" s="813" t="s">
        <v>447</v>
      </c>
      <c r="E6476" s="547" t="s">
        <v>359</v>
      </c>
      <c r="F6476" s="548">
        <v>14</v>
      </c>
      <c r="G6476" s="550" t="s">
        <v>21</v>
      </c>
      <c r="H6476" s="599" t="s">
        <v>129</v>
      </c>
      <c r="I6476" s="551">
        <v>17.82</v>
      </c>
      <c r="J6476" s="765">
        <v>8.9</v>
      </c>
      <c r="K6476" s="766">
        <v>76</v>
      </c>
      <c r="L6476" s="552">
        <f t="shared" ref="L6476:L6478" si="1408">(I6476*J6476*K6476/1000)</f>
        <v>12.053447999999999</v>
      </c>
      <c r="M6476" s="550"/>
      <c r="N6476" s="549"/>
      <c r="O6476" s="549"/>
      <c r="P6476" s="549"/>
      <c r="Q6476" s="1059"/>
      <c r="R6476" s="1059"/>
      <c r="S6476" s="497" t="s">
        <v>665</v>
      </c>
    </row>
    <row r="6477" spans="1:19" s="497" customFormat="1" ht="17.399999999999999">
      <c r="A6477" s="549"/>
      <c r="B6477" s="549"/>
      <c r="C6477" s="549"/>
      <c r="D6477" s="549"/>
      <c r="E6477" s="549"/>
      <c r="F6477" s="549"/>
      <c r="G6477" s="550" t="s">
        <v>21</v>
      </c>
      <c r="H6477" s="550" t="s">
        <v>129</v>
      </c>
      <c r="I6477" s="551">
        <v>17.82</v>
      </c>
      <c r="J6477" s="765">
        <v>6.3</v>
      </c>
      <c r="K6477" s="766">
        <v>38</v>
      </c>
      <c r="L6477" s="552">
        <f t="shared" si="1408"/>
        <v>4.266108</v>
      </c>
      <c r="M6477" s="550"/>
      <c r="N6477" s="549"/>
      <c r="O6477" s="549"/>
      <c r="P6477" s="549"/>
      <c r="Q6477" s="1059"/>
      <c r="R6477" s="1059"/>
    </row>
    <row r="6478" spans="1:19" s="497" customFormat="1" ht="17.399999999999999">
      <c r="A6478" s="549"/>
      <c r="B6478" s="549"/>
      <c r="C6478" s="549"/>
      <c r="D6478" s="549"/>
      <c r="E6478" s="549"/>
      <c r="F6478" s="549"/>
      <c r="G6478" s="550" t="s">
        <v>21</v>
      </c>
      <c r="H6478" s="550" t="s">
        <v>129</v>
      </c>
      <c r="I6478" s="551">
        <v>17.82</v>
      </c>
      <c r="J6478" s="765">
        <v>10.3</v>
      </c>
      <c r="K6478" s="766">
        <v>9</v>
      </c>
      <c r="L6478" s="552">
        <f t="shared" si="1408"/>
        <v>1.6519140000000001</v>
      </c>
      <c r="M6478" s="550"/>
      <c r="N6478" s="549"/>
      <c r="O6478" s="549"/>
      <c r="P6478" s="549"/>
      <c r="Q6478" s="1059"/>
      <c r="R6478" s="1059"/>
    </row>
    <row r="6479" spans="1:19" s="497" customFormat="1" ht="17.399999999999999">
      <c r="A6479" s="549"/>
      <c r="B6479" s="549"/>
      <c r="C6479" s="549"/>
      <c r="D6479" s="549"/>
      <c r="E6479" s="549"/>
      <c r="F6479" s="549"/>
      <c r="G6479" s="550"/>
      <c r="H6479" s="550"/>
      <c r="I6479" s="551"/>
      <c r="J6479" s="764"/>
      <c r="K6479" s="766">
        <f>SUM(K6476:K6478)</f>
        <v>123</v>
      </c>
      <c r="L6479" s="765">
        <f>SUM(L6476:L6478)</f>
        <v>17.97147</v>
      </c>
      <c r="M6479" s="550"/>
      <c r="N6479" s="549"/>
      <c r="O6479" s="549"/>
      <c r="P6479" s="549"/>
      <c r="Q6479" s="1059"/>
      <c r="R6479" s="1059"/>
    </row>
    <row r="6480" spans="1:19" s="497" customFormat="1" ht="17.399999999999999">
      <c r="A6480" s="549"/>
      <c r="B6480" s="549"/>
      <c r="C6480" s="549"/>
      <c r="D6480" s="549"/>
      <c r="E6480" s="549"/>
      <c r="F6480" s="549"/>
      <c r="G6480" s="549"/>
      <c r="H6480" s="549"/>
      <c r="I6480" s="558"/>
      <c r="J6480" s="647"/>
      <c r="K6480" s="648">
        <f>SUM(K6462:K6479)/2</f>
        <v>389</v>
      </c>
      <c r="L6480" s="567">
        <f>SUM(L6462:L6479)/2</f>
        <v>71.258616000000018</v>
      </c>
      <c r="M6480" s="549"/>
      <c r="N6480" s="549"/>
      <c r="O6480" s="549"/>
      <c r="P6480" s="549"/>
      <c r="Q6480" s="1059"/>
      <c r="R6480" s="1059"/>
    </row>
    <row r="6481" spans="1:19" s="497" customFormat="1" ht="17.399999999999999">
      <c r="A6481" s="549"/>
      <c r="B6481" s="549"/>
      <c r="C6481" s="549"/>
      <c r="D6481" s="549"/>
      <c r="E6481" s="549"/>
      <c r="F6481" s="549"/>
      <c r="G6481" s="549"/>
      <c r="H6481" s="549"/>
      <c r="I6481" s="558"/>
      <c r="J6481" s="647"/>
      <c r="K6481" s="648"/>
      <c r="L6481" s="567"/>
      <c r="M6481" s="549"/>
      <c r="N6481" s="549"/>
      <c r="O6481" s="549"/>
      <c r="P6481" s="549"/>
      <c r="Q6481" s="1059"/>
      <c r="R6481" s="1059"/>
    </row>
    <row r="6482" spans="1:19" ht="17.399999999999999">
      <c r="A6482" s="549"/>
      <c r="B6482" s="549"/>
      <c r="C6482" s="549"/>
      <c r="D6482" s="549"/>
      <c r="E6482" s="549"/>
      <c r="F6482" s="549"/>
      <c r="G6482" s="549"/>
      <c r="H6482" s="549"/>
      <c r="I6482" s="558"/>
      <c r="J6482" s="647"/>
      <c r="K6482" s="648"/>
      <c r="L6482" s="567"/>
      <c r="M6482" s="549"/>
      <c r="N6482" s="549"/>
      <c r="O6482" s="549"/>
      <c r="P6482" s="549"/>
      <c r="Q6482" s="1059"/>
      <c r="R6482" s="1059"/>
    </row>
    <row r="6483" spans="1:19" ht="17.399999999999999">
      <c r="A6483" s="547" t="s">
        <v>272</v>
      </c>
      <c r="B6483" s="852" t="s">
        <v>578</v>
      </c>
      <c r="C6483" s="547" t="s">
        <v>446</v>
      </c>
      <c r="D6483" s="813" t="s">
        <v>447</v>
      </c>
      <c r="E6483" s="547" t="s">
        <v>359</v>
      </c>
      <c r="F6483" s="548">
        <v>14</v>
      </c>
      <c r="G6483" s="549" t="s">
        <v>21</v>
      </c>
      <c r="H6483" s="599" t="s">
        <v>128</v>
      </c>
      <c r="I6483" s="558">
        <v>15.92</v>
      </c>
      <c r="J6483" s="647">
        <v>12</v>
      </c>
      <c r="K6483" s="648">
        <v>100</v>
      </c>
      <c r="L6483" s="567">
        <v>19.103999999999999</v>
      </c>
      <c r="M6483" s="549"/>
      <c r="N6483" s="549"/>
      <c r="O6483" s="549"/>
      <c r="P6483" s="549"/>
      <c r="Q6483" s="1059"/>
      <c r="R6483" s="1059"/>
      <c r="S6483" s="497" t="s">
        <v>665</v>
      </c>
    </row>
    <row r="6484" spans="1:19" ht="17.399999999999999">
      <c r="A6484" s="549"/>
      <c r="B6484" s="549"/>
      <c r="C6484" s="549"/>
      <c r="D6484" s="549"/>
      <c r="E6484" s="549"/>
      <c r="F6484" s="549"/>
      <c r="G6484" s="549" t="s">
        <v>21</v>
      </c>
      <c r="H6484" s="549" t="s">
        <v>128</v>
      </c>
      <c r="I6484" s="558">
        <v>15.92</v>
      </c>
      <c r="J6484" s="647">
        <v>7.75</v>
      </c>
      <c r="K6484" s="648">
        <v>40</v>
      </c>
      <c r="L6484" s="567">
        <v>4.9352</v>
      </c>
      <c r="M6484" s="549"/>
      <c r="N6484" s="549"/>
      <c r="O6484" s="549"/>
      <c r="P6484" s="549"/>
      <c r="Q6484" s="1059"/>
      <c r="R6484" s="1059"/>
    </row>
    <row r="6485" spans="1:19" ht="17.399999999999999">
      <c r="A6485" s="549"/>
      <c r="B6485" s="549"/>
      <c r="C6485" s="549"/>
      <c r="D6485" s="549"/>
      <c r="E6485" s="549"/>
      <c r="F6485" s="549"/>
      <c r="G6485" s="549" t="s">
        <v>21</v>
      </c>
      <c r="H6485" s="549" t="s">
        <v>128</v>
      </c>
      <c r="I6485" s="558">
        <v>15.92</v>
      </c>
      <c r="J6485" s="647">
        <v>7</v>
      </c>
      <c r="K6485" s="648">
        <v>12</v>
      </c>
      <c r="L6485" s="567">
        <v>1.33728</v>
      </c>
      <c r="M6485" s="549"/>
      <c r="N6485" s="549"/>
      <c r="O6485" s="549"/>
      <c r="P6485" s="549"/>
      <c r="Q6485" s="1059"/>
      <c r="R6485" s="1059"/>
    </row>
    <row r="6486" spans="1:19" ht="17.399999999999999">
      <c r="A6486" s="549"/>
      <c r="B6486" s="549"/>
      <c r="C6486" s="549"/>
      <c r="D6486" s="549"/>
      <c r="E6486" s="549"/>
      <c r="F6486" s="549"/>
      <c r="G6486" s="549" t="s">
        <v>21</v>
      </c>
      <c r="H6486" s="549" t="s">
        <v>128</v>
      </c>
      <c r="I6486" s="558">
        <v>15.92</v>
      </c>
      <c r="J6486" s="647">
        <v>6.5</v>
      </c>
      <c r="K6486" s="648">
        <v>28</v>
      </c>
      <c r="L6486" s="567">
        <v>2.89744</v>
      </c>
      <c r="M6486" s="549"/>
      <c r="N6486" s="549"/>
      <c r="O6486" s="549"/>
      <c r="P6486" s="549"/>
      <c r="Q6486" s="1059"/>
      <c r="R6486" s="1059"/>
    </row>
    <row r="6487" spans="1:19" ht="17.399999999999999">
      <c r="A6487" s="549"/>
      <c r="B6487" s="549"/>
      <c r="C6487" s="549"/>
      <c r="D6487" s="549"/>
      <c r="E6487" s="549"/>
      <c r="F6487" s="549"/>
      <c r="G6487" s="549" t="s">
        <v>21</v>
      </c>
      <c r="H6487" s="549" t="s">
        <v>128</v>
      </c>
      <c r="I6487" s="558">
        <v>15.92</v>
      </c>
      <c r="J6487" s="647">
        <v>7.25</v>
      </c>
      <c r="K6487" s="648">
        <v>120</v>
      </c>
      <c r="L6487" s="567">
        <v>13.8504</v>
      </c>
      <c r="M6487" s="549"/>
      <c r="N6487" s="549"/>
      <c r="O6487" s="549"/>
      <c r="P6487" s="549"/>
      <c r="Q6487" s="1059"/>
      <c r="R6487" s="1059"/>
    </row>
    <row r="6488" spans="1:19" ht="17.399999999999999">
      <c r="A6488" s="549"/>
      <c r="B6488" s="549"/>
      <c r="C6488" s="549"/>
      <c r="D6488" s="549"/>
      <c r="E6488" s="549"/>
      <c r="F6488" s="549"/>
      <c r="G6488" s="549"/>
      <c r="H6488" s="549"/>
      <c r="I6488" s="560"/>
      <c r="J6488" s="549"/>
      <c r="K6488" s="652">
        <f t="shared" ref="K6488:L6488" si="1409">SUM(K6483:K6487)</f>
        <v>300</v>
      </c>
      <c r="L6488" s="565">
        <f t="shared" si="1409"/>
        <v>42.124319999999997</v>
      </c>
      <c r="M6488" s="549"/>
      <c r="N6488" s="549"/>
      <c r="O6488" s="549"/>
      <c r="P6488" s="549"/>
      <c r="Q6488" s="1059"/>
      <c r="R6488" s="1059"/>
    </row>
    <row r="6489" spans="1:19" ht="17.399999999999999">
      <c r="A6489" s="549"/>
      <c r="B6489" s="549"/>
      <c r="C6489" s="549"/>
      <c r="D6489" s="549"/>
      <c r="E6489" s="549"/>
      <c r="F6489" s="549"/>
      <c r="G6489" s="549"/>
      <c r="H6489" s="549"/>
      <c r="I6489" s="560"/>
      <c r="J6489" s="549"/>
      <c r="K6489" s="561"/>
      <c r="L6489" s="568"/>
      <c r="M6489" s="549"/>
      <c r="N6489" s="549"/>
      <c r="O6489" s="549"/>
      <c r="P6489" s="549"/>
      <c r="Q6489" s="1059"/>
      <c r="R6489" s="1059"/>
    </row>
    <row r="6490" spans="1:19" ht="17.399999999999999">
      <c r="A6490" s="547" t="s">
        <v>272</v>
      </c>
      <c r="B6490" s="852" t="s">
        <v>580</v>
      </c>
      <c r="C6490" s="547" t="s">
        <v>446</v>
      </c>
      <c r="D6490" s="813" t="s">
        <v>447</v>
      </c>
      <c r="E6490" s="547" t="s">
        <v>359</v>
      </c>
      <c r="F6490" s="548">
        <v>14</v>
      </c>
      <c r="G6490" s="549" t="s">
        <v>21</v>
      </c>
      <c r="H6490" s="599" t="s">
        <v>128</v>
      </c>
      <c r="I6490" s="558">
        <v>15.92</v>
      </c>
      <c r="J6490" s="567">
        <v>6.7</v>
      </c>
      <c r="K6490" s="648">
        <v>10</v>
      </c>
      <c r="L6490" s="552">
        <f>(I6490*J6490*K6490/1000)</f>
        <v>1.06664</v>
      </c>
      <c r="M6490" s="549"/>
      <c r="N6490" s="549"/>
      <c r="O6490" s="549"/>
      <c r="P6490" s="549"/>
      <c r="Q6490" s="1059"/>
      <c r="R6490" s="1059"/>
      <c r="S6490" s="497" t="s">
        <v>665</v>
      </c>
    </row>
    <row r="6491" spans="1:19" ht="17.399999999999999">
      <c r="A6491" s="549"/>
      <c r="B6491" s="549"/>
      <c r="C6491" s="549"/>
      <c r="D6491" s="549"/>
      <c r="E6491" s="549"/>
      <c r="F6491" s="549"/>
      <c r="G6491" s="549" t="s">
        <v>21</v>
      </c>
      <c r="H6491" s="549" t="s">
        <v>128</v>
      </c>
      <c r="I6491" s="558">
        <v>15.92</v>
      </c>
      <c r="J6491" s="567">
        <v>7.25</v>
      </c>
      <c r="K6491" s="648">
        <v>12</v>
      </c>
      <c r="L6491" s="552">
        <f>(I6491*J6491*K6491/1000)</f>
        <v>1.38504</v>
      </c>
      <c r="M6491" s="549"/>
      <c r="N6491" s="549"/>
      <c r="O6491" s="549"/>
      <c r="P6491" s="549"/>
      <c r="Q6491" s="1059"/>
      <c r="R6491" s="1059"/>
    </row>
    <row r="6492" spans="1:19" ht="17.399999999999999">
      <c r="A6492" s="549"/>
      <c r="B6492" s="549"/>
      <c r="C6492" s="549"/>
      <c r="D6492" s="549"/>
      <c r="E6492" s="549"/>
      <c r="F6492" s="549"/>
      <c r="G6492" s="549" t="s">
        <v>21</v>
      </c>
      <c r="H6492" s="549" t="s">
        <v>128</v>
      </c>
      <c r="I6492" s="558">
        <v>15.92</v>
      </c>
      <c r="J6492" s="567">
        <v>11.1</v>
      </c>
      <c r="K6492" s="648">
        <v>10</v>
      </c>
      <c r="L6492" s="552">
        <f>(I6492*J6492*K6492/1000)</f>
        <v>1.7671199999999998</v>
      </c>
      <c r="M6492" s="549"/>
      <c r="N6492" s="549"/>
      <c r="O6492" s="549"/>
      <c r="P6492" s="549"/>
      <c r="Q6492" s="1059"/>
      <c r="R6492" s="1059"/>
    </row>
    <row r="6493" spans="1:19" ht="17.399999999999999">
      <c r="A6493" s="549"/>
      <c r="B6493" s="549"/>
      <c r="C6493" s="549"/>
      <c r="D6493" s="549"/>
      <c r="E6493" s="549"/>
      <c r="F6493" s="549"/>
      <c r="G6493" s="549" t="s">
        <v>21</v>
      </c>
      <c r="H6493" s="549" t="s">
        <v>128</v>
      </c>
      <c r="I6493" s="558">
        <v>15.92</v>
      </c>
      <c r="J6493" s="567">
        <v>11.5</v>
      </c>
      <c r="K6493" s="648">
        <v>15</v>
      </c>
      <c r="L6493" s="552">
        <f>(I6493*J6493*K6493/1000)</f>
        <v>2.7462000000000004</v>
      </c>
      <c r="M6493" s="549"/>
      <c r="N6493" s="549"/>
      <c r="O6493" s="549"/>
      <c r="P6493" s="549"/>
      <c r="Q6493" s="1059"/>
      <c r="R6493" s="1059"/>
    </row>
    <row r="6494" spans="1:19" ht="17.399999999999999">
      <c r="A6494" s="549"/>
      <c r="B6494" s="549"/>
      <c r="C6494" s="549"/>
      <c r="D6494" s="549"/>
      <c r="E6494" s="549"/>
      <c r="F6494" s="549"/>
      <c r="G6494" s="549" t="s">
        <v>21</v>
      </c>
      <c r="H6494" s="549" t="s">
        <v>128</v>
      </c>
      <c r="I6494" s="558">
        <v>15.92</v>
      </c>
      <c r="J6494" s="567">
        <v>12</v>
      </c>
      <c r="K6494" s="648">
        <v>2</v>
      </c>
      <c r="L6494" s="552">
        <f>(I6494*J6494*K6494/1000)</f>
        <v>0.38207999999999998</v>
      </c>
      <c r="M6494" s="549"/>
      <c r="N6494" s="549"/>
      <c r="O6494" s="549"/>
      <c r="P6494" s="549"/>
      <c r="Q6494" s="1059"/>
      <c r="R6494" s="1059"/>
    </row>
    <row r="6495" spans="1:19" ht="17.399999999999999">
      <c r="A6495" s="549"/>
      <c r="B6495" s="549"/>
      <c r="C6495" s="549"/>
      <c r="D6495" s="549"/>
      <c r="E6495" s="549"/>
      <c r="F6495" s="549"/>
      <c r="G6495" s="549"/>
      <c r="H6495" s="549"/>
      <c r="I6495" s="558"/>
      <c r="J6495" s="567"/>
      <c r="K6495" s="648">
        <f>SUM(K6490:K6494)</f>
        <v>49</v>
      </c>
      <c r="L6495" s="567">
        <f>SUM(L6490:L6494)</f>
        <v>7.3470800000000001</v>
      </c>
      <c r="M6495" s="549"/>
      <c r="N6495" s="549"/>
      <c r="O6495" s="549"/>
      <c r="P6495" s="549"/>
      <c r="Q6495" s="1059"/>
      <c r="R6495" s="1059"/>
    </row>
    <row r="6496" spans="1:19" s="497" customFormat="1" ht="17.399999999999999">
      <c r="A6496" s="549"/>
      <c r="B6496" s="549"/>
      <c r="C6496" s="549"/>
      <c r="D6496" s="549"/>
      <c r="E6496" s="549"/>
      <c r="F6496" s="549"/>
      <c r="G6496" s="549"/>
      <c r="H6496" s="549"/>
      <c r="I6496" s="558"/>
      <c r="J6496" s="567"/>
      <c r="K6496" s="648"/>
      <c r="L6496" s="567"/>
      <c r="M6496" s="549"/>
      <c r="N6496" s="549"/>
      <c r="O6496" s="549"/>
      <c r="P6496" s="549"/>
      <c r="Q6496" s="1059"/>
      <c r="R6496" s="1059"/>
    </row>
    <row r="6497" spans="1:19" s="497" customFormat="1" ht="17.399999999999999">
      <c r="A6497" s="547" t="s">
        <v>445</v>
      </c>
      <c r="B6497" s="547" t="s">
        <v>613</v>
      </c>
      <c r="C6497" s="547" t="s">
        <v>446</v>
      </c>
      <c r="D6497" s="813" t="s">
        <v>447</v>
      </c>
      <c r="E6497" s="547" t="s">
        <v>359</v>
      </c>
      <c r="F6497" s="548">
        <v>14</v>
      </c>
      <c r="G6497" s="550" t="s">
        <v>21</v>
      </c>
      <c r="H6497" s="599" t="s">
        <v>128</v>
      </c>
      <c r="I6497" s="551">
        <v>15.92</v>
      </c>
      <c r="J6497" s="765">
        <v>6.3</v>
      </c>
      <c r="K6497" s="766">
        <v>52</v>
      </c>
      <c r="L6497" s="552">
        <f t="shared" ref="L6497:L6499" si="1410">(I6497*J6497*K6497/1000)</f>
        <v>5.2153919999999996</v>
      </c>
      <c r="M6497" s="550"/>
      <c r="N6497" s="549"/>
      <c r="O6497" s="549"/>
      <c r="P6497" s="549"/>
      <c r="Q6497" s="1059"/>
      <c r="R6497" s="1059"/>
      <c r="S6497" s="497" t="s">
        <v>665</v>
      </c>
    </row>
    <row r="6498" spans="1:19" s="497" customFormat="1" ht="17.399999999999999">
      <c r="A6498" s="549"/>
      <c r="B6498" s="549"/>
      <c r="C6498" s="549"/>
      <c r="D6498" s="549"/>
      <c r="E6498" s="549"/>
      <c r="F6498" s="549"/>
      <c r="G6498" s="550" t="s">
        <v>21</v>
      </c>
      <c r="H6498" s="550" t="s">
        <v>128</v>
      </c>
      <c r="I6498" s="551">
        <v>15.92</v>
      </c>
      <c r="J6498" s="765">
        <v>11.1</v>
      </c>
      <c r="K6498" s="766">
        <v>16</v>
      </c>
      <c r="L6498" s="552">
        <f t="shared" si="1410"/>
        <v>2.8273919999999997</v>
      </c>
      <c r="M6498" s="550"/>
      <c r="N6498" s="549"/>
      <c r="O6498" s="549"/>
      <c r="P6498" s="549"/>
      <c r="Q6498" s="1059"/>
      <c r="R6498" s="1059"/>
    </row>
    <row r="6499" spans="1:19" s="497" customFormat="1" ht="17.399999999999999">
      <c r="A6499" s="549"/>
      <c r="B6499" s="549"/>
      <c r="C6499" s="549"/>
      <c r="D6499" s="549"/>
      <c r="E6499" s="549"/>
      <c r="F6499" s="549"/>
      <c r="G6499" s="550" t="s">
        <v>21</v>
      </c>
      <c r="H6499" s="550" t="s">
        <v>128</v>
      </c>
      <c r="I6499" s="551">
        <v>15.92</v>
      </c>
      <c r="J6499" s="765">
        <v>6.7</v>
      </c>
      <c r="K6499" s="766">
        <v>27</v>
      </c>
      <c r="L6499" s="552">
        <f t="shared" si="1410"/>
        <v>2.879928</v>
      </c>
      <c r="M6499" s="550"/>
      <c r="N6499" s="549"/>
      <c r="O6499" s="549"/>
      <c r="P6499" s="549"/>
      <c r="Q6499" s="1059"/>
      <c r="R6499" s="1059"/>
    </row>
    <row r="6500" spans="1:19" s="497" customFormat="1" ht="17.399999999999999">
      <c r="A6500" s="549"/>
      <c r="B6500" s="549"/>
      <c r="C6500" s="549"/>
      <c r="D6500" s="549"/>
      <c r="E6500" s="549"/>
      <c r="F6500" s="549"/>
      <c r="G6500" s="550"/>
      <c r="H6500" s="550"/>
      <c r="I6500" s="551"/>
      <c r="J6500" s="765"/>
      <c r="K6500" s="766">
        <f>SUM(K6497:K6499)</f>
        <v>95</v>
      </c>
      <c r="L6500" s="765">
        <f>SUM(L6497:L6499)</f>
        <v>10.922711999999999</v>
      </c>
      <c r="M6500" s="550"/>
      <c r="N6500" s="549"/>
      <c r="O6500" s="549"/>
      <c r="P6500" s="549"/>
      <c r="Q6500" s="1059"/>
      <c r="R6500" s="1059"/>
    </row>
    <row r="6501" spans="1:19" s="497" customFormat="1" ht="17.399999999999999">
      <c r="A6501" s="549"/>
      <c r="B6501" s="549"/>
      <c r="C6501" s="549"/>
      <c r="D6501" s="549"/>
      <c r="E6501" s="549"/>
      <c r="F6501" s="549"/>
      <c r="G6501" s="549"/>
      <c r="H6501" s="549"/>
      <c r="I6501" s="558"/>
      <c r="J6501" s="567"/>
      <c r="K6501" s="648">
        <f>SUM(K6483:K6500)/2</f>
        <v>444</v>
      </c>
      <c r="L6501" s="567">
        <f>SUM(L6483:L6500)/2</f>
        <v>60.394112000000014</v>
      </c>
      <c r="M6501" s="549"/>
      <c r="N6501" s="549"/>
      <c r="O6501" s="549"/>
      <c r="P6501" s="549"/>
      <c r="Q6501" s="1059"/>
      <c r="R6501" s="1059"/>
    </row>
    <row r="6502" spans="1:19" s="497" customFormat="1" ht="17.399999999999999">
      <c r="A6502" s="549"/>
      <c r="B6502" s="549"/>
      <c r="C6502" s="549"/>
      <c r="D6502" s="549"/>
      <c r="E6502" s="549"/>
      <c r="F6502" s="549"/>
      <c r="G6502" s="549"/>
      <c r="H6502" s="549"/>
      <c r="I6502" s="558"/>
      <c r="J6502" s="567"/>
      <c r="K6502" s="648"/>
      <c r="L6502" s="567"/>
      <c r="M6502" s="549"/>
      <c r="N6502" s="549"/>
      <c r="O6502" s="549"/>
      <c r="P6502" s="549"/>
      <c r="Q6502" s="1059"/>
      <c r="R6502" s="1059"/>
    </row>
    <row r="6503" spans="1:19" s="497" customFormat="1" ht="17.399999999999999">
      <c r="A6503" s="549"/>
      <c r="B6503" s="549"/>
      <c r="C6503" s="549"/>
      <c r="D6503" s="549"/>
      <c r="E6503" s="549"/>
      <c r="F6503" s="549"/>
      <c r="G6503" s="549"/>
      <c r="H6503" s="549"/>
      <c r="I6503" s="558"/>
      <c r="J6503" s="567"/>
      <c r="K6503" s="648"/>
      <c r="L6503" s="567"/>
      <c r="M6503" s="549"/>
      <c r="N6503" s="549"/>
      <c r="O6503" s="549"/>
      <c r="P6503" s="549"/>
      <c r="Q6503" s="1059"/>
      <c r="R6503" s="1059"/>
    </row>
    <row r="6504" spans="1:19" s="497" customFormat="1" ht="17.399999999999999">
      <c r="A6504" s="549"/>
      <c r="B6504" s="549"/>
      <c r="C6504" s="549"/>
      <c r="D6504" s="549"/>
      <c r="E6504" s="549"/>
      <c r="F6504" s="549"/>
      <c r="G6504" s="549"/>
      <c r="H6504" s="549"/>
      <c r="I6504" s="558"/>
      <c r="J6504" s="567"/>
      <c r="K6504" s="648"/>
      <c r="L6504" s="567"/>
      <c r="M6504" s="549"/>
      <c r="N6504" s="549"/>
      <c r="O6504" s="549"/>
      <c r="P6504" s="549"/>
      <c r="Q6504" s="1059"/>
      <c r="R6504" s="1059"/>
    </row>
    <row r="6505" spans="1:19" ht="17.399999999999999">
      <c r="A6505" s="549"/>
      <c r="B6505" s="549"/>
      <c r="C6505" s="549"/>
      <c r="D6505" s="549"/>
      <c r="E6505" s="549"/>
      <c r="F6505" s="549"/>
      <c r="G6505" s="549"/>
      <c r="H6505" s="549"/>
      <c r="I6505" s="560"/>
      <c r="J6505" s="549"/>
      <c r="K6505" s="561"/>
      <c r="L6505" s="568"/>
      <c r="M6505" s="549"/>
      <c r="N6505" s="549"/>
      <c r="O6505" s="549"/>
      <c r="P6505" s="549"/>
      <c r="Q6505" s="1059"/>
      <c r="R6505" s="1059"/>
    </row>
    <row r="6506" spans="1:19" ht="17.399999999999999">
      <c r="A6506" s="549"/>
      <c r="B6506" s="549"/>
      <c r="C6506" s="549"/>
      <c r="D6506" s="549"/>
      <c r="E6506" s="549"/>
      <c r="F6506" s="549"/>
      <c r="G6506" s="549"/>
      <c r="H6506" s="549"/>
      <c r="I6506" s="560"/>
      <c r="J6506" s="549"/>
      <c r="K6506" s="561"/>
      <c r="L6506" s="565">
        <f>+L6420+L6501+L6480+L6442+L6458+L6415+L6401+L6371+L6362+L6352+L6406+L6424+L6379</f>
        <v>495.95917900000006</v>
      </c>
      <c r="M6506" s="549"/>
      <c r="N6506" s="565">
        <f>+N6420+N6501+N6480+N6442+N6458+N6415+N6401+N6371+N6362+N6352+N6406+N6424+N6379</f>
        <v>14.46725</v>
      </c>
      <c r="O6506" s="549"/>
      <c r="P6506" s="549"/>
      <c r="Q6506" s="1059"/>
      <c r="R6506" s="1059"/>
    </row>
    <row r="6507" spans="1:19" ht="18">
      <c r="A6507" s="653" t="s">
        <v>48</v>
      </c>
      <c r="B6507" s="653"/>
      <c r="C6507" s="654"/>
      <c r="D6507" s="654"/>
      <c r="E6507" s="654"/>
      <c r="F6507" s="948"/>
      <c r="G6507" s="654"/>
      <c r="H6507" s="948"/>
      <c r="I6507" s="656"/>
      <c r="J6507" s="654"/>
      <c r="K6507" s="657"/>
      <c r="L6507" s="2003" t="s">
        <v>0</v>
      </c>
      <c r="M6507" s="2003"/>
      <c r="N6507" s="2003"/>
      <c r="O6507" s="2004"/>
      <c r="P6507" s="2010"/>
      <c r="Q6507" s="1064"/>
      <c r="R6507" s="1064"/>
    </row>
    <row r="6508" spans="1:19" ht="18">
      <c r="A6508" s="658" t="s">
        <v>1</v>
      </c>
      <c r="B6508" s="658"/>
      <c r="C6508" s="658"/>
      <c r="D6508" s="659" t="s">
        <v>2</v>
      </c>
      <c r="E6508" s="659"/>
      <c r="F6508" s="660"/>
      <c r="G6508" s="660"/>
      <c r="H6508" s="660"/>
      <c r="I6508" s="661"/>
      <c r="J6508" s="660"/>
      <c r="K6508" s="662" t="s">
        <v>3</v>
      </c>
      <c r="L6508" s="660"/>
      <c r="M6508" s="658"/>
      <c r="N6508" s="660"/>
      <c r="O6508" s="663"/>
      <c r="P6508" s="2010"/>
      <c r="Q6508" s="1064"/>
      <c r="R6508" s="1064"/>
    </row>
    <row r="6509" spans="1:19" ht="18">
      <c r="A6509" s="948" t="s">
        <v>22</v>
      </c>
      <c r="B6509" s="1990" t="s">
        <v>23</v>
      </c>
      <c r="C6509" s="2005"/>
      <c r="D6509" s="1989"/>
      <c r="E6509" s="948" t="s">
        <v>24</v>
      </c>
      <c r="F6509" s="1990" t="s">
        <v>25</v>
      </c>
      <c r="G6509" s="1989"/>
      <c r="H6509" s="1990" t="s">
        <v>26</v>
      </c>
      <c r="I6509" s="2005"/>
      <c r="J6509" s="2005"/>
      <c r="K6509" s="1989"/>
      <c r="L6509" s="2006" t="s">
        <v>27</v>
      </c>
      <c r="M6509" s="2006"/>
      <c r="N6509" s="2006"/>
      <c r="O6509" s="1990"/>
      <c r="P6509" s="2010"/>
      <c r="Q6509" s="1064"/>
      <c r="R6509" s="1064"/>
    </row>
    <row r="6510" spans="1:19" ht="18">
      <c r="A6510" s="664"/>
      <c r="B6510" s="1975"/>
      <c r="C6510" s="1976"/>
      <c r="D6510" s="1977"/>
      <c r="E6510" s="665"/>
      <c r="F6510" s="1975"/>
      <c r="G6510" s="1977"/>
      <c r="H6510" s="1975"/>
      <c r="I6510" s="1976"/>
      <c r="J6510" s="1976"/>
      <c r="K6510" s="1977"/>
      <c r="L6510" s="1975"/>
      <c r="M6510" s="1976"/>
      <c r="N6510" s="1976"/>
      <c r="O6510" s="1976"/>
      <c r="P6510" s="2010"/>
      <c r="Q6510" s="1064"/>
      <c r="R6510" s="1064"/>
    </row>
    <row r="6511" spans="1:19" ht="18">
      <c r="A6511" s="664" t="s">
        <v>28</v>
      </c>
      <c r="B6511" s="1975" t="s">
        <v>139</v>
      </c>
      <c r="C6511" s="1976"/>
      <c r="D6511" s="1977"/>
      <c r="E6511" s="665">
        <f>+L6352-5.325</f>
        <v>155.48267999999999</v>
      </c>
      <c r="F6511" s="1975">
        <v>14</v>
      </c>
      <c r="G6511" s="1977"/>
      <c r="H6511" s="1975" t="s">
        <v>49</v>
      </c>
      <c r="I6511" s="1976"/>
      <c r="J6511" s="1976"/>
      <c r="K6511" s="1977"/>
      <c r="L6511" s="1976" t="s">
        <v>590</v>
      </c>
      <c r="M6511" s="1976"/>
      <c r="N6511" s="1976"/>
      <c r="O6511" s="1976"/>
      <c r="P6511" s="2010"/>
      <c r="Q6511" s="1064"/>
      <c r="R6511" s="1064"/>
    </row>
    <row r="6512" spans="1:19" ht="18">
      <c r="A6512" s="664" t="s">
        <v>29</v>
      </c>
      <c r="B6512" s="1975" t="s">
        <v>141</v>
      </c>
      <c r="C6512" s="1976"/>
      <c r="D6512" s="1977"/>
      <c r="E6512" s="665">
        <f>+L6362+L6371-3.029+L6379</f>
        <v>54.510399999999997</v>
      </c>
      <c r="F6512" s="1975">
        <v>14</v>
      </c>
      <c r="G6512" s="1977"/>
      <c r="H6512" s="1975" t="s">
        <v>49</v>
      </c>
      <c r="I6512" s="1976"/>
      <c r="J6512" s="1976"/>
      <c r="K6512" s="1977"/>
      <c r="L6512" s="1976" t="s">
        <v>590</v>
      </c>
      <c r="M6512" s="1976"/>
      <c r="N6512" s="1976"/>
      <c r="O6512" s="1976"/>
      <c r="P6512" s="2010"/>
      <c r="Q6512" s="1064"/>
      <c r="R6512" s="1064"/>
    </row>
    <row r="6513" spans="1:18" ht="18">
      <c r="A6513" s="664" t="s">
        <v>30</v>
      </c>
      <c r="B6513" s="1975" t="s">
        <v>142</v>
      </c>
      <c r="C6513" s="1976"/>
      <c r="D6513" s="1977"/>
      <c r="E6513" s="665">
        <f>+L6401-0.958</f>
        <v>38.94914</v>
      </c>
      <c r="F6513" s="1975">
        <v>14</v>
      </c>
      <c r="G6513" s="1977"/>
      <c r="H6513" s="1975" t="s">
        <v>49</v>
      </c>
      <c r="I6513" s="1976"/>
      <c r="J6513" s="1976"/>
      <c r="K6513" s="1977"/>
      <c r="L6513" s="1976" t="s">
        <v>590</v>
      </c>
      <c r="M6513" s="1976"/>
      <c r="N6513" s="1976"/>
      <c r="O6513" s="1976"/>
      <c r="P6513" s="2010"/>
      <c r="Q6513" s="1064"/>
      <c r="R6513" s="1064"/>
    </row>
    <row r="6514" spans="1:18" ht="18">
      <c r="A6514" s="664"/>
      <c r="B6514" s="1975"/>
      <c r="C6514" s="1976"/>
      <c r="D6514" s="1977"/>
      <c r="E6514" s="665"/>
      <c r="F6514" s="1975"/>
      <c r="G6514" s="1977"/>
      <c r="H6514" s="1975"/>
      <c r="I6514" s="1976"/>
      <c r="J6514" s="1976"/>
      <c r="K6514" s="1977"/>
      <c r="L6514" s="1976"/>
      <c r="M6514" s="1976"/>
      <c r="N6514" s="1976"/>
      <c r="O6514" s="1976"/>
      <c r="P6514" s="2010"/>
      <c r="Q6514" s="1064"/>
      <c r="R6514" s="1064"/>
    </row>
    <row r="6515" spans="1:18" s="497" customFormat="1" ht="18">
      <c r="A6515" s="664" t="s">
        <v>46</v>
      </c>
      <c r="B6515" s="1975" t="s">
        <v>257</v>
      </c>
      <c r="C6515" s="1976"/>
      <c r="D6515" s="1977"/>
      <c r="E6515" s="665">
        <v>5</v>
      </c>
      <c r="F6515" s="1975">
        <v>14</v>
      </c>
      <c r="G6515" s="1977"/>
      <c r="H6515" s="1973" t="s">
        <v>155</v>
      </c>
      <c r="I6515" s="2018"/>
      <c r="J6515" s="2018"/>
      <c r="K6515" s="1974"/>
      <c r="L6515" s="1976" t="s">
        <v>590</v>
      </c>
      <c r="M6515" s="1976"/>
      <c r="N6515" s="1976"/>
      <c r="O6515" s="1976"/>
      <c r="P6515" s="2010"/>
      <c r="Q6515" s="1064"/>
      <c r="R6515" s="1064"/>
    </row>
    <row r="6516" spans="1:18" ht="18">
      <c r="A6516" s="664" t="s">
        <v>58</v>
      </c>
      <c r="B6516" s="1975" t="s">
        <v>419</v>
      </c>
      <c r="C6516" s="1976"/>
      <c r="D6516" s="1977"/>
      <c r="E6516" s="665">
        <f>+L6415-0.901</f>
        <v>16.356680000000001</v>
      </c>
      <c r="F6516" s="1975">
        <v>14</v>
      </c>
      <c r="G6516" s="1977"/>
      <c r="H6516" s="1973" t="s">
        <v>155</v>
      </c>
      <c r="I6516" s="2018"/>
      <c r="J6516" s="2018"/>
      <c r="K6516" s="1974"/>
      <c r="L6516" s="1976" t="s">
        <v>590</v>
      </c>
      <c r="M6516" s="1976"/>
      <c r="N6516" s="1976"/>
      <c r="O6516" s="1976"/>
      <c r="P6516" s="2010"/>
      <c r="Q6516" s="1064"/>
      <c r="R6516" s="1064"/>
    </row>
    <row r="6517" spans="1:18" s="497" customFormat="1" ht="18">
      <c r="A6517" s="664"/>
      <c r="B6517" s="940"/>
      <c r="C6517" s="941"/>
      <c r="D6517" s="942"/>
      <c r="E6517" s="665"/>
      <c r="F6517" s="940"/>
      <c r="G6517" s="942"/>
      <c r="H6517" s="943"/>
      <c r="I6517" s="1855"/>
      <c r="J6517" s="945"/>
      <c r="K6517" s="944"/>
      <c r="L6517" s="941"/>
      <c r="M6517" s="941"/>
      <c r="N6517" s="941"/>
      <c r="O6517" s="941"/>
      <c r="P6517" s="2010"/>
      <c r="Q6517" s="1064"/>
      <c r="R6517" s="1064"/>
    </row>
    <row r="6518" spans="1:18" ht="18">
      <c r="A6518" s="847"/>
      <c r="B6518" s="1973"/>
      <c r="C6518" s="2018"/>
      <c r="D6518" s="1974"/>
      <c r="E6518" s="665"/>
      <c r="F6518" s="1973"/>
      <c r="G6518" s="1974"/>
      <c r="H6518" s="1973"/>
      <c r="I6518" s="2018"/>
      <c r="J6518" s="2018"/>
      <c r="K6518" s="1974"/>
      <c r="L6518" s="2018"/>
      <c r="M6518" s="2018"/>
      <c r="N6518" s="2018"/>
      <c r="O6518" s="2018"/>
      <c r="P6518" s="2010"/>
      <c r="Q6518" s="1064"/>
      <c r="R6518" s="1064"/>
    </row>
    <row r="6519" spans="1:18" ht="18">
      <c r="A6519" s="847" t="s">
        <v>163</v>
      </c>
      <c r="B6519" s="1975" t="s">
        <v>139</v>
      </c>
      <c r="C6519" s="1976"/>
      <c r="D6519" s="1977"/>
      <c r="E6519" s="665">
        <f>+L6425</f>
        <v>16.584705</v>
      </c>
      <c r="F6519" s="1975">
        <v>14</v>
      </c>
      <c r="G6519" s="1977"/>
      <c r="H6519" s="1973" t="s">
        <v>447</v>
      </c>
      <c r="I6519" s="2018"/>
      <c r="J6519" s="2018"/>
      <c r="K6519" s="1974"/>
      <c r="L6519" s="2018" t="s">
        <v>436</v>
      </c>
      <c r="M6519" s="2018"/>
      <c r="N6519" s="2018"/>
      <c r="O6519" s="2018"/>
      <c r="P6519" s="2010"/>
      <c r="Q6519" s="1064"/>
      <c r="R6519" s="1064"/>
    </row>
    <row r="6520" spans="1:18" ht="18">
      <c r="A6520" s="847" t="s">
        <v>302</v>
      </c>
      <c r="B6520" s="1975" t="s">
        <v>140</v>
      </c>
      <c r="C6520" s="1976"/>
      <c r="D6520" s="1977"/>
      <c r="E6520" s="665">
        <f>+L6442</f>
        <v>37.951129999999999</v>
      </c>
      <c r="F6520" s="1975">
        <v>14</v>
      </c>
      <c r="G6520" s="1977"/>
      <c r="H6520" s="1973" t="s">
        <v>447</v>
      </c>
      <c r="I6520" s="2018"/>
      <c r="J6520" s="2018"/>
      <c r="K6520" s="1974"/>
      <c r="L6520" s="2018" t="s">
        <v>436</v>
      </c>
      <c r="M6520" s="2018"/>
      <c r="N6520" s="2018"/>
      <c r="O6520" s="2018"/>
      <c r="P6520" s="2010"/>
      <c r="Q6520" s="1064"/>
      <c r="R6520" s="1064"/>
    </row>
    <row r="6521" spans="1:18" ht="18">
      <c r="A6521" s="847" t="s">
        <v>380</v>
      </c>
      <c r="B6521" s="1975" t="s">
        <v>141</v>
      </c>
      <c r="C6521" s="1976"/>
      <c r="D6521" s="1977"/>
      <c r="E6521" s="665">
        <f>+L6458</f>
        <v>26.647635999999999</v>
      </c>
      <c r="F6521" s="1975">
        <v>14</v>
      </c>
      <c r="G6521" s="1977"/>
      <c r="H6521" s="1973" t="s">
        <v>447</v>
      </c>
      <c r="I6521" s="2018"/>
      <c r="J6521" s="2018"/>
      <c r="K6521" s="1974"/>
      <c r="L6521" s="2018" t="s">
        <v>436</v>
      </c>
      <c r="M6521" s="2018"/>
      <c r="N6521" s="2018"/>
      <c r="O6521" s="2018"/>
      <c r="P6521" s="2010"/>
      <c r="Q6521" s="1064"/>
      <c r="R6521" s="1064"/>
    </row>
    <row r="6522" spans="1:18" ht="18">
      <c r="A6522" s="847" t="s">
        <v>434</v>
      </c>
      <c r="B6522" s="1975" t="s">
        <v>142</v>
      </c>
      <c r="C6522" s="1976"/>
      <c r="D6522" s="1977"/>
      <c r="E6522" s="665">
        <f>+L6480</f>
        <v>71.258616000000018</v>
      </c>
      <c r="F6522" s="1975">
        <v>14</v>
      </c>
      <c r="G6522" s="1977"/>
      <c r="H6522" s="1973" t="s">
        <v>447</v>
      </c>
      <c r="I6522" s="2018"/>
      <c r="J6522" s="2018"/>
      <c r="K6522" s="1974"/>
      <c r="L6522" s="2018" t="s">
        <v>436</v>
      </c>
      <c r="M6522" s="2018"/>
      <c r="N6522" s="2018"/>
      <c r="O6522" s="2018"/>
      <c r="P6522" s="2010"/>
      <c r="Q6522" s="1064"/>
      <c r="R6522" s="1064"/>
    </row>
    <row r="6523" spans="1:18" ht="18">
      <c r="A6523" s="847" t="s">
        <v>474</v>
      </c>
      <c r="B6523" s="1975" t="s">
        <v>143</v>
      </c>
      <c r="C6523" s="1976"/>
      <c r="D6523" s="1977"/>
      <c r="E6523" s="665">
        <f>+L6501</f>
        <v>60.394112000000014</v>
      </c>
      <c r="F6523" s="1975">
        <v>14</v>
      </c>
      <c r="G6523" s="1977"/>
      <c r="H6523" s="1973" t="s">
        <v>447</v>
      </c>
      <c r="I6523" s="2018"/>
      <c r="J6523" s="2018"/>
      <c r="K6523" s="1974"/>
      <c r="L6523" s="2018" t="s">
        <v>436</v>
      </c>
      <c r="M6523" s="2018"/>
      <c r="N6523" s="2018"/>
      <c r="O6523" s="2018"/>
      <c r="P6523" s="2010"/>
      <c r="Q6523" s="1064"/>
      <c r="R6523" s="1064"/>
    </row>
    <row r="6524" spans="1:18" ht="18">
      <c r="A6524" s="847"/>
      <c r="B6524" s="1973"/>
      <c r="C6524" s="2018"/>
      <c r="D6524" s="1974"/>
      <c r="E6524" s="665"/>
      <c r="F6524" s="1973"/>
      <c r="G6524" s="1974"/>
      <c r="H6524" s="1973"/>
      <c r="I6524" s="2018"/>
      <c r="J6524" s="2018"/>
      <c r="K6524" s="1974"/>
      <c r="L6524" s="2018"/>
      <c r="M6524" s="2018"/>
      <c r="N6524" s="2018"/>
      <c r="O6524" s="2018"/>
      <c r="P6524" s="2010"/>
      <c r="Q6524" s="1064"/>
      <c r="R6524" s="1064"/>
    </row>
    <row r="6525" spans="1:18" ht="18.600000000000001" thickBot="1">
      <c r="A6525" s="664"/>
      <c r="B6525" s="940"/>
      <c r="C6525" s="941"/>
      <c r="D6525" s="941"/>
      <c r="E6525" s="665"/>
      <c r="F6525" s="941"/>
      <c r="G6525" s="942"/>
      <c r="H6525" s="940"/>
      <c r="I6525" s="1842"/>
      <c r="J6525" s="941"/>
      <c r="K6525" s="669"/>
      <c r="L6525" s="672"/>
      <c r="M6525" s="673"/>
      <c r="N6525" s="673"/>
      <c r="O6525" s="673"/>
      <c r="P6525" s="2010"/>
      <c r="Q6525" s="1064"/>
      <c r="R6525" s="1064"/>
    </row>
    <row r="6526" spans="1:18" ht="18">
      <c r="A6526" s="674"/>
      <c r="B6526" s="675"/>
      <c r="C6526" s="676"/>
      <c r="D6526" s="676"/>
      <c r="E6526" s="1980">
        <f>SUM(E6510:E6525)</f>
        <v>483.13509899999997</v>
      </c>
      <c r="F6526" s="677"/>
      <c r="G6526" s="678"/>
      <c r="H6526" s="679"/>
      <c r="I6526" s="1848"/>
      <c r="J6526" s="676"/>
      <c r="K6526" s="680"/>
      <c r="L6526" s="679"/>
      <c r="M6526" s="676"/>
      <c r="N6526" s="677"/>
      <c r="O6526" s="676"/>
      <c r="P6526" s="2010"/>
      <c r="Q6526" s="1064"/>
      <c r="R6526" s="1064"/>
    </row>
    <row r="6527" spans="1:18" ht="18.600000000000001" thickBot="1">
      <c r="A6527" s="681"/>
      <c r="B6527" s="682"/>
      <c r="C6527" s="683"/>
      <c r="D6527" s="683"/>
      <c r="E6527" s="1981"/>
      <c r="F6527" s="684"/>
      <c r="G6527" s="685"/>
      <c r="H6527" s="686"/>
      <c r="I6527" s="1850"/>
      <c r="J6527" s="683"/>
      <c r="K6527" s="687"/>
      <c r="L6527" s="686"/>
      <c r="M6527" s="683"/>
      <c r="N6527" s="684"/>
      <c r="O6527" s="683"/>
      <c r="P6527" s="2010"/>
      <c r="Q6527" s="1064"/>
      <c r="R6527" s="1064"/>
    </row>
    <row r="6528" spans="1:18" ht="18">
      <c r="A6528" s="688" t="s">
        <v>31</v>
      </c>
      <c r="B6528" s="676"/>
      <c r="C6528" s="676"/>
      <c r="D6528" s="676"/>
      <c r="E6528" s="676"/>
      <c r="F6528" s="677"/>
      <c r="G6528" s="676"/>
      <c r="H6528" s="677"/>
      <c r="I6528" s="1848"/>
      <c r="J6528" s="676"/>
      <c r="K6528" s="689"/>
      <c r="L6528" s="677"/>
      <c r="M6528" s="676"/>
      <c r="N6528" s="677"/>
      <c r="O6528" s="676"/>
      <c r="P6528" s="2010"/>
      <c r="Q6528" s="1064"/>
      <c r="R6528" s="1064"/>
    </row>
    <row r="6529" spans="1:18" ht="18">
      <c r="A6529" s="690"/>
      <c r="B6529" s="691"/>
      <c r="C6529" s="691"/>
      <c r="D6529" s="691"/>
      <c r="E6529" s="691"/>
      <c r="F6529" s="939"/>
      <c r="G6529" s="691"/>
      <c r="H6529" s="939"/>
      <c r="I6529" s="1849"/>
      <c r="J6529" s="691"/>
      <c r="K6529" s="693"/>
      <c r="L6529" s="939"/>
      <c r="M6529" s="691"/>
      <c r="N6529" s="939"/>
      <c r="O6529" s="691"/>
      <c r="P6529" s="2010"/>
      <c r="Q6529" s="1064"/>
      <c r="R6529" s="1064"/>
    </row>
    <row r="6530" spans="1:18" ht="18.600000000000001" thickBot="1">
      <c r="A6530" s="1982" t="s">
        <v>32</v>
      </c>
      <c r="B6530" s="1983"/>
      <c r="C6530" s="1984" t="s">
        <v>33</v>
      </c>
      <c r="D6530" s="1985"/>
      <c r="E6530" s="694" t="s">
        <v>34</v>
      </c>
      <c r="F6530" s="694" t="s">
        <v>35</v>
      </c>
      <c r="G6530" s="1986" t="s">
        <v>36</v>
      </c>
      <c r="H6530" s="1987"/>
      <c r="I6530" s="1987"/>
      <c r="J6530" s="1987"/>
      <c r="K6530" s="1987"/>
      <c r="L6530" s="1987"/>
      <c r="M6530" s="1987"/>
      <c r="N6530" s="1987"/>
      <c r="O6530" s="1987"/>
      <c r="P6530" s="2010"/>
      <c r="Q6530" s="1064"/>
      <c r="R6530" s="1064"/>
    </row>
    <row r="6531" spans="1:18" ht="18">
      <c r="A6531" s="1988"/>
      <c r="B6531" s="1989"/>
      <c r="C6531" s="1990"/>
      <c r="D6531" s="1989"/>
      <c r="E6531" s="948"/>
      <c r="F6531" s="946"/>
      <c r="G6531" s="1991"/>
      <c r="H6531" s="1992"/>
      <c r="I6531" s="1992"/>
      <c r="J6531" s="1992"/>
      <c r="K6531" s="1992"/>
      <c r="L6531" s="1992"/>
      <c r="M6531" s="1992"/>
      <c r="N6531" s="1992"/>
      <c r="O6531" s="1992"/>
      <c r="P6531" s="2010"/>
      <c r="Q6531" s="1064"/>
      <c r="R6531" s="1064"/>
    </row>
    <row r="6532" spans="1:18" ht="18">
      <c r="A6532" s="1997" t="s">
        <v>37</v>
      </c>
      <c r="B6532" s="1998"/>
      <c r="C6532" s="1990"/>
      <c r="D6532" s="1989"/>
      <c r="E6532" s="948"/>
      <c r="F6532" s="946"/>
      <c r="G6532" s="1993"/>
      <c r="H6532" s="1994"/>
      <c r="I6532" s="1994"/>
      <c r="J6532" s="1994"/>
      <c r="K6532" s="1994"/>
      <c r="L6532" s="1994"/>
      <c r="M6532" s="1994"/>
      <c r="N6532" s="1994"/>
      <c r="O6532" s="1994"/>
      <c r="P6532" s="2010"/>
      <c r="Q6532" s="1064"/>
      <c r="R6532" s="1064"/>
    </row>
    <row r="6533" spans="1:18" ht="18">
      <c r="A6533" s="1997" t="s">
        <v>38</v>
      </c>
      <c r="B6533" s="1998"/>
      <c r="C6533" s="1990"/>
      <c r="D6533" s="1989"/>
      <c r="E6533" s="948"/>
      <c r="F6533" s="946"/>
      <c r="G6533" s="1993"/>
      <c r="H6533" s="1994"/>
      <c r="I6533" s="1994"/>
      <c r="J6533" s="1994"/>
      <c r="K6533" s="1994"/>
      <c r="L6533" s="1994"/>
      <c r="M6533" s="1994"/>
      <c r="N6533" s="1994"/>
      <c r="O6533" s="1994"/>
      <c r="P6533" s="2010"/>
      <c r="Q6533" s="1064"/>
      <c r="R6533" s="1064"/>
    </row>
    <row r="6534" spans="1:18" ht="18">
      <c r="A6534" s="1997" t="s">
        <v>39</v>
      </c>
      <c r="B6534" s="1998"/>
      <c r="C6534" s="1990"/>
      <c r="D6534" s="1989"/>
      <c r="E6534" s="948"/>
      <c r="F6534" s="946"/>
      <c r="G6534" s="1993"/>
      <c r="H6534" s="1994"/>
      <c r="I6534" s="1994"/>
      <c r="J6534" s="1994"/>
      <c r="K6534" s="1994"/>
      <c r="L6534" s="1994"/>
      <c r="M6534" s="1994"/>
      <c r="N6534" s="1994"/>
      <c r="O6534" s="1994"/>
      <c r="P6534" s="2010"/>
      <c r="Q6534" s="1064"/>
      <c r="R6534" s="1064"/>
    </row>
    <row r="6535" spans="1:18" ht="18">
      <c r="A6535" s="1997" t="s">
        <v>40</v>
      </c>
      <c r="B6535" s="1998"/>
      <c r="C6535" s="1990"/>
      <c r="D6535" s="1989"/>
      <c r="E6535" s="948"/>
      <c r="F6535" s="946"/>
      <c r="G6535" s="1993"/>
      <c r="H6535" s="1994"/>
      <c r="I6535" s="1994"/>
      <c r="J6535" s="1994"/>
      <c r="K6535" s="1994"/>
      <c r="L6535" s="1994"/>
      <c r="M6535" s="1994"/>
      <c r="N6535" s="1994"/>
      <c r="O6535" s="1994"/>
      <c r="P6535" s="2010"/>
      <c r="Q6535" s="1064"/>
      <c r="R6535" s="1064"/>
    </row>
    <row r="6536" spans="1:18" ht="18.600000000000001" thickBot="1">
      <c r="A6536" s="1999" t="s">
        <v>41</v>
      </c>
      <c r="B6536" s="2000"/>
      <c r="C6536" s="2001"/>
      <c r="D6536" s="2002"/>
      <c r="E6536" s="696"/>
      <c r="F6536" s="947"/>
      <c r="G6536" s="1995"/>
      <c r="H6536" s="1996"/>
      <c r="I6536" s="1996"/>
      <c r="J6536" s="1996"/>
      <c r="K6536" s="1996"/>
      <c r="L6536" s="1996"/>
      <c r="M6536" s="1996"/>
      <c r="N6536" s="1996"/>
      <c r="O6536" s="1996"/>
      <c r="P6536" s="2010"/>
      <c r="Q6536" s="1064"/>
      <c r="R6536" s="1064"/>
    </row>
    <row r="6537" spans="1:18" ht="18">
      <c r="A6537" s="690"/>
      <c r="B6537" s="691"/>
      <c r="C6537" s="691"/>
      <c r="D6537" s="691"/>
      <c r="E6537" s="691"/>
      <c r="F6537" s="939"/>
      <c r="G6537" s="691"/>
      <c r="H6537" s="698"/>
      <c r="I6537" s="699"/>
      <c r="J6537" s="700"/>
      <c r="K6537" s="701"/>
      <c r="L6537" s="702"/>
      <c r="M6537" s="691"/>
      <c r="N6537" s="939"/>
      <c r="O6537" s="691"/>
      <c r="P6537" s="2010"/>
      <c r="Q6537" s="1064"/>
      <c r="R6537" s="1064"/>
    </row>
    <row r="6538" spans="1:18" ht="18">
      <c r="A6538" s="703" t="s">
        <v>42</v>
      </c>
      <c r="B6538" s="704"/>
      <c r="C6538" s="691"/>
      <c r="D6538" s="691"/>
      <c r="E6538" s="691"/>
      <c r="F6538" s="939"/>
      <c r="G6538" s="704"/>
      <c r="H6538" s="698"/>
      <c r="I6538" s="699"/>
      <c r="J6538" s="700"/>
      <c r="K6538" s="693"/>
      <c r="L6538" s="705"/>
      <c r="M6538" s="691"/>
      <c r="N6538" s="1979" t="s">
        <v>43</v>
      </c>
      <c r="O6538" s="1979"/>
      <c r="P6538" s="2010"/>
      <c r="Q6538" s="1064"/>
      <c r="R6538" s="1064"/>
    </row>
    <row r="6539" spans="1:18" ht="18">
      <c r="A6539" s="703"/>
      <c r="B6539" s="704"/>
      <c r="C6539" s="691"/>
      <c r="D6539" s="691"/>
      <c r="E6539" s="691"/>
      <c r="F6539" s="939"/>
      <c r="G6539" s="691"/>
      <c r="H6539" s="939"/>
      <c r="I6539" s="1849"/>
      <c r="J6539" s="691"/>
      <c r="K6539" s="693"/>
      <c r="L6539" s="939"/>
      <c r="M6539" s="691"/>
      <c r="N6539" s="939"/>
      <c r="O6539" s="704"/>
      <c r="P6539" s="2010"/>
      <c r="Q6539" s="1064"/>
      <c r="R6539" s="1064"/>
    </row>
    <row r="6540" spans="1:18" ht="18">
      <c r="A6540" s="703" t="s">
        <v>44</v>
      </c>
      <c r="B6540" s="704"/>
      <c r="C6540" s="691"/>
      <c r="D6540" s="691"/>
      <c r="E6540" s="691"/>
      <c r="F6540" s="939"/>
      <c r="G6540" s="691"/>
      <c r="H6540" s="939"/>
      <c r="I6540" s="1849"/>
      <c r="J6540" s="691"/>
      <c r="K6540" s="693"/>
      <c r="L6540" s="939"/>
      <c r="M6540" s="691"/>
      <c r="N6540" s="1979" t="s">
        <v>45</v>
      </c>
      <c r="O6540" s="1979"/>
      <c r="P6540" s="2010"/>
      <c r="Q6540" s="1064"/>
      <c r="R6540" s="1064"/>
    </row>
    <row r="6541" spans="1:18" ht="18.600000000000001" thickBot="1">
      <c r="A6541" s="682"/>
      <c r="B6541" s="683"/>
      <c r="C6541" s="683"/>
      <c r="D6541" s="683"/>
      <c r="E6541" s="683"/>
      <c r="F6541" s="684"/>
      <c r="G6541" s="683"/>
      <c r="H6541" s="684"/>
      <c r="I6541" s="1850"/>
      <c r="J6541" s="683"/>
      <c r="K6541" s="706"/>
      <c r="L6541" s="684"/>
      <c r="M6541" s="683"/>
      <c r="N6541" s="684"/>
      <c r="O6541" s="683"/>
      <c r="P6541" s="2010"/>
      <c r="Q6541" s="1064"/>
      <c r="R6541" s="1064"/>
    </row>
    <row r="6546" spans="1:18" ht="17.399999999999999">
      <c r="A6546" s="711" t="s">
        <v>48</v>
      </c>
      <c r="B6546" s="711"/>
      <c r="C6546" s="712"/>
      <c r="D6546" s="712"/>
      <c r="E6546" s="712"/>
      <c r="F6546" s="713"/>
      <c r="G6546" s="712"/>
      <c r="H6546" s="712"/>
      <c r="I6546" s="714"/>
      <c r="J6546" s="715"/>
      <c r="K6546" s="716"/>
      <c r="L6546" s="1978" t="s">
        <v>0</v>
      </c>
      <c r="M6546" s="1978"/>
      <c r="N6546" s="1978"/>
      <c r="O6546" s="1978"/>
      <c r="P6546" s="717"/>
      <c r="Q6546" s="717"/>
      <c r="R6546" s="717"/>
    </row>
    <row r="6547" spans="1:18" ht="17.399999999999999">
      <c r="A6547" s="718" t="s">
        <v>1</v>
      </c>
      <c r="B6547" s="718"/>
      <c r="C6547" s="718"/>
      <c r="D6547" s="719" t="s">
        <v>2</v>
      </c>
      <c r="E6547" s="719"/>
      <c r="F6547" s="720"/>
      <c r="G6547" s="720"/>
      <c r="H6547" s="720"/>
      <c r="I6547" s="721"/>
      <c r="J6547" s="974"/>
      <c r="K6547" s="723" t="s">
        <v>3</v>
      </c>
      <c r="L6547" s="974"/>
      <c r="M6547" s="718"/>
      <c r="N6547" s="720"/>
      <c r="O6547" s="718"/>
      <c r="P6547" s="724"/>
      <c r="Q6547" s="1059"/>
      <c r="R6547" s="1059"/>
    </row>
    <row r="6548" spans="1:18" ht="52.2">
      <c r="A6548" s="640" t="s">
        <v>4</v>
      </c>
      <c r="B6548" s="640" t="s">
        <v>5</v>
      </c>
      <c r="C6548" s="640" t="s">
        <v>6</v>
      </c>
      <c r="D6548" s="640" t="s">
        <v>7</v>
      </c>
      <c r="E6548" s="640" t="s">
        <v>8</v>
      </c>
      <c r="F6548" s="641" t="s">
        <v>9</v>
      </c>
      <c r="G6548" s="642" t="s">
        <v>10</v>
      </c>
      <c r="H6548" s="642" t="s">
        <v>11</v>
      </c>
      <c r="I6548" s="643" t="s">
        <v>12</v>
      </c>
      <c r="J6548" s="644" t="s">
        <v>13</v>
      </c>
      <c r="K6548" s="645" t="s">
        <v>14</v>
      </c>
      <c r="L6548" s="646" t="s">
        <v>15</v>
      </c>
      <c r="M6548" s="641" t="s">
        <v>16</v>
      </c>
      <c r="N6548" s="641" t="s">
        <v>17</v>
      </c>
      <c r="O6548" s="642" t="s">
        <v>18</v>
      </c>
      <c r="P6548" s="641" t="s">
        <v>192</v>
      </c>
      <c r="Q6548" s="1063"/>
      <c r="R6548" s="1063"/>
    </row>
    <row r="6550" spans="1:18" ht="17.399999999999999">
      <c r="A6550" s="547" t="s">
        <v>445</v>
      </c>
      <c r="B6550" s="547" t="s">
        <v>488</v>
      </c>
      <c r="C6550" s="547" t="s">
        <v>19</v>
      </c>
      <c r="D6550" s="547" t="s">
        <v>20</v>
      </c>
      <c r="E6550" s="547" t="s">
        <v>47</v>
      </c>
      <c r="F6550" s="548">
        <v>14</v>
      </c>
      <c r="G6550" s="112" t="s">
        <v>21</v>
      </c>
      <c r="H6550" s="112" t="s">
        <v>92</v>
      </c>
      <c r="I6550" s="449">
        <v>16.600000000000001</v>
      </c>
      <c r="J6550" s="434">
        <v>7.8</v>
      </c>
      <c r="K6550" s="435">
        <v>1</v>
      </c>
      <c r="L6550" s="436">
        <f t="shared" ref="L6550:L6558" si="1411">(I6550*J6550*K6550/1000)</f>
        <v>0.12948000000000001</v>
      </c>
    </row>
    <row r="6551" spans="1:18" ht="17.399999999999999">
      <c r="A6551" s="547"/>
      <c r="B6551" s="752" t="s">
        <v>439</v>
      </c>
      <c r="C6551" s="547"/>
      <c r="D6551" s="547"/>
      <c r="E6551" s="547"/>
      <c r="F6551" s="549"/>
      <c r="G6551" s="112" t="s">
        <v>21</v>
      </c>
      <c r="H6551" s="112" t="s">
        <v>92</v>
      </c>
      <c r="I6551" s="449">
        <v>16.600000000000001</v>
      </c>
      <c r="J6551" s="434">
        <v>8</v>
      </c>
      <c r="K6551" s="435">
        <v>12</v>
      </c>
      <c r="L6551" s="436">
        <f t="shared" si="1411"/>
        <v>1.5936000000000001</v>
      </c>
    </row>
    <row r="6552" spans="1:18">
      <c r="G6552" s="112" t="s">
        <v>21</v>
      </c>
      <c r="H6552" s="112" t="s">
        <v>92</v>
      </c>
      <c r="I6552" s="449">
        <v>16.600000000000001</v>
      </c>
      <c r="J6552" s="434">
        <v>8.6999999999999993</v>
      </c>
      <c r="K6552" s="435">
        <v>23</v>
      </c>
      <c r="L6552" s="436">
        <f t="shared" si="1411"/>
        <v>3.3216600000000001</v>
      </c>
    </row>
    <row r="6553" spans="1:18">
      <c r="G6553" s="112" t="s">
        <v>21</v>
      </c>
      <c r="H6553" s="112" t="s">
        <v>92</v>
      </c>
      <c r="I6553" s="449">
        <v>16.600000000000001</v>
      </c>
      <c r="J6553" s="434">
        <v>10</v>
      </c>
      <c r="K6553" s="435">
        <v>29</v>
      </c>
      <c r="L6553" s="436">
        <f t="shared" si="1411"/>
        <v>4.8140000000000001</v>
      </c>
    </row>
    <row r="6554" spans="1:18">
      <c r="G6554" s="112" t="s">
        <v>21</v>
      </c>
      <c r="H6554" s="112" t="s">
        <v>92</v>
      </c>
      <c r="I6554" s="449">
        <v>16.600000000000001</v>
      </c>
      <c r="J6554" s="434">
        <v>10.8</v>
      </c>
      <c r="K6554" s="435">
        <v>28</v>
      </c>
      <c r="L6554" s="436">
        <f t="shared" si="1411"/>
        <v>5.0198400000000012</v>
      </c>
    </row>
    <row r="6555" spans="1:18">
      <c r="G6555" s="112" t="s">
        <v>21</v>
      </c>
      <c r="H6555" s="112" t="s">
        <v>92</v>
      </c>
      <c r="I6555" s="449">
        <v>16.600000000000001</v>
      </c>
      <c r="J6555" s="434">
        <v>11</v>
      </c>
      <c r="K6555" s="435">
        <v>20</v>
      </c>
      <c r="L6555" s="436">
        <f t="shared" si="1411"/>
        <v>3.6520000000000006</v>
      </c>
    </row>
    <row r="6556" spans="1:18">
      <c r="G6556" s="112" t="s">
        <v>21</v>
      </c>
      <c r="H6556" s="112" t="s">
        <v>92</v>
      </c>
      <c r="I6556" s="449">
        <v>16.600000000000001</v>
      </c>
      <c r="J6556" s="434">
        <v>11.2</v>
      </c>
      <c r="K6556" s="435">
        <v>20</v>
      </c>
      <c r="L6556" s="436">
        <f t="shared" si="1411"/>
        <v>3.7184000000000004</v>
      </c>
    </row>
    <row r="6557" spans="1:18">
      <c r="G6557" s="112" t="s">
        <v>21</v>
      </c>
      <c r="H6557" s="112" t="s">
        <v>92</v>
      </c>
      <c r="I6557" s="449">
        <v>16.600000000000001</v>
      </c>
      <c r="J6557" s="434">
        <v>11.3</v>
      </c>
      <c r="K6557" s="435">
        <v>38</v>
      </c>
      <c r="L6557" s="436">
        <f t="shared" si="1411"/>
        <v>7.1280400000000022</v>
      </c>
    </row>
    <row r="6558" spans="1:18">
      <c r="G6558" s="112" t="s">
        <v>21</v>
      </c>
      <c r="H6558" s="112" t="s">
        <v>92</v>
      </c>
      <c r="I6558" s="449">
        <v>16.600000000000001</v>
      </c>
      <c r="J6558" s="434">
        <v>12</v>
      </c>
      <c r="K6558" s="435">
        <v>47</v>
      </c>
      <c r="L6558" s="436">
        <f t="shared" si="1411"/>
        <v>9.3624000000000009</v>
      </c>
    </row>
    <row r="6559" spans="1:18">
      <c r="G6559" s="149"/>
      <c r="H6559" s="149"/>
      <c r="I6559" s="449"/>
      <c r="J6559" s="133"/>
      <c r="K6559" s="140">
        <f>SUM(K6550:K6558)</f>
        <v>218</v>
      </c>
      <c r="L6559" s="133">
        <f>SUM(L6550:L6558)</f>
        <v>38.73942000000001</v>
      </c>
    </row>
    <row r="6561" spans="1:12" ht="17.399999999999999">
      <c r="A6561" s="547" t="s">
        <v>445</v>
      </c>
      <c r="B6561" s="547" t="s">
        <v>485</v>
      </c>
      <c r="C6561" s="547" t="s">
        <v>19</v>
      </c>
      <c r="D6561" s="547" t="s">
        <v>20</v>
      </c>
      <c r="E6561" s="560" t="s">
        <v>57</v>
      </c>
      <c r="F6561" s="548">
        <v>14</v>
      </c>
      <c r="G6561" s="112" t="s">
        <v>21</v>
      </c>
      <c r="H6561" s="112" t="s">
        <v>92</v>
      </c>
      <c r="I6561" s="449">
        <v>16.600000000000001</v>
      </c>
      <c r="J6561" s="434">
        <v>6.2</v>
      </c>
      <c r="K6561" s="435">
        <v>14</v>
      </c>
      <c r="L6561" s="436">
        <f t="shared" ref="L6561:L6568" si="1412">(I6561*J6561*K6561/1000)</f>
        <v>1.4408800000000002</v>
      </c>
    </row>
    <row r="6562" spans="1:12" ht="17.399999999999999">
      <c r="A6562" s="547"/>
      <c r="B6562" s="975" t="s">
        <v>423</v>
      </c>
      <c r="C6562" s="547"/>
      <c r="D6562" s="547"/>
      <c r="E6562" s="547"/>
      <c r="F6562" s="548"/>
      <c r="G6562" s="112" t="s">
        <v>21</v>
      </c>
      <c r="H6562" s="112" t="s">
        <v>92</v>
      </c>
      <c r="I6562" s="449">
        <v>16.600000000000001</v>
      </c>
      <c r="J6562" s="434">
        <v>7</v>
      </c>
      <c r="K6562" s="435">
        <v>64</v>
      </c>
      <c r="L6562" s="436">
        <f t="shared" si="1412"/>
        <v>7.4368000000000007</v>
      </c>
    </row>
    <row r="6563" spans="1:12">
      <c r="G6563" s="112" t="s">
        <v>21</v>
      </c>
      <c r="H6563" s="112" t="s">
        <v>92</v>
      </c>
      <c r="I6563" s="449">
        <v>16.600000000000001</v>
      </c>
      <c r="J6563" s="434">
        <v>7.8</v>
      </c>
      <c r="K6563" s="435">
        <v>17</v>
      </c>
      <c r="L6563" s="436">
        <f t="shared" si="1412"/>
        <v>2.2011600000000002</v>
      </c>
    </row>
    <row r="6564" spans="1:12">
      <c r="G6564" s="112" t="s">
        <v>21</v>
      </c>
      <c r="H6564" s="112" t="s">
        <v>92</v>
      </c>
      <c r="I6564" s="449">
        <v>16.600000000000001</v>
      </c>
      <c r="J6564" s="434">
        <v>8</v>
      </c>
      <c r="K6564" s="435">
        <v>64</v>
      </c>
      <c r="L6564" s="436">
        <f t="shared" si="1412"/>
        <v>8.4992000000000001</v>
      </c>
    </row>
    <row r="6565" spans="1:12">
      <c r="G6565" s="112" t="s">
        <v>21</v>
      </c>
      <c r="H6565" s="112" t="s">
        <v>92</v>
      </c>
      <c r="I6565" s="449">
        <v>16.600000000000001</v>
      </c>
      <c r="J6565" s="434">
        <v>10.4</v>
      </c>
      <c r="K6565" s="435">
        <v>8</v>
      </c>
      <c r="L6565" s="436">
        <f t="shared" si="1412"/>
        <v>1.3811200000000001</v>
      </c>
    </row>
    <row r="6566" spans="1:12">
      <c r="G6566" s="112" t="s">
        <v>21</v>
      </c>
      <c r="H6566" s="112" t="s">
        <v>92</v>
      </c>
      <c r="I6566" s="449">
        <v>16.600000000000001</v>
      </c>
      <c r="J6566" s="434">
        <v>10.5</v>
      </c>
      <c r="K6566" s="435">
        <v>28</v>
      </c>
      <c r="L6566" s="436">
        <f t="shared" si="1412"/>
        <v>4.8804000000000007</v>
      </c>
    </row>
    <row r="6567" spans="1:12">
      <c r="G6567" s="112" t="s">
        <v>21</v>
      </c>
      <c r="H6567" s="112" t="s">
        <v>92</v>
      </c>
      <c r="I6567" s="449">
        <v>16.600000000000001</v>
      </c>
      <c r="J6567" s="434">
        <v>11</v>
      </c>
      <c r="K6567" s="435">
        <v>64</v>
      </c>
      <c r="L6567" s="436">
        <f t="shared" si="1412"/>
        <v>11.686400000000001</v>
      </c>
    </row>
    <row r="6568" spans="1:12">
      <c r="G6568" s="112" t="s">
        <v>21</v>
      </c>
      <c r="H6568" s="112" t="s">
        <v>92</v>
      </c>
      <c r="I6568" s="449">
        <v>16.600000000000001</v>
      </c>
      <c r="J6568" s="434">
        <v>12</v>
      </c>
      <c r="K6568" s="435">
        <v>34</v>
      </c>
      <c r="L6568" s="436">
        <f t="shared" si="1412"/>
        <v>6.7728000000000002</v>
      </c>
    </row>
    <row r="6569" spans="1:12">
      <c r="G6569" s="149"/>
      <c r="H6569" s="149"/>
      <c r="I6569" s="450"/>
      <c r="J6569" s="133"/>
      <c r="K6569" s="140">
        <f>SUM(K6561:K6568)</f>
        <v>293</v>
      </c>
      <c r="L6569" s="133">
        <f t="shared" ref="L6569" si="1413">SUM(L6561:L6568)</f>
        <v>44.298760000000001</v>
      </c>
    </row>
    <row r="6570" spans="1:12" s="497" customFormat="1">
      <c r="G6570" s="149"/>
      <c r="H6570" s="149"/>
      <c r="I6570" s="450"/>
      <c r="J6570" s="133"/>
      <c r="K6570" s="140"/>
      <c r="L6570" s="133">
        <f>+L6569+L6559</f>
        <v>83.038180000000011</v>
      </c>
    </row>
    <row r="6571" spans="1:12" s="497" customFormat="1">
      <c r="G6571" s="149"/>
      <c r="H6571" s="149"/>
      <c r="I6571" s="450"/>
      <c r="J6571" s="133"/>
      <c r="K6571" s="140"/>
      <c r="L6571" s="133"/>
    </row>
    <row r="6572" spans="1:12" ht="17.399999999999999">
      <c r="A6572" s="547" t="s">
        <v>445</v>
      </c>
      <c r="B6572" s="547" t="s">
        <v>488</v>
      </c>
      <c r="C6572" s="547" t="s">
        <v>19</v>
      </c>
      <c r="D6572" s="547" t="s">
        <v>20</v>
      </c>
      <c r="E6572" s="547" t="s">
        <v>47</v>
      </c>
      <c r="F6572" s="548">
        <v>14</v>
      </c>
      <c r="G6572" s="112" t="s">
        <v>21</v>
      </c>
      <c r="H6572" s="112" t="s">
        <v>95</v>
      </c>
      <c r="I6572" s="449">
        <v>13.4</v>
      </c>
      <c r="J6572" s="434">
        <v>6.6</v>
      </c>
      <c r="K6572" s="435">
        <v>2</v>
      </c>
      <c r="L6572" s="436">
        <f t="shared" ref="L6572:L6579" si="1414">(I6572*J6572*K6572/1000)</f>
        <v>0.17687999999999998</v>
      </c>
    </row>
    <row r="6573" spans="1:12" ht="17.399999999999999">
      <c r="A6573" s="547"/>
      <c r="B6573" s="752" t="s">
        <v>439</v>
      </c>
      <c r="C6573" s="547"/>
      <c r="D6573" s="547"/>
      <c r="E6573" s="547"/>
      <c r="F6573" s="549"/>
      <c r="G6573" s="112" t="s">
        <v>21</v>
      </c>
      <c r="H6573" s="112" t="s">
        <v>95</v>
      </c>
      <c r="I6573" s="449">
        <v>13.4</v>
      </c>
      <c r="J6573" s="434">
        <v>8.6</v>
      </c>
      <c r="K6573" s="435">
        <v>23</v>
      </c>
      <c r="L6573" s="436">
        <f t="shared" si="1414"/>
        <v>2.6505199999999998</v>
      </c>
    </row>
    <row r="6574" spans="1:12">
      <c r="G6574" s="112" t="s">
        <v>21</v>
      </c>
      <c r="H6574" s="112" t="s">
        <v>95</v>
      </c>
      <c r="I6574" s="449">
        <v>13.4</v>
      </c>
      <c r="J6574" s="434">
        <v>9.6</v>
      </c>
      <c r="K6574" s="435">
        <v>9</v>
      </c>
      <c r="L6574" s="436">
        <f t="shared" si="1414"/>
        <v>1.1577599999999997</v>
      </c>
    </row>
    <row r="6575" spans="1:12">
      <c r="G6575" s="112" t="s">
        <v>21</v>
      </c>
      <c r="H6575" s="112" t="s">
        <v>95</v>
      </c>
      <c r="I6575" s="449">
        <v>13.4</v>
      </c>
      <c r="J6575" s="434">
        <v>9.8000000000000007</v>
      </c>
      <c r="K6575" s="435">
        <v>56</v>
      </c>
      <c r="L6575" s="436">
        <f t="shared" si="1414"/>
        <v>7.3539200000000013</v>
      </c>
    </row>
    <row r="6576" spans="1:12">
      <c r="G6576" s="112" t="s">
        <v>21</v>
      </c>
      <c r="H6576" s="112" t="s">
        <v>95</v>
      </c>
      <c r="I6576" s="449">
        <v>13.4</v>
      </c>
      <c r="J6576" s="434">
        <v>10</v>
      </c>
      <c r="K6576" s="435">
        <v>56</v>
      </c>
      <c r="L6576" s="436">
        <f t="shared" si="1414"/>
        <v>7.5039999999999996</v>
      </c>
    </row>
    <row r="6577" spans="1:12">
      <c r="G6577" s="112" t="s">
        <v>21</v>
      </c>
      <c r="H6577" s="112" t="s">
        <v>95</v>
      </c>
      <c r="I6577" s="449">
        <v>13.4</v>
      </c>
      <c r="J6577" s="434">
        <v>10.5</v>
      </c>
      <c r="K6577" s="435">
        <v>21</v>
      </c>
      <c r="L6577" s="436">
        <f t="shared" si="1414"/>
        <v>2.9547000000000003</v>
      </c>
    </row>
    <row r="6578" spans="1:12">
      <c r="G6578" s="112" t="s">
        <v>21</v>
      </c>
      <c r="H6578" s="112" t="s">
        <v>95</v>
      </c>
      <c r="I6578" s="449">
        <v>13.4</v>
      </c>
      <c r="J6578" s="434">
        <v>11.2</v>
      </c>
      <c r="K6578" s="435">
        <v>8</v>
      </c>
      <c r="L6578" s="436">
        <f t="shared" si="1414"/>
        <v>1.2006399999999999</v>
      </c>
    </row>
    <row r="6579" spans="1:12">
      <c r="G6579" s="112" t="s">
        <v>21</v>
      </c>
      <c r="H6579" s="112" t="s">
        <v>95</v>
      </c>
      <c r="I6579" s="449">
        <v>13.4</v>
      </c>
      <c r="J6579" s="434">
        <v>12</v>
      </c>
      <c r="K6579" s="435">
        <v>46</v>
      </c>
      <c r="L6579" s="436">
        <f t="shared" si="1414"/>
        <v>7.3967999999999998</v>
      </c>
    </row>
    <row r="6580" spans="1:12">
      <c r="G6580" s="149"/>
      <c r="H6580" s="149"/>
      <c r="I6580" s="449"/>
      <c r="J6580" s="133"/>
      <c r="K6580" s="140">
        <f>SUM(K6572:K6579)</f>
        <v>221</v>
      </c>
      <c r="L6580" s="133">
        <f>SUM(L6572:L6579)</f>
        <v>30.395219999999998</v>
      </c>
    </row>
    <row r="6582" spans="1:12" ht="17.399999999999999">
      <c r="A6582" s="547" t="s">
        <v>445</v>
      </c>
      <c r="B6582" s="547" t="s">
        <v>485</v>
      </c>
      <c r="C6582" s="547" t="s">
        <v>19</v>
      </c>
      <c r="D6582" s="547" t="s">
        <v>20</v>
      </c>
      <c r="E6582" s="560" t="s">
        <v>57</v>
      </c>
      <c r="F6582" s="548">
        <v>14</v>
      </c>
      <c r="G6582" s="112" t="s">
        <v>21</v>
      </c>
      <c r="H6582" s="112" t="s">
        <v>95</v>
      </c>
      <c r="I6582" s="449">
        <v>13.4</v>
      </c>
      <c r="J6582" s="434">
        <v>6.9</v>
      </c>
      <c r="K6582" s="435">
        <v>46</v>
      </c>
      <c r="L6582" s="436">
        <f t="shared" ref="L6582:L6589" si="1415">(I6582*J6582*K6582/1000)</f>
        <v>4.2531600000000012</v>
      </c>
    </row>
    <row r="6583" spans="1:12" ht="17.399999999999999">
      <c r="A6583" s="547"/>
      <c r="B6583" s="975" t="s">
        <v>423</v>
      </c>
      <c r="C6583" s="547"/>
      <c r="D6583" s="547"/>
      <c r="E6583" s="547"/>
      <c r="F6583" s="548"/>
      <c r="G6583" s="112" t="s">
        <v>21</v>
      </c>
      <c r="H6583" s="112" t="s">
        <v>95</v>
      </c>
      <c r="I6583" s="449">
        <v>13.4</v>
      </c>
      <c r="J6583" s="434">
        <v>7.6</v>
      </c>
      <c r="K6583" s="435">
        <v>80</v>
      </c>
      <c r="L6583" s="436">
        <f t="shared" si="1415"/>
        <v>8.1472000000000016</v>
      </c>
    </row>
    <row r="6584" spans="1:12">
      <c r="G6584" s="112" t="s">
        <v>21</v>
      </c>
      <c r="H6584" s="112" t="s">
        <v>95</v>
      </c>
      <c r="I6584" s="449">
        <v>13.4</v>
      </c>
      <c r="J6584" s="434">
        <v>8.4</v>
      </c>
      <c r="K6584" s="435">
        <v>60</v>
      </c>
      <c r="L6584" s="436">
        <f t="shared" si="1415"/>
        <v>6.7536000000000005</v>
      </c>
    </row>
    <row r="6585" spans="1:12">
      <c r="G6585" s="112" t="s">
        <v>21</v>
      </c>
      <c r="H6585" s="112" t="s">
        <v>95</v>
      </c>
      <c r="I6585" s="449">
        <v>13.4</v>
      </c>
      <c r="J6585" s="434">
        <v>9.1999999999999993</v>
      </c>
      <c r="K6585" s="435">
        <v>26</v>
      </c>
      <c r="L6585" s="436">
        <f t="shared" si="1415"/>
        <v>3.2052799999999997</v>
      </c>
    </row>
    <row r="6586" spans="1:12">
      <c r="G6586" s="112" t="s">
        <v>21</v>
      </c>
      <c r="H6586" s="112" t="s">
        <v>95</v>
      </c>
      <c r="I6586" s="449">
        <v>13.4</v>
      </c>
      <c r="J6586" s="434">
        <v>10.3</v>
      </c>
      <c r="K6586" s="435">
        <v>37</v>
      </c>
      <c r="L6586" s="436">
        <f t="shared" si="1415"/>
        <v>5.1067400000000003</v>
      </c>
    </row>
    <row r="6587" spans="1:12">
      <c r="G6587" s="112" t="s">
        <v>21</v>
      </c>
      <c r="H6587" s="112" t="s">
        <v>95</v>
      </c>
      <c r="I6587" s="449">
        <v>13.4</v>
      </c>
      <c r="J6587" s="434">
        <v>10.8</v>
      </c>
      <c r="K6587" s="435">
        <v>44</v>
      </c>
      <c r="L6587" s="436">
        <f t="shared" si="1415"/>
        <v>6.3676800000000009</v>
      </c>
    </row>
    <row r="6588" spans="1:12">
      <c r="G6588" s="112" t="s">
        <v>21</v>
      </c>
      <c r="H6588" s="112" t="s">
        <v>95</v>
      </c>
      <c r="I6588" s="449">
        <v>13.4</v>
      </c>
      <c r="J6588" s="434">
        <v>11.5</v>
      </c>
      <c r="K6588" s="435">
        <v>44</v>
      </c>
      <c r="L6588" s="436">
        <f t="shared" si="1415"/>
        <v>6.7803999999999993</v>
      </c>
    </row>
    <row r="6589" spans="1:12">
      <c r="G6589" s="112" t="s">
        <v>21</v>
      </c>
      <c r="H6589" s="112" t="s">
        <v>95</v>
      </c>
      <c r="I6589" s="449">
        <v>13.4</v>
      </c>
      <c r="J6589" s="434">
        <v>12</v>
      </c>
      <c r="K6589" s="435">
        <v>80</v>
      </c>
      <c r="L6589" s="436">
        <f t="shared" si="1415"/>
        <v>12.864000000000001</v>
      </c>
    </row>
    <row r="6590" spans="1:12">
      <c r="G6590" s="149"/>
      <c r="H6590" s="149"/>
      <c r="I6590" s="450"/>
      <c r="J6590" s="133"/>
      <c r="K6590" s="140">
        <f>SUM(K6582:K6589)</f>
        <v>417</v>
      </c>
      <c r="L6590" s="133">
        <f>SUM(L6582:L6589)</f>
        <v>53.478059999999999</v>
      </c>
    </row>
    <row r="6591" spans="1:12">
      <c r="L6591" s="480">
        <f>+L6590+L6580</f>
        <v>83.873279999999994</v>
      </c>
    </row>
    <row r="6596" spans="1:18" ht="17.399999999999999">
      <c r="A6596" s="1000" t="s">
        <v>48</v>
      </c>
      <c r="B6596" s="1000"/>
      <c r="C6596" s="718"/>
      <c r="D6596" s="718"/>
      <c r="E6596" s="718"/>
      <c r="F6596" s="720"/>
      <c r="G6596" s="718"/>
      <c r="H6596" s="718"/>
      <c r="I6596" s="721"/>
      <c r="J6596" s="1001"/>
      <c r="K6596" s="1002"/>
      <c r="L6596" s="1978" t="s">
        <v>0</v>
      </c>
      <c r="M6596" s="1978"/>
      <c r="N6596" s="1978"/>
      <c r="O6596" s="1978"/>
      <c r="P6596" s="549"/>
      <c r="Q6596" s="1059"/>
      <c r="R6596" s="1059"/>
    </row>
    <row r="6597" spans="1:18" ht="17.399999999999999">
      <c r="A6597" s="718" t="s">
        <v>1</v>
      </c>
      <c r="B6597" s="718"/>
      <c r="C6597" s="718"/>
      <c r="D6597" s="719" t="s">
        <v>2</v>
      </c>
      <c r="E6597" s="719"/>
      <c r="F6597" s="720"/>
      <c r="G6597" s="720"/>
      <c r="H6597" s="720"/>
      <c r="I6597" s="721"/>
      <c r="J6597" s="1009"/>
      <c r="K6597" s="1002" t="s">
        <v>3</v>
      </c>
      <c r="L6597" s="1009"/>
      <c r="M6597" s="718"/>
      <c r="N6597" s="720"/>
      <c r="O6597" s="718"/>
      <c r="P6597" s="549"/>
      <c r="Q6597" s="1059"/>
      <c r="R6597" s="1059"/>
    </row>
    <row r="6598" spans="1:18" ht="52.2">
      <c r="A6598" s="640" t="s">
        <v>4</v>
      </c>
      <c r="B6598" s="640" t="s">
        <v>5</v>
      </c>
      <c r="C6598" s="640" t="s">
        <v>6</v>
      </c>
      <c r="D6598" s="640" t="s">
        <v>7</v>
      </c>
      <c r="E6598" s="640" t="s">
        <v>8</v>
      </c>
      <c r="F6598" s="641" t="s">
        <v>9</v>
      </c>
      <c r="G6598" s="642" t="s">
        <v>10</v>
      </c>
      <c r="H6598" s="642" t="s">
        <v>11</v>
      </c>
      <c r="I6598" s="643" t="s">
        <v>12</v>
      </c>
      <c r="J6598" s="644" t="s">
        <v>13</v>
      </c>
      <c r="K6598" s="645" t="s">
        <v>14</v>
      </c>
      <c r="L6598" s="646" t="s">
        <v>15</v>
      </c>
      <c r="M6598" s="641" t="s">
        <v>16</v>
      </c>
      <c r="N6598" s="641" t="s">
        <v>17</v>
      </c>
      <c r="O6598" s="642" t="s">
        <v>18</v>
      </c>
      <c r="P6598" s="641" t="s">
        <v>192</v>
      </c>
      <c r="Q6598" s="1063"/>
      <c r="R6598" s="1063"/>
    </row>
    <row r="6599" spans="1:18" ht="18">
      <c r="A6599" s="547" t="s">
        <v>445</v>
      </c>
      <c r="B6599" s="547" t="s">
        <v>611</v>
      </c>
      <c r="C6599" s="547" t="s">
        <v>19</v>
      </c>
      <c r="D6599" s="547" t="s">
        <v>20</v>
      </c>
      <c r="E6599" s="560" t="s">
        <v>464</v>
      </c>
      <c r="F6599" s="1018">
        <v>11</v>
      </c>
      <c r="G6599" s="707" t="s">
        <v>21</v>
      </c>
      <c r="H6599" s="1120" t="s">
        <v>366</v>
      </c>
      <c r="I6599" s="1879">
        <v>10.9</v>
      </c>
      <c r="J6599" s="1022">
        <v>9.1999999999999993</v>
      </c>
      <c r="K6599" s="1023">
        <v>86</v>
      </c>
      <c r="L6599" s="893">
        <f t="shared" ref="L6599:L6606" si="1416">(I6599*J6599*K6599/1000)</f>
        <v>8.6240799999999993</v>
      </c>
      <c r="M6599" s="707"/>
      <c r="N6599" s="707"/>
      <c r="O6599" s="707"/>
      <c r="P6599" s="707"/>
      <c r="Q6599" s="497" t="s">
        <v>704</v>
      </c>
      <c r="R6599" s="1076"/>
    </row>
    <row r="6600" spans="1:18" ht="18">
      <c r="A6600" s="547"/>
      <c r="B6600" s="869" t="s">
        <v>585</v>
      </c>
      <c r="C6600" s="547"/>
      <c r="D6600" s="547"/>
      <c r="E6600" s="547"/>
      <c r="F6600" s="1018"/>
      <c r="G6600" s="707" t="s">
        <v>21</v>
      </c>
      <c r="H6600" s="707" t="s">
        <v>366</v>
      </c>
      <c r="I6600" s="1879">
        <v>10.9</v>
      </c>
      <c r="J6600" s="1022">
        <v>9.5</v>
      </c>
      <c r="K6600" s="1023">
        <v>32</v>
      </c>
      <c r="L6600" s="893">
        <f t="shared" si="1416"/>
        <v>3.3136000000000001</v>
      </c>
      <c r="M6600" s="707">
        <f>2+1+3</f>
        <v>6</v>
      </c>
      <c r="N6600" s="707">
        <f t="shared" ref="N6600:N6601" si="1417">J6600*M6600*I6600/1000</f>
        <v>0.62130000000000007</v>
      </c>
      <c r="O6600" s="707"/>
      <c r="P6600" s="707"/>
      <c r="Q6600" s="1076"/>
      <c r="R6600" s="1076"/>
    </row>
    <row r="6601" spans="1:18" ht="18">
      <c r="A6601" s="707"/>
      <c r="B6601" s="707"/>
      <c r="C6601" s="707"/>
      <c r="D6601" s="707"/>
      <c r="E6601" s="707"/>
      <c r="F6601" s="707"/>
      <c r="G6601" s="707" t="s">
        <v>21</v>
      </c>
      <c r="H6601" s="707" t="s">
        <v>366</v>
      </c>
      <c r="I6601" s="1879">
        <v>10.9</v>
      </c>
      <c r="J6601" s="1022">
        <v>10.5</v>
      </c>
      <c r="K6601" s="1023">
        <v>64</v>
      </c>
      <c r="L6601" s="893">
        <f t="shared" si="1416"/>
        <v>7.3247999999999998</v>
      </c>
      <c r="M6601" s="707">
        <v>1</v>
      </c>
      <c r="N6601" s="707">
        <f t="shared" si="1417"/>
        <v>0.11445</v>
      </c>
      <c r="O6601" s="707"/>
      <c r="P6601" s="707"/>
      <c r="Q6601" s="1076"/>
      <c r="R6601" s="1076"/>
    </row>
    <row r="6602" spans="1:18" ht="18">
      <c r="A6602" s="707"/>
      <c r="B6602" s="707"/>
      <c r="C6602" s="707"/>
      <c r="D6602" s="707"/>
      <c r="E6602" s="707"/>
      <c r="F6602" s="707"/>
      <c r="G6602" s="707" t="s">
        <v>21</v>
      </c>
      <c r="H6602" s="707" t="s">
        <v>366</v>
      </c>
      <c r="I6602" s="1879">
        <v>10.9</v>
      </c>
      <c r="J6602" s="1022">
        <v>11</v>
      </c>
      <c r="K6602" s="1023">
        <v>28</v>
      </c>
      <c r="L6602" s="893">
        <f t="shared" si="1416"/>
        <v>3.3572000000000002</v>
      </c>
      <c r="M6602" s="707">
        <f>5+1+3</f>
        <v>9</v>
      </c>
      <c r="N6602" s="707">
        <f>J6602*M6602*I6602/1000</f>
        <v>1.0791000000000002</v>
      </c>
      <c r="O6602" s="707"/>
      <c r="P6602" s="707"/>
      <c r="Q6602" s="1076"/>
      <c r="R6602" s="1076"/>
    </row>
    <row r="6603" spans="1:18" ht="18">
      <c r="A6603" s="707"/>
      <c r="B6603" s="707"/>
      <c r="C6603" s="707"/>
      <c r="D6603" s="707"/>
      <c r="E6603" s="707"/>
      <c r="F6603" s="707"/>
      <c r="G6603" s="707" t="s">
        <v>21</v>
      </c>
      <c r="H6603" s="707" t="s">
        <v>366</v>
      </c>
      <c r="I6603" s="1879">
        <v>10.9</v>
      </c>
      <c r="J6603" s="1022">
        <v>11.4</v>
      </c>
      <c r="K6603" s="1023">
        <v>208</v>
      </c>
      <c r="L6603" s="893">
        <f t="shared" si="1416"/>
        <v>25.846080000000001</v>
      </c>
      <c r="M6603" s="707"/>
      <c r="N6603" s="707"/>
      <c r="O6603" s="707"/>
      <c r="P6603" s="707"/>
      <c r="Q6603" s="1076">
        <v>54586</v>
      </c>
      <c r="R6603" s="1076"/>
    </row>
    <row r="6604" spans="1:18" ht="18">
      <c r="A6604" s="707"/>
      <c r="B6604" s="707"/>
      <c r="C6604" s="707"/>
      <c r="D6604" s="707"/>
      <c r="E6604" s="707"/>
      <c r="F6604" s="707"/>
      <c r="G6604" s="707" t="s">
        <v>21</v>
      </c>
      <c r="H6604" s="707" t="s">
        <v>366</v>
      </c>
      <c r="I6604" s="1879">
        <v>10.9</v>
      </c>
      <c r="J6604" s="1022">
        <v>11.5</v>
      </c>
      <c r="K6604" s="1023">
        <v>18</v>
      </c>
      <c r="L6604" s="893">
        <f t="shared" si="1416"/>
        <v>2.2563</v>
      </c>
      <c r="M6604" s="707"/>
      <c r="N6604" s="707"/>
      <c r="O6604" s="707"/>
      <c r="P6604" s="707"/>
      <c r="Q6604" s="1076"/>
      <c r="R6604" s="1076"/>
    </row>
    <row r="6605" spans="1:18" ht="18">
      <c r="A6605" s="707"/>
      <c r="B6605" s="707"/>
      <c r="C6605" s="707"/>
      <c r="D6605" s="707"/>
      <c r="E6605" s="707"/>
      <c r="F6605" s="707"/>
      <c r="G6605" s="707" t="s">
        <v>21</v>
      </c>
      <c r="H6605" s="707" t="s">
        <v>366</v>
      </c>
      <c r="I6605" s="1879">
        <v>10.9</v>
      </c>
      <c r="J6605" s="1022">
        <v>11.7</v>
      </c>
      <c r="K6605" s="1023">
        <v>40</v>
      </c>
      <c r="L6605" s="893">
        <f t="shared" si="1416"/>
        <v>5.1011999999999995</v>
      </c>
      <c r="M6605" s="707"/>
      <c r="N6605" s="707"/>
      <c r="O6605" s="707"/>
      <c r="P6605" s="707"/>
      <c r="Q6605" s="1076"/>
      <c r="R6605" s="1076"/>
    </row>
    <row r="6606" spans="1:18" ht="18">
      <c r="A6606" s="707"/>
      <c r="B6606" s="707"/>
      <c r="C6606" s="707"/>
      <c r="D6606" s="707"/>
      <c r="E6606" s="707"/>
      <c r="F6606" s="707"/>
      <c r="G6606" s="707" t="s">
        <v>21</v>
      </c>
      <c r="H6606" s="707" t="s">
        <v>366</v>
      </c>
      <c r="I6606" s="1879">
        <v>10.9</v>
      </c>
      <c r="J6606" s="1022">
        <v>12</v>
      </c>
      <c r="K6606" s="1023">
        <v>82</v>
      </c>
      <c r="L6606" s="893">
        <f t="shared" si="1416"/>
        <v>10.7256</v>
      </c>
      <c r="M6606" s="707">
        <v>5</v>
      </c>
      <c r="N6606" s="707">
        <f>J6606*M6606*I6606/1000</f>
        <v>0.65400000000000003</v>
      </c>
      <c r="O6606" s="707"/>
      <c r="P6606" s="707"/>
      <c r="Q6606" s="1076"/>
      <c r="R6606" s="1076"/>
    </row>
    <row r="6607" spans="1:18" ht="18">
      <c r="A6607" s="707"/>
      <c r="B6607" s="707"/>
      <c r="C6607" s="707"/>
      <c r="D6607" s="707"/>
      <c r="E6607" s="707"/>
      <c r="F6607" s="707"/>
      <c r="G6607" s="549"/>
      <c r="H6607" s="549"/>
      <c r="I6607" s="1879"/>
      <c r="J6607" s="567"/>
      <c r="K6607" s="648">
        <f>SUM(K6599:K6606)</f>
        <v>558</v>
      </c>
      <c r="L6607" s="567">
        <f>SUM(L6599:L6606)</f>
        <v>66.548860000000005</v>
      </c>
      <c r="M6607" s="648">
        <f>SUM(M6599:M6606)</f>
        <v>21</v>
      </c>
      <c r="N6607" s="567">
        <f>SUM(N6599:N6606)</f>
        <v>2.4688500000000002</v>
      </c>
      <c r="O6607" s="707"/>
      <c r="P6607" s="707"/>
      <c r="Q6607" s="1076"/>
      <c r="R6607" s="1076"/>
    </row>
    <row r="6608" spans="1:18" s="497" customFormat="1" ht="18">
      <c r="A6608" s="707"/>
      <c r="B6608" s="707"/>
      <c r="C6608" s="707"/>
      <c r="D6608" s="707"/>
      <c r="E6608" s="707"/>
      <c r="F6608" s="707"/>
      <c r="G6608" s="549"/>
      <c r="H6608" s="549"/>
      <c r="I6608" s="1879"/>
      <c r="J6608" s="567"/>
      <c r="K6608" s="648"/>
      <c r="L6608" s="567"/>
      <c r="M6608" s="707"/>
      <c r="N6608" s="707"/>
      <c r="O6608" s="707"/>
      <c r="P6608" s="707"/>
      <c r="Q6608" s="1076"/>
      <c r="R6608" s="1076"/>
    </row>
    <row r="6609" spans="1:18" ht="18">
      <c r="A6609" s="707"/>
      <c r="B6609" s="707"/>
      <c r="C6609" s="707"/>
      <c r="D6609" s="707"/>
      <c r="E6609" s="707"/>
      <c r="F6609" s="707"/>
      <c r="G6609" s="707"/>
      <c r="H6609" s="707"/>
      <c r="I6609" s="1854"/>
      <c r="J6609" s="707"/>
      <c r="K6609" s="1020"/>
      <c r="L6609" s="1016"/>
      <c r="M6609" s="707"/>
      <c r="N6609" s="707"/>
      <c r="O6609" s="707"/>
      <c r="P6609" s="707"/>
      <c r="Q6609" s="1076"/>
      <c r="R6609" s="1076"/>
    </row>
    <row r="6610" spans="1:18" ht="18">
      <c r="A6610" s="547" t="s">
        <v>445</v>
      </c>
      <c r="B6610" s="547" t="s">
        <v>576</v>
      </c>
      <c r="C6610" s="547" t="s">
        <v>19</v>
      </c>
      <c r="D6610" s="547" t="s">
        <v>20</v>
      </c>
      <c r="E6610" s="560" t="s">
        <v>464</v>
      </c>
      <c r="F6610" s="1018">
        <v>11</v>
      </c>
      <c r="G6610" s="707" t="s">
        <v>21</v>
      </c>
      <c r="H6610" s="1120" t="s">
        <v>54</v>
      </c>
      <c r="I6610" s="1879">
        <v>9.61</v>
      </c>
      <c r="J6610" s="1022">
        <v>7.2</v>
      </c>
      <c r="K6610" s="1023">
        <v>10</v>
      </c>
      <c r="L6610" s="893">
        <f t="shared" ref="L6610:L6614" si="1418">(I6610*J6610*K6610/1000)</f>
        <v>0.69191999999999998</v>
      </c>
      <c r="M6610" s="707">
        <f>4+1+3</f>
        <v>8</v>
      </c>
      <c r="N6610" s="707">
        <f t="shared" ref="N6610:N6612" si="1419">J6610*M6610*I6610/1000</f>
        <v>0.55353599999999992</v>
      </c>
      <c r="O6610" s="707"/>
      <c r="P6610" s="707"/>
      <c r="Q6610" s="497" t="s">
        <v>707</v>
      </c>
      <c r="R6610" s="1076"/>
    </row>
    <row r="6611" spans="1:18" ht="18">
      <c r="A6611" s="547"/>
      <c r="B6611" s="549" t="s">
        <v>439</v>
      </c>
      <c r="C6611" s="547"/>
      <c r="D6611" s="547"/>
      <c r="E6611" s="547"/>
      <c r="F6611" s="707"/>
      <c r="G6611" s="707" t="s">
        <v>21</v>
      </c>
      <c r="H6611" s="707" t="s">
        <v>54</v>
      </c>
      <c r="I6611" s="1879">
        <v>9.61</v>
      </c>
      <c r="J6611" s="1022">
        <v>8.75</v>
      </c>
      <c r="K6611" s="1023">
        <v>25</v>
      </c>
      <c r="L6611" s="893">
        <f t="shared" si="1418"/>
        <v>2.1021874999999999</v>
      </c>
      <c r="M6611" s="707">
        <f>1+2</f>
        <v>3</v>
      </c>
      <c r="N6611" s="707">
        <f t="shared" si="1419"/>
        <v>0.2522625</v>
      </c>
      <c r="O6611" s="707"/>
      <c r="P6611" s="707"/>
      <c r="Q6611" s="1076"/>
      <c r="R6611" s="1076"/>
    </row>
    <row r="6612" spans="1:18" ht="18">
      <c r="A6612" s="707"/>
      <c r="B6612" s="707"/>
      <c r="C6612" s="707"/>
      <c r="D6612" s="707"/>
      <c r="E6612" s="707"/>
      <c r="F6612" s="707"/>
      <c r="G6612" s="707" t="s">
        <v>21</v>
      </c>
      <c r="H6612" s="707" t="s">
        <v>54</v>
      </c>
      <c r="I6612" s="1879">
        <v>9.61</v>
      </c>
      <c r="J6612" s="1022">
        <v>10</v>
      </c>
      <c r="K6612" s="1023">
        <v>6</v>
      </c>
      <c r="L6612" s="893">
        <f t="shared" si="1418"/>
        <v>0.57659999999999989</v>
      </c>
      <c r="M6612" s="707">
        <v>6</v>
      </c>
      <c r="N6612" s="707">
        <f t="shared" si="1419"/>
        <v>0.57659999999999989</v>
      </c>
      <c r="O6612" s="707"/>
      <c r="P6612" s="707"/>
      <c r="Q6612" s="1076"/>
      <c r="R6612" s="1076"/>
    </row>
    <row r="6613" spans="1:18" ht="18">
      <c r="A6613" s="707"/>
      <c r="B6613" s="707"/>
      <c r="C6613" s="707"/>
      <c r="D6613" s="707"/>
      <c r="E6613" s="707"/>
      <c r="F6613" s="707"/>
      <c r="G6613" s="707" t="s">
        <v>21</v>
      </c>
      <c r="H6613" s="707" t="s">
        <v>54</v>
      </c>
      <c r="I6613" s="1879">
        <v>9.61</v>
      </c>
      <c r="J6613" s="1022">
        <v>11</v>
      </c>
      <c r="K6613" s="1023">
        <v>12</v>
      </c>
      <c r="L6613" s="893">
        <f t="shared" si="1418"/>
        <v>1.2685200000000001</v>
      </c>
      <c r="M6613" s="707"/>
      <c r="N6613" s="707"/>
      <c r="O6613" s="707"/>
      <c r="P6613" s="707"/>
      <c r="Q6613" s="1076"/>
      <c r="R6613" s="1076"/>
    </row>
    <row r="6614" spans="1:18" ht="18">
      <c r="A6614" s="707"/>
      <c r="B6614" s="707"/>
      <c r="C6614" s="707"/>
      <c r="D6614" s="707"/>
      <c r="E6614" s="707"/>
      <c r="F6614" s="707"/>
      <c r="G6614" s="707" t="s">
        <v>21</v>
      </c>
      <c r="H6614" s="707" t="s">
        <v>54</v>
      </c>
      <c r="I6614" s="1879">
        <v>9.61</v>
      </c>
      <c r="J6614" s="1022">
        <v>11.5</v>
      </c>
      <c r="K6614" s="1023">
        <v>46</v>
      </c>
      <c r="L6614" s="893">
        <f t="shared" si="1418"/>
        <v>5.0836899999999998</v>
      </c>
      <c r="M6614" s="707"/>
      <c r="N6614" s="707"/>
      <c r="O6614" s="707"/>
      <c r="P6614" s="707"/>
      <c r="Q6614" s="1076"/>
      <c r="R6614" s="1076"/>
    </row>
    <row r="6615" spans="1:18" ht="18">
      <c r="A6615" s="707"/>
      <c r="B6615" s="707"/>
      <c r="C6615" s="707"/>
      <c r="D6615" s="707"/>
      <c r="E6615" s="707"/>
      <c r="F6615" s="707"/>
      <c r="G6615" s="549"/>
      <c r="H6615" s="549"/>
      <c r="I6615" s="1879"/>
      <c r="J6615" s="567"/>
      <c r="K6615" s="648">
        <f t="shared" ref="K6615:L6615" si="1420">SUM(K6610:K6614)</f>
        <v>99</v>
      </c>
      <c r="L6615" s="567">
        <f t="shared" si="1420"/>
        <v>9.7229175000000012</v>
      </c>
      <c r="M6615" s="648">
        <f>SUM(M6610:M6614)</f>
        <v>17</v>
      </c>
      <c r="N6615" s="567">
        <f>SUM(N6610:N6614)</f>
        <v>1.3823984999999999</v>
      </c>
      <c r="O6615" s="707"/>
      <c r="P6615" s="707"/>
      <c r="Q6615" s="1076"/>
      <c r="R6615" s="1076"/>
    </row>
    <row r="6616" spans="1:18" ht="18">
      <c r="A6616" s="707"/>
      <c r="B6616" s="707"/>
      <c r="C6616" s="707"/>
      <c r="D6616" s="707"/>
      <c r="E6616" s="707"/>
      <c r="F6616" s="707"/>
      <c r="G6616" s="707"/>
      <c r="H6616" s="707"/>
      <c r="I6616" s="1854"/>
      <c r="J6616" s="707"/>
      <c r="K6616" s="1020"/>
      <c r="L6616" s="1016"/>
      <c r="M6616" s="707"/>
      <c r="N6616" s="707"/>
      <c r="O6616" s="707"/>
      <c r="P6616" s="707"/>
      <c r="Q6616" s="1076"/>
      <c r="R6616" s="1076"/>
    </row>
    <row r="6617" spans="1:18" ht="18">
      <c r="A6617" s="547" t="s">
        <v>445</v>
      </c>
      <c r="B6617" s="547" t="s">
        <v>611</v>
      </c>
      <c r="C6617" s="547" t="s">
        <v>19</v>
      </c>
      <c r="D6617" s="547" t="s">
        <v>20</v>
      </c>
      <c r="E6617" s="560" t="s">
        <v>464</v>
      </c>
      <c r="F6617" s="1018">
        <v>11</v>
      </c>
      <c r="G6617" s="707" t="s">
        <v>21</v>
      </c>
      <c r="H6617" s="1120" t="s">
        <v>54</v>
      </c>
      <c r="I6617" s="1879">
        <v>9.61</v>
      </c>
      <c r="J6617" s="1022">
        <v>11</v>
      </c>
      <c r="K6617" s="1023">
        <v>18</v>
      </c>
      <c r="L6617" s="893">
        <f t="shared" ref="L6617:L6619" si="1421">(I6617*J6617*K6617/1000)</f>
        <v>1.9027799999999999</v>
      </c>
      <c r="M6617" s="707"/>
      <c r="N6617" s="707"/>
      <c r="O6617" s="707"/>
      <c r="P6617" s="707"/>
      <c r="Q6617" s="497" t="s">
        <v>707</v>
      </c>
      <c r="R6617" s="1076"/>
    </row>
    <row r="6618" spans="1:18" ht="18">
      <c r="A6618" s="547"/>
      <c r="B6618" s="869" t="s">
        <v>585</v>
      </c>
      <c r="C6618" s="547"/>
      <c r="D6618" s="547"/>
      <c r="E6618" s="547"/>
      <c r="F6618" s="1018"/>
      <c r="G6618" s="707" t="s">
        <v>21</v>
      </c>
      <c r="H6618" s="707" t="s">
        <v>54</v>
      </c>
      <c r="I6618" s="1879">
        <v>9.61</v>
      </c>
      <c r="J6618" s="1022">
        <v>11.5</v>
      </c>
      <c r="K6618" s="1023">
        <v>26</v>
      </c>
      <c r="L6618" s="893">
        <f t="shared" si="1421"/>
        <v>2.8733899999999992</v>
      </c>
      <c r="M6618" s="707"/>
      <c r="N6618" s="707"/>
      <c r="O6618" s="707"/>
      <c r="P6618" s="707"/>
      <c r="Q6618" s="1076"/>
      <c r="R6618" s="1076"/>
    </row>
    <row r="6619" spans="1:18" ht="18">
      <c r="A6619" s="707"/>
      <c r="B6619" s="707"/>
      <c r="C6619" s="707"/>
      <c r="D6619" s="707"/>
      <c r="E6619" s="707"/>
      <c r="F6619" s="707"/>
      <c r="G6619" s="707" t="s">
        <v>21</v>
      </c>
      <c r="H6619" s="707" t="s">
        <v>54</v>
      </c>
      <c r="I6619" s="1879">
        <v>9.61</v>
      </c>
      <c r="J6619" s="1022">
        <v>12</v>
      </c>
      <c r="K6619" s="1023">
        <v>19</v>
      </c>
      <c r="L6619" s="893">
        <f t="shared" si="1421"/>
        <v>2.1910799999999999</v>
      </c>
      <c r="M6619" s="707"/>
      <c r="N6619" s="707"/>
      <c r="O6619" s="707"/>
      <c r="P6619" s="707"/>
      <c r="Q6619" s="1076"/>
      <c r="R6619" s="1076"/>
    </row>
    <row r="6620" spans="1:18" ht="18">
      <c r="A6620" s="707"/>
      <c r="B6620" s="707"/>
      <c r="C6620" s="707"/>
      <c r="D6620" s="707"/>
      <c r="E6620" s="707"/>
      <c r="F6620" s="707"/>
      <c r="G6620" s="549"/>
      <c r="H6620" s="549"/>
      <c r="I6620" s="1879"/>
      <c r="J6620" s="567"/>
      <c r="K6620" s="648">
        <f t="shared" ref="K6620:L6620" si="1422">SUM(K6617:K6619)</f>
        <v>63</v>
      </c>
      <c r="L6620" s="567">
        <f t="shared" si="1422"/>
        <v>6.9672499999999982</v>
      </c>
      <c r="M6620" s="707"/>
      <c r="N6620" s="707"/>
      <c r="O6620" s="707"/>
      <c r="P6620" s="707"/>
      <c r="Q6620" s="1076"/>
      <c r="R6620" s="1076"/>
    </row>
    <row r="6621" spans="1:18" ht="18">
      <c r="A6621" s="707"/>
      <c r="B6621" s="707"/>
      <c r="C6621" s="707"/>
      <c r="D6621" s="707"/>
      <c r="E6621" s="707"/>
      <c r="F6621" s="707"/>
      <c r="G6621" s="707"/>
      <c r="H6621" s="707"/>
      <c r="I6621" s="1854"/>
      <c r="J6621" s="707"/>
      <c r="K6621" s="1020"/>
      <c r="L6621" s="1016"/>
      <c r="M6621" s="707"/>
      <c r="N6621" s="707"/>
      <c r="O6621" s="707"/>
      <c r="P6621" s="707"/>
      <c r="Q6621" s="1076"/>
      <c r="R6621" s="1076"/>
    </row>
    <row r="6622" spans="1:18" ht="18">
      <c r="A6622" s="547" t="s">
        <v>523</v>
      </c>
      <c r="B6622" s="852" t="s">
        <v>674</v>
      </c>
      <c r="C6622" s="547" t="s">
        <v>19</v>
      </c>
      <c r="D6622" s="547" t="s">
        <v>20</v>
      </c>
      <c r="E6622" s="560" t="s">
        <v>464</v>
      </c>
      <c r="F6622" s="1018">
        <v>11</v>
      </c>
      <c r="G6622" s="707" t="s">
        <v>21</v>
      </c>
      <c r="H6622" s="1120" t="s">
        <v>54</v>
      </c>
      <c r="I6622" s="1879">
        <v>9.61</v>
      </c>
      <c r="J6622" s="1022">
        <v>12</v>
      </c>
      <c r="K6622" s="1023">
        <v>9</v>
      </c>
      <c r="L6622" s="893">
        <f>(I6622*J6622*K6622/1000)</f>
        <v>1.0378799999999999</v>
      </c>
      <c r="M6622" s="1023">
        <v>9</v>
      </c>
      <c r="N6622" s="707">
        <f>J6622*M6622*I6622/1000</f>
        <v>1.0378799999999999</v>
      </c>
      <c r="O6622" s="707"/>
      <c r="P6622" s="707"/>
      <c r="Q6622" s="497" t="s">
        <v>704</v>
      </c>
      <c r="R6622" s="1076"/>
    </row>
    <row r="6623" spans="1:18" ht="18">
      <c r="A6623" s="707"/>
      <c r="B6623" s="707" t="s">
        <v>675</v>
      </c>
      <c r="C6623" s="707"/>
      <c r="D6623" s="707"/>
      <c r="E6623" s="707"/>
      <c r="F6623" s="707"/>
      <c r="G6623" s="549"/>
      <c r="H6623" s="549"/>
      <c r="I6623" s="558"/>
      <c r="J6623" s="567"/>
      <c r="K6623" s="648">
        <f>SUM(K6622:K6622)</f>
        <v>9</v>
      </c>
      <c r="L6623" s="567">
        <f>SUM(L6622:L6622)</f>
        <v>1.0378799999999999</v>
      </c>
      <c r="M6623" s="648">
        <f>SUM(M6622:M6622)</f>
        <v>9</v>
      </c>
      <c r="N6623" s="567">
        <f>SUM(N6622:N6622)</f>
        <v>1.0378799999999999</v>
      </c>
      <c r="O6623" s="707"/>
      <c r="P6623" s="707"/>
      <c r="Q6623" s="1076"/>
      <c r="R6623" s="1076"/>
    </row>
    <row r="6624" spans="1:18" ht="18">
      <c r="A6624" s="707"/>
      <c r="B6624" s="707"/>
      <c r="C6624" s="707"/>
      <c r="D6624" s="707"/>
      <c r="E6624" s="707"/>
      <c r="F6624" s="707"/>
      <c r="G6624" s="707"/>
      <c r="H6624" s="707"/>
      <c r="I6624" s="1854"/>
      <c r="J6624" s="707"/>
      <c r="K6624" s="1020"/>
      <c r="L6624" s="1016"/>
      <c r="M6624" s="707"/>
      <c r="N6624" s="707"/>
      <c r="O6624" s="707"/>
      <c r="P6624" s="707"/>
      <c r="Q6624" s="1076"/>
      <c r="R6624" s="1076"/>
    </row>
    <row r="6625" spans="1:21" ht="18">
      <c r="A6625" s="547" t="s">
        <v>445</v>
      </c>
      <c r="B6625" s="547" t="s">
        <v>479</v>
      </c>
      <c r="C6625" s="547" t="s">
        <v>19</v>
      </c>
      <c r="D6625" s="547" t="s">
        <v>20</v>
      </c>
      <c r="E6625" s="560" t="s">
        <v>57</v>
      </c>
      <c r="F6625" s="1018">
        <v>11</v>
      </c>
      <c r="G6625" s="707" t="s">
        <v>21</v>
      </c>
      <c r="H6625" s="1120" t="s">
        <v>54</v>
      </c>
      <c r="I6625" s="1879">
        <v>9.61</v>
      </c>
      <c r="J6625" s="1022">
        <v>7</v>
      </c>
      <c r="K6625" s="1023">
        <v>520</v>
      </c>
      <c r="L6625" s="893">
        <f t="shared" ref="L6625:L6631" si="1423">(I6625*J6625*K6625/1000)</f>
        <v>34.980400000000003</v>
      </c>
      <c r="M6625" s="707"/>
      <c r="N6625" s="707"/>
      <c r="O6625" s="707"/>
      <c r="P6625" s="707"/>
      <c r="Q6625" s="497" t="s">
        <v>704</v>
      </c>
      <c r="R6625" s="1076"/>
    </row>
    <row r="6626" spans="1:21" ht="18">
      <c r="A6626" s="547"/>
      <c r="B6626" s="1016" t="s">
        <v>423</v>
      </c>
      <c r="C6626" s="547"/>
      <c r="D6626" s="547"/>
      <c r="E6626" s="547"/>
      <c r="F6626" s="1018"/>
      <c r="G6626" s="707" t="s">
        <v>21</v>
      </c>
      <c r="H6626" s="707" t="s">
        <v>54</v>
      </c>
      <c r="I6626" s="1879">
        <v>9.61</v>
      </c>
      <c r="J6626" s="1022">
        <v>10</v>
      </c>
      <c r="K6626" s="1023">
        <v>19</v>
      </c>
      <c r="L6626" s="893">
        <f t="shared" si="1423"/>
        <v>1.8258999999999999</v>
      </c>
      <c r="M6626" s="707">
        <v>5</v>
      </c>
      <c r="N6626" s="707">
        <f t="shared" ref="N6626:N6627" si="1424">J6626*M6626*I6626/1000</f>
        <v>0.48049999999999998</v>
      </c>
      <c r="O6626" s="707"/>
      <c r="P6626" s="707"/>
      <c r="Q6626" s="1076"/>
      <c r="R6626" s="1076"/>
    </row>
    <row r="6627" spans="1:21" ht="18">
      <c r="A6627" s="707"/>
      <c r="B6627" s="707"/>
      <c r="C6627" s="707"/>
      <c r="D6627" s="707"/>
      <c r="E6627" s="707"/>
      <c r="F6627" s="707"/>
      <c r="G6627" s="707" t="s">
        <v>21</v>
      </c>
      <c r="H6627" s="707" t="s">
        <v>54</v>
      </c>
      <c r="I6627" s="1879">
        <v>9.61</v>
      </c>
      <c r="J6627" s="1022">
        <v>10.050000000000001</v>
      </c>
      <c r="K6627" s="1023">
        <v>176</v>
      </c>
      <c r="L6627" s="893">
        <f t="shared" si="1423"/>
        <v>16.998168</v>
      </c>
      <c r="M6627" s="707">
        <v>4</v>
      </c>
      <c r="N6627" s="707">
        <f t="shared" si="1424"/>
        <v>0.386322</v>
      </c>
      <c r="O6627" s="707"/>
      <c r="P6627" s="707"/>
      <c r="Q6627" s="1076"/>
      <c r="R6627" s="1076"/>
    </row>
    <row r="6628" spans="1:21" ht="18">
      <c r="A6628" s="707"/>
      <c r="B6628" s="707"/>
      <c r="C6628" s="707"/>
      <c r="D6628" s="707"/>
      <c r="E6628" s="707"/>
      <c r="F6628" s="707"/>
      <c r="G6628" s="707" t="s">
        <v>21</v>
      </c>
      <c r="H6628" s="707" t="s">
        <v>54</v>
      </c>
      <c r="I6628" s="1879">
        <v>9.61</v>
      </c>
      <c r="J6628" s="1022">
        <v>10.7</v>
      </c>
      <c r="K6628" s="1023">
        <v>108</v>
      </c>
      <c r="L6628" s="893">
        <f t="shared" si="1423"/>
        <v>11.105315999999998</v>
      </c>
      <c r="M6628" s="707"/>
      <c r="N6628" s="707"/>
      <c r="O6628" s="707"/>
      <c r="P6628" s="707"/>
      <c r="Q6628" s="1076"/>
      <c r="R6628" s="1076"/>
      <c r="T6628" s="432">
        <v>12</v>
      </c>
      <c r="U6628">
        <v>3</v>
      </c>
    </row>
    <row r="6629" spans="1:21" ht="18">
      <c r="A6629" s="707"/>
      <c r="B6629" s="707"/>
      <c r="C6629" s="707"/>
      <c r="D6629" s="707"/>
      <c r="E6629" s="707"/>
      <c r="F6629" s="707"/>
      <c r="G6629" s="707" t="s">
        <v>21</v>
      </c>
      <c r="H6629" s="707" t="s">
        <v>54</v>
      </c>
      <c r="I6629" s="1879">
        <v>9.61</v>
      </c>
      <c r="J6629" s="1022">
        <v>11</v>
      </c>
      <c r="K6629" s="1023">
        <v>170</v>
      </c>
      <c r="L6629" s="893">
        <f t="shared" si="1423"/>
        <v>17.970700000000001</v>
      </c>
      <c r="M6629" s="707"/>
      <c r="N6629" s="707"/>
      <c r="O6629" s="707"/>
      <c r="P6629" s="707"/>
      <c r="Q6629" s="1076"/>
      <c r="R6629" s="1076"/>
      <c r="T6629" s="432">
        <v>10.5</v>
      </c>
      <c r="U6629">
        <v>7</v>
      </c>
    </row>
    <row r="6630" spans="1:21" ht="18">
      <c r="A6630" s="707"/>
      <c r="B6630" s="707"/>
      <c r="C6630" s="707"/>
      <c r="D6630" s="707"/>
      <c r="E6630" s="707"/>
      <c r="F6630" s="707"/>
      <c r="G6630" s="707" t="s">
        <v>21</v>
      </c>
      <c r="H6630" s="707" t="s">
        <v>54</v>
      </c>
      <c r="I6630" s="1879">
        <v>9.61</v>
      </c>
      <c r="J6630" s="1022">
        <v>11.5</v>
      </c>
      <c r="K6630" s="1023">
        <v>108</v>
      </c>
      <c r="L6630" s="893">
        <f t="shared" si="1423"/>
        <v>11.935619999999998</v>
      </c>
      <c r="M6630" s="707"/>
      <c r="N6630" s="707"/>
      <c r="O6630" s="707"/>
      <c r="P6630" s="707"/>
      <c r="Q6630" s="1076"/>
      <c r="R6630" s="1076"/>
    </row>
    <row r="6631" spans="1:21" ht="18">
      <c r="A6631" s="707"/>
      <c r="B6631" s="707"/>
      <c r="C6631" s="707"/>
      <c r="D6631" s="707"/>
      <c r="E6631" s="707"/>
      <c r="F6631" s="707"/>
      <c r="G6631" s="707" t="s">
        <v>21</v>
      </c>
      <c r="H6631" s="707" t="s">
        <v>54</v>
      </c>
      <c r="I6631" s="1879">
        <v>9.61</v>
      </c>
      <c r="J6631" s="1022">
        <v>12</v>
      </c>
      <c r="K6631" s="1023">
        <v>124</v>
      </c>
      <c r="L6631" s="893">
        <f t="shared" si="1423"/>
        <v>14.299679999999999</v>
      </c>
      <c r="M6631" s="707">
        <v>2</v>
      </c>
      <c r="N6631" s="707">
        <f t="shared" ref="N6631" si="1425">J6631*M6631*I6631/1000</f>
        <v>0.23063999999999998</v>
      </c>
      <c r="O6631" s="707"/>
      <c r="P6631" s="707"/>
      <c r="Q6631" s="1076"/>
      <c r="R6631" s="1076"/>
    </row>
    <row r="6632" spans="1:21" ht="18">
      <c r="A6632" s="707"/>
      <c r="B6632" s="707"/>
      <c r="C6632" s="707"/>
      <c r="D6632" s="707"/>
      <c r="E6632" s="707"/>
      <c r="F6632" s="707"/>
      <c r="G6632" s="549"/>
      <c r="H6632" s="549"/>
      <c r="I6632" s="558"/>
      <c r="J6632" s="567"/>
      <c r="K6632" s="648">
        <f t="shared" ref="K6632:L6632" si="1426">SUM(K6625:K6631)</f>
        <v>1225</v>
      </c>
      <c r="L6632" s="567">
        <f t="shared" si="1426"/>
        <v>109.11578399999999</v>
      </c>
      <c r="M6632" s="648">
        <f>SUM(M6625:M6631)</f>
        <v>11</v>
      </c>
      <c r="N6632" s="567">
        <f>SUM(N6625:N6631)</f>
        <v>1.0974619999999999</v>
      </c>
      <c r="O6632" s="707"/>
      <c r="P6632" s="707"/>
      <c r="Q6632" s="1076"/>
      <c r="R6632" s="1076"/>
    </row>
    <row r="6633" spans="1:21" ht="18">
      <c r="A6633" s="707"/>
      <c r="B6633" s="707"/>
      <c r="C6633" s="707"/>
      <c r="D6633" s="707"/>
      <c r="E6633" s="707"/>
      <c r="F6633" s="707"/>
      <c r="G6633" s="707"/>
      <c r="H6633" s="707"/>
      <c r="I6633" s="1854"/>
      <c r="J6633" s="707"/>
      <c r="K6633" s="1020"/>
      <c r="L6633" s="1016"/>
      <c r="M6633" s="707"/>
      <c r="N6633" s="707"/>
      <c r="O6633" s="707"/>
      <c r="P6633" s="707"/>
      <c r="Q6633" s="1076"/>
      <c r="R6633" s="1076"/>
    </row>
    <row r="6634" spans="1:21" ht="18">
      <c r="A6634" s="547" t="s">
        <v>445</v>
      </c>
      <c r="B6634" s="547" t="s">
        <v>485</v>
      </c>
      <c r="C6634" s="547" t="s">
        <v>19</v>
      </c>
      <c r="D6634" s="547" t="s">
        <v>20</v>
      </c>
      <c r="E6634" s="560" t="s">
        <v>57</v>
      </c>
      <c r="F6634" s="1018">
        <v>11</v>
      </c>
      <c r="G6634" s="707" t="s">
        <v>21</v>
      </c>
      <c r="H6634" s="1120" t="s">
        <v>54</v>
      </c>
      <c r="I6634" s="1879">
        <v>9.61</v>
      </c>
      <c r="J6634" s="1022">
        <v>10</v>
      </c>
      <c r="K6634" s="1023">
        <v>3</v>
      </c>
      <c r="L6634" s="893">
        <f t="shared" ref="L6634:L6637" si="1427">(I6634*J6634*K6634/1000)</f>
        <v>0.28829999999999995</v>
      </c>
      <c r="M6634" s="707"/>
      <c r="N6634" s="707"/>
      <c r="O6634" s="707"/>
      <c r="P6634" s="707"/>
      <c r="Q6634" s="497" t="s">
        <v>704</v>
      </c>
      <c r="R6634" s="1076"/>
    </row>
    <row r="6635" spans="1:21" ht="18">
      <c r="A6635" s="547"/>
      <c r="B6635" s="1016" t="s">
        <v>423</v>
      </c>
      <c r="C6635" s="547"/>
      <c r="D6635" s="547"/>
      <c r="E6635" s="547"/>
      <c r="F6635" s="1018"/>
      <c r="G6635" s="707" t="s">
        <v>21</v>
      </c>
      <c r="H6635" s="707" t="s">
        <v>54</v>
      </c>
      <c r="I6635" s="1879">
        <v>9.61</v>
      </c>
      <c r="J6635" s="1022">
        <v>10.7</v>
      </c>
      <c r="K6635" s="1023">
        <v>12</v>
      </c>
      <c r="L6635" s="893">
        <f t="shared" si="1427"/>
        <v>1.2339239999999998</v>
      </c>
      <c r="M6635" s="707"/>
      <c r="N6635" s="707"/>
      <c r="O6635" s="707"/>
      <c r="P6635" s="707"/>
      <c r="Q6635" s="1076"/>
      <c r="R6635" s="1076"/>
    </row>
    <row r="6636" spans="1:21" ht="18">
      <c r="A6636" s="707"/>
      <c r="B6636" s="707"/>
      <c r="C6636" s="707"/>
      <c r="D6636" s="707"/>
      <c r="E6636" s="707"/>
      <c r="F6636" s="707"/>
      <c r="G6636" s="707" t="s">
        <v>21</v>
      </c>
      <c r="H6636" s="707" t="s">
        <v>54</v>
      </c>
      <c r="I6636" s="1879">
        <v>9.61</v>
      </c>
      <c r="J6636" s="1022">
        <v>11.5</v>
      </c>
      <c r="K6636" s="1023">
        <v>73</v>
      </c>
      <c r="L6636" s="893">
        <f t="shared" si="1427"/>
        <v>8.067594999999999</v>
      </c>
      <c r="M6636" s="707"/>
      <c r="N6636" s="707"/>
      <c r="O6636" s="707"/>
      <c r="P6636" s="707"/>
      <c r="Q6636" s="1076"/>
      <c r="R6636" s="1076"/>
    </row>
    <row r="6637" spans="1:21" ht="18">
      <c r="A6637" s="707"/>
      <c r="B6637" s="707"/>
      <c r="C6637" s="707"/>
      <c r="D6637" s="707"/>
      <c r="E6637" s="707"/>
      <c r="F6637" s="707"/>
      <c r="G6637" s="707" t="s">
        <v>21</v>
      </c>
      <c r="H6637" s="707" t="s">
        <v>54</v>
      </c>
      <c r="I6637" s="1879">
        <v>9.61</v>
      </c>
      <c r="J6637" s="1022">
        <v>12</v>
      </c>
      <c r="K6637" s="1023">
        <v>13</v>
      </c>
      <c r="L6637" s="893">
        <f t="shared" si="1427"/>
        <v>1.4991599999999998</v>
      </c>
      <c r="M6637" s="707"/>
      <c r="N6637" s="707"/>
      <c r="O6637" s="707"/>
      <c r="P6637" s="707"/>
      <c r="Q6637" s="1076"/>
      <c r="R6637" s="1076"/>
    </row>
    <row r="6638" spans="1:21" ht="18">
      <c r="A6638" s="707"/>
      <c r="B6638" s="707"/>
      <c r="C6638" s="707"/>
      <c r="D6638" s="707"/>
      <c r="E6638" s="707"/>
      <c r="F6638" s="707"/>
      <c r="G6638" s="549"/>
      <c r="H6638" s="549"/>
      <c r="I6638" s="558"/>
      <c r="J6638" s="567"/>
      <c r="K6638" s="648">
        <f t="shared" ref="K6638:L6638" si="1428">SUM(K6634:K6637)</f>
        <v>101</v>
      </c>
      <c r="L6638" s="567">
        <f t="shared" si="1428"/>
        <v>11.088978999999998</v>
      </c>
      <c r="M6638" s="707"/>
      <c r="N6638" s="707"/>
      <c r="O6638" s="707"/>
      <c r="P6638" s="707"/>
      <c r="Q6638" s="1076"/>
      <c r="R6638" s="1076"/>
    </row>
    <row r="6639" spans="1:21" ht="18">
      <c r="A6639" s="707"/>
      <c r="B6639" s="707"/>
      <c r="C6639" s="707"/>
      <c r="D6639" s="707"/>
      <c r="E6639" s="707"/>
      <c r="F6639" s="707"/>
      <c r="G6639" s="707"/>
      <c r="H6639" s="707"/>
      <c r="I6639" s="1854"/>
      <c r="J6639" s="707"/>
      <c r="K6639" s="1020"/>
      <c r="L6639" s="1016"/>
      <c r="M6639" s="707"/>
      <c r="N6639" s="707"/>
      <c r="O6639" s="707"/>
      <c r="P6639" s="707"/>
      <c r="Q6639" s="1076"/>
      <c r="R6639" s="1076"/>
    </row>
    <row r="6640" spans="1:21" ht="18">
      <c r="A6640" s="547" t="s">
        <v>451</v>
      </c>
      <c r="B6640" s="852" t="s">
        <v>581</v>
      </c>
      <c r="C6640" s="547" t="s">
        <v>19</v>
      </c>
      <c r="D6640" s="813" t="s">
        <v>20</v>
      </c>
      <c r="E6640" s="547" t="s">
        <v>359</v>
      </c>
      <c r="F6640" s="1018">
        <v>11</v>
      </c>
      <c r="G6640" s="707" t="s">
        <v>21</v>
      </c>
      <c r="H6640" s="1120" t="s">
        <v>54</v>
      </c>
      <c r="I6640" s="1879">
        <v>9.61</v>
      </c>
      <c r="J6640" s="1022">
        <v>12</v>
      </c>
      <c r="K6640" s="1023">
        <v>16</v>
      </c>
      <c r="L6640" s="893">
        <f>(I6640*J6640*K6640/1000)</f>
        <v>1.8451199999999999</v>
      </c>
      <c r="M6640" s="707"/>
      <c r="N6640" s="707"/>
      <c r="O6640" s="707"/>
      <c r="P6640" s="707"/>
      <c r="Q6640" s="497" t="s">
        <v>704</v>
      </c>
      <c r="R6640" s="1076"/>
    </row>
    <row r="6641" spans="1:18" ht="18">
      <c r="A6641" s="549"/>
      <c r="B6641" s="549" t="s">
        <v>277</v>
      </c>
      <c r="C6641" s="549"/>
      <c r="D6641" s="549"/>
      <c r="E6641" s="549"/>
      <c r="F6641" s="707"/>
      <c r="G6641" s="549"/>
      <c r="H6641" s="549"/>
      <c r="I6641" s="558"/>
      <c r="J6641" s="567"/>
      <c r="K6641" s="648">
        <f t="shared" ref="K6641:L6641" si="1429">SUM(K6640)</f>
        <v>16</v>
      </c>
      <c r="L6641" s="567">
        <f t="shared" si="1429"/>
        <v>1.8451199999999999</v>
      </c>
      <c r="M6641" s="707"/>
      <c r="N6641" s="707"/>
      <c r="O6641" s="707"/>
      <c r="P6641" s="707"/>
      <c r="Q6641" s="1076"/>
      <c r="R6641" s="1076"/>
    </row>
    <row r="6642" spans="1:18" s="497" customFormat="1" ht="18">
      <c r="A6642" s="549"/>
      <c r="B6642" s="549"/>
      <c r="C6642" s="549"/>
      <c r="D6642" s="549"/>
      <c r="E6642" s="549"/>
      <c r="F6642" s="707"/>
      <c r="G6642" s="549"/>
      <c r="H6642" s="549"/>
      <c r="I6642" s="558"/>
      <c r="J6642" s="567"/>
      <c r="K6642" s="648">
        <f>SUM(K6610:K6641)/2</f>
        <v>1513</v>
      </c>
      <c r="L6642" s="567">
        <f>SUM(L6610:L6641)/2</f>
        <v>139.77793050000002</v>
      </c>
      <c r="M6642" s="648">
        <f>SUM(M6610:M6641)/2</f>
        <v>37</v>
      </c>
      <c r="N6642" s="567">
        <f>SUM(N6610:N6641)/2</f>
        <v>3.5177404999999999</v>
      </c>
      <c r="O6642" s="707"/>
      <c r="P6642" s="707"/>
      <c r="Q6642" s="1076"/>
      <c r="R6642" s="1076"/>
    </row>
    <row r="6643" spans="1:18" s="497" customFormat="1" ht="18">
      <c r="A6643" s="549"/>
      <c r="B6643" s="549"/>
      <c r="C6643" s="549"/>
      <c r="D6643" s="549"/>
      <c r="E6643" s="549"/>
      <c r="F6643" s="707"/>
      <c r="G6643" s="549"/>
      <c r="H6643" s="549"/>
      <c r="I6643" s="558"/>
      <c r="J6643" s="567"/>
      <c r="K6643" s="648"/>
      <c r="L6643" s="567"/>
      <c r="M6643" s="648"/>
      <c r="N6643" s="567"/>
      <c r="O6643" s="707"/>
      <c r="P6643" s="707"/>
      <c r="Q6643" s="1076"/>
      <c r="R6643" s="1076"/>
    </row>
    <row r="6644" spans="1:18" s="497" customFormat="1" ht="18">
      <c r="A6644" s="549"/>
      <c r="B6644" s="549"/>
      <c r="C6644" s="549"/>
      <c r="D6644" s="549"/>
      <c r="E6644" s="549"/>
      <c r="F6644" s="707"/>
      <c r="G6644" s="549"/>
      <c r="H6644" s="549"/>
      <c r="I6644" s="558"/>
      <c r="J6644" s="567"/>
      <c r="K6644" s="648"/>
      <c r="L6644" s="567"/>
      <c r="M6644" s="648"/>
      <c r="N6644" s="567"/>
      <c r="O6644" s="707"/>
      <c r="P6644" s="707"/>
      <c r="Q6644" s="1076"/>
      <c r="R6644" s="1076"/>
    </row>
    <row r="6645" spans="1:18" ht="18">
      <c r="A6645" s="707"/>
      <c r="B6645" s="707"/>
      <c r="C6645" s="707"/>
      <c r="D6645" s="707"/>
      <c r="E6645" s="707"/>
      <c r="F6645" s="707"/>
      <c r="G6645" s="707"/>
      <c r="H6645" s="707"/>
      <c r="I6645" s="1854"/>
      <c r="J6645" s="707"/>
      <c r="K6645" s="1020"/>
      <c r="L6645" s="1016"/>
      <c r="M6645" s="707"/>
      <c r="N6645" s="707"/>
      <c r="O6645" s="707"/>
      <c r="P6645" s="707"/>
      <c r="Q6645" s="1076"/>
      <c r="R6645" s="1076"/>
    </row>
    <row r="6646" spans="1:18" ht="18">
      <c r="A6646" s="547" t="s">
        <v>445</v>
      </c>
      <c r="B6646" s="547" t="s">
        <v>479</v>
      </c>
      <c r="C6646" s="547" t="s">
        <v>19</v>
      </c>
      <c r="D6646" s="547" t="s">
        <v>20</v>
      </c>
      <c r="E6646" s="560" t="s">
        <v>57</v>
      </c>
      <c r="F6646" s="1018">
        <v>11</v>
      </c>
      <c r="G6646" s="707" t="s">
        <v>21</v>
      </c>
      <c r="H6646" s="1120" t="s">
        <v>53</v>
      </c>
      <c r="I6646" s="1879">
        <v>8.3000000000000007</v>
      </c>
      <c r="J6646" s="1022">
        <v>10.5</v>
      </c>
      <c r="K6646" s="1023">
        <v>37</v>
      </c>
      <c r="L6646" s="893">
        <f t="shared" ref="L6646:L6648" si="1430">(I6646*J6646*K6646/1000)</f>
        <v>3.2245500000000002</v>
      </c>
      <c r="M6646" s="707"/>
      <c r="N6646" s="707"/>
      <c r="O6646" s="707"/>
      <c r="P6646" s="707"/>
      <c r="Q6646" s="497" t="s">
        <v>707</v>
      </c>
      <c r="R6646" s="1076"/>
    </row>
    <row r="6647" spans="1:18" ht="18">
      <c r="A6647" s="547"/>
      <c r="B6647" s="1016" t="s">
        <v>423</v>
      </c>
      <c r="C6647" s="547"/>
      <c r="D6647" s="547"/>
      <c r="E6647" s="547"/>
      <c r="F6647" s="1018"/>
      <c r="G6647" s="707" t="s">
        <v>21</v>
      </c>
      <c r="H6647" s="707" t="s">
        <v>53</v>
      </c>
      <c r="I6647" s="1879">
        <v>8.3000000000000007</v>
      </c>
      <c r="J6647" s="1022">
        <v>11.5</v>
      </c>
      <c r="K6647" s="1023">
        <v>371</v>
      </c>
      <c r="L6647" s="893">
        <f t="shared" si="1430"/>
        <v>35.411950000000004</v>
      </c>
      <c r="M6647" s="707"/>
      <c r="N6647" s="707"/>
      <c r="O6647" s="707"/>
      <c r="P6647" s="707"/>
      <c r="Q6647" s="1076"/>
      <c r="R6647" s="1076"/>
    </row>
    <row r="6648" spans="1:18" ht="18">
      <c r="A6648" s="707"/>
      <c r="B6648" s="707"/>
      <c r="C6648" s="707"/>
      <c r="D6648" s="707"/>
      <c r="E6648" s="707"/>
      <c r="F6648" s="707"/>
      <c r="G6648" s="707" t="s">
        <v>21</v>
      </c>
      <c r="H6648" s="707" t="s">
        <v>53</v>
      </c>
      <c r="I6648" s="1879">
        <v>8.3000000000000007</v>
      </c>
      <c r="J6648" s="1022">
        <v>12</v>
      </c>
      <c r="K6648" s="1023">
        <v>29</v>
      </c>
      <c r="L6648" s="893">
        <f t="shared" si="1430"/>
        <v>2.8884000000000003</v>
      </c>
      <c r="M6648" s="707"/>
      <c r="N6648" s="707"/>
      <c r="O6648" s="707"/>
      <c r="P6648" s="707"/>
      <c r="Q6648" s="1076"/>
      <c r="R6648" s="1076"/>
    </row>
    <row r="6649" spans="1:18" ht="18">
      <c r="A6649" s="707"/>
      <c r="B6649" s="707"/>
      <c r="C6649" s="707"/>
      <c r="D6649" s="707"/>
      <c r="E6649" s="707"/>
      <c r="F6649" s="707"/>
      <c r="G6649" s="549"/>
      <c r="H6649" s="549"/>
      <c r="I6649" s="558"/>
      <c r="J6649" s="567"/>
      <c r="K6649" s="648">
        <f t="shared" ref="K6649:L6649" si="1431">SUM(K6646:K6648)</f>
        <v>437</v>
      </c>
      <c r="L6649" s="567">
        <f t="shared" si="1431"/>
        <v>41.524900000000002</v>
      </c>
      <c r="M6649" s="707"/>
      <c r="N6649" s="707"/>
      <c r="O6649" s="707"/>
      <c r="P6649" s="707"/>
      <c r="Q6649" s="1076"/>
      <c r="R6649" s="1076"/>
    </row>
    <row r="6650" spans="1:18" s="497" customFormat="1" ht="18">
      <c r="A6650" s="707"/>
      <c r="B6650" s="707"/>
      <c r="C6650" s="707"/>
      <c r="D6650" s="707"/>
      <c r="E6650" s="707"/>
      <c r="F6650" s="707"/>
      <c r="G6650" s="549"/>
      <c r="H6650" s="549"/>
      <c r="I6650" s="558"/>
      <c r="J6650" s="567"/>
      <c r="K6650" s="648"/>
      <c r="L6650" s="567"/>
      <c r="M6650" s="707"/>
      <c r="N6650" s="707"/>
      <c r="O6650" s="707"/>
      <c r="P6650" s="707"/>
      <c r="Q6650" s="1076"/>
      <c r="R6650" s="1076"/>
    </row>
    <row r="6651" spans="1:18" ht="18">
      <c r="A6651" s="547" t="s">
        <v>445</v>
      </c>
      <c r="B6651" s="547" t="s">
        <v>485</v>
      </c>
      <c r="C6651" s="547" t="s">
        <v>19</v>
      </c>
      <c r="D6651" s="547" t="s">
        <v>20</v>
      </c>
      <c r="E6651" s="560" t="s">
        <v>57</v>
      </c>
      <c r="F6651" s="1018">
        <v>11</v>
      </c>
      <c r="G6651" s="707" t="s">
        <v>21</v>
      </c>
      <c r="H6651" s="1120" t="s">
        <v>53</v>
      </c>
      <c r="I6651" s="1879">
        <v>8.3000000000000007</v>
      </c>
      <c r="J6651" s="1022">
        <v>10.3</v>
      </c>
      <c r="K6651" s="1023">
        <v>31</v>
      </c>
      <c r="L6651" s="893">
        <f t="shared" ref="L6651:L6655" si="1432">(I6651*J6651*K6651/1000)</f>
        <v>2.6501900000000007</v>
      </c>
      <c r="M6651" s="707"/>
      <c r="N6651" s="707"/>
      <c r="O6651" s="707"/>
      <c r="P6651" s="707"/>
      <c r="Q6651" s="497" t="s">
        <v>707</v>
      </c>
      <c r="R6651" s="1076"/>
    </row>
    <row r="6652" spans="1:18" ht="18">
      <c r="A6652" s="547"/>
      <c r="B6652" s="1016" t="s">
        <v>423</v>
      </c>
      <c r="C6652" s="547"/>
      <c r="D6652" s="547"/>
      <c r="E6652" s="547"/>
      <c r="F6652" s="1018"/>
      <c r="G6652" s="707" t="s">
        <v>21</v>
      </c>
      <c r="H6652" s="707" t="s">
        <v>53</v>
      </c>
      <c r="I6652" s="1879">
        <v>8.3000000000000007</v>
      </c>
      <c r="J6652" s="1022">
        <v>10.5</v>
      </c>
      <c r="K6652" s="1023">
        <v>14</v>
      </c>
      <c r="L6652" s="893">
        <f t="shared" si="1432"/>
        <v>1.2201000000000002</v>
      </c>
      <c r="M6652" s="707"/>
      <c r="N6652" s="707"/>
      <c r="O6652" s="707"/>
      <c r="P6652" s="707"/>
      <c r="Q6652" s="1076"/>
      <c r="R6652" s="1076"/>
    </row>
    <row r="6653" spans="1:18" ht="18">
      <c r="A6653" s="707"/>
      <c r="B6653" s="707"/>
      <c r="C6653" s="707"/>
      <c r="D6653" s="707"/>
      <c r="E6653" s="707"/>
      <c r="F6653" s="707"/>
      <c r="G6653" s="707" t="s">
        <v>21</v>
      </c>
      <c r="H6653" s="707" t="s">
        <v>53</v>
      </c>
      <c r="I6653" s="1879">
        <v>8.3000000000000007</v>
      </c>
      <c r="J6653" s="1022">
        <v>11</v>
      </c>
      <c r="K6653" s="1023">
        <v>50</v>
      </c>
      <c r="L6653" s="893">
        <f t="shared" si="1432"/>
        <v>4.5650000000000013</v>
      </c>
      <c r="M6653" s="707"/>
      <c r="N6653" s="707"/>
      <c r="O6653" s="707"/>
      <c r="P6653" s="707"/>
      <c r="Q6653" s="1076"/>
      <c r="R6653" s="1076"/>
    </row>
    <row r="6654" spans="1:18" ht="18">
      <c r="A6654" s="707"/>
      <c r="B6654" s="707"/>
      <c r="C6654" s="707"/>
      <c r="D6654" s="707"/>
      <c r="E6654" s="707"/>
      <c r="F6654" s="707"/>
      <c r="G6654" s="707" t="s">
        <v>21</v>
      </c>
      <c r="H6654" s="707" t="s">
        <v>53</v>
      </c>
      <c r="I6654" s="1879">
        <v>8.3000000000000007</v>
      </c>
      <c r="J6654" s="1022">
        <v>11.5</v>
      </c>
      <c r="K6654" s="1023">
        <v>13</v>
      </c>
      <c r="L6654" s="893">
        <f t="shared" si="1432"/>
        <v>1.2408500000000002</v>
      </c>
      <c r="M6654" s="707"/>
      <c r="N6654" s="707"/>
      <c r="O6654" s="707"/>
      <c r="P6654" s="707"/>
      <c r="Q6654" s="1076"/>
      <c r="R6654" s="1076"/>
    </row>
    <row r="6655" spans="1:18" ht="18">
      <c r="A6655" s="707"/>
      <c r="B6655" s="707"/>
      <c r="C6655" s="707"/>
      <c r="D6655" s="707"/>
      <c r="E6655" s="707"/>
      <c r="F6655" s="707"/>
      <c r="G6655" s="707" t="s">
        <v>21</v>
      </c>
      <c r="H6655" s="707" t="s">
        <v>53</v>
      </c>
      <c r="I6655" s="1879">
        <v>8.3000000000000007</v>
      </c>
      <c r="J6655" s="1022">
        <v>12</v>
      </c>
      <c r="K6655" s="1023">
        <v>40</v>
      </c>
      <c r="L6655" s="893">
        <f t="shared" si="1432"/>
        <v>3.9840000000000004</v>
      </c>
      <c r="M6655" s="707"/>
      <c r="N6655" s="707"/>
      <c r="O6655" s="707"/>
      <c r="P6655" s="707"/>
      <c r="Q6655" s="1076"/>
      <c r="R6655" s="1076"/>
    </row>
    <row r="6656" spans="1:18" ht="18">
      <c r="A6656" s="707"/>
      <c r="B6656" s="707"/>
      <c r="C6656" s="707"/>
      <c r="D6656" s="707"/>
      <c r="E6656" s="707"/>
      <c r="F6656" s="707"/>
      <c r="G6656" s="549"/>
      <c r="H6656" s="549"/>
      <c r="I6656" s="558"/>
      <c r="J6656" s="567"/>
      <c r="K6656" s="648">
        <f t="shared" ref="K6656:L6656" si="1433">SUM(K6651:K6655)</f>
        <v>148</v>
      </c>
      <c r="L6656" s="567">
        <f t="shared" si="1433"/>
        <v>13.660140000000002</v>
      </c>
      <c r="M6656" s="707"/>
      <c r="N6656" s="707"/>
      <c r="O6656" s="707"/>
      <c r="P6656" s="707"/>
      <c r="Q6656" s="1076"/>
      <c r="R6656" s="1076"/>
    </row>
    <row r="6657" spans="1:18" ht="18">
      <c r="A6657" s="707"/>
      <c r="B6657" s="707"/>
      <c r="C6657" s="707"/>
      <c r="D6657" s="707"/>
      <c r="E6657" s="707"/>
      <c r="F6657" s="707"/>
      <c r="G6657" s="707"/>
      <c r="H6657" s="707"/>
      <c r="I6657" s="1854"/>
      <c r="J6657" s="707"/>
      <c r="K6657" s="1020"/>
      <c r="L6657" s="1016"/>
      <c r="M6657" s="707"/>
      <c r="N6657" s="707"/>
      <c r="O6657" s="707"/>
      <c r="P6657" s="707"/>
      <c r="Q6657" s="1076"/>
      <c r="R6657" s="1076"/>
    </row>
    <row r="6658" spans="1:18" ht="18">
      <c r="A6658" s="547" t="s">
        <v>445</v>
      </c>
      <c r="B6658" s="547" t="s">
        <v>576</v>
      </c>
      <c r="C6658" s="547" t="s">
        <v>19</v>
      </c>
      <c r="D6658" s="547" t="s">
        <v>20</v>
      </c>
      <c r="E6658" s="560" t="s">
        <v>464</v>
      </c>
      <c r="F6658" s="1018">
        <v>11</v>
      </c>
      <c r="G6658" s="707" t="s">
        <v>21</v>
      </c>
      <c r="H6658" s="1120" t="s">
        <v>53</v>
      </c>
      <c r="I6658" s="1879">
        <v>8.3000000000000007</v>
      </c>
      <c r="J6658" s="1022">
        <v>7.6</v>
      </c>
      <c r="K6658" s="1023">
        <v>61</v>
      </c>
      <c r="L6658" s="893">
        <f t="shared" ref="L6658:L6667" si="1434">(I6658*J6658*K6658/1000)</f>
        <v>3.84788</v>
      </c>
      <c r="M6658" s="707"/>
      <c r="N6658" s="707"/>
      <c r="O6658" s="707"/>
      <c r="P6658" s="707"/>
      <c r="Q6658" s="497" t="s">
        <v>707</v>
      </c>
      <c r="R6658" s="1076"/>
    </row>
    <row r="6659" spans="1:18" ht="18">
      <c r="A6659" s="547"/>
      <c r="B6659" s="549" t="s">
        <v>439</v>
      </c>
      <c r="C6659" s="547"/>
      <c r="D6659" s="547"/>
      <c r="E6659" s="547"/>
      <c r="F6659" s="707"/>
      <c r="G6659" s="707" t="s">
        <v>21</v>
      </c>
      <c r="H6659" s="707" t="s">
        <v>53</v>
      </c>
      <c r="I6659" s="1879">
        <v>8.3000000000000007</v>
      </c>
      <c r="J6659" s="1022">
        <v>8.9</v>
      </c>
      <c r="K6659" s="1023">
        <v>132</v>
      </c>
      <c r="L6659" s="893">
        <f t="shared" si="1434"/>
        <v>9.7508400000000002</v>
      </c>
      <c r="M6659" s="707"/>
      <c r="N6659" s="707"/>
      <c r="O6659" s="707"/>
      <c r="P6659" s="707"/>
      <c r="Q6659" s="1076"/>
      <c r="R6659" s="1076"/>
    </row>
    <row r="6660" spans="1:18" ht="18">
      <c r="A6660" s="707"/>
      <c r="B6660" s="707"/>
      <c r="C6660" s="707"/>
      <c r="D6660" s="707"/>
      <c r="E6660" s="707"/>
      <c r="F6660" s="707"/>
      <c r="G6660" s="707" t="s">
        <v>21</v>
      </c>
      <c r="H6660" s="707" t="s">
        <v>53</v>
      </c>
      <c r="I6660" s="1879">
        <v>8.3000000000000007</v>
      </c>
      <c r="J6660" s="1022">
        <v>10</v>
      </c>
      <c r="K6660" s="1023">
        <v>39</v>
      </c>
      <c r="L6660" s="893">
        <f t="shared" si="1434"/>
        <v>3.2370000000000001</v>
      </c>
      <c r="M6660" s="707"/>
      <c r="N6660" s="707"/>
      <c r="O6660" s="707"/>
      <c r="P6660" s="707"/>
      <c r="Q6660" s="1076"/>
      <c r="R6660" s="1076"/>
    </row>
    <row r="6661" spans="1:18" ht="18">
      <c r="A6661" s="707"/>
      <c r="B6661" s="707"/>
      <c r="C6661" s="707"/>
      <c r="D6661" s="707"/>
      <c r="E6661" s="707"/>
      <c r="F6661" s="707"/>
      <c r="G6661" s="707" t="s">
        <v>21</v>
      </c>
      <c r="H6661" s="707" t="s">
        <v>53</v>
      </c>
      <c r="I6661" s="1879">
        <v>8.3000000000000007</v>
      </c>
      <c r="J6661" s="1022">
        <v>10.3</v>
      </c>
      <c r="K6661" s="1023">
        <v>56</v>
      </c>
      <c r="L6661" s="893">
        <f t="shared" si="1434"/>
        <v>4.7874400000000001</v>
      </c>
      <c r="M6661" s="707"/>
      <c r="N6661" s="707"/>
      <c r="O6661" s="707"/>
      <c r="P6661" s="707"/>
      <c r="Q6661" s="1076"/>
      <c r="R6661" s="1076"/>
    </row>
    <row r="6662" spans="1:18" ht="18">
      <c r="A6662" s="707"/>
      <c r="B6662" s="707"/>
      <c r="C6662" s="707"/>
      <c r="D6662" s="707"/>
      <c r="E6662" s="707"/>
      <c r="F6662" s="707"/>
      <c r="G6662" s="707" t="s">
        <v>21</v>
      </c>
      <c r="H6662" s="707" t="s">
        <v>53</v>
      </c>
      <c r="I6662" s="1879">
        <v>8.3000000000000007</v>
      </c>
      <c r="J6662" s="1022">
        <v>10.5</v>
      </c>
      <c r="K6662" s="1023">
        <v>21</v>
      </c>
      <c r="L6662" s="893">
        <f t="shared" si="1434"/>
        <v>1.8301500000000002</v>
      </c>
      <c r="M6662" s="707"/>
      <c r="N6662" s="707"/>
      <c r="O6662" s="707"/>
      <c r="P6662" s="707"/>
      <c r="Q6662" s="1076"/>
      <c r="R6662" s="1076"/>
    </row>
    <row r="6663" spans="1:18" ht="18">
      <c r="A6663" s="707"/>
      <c r="B6663" s="707"/>
      <c r="C6663" s="707"/>
      <c r="D6663" s="707"/>
      <c r="E6663" s="707"/>
      <c r="F6663" s="707"/>
      <c r="G6663" s="707" t="s">
        <v>21</v>
      </c>
      <c r="H6663" s="707" t="s">
        <v>53</v>
      </c>
      <c r="I6663" s="1879">
        <v>8.3000000000000007</v>
      </c>
      <c r="J6663" s="1022">
        <v>10.8</v>
      </c>
      <c r="K6663" s="1023">
        <v>32</v>
      </c>
      <c r="L6663" s="893">
        <f t="shared" si="1434"/>
        <v>2.8684800000000004</v>
      </c>
      <c r="M6663" s="707"/>
      <c r="N6663" s="707"/>
      <c r="O6663" s="707"/>
      <c r="P6663" s="707"/>
      <c r="Q6663" s="1076"/>
      <c r="R6663" s="1076"/>
    </row>
    <row r="6664" spans="1:18" ht="18">
      <c r="A6664" s="707"/>
      <c r="B6664" s="707"/>
      <c r="C6664" s="707"/>
      <c r="D6664" s="707"/>
      <c r="E6664" s="707"/>
      <c r="F6664" s="707"/>
      <c r="G6664" s="707" t="s">
        <v>21</v>
      </c>
      <c r="H6664" s="707" t="s">
        <v>53</v>
      </c>
      <c r="I6664" s="1879">
        <v>8.3000000000000007</v>
      </c>
      <c r="J6664" s="1022">
        <v>11</v>
      </c>
      <c r="K6664" s="1023">
        <v>86</v>
      </c>
      <c r="L6664" s="893">
        <f t="shared" si="1434"/>
        <v>7.8518000000000008</v>
      </c>
      <c r="M6664" s="707"/>
      <c r="N6664" s="707"/>
      <c r="O6664" s="707"/>
      <c r="P6664" s="707"/>
      <c r="Q6664" s="1076"/>
      <c r="R6664" s="1076"/>
    </row>
    <row r="6665" spans="1:18" ht="18">
      <c r="A6665" s="707"/>
      <c r="B6665" s="707"/>
      <c r="C6665" s="707"/>
      <c r="D6665" s="707"/>
      <c r="E6665" s="707"/>
      <c r="F6665" s="707"/>
      <c r="G6665" s="707" t="s">
        <v>21</v>
      </c>
      <c r="H6665" s="707" t="s">
        <v>53</v>
      </c>
      <c r="I6665" s="1879">
        <v>8.3000000000000007</v>
      </c>
      <c r="J6665" s="1022">
        <v>11.5</v>
      </c>
      <c r="K6665" s="1023">
        <v>38</v>
      </c>
      <c r="L6665" s="893">
        <f t="shared" si="1434"/>
        <v>3.6271</v>
      </c>
      <c r="M6665" s="707"/>
      <c r="N6665" s="707"/>
      <c r="O6665" s="707"/>
      <c r="P6665" s="707"/>
      <c r="Q6665" s="1076"/>
      <c r="R6665" s="1076"/>
    </row>
    <row r="6666" spans="1:18" ht="18">
      <c r="A6666" s="707"/>
      <c r="B6666" s="707"/>
      <c r="C6666" s="707"/>
      <c r="D6666" s="707"/>
      <c r="E6666" s="707"/>
      <c r="F6666" s="707"/>
      <c r="G6666" s="707" t="s">
        <v>21</v>
      </c>
      <c r="H6666" s="707" t="s">
        <v>53</v>
      </c>
      <c r="I6666" s="1879">
        <v>8.3000000000000007</v>
      </c>
      <c r="J6666" s="1022">
        <v>11.8</v>
      </c>
      <c r="K6666" s="1023">
        <v>66</v>
      </c>
      <c r="L6666" s="893">
        <f t="shared" si="1434"/>
        <v>6.4640400000000007</v>
      </c>
      <c r="M6666" s="707"/>
      <c r="N6666" s="707"/>
      <c r="O6666" s="707"/>
      <c r="P6666" s="707"/>
      <c r="Q6666" s="1076"/>
      <c r="R6666" s="1076"/>
    </row>
    <row r="6667" spans="1:18" ht="18">
      <c r="A6667" s="707"/>
      <c r="B6667" s="707"/>
      <c r="C6667" s="707"/>
      <c r="D6667" s="707"/>
      <c r="E6667" s="707"/>
      <c r="F6667" s="707"/>
      <c r="G6667" s="707" t="s">
        <v>21</v>
      </c>
      <c r="H6667" s="707" t="s">
        <v>53</v>
      </c>
      <c r="I6667" s="1879">
        <v>8.3000000000000007</v>
      </c>
      <c r="J6667" s="1022">
        <v>12</v>
      </c>
      <c r="K6667" s="1023">
        <v>52</v>
      </c>
      <c r="L6667" s="893">
        <f t="shared" si="1434"/>
        <v>5.1792000000000007</v>
      </c>
      <c r="M6667" s="707"/>
      <c r="N6667" s="707"/>
      <c r="O6667" s="707"/>
      <c r="P6667" s="707"/>
      <c r="Q6667" s="1076"/>
      <c r="R6667" s="1076"/>
    </row>
    <row r="6668" spans="1:18" ht="18">
      <c r="A6668" s="707"/>
      <c r="B6668" s="707"/>
      <c r="C6668" s="707"/>
      <c r="D6668" s="707"/>
      <c r="E6668" s="707"/>
      <c r="F6668" s="707"/>
      <c r="G6668" s="549"/>
      <c r="H6668" s="549"/>
      <c r="I6668" s="1879"/>
      <c r="J6668" s="567"/>
      <c r="K6668" s="648">
        <f t="shared" ref="K6668:L6668" si="1435">SUM(K6658:K6667)</f>
        <v>583</v>
      </c>
      <c r="L6668" s="567">
        <f t="shared" si="1435"/>
        <v>49.443930000000002</v>
      </c>
      <c r="M6668" s="707"/>
      <c r="N6668" s="707"/>
      <c r="O6668" s="707"/>
      <c r="P6668" s="707"/>
      <c r="Q6668" s="1076"/>
      <c r="R6668" s="1076"/>
    </row>
    <row r="6669" spans="1:18" ht="18">
      <c r="A6669" s="707"/>
      <c r="B6669" s="707"/>
      <c r="C6669" s="707"/>
      <c r="D6669" s="707"/>
      <c r="E6669" s="707"/>
      <c r="F6669" s="707"/>
      <c r="G6669" s="707"/>
      <c r="H6669" s="707"/>
      <c r="I6669" s="1854"/>
      <c r="J6669" s="707"/>
      <c r="K6669" s="1020"/>
      <c r="L6669" s="1016"/>
      <c r="M6669" s="707"/>
      <c r="N6669" s="707"/>
      <c r="O6669" s="707"/>
      <c r="P6669" s="707"/>
      <c r="Q6669" s="1076"/>
      <c r="R6669" s="1076"/>
    </row>
    <row r="6670" spans="1:18" ht="18">
      <c r="A6670" s="547" t="s">
        <v>451</v>
      </c>
      <c r="B6670" s="852" t="s">
        <v>581</v>
      </c>
      <c r="C6670" s="547" t="s">
        <v>19</v>
      </c>
      <c r="D6670" s="813" t="s">
        <v>20</v>
      </c>
      <c r="E6670" s="547" t="s">
        <v>359</v>
      </c>
      <c r="F6670" s="1018">
        <v>11</v>
      </c>
      <c r="G6670" s="707" t="s">
        <v>21</v>
      </c>
      <c r="H6670" s="1120" t="s">
        <v>53</v>
      </c>
      <c r="I6670" s="1879">
        <v>8.32</v>
      </c>
      <c r="J6670" s="1022">
        <v>12</v>
      </c>
      <c r="K6670" s="1023">
        <v>54</v>
      </c>
      <c r="L6670" s="893">
        <f>(I6670*J6670*K6670/1000)</f>
        <v>5.3913600000000006</v>
      </c>
      <c r="M6670" s="707"/>
      <c r="N6670" s="707"/>
      <c r="O6670" s="707"/>
      <c r="P6670" s="707"/>
      <c r="Q6670" s="497" t="s">
        <v>707</v>
      </c>
      <c r="R6670" s="1076"/>
    </row>
    <row r="6671" spans="1:18" ht="18">
      <c r="A6671" s="549"/>
      <c r="B6671" s="549" t="s">
        <v>277</v>
      </c>
      <c r="C6671" s="549"/>
      <c r="D6671" s="549"/>
      <c r="E6671" s="549"/>
      <c r="F6671" s="707"/>
      <c r="G6671" s="549"/>
      <c r="H6671" s="549"/>
      <c r="I6671" s="558"/>
      <c r="J6671" s="567"/>
      <c r="K6671" s="648">
        <f t="shared" ref="K6671:L6671" si="1436">SUM(K6670)</f>
        <v>54</v>
      </c>
      <c r="L6671" s="567">
        <f t="shared" si="1436"/>
        <v>5.3913600000000006</v>
      </c>
      <c r="M6671" s="707"/>
      <c r="N6671" s="707"/>
      <c r="O6671" s="707"/>
      <c r="P6671" s="707"/>
      <c r="Q6671" s="1076"/>
      <c r="R6671" s="1076"/>
    </row>
    <row r="6672" spans="1:18" s="497" customFormat="1" ht="18">
      <c r="A6672" s="549"/>
      <c r="B6672" s="549"/>
      <c r="C6672" s="549"/>
      <c r="D6672" s="549"/>
      <c r="E6672" s="549"/>
      <c r="F6672" s="707"/>
      <c r="G6672" s="549"/>
      <c r="H6672" s="549"/>
      <c r="I6672" s="558"/>
      <c r="J6672" s="567"/>
      <c r="K6672" s="648"/>
      <c r="L6672" s="567"/>
      <c r="M6672" s="707"/>
      <c r="N6672" s="707"/>
      <c r="O6672" s="707"/>
      <c r="P6672" s="707"/>
      <c r="Q6672" s="1076"/>
      <c r="R6672" s="1076"/>
    </row>
    <row r="6673" spans="1:18" ht="18">
      <c r="A6673" s="547" t="s">
        <v>445</v>
      </c>
      <c r="B6673" s="547" t="s">
        <v>673</v>
      </c>
      <c r="C6673" s="547" t="s">
        <v>19</v>
      </c>
      <c r="D6673" s="547" t="s">
        <v>20</v>
      </c>
      <c r="E6673" s="1025" t="s">
        <v>420</v>
      </c>
      <c r="F6673" s="1018">
        <v>11</v>
      </c>
      <c r="G6673" s="707" t="s">
        <v>21</v>
      </c>
      <c r="H6673" s="1120" t="s">
        <v>53</v>
      </c>
      <c r="I6673" s="1879">
        <v>8.3000000000000007</v>
      </c>
      <c r="J6673" s="1022">
        <v>12</v>
      </c>
      <c r="K6673" s="1023">
        <v>3</v>
      </c>
      <c r="L6673" s="893">
        <f>(I6673*J6673*K6673/1000)</f>
        <v>0.29880000000000001</v>
      </c>
      <c r="M6673" s="1166">
        <v>3</v>
      </c>
      <c r="N6673" s="1166">
        <f t="shared" ref="N6673" si="1437">J6673*M6673*I6673/1000</f>
        <v>0.29880000000000001</v>
      </c>
      <c r="O6673" s="707"/>
      <c r="P6673" s="707"/>
      <c r="Q6673" s="497" t="s">
        <v>707</v>
      </c>
      <c r="R6673" s="1076"/>
    </row>
    <row r="6674" spans="1:18" ht="18">
      <c r="A6674" s="547"/>
      <c r="B6674" s="549" t="s">
        <v>52</v>
      </c>
      <c r="C6674" s="547"/>
      <c r="D6674" s="547"/>
      <c r="E6674" s="547"/>
      <c r="F6674" s="707"/>
      <c r="G6674" s="707"/>
      <c r="H6674" s="707"/>
      <c r="I6674" s="1879"/>
      <c r="J6674" s="1022"/>
      <c r="K6674" s="648">
        <f>SUM(K6673)</f>
        <v>3</v>
      </c>
      <c r="L6674" s="552">
        <f>SUM(L6673)</f>
        <v>0.29880000000000001</v>
      </c>
      <c r="M6674" s="648">
        <f>SUM(M6673)</f>
        <v>3</v>
      </c>
      <c r="N6674" s="552">
        <f>SUM(N6673)</f>
        <v>0.29880000000000001</v>
      </c>
      <c r="O6674" s="707"/>
      <c r="P6674" s="707"/>
      <c r="Q6674" s="1076"/>
      <c r="R6674" s="1076"/>
    </row>
    <row r="6675" spans="1:18" s="497" customFormat="1" ht="18">
      <c r="A6675" s="547"/>
      <c r="B6675" s="549"/>
      <c r="C6675" s="547"/>
      <c r="D6675" s="547"/>
      <c r="E6675" s="547"/>
      <c r="F6675" s="707"/>
      <c r="G6675" s="707"/>
      <c r="H6675" s="707"/>
      <c r="I6675" s="1879"/>
      <c r="J6675" s="1022"/>
      <c r="K6675" s="848">
        <f>SUM(K6646:K6674)/2</f>
        <v>1225</v>
      </c>
      <c r="L6675" s="552">
        <f>SUM(L6646:L6674)/2</f>
        <v>110.31913</v>
      </c>
      <c r="M6675" s="707"/>
      <c r="N6675" s="707"/>
      <c r="O6675" s="707"/>
      <c r="P6675" s="707"/>
      <c r="Q6675" s="1076"/>
      <c r="R6675" s="1076"/>
    </row>
    <row r="6676" spans="1:18" s="497" customFormat="1" ht="18">
      <c r="A6676" s="547"/>
      <c r="B6676" s="549"/>
      <c r="C6676" s="547"/>
      <c r="D6676" s="547"/>
      <c r="E6676" s="547"/>
      <c r="F6676" s="707"/>
      <c r="G6676" s="707"/>
      <c r="H6676" s="707"/>
      <c r="I6676" s="1879"/>
      <c r="J6676" s="1022"/>
      <c r="K6676" s="848"/>
      <c r="L6676" s="552"/>
      <c r="M6676" s="707"/>
      <c r="N6676" s="707"/>
      <c r="O6676" s="707"/>
      <c r="P6676" s="707"/>
      <c r="Q6676" s="1076"/>
      <c r="R6676" s="1076"/>
    </row>
    <row r="6677" spans="1:18" s="497" customFormat="1" ht="18">
      <c r="A6677" s="547"/>
      <c r="B6677" s="549"/>
      <c r="C6677" s="547"/>
      <c r="D6677" s="547"/>
      <c r="E6677" s="547"/>
      <c r="F6677" s="707"/>
      <c r="G6677" s="707"/>
      <c r="H6677" s="707"/>
      <c r="I6677" s="1879"/>
      <c r="J6677" s="1022"/>
      <c r="K6677" s="848"/>
      <c r="L6677" s="552"/>
      <c r="M6677" s="707"/>
      <c r="N6677" s="707"/>
      <c r="O6677" s="707"/>
      <c r="P6677" s="707"/>
      <c r="Q6677" s="1076"/>
      <c r="R6677" s="1076"/>
    </row>
    <row r="6678" spans="1:18" ht="18">
      <c r="A6678" s="707"/>
      <c r="B6678" s="707"/>
      <c r="C6678" s="707"/>
      <c r="D6678" s="707"/>
      <c r="E6678" s="707"/>
      <c r="F6678" s="707"/>
      <c r="G6678" s="707"/>
      <c r="H6678" s="707"/>
      <c r="I6678" s="1854"/>
      <c r="J6678" s="707"/>
      <c r="K6678" s="1020"/>
      <c r="L6678" s="1016"/>
      <c r="M6678" s="707"/>
      <c r="N6678" s="707"/>
      <c r="O6678" s="707"/>
      <c r="P6678" s="707"/>
      <c r="Q6678" s="1076"/>
      <c r="R6678" s="1076"/>
    </row>
    <row r="6679" spans="1:18" ht="18">
      <c r="A6679" s="547" t="s">
        <v>445</v>
      </c>
      <c r="B6679" s="547" t="s">
        <v>620</v>
      </c>
      <c r="C6679" s="547" t="s">
        <v>19</v>
      </c>
      <c r="D6679" s="547" t="s">
        <v>20</v>
      </c>
      <c r="E6679" s="780" t="s">
        <v>47</v>
      </c>
      <c r="F6679" s="754">
        <v>11</v>
      </c>
      <c r="G6679" s="707" t="s">
        <v>21</v>
      </c>
      <c r="H6679" s="1120" t="s">
        <v>53</v>
      </c>
      <c r="I6679" s="1879">
        <v>8.3000000000000007</v>
      </c>
      <c r="J6679" s="1022">
        <v>9</v>
      </c>
      <c r="K6679" s="1023">
        <v>37</v>
      </c>
      <c r="L6679" s="893">
        <f t="shared" ref="L6679:L6682" si="1438">(I6679*J6679*K6679/1000)</f>
        <v>2.7639</v>
      </c>
      <c r="M6679" s="707"/>
      <c r="N6679" s="707"/>
      <c r="O6679" s="707"/>
      <c r="P6679" s="707"/>
      <c r="Q6679" s="497" t="s">
        <v>707</v>
      </c>
      <c r="R6679" s="1076"/>
    </row>
    <row r="6680" spans="1:18" ht="18">
      <c r="A6680" s="547"/>
      <c r="B6680" s="754" t="s">
        <v>621</v>
      </c>
      <c r="C6680" s="547"/>
      <c r="D6680" s="547"/>
      <c r="E6680" s="780"/>
      <c r="F6680" s="754"/>
      <c r="G6680" s="707" t="s">
        <v>21</v>
      </c>
      <c r="H6680" s="707" t="s">
        <v>53</v>
      </c>
      <c r="I6680" s="1879">
        <v>8.3000000000000007</v>
      </c>
      <c r="J6680" s="1022">
        <v>11</v>
      </c>
      <c r="K6680" s="1023">
        <v>26</v>
      </c>
      <c r="L6680" s="893">
        <f t="shared" si="1438"/>
        <v>2.3738000000000001</v>
      </c>
      <c r="M6680" s="707"/>
      <c r="N6680" s="707"/>
      <c r="O6680" s="707"/>
      <c r="P6680" s="707"/>
      <c r="Q6680" s="1076"/>
      <c r="R6680" s="1076"/>
    </row>
    <row r="6681" spans="1:18" ht="18">
      <c r="A6681" s="707"/>
      <c r="B6681" s="707"/>
      <c r="C6681" s="707"/>
      <c r="D6681" s="707"/>
      <c r="E6681" s="707"/>
      <c r="F6681" s="707"/>
      <c r="G6681" s="707" t="s">
        <v>21</v>
      </c>
      <c r="H6681" s="707" t="s">
        <v>53</v>
      </c>
      <c r="I6681" s="1879">
        <v>8.3000000000000007</v>
      </c>
      <c r="J6681" s="1022">
        <v>11.1</v>
      </c>
      <c r="K6681" s="1023">
        <v>44</v>
      </c>
      <c r="L6681" s="893">
        <f t="shared" si="1438"/>
        <v>4.0537200000000002</v>
      </c>
      <c r="M6681" s="707"/>
      <c r="N6681" s="707"/>
      <c r="O6681" s="707"/>
      <c r="P6681" s="707"/>
      <c r="Q6681" s="1076"/>
      <c r="R6681" s="1076"/>
    </row>
    <row r="6682" spans="1:18" ht="18">
      <c r="A6682" s="707"/>
      <c r="B6682" s="707"/>
      <c r="C6682" s="707"/>
      <c r="D6682" s="707"/>
      <c r="E6682" s="707"/>
      <c r="F6682" s="707"/>
      <c r="G6682" s="707" t="s">
        <v>21</v>
      </c>
      <c r="H6682" s="707" t="s">
        <v>53</v>
      </c>
      <c r="I6682" s="1879">
        <v>8.3000000000000007</v>
      </c>
      <c r="J6682" s="1022">
        <v>11.5</v>
      </c>
      <c r="K6682" s="1023">
        <v>6</v>
      </c>
      <c r="L6682" s="893">
        <f t="shared" si="1438"/>
        <v>0.5727000000000001</v>
      </c>
      <c r="M6682" s="707"/>
      <c r="N6682" s="707"/>
      <c r="O6682" s="707"/>
      <c r="P6682" s="707"/>
      <c r="Q6682" s="1076"/>
      <c r="R6682" s="1076"/>
    </row>
    <row r="6683" spans="1:18" ht="18">
      <c r="A6683" s="707"/>
      <c r="B6683" s="707"/>
      <c r="C6683" s="707"/>
      <c r="D6683" s="707"/>
      <c r="E6683" s="707"/>
      <c r="F6683" s="707"/>
      <c r="G6683" s="549"/>
      <c r="H6683" s="549"/>
      <c r="I6683" s="558"/>
      <c r="J6683" s="567"/>
      <c r="K6683" s="648">
        <f t="shared" ref="K6683:L6683" si="1439">SUM(K6679:K6682)</f>
        <v>113</v>
      </c>
      <c r="L6683" s="567">
        <f t="shared" si="1439"/>
        <v>9.7641200000000001</v>
      </c>
      <c r="M6683" s="707"/>
      <c r="N6683" s="707"/>
      <c r="O6683" s="707"/>
      <c r="P6683" s="707"/>
      <c r="Q6683" s="1076"/>
      <c r="R6683" s="1076"/>
    </row>
    <row r="6684" spans="1:18" ht="18">
      <c r="A6684" s="707"/>
      <c r="B6684" s="707"/>
      <c r="C6684" s="707"/>
      <c r="D6684" s="707"/>
      <c r="E6684" s="707"/>
      <c r="F6684" s="707"/>
      <c r="G6684" s="707"/>
      <c r="H6684" s="707"/>
      <c r="I6684" s="1854"/>
      <c r="J6684" s="707"/>
      <c r="K6684" s="1020"/>
      <c r="L6684" s="1016"/>
      <c r="M6684" s="707"/>
      <c r="N6684" s="707"/>
      <c r="O6684" s="707"/>
      <c r="P6684" s="707"/>
      <c r="Q6684" s="1076"/>
      <c r="R6684" s="1076"/>
    </row>
    <row r="6685" spans="1:18" ht="18">
      <c r="A6685" s="547" t="s">
        <v>541</v>
      </c>
      <c r="B6685" s="547" t="s">
        <v>622</v>
      </c>
      <c r="C6685" s="547" t="s">
        <v>19</v>
      </c>
      <c r="D6685" s="547" t="s">
        <v>20</v>
      </c>
      <c r="E6685" s="780" t="s">
        <v>47</v>
      </c>
      <c r="F6685" s="754">
        <v>11</v>
      </c>
      <c r="G6685" s="707" t="s">
        <v>21</v>
      </c>
      <c r="H6685" s="1120" t="s">
        <v>53</v>
      </c>
      <c r="I6685" s="1879">
        <v>8.3000000000000007</v>
      </c>
      <c r="J6685" s="1022">
        <v>11.1</v>
      </c>
      <c r="K6685" s="1023">
        <v>47</v>
      </c>
      <c r="L6685" s="893">
        <f>(I6685*J6685*K6685/1000)</f>
        <v>4.3301100000000003</v>
      </c>
      <c r="M6685" s="707"/>
      <c r="N6685" s="707"/>
      <c r="O6685" s="707"/>
      <c r="P6685" s="707"/>
      <c r="Q6685" s="497" t="s">
        <v>707</v>
      </c>
      <c r="R6685" s="1076"/>
    </row>
    <row r="6686" spans="1:18" ht="18">
      <c r="A6686" s="550"/>
      <c r="B6686" s="754" t="s">
        <v>621</v>
      </c>
      <c r="C6686" s="550"/>
      <c r="D6686" s="550"/>
      <c r="E6686" s="1018"/>
      <c r="F6686" s="550"/>
      <c r="G6686" s="549"/>
      <c r="H6686" s="549"/>
      <c r="I6686" s="1879"/>
      <c r="J6686" s="567"/>
      <c r="K6686" s="648">
        <f>SUM(K6685)</f>
        <v>47</v>
      </c>
      <c r="L6686" s="567">
        <f>SUM(L6685)</f>
        <v>4.3301100000000003</v>
      </c>
      <c r="M6686" s="707"/>
      <c r="N6686" s="707"/>
      <c r="O6686" s="707"/>
      <c r="P6686" s="707"/>
      <c r="Q6686" s="1076"/>
      <c r="R6686" s="1076"/>
    </row>
    <row r="6687" spans="1:18" ht="18">
      <c r="A6687" s="707"/>
      <c r="B6687" s="707"/>
      <c r="C6687" s="707"/>
      <c r="D6687" s="707"/>
      <c r="E6687" s="707"/>
      <c r="F6687" s="707"/>
      <c r="G6687" s="707"/>
      <c r="H6687" s="707"/>
      <c r="I6687" s="1854"/>
      <c r="J6687" s="707"/>
      <c r="K6687" s="652">
        <f>SUM(K6679:K6686)/2</f>
        <v>160</v>
      </c>
      <c r="L6687" s="565">
        <f>SUM(L6679:L6686)/2</f>
        <v>14.094230000000001</v>
      </c>
      <c r="M6687" s="707"/>
      <c r="N6687" s="707"/>
      <c r="O6687" s="707"/>
      <c r="P6687" s="707"/>
      <c r="Q6687" s="1076"/>
      <c r="R6687" s="1076"/>
    </row>
    <row r="6688" spans="1:18" s="497" customFormat="1" ht="18">
      <c r="A6688" s="707"/>
      <c r="B6688" s="707"/>
      <c r="C6688" s="707"/>
      <c r="D6688" s="707"/>
      <c r="E6688" s="707"/>
      <c r="F6688" s="707"/>
      <c r="G6688" s="707"/>
      <c r="H6688" s="707"/>
      <c r="I6688" s="1854"/>
      <c r="J6688" s="707"/>
      <c r="K6688" s="652"/>
      <c r="L6688" s="565"/>
      <c r="M6688" s="707"/>
      <c r="N6688" s="707"/>
      <c r="O6688" s="707"/>
      <c r="P6688" s="707"/>
      <c r="Q6688" s="1076"/>
      <c r="R6688" s="1076"/>
    </row>
    <row r="6689" spans="1:18" ht="18">
      <c r="A6689" s="707"/>
      <c r="B6689" s="707"/>
      <c r="C6689" s="707"/>
      <c r="D6689" s="707"/>
      <c r="E6689" s="707"/>
      <c r="F6689" s="707"/>
      <c r="G6689" s="707"/>
      <c r="H6689" s="707"/>
      <c r="I6689" s="1854"/>
      <c r="J6689" s="707"/>
      <c r="K6689" s="1020"/>
      <c r="L6689" s="1016"/>
      <c r="M6689" s="707"/>
      <c r="N6689" s="707"/>
      <c r="O6689" s="707"/>
      <c r="P6689" s="707"/>
      <c r="Q6689" s="1076"/>
      <c r="R6689" s="1076"/>
    </row>
    <row r="6690" spans="1:18" ht="18">
      <c r="A6690" s="547" t="s">
        <v>445</v>
      </c>
      <c r="B6690" s="547" t="s">
        <v>620</v>
      </c>
      <c r="C6690" s="547" t="s">
        <v>19</v>
      </c>
      <c r="D6690" s="547" t="s">
        <v>20</v>
      </c>
      <c r="E6690" s="780" t="s">
        <v>47</v>
      </c>
      <c r="F6690" s="754">
        <v>11</v>
      </c>
      <c r="G6690" s="707" t="s">
        <v>21</v>
      </c>
      <c r="H6690" s="1120" t="s">
        <v>91</v>
      </c>
      <c r="I6690" s="1879">
        <v>6.97</v>
      </c>
      <c r="J6690" s="1022">
        <v>8.6999999999999993</v>
      </c>
      <c r="K6690" s="1023">
        <v>34</v>
      </c>
      <c r="L6690" s="893">
        <f t="shared" ref="L6690:L6693" si="1440">(I6690*J6690*K6690/1000)</f>
        <v>2.0617259999999997</v>
      </c>
      <c r="M6690" s="707"/>
      <c r="N6690" s="707"/>
      <c r="O6690" s="707"/>
      <c r="P6690" s="707"/>
      <c r="Q6690" s="497" t="s">
        <v>708</v>
      </c>
      <c r="R6690" s="1076"/>
    </row>
    <row r="6691" spans="1:18" ht="18">
      <c r="A6691" s="547"/>
      <c r="B6691" s="754" t="s">
        <v>621</v>
      </c>
      <c r="C6691" s="547"/>
      <c r="D6691" s="547"/>
      <c r="E6691" s="780"/>
      <c r="F6691" s="754"/>
      <c r="G6691" s="707" t="s">
        <v>21</v>
      </c>
      <c r="H6691" s="707" t="s">
        <v>91</v>
      </c>
      <c r="I6691" s="1879">
        <v>6.97</v>
      </c>
      <c r="J6691" s="1022">
        <v>10.5</v>
      </c>
      <c r="K6691" s="1023">
        <v>29</v>
      </c>
      <c r="L6691" s="893">
        <f t="shared" si="1440"/>
        <v>2.1223650000000003</v>
      </c>
      <c r="M6691" s="707"/>
      <c r="N6691" s="707"/>
      <c r="O6691" s="707"/>
      <c r="P6691" s="707"/>
      <c r="Q6691" s="1076"/>
      <c r="R6691" s="1076"/>
    </row>
    <row r="6692" spans="1:18" ht="18">
      <c r="A6692" s="707"/>
      <c r="B6692" s="707"/>
      <c r="C6692" s="707"/>
      <c r="D6692" s="707"/>
      <c r="E6692" s="707"/>
      <c r="F6692" s="707"/>
      <c r="G6692" s="707" t="s">
        <v>21</v>
      </c>
      <c r="H6692" s="707" t="s">
        <v>91</v>
      </c>
      <c r="I6692" s="1879">
        <v>6.97</v>
      </c>
      <c r="J6692" s="1022">
        <v>11.5</v>
      </c>
      <c r="K6692" s="1023">
        <v>34</v>
      </c>
      <c r="L6692" s="893">
        <f t="shared" si="1440"/>
        <v>2.7252700000000001</v>
      </c>
      <c r="M6692" s="707"/>
      <c r="N6692" s="707"/>
      <c r="O6692" s="707"/>
      <c r="P6692" s="707"/>
      <c r="Q6692" s="1076"/>
      <c r="R6692" s="1076"/>
    </row>
    <row r="6693" spans="1:18" ht="18">
      <c r="A6693" s="707"/>
      <c r="B6693" s="707"/>
      <c r="C6693" s="707"/>
      <c r="D6693" s="707"/>
      <c r="E6693" s="707"/>
      <c r="F6693" s="707"/>
      <c r="G6693" s="707" t="s">
        <v>21</v>
      </c>
      <c r="H6693" s="707" t="s">
        <v>91</v>
      </c>
      <c r="I6693" s="1879">
        <v>6.97</v>
      </c>
      <c r="J6693" s="1022">
        <v>12</v>
      </c>
      <c r="K6693" s="1023">
        <v>45</v>
      </c>
      <c r="L6693" s="893">
        <f t="shared" si="1440"/>
        <v>3.7638000000000003</v>
      </c>
      <c r="M6693" s="707"/>
      <c r="N6693" s="707"/>
      <c r="O6693" s="707"/>
      <c r="P6693" s="707"/>
      <c r="Q6693" s="1076"/>
      <c r="R6693" s="1076"/>
    </row>
    <row r="6694" spans="1:18" ht="18">
      <c r="A6694" s="707"/>
      <c r="B6694" s="707"/>
      <c r="C6694" s="707"/>
      <c r="D6694" s="707"/>
      <c r="E6694" s="707"/>
      <c r="F6694" s="707"/>
      <c r="G6694" s="549"/>
      <c r="H6694" s="549"/>
      <c r="I6694" s="558"/>
      <c r="J6694" s="567"/>
      <c r="K6694" s="648">
        <f t="shared" ref="K6694:L6694" si="1441">SUM(K6690:K6693)</f>
        <v>142</v>
      </c>
      <c r="L6694" s="567">
        <f t="shared" si="1441"/>
        <v>10.673161</v>
      </c>
      <c r="M6694" s="707"/>
      <c r="N6694" s="707"/>
      <c r="O6694" s="707"/>
      <c r="P6694" s="707"/>
      <c r="Q6694" s="1076"/>
      <c r="R6694" s="1076"/>
    </row>
    <row r="6695" spans="1:18" s="497" customFormat="1" ht="18">
      <c r="A6695" s="707"/>
      <c r="B6695" s="707"/>
      <c r="C6695" s="707"/>
      <c r="D6695" s="707"/>
      <c r="E6695" s="707"/>
      <c r="F6695" s="707"/>
      <c r="G6695" s="549"/>
      <c r="H6695" s="549"/>
      <c r="I6695" s="558"/>
      <c r="J6695" s="567"/>
      <c r="K6695" s="648"/>
      <c r="L6695" s="567"/>
      <c r="M6695" s="707"/>
      <c r="N6695" s="707"/>
      <c r="O6695" s="707"/>
      <c r="P6695" s="707"/>
      <c r="Q6695" s="1076"/>
      <c r="R6695" s="1076"/>
    </row>
    <row r="6696" spans="1:18" ht="18">
      <c r="A6696" s="547" t="s">
        <v>541</v>
      </c>
      <c r="B6696" s="979" t="s">
        <v>622</v>
      </c>
      <c r="C6696" s="547" t="s">
        <v>19</v>
      </c>
      <c r="D6696" s="547" t="s">
        <v>20</v>
      </c>
      <c r="E6696" s="780" t="s">
        <v>47</v>
      </c>
      <c r="F6696" s="754">
        <v>11</v>
      </c>
      <c r="G6696" s="707" t="s">
        <v>21</v>
      </c>
      <c r="H6696" s="1120" t="s">
        <v>91</v>
      </c>
      <c r="I6696" s="1879">
        <v>6.97</v>
      </c>
      <c r="J6696" s="1022">
        <v>7.9</v>
      </c>
      <c r="K6696" s="1023">
        <v>49</v>
      </c>
      <c r="L6696" s="893">
        <f t="shared" ref="L6696:L6697" si="1442">(I6696*J6696*K6696/1000)</f>
        <v>2.6980870000000001</v>
      </c>
      <c r="M6696" s="707"/>
      <c r="N6696" s="707"/>
      <c r="O6696" s="707"/>
      <c r="P6696" s="707"/>
      <c r="Q6696" s="497" t="s">
        <v>708</v>
      </c>
      <c r="R6696" s="1076"/>
    </row>
    <row r="6697" spans="1:18" ht="18">
      <c r="A6697" s="550"/>
      <c r="B6697" s="754" t="s">
        <v>621</v>
      </c>
      <c r="C6697" s="550"/>
      <c r="D6697" s="550"/>
      <c r="E6697" s="1018"/>
      <c r="F6697" s="550"/>
      <c r="G6697" s="707" t="s">
        <v>21</v>
      </c>
      <c r="H6697" s="707" t="s">
        <v>91</v>
      </c>
      <c r="I6697" s="1879">
        <v>6.97</v>
      </c>
      <c r="J6697" s="1022">
        <v>10.1</v>
      </c>
      <c r="K6697" s="1023">
        <v>31</v>
      </c>
      <c r="L6697" s="893">
        <f t="shared" si="1442"/>
        <v>2.1823069999999998</v>
      </c>
      <c r="M6697" s="707"/>
      <c r="N6697" s="707"/>
      <c r="O6697" s="707"/>
      <c r="P6697" s="707"/>
      <c r="Q6697" s="1076"/>
      <c r="R6697" s="1076"/>
    </row>
    <row r="6698" spans="1:18" ht="18">
      <c r="A6698" s="707"/>
      <c r="B6698" s="707"/>
      <c r="C6698" s="707"/>
      <c r="D6698" s="707"/>
      <c r="E6698" s="707"/>
      <c r="F6698" s="707"/>
      <c r="G6698" s="549"/>
      <c r="H6698" s="549"/>
      <c r="I6698" s="1879"/>
      <c r="J6698" s="567"/>
      <c r="K6698" s="648">
        <f>SUM(K6696:K6697)</f>
        <v>80</v>
      </c>
      <c r="L6698" s="567">
        <f>SUM(L6696:L6697)</f>
        <v>4.8803939999999999</v>
      </c>
      <c r="M6698" s="707"/>
      <c r="N6698" s="707"/>
      <c r="O6698" s="707"/>
      <c r="P6698" s="707"/>
      <c r="Q6698" s="1076"/>
      <c r="R6698" s="1076"/>
    </row>
    <row r="6699" spans="1:18" s="497" customFormat="1" ht="18">
      <c r="A6699" s="707"/>
      <c r="B6699" s="707"/>
      <c r="C6699" s="707"/>
      <c r="D6699" s="707"/>
      <c r="E6699" s="707"/>
      <c r="F6699" s="707"/>
      <c r="G6699" s="549"/>
      <c r="H6699" s="549"/>
      <c r="I6699" s="1879"/>
      <c r="J6699" s="567"/>
      <c r="K6699" s="648">
        <f>SUM(K6690:K6698)/2</f>
        <v>222</v>
      </c>
      <c r="L6699" s="567">
        <f>SUM(L6690:L6698)/2</f>
        <v>15.553555000000001</v>
      </c>
      <c r="M6699" s="707"/>
      <c r="N6699" s="707"/>
      <c r="O6699" s="707"/>
      <c r="P6699" s="707"/>
      <c r="Q6699" s="1076"/>
      <c r="R6699" s="1076"/>
    </row>
    <row r="6700" spans="1:18" s="497" customFormat="1" ht="18">
      <c r="A6700" s="707"/>
      <c r="B6700" s="707"/>
      <c r="C6700" s="707"/>
      <c r="D6700" s="707"/>
      <c r="E6700" s="707"/>
      <c r="F6700" s="707"/>
      <c r="G6700" s="549"/>
      <c r="H6700" s="549"/>
      <c r="I6700" s="1879"/>
      <c r="J6700" s="567"/>
      <c r="K6700" s="648"/>
      <c r="L6700" s="567"/>
      <c r="M6700" s="707"/>
      <c r="N6700" s="707"/>
      <c r="O6700" s="707"/>
      <c r="P6700" s="707"/>
      <c r="Q6700" s="1076"/>
      <c r="R6700" s="1076"/>
    </row>
    <row r="6701" spans="1:18" ht="18">
      <c r="A6701" s="547" t="s">
        <v>445</v>
      </c>
      <c r="B6701" s="547" t="s">
        <v>576</v>
      </c>
      <c r="C6701" s="547" t="s">
        <v>19</v>
      </c>
      <c r="D6701" s="547" t="s">
        <v>20</v>
      </c>
      <c r="E6701" s="560" t="s">
        <v>464</v>
      </c>
      <c r="F6701" s="1018">
        <v>11</v>
      </c>
      <c r="G6701" s="707" t="s">
        <v>21</v>
      </c>
      <c r="H6701" s="1120" t="s">
        <v>91</v>
      </c>
      <c r="I6701" s="1879">
        <v>6.97</v>
      </c>
      <c r="J6701" s="1022">
        <v>7.3</v>
      </c>
      <c r="K6701" s="1023">
        <v>8</v>
      </c>
      <c r="L6701" s="893">
        <f>(I6701*J6701*K6701/1000)</f>
        <v>0.40704800000000002</v>
      </c>
      <c r="M6701" s="707"/>
      <c r="N6701" s="707"/>
      <c r="O6701" s="707"/>
      <c r="P6701" s="707"/>
      <c r="Q6701" s="497" t="s">
        <v>708</v>
      </c>
      <c r="R6701" s="1076"/>
    </row>
    <row r="6702" spans="1:18" ht="18">
      <c r="A6702" s="547"/>
      <c r="B6702" s="549" t="s">
        <v>439</v>
      </c>
      <c r="C6702" s="547"/>
      <c r="D6702" s="547"/>
      <c r="E6702" s="547"/>
      <c r="F6702" s="707"/>
      <c r="G6702" s="707" t="s">
        <v>21</v>
      </c>
      <c r="H6702" s="707" t="s">
        <v>91</v>
      </c>
      <c r="I6702" s="1879">
        <v>6.97</v>
      </c>
      <c r="J6702" s="1022">
        <v>12</v>
      </c>
      <c r="K6702" s="1023">
        <v>24</v>
      </c>
      <c r="L6702" s="893">
        <f>(I6702*J6702*K6702/1000)</f>
        <v>2.0073600000000003</v>
      </c>
      <c r="M6702" s="707"/>
      <c r="N6702" s="707"/>
      <c r="O6702" s="707"/>
      <c r="P6702" s="707"/>
      <c r="Q6702" s="1076"/>
      <c r="R6702" s="1076"/>
    </row>
    <row r="6703" spans="1:18" ht="18">
      <c r="A6703" s="707"/>
      <c r="B6703" s="707"/>
      <c r="C6703" s="707"/>
      <c r="D6703" s="707"/>
      <c r="E6703" s="707"/>
      <c r="F6703" s="707"/>
      <c r="G6703" s="549"/>
      <c r="H6703" s="549"/>
      <c r="I6703" s="1879"/>
      <c r="J6703" s="567"/>
      <c r="K6703" s="648">
        <f t="shared" ref="K6703" si="1443">SUM(K6701:K6702)</f>
        <v>32</v>
      </c>
      <c r="L6703" s="567">
        <f>SUM(L6701:L6702)</f>
        <v>2.4144080000000003</v>
      </c>
      <c r="M6703" s="707"/>
      <c r="N6703" s="707"/>
      <c r="O6703" s="707"/>
      <c r="P6703" s="707"/>
      <c r="Q6703" s="1076"/>
      <c r="R6703" s="1076"/>
    </row>
    <row r="6704" spans="1:18" s="497" customFormat="1" ht="18">
      <c r="A6704" s="707"/>
      <c r="B6704" s="707"/>
      <c r="C6704" s="707"/>
      <c r="D6704" s="707"/>
      <c r="E6704" s="707"/>
      <c r="F6704" s="707"/>
      <c r="G6704" s="549"/>
      <c r="H6704" s="549"/>
      <c r="I6704" s="1879"/>
      <c r="J6704" s="1022"/>
      <c r="K6704" s="1023"/>
      <c r="L6704" s="893"/>
      <c r="M6704" s="707"/>
      <c r="N6704" s="707"/>
      <c r="O6704" s="707"/>
      <c r="P6704" s="707"/>
      <c r="Q6704" s="1076"/>
      <c r="R6704" s="1076"/>
    </row>
    <row r="6705" spans="1:18" ht="18">
      <c r="A6705" s="547" t="s">
        <v>451</v>
      </c>
      <c r="B6705" s="852" t="s">
        <v>581</v>
      </c>
      <c r="C6705" s="547" t="s">
        <v>19</v>
      </c>
      <c r="D6705" s="813" t="s">
        <v>20</v>
      </c>
      <c r="E6705" s="547" t="s">
        <v>359</v>
      </c>
      <c r="F6705" s="1018">
        <v>11</v>
      </c>
      <c r="G6705" s="707" t="s">
        <v>21</v>
      </c>
      <c r="H6705" s="1120" t="s">
        <v>91</v>
      </c>
      <c r="I6705" s="1879">
        <v>6.97</v>
      </c>
      <c r="J6705" s="1022">
        <v>12</v>
      </c>
      <c r="K6705" s="1023">
        <v>166</v>
      </c>
      <c r="L6705" s="893">
        <f>(I6705*J6705*K6705/1000)</f>
        <v>13.88424</v>
      </c>
      <c r="M6705" s="707"/>
      <c r="N6705" s="707"/>
      <c r="O6705" s="707"/>
      <c r="P6705" s="707"/>
      <c r="Q6705" s="497" t="s">
        <v>708</v>
      </c>
      <c r="R6705" s="1076"/>
    </row>
    <row r="6706" spans="1:18" ht="18">
      <c r="A6706" s="549"/>
      <c r="B6706" s="549" t="s">
        <v>277</v>
      </c>
      <c r="C6706" s="549"/>
      <c r="D6706" s="549"/>
      <c r="E6706" s="549"/>
      <c r="F6706" s="707"/>
      <c r="G6706" s="549"/>
      <c r="H6706" s="549"/>
      <c r="I6706" s="558"/>
      <c r="J6706" s="567"/>
      <c r="K6706" s="648">
        <f t="shared" ref="K6706" si="1444">SUM(K6705)</f>
        <v>166</v>
      </c>
      <c r="L6706" s="567">
        <f>SUM(L6705)</f>
        <v>13.88424</v>
      </c>
      <c r="M6706" s="707"/>
      <c r="N6706" s="707"/>
      <c r="O6706" s="707"/>
      <c r="P6706" s="707"/>
      <c r="Q6706" s="1076"/>
      <c r="R6706" s="1076"/>
    </row>
    <row r="6707" spans="1:18" s="497" customFormat="1" ht="18">
      <c r="A6707" s="549"/>
      <c r="B6707" s="549"/>
      <c r="C6707" s="549"/>
      <c r="D6707" s="549"/>
      <c r="E6707" s="549"/>
      <c r="F6707" s="707"/>
      <c r="G6707" s="549"/>
      <c r="H6707" s="549"/>
      <c r="I6707" s="558"/>
      <c r="J6707" s="567"/>
      <c r="K6707" s="648">
        <f>SUM(K6701:K6706)/2</f>
        <v>198</v>
      </c>
      <c r="L6707" s="567">
        <f>SUM(L6701:L6706)/2</f>
        <v>16.298648</v>
      </c>
      <c r="M6707" s="707"/>
      <c r="N6707" s="707"/>
      <c r="O6707" s="707"/>
      <c r="P6707" s="707"/>
      <c r="Q6707" s="1076"/>
      <c r="R6707" s="1076"/>
    </row>
    <row r="6708" spans="1:18" s="497" customFormat="1" ht="18">
      <c r="A6708" s="549"/>
      <c r="B6708" s="549"/>
      <c r="C6708" s="549"/>
      <c r="D6708" s="549"/>
      <c r="E6708" s="549"/>
      <c r="F6708" s="707"/>
      <c r="G6708" s="549"/>
      <c r="H6708" s="549"/>
      <c r="I6708" s="558"/>
      <c r="J6708" s="567"/>
      <c r="K6708" s="648"/>
      <c r="L6708" s="567"/>
      <c r="M6708" s="707"/>
      <c r="N6708" s="707"/>
      <c r="O6708" s="707"/>
      <c r="P6708" s="707"/>
      <c r="Q6708" s="1076"/>
      <c r="R6708" s="1076"/>
    </row>
    <row r="6709" spans="1:18" s="497" customFormat="1" ht="18">
      <c r="A6709" s="707"/>
      <c r="B6709" s="707"/>
      <c r="C6709" s="707"/>
      <c r="D6709" s="707"/>
      <c r="E6709" s="707"/>
      <c r="F6709" s="707"/>
      <c r="G6709" s="549"/>
      <c r="H6709" s="549"/>
      <c r="I6709" s="1879"/>
      <c r="J6709" s="567"/>
      <c r="K6709" s="648"/>
      <c r="L6709" s="567"/>
      <c r="M6709" s="707"/>
      <c r="N6709" s="707"/>
      <c r="O6709" s="707"/>
      <c r="P6709" s="707"/>
      <c r="Q6709" s="1076"/>
      <c r="R6709" s="1076"/>
    </row>
    <row r="6710" spans="1:18" ht="18">
      <c r="A6710" s="707"/>
      <c r="B6710" s="707"/>
      <c r="C6710" s="707"/>
      <c r="D6710" s="707"/>
      <c r="E6710" s="707"/>
      <c r="F6710" s="707"/>
      <c r="G6710" s="707"/>
      <c r="H6710" s="707"/>
      <c r="I6710" s="1854"/>
      <c r="J6710" s="707"/>
      <c r="K6710" s="1020"/>
      <c r="L6710" s="1016"/>
      <c r="M6710" s="707"/>
      <c r="N6710" s="707"/>
      <c r="O6710" s="707"/>
      <c r="P6710" s="707"/>
      <c r="Q6710" s="1076"/>
      <c r="R6710" s="1076"/>
    </row>
    <row r="6711" spans="1:18" ht="18">
      <c r="A6711" s="547" t="s">
        <v>523</v>
      </c>
      <c r="B6711" s="852" t="s">
        <v>580</v>
      </c>
      <c r="C6711" s="547" t="s">
        <v>446</v>
      </c>
      <c r="D6711" s="813" t="s">
        <v>447</v>
      </c>
      <c r="E6711" s="547" t="s">
        <v>359</v>
      </c>
      <c r="F6711" s="1018">
        <v>11</v>
      </c>
      <c r="G6711" s="707" t="s">
        <v>21</v>
      </c>
      <c r="H6711" s="1120" t="s">
        <v>91</v>
      </c>
      <c r="I6711" s="1879">
        <v>6.97</v>
      </c>
      <c r="J6711" s="1022">
        <v>10</v>
      </c>
      <c r="K6711" s="1023">
        <v>8</v>
      </c>
      <c r="L6711" s="893">
        <f t="shared" ref="L6711:L6713" si="1445">(I6711*J6711*K6711/1000)</f>
        <v>0.55759999999999998</v>
      </c>
      <c r="M6711" s="707"/>
      <c r="N6711" s="707"/>
      <c r="O6711" s="707"/>
      <c r="P6711" s="707"/>
      <c r="Q6711" s="497" t="s">
        <v>708</v>
      </c>
      <c r="R6711" s="1076"/>
    </row>
    <row r="6712" spans="1:18" ht="18">
      <c r="A6712" s="549"/>
      <c r="B6712" s="549"/>
      <c r="C6712" s="549"/>
      <c r="D6712" s="549"/>
      <c r="E6712" s="549"/>
      <c r="F6712" s="549"/>
      <c r="G6712" s="707" t="s">
        <v>21</v>
      </c>
      <c r="H6712" s="707" t="s">
        <v>91</v>
      </c>
      <c r="I6712" s="1879">
        <v>6.97</v>
      </c>
      <c r="J6712" s="1022">
        <v>10.5</v>
      </c>
      <c r="K6712" s="1023">
        <v>18</v>
      </c>
      <c r="L6712" s="893">
        <f t="shared" si="1445"/>
        <v>1.3173299999999999</v>
      </c>
      <c r="M6712" s="707"/>
      <c r="N6712" s="707"/>
      <c r="O6712" s="707"/>
      <c r="P6712" s="707"/>
      <c r="Q6712" s="1076"/>
      <c r="R6712" s="1076"/>
    </row>
    <row r="6713" spans="1:18" ht="18">
      <c r="A6713" s="707"/>
      <c r="B6713" s="707"/>
      <c r="C6713" s="707"/>
      <c r="D6713" s="707"/>
      <c r="E6713" s="707"/>
      <c r="F6713" s="707"/>
      <c r="G6713" s="707" t="s">
        <v>21</v>
      </c>
      <c r="H6713" s="707" t="s">
        <v>91</v>
      </c>
      <c r="I6713" s="1879">
        <v>6.97</v>
      </c>
      <c r="J6713" s="1022">
        <v>12</v>
      </c>
      <c r="K6713" s="1023">
        <v>31</v>
      </c>
      <c r="L6713" s="893">
        <f t="shared" si="1445"/>
        <v>2.5928400000000003</v>
      </c>
      <c r="M6713" s="707"/>
      <c r="N6713" s="707"/>
      <c r="O6713" s="707"/>
      <c r="P6713" s="707"/>
      <c r="Q6713" s="1076"/>
      <c r="R6713" s="1076"/>
    </row>
    <row r="6714" spans="1:18" ht="18">
      <c r="A6714" s="707"/>
      <c r="B6714" s="707"/>
      <c r="C6714" s="707"/>
      <c r="D6714" s="707"/>
      <c r="E6714" s="707"/>
      <c r="F6714" s="707"/>
      <c r="G6714" s="549"/>
      <c r="H6714" s="549"/>
      <c r="I6714" s="558"/>
      <c r="J6714" s="567"/>
      <c r="K6714" s="648">
        <f t="shared" ref="K6714:L6714" si="1446">SUM(K6711:K6713)</f>
        <v>57</v>
      </c>
      <c r="L6714" s="567">
        <f t="shared" si="1446"/>
        <v>4.4677699999999998</v>
      </c>
      <c r="M6714" s="707"/>
      <c r="N6714" s="707"/>
      <c r="O6714" s="707"/>
      <c r="P6714" s="707"/>
      <c r="Q6714" s="1076"/>
      <c r="R6714" s="1076"/>
    </row>
    <row r="6715" spans="1:18" s="497" customFormat="1" ht="18">
      <c r="A6715" s="707"/>
      <c r="B6715" s="707"/>
      <c r="C6715" s="707"/>
      <c r="D6715" s="707"/>
      <c r="E6715" s="707"/>
      <c r="F6715" s="707"/>
      <c r="G6715" s="549"/>
      <c r="H6715" s="549"/>
      <c r="I6715" s="558"/>
      <c r="J6715" s="567"/>
      <c r="K6715" s="648"/>
      <c r="L6715" s="567"/>
      <c r="M6715" s="707"/>
      <c r="N6715" s="707"/>
      <c r="O6715" s="707"/>
      <c r="P6715" s="707"/>
      <c r="Q6715" s="1076"/>
      <c r="R6715" s="1076"/>
    </row>
    <row r="6716" spans="1:18" s="497" customFormat="1" ht="18">
      <c r="A6716" s="707"/>
      <c r="B6716" s="707"/>
      <c r="C6716" s="707"/>
      <c r="D6716" s="707"/>
      <c r="E6716" s="707"/>
      <c r="F6716" s="707"/>
      <c r="G6716" s="549"/>
      <c r="H6716" s="549"/>
      <c r="I6716" s="558"/>
      <c r="J6716" s="567"/>
      <c r="K6716" s="648"/>
      <c r="L6716" s="567"/>
      <c r="M6716" s="707"/>
      <c r="N6716" s="707"/>
      <c r="O6716" s="707"/>
      <c r="P6716" s="707"/>
      <c r="Q6716" s="1076"/>
      <c r="R6716" s="1076"/>
    </row>
    <row r="6717" spans="1:18" ht="18">
      <c r="A6717" s="547" t="s">
        <v>523</v>
      </c>
      <c r="B6717" s="852" t="s">
        <v>580</v>
      </c>
      <c r="C6717" s="547" t="s">
        <v>446</v>
      </c>
      <c r="D6717" s="813" t="s">
        <v>447</v>
      </c>
      <c r="E6717" s="547" t="s">
        <v>359</v>
      </c>
      <c r="F6717" s="1018">
        <v>11</v>
      </c>
      <c r="G6717" s="707" t="s">
        <v>21</v>
      </c>
      <c r="H6717" s="1120" t="s">
        <v>53</v>
      </c>
      <c r="I6717" s="1879">
        <v>8.3000000000000007</v>
      </c>
      <c r="J6717" s="1022">
        <v>10</v>
      </c>
      <c r="K6717" s="1023">
        <v>90</v>
      </c>
      <c r="L6717" s="893">
        <f>(I6717*J6717*K6717/1000)</f>
        <v>7.47</v>
      </c>
      <c r="M6717" s="707"/>
      <c r="N6717" s="707"/>
      <c r="O6717" s="707"/>
      <c r="P6717" s="707"/>
      <c r="Q6717" s="497" t="s">
        <v>708</v>
      </c>
      <c r="R6717" s="1076"/>
    </row>
    <row r="6718" spans="1:18" ht="18">
      <c r="A6718" s="549"/>
      <c r="B6718" s="549"/>
      <c r="C6718" s="549"/>
      <c r="D6718" s="549"/>
      <c r="E6718" s="549"/>
      <c r="F6718" s="549"/>
      <c r="G6718" s="549"/>
      <c r="H6718" s="549"/>
      <c r="I6718" s="558"/>
      <c r="J6718" s="567"/>
      <c r="K6718" s="648">
        <f t="shared" ref="K6718:L6718" si="1447">SUM(K6717)</f>
        <v>90</v>
      </c>
      <c r="L6718" s="567">
        <f t="shared" si="1447"/>
        <v>7.47</v>
      </c>
      <c r="M6718" s="707"/>
      <c r="N6718" s="707"/>
      <c r="O6718" s="707"/>
      <c r="P6718" s="707"/>
      <c r="Q6718" s="1076"/>
      <c r="R6718" s="1076"/>
    </row>
    <row r="6719" spans="1:18" ht="18">
      <c r="A6719" s="707"/>
      <c r="B6719" s="707"/>
      <c r="C6719" s="707"/>
      <c r="D6719" s="707"/>
      <c r="E6719" s="707"/>
      <c r="F6719" s="707"/>
      <c r="G6719" s="707"/>
      <c r="H6719" s="707"/>
      <c r="I6719" s="1854"/>
      <c r="J6719" s="707"/>
      <c r="K6719" s="1020"/>
      <c r="L6719" s="1016"/>
      <c r="M6719" s="707"/>
      <c r="N6719" s="707"/>
      <c r="O6719" s="707"/>
      <c r="P6719" s="707"/>
      <c r="Q6719" s="1076"/>
      <c r="R6719" s="1076"/>
    </row>
    <row r="6720" spans="1:18" ht="18">
      <c r="A6720" s="547" t="s">
        <v>445</v>
      </c>
      <c r="B6720" s="547" t="s">
        <v>613</v>
      </c>
      <c r="C6720" s="547" t="s">
        <v>446</v>
      </c>
      <c r="D6720" s="813" t="s">
        <v>447</v>
      </c>
      <c r="E6720" s="547" t="s">
        <v>359</v>
      </c>
      <c r="F6720" s="1018">
        <v>11</v>
      </c>
      <c r="G6720" s="707" t="s">
        <v>21</v>
      </c>
      <c r="H6720" s="1120" t="s">
        <v>53</v>
      </c>
      <c r="I6720" s="1879">
        <v>8.32</v>
      </c>
      <c r="J6720" s="1022">
        <v>8.6999999999999993</v>
      </c>
      <c r="K6720" s="1023">
        <v>74</v>
      </c>
      <c r="L6720" s="893">
        <f t="shared" ref="L6720:L6724" si="1448">(I6720*J6720*K6720/1000)</f>
        <v>5.3564160000000003</v>
      </c>
      <c r="M6720" s="707"/>
      <c r="N6720" s="707"/>
      <c r="O6720" s="707"/>
      <c r="P6720" s="707"/>
      <c r="Q6720" s="497" t="s">
        <v>708</v>
      </c>
      <c r="R6720" s="1076"/>
    </row>
    <row r="6721" spans="1:18" ht="18">
      <c r="A6721" s="549"/>
      <c r="B6721" s="549"/>
      <c r="C6721" s="549"/>
      <c r="D6721" s="549"/>
      <c r="E6721" s="549"/>
      <c r="F6721" s="549"/>
      <c r="G6721" s="707" t="s">
        <v>21</v>
      </c>
      <c r="H6721" s="707" t="s">
        <v>53</v>
      </c>
      <c r="I6721" s="1879">
        <v>8.32</v>
      </c>
      <c r="J6721" s="1022">
        <v>9</v>
      </c>
      <c r="K6721" s="1023">
        <v>160</v>
      </c>
      <c r="L6721" s="893">
        <f t="shared" si="1448"/>
        <v>11.980799999999999</v>
      </c>
      <c r="M6721" s="707"/>
      <c r="N6721" s="707"/>
      <c r="O6721" s="707"/>
      <c r="P6721" s="707"/>
      <c r="Q6721" s="1076"/>
      <c r="R6721" s="1076"/>
    </row>
    <row r="6722" spans="1:18" ht="18">
      <c r="A6722" s="707"/>
      <c r="B6722" s="707"/>
      <c r="C6722" s="707"/>
      <c r="D6722" s="707"/>
      <c r="E6722" s="707"/>
      <c r="F6722" s="707"/>
      <c r="G6722" s="707" t="s">
        <v>21</v>
      </c>
      <c r="H6722" s="707" t="s">
        <v>53</v>
      </c>
      <c r="I6722" s="1879">
        <v>8.32</v>
      </c>
      <c r="J6722" s="1022">
        <v>9.6</v>
      </c>
      <c r="K6722" s="1023">
        <v>78</v>
      </c>
      <c r="L6722" s="893">
        <f t="shared" si="1448"/>
        <v>6.230016</v>
      </c>
      <c r="M6722" s="707"/>
      <c r="N6722" s="707"/>
      <c r="O6722" s="707"/>
      <c r="P6722" s="707"/>
      <c r="Q6722" s="1076"/>
      <c r="R6722" s="1076"/>
    </row>
    <row r="6723" spans="1:18" ht="18">
      <c r="A6723" s="707"/>
      <c r="B6723" s="707"/>
      <c r="C6723" s="707"/>
      <c r="D6723" s="707"/>
      <c r="E6723" s="707"/>
      <c r="F6723" s="707"/>
      <c r="G6723" s="707" t="s">
        <v>21</v>
      </c>
      <c r="H6723" s="707" t="s">
        <v>53</v>
      </c>
      <c r="I6723" s="1879">
        <v>8.32</v>
      </c>
      <c r="J6723" s="1022">
        <v>10</v>
      </c>
      <c r="K6723" s="1023">
        <v>116</v>
      </c>
      <c r="L6723" s="893">
        <f t="shared" si="1448"/>
        <v>9.6512000000000011</v>
      </c>
      <c r="M6723" s="707"/>
      <c r="N6723" s="707"/>
      <c r="O6723" s="707"/>
      <c r="P6723" s="707"/>
      <c r="Q6723" s="1076"/>
      <c r="R6723" s="1076"/>
    </row>
    <row r="6724" spans="1:18" ht="18">
      <c r="A6724" s="707"/>
      <c r="B6724" s="707"/>
      <c r="C6724" s="707"/>
      <c r="D6724" s="707"/>
      <c r="E6724" s="707"/>
      <c r="F6724" s="707"/>
      <c r="G6724" s="707" t="s">
        <v>21</v>
      </c>
      <c r="H6724" s="707" t="s">
        <v>53</v>
      </c>
      <c r="I6724" s="1879">
        <v>8.32</v>
      </c>
      <c r="J6724" s="1022">
        <v>10.5</v>
      </c>
      <c r="K6724" s="1023">
        <v>220</v>
      </c>
      <c r="L6724" s="893">
        <f t="shared" si="1448"/>
        <v>19.219200000000001</v>
      </c>
      <c r="M6724" s="707"/>
      <c r="N6724" s="707"/>
      <c r="O6724" s="707"/>
      <c r="P6724" s="707"/>
      <c r="Q6724" s="1076"/>
      <c r="R6724" s="1076"/>
    </row>
    <row r="6725" spans="1:18" ht="18">
      <c r="A6725" s="707"/>
      <c r="B6725" s="707"/>
      <c r="C6725" s="707"/>
      <c r="D6725" s="707"/>
      <c r="E6725" s="707"/>
      <c r="F6725" s="707"/>
      <c r="G6725" s="707" t="s">
        <v>21</v>
      </c>
      <c r="H6725" s="707" t="s">
        <v>53</v>
      </c>
      <c r="I6725" s="1879">
        <v>8.32</v>
      </c>
      <c r="J6725" s="1022">
        <v>11</v>
      </c>
      <c r="K6725" s="1023">
        <v>115</v>
      </c>
      <c r="L6725" s="893">
        <f>(I6725*J6725*K6725/1000)</f>
        <v>10.524800000000001</v>
      </c>
      <c r="M6725" s="707"/>
      <c r="N6725" s="707"/>
      <c r="O6725" s="707"/>
      <c r="P6725" s="707"/>
      <c r="Q6725" s="1076"/>
      <c r="R6725" s="1076"/>
    </row>
    <row r="6726" spans="1:18" ht="18">
      <c r="A6726" s="707"/>
      <c r="B6726" s="707"/>
      <c r="C6726" s="707"/>
      <c r="D6726" s="707"/>
      <c r="E6726" s="707"/>
      <c r="F6726" s="707"/>
      <c r="G6726" s="707" t="s">
        <v>21</v>
      </c>
      <c r="H6726" s="707" t="s">
        <v>53</v>
      </c>
      <c r="I6726" s="1879">
        <v>8.32</v>
      </c>
      <c r="J6726" s="1022">
        <v>12</v>
      </c>
      <c r="K6726" s="1023">
        <v>167</v>
      </c>
      <c r="L6726" s="893">
        <f>(I6726*J6726*K6726/1000)</f>
        <v>16.673279999999998</v>
      </c>
      <c r="M6726" s="707"/>
      <c r="N6726" s="707"/>
      <c r="O6726" s="707"/>
      <c r="P6726" s="707"/>
      <c r="Q6726" s="1076"/>
      <c r="R6726" s="1076"/>
    </row>
    <row r="6727" spans="1:18" ht="18">
      <c r="A6727" s="707"/>
      <c r="B6727" s="707"/>
      <c r="C6727" s="707"/>
      <c r="D6727" s="707"/>
      <c r="E6727" s="707"/>
      <c r="F6727" s="707"/>
      <c r="G6727" s="549"/>
      <c r="H6727" s="549"/>
      <c r="I6727" s="558"/>
      <c r="J6727" s="567"/>
      <c r="K6727" s="648">
        <f>SUM(K6720:K6726)</f>
        <v>930</v>
      </c>
      <c r="L6727" s="567">
        <f>SUM(L6720:L6726)</f>
        <v>79.635711999999998</v>
      </c>
      <c r="M6727" s="707"/>
      <c r="N6727" s="707"/>
      <c r="O6727" s="707"/>
      <c r="P6727" s="707"/>
      <c r="Q6727" s="1076"/>
      <c r="R6727" s="1076"/>
    </row>
    <row r="6728" spans="1:18" s="497" customFormat="1" ht="18">
      <c r="A6728" s="707"/>
      <c r="B6728" s="707"/>
      <c r="C6728" s="707"/>
      <c r="D6728" s="707"/>
      <c r="E6728" s="707"/>
      <c r="F6728" s="707"/>
      <c r="G6728" s="549"/>
      <c r="H6728" s="549"/>
      <c r="I6728" s="558"/>
      <c r="J6728" s="567"/>
      <c r="K6728" s="648">
        <f>SUM(K6717:K6727)/2</f>
        <v>1020</v>
      </c>
      <c r="L6728" s="567">
        <f>SUM(L6717:L6727)/2</f>
        <v>87.105712000000011</v>
      </c>
      <c r="M6728" s="707"/>
      <c r="N6728" s="707"/>
      <c r="O6728" s="707"/>
      <c r="P6728" s="707"/>
      <c r="Q6728" s="1076"/>
      <c r="R6728" s="1076"/>
    </row>
    <row r="6729" spans="1:18" s="497" customFormat="1" ht="18">
      <c r="A6729" s="707"/>
      <c r="B6729" s="707"/>
      <c r="C6729" s="707"/>
      <c r="D6729" s="707"/>
      <c r="E6729" s="707"/>
      <c r="F6729" s="707"/>
      <c r="G6729" s="549"/>
      <c r="H6729" s="549"/>
      <c r="I6729" s="558"/>
      <c r="J6729" s="567"/>
      <c r="K6729" s="648"/>
      <c r="L6729" s="567"/>
      <c r="M6729" s="707"/>
      <c r="N6729" s="707"/>
      <c r="O6729" s="707"/>
      <c r="P6729" s="707"/>
      <c r="Q6729" s="1076"/>
      <c r="R6729" s="1076"/>
    </row>
    <row r="6730" spans="1:18" s="497" customFormat="1" ht="18">
      <c r="A6730" s="547" t="s">
        <v>683</v>
      </c>
      <c r="B6730" s="852" t="s">
        <v>581</v>
      </c>
      <c r="C6730" s="547" t="s">
        <v>19</v>
      </c>
      <c r="D6730" s="813" t="s">
        <v>60</v>
      </c>
      <c r="E6730" s="547" t="s">
        <v>270</v>
      </c>
      <c r="F6730" s="1032">
        <v>11</v>
      </c>
      <c r="G6730" s="549" t="s">
        <v>61</v>
      </c>
      <c r="H6730" s="599" t="s">
        <v>91</v>
      </c>
      <c r="I6730" s="558">
        <v>6.97</v>
      </c>
      <c r="J6730" s="567">
        <v>12</v>
      </c>
      <c r="K6730" s="648">
        <v>38</v>
      </c>
      <c r="L6730" s="552">
        <f>(I6730*J6730*K6730/1000)</f>
        <v>3.1783200000000003</v>
      </c>
      <c r="M6730" s="707"/>
      <c r="N6730" s="707"/>
      <c r="O6730" s="707"/>
      <c r="P6730" s="707"/>
      <c r="Q6730" s="497" t="s">
        <v>709</v>
      </c>
      <c r="R6730" s="1076"/>
    </row>
    <row r="6731" spans="1:18" s="497" customFormat="1" ht="18">
      <c r="A6731" s="549"/>
      <c r="B6731" s="549" t="s">
        <v>277</v>
      </c>
      <c r="C6731" s="549"/>
      <c r="D6731" s="549"/>
      <c r="E6731" s="549"/>
      <c r="F6731" s="549"/>
      <c r="G6731" s="549"/>
      <c r="H6731" s="549"/>
      <c r="I6731" s="558"/>
      <c r="J6731" s="567"/>
      <c r="K6731" s="648">
        <f t="shared" ref="K6731" si="1449">SUM(K6730)</f>
        <v>38</v>
      </c>
      <c r="L6731" s="567">
        <f>SUM(L6730)</f>
        <v>3.1783200000000003</v>
      </c>
      <c r="M6731" s="707"/>
      <c r="N6731" s="707"/>
      <c r="O6731" s="707"/>
      <c r="P6731" s="707"/>
      <c r="Q6731" s="1076"/>
      <c r="R6731" s="1076"/>
    </row>
    <row r="6732" spans="1:18" s="497" customFormat="1" ht="18">
      <c r="A6732" s="549"/>
      <c r="B6732" s="549"/>
      <c r="C6732" s="549"/>
      <c r="D6732" s="549"/>
      <c r="E6732" s="549"/>
      <c r="F6732" s="549"/>
      <c r="G6732" s="549"/>
      <c r="H6732" s="549"/>
      <c r="I6732" s="558"/>
      <c r="J6732" s="567"/>
      <c r="K6732" s="648"/>
      <c r="L6732" s="567"/>
      <c r="M6732" s="707"/>
      <c r="N6732" s="707"/>
      <c r="O6732" s="707"/>
      <c r="P6732" s="707"/>
      <c r="Q6732" s="1076"/>
      <c r="R6732" s="1076"/>
    </row>
    <row r="6733" spans="1:18" s="497" customFormat="1" ht="17.399999999999999">
      <c r="A6733" s="547" t="s">
        <v>451</v>
      </c>
      <c r="B6733" s="852" t="s">
        <v>581</v>
      </c>
      <c r="C6733" s="547" t="s">
        <v>19</v>
      </c>
      <c r="D6733" s="813" t="s">
        <v>60</v>
      </c>
      <c r="E6733" s="547" t="s">
        <v>270</v>
      </c>
      <c r="F6733" s="1032">
        <v>8.5</v>
      </c>
      <c r="G6733" s="549" t="s">
        <v>61</v>
      </c>
      <c r="H6733" s="599" t="s">
        <v>53</v>
      </c>
      <c r="I6733" s="558">
        <v>8.32</v>
      </c>
      <c r="J6733" s="567">
        <v>12</v>
      </c>
      <c r="K6733" s="648">
        <v>38</v>
      </c>
      <c r="L6733" s="552">
        <f>(I6733*J6733*K6733/1000)</f>
        <v>3.79392</v>
      </c>
      <c r="M6733" s="549"/>
      <c r="N6733" s="549"/>
      <c r="O6733" s="549"/>
      <c r="P6733" s="549"/>
      <c r="Q6733" s="497" t="s">
        <v>709</v>
      </c>
      <c r="R6733" s="1059"/>
    </row>
    <row r="6734" spans="1:18" s="497" customFormat="1" ht="17.399999999999999">
      <c r="A6734" s="549"/>
      <c r="B6734" s="549" t="s">
        <v>277</v>
      </c>
      <c r="C6734" s="549"/>
      <c r="D6734" s="549"/>
      <c r="E6734" s="549"/>
      <c r="F6734" s="549"/>
      <c r="G6734" s="549"/>
      <c r="H6734" s="549"/>
      <c r="I6734" s="558"/>
      <c r="J6734" s="567"/>
      <c r="K6734" s="648">
        <f t="shared" ref="K6734:L6734" si="1450">SUM(K6733)</f>
        <v>38</v>
      </c>
      <c r="L6734" s="567">
        <f t="shared" si="1450"/>
        <v>3.79392</v>
      </c>
      <c r="M6734" s="549"/>
      <c r="N6734" s="549"/>
      <c r="O6734" s="549"/>
      <c r="P6734" s="549"/>
      <c r="Q6734" s="1059"/>
      <c r="R6734" s="1059"/>
    </row>
    <row r="6735" spans="1:18" s="497" customFormat="1" ht="17.399999999999999">
      <c r="A6735" s="549"/>
      <c r="B6735" s="549"/>
      <c r="C6735" s="549"/>
      <c r="D6735" s="549"/>
      <c r="E6735" s="549"/>
      <c r="F6735" s="549"/>
      <c r="G6735" s="549"/>
      <c r="H6735" s="549"/>
      <c r="I6735" s="560"/>
      <c r="J6735" s="549"/>
      <c r="K6735" s="561"/>
      <c r="L6735" s="560"/>
      <c r="M6735" s="549"/>
      <c r="N6735" s="549"/>
      <c r="O6735" s="549"/>
      <c r="P6735" s="549"/>
      <c r="Q6735" s="1059"/>
      <c r="R6735" s="1059"/>
    </row>
    <row r="6736" spans="1:18" s="497" customFormat="1" ht="17.399999999999999">
      <c r="A6736" s="547" t="s">
        <v>445</v>
      </c>
      <c r="B6736" s="547" t="s">
        <v>672</v>
      </c>
      <c r="C6736" s="547" t="s">
        <v>19</v>
      </c>
      <c r="D6736" s="547" t="s">
        <v>60</v>
      </c>
      <c r="E6736" s="547" t="s">
        <v>90</v>
      </c>
      <c r="F6736" s="1032">
        <v>11</v>
      </c>
      <c r="G6736" s="549" t="s">
        <v>61</v>
      </c>
      <c r="H6736" s="549" t="s">
        <v>53</v>
      </c>
      <c r="I6736" s="558">
        <v>8.3000000000000007</v>
      </c>
      <c r="J6736" s="567">
        <v>7.2</v>
      </c>
      <c r="K6736" s="648">
        <v>20</v>
      </c>
      <c r="L6736" s="552">
        <f>(I6736*J6736*K6736/1000)</f>
        <v>1.1952</v>
      </c>
      <c r="M6736" s="549"/>
      <c r="N6736" s="549"/>
      <c r="O6736" s="549"/>
      <c r="P6736" s="549"/>
      <c r="Q6736" s="1059"/>
      <c r="R6736" s="1059"/>
    </row>
    <row r="6737" spans="1:18" s="497" customFormat="1" ht="17.399999999999999">
      <c r="A6737" s="547"/>
      <c r="B6737" s="1024" t="s">
        <v>540</v>
      </c>
      <c r="C6737" s="755"/>
      <c r="D6737" s="547"/>
      <c r="E6737" s="547"/>
      <c r="F6737" s="549"/>
      <c r="G6737" s="549" t="s">
        <v>61</v>
      </c>
      <c r="H6737" s="549" t="s">
        <v>53</v>
      </c>
      <c r="I6737" s="558">
        <v>8.3000000000000007</v>
      </c>
      <c r="J6737" s="567">
        <v>12</v>
      </c>
      <c r="K6737" s="648">
        <v>10</v>
      </c>
      <c r="L6737" s="552">
        <f>(I6737*J6737*K6737/1000)</f>
        <v>0.99600000000000011</v>
      </c>
      <c r="M6737" s="549"/>
      <c r="N6737" s="549"/>
      <c r="O6737" s="549"/>
      <c r="P6737" s="549"/>
      <c r="Q6737" s="1059"/>
      <c r="R6737" s="1059"/>
    </row>
    <row r="6738" spans="1:18" s="497" customFormat="1" ht="17.399999999999999">
      <c r="A6738" s="549"/>
      <c r="B6738" s="549"/>
      <c r="C6738" s="549"/>
      <c r="D6738" s="549"/>
      <c r="E6738" s="549"/>
      <c r="F6738" s="549"/>
      <c r="G6738" s="549"/>
      <c r="H6738" s="549"/>
      <c r="I6738" s="560"/>
      <c r="J6738" s="549"/>
      <c r="K6738" s="652">
        <f>SUM(K6736:K6737)</f>
        <v>30</v>
      </c>
      <c r="L6738" s="565">
        <f>SUM(L6736:L6737)</f>
        <v>2.1912000000000003</v>
      </c>
      <c r="M6738" s="549"/>
      <c r="N6738" s="549"/>
      <c r="O6738" s="549"/>
      <c r="P6738" s="549"/>
      <c r="Q6738" s="1059"/>
      <c r="R6738" s="1059"/>
    </row>
    <row r="6739" spans="1:18" s="497" customFormat="1" ht="17.399999999999999">
      <c r="A6739" s="549"/>
      <c r="B6739" s="549"/>
      <c r="C6739" s="549"/>
      <c r="D6739" s="549"/>
      <c r="E6739" s="549"/>
      <c r="F6739" s="549"/>
      <c r="G6739" s="549"/>
      <c r="H6739" s="549"/>
      <c r="I6739" s="560"/>
      <c r="J6739" s="549"/>
      <c r="K6739" s="652"/>
      <c r="L6739" s="565"/>
      <c r="M6739" s="549"/>
      <c r="N6739" s="549"/>
      <c r="O6739" s="549"/>
      <c r="P6739" s="549"/>
      <c r="Q6739" s="1059"/>
      <c r="R6739" s="1059"/>
    </row>
    <row r="6740" spans="1:18" s="497" customFormat="1" ht="18">
      <c r="A6740" s="547" t="s">
        <v>83</v>
      </c>
      <c r="B6740" s="549" t="s">
        <v>684</v>
      </c>
      <c r="C6740" s="547" t="s">
        <v>19</v>
      </c>
      <c r="D6740" s="547" t="s">
        <v>60</v>
      </c>
      <c r="E6740" s="547" t="s">
        <v>247</v>
      </c>
      <c r="F6740" s="1032">
        <v>11</v>
      </c>
      <c r="G6740" s="549" t="s">
        <v>61</v>
      </c>
      <c r="H6740" s="599" t="s">
        <v>53</v>
      </c>
      <c r="I6740" s="558">
        <v>8.3000000000000007</v>
      </c>
      <c r="J6740" s="567">
        <v>9.3000000000000007</v>
      </c>
      <c r="K6740" s="648">
        <v>81</v>
      </c>
      <c r="L6740" s="552">
        <f>(I6740*J6740*K6740/1000)</f>
        <v>6.252390000000001</v>
      </c>
      <c r="M6740" s="707"/>
      <c r="N6740" s="707"/>
      <c r="O6740" s="707"/>
      <c r="P6740" s="707"/>
      <c r="Q6740" s="497" t="s">
        <v>709</v>
      </c>
      <c r="R6740" s="1076"/>
    </row>
    <row r="6741" spans="1:18" s="497" customFormat="1" ht="18">
      <c r="A6741" s="547"/>
      <c r="B6741" s="549"/>
      <c r="C6741" s="547"/>
      <c r="D6741" s="547"/>
      <c r="E6741" s="547"/>
      <c r="F6741" s="1032"/>
      <c r="G6741" s="549" t="s">
        <v>61</v>
      </c>
      <c r="H6741" s="549" t="s">
        <v>53</v>
      </c>
      <c r="I6741" s="558">
        <v>8.3000000000000007</v>
      </c>
      <c r="J6741" s="567">
        <v>10.3</v>
      </c>
      <c r="K6741" s="648">
        <v>135</v>
      </c>
      <c r="L6741" s="552">
        <f t="shared" ref="L6741:L6745" si="1451">(I6741*J6741*K6741/1000)</f>
        <v>11.541150000000002</v>
      </c>
      <c r="M6741" s="707"/>
      <c r="N6741" s="707"/>
      <c r="O6741" s="707"/>
      <c r="P6741" s="707"/>
      <c r="Q6741" s="1076"/>
      <c r="R6741" s="1076"/>
    </row>
    <row r="6742" spans="1:18" s="497" customFormat="1" ht="18">
      <c r="A6742" s="547"/>
      <c r="B6742" s="549"/>
      <c r="C6742" s="547"/>
      <c r="D6742" s="547"/>
      <c r="E6742" s="547"/>
      <c r="F6742" s="1032"/>
      <c r="G6742" s="549" t="s">
        <v>61</v>
      </c>
      <c r="H6742" s="549" t="s">
        <v>53</v>
      </c>
      <c r="I6742" s="558">
        <v>8.3000000000000007</v>
      </c>
      <c r="J6742" s="567">
        <v>10.5</v>
      </c>
      <c r="K6742" s="648">
        <v>72</v>
      </c>
      <c r="L6742" s="552">
        <f t="shared" si="1451"/>
        <v>6.2747999999999999</v>
      </c>
      <c r="M6742" s="707"/>
      <c r="N6742" s="707"/>
      <c r="O6742" s="707"/>
      <c r="P6742" s="707"/>
      <c r="Q6742" s="1076"/>
      <c r="R6742" s="1076"/>
    </row>
    <row r="6743" spans="1:18" s="497" customFormat="1" ht="18">
      <c r="A6743" s="547"/>
      <c r="B6743" s="549"/>
      <c r="C6743" s="547"/>
      <c r="D6743" s="547"/>
      <c r="E6743" s="547"/>
      <c r="F6743" s="1032"/>
      <c r="G6743" s="549" t="s">
        <v>61</v>
      </c>
      <c r="H6743" s="549" t="s">
        <v>53</v>
      </c>
      <c r="I6743" s="558">
        <v>8.3000000000000007</v>
      </c>
      <c r="J6743" s="567">
        <v>10.7</v>
      </c>
      <c r="K6743" s="648">
        <v>108</v>
      </c>
      <c r="L6743" s="552">
        <f t="shared" si="1451"/>
        <v>9.5914799999999989</v>
      </c>
      <c r="M6743" s="707"/>
      <c r="N6743" s="707"/>
      <c r="O6743" s="707"/>
      <c r="P6743" s="707"/>
      <c r="Q6743" s="1076"/>
      <c r="R6743" s="1076"/>
    </row>
    <row r="6744" spans="1:18" s="497" customFormat="1" ht="18">
      <c r="A6744" s="547"/>
      <c r="B6744" s="549"/>
      <c r="C6744" s="547"/>
      <c r="D6744" s="547"/>
      <c r="E6744" s="547"/>
      <c r="F6744" s="1032"/>
      <c r="G6744" s="549" t="s">
        <v>61</v>
      </c>
      <c r="H6744" s="549" t="s">
        <v>53</v>
      </c>
      <c r="I6744" s="558">
        <v>8.3000000000000007</v>
      </c>
      <c r="J6744" s="567">
        <v>11</v>
      </c>
      <c r="K6744" s="648">
        <v>36</v>
      </c>
      <c r="L6744" s="552">
        <f t="shared" si="1451"/>
        <v>3.2868000000000004</v>
      </c>
      <c r="M6744" s="707"/>
      <c r="N6744" s="707"/>
      <c r="O6744" s="707"/>
      <c r="P6744" s="707"/>
      <c r="Q6744" s="1076"/>
      <c r="R6744" s="1076"/>
    </row>
    <row r="6745" spans="1:18" s="497" customFormat="1" ht="18">
      <c r="A6745" s="547"/>
      <c r="B6745" s="549"/>
      <c r="C6745" s="547"/>
      <c r="D6745" s="547"/>
      <c r="E6745" s="547"/>
      <c r="F6745" s="1032"/>
      <c r="G6745" s="549" t="s">
        <v>61</v>
      </c>
      <c r="H6745" s="549" t="s">
        <v>53</v>
      </c>
      <c r="I6745" s="558">
        <v>8.3000000000000007</v>
      </c>
      <c r="J6745" s="567">
        <v>11.5</v>
      </c>
      <c r="K6745" s="648">
        <v>108</v>
      </c>
      <c r="L6745" s="552">
        <f t="shared" si="1451"/>
        <v>10.3086</v>
      </c>
      <c r="M6745" s="707"/>
      <c r="N6745" s="707"/>
      <c r="O6745" s="707"/>
      <c r="P6745" s="707"/>
      <c r="Q6745" s="1076"/>
      <c r="R6745" s="1076"/>
    </row>
    <row r="6746" spans="1:18" s="497" customFormat="1" ht="18">
      <c r="A6746" s="707"/>
      <c r="B6746" s="707"/>
      <c r="C6746" s="707"/>
      <c r="D6746" s="707"/>
      <c r="E6746" s="707"/>
      <c r="F6746" s="707"/>
      <c r="G6746" s="549"/>
      <c r="H6746" s="549"/>
      <c r="I6746" s="558"/>
      <c r="J6746" s="567"/>
      <c r="K6746" s="648">
        <f t="shared" ref="K6746:L6746" si="1452">SUM(K6740:K6745)</f>
        <v>540</v>
      </c>
      <c r="L6746" s="567">
        <f t="shared" si="1452"/>
        <v>47.255220000000001</v>
      </c>
      <c r="M6746" s="707"/>
      <c r="N6746" s="707"/>
      <c r="O6746" s="707"/>
      <c r="P6746" s="707"/>
      <c r="Q6746" s="1076"/>
      <c r="R6746" s="1076"/>
    </row>
    <row r="6747" spans="1:18" s="497" customFormat="1" ht="18">
      <c r="A6747" s="707"/>
      <c r="B6747" s="707"/>
      <c r="C6747" s="707"/>
      <c r="D6747" s="707"/>
      <c r="E6747" s="707"/>
      <c r="F6747" s="707"/>
      <c r="G6747" s="549"/>
      <c r="H6747" s="549"/>
      <c r="I6747" s="558"/>
      <c r="J6747" s="567"/>
      <c r="K6747" s="648"/>
      <c r="L6747" s="567"/>
      <c r="M6747" s="707"/>
      <c r="N6747" s="707"/>
      <c r="O6747" s="707"/>
      <c r="P6747" s="707"/>
      <c r="Q6747" s="1076"/>
      <c r="R6747" s="1076"/>
    </row>
    <row r="6748" spans="1:18" s="497" customFormat="1" ht="18">
      <c r="A6748" s="547" t="s">
        <v>83</v>
      </c>
      <c r="B6748" s="549" t="s">
        <v>684</v>
      </c>
      <c r="C6748" s="547" t="s">
        <v>19</v>
      </c>
      <c r="D6748" s="813" t="s">
        <v>60</v>
      </c>
      <c r="E6748" s="547" t="s">
        <v>270</v>
      </c>
      <c r="F6748" s="1032">
        <v>11</v>
      </c>
      <c r="G6748" s="549" t="s">
        <v>61</v>
      </c>
      <c r="H6748" s="599" t="s">
        <v>53</v>
      </c>
      <c r="I6748" s="558">
        <v>8.32</v>
      </c>
      <c r="J6748" s="567">
        <v>8.5</v>
      </c>
      <c r="K6748" s="648">
        <v>22</v>
      </c>
      <c r="L6748" s="552">
        <f>(I6748*J6748*K6748/1000)</f>
        <v>1.5558399999999999</v>
      </c>
      <c r="M6748" s="707"/>
      <c r="N6748" s="707"/>
      <c r="O6748" s="707"/>
      <c r="P6748" s="707"/>
      <c r="Q6748" s="497" t="s">
        <v>709</v>
      </c>
      <c r="R6748" s="1076"/>
    </row>
    <row r="6749" spans="1:18" s="497" customFormat="1" ht="18">
      <c r="A6749" s="547"/>
      <c r="B6749" s="549"/>
      <c r="C6749" s="547"/>
      <c r="D6749" s="547"/>
      <c r="E6749" s="547"/>
      <c r="F6749" s="1032"/>
      <c r="G6749" s="549" t="s">
        <v>61</v>
      </c>
      <c r="H6749" s="549" t="s">
        <v>53</v>
      </c>
      <c r="I6749" s="558">
        <v>8.32</v>
      </c>
      <c r="J6749" s="567">
        <v>9</v>
      </c>
      <c r="K6749" s="648">
        <v>13</v>
      </c>
      <c r="L6749" s="552">
        <f t="shared" ref="L6749:L6752" si="1453">(I6749*J6749*K6749/1000)</f>
        <v>0.97343999999999997</v>
      </c>
      <c r="M6749" s="707"/>
      <c r="N6749" s="707"/>
      <c r="O6749" s="707"/>
      <c r="P6749" s="707"/>
      <c r="Q6749" s="1076"/>
      <c r="R6749" s="1076"/>
    </row>
    <row r="6750" spans="1:18" s="497" customFormat="1" ht="18">
      <c r="A6750" s="547"/>
      <c r="B6750" s="549"/>
      <c r="C6750" s="547"/>
      <c r="D6750" s="547"/>
      <c r="E6750" s="547"/>
      <c r="F6750" s="1032"/>
      <c r="G6750" s="549" t="s">
        <v>61</v>
      </c>
      <c r="H6750" s="549" t="s">
        <v>53</v>
      </c>
      <c r="I6750" s="558">
        <v>8.32</v>
      </c>
      <c r="J6750" s="567">
        <v>10</v>
      </c>
      <c r="K6750" s="648">
        <v>38</v>
      </c>
      <c r="L6750" s="552">
        <f t="shared" si="1453"/>
        <v>3.1616</v>
      </c>
      <c r="M6750" s="707"/>
      <c r="N6750" s="707"/>
      <c r="O6750" s="707"/>
      <c r="P6750" s="707"/>
      <c r="Q6750" s="1076"/>
      <c r="R6750" s="1076"/>
    </row>
    <row r="6751" spans="1:18" s="497" customFormat="1" ht="18">
      <c r="A6751" s="547"/>
      <c r="B6751" s="549"/>
      <c r="C6751" s="547"/>
      <c r="D6751" s="547"/>
      <c r="E6751" s="547"/>
      <c r="F6751" s="1032"/>
      <c r="G6751" s="549" t="s">
        <v>61</v>
      </c>
      <c r="H6751" s="549" t="s">
        <v>53</v>
      </c>
      <c r="I6751" s="558">
        <v>8.32</v>
      </c>
      <c r="J6751" s="567">
        <v>11</v>
      </c>
      <c r="K6751" s="648">
        <v>20</v>
      </c>
      <c r="L6751" s="552">
        <f t="shared" si="1453"/>
        <v>1.8304</v>
      </c>
      <c r="M6751" s="707"/>
      <c r="N6751" s="707"/>
      <c r="O6751" s="707"/>
      <c r="P6751" s="707"/>
      <c r="Q6751" s="1076"/>
      <c r="R6751" s="1076"/>
    </row>
    <row r="6752" spans="1:18" s="497" customFormat="1" ht="18">
      <c r="A6752" s="547"/>
      <c r="B6752" s="549"/>
      <c r="C6752" s="547"/>
      <c r="D6752" s="547"/>
      <c r="E6752" s="547"/>
      <c r="F6752" s="1032"/>
      <c r="G6752" s="549" t="s">
        <v>61</v>
      </c>
      <c r="H6752" s="549" t="s">
        <v>53</v>
      </c>
      <c r="I6752" s="558">
        <v>8.32</v>
      </c>
      <c r="J6752" s="567">
        <v>12</v>
      </c>
      <c r="K6752" s="648">
        <v>105</v>
      </c>
      <c r="L6752" s="552">
        <f t="shared" si="1453"/>
        <v>10.4832</v>
      </c>
      <c r="M6752" s="707"/>
      <c r="N6752" s="707"/>
      <c r="O6752" s="707"/>
      <c r="P6752" s="707"/>
      <c r="Q6752" s="1076"/>
      <c r="R6752" s="1076"/>
    </row>
    <row r="6753" spans="1:20" s="497" customFormat="1" ht="18">
      <c r="A6753" s="707"/>
      <c r="B6753" s="707"/>
      <c r="C6753" s="707"/>
      <c r="D6753" s="707"/>
      <c r="E6753" s="707"/>
      <c r="F6753" s="707"/>
      <c r="G6753" s="549"/>
      <c r="H6753" s="549"/>
      <c r="I6753" s="558"/>
      <c r="J6753" s="567"/>
      <c r="K6753" s="648">
        <f>SUM(K6748:K6752)</f>
        <v>198</v>
      </c>
      <c r="L6753" s="567">
        <f>SUM(L6748:L6752)</f>
        <v>18.004480000000001</v>
      </c>
      <c r="M6753" s="707"/>
      <c r="N6753" s="707"/>
      <c r="O6753" s="707"/>
      <c r="P6753" s="707"/>
      <c r="Q6753" s="1076"/>
      <c r="R6753" s="1076"/>
    </row>
    <row r="6754" spans="1:20" s="497" customFormat="1" ht="18">
      <c r="A6754" s="707"/>
      <c r="B6754" s="707"/>
      <c r="C6754" s="707"/>
      <c r="D6754" s="707"/>
      <c r="E6754" s="707"/>
      <c r="F6754" s="707"/>
      <c r="G6754" s="549"/>
      <c r="H6754" s="549"/>
      <c r="I6754" s="558"/>
      <c r="J6754" s="567"/>
      <c r="K6754" s="648"/>
      <c r="L6754" s="567"/>
      <c r="M6754" s="707"/>
      <c r="N6754" s="707"/>
      <c r="O6754" s="707"/>
      <c r="P6754" s="707"/>
      <c r="Q6754" s="1076"/>
      <c r="R6754" s="1076"/>
    </row>
    <row r="6755" spans="1:20" s="497" customFormat="1" ht="18">
      <c r="A6755" s="707"/>
      <c r="B6755" s="707"/>
      <c r="C6755" s="707"/>
      <c r="D6755" s="707"/>
      <c r="E6755" s="707"/>
      <c r="F6755" s="707"/>
      <c r="G6755" s="549"/>
      <c r="H6755" s="549"/>
      <c r="I6755" s="558"/>
      <c r="J6755" s="567"/>
      <c r="K6755" s="648"/>
      <c r="L6755" s="567"/>
      <c r="M6755" s="707"/>
      <c r="N6755" s="707"/>
      <c r="O6755" s="707"/>
      <c r="P6755" s="707"/>
      <c r="Q6755" s="1076"/>
      <c r="R6755" s="1076"/>
    </row>
    <row r="6756" spans="1:20" s="497" customFormat="1" ht="18">
      <c r="A6756" s="547" t="s">
        <v>272</v>
      </c>
      <c r="B6756" s="599" t="s">
        <v>684</v>
      </c>
      <c r="C6756" s="547" t="s">
        <v>19</v>
      </c>
      <c r="D6756" s="813" t="s">
        <v>60</v>
      </c>
      <c r="E6756" s="547" t="s">
        <v>270</v>
      </c>
      <c r="F6756" s="1032">
        <v>11</v>
      </c>
      <c r="G6756" s="549" t="s">
        <v>61</v>
      </c>
      <c r="H6756" s="599" t="s">
        <v>54</v>
      </c>
      <c r="I6756" s="558">
        <v>9.61</v>
      </c>
      <c r="J6756" s="567">
        <v>6.25</v>
      </c>
      <c r="K6756" s="648">
        <v>6</v>
      </c>
      <c r="L6756" s="552">
        <f t="shared" ref="L6756:L6758" si="1454">(I6756*J6756*K6756/1000)</f>
        <v>0.360375</v>
      </c>
      <c r="M6756" s="707"/>
      <c r="N6756" s="707"/>
      <c r="O6756" s="707"/>
      <c r="P6756" s="707"/>
      <c r="Q6756" s="497" t="s">
        <v>709</v>
      </c>
      <c r="R6756" s="1076"/>
    </row>
    <row r="6757" spans="1:20" s="497" customFormat="1" ht="18">
      <c r="A6757" s="707"/>
      <c r="B6757" s="707"/>
      <c r="C6757" s="707"/>
      <c r="D6757" s="707"/>
      <c r="E6757" s="707"/>
      <c r="F6757" s="707"/>
      <c r="G6757" s="549" t="s">
        <v>61</v>
      </c>
      <c r="H6757" s="549" t="s">
        <v>54</v>
      </c>
      <c r="I6757" s="558">
        <v>9.61</v>
      </c>
      <c r="J6757" s="567">
        <v>10.25</v>
      </c>
      <c r="K6757" s="648">
        <v>6</v>
      </c>
      <c r="L6757" s="552">
        <f t="shared" si="1454"/>
        <v>0.59101499999999996</v>
      </c>
      <c r="M6757" s="707"/>
      <c r="N6757" s="707"/>
      <c r="O6757" s="707"/>
      <c r="P6757" s="707"/>
      <c r="Q6757" s="1076"/>
      <c r="R6757" s="1076"/>
    </row>
    <row r="6758" spans="1:20" s="497" customFormat="1" ht="18">
      <c r="A6758" s="707"/>
      <c r="B6758" s="707"/>
      <c r="C6758" s="707"/>
      <c r="D6758" s="707"/>
      <c r="E6758" s="707"/>
      <c r="F6758" s="707"/>
      <c r="G6758" s="549" t="s">
        <v>61</v>
      </c>
      <c r="H6758" s="549" t="s">
        <v>54</v>
      </c>
      <c r="I6758" s="558">
        <v>9.61</v>
      </c>
      <c r="J6758" s="567">
        <v>11.5</v>
      </c>
      <c r="K6758" s="648">
        <v>3</v>
      </c>
      <c r="L6758" s="552">
        <f t="shared" si="1454"/>
        <v>0.33154499999999998</v>
      </c>
      <c r="M6758" s="707"/>
      <c r="N6758" s="707"/>
      <c r="O6758" s="707"/>
      <c r="P6758" s="707"/>
      <c r="Q6758" s="1076"/>
      <c r="R6758" s="1076"/>
    </row>
    <row r="6759" spans="1:20" ht="17.399999999999999">
      <c r="A6759" s="549"/>
      <c r="B6759" s="549"/>
      <c r="C6759" s="549"/>
      <c r="D6759" s="549"/>
      <c r="E6759" s="549"/>
      <c r="F6759" s="549"/>
      <c r="G6759" s="549"/>
      <c r="H6759" s="549"/>
      <c r="I6759" s="560"/>
      <c r="J6759" s="549"/>
      <c r="K6759" s="648">
        <f t="shared" ref="K6759" si="1455">SUM(K6756:K6758)</f>
        <v>15</v>
      </c>
      <c r="L6759" s="567">
        <f>SUM(L6756:L6758)</f>
        <v>1.2829349999999999</v>
      </c>
      <c r="M6759" s="549"/>
      <c r="N6759" s="549"/>
      <c r="O6759" s="549"/>
      <c r="P6759" s="549"/>
      <c r="Q6759" s="1059"/>
      <c r="R6759" s="1059"/>
    </row>
    <row r="6760" spans="1:20" s="497" customFormat="1" ht="17.399999999999999">
      <c r="A6760" s="549"/>
      <c r="B6760" s="549"/>
      <c r="C6760" s="549"/>
      <c r="D6760" s="549"/>
      <c r="E6760" s="549"/>
      <c r="F6760" s="549"/>
      <c r="G6760" s="549"/>
      <c r="H6760" s="549"/>
      <c r="I6760" s="558"/>
      <c r="J6760" s="567"/>
      <c r="K6760" s="648"/>
      <c r="L6760" s="567"/>
      <c r="M6760" s="549"/>
      <c r="N6760" s="549"/>
      <c r="O6760" s="549"/>
      <c r="P6760" s="549"/>
      <c r="Q6760" s="1059"/>
      <c r="R6760" s="1059"/>
    </row>
    <row r="6761" spans="1:20" s="497" customFormat="1" ht="17.399999999999999">
      <c r="A6761" s="1124" t="s">
        <v>523</v>
      </c>
      <c r="B6761" s="1124" t="s">
        <v>580</v>
      </c>
      <c r="C6761" s="547" t="s">
        <v>446</v>
      </c>
      <c r="D6761" s="813" t="s">
        <v>450</v>
      </c>
      <c r="E6761" s="547" t="s">
        <v>270</v>
      </c>
      <c r="F6761" s="1032">
        <v>11</v>
      </c>
      <c r="G6761" s="549" t="s">
        <v>61</v>
      </c>
      <c r="H6761" s="599" t="s">
        <v>91</v>
      </c>
      <c r="I6761" s="558">
        <v>6.97</v>
      </c>
      <c r="J6761" s="567">
        <v>10</v>
      </c>
      <c r="K6761" s="648">
        <v>98</v>
      </c>
      <c r="L6761" s="552">
        <f t="shared" ref="L6761:L6763" si="1456">(I6761*J6761*K6761/1000)</f>
        <v>6.8306000000000004</v>
      </c>
      <c r="M6761" s="549"/>
      <c r="N6761" s="549"/>
      <c r="O6761" s="549"/>
      <c r="P6761" s="549"/>
      <c r="Q6761" s="1059">
        <f>49+24+25</f>
        <v>98</v>
      </c>
      <c r="R6761" s="1067">
        <f>J6761*Q6761*I6761/1000</f>
        <v>6.8305999999999996</v>
      </c>
      <c r="S6761" s="497" t="s">
        <v>767</v>
      </c>
    </row>
    <row r="6762" spans="1:20" s="497" customFormat="1" ht="17.399999999999999">
      <c r="A6762" s="857"/>
      <c r="B6762" s="857"/>
      <c r="C6762" s="549"/>
      <c r="D6762" s="549"/>
      <c r="E6762" s="549"/>
      <c r="F6762" s="549"/>
      <c r="G6762" s="549" t="s">
        <v>61</v>
      </c>
      <c r="H6762" s="549" t="s">
        <v>91</v>
      </c>
      <c r="I6762" s="558">
        <v>6.97</v>
      </c>
      <c r="J6762" s="567">
        <v>11</v>
      </c>
      <c r="K6762" s="648">
        <v>6</v>
      </c>
      <c r="L6762" s="552">
        <f t="shared" si="1456"/>
        <v>0.46001999999999998</v>
      </c>
      <c r="M6762" s="549"/>
      <c r="N6762" s="549"/>
      <c r="O6762" s="549"/>
      <c r="P6762" s="549"/>
      <c r="Q6762" s="1059">
        <v>6</v>
      </c>
      <c r="R6762" s="1067">
        <f>J6762*Q6762*I6762/1000</f>
        <v>0.46001999999999998</v>
      </c>
    </row>
    <row r="6763" spans="1:20" s="497" customFormat="1" ht="17.399999999999999">
      <c r="A6763" s="857"/>
      <c r="B6763" s="857"/>
      <c r="C6763" s="549"/>
      <c r="D6763" s="549"/>
      <c r="E6763" s="549"/>
      <c r="F6763" s="549"/>
      <c r="G6763" s="549" t="s">
        <v>61</v>
      </c>
      <c r="H6763" s="549" t="s">
        <v>91</v>
      </c>
      <c r="I6763" s="558">
        <v>6.97</v>
      </c>
      <c r="J6763" s="567">
        <v>12</v>
      </c>
      <c r="K6763" s="648">
        <v>46</v>
      </c>
      <c r="L6763" s="552">
        <f t="shared" si="1456"/>
        <v>3.8474400000000002</v>
      </c>
      <c r="M6763" s="549"/>
      <c r="N6763" s="549"/>
      <c r="O6763" s="549"/>
      <c r="P6763" s="549"/>
      <c r="Q6763" s="1059">
        <v>46</v>
      </c>
      <c r="R6763" s="1067">
        <f>J6763*Q6763*I6763/1000</f>
        <v>3.8474400000000002</v>
      </c>
    </row>
    <row r="6764" spans="1:20" s="497" customFormat="1" ht="17.399999999999999">
      <c r="A6764" s="857"/>
      <c r="B6764" s="857"/>
      <c r="C6764" s="549"/>
      <c r="D6764" s="549"/>
      <c r="E6764" s="549"/>
      <c r="F6764" s="549"/>
      <c r="G6764" s="549"/>
      <c r="H6764" s="549"/>
      <c r="I6764" s="558"/>
      <c r="J6764" s="567"/>
      <c r="K6764" s="648">
        <f t="shared" ref="K6764:L6764" si="1457">SUM(K6761:K6763)</f>
        <v>150</v>
      </c>
      <c r="L6764" s="567">
        <f t="shared" si="1457"/>
        <v>11.138060000000001</v>
      </c>
      <c r="M6764" s="549" t="s">
        <v>710</v>
      </c>
      <c r="N6764" s="549"/>
      <c r="O6764" s="549"/>
      <c r="P6764" s="549"/>
      <c r="Q6764" s="648">
        <f t="shared" ref="Q6764" si="1458">SUM(Q6761:Q6763)</f>
        <v>150</v>
      </c>
      <c r="R6764" s="567">
        <f>SUM(R6761:R6763)</f>
        <v>11.138059999999999</v>
      </c>
    </row>
    <row r="6765" spans="1:20" s="497" customFormat="1" ht="17.399999999999999">
      <c r="A6765" s="857"/>
      <c r="B6765" s="857"/>
      <c r="C6765" s="549"/>
      <c r="D6765" s="549"/>
      <c r="E6765" s="549"/>
      <c r="F6765" s="549"/>
      <c r="G6765" s="549"/>
      <c r="H6765" s="549"/>
      <c r="I6765" s="558"/>
      <c r="J6765" s="567"/>
      <c r="K6765" s="648"/>
      <c r="L6765" s="567"/>
      <c r="M6765" s="549"/>
      <c r="N6765" s="549"/>
      <c r="O6765" s="549"/>
      <c r="P6765" s="549"/>
      <c r="Q6765" s="1059"/>
      <c r="R6765" s="1067"/>
    </row>
    <row r="6766" spans="1:20" ht="17.399999999999999">
      <c r="A6766" s="1124" t="s">
        <v>523</v>
      </c>
      <c r="B6766" s="1124" t="s">
        <v>580</v>
      </c>
      <c r="C6766" s="547" t="s">
        <v>446</v>
      </c>
      <c r="D6766" s="813" t="s">
        <v>450</v>
      </c>
      <c r="E6766" s="547" t="s">
        <v>270</v>
      </c>
      <c r="F6766" s="1018">
        <v>8.5</v>
      </c>
      <c r="G6766" s="549" t="s">
        <v>61</v>
      </c>
      <c r="H6766" s="599" t="s">
        <v>53</v>
      </c>
      <c r="I6766" s="558">
        <v>8.32</v>
      </c>
      <c r="J6766" s="567">
        <v>8.1</v>
      </c>
      <c r="K6766" s="648">
        <v>16</v>
      </c>
      <c r="L6766" s="552">
        <f t="shared" ref="L6766:L6769" si="1459">(I6766*J6766*K6766/1000)</f>
        <v>1.0782719999999999</v>
      </c>
      <c r="M6766" s="549"/>
      <c r="N6766" s="549"/>
      <c r="O6766" s="549"/>
      <c r="P6766" s="549"/>
      <c r="Q6766" s="1059">
        <v>12</v>
      </c>
      <c r="R6766" s="1067">
        <f>J6766*Q6766*I6766/1000</f>
        <v>0.80870399999999998</v>
      </c>
      <c r="S6766" s="168">
        <f>Q6766-K6766</f>
        <v>-4</v>
      </c>
      <c r="T6766" s="497" t="s">
        <v>767</v>
      </c>
    </row>
    <row r="6767" spans="1:20" ht="17.399999999999999">
      <c r="A6767" s="857"/>
      <c r="B6767" s="857"/>
      <c r="C6767" s="549"/>
      <c r="D6767" s="549"/>
      <c r="E6767" s="549"/>
      <c r="F6767" s="549"/>
      <c r="G6767" s="549" t="s">
        <v>61</v>
      </c>
      <c r="H6767" s="549" t="s">
        <v>53</v>
      </c>
      <c r="I6767" s="558">
        <v>8.32</v>
      </c>
      <c r="J6767" s="567">
        <v>10.7</v>
      </c>
      <c r="K6767" s="648">
        <v>8</v>
      </c>
      <c r="L6767" s="552">
        <f t="shared" si="1459"/>
        <v>0.71219200000000005</v>
      </c>
      <c r="M6767" s="549"/>
      <c r="N6767" s="549"/>
      <c r="O6767" s="549"/>
      <c r="P6767" s="549"/>
      <c r="Q6767" s="1059">
        <v>8</v>
      </c>
      <c r="R6767" s="1067">
        <f>J6767*Q6767*I6767/1000</f>
        <v>0.71219200000000005</v>
      </c>
      <c r="S6767" s="168">
        <f t="shared" ref="S6767:S6769" si="1460">Q6767-K6767</f>
        <v>0</v>
      </c>
    </row>
    <row r="6768" spans="1:20" ht="17.399999999999999">
      <c r="A6768" s="549"/>
      <c r="B6768" s="549"/>
      <c r="C6768" s="549"/>
      <c r="D6768" s="549"/>
      <c r="E6768" s="549"/>
      <c r="F6768" s="549"/>
      <c r="G6768" s="549" t="s">
        <v>61</v>
      </c>
      <c r="H6768" s="549" t="s">
        <v>53</v>
      </c>
      <c r="I6768" s="558">
        <v>8.32</v>
      </c>
      <c r="J6768" s="567">
        <v>10.8</v>
      </c>
      <c r="K6768" s="648">
        <v>80</v>
      </c>
      <c r="L6768" s="552">
        <f t="shared" si="1459"/>
        <v>7.1884800000000002</v>
      </c>
      <c r="M6768" s="549"/>
      <c r="N6768" s="549"/>
      <c r="O6768" s="549"/>
      <c r="P6768" s="549"/>
      <c r="Q6768" s="1059">
        <v>76</v>
      </c>
      <c r="R6768" s="1067">
        <f>J6768*Q6768*I6768/1000</f>
        <v>6.8290560000000005</v>
      </c>
      <c r="S6768" s="168">
        <f t="shared" si="1460"/>
        <v>-4</v>
      </c>
    </row>
    <row r="6769" spans="1:19" ht="17.399999999999999">
      <c r="A6769" s="549"/>
      <c r="B6769" s="549"/>
      <c r="C6769" s="549"/>
      <c r="D6769" s="549"/>
      <c r="E6769" s="549"/>
      <c r="F6769" s="549"/>
      <c r="G6769" s="549" t="s">
        <v>61</v>
      </c>
      <c r="H6769" s="549" t="s">
        <v>53</v>
      </c>
      <c r="I6769" s="558">
        <v>8.32</v>
      </c>
      <c r="J6769" s="567">
        <v>12</v>
      </c>
      <c r="K6769" s="648">
        <v>14</v>
      </c>
      <c r="L6769" s="552">
        <f t="shared" si="1459"/>
        <v>1.3977599999999999</v>
      </c>
      <c r="M6769" s="549"/>
      <c r="N6769" s="549"/>
      <c r="O6769" s="549"/>
      <c r="P6769" s="549"/>
      <c r="Q6769" s="1059">
        <v>13</v>
      </c>
      <c r="R6769" s="1067">
        <f>J6769*Q6769*I6769/1000</f>
        <v>1.29792</v>
      </c>
      <c r="S6769" s="168">
        <f t="shared" si="1460"/>
        <v>-1</v>
      </c>
    </row>
    <row r="6770" spans="1:19" ht="17.399999999999999">
      <c r="A6770" s="549"/>
      <c r="B6770" s="549"/>
      <c r="C6770" s="549"/>
      <c r="D6770" s="549"/>
      <c r="E6770" s="549"/>
      <c r="F6770" s="549"/>
      <c r="G6770" s="549"/>
      <c r="H6770" s="549"/>
      <c r="I6770" s="558"/>
      <c r="J6770" s="567"/>
      <c r="K6770" s="648">
        <f t="shared" ref="K6770" si="1461">SUM(K6766:K6769)</f>
        <v>118</v>
      </c>
      <c r="L6770" s="567">
        <f>SUM(L6766:L6769)</f>
        <v>10.376704</v>
      </c>
      <c r="M6770" s="549" t="s">
        <v>710</v>
      </c>
      <c r="N6770" s="549"/>
      <c r="O6770" s="549"/>
      <c r="P6770" s="549"/>
      <c r="Q6770" s="648">
        <f t="shared" ref="Q6770" si="1462">SUM(Q6766:Q6769)</f>
        <v>109</v>
      </c>
      <c r="R6770" s="567">
        <f>SUM(R6766:R6769)</f>
        <v>9.6478719999999996</v>
      </c>
      <c r="S6770" s="648">
        <f>SUM(S6766:S6769)</f>
        <v>-9</v>
      </c>
    </row>
    <row r="6771" spans="1:19" s="497" customFormat="1" ht="17.399999999999999">
      <c r="A6771" s="549"/>
      <c r="B6771" s="549"/>
      <c r="C6771" s="549"/>
      <c r="D6771" s="549"/>
      <c r="E6771" s="549"/>
      <c r="F6771" s="549"/>
      <c r="G6771" s="549"/>
      <c r="H6771" s="549"/>
      <c r="I6771" s="558"/>
      <c r="J6771" s="567"/>
      <c r="K6771" s="648"/>
      <c r="L6771" s="567"/>
      <c r="M6771" s="549"/>
      <c r="N6771" s="549"/>
      <c r="O6771" s="549"/>
      <c r="P6771" s="549"/>
      <c r="Q6771" s="1059"/>
      <c r="R6771" s="1067"/>
    </row>
    <row r="6772" spans="1:19" s="497" customFormat="1" ht="17.399999999999999">
      <c r="A6772" s="547" t="s">
        <v>445</v>
      </c>
      <c r="B6772" s="547" t="s">
        <v>613</v>
      </c>
      <c r="C6772" s="547" t="s">
        <v>446</v>
      </c>
      <c r="D6772" s="813" t="s">
        <v>450</v>
      </c>
      <c r="E6772" s="547" t="s">
        <v>270</v>
      </c>
      <c r="F6772" s="1119">
        <v>11</v>
      </c>
      <c r="G6772" s="549" t="s">
        <v>61</v>
      </c>
      <c r="H6772" s="899" t="s">
        <v>91</v>
      </c>
      <c r="I6772" s="558">
        <v>6.97</v>
      </c>
      <c r="J6772" s="567">
        <v>6.1</v>
      </c>
      <c r="K6772" s="648">
        <v>104</v>
      </c>
      <c r="L6772" s="552">
        <f t="shared" ref="L6772:L6775" si="1463">(I6772*J6772*K6772/1000)</f>
        <v>4.4217680000000001</v>
      </c>
      <c r="M6772" s="549"/>
      <c r="N6772" s="549"/>
      <c r="O6772" s="549"/>
      <c r="P6772" s="549"/>
      <c r="Q6772" s="1059">
        <v>104</v>
      </c>
      <c r="R6772" s="1067">
        <f>J6772*Q6772*I6772/1000</f>
        <v>4.4217680000000001</v>
      </c>
      <c r="S6772" s="497" t="s">
        <v>769</v>
      </c>
    </row>
    <row r="6773" spans="1:19" s="497" customFormat="1" ht="17.399999999999999">
      <c r="A6773" s="549"/>
      <c r="B6773" s="549"/>
      <c r="C6773" s="549"/>
      <c r="D6773" s="549"/>
      <c r="E6773" s="549"/>
      <c r="F6773" s="549"/>
      <c r="G6773" s="549" t="s">
        <v>61</v>
      </c>
      <c r="H6773" s="549" t="s">
        <v>91</v>
      </c>
      <c r="I6773" s="558">
        <v>6.97</v>
      </c>
      <c r="J6773" s="567">
        <v>6.7</v>
      </c>
      <c r="K6773" s="648">
        <v>88</v>
      </c>
      <c r="L6773" s="552">
        <f t="shared" si="1463"/>
        <v>4.1095119999999996</v>
      </c>
      <c r="M6773" s="549"/>
      <c r="N6773" s="549"/>
      <c r="O6773" s="549"/>
      <c r="P6773" s="549"/>
      <c r="Q6773" s="1059">
        <f>1+9</f>
        <v>10</v>
      </c>
      <c r="R6773" s="1067">
        <f>J6773*Q6773*I6773/1000</f>
        <v>0.46699000000000002</v>
      </c>
    </row>
    <row r="6774" spans="1:19" s="497" customFormat="1" ht="17.399999999999999">
      <c r="A6774" s="549"/>
      <c r="B6774" s="549"/>
      <c r="C6774" s="549"/>
      <c r="D6774" s="549"/>
      <c r="E6774" s="549"/>
      <c r="F6774" s="549"/>
      <c r="G6774" s="549" t="s">
        <v>61</v>
      </c>
      <c r="H6774" s="549" t="s">
        <v>91</v>
      </c>
      <c r="I6774" s="558">
        <v>6.97</v>
      </c>
      <c r="J6774" s="567">
        <v>10.4</v>
      </c>
      <c r="K6774" s="648">
        <v>76</v>
      </c>
      <c r="L6774" s="552">
        <f t="shared" si="1463"/>
        <v>5.5090879999999993</v>
      </c>
      <c r="M6774" s="549"/>
      <c r="N6774" s="549"/>
      <c r="O6774" s="549"/>
      <c r="P6774" s="549"/>
      <c r="Q6774" s="1059">
        <v>36</v>
      </c>
      <c r="R6774" s="1067">
        <f>J6774*Q6774*I6774/1000</f>
        <v>2.6095680000000003</v>
      </c>
    </row>
    <row r="6775" spans="1:19" s="497" customFormat="1" ht="17.399999999999999">
      <c r="A6775" s="549"/>
      <c r="B6775" s="549"/>
      <c r="C6775" s="549"/>
      <c r="D6775" s="549"/>
      <c r="E6775" s="549"/>
      <c r="F6775" s="549"/>
      <c r="G6775" s="549" t="s">
        <v>61</v>
      </c>
      <c r="H6775" s="549" t="s">
        <v>91</v>
      </c>
      <c r="I6775" s="558">
        <v>6.97</v>
      </c>
      <c r="J6775" s="567">
        <v>10.705</v>
      </c>
      <c r="K6775" s="648">
        <v>79</v>
      </c>
      <c r="L6775" s="552">
        <f t="shared" si="1463"/>
        <v>5.8944941499999999</v>
      </c>
      <c r="M6775" s="549"/>
      <c r="N6775" s="549"/>
      <c r="O6775" s="549"/>
      <c r="P6775" s="549"/>
      <c r="Q6775" s="1059">
        <v>30</v>
      </c>
      <c r="R6775" s="1067">
        <f>J6775*Q6775*I6775/1000</f>
        <v>2.2384154999999994</v>
      </c>
    </row>
    <row r="6776" spans="1:19" s="497" customFormat="1" ht="17.399999999999999">
      <c r="A6776" s="549"/>
      <c r="B6776" s="549"/>
      <c r="C6776" s="549"/>
      <c r="D6776" s="549"/>
      <c r="E6776" s="549"/>
      <c r="F6776" s="549"/>
      <c r="G6776" s="549"/>
      <c r="H6776" s="549"/>
      <c r="I6776" s="558"/>
      <c r="J6776" s="567"/>
      <c r="K6776" s="648">
        <f>SUM(K6772:K6775)</f>
        <v>347</v>
      </c>
      <c r="L6776" s="567">
        <f t="shared" ref="L6776" si="1464">SUM(L6772:L6775)</f>
        <v>19.934862149999997</v>
      </c>
      <c r="M6776" s="549" t="s">
        <v>711</v>
      </c>
      <c r="N6776" s="549"/>
      <c r="O6776" s="549"/>
      <c r="P6776" s="549"/>
      <c r="Q6776" s="648">
        <f>SUM(Q6772:Q6775)</f>
        <v>180</v>
      </c>
      <c r="R6776" s="567">
        <f>SUM(R6772:R6775)</f>
        <v>9.7367415000000008</v>
      </c>
    </row>
    <row r="6777" spans="1:19" s="497" customFormat="1" ht="17.399999999999999">
      <c r="A6777" s="549"/>
      <c r="B6777" s="549"/>
      <c r="C6777" s="549"/>
      <c r="D6777" s="549"/>
      <c r="E6777" s="549"/>
      <c r="F6777" s="549"/>
      <c r="G6777" s="549"/>
      <c r="H6777" s="549"/>
      <c r="I6777" s="558"/>
      <c r="J6777" s="567"/>
      <c r="K6777" s="648"/>
      <c r="L6777" s="567"/>
      <c r="M6777" s="549"/>
      <c r="N6777" s="549"/>
      <c r="O6777" s="549"/>
      <c r="P6777" s="549"/>
      <c r="Q6777" s="1059"/>
      <c r="R6777" s="1067"/>
    </row>
    <row r="6778" spans="1:19" s="497" customFormat="1" ht="17.399999999999999">
      <c r="A6778" s="547" t="s">
        <v>523</v>
      </c>
      <c r="B6778" s="547" t="s">
        <v>624</v>
      </c>
      <c r="C6778" s="547" t="s">
        <v>446</v>
      </c>
      <c r="D6778" s="813" t="s">
        <v>450</v>
      </c>
      <c r="E6778" s="547" t="s">
        <v>270</v>
      </c>
      <c r="F6778" s="1119">
        <v>11</v>
      </c>
      <c r="G6778" s="549" t="s">
        <v>61</v>
      </c>
      <c r="H6778" s="899" t="s">
        <v>91</v>
      </c>
      <c r="I6778" s="558">
        <v>6.97</v>
      </c>
      <c r="J6778" s="567">
        <v>10</v>
      </c>
      <c r="K6778" s="648">
        <v>111</v>
      </c>
      <c r="L6778" s="552">
        <f>(I6778*J6778*K6778/1000)</f>
        <v>7.7367000000000008</v>
      </c>
      <c r="M6778" s="549"/>
      <c r="N6778" s="549"/>
      <c r="O6778" s="549"/>
      <c r="P6778" s="549"/>
      <c r="Q6778" s="1059">
        <v>49</v>
      </c>
      <c r="R6778" s="1067">
        <f>J6778*Q6778*I6778/1000</f>
        <v>3.4152999999999998</v>
      </c>
      <c r="S6778" s="497" t="s">
        <v>768</v>
      </c>
    </row>
    <row r="6779" spans="1:19" s="497" customFormat="1" ht="17.399999999999999">
      <c r="A6779" s="549"/>
      <c r="B6779" s="549"/>
      <c r="C6779" s="549"/>
      <c r="D6779" s="549"/>
      <c r="E6779" s="549"/>
      <c r="F6779" s="549"/>
      <c r="G6779" s="549" t="s">
        <v>61</v>
      </c>
      <c r="H6779" s="549" t="s">
        <v>91</v>
      </c>
      <c r="I6779" s="558">
        <v>6.97</v>
      </c>
      <c r="J6779" s="567">
        <v>11</v>
      </c>
      <c r="K6779" s="648">
        <v>134</v>
      </c>
      <c r="L6779" s="552">
        <f>(I6779*J6779*K6779/1000)</f>
        <v>10.27378</v>
      </c>
      <c r="M6779" s="549"/>
      <c r="N6779" s="549"/>
      <c r="O6779" s="549"/>
      <c r="P6779" s="549"/>
      <c r="Q6779" s="1059">
        <f>89+4</f>
        <v>93</v>
      </c>
      <c r="R6779" s="1067">
        <f>J6779*Q6779*I6779/1000</f>
        <v>7.1303099999999997</v>
      </c>
    </row>
    <row r="6780" spans="1:19" s="497" customFormat="1" ht="17.399999999999999">
      <c r="A6780" s="549"/>
      <c r="B6780" s="549"/>
      <c r="C6780" s="549"/>
      <c r="D6780" s="549"/>
      <c r="E6780" s="549"/>
      <c r="F6780" s="549"/>
      <c r="G6780" s="549" t="s">
        <v>61</v>
      </c>
      <c r="H6780" s="549" t="s">
        <v>91</v>
      </c>
      <c r="I6780" s="558">
        <v>6.97</v>
      </c>
      <c r="J6780" s="567">
        <v>12</v>
      </c>
      <c r="K6780" s="648">
        <v>84</v>
      </c>
      <c r="L6780" s="552">
        <f>(I6780*J6780*K6780/1000)</f>
        <v>7.02576</v>
      </c>
      <c r="M6780" s="549"/>
      <c r="N6780" s="549"/>
      <c r="O6780" s="549"/>
      <c r="P6780" s="549"/>
      <c r="Q6780" s="1059">
        <v>84</v>
      </c>
      <c r="R6780" s="1067">
        <f>J6780*Q6780*I6780/1000</f>
        <v>7.0257599999999991</v>
      </c>
    </row>
    <row r="6781" spans="1:19" s="497" customFormat="1" ht="17.399999999999999">
      <c r="A6781" s="549"/>
      <c r="B6781" s="549"/>
      <c r="C6781" s="549"/>
      <c r="D6781" s="549"/>
      <c r="E6781" s="549"/>
      <c r="F6781" s="549"/>
      <c r="G6781" s="549"/>
      <c r="H6781" s="549"/>
      <c r="I6781" s="558"/>
      <c r="J6781" s="567"/>
      <c r="K6781" s="648">
        <f>SUM(K6778:K6780)</f>
        <v>329</v>
      </c>
      <c r="L6781" s="567">
        <f>SUM(L6778:L6780)</f>
        <v>25.036239999999999</v>
      </c>
      <c r="M6781" s="549" t="s">
        <v>711</v>
      </c>
      <c r="N6781" s="549"/>
      <c r="O6781" s="549"/>
      <c r="P6781" s="549"/>
      <c r="Q6781" s="648">
        <f>SUM(Q6778:Q6780)</f>
        <v>226</v>
      </c>
      <c r="R6781" s="567">
        <f>SUM(R6778:R6780)</f>
        <v>17.571369999999998</v>
      </c>
    </row>
    <row r="6782" spans="1:19" s="497" customFormat="1" ht="17.399999999999999">
      <c r="A6782" s="549"/>
      <c r="B6782" s="549"/>
      <c r="C6782" s="549"/>
      <c r="D6782" s="549"/>
      <c r="E6782" s="549"/>
      <c r="F6782" s="549"/>
      <c r="G6782" s="549"/>
      <c r="H6782" s="549"/>
      <c r="I6782" s="558"/>
      <c r="J6782" s="567"/>
      <c r="K6782" s="648">
        <f>SUM(K6770:K6781)/2</f>
        <v>735</v>
      </c>
      <c r="L6782" s="567">
        <f>SUM(L6770:L6781)/2</f>
        <v>50.159454150000002</v>
      </c>
      <c r="M6782" s="549"/>
      <c r="N6782" s="549"/>
      <c r="O6782" s="549"/>
      <c r="P6782" s="549"/>
      <c r="Q6782" s="1059"/>
      <c r="R6782" s="1059"/>
    </row>
    <row r="6783" spans="1:19" s="497" customFormat="1" ht="17.399999999999999">
      <c r="A6783" s="549"/>
      <c r="B6783" s="549"/>
      <c r="C6783" s="549"/>
      <c r="D6783" s="549"/>
      <c r="E6783" s="549"/>
      <c r="F6783" s="549"/>
      <c r="G6783" s="549"/>
      <c r="H6783" s="549"/>
      <c r="I6783" s="558"/>
      <c r="J6783" s="567"/>
      <c r="K6783" s="648"/>
      <c r="L6783" s="567"/>
      <c r="M6783" s="549"/>
      <c r="N6783" s="549"/>
      <c r="O6783" s="549"/>
      <c r="P6783" s="549"/>
      <c r="Q6783" s="1059"/>
      <c r="R6783" s="1059"/>
    </row>
    <row r="6784" spans="1:19" s="497" customFormat="1" ht="17.399999999999999">
      <c r="A6784" s="547" t="s">
        <v>445</v>
      </c>
      <c r="B6784" s="547" t="s">
        <v>613</v>
      </c>
      <c r="C6784" s="547" t="s">
        <v>446</v>
      </c>
      <c r="D6784" s="813" t="s">
        <v>450</v>
      </c>
      <c r="E6784" s="547" t="s">
        <v>270</v>
      </c>
      <c r="F6784" s="1119">
        <v>8.5</v>
      </c>
      <c r="G6784" s="549" t="s">
        <v>61</v>
      </c>
      <c r="H6784" s="549" t="s">
        <v>53</v>
      </c>
      <c r="I6784" s="558">
        <v>8.32</v>
      </c>
      <c r="J6784" s="567">
        <v>8.1</v>
      </c>
      <c r="K6784" s="648">
        <v>26</v>
      </c>
      <c r="L6784" s="552">
        <f t="shared" ref="L6784:L6788" si="1465">(I6784*J6784*K6784/1000)</f>
        <v>1.752192</v>
      </c>
      <c r="M6784" s="549"/>
      <c r="N6784" s="549"/>
      <c r="O6784" s="549"/>
      <c r="P6784" s="549"/>
      <c r="Q6784" s="1059"/>
      <c r="R6784" s="1059"/>
    </row>
    <row r="6785" spans="1:18" s="497" customFormat="1" ht="17.399999999999999">
      <c r="A6785" s="549"/>
      <c r="B6785" s="549"/>
      <c r="C6785" s="549"/>
      <c r="D6785" s="549"/>
      <c r="E6785" s="549"/>
      <c r="F6785" s="549"/>
      <c r="G6785" s="549" t="s">
        <v>61</v>
      </c>
      <c r="H6785" s="549" t="s">
        <v>53</v>
      </c>
      <c r="I6785" s="558">
        <v>8.32</v>
      </c>
      <c r="J6785" s="567">
        <v>10.7</v>
      </c>
      <c r="K6785" s="648">
        <v>16</v>
      </c>
      <c r="L6785" s="552">
        <f t="shared" si="1465"/>
        <v>1.4243840000000001</v>
      </c>
      <c r="M6785" s="549"/>
      <c r="N6785" s="549"/>
      <c r="O6785" s="549"/>
      <c r="P6785" s="549"/>
      <c r="Q6785" s="1059"/>
      <c r="R6785" s="1059"/>
    </row>
    <row r="6786" spans="1:18" s="497" customFormat="1" ht="17.399999999999999">
      <c r="A6786" s="549"/>
      <c r="B6786" s="549"/>
      <c r="C6786" s="549"/>
      <c r="D6786" s="549"/>
      <c r="E6786" s="549"/>
      <c r="F6786" s="549"/>
      <c r="G6786" s="549" t="s">
        <v>61</v>
      </c>
      <c r="H6786" s="549" t="s">
        <v>53</v>
      </c>
      <c r="I6786" s="558">
        <v>8.32</v>
      </c>
      <c r="J6786" s="567">
        <v>11</v>
      </c>
      <c r="K6786" s="648">
        <v>38</v>
      </c>
      <c r="L6786" s="552">
        <f t="shared" si="1465"/>
        <v>3.4777600000000004</v>
      </c>
      <c r="M6786" s="549"/>
      <c r="N6786" s="549"/>
      <c r="O6786" s="549"/>
      <c r="P6786" s="549"/>
      <c r="Q6786" s="1059"/>
      <c r="R6786" s="1059"/>
    </row>
    <row r="6787" spans="1:18" s="497" customFormat="1" ht="17.399999999999999">
      <c r="A6787" s="549"/>
      <c r="B6787" s="549"/>
      <c r="C6787" s="549"/>
      <c r="D6787" s="549"/>
      <c r="E6787" s="549"/>
      <c r="F6787" s="549"/>
      <c r="G6787" s="549" t="s">
        <v>61</v>
      </c>
      <c r="H6787" s="549" t="s">
        <v>53</v>
      </c>
      <c r="I6787" s="558">
        <v>8.32</v>
      </c>
      <c r="J6787" s="567">
        <v>11.5</v>
      </c>
      <c r="K6787" s="648">
        <v>12</v>
      </c>
      <c r="L6787" s="552">
        <f t="shared" si="1465"/>
        <v>1.1481600000000001</v>
      </c>
      <c r="M6787" s="549"/>
      <c r="N6787" s="549"/>
      <c r="O6787" s="549"/>
      <c r="P6787" s="549"/>
      <c r="Q6787" s="1059"/>
      <c r="R6787" s="1059"/>
    </row>
    <row r="6788" spans="1:18" s="497" customFormat="1" ht="17.399999999999999">
      <c r="A6788" s="549"/>
      <c r="B6788" s="549"/>
      <c r="C6788" s="549"/>
      <c r="D6788" s="549"/>
      <c r="E6788" s="549"/>
      <c r="F6788" s="549"/>
      <c r="G6788" s="549" t="s">
        <v>61</v>
      </c>
      <c r="H6788" s="549" t="s">
        <v>53</v>
      </c>
      <c r="I6788" s="558">
        <v>8.32</v>
      </c>
      <c r="J6788" s="567">
        <v>12</v>
      </c>
      <c r="K6788" s="648">
        <v>157</v>
      </c>
      <c r="L6788" s="552">
        <f t="shared" si="1465"/>
        <v>15.674880000000002</v>
      </c>
      <c r="M6788" s="549"/>
      <c r="N6788" s="549"/>
      <c r="O6788" s="549"/>
      <c r="P6788" s="549"/>
      <c r="Q6788" s="1059"/>
      <c r="R6788" s="1059"/>
    </row>
    <row r="6789" spans="1:18" s="497" customFormat="1" ht="17.399999999999999">
      <c r="A6789" s="549"/>
      <c r="B6789" s="549"/>
      <c r="C6789" s="549"/>
      <c r="D6789" s="549"/>
      <c r="E6789" s="549"/>
      <c r="F6789" s="549"/>
      <c r="G6789" s="549"/>
      <c r="H6789" s="549"/>
      <c r="I6789" s="564"/>
      <c r="J6789" s="567"/>
      <c r="K6789" s="648">
        <f t="shared" ref="K6789" si="1466">SUM(K6784:K6788)</f>
        <v>249</v>
      </c>
      <c r="L6789" s="567">
        <f>SUM(L6784:L6788)</f>
        <v>23.477376000000003</v>
      </c>
      <c r="M6789" s="549"/>
      <c r="N6789" s="549"/>
      <c r="O6789" s="549"/>
      <c r="P6789" s="549"/>
      <c r="Q6789" s="1059"/>
      <c r="R6789" s="1059"/>
    </row>
    <row r="6790" spans="1:18" s="497" customFormat="1" ht="17.399999999999999">
      <c r="A6790" s="549"/>
      <c r="B6790" s="549"/>
      <c r="C6790" s="549"/>
      <c r="D6790" s="549"/>
      <c r="E6790" s="549"/>
      <c r="F6790" s="549"/>
      <c r="G6790" s="549"/>
      <c r="H6790" s="549"/>
      <c r="I6790" s="564"/>
      <c r="J6790" s="567"/>
      <c r="K6790" s="648"/>
      <c r="L6790" s="567">
        <f>+L6789+L6781+L6776</f>
        <v>68.44847815</v>
      </c>
      <c r="M6790" s="549"/>
      <c r="N6790" s="549"/>
      <c r="O6790" s="549"/>
      <c r="P6790" s="549"/>
      <c r="Q6790" s="1059"/>
      <c r="R6790" s="1059"/>
    </row>
    <row r="6791" spans="1:18" ht="17.399999999999999">
      <c r="A6791" s="549"/>
      <c r="B6791" s="549"/>
      <c r="C6791" s="549"/>
      <c r="D6791" s="549"/>
      <c r="E6791" s="549"/>
      <c r="F6791" s="549"/>
      <c r="G6791" s="549"/>
      <c r="H6791" s="549"/>
      <c r="I6791" s="560"/>
      <c r="J6791" s="549"/>
      <c r="K6791" s="561"/>
      <c r="L6791" s="560"/>
      <c r="M6791" s="549"/>
      <c r="N6791" s="549"/>
      <c r="O6791" s="549"/>
      <c r="P6791" s="549"/>
      <c r="Q6791" s="1059"/>
      <c r="R6791" s="1059"/>
    </row>
    <row r="6792" spans="1:18" s="497" customFormat="1" ht="17.399999999999999">
      <c r="A6792" s="549"/>
      <c r="B6792" s="549"/>
      <c r="C6792" s="549"/>
      <c r="D6792" s="549"/>
      <c r="E6792" s="549"/>
      <c r="F6792" s="549"/>
      <c r="G6792" s="549"/>
      <c r="H6792" s="549"/>
      <c r="I6792" s="560"/>
      <c r="J6792" s="549"/>
      <c r="K6792" s="652"/>
      <c r="L6792" s="565"/>
      <c r="M6792" s="549"/>
      <c r="N6792" s="549"/>
      <c r="O6792" s="549"/>
      <c r="P6792" s="549"/>
      <c r="Q6792" s="1059"/>
      <c r="R6792" s="1059"/>
    </row>
    <row r="6793" spans="1:18" ht="17.399999999999999">
      <c r="A6793" s="549"/>
      <c r="B6793" s="549"/>
      <c r="C6793" s="549"/>
      <c r="D6793" s="549"/>
      <c r="E6793" s="549"/>
      <c r="F6793" s="549"/>
      <c r="G6793" s="549"/>
      <c r="H6793" s="549"/>
      <c r="I6793" s="560"/>
      <c r="J6793" s="549"/>
      <c r="K6793" s="561"/>
      <c r="L6793" s="560"/>
      <c r="M6793" s="549"/>
      <c r="N6793" s="549"/>
      <c r="O6793" s="549"/>
      <c r="P6793" s="549"/>
      <c r="Q6793" s="1059"/>
      <c r="R6793" s="1059"/>
    </row>
    <row r="6794" spans="1:18" s="497" customFormat="1" ht="17.399999999999999">
      <c r="A6794" s="549"/>
      <c r="B6794" s="549"/>
      <c r="C6794" s="549"/>
      <c r="D6794" s="549"/>
      <c r="E6794" s="549"/>
      <c r="F6794" s="549"/>
      <c r="G6794" s="549"/>
      <c r="H6794" s="549"/>
      <c r="I6794" s="560"/>
      <c r="J6794" s="549"/>
      <c r="K6794" s="652"/>
      <c r="L6794" s="565"/>
      <c r="M6794" s="549"/>
      <c r="N6794" s="549"/>
      <c r="O6794" s="549"/>
      <c r="P6794" s="549"/>
      <c r="Q6794" s="1059"/>
      <c r="R6794" s="1059"/>
    </row>
    <row r="6795" spans="1:18" ht="18">
      <c r="A6795" s="707"/>
      <c r="B6795" s="707"/>
      <c r="C6795" s="707"/>
      <c r="D6795" s="707"/>
      <c r="E6795" s="707"/>
      <c r="F6795" s="707"/>
      <c r="G6795" s="707"/>
      <c r="H6795" s="707"/>
      <c r="I6795" s="1854"/>
      <c r="J6795" s="707"/>
      <c r="K6795" s="1020"/>
      <c r="L6795" s="1016"/>
      <c r="M6795" s="707"/>
      <c r="N6795" s="707"/>
      <c r="O6795" s="707"/>
      <c r="P6795" s="707"/>
      <c r="Q6795" s="1076"/>
      <c r="R6795" s="1076"/>
    </row>
    <row r="6796" spans="1:18" ht="18">
      <c r="A6796" s="707"/>
      <c r="B6796" s="707"/>
      <c r="C6796" s="707"/>
      <c r="D6796" s="707"/>
      <c r="E6796" s="707"/>
      <c r="F6796" s="707"/>
      <c r="G6796" s="707"/>
      <c r="H6796" s="707"/>
      <c r="I6796" s="1854"/>
      <c r="J6796" s="707"/>
      <c r="K6796" s="1020"/>
      <c r="L6796" s="568">
        <f>+L6607+L6615+L6620+L6623+L6632+L6638+L6641+L6649+L6656+L6668+L6671+L6674+L6683+L6686+L6694+L6698+L6703+L6706+L6714+L6718+L6727+L6731+L6734+L6738+L6746+L6753+L6759+L6764+L6770+L6776+L6781+L6789</f>
        <v>619.83515265000005</v>
      </c>
      <c r="M6796" s="707"/>
      <c r="N6796" s="568">
        <f>+N6607+N6615+N6620+N6623+N6632+N6638+N6641+N6649+N6656+N6668+N6671+N6674+N6683+N6686+N6694+N6698+N6703+N6706+N6714+N6718+N6727+N6731+N6734+N6738+N6746+N6753+N6759+N6764+N6770</f>
        <v>6.2853905000000001</v>
      </c>
      <c r="O6796" s="568"/>
      <c r="P6796" s="707"/>
      <c r="Q6796" s="1076"/>
      <c r="R6796" s="1076"/>
    </row>
    <row r="6797" spans="1:18" ht="18">
      <c r="A6797" s="653" t="s">
        <v>48</v>
      </c>
      <c r="B6797" s="653"/>
      <c r="C6797" s="654"/>
      <c r="D6797" s="654"/>
      <c r="E6797" s="654"/>
      <c r="F6797" s="1017"/>
      <c r="G6797" s="654"/>
      <c r="H6797" s="1017"/>
      <c r="I6797" s="656"/>
      <c r="J6797" s="654"/>
      <c r="K6797" s="657"/>
      <c r="L6797" s="2003" t="s">
        <v>0</v>
      </c>
      <c r="M6797" s="2003"/>
      <c r="N6797" s="2003"/>
      <c r="O6797" s="2004"/>
      <c r="P6797" s="2010"/>
      <c r="Q6797" s="1064"/>
      <c r="R6797" s="1064"/>
    </row>
    <row r="6798" spans="1:18" ht="18">
      <c r="A6798" s="658" t="s">
        <v>1</v>
      </c>
      <c r="B6798" s="658"/>
      <c r="C6798" s="658"/>
      <c r="D6798" s="659" t="s">
        <v>2</v>
      </c>
      <c r="E6798" s="659"/>
      <c r="F6798" s="660"/>
      <c r="G6798" s="660"/>
      <c r="H6798" s="660"/>
      <c r="I6798" s="661"/>
      <c r="J6798" s="660"/>
      <c r="K6798" s="662" t="s">
        <v>3</v>
      </c>
      <c r="L6798" s="660"/>
      <c r="M6798" s="658"/>
      <c r="N6798" s="660"/>
      <c r="O6798" s="663"/>
      <c r="P6798" s="2010"/>
      <c r="Q6798" s="1064"/>
      <c r="R6798" s="1064"/>
    </row>
    <row r="6799" spans="1:18" ht="18">
      <c r="A6799" s="1017" t="s">
        <v>22</v>
      </c>
      <c r="B6799" s="1990" t="s">
        <v>23</v>
      </c>
      <c r="C6799" s="2005"/>
      <c r="D6799" s="1989"/>
      <c r="E6799" s="1017" t="s">
        <v>24</v>
      </c>
      <c r="F6799" s="1990" t="s">
        <v>25</v>
      </c>
      <c r="G6799" s="1989"/>
      <c r="H6799" s="1990" t="s">
        <v>26</v>
      </c>
      <c r="I6799" s="2005"/>
      <c r="J6799" s="2005"/>
      <c r="K6799" s="1989"/>
      <c r="L6799" s="2006" t="s">
        <v>27</v>
      </c>
      <c r="M6799" s="2006"/>
      <c r="N6799" s="2006"/>
      <c r="O6799" s="1990"/>
      <c r="P6799" s="2010"/>
      <c r="Q6799" s="1064"/>
      <c r="R6799" s="1064"/>
    </row>
    <row r="6800" spans="1:18" ht="18">
      <c r="A6800" s="664"/>
      <c r="B6800" s="1975"/>
      <c r="C6800" s="1976"/>
      <c r="D6800" s="1977"/>
      <c r="E6800" s="665"/>
      <c r="F6800" s="1975"/>
      <c r="G6800" s="1977"/>
      <c r="H6800" s="1975"/>
      <c r="I6800" s="1976"/>
      <c r="J6800" s="1976"/>
      <c r="K6800" s="1977"/>
      <c r="L6800" s="1975"/>
      <c r="M6800" s="1976"/>
      <c r="N6800" s="1976"/>
      <c r="O6800" s="1976"/>
      <c r="P6800" s="2010"/>
      <c r="Q6800" s="1064"/>
      <c r="R6800" s="1064"/>
    </row>
    <row r="6801" spans="1:18" ht="18">
      <c r="A6801" s="664" t="s">
        <v>28</v>
      </c>
      <c r="B6801" s="1975" t="s">
        <v>413</v>
      </c>
      <c r="C6801" s="1976"/>
      <c r="D6801" s="1977"/>
      <c r="E6801" s="665">
        <f>+L6607</f>
        <v>66.548860000000005</v>
      </c>
      <c r="F6801" s="1975">
        <v>11</v>
      </c>
      <c r="G6801" s="1977"/>
      <c r="H6801" s="1975" t="s">
        <v>49</v>
      </c>
      <c r="I6801" s="1976"/>
      <c r="J6801" s="1976"/>
      <c r="K6801" s="1977"/>
      <c r="L6801" s="1976" t="s">
        <v>590</v>
      </c>
      <c r="M6801" s="1976"/>
      <c r="N6801" s="1976"/>
      <c r="O6801" s="1976"/>
      <c r="P6801" s="2010"/>
      <c r="Q6801" s="1064"/>
      <c r="R6801" s="1064"/>
    </row>
    <row r="6802" spans="1:18" ht="18">
      <c r="A6802" s="664" t="s">
        <v>29</v>
      </c>
      <c r="B6802" s="1975" t="s">
        <v>56</v>
      </c>
      <c r="C6802" s="1976"/>
      <c r="D6802" s="1977"/>
      <c r="E6802" s="665">
        <f>+L6642</f>
        <v>139.77793050000002</v>
      </c>
      <c r="F6802" s="1975">
        <v>11</v>
      </c>
      <c r="G6802" s="1977"/>
      <c r="H6802" s="1975" t="s">
        <v>49</v>
      </c>
      <c r="I6802" s="1976"/>
      <c r="J6802" s="1976"/>
      <c r="K6802" s="1977"/>
      <c r="L6802" s="1976" t="s">
        <v>590</v>
      </c>
      <c r="M6802" s="1976"/>
      <c r="N6802" s="1976"/>
      <c r="O6802" s="1976"/>
      <c r="P6802" s="2010"/>
      <c r="Q6802" s="1064"/>
      <c r="R6802" s="1064"/>
    </row>
    <row r="6803" spans="1:18" ht="18">
      <c r="A6803" s="664" t="s">
        <v>30</v>
      </c>
      <c r="B6803" s="1975" t="s">
        <v>55</v>
      </c>
      <c r="C6803" s="1976"/>
      <c r="D6803" s="1977"/>
      <c r="E6803" s="665">
        <f>+L6675+L6687</f>
        <v>124.41336</v>
      </c>
      <c r="F6803" s="1975">
        <v>11</v>
      </c>
      <c r="G6803" s="1977"/>
      <c r="H6803" s="1975" t="s">
        <v>49</v>
      </c>
      <c r="I6803" s="1976"/>
      <c r="J6803" s="1976"/>
      <c r="K6803" s="1977"/>
      <c r="L6803" s="1976" t="s">
        <v>677</v>
      </c>
      <c r="M6803" s="1976"/>
      <c r="N6803" s="1976"/>
      <c r="O6803" s="1976"/>
      <c r="P6803" s="2010"/>
      <c r="Q6803" s="1064"/>
      <c r="R6803" s="1064"/>
    </row>
    <row r="6804" spans="1:18" s="497" customFormat="1" ht="18">
      <c r="A6804" s="664" t="s">
        <v>46</v>
      </c>
      <c r="B6804" s="1975" t="s">
        <v>79</v>
      </c>
      <c r="C6804" s="1976"/>
      <c r="D6804" s="1977"/>
      <c r="E6804" s="665">
        <f>+L6699+L6707</f>
        <v>31.852203000000003</v>
      </c>
      <c r="F6804" s="1975">
        <v>11</v>
      </c>
      <c r="G6804" s="1977"/>
      <c r="H6804" s="1975" t="s">
        <v>49</v>
      </c>
      <c r="I6804" s="1976"/>
      <c r="J6804" s="1976"/>
      <c r="K6804" s="1977"/>
      <c r="L6804" s="1976" t="s">
        <v>678</v>
      </c>
      <c r="M6804" s="1976"/>
      <c r="N6804" s="1976"/>
      <c r="O6804" s="1976"/>
      <c r="P6804" s="2010"/>
      <c r="Q6804" s="1064"/>
      <c r="R6804" s="1064"/>
    </row>
    <row r="6805" spans="1:18" ht="18">
      <c r="A6805" s="664"/>
      <c r="B6805" s="1975"/>
      <c r="C6805" s="1976"/>
      <c r="D6805" s="1977"/>
      <c r="E6805" s="665"/>
      <c r="F6805" s="1975"/>
      <c r="G6805" s="1977"/>
      <c r="H6805" s="1975"/>
      <c r="I6805" s="1976"/>
      <c r="J6805" s="1976"/>
      <c r="K6805" s="1977"/>
      <c r="L6805" s="1976"/>
      <c r="M6805" s="1976"/>
      <c r="N6805" s="1976"/>
      <c r="O6805" s="1976"/>
      <c r="P6805" s="2010"/>
      <c r="Q6805" s="1064"/>
      <c r="R6805" s="1064"/>
    </row>
    <row r="6806" spans="1:18" ht="18">
      <c r="A6806" s="847" t="s">
        <v>58</v>
      </c>
      <c r="B6806" s="1975" t="s">
        <v>79</v>
      </c>
      <c r="C6806" s="1976"/>
      <c r="D6806" s="1977"/>
      <c r="E6806" s="665">
        <f>+L6714</f>
        <v>4.4677699999999998</v>
      </c>
      <c r="F6806" s="1975">
        <v>11</v>
      </c>
      <c r="G6806" s="1977"/>
      <c r="H6806" s="1973" t="s">
        <v>447</v>
      </c>
      <c r="I6806" s="2018"/>
      <c r="J6806" s="2018"/>
      <c r="K6806" s="1974"/>
      <c r="L6806" s="2018" t="s">
        <v>65</v>
      </c>
      <c r="M6806" s="2018"/>
      <c r="N6806" s="2018"/>
      <c r="O6806" s="2018"/>
      <c r="P6806" s="2010"/>
      <c r="Q6806" s="1064"/>
      <c r="R6806" s="1064"/>
    </row>
    <row r="6807" spans="1:18" ht="18">
      <c r="A6807" s="847" t="s">
        <v>163</v>
      </c>
      <c r="B6807" s="1975" t="s">
        <v>55</v>
      </c>
      <c r="C6807" s="1976"/>
      <c r="D6807" s="1977"/>
      <c r="E6807" s="665">
        <f>+L6728</f>
        <v>87.105712000000011</v>
      </c>
      <c r="F6807" s="1975">
        <v>11</v>
      </c>
      <c r="G6807" s="1977"/>
      <c r="H6807" s="1973" t="s">
        <v>447</v>
      </c>
      <c r="I6807" s="2018"/>
      <c r="J6807" s="2018"/>
      <c r="K6807" s="1974"/>
      <c r="L6807" s="2018" t="s">
        <v>65</v>
      </c>
      <c r="M6807" s="2018"/>
      <c r="N6807" s="2018"/>
      <c r="O6807" s="2018"/>
      <c r="P6807" s="2010"/>
      <c r="Q6807" s="1064"/>
      <c r="R6807" s="1064"/>
    </row>
    <row r="6808" spans="1:18" ht="18">
      <c r="A6808" s="664"/>
      <c r="B6808" s="1006"/>
      <c r="C6808" s="1007"/>
      <c r="D6808" s="1008"/>
      <c r="E6808" s="665"/>
      <c r="F6808" s="1006"/>
      <c r="G6808" s="1008"/>
      <c r="H6808" s="1010"/>
      <c r="I6808" s="1855"/>
      <c r="J6808" s="1011"/>
      <c r="K6808" s="1012"/>
      <c r="L6808" s="1007"/>
      <c r="M6808" s="1007"/>
      <c r="N6808" s="1007"/>
      <c r="O6808" s="1007"/>
      <c r="P6808" s="2010"/>
      <c r="Q6808" s="1064"/>
      <c r="R6808" s="1064"/>
    </row>
    <row r="6809" spans="1:18" ht="18">
      <c r="A6809" s="936" t="s">
        <v>302</v>
      </c>
      <c r="B6809" s="1975" t="s">
        <v>676</v>
      </c>
      <c r="C6809" s="1976"/>
      <c r="D6809" s="1977"/>
      <c r="E6809" s="671">
        <f>+L6731</f>
        <v>3.1783200000000003</v>
      </c>
      <c r="F6809" s="1975">
        <v>11</v>
      </c>
      <c r="G6809" s="1977"/>
      <c r="H6809" s="1973" t="s">
        <v>582</v>
      </c>
      <c r="I6809" s="2018"/>
      <c r="J6809" s="2018"/>
      <c r="K6809" s="1974"/>
      <c r="L6809" s="2018" t="s">
        <v>437</v>
      </c>
      <c r="M6809" s="2018"/>
      <c r="N6809" s="2018"/>
      <c r="O6809" s="2018"/>
      <c r="P6809" s="2010"/>
      <c r="Q6809" s="1064"/>
      <c r="R6809" s="1064"/>
    </row>
    <row r="6810" spans="1:18" s="497" customFormat="1" ht="18">
      <c r="A6810" s="936" t="s">
        <v>380</v>
      </c>
      <c r="B6810" s="1975" t="s">
        <v>280</v>
      </c>
      <c r="C6810" s="1976"/>
      <c r="D6810" s="1977"/>
      <c r="E6810" s="671">
        <f>+L6746+L6753+L6734+L6738</f>
        <v>71.244820000000004</v>
      </c>
      <c r="F6810" s="1975">
        <v>11</v>
      </c>
      <c r="G6810" s="1977"/>
      <c r="H6810" s="1973" t="s">
        <v>582</v>
      </c>
      <c r="I6810" s="2018"/>
      <c r="J6810" s="2018"/>
      <c r="K6810" s="1974"/>
      <c r="L6810" s="2018" t="s">
        <v>437</v>
      </c>
      <c r="M6810" s="2018"/>
      <c r="N6810" s="2018"/>
      <c r="O6810" s="2018"/>
      <c r="P6810" s="2010"/>
      <c r="Q6810" s="1064"/>
      <c r="R6810" s="1064"/>
    </row>
    <row r="6811" spans="1:18" s="497" customFormat="1" ht="18">
      <c r="A6811" s="936" t="s">
        <v>434</v>
      </c>
      <c r="B6811" s="1975" t="s">
        <v>279</v>
      </c>
      <c r="C6811" s="1976"/>
      <c r="D6811" s="1977"/>
      <c r="E6811" s="671">
        <f>+L6759+2</f>
        <v>3.2829350000000002</v>
      </c>
      <c r="F6811" s="1975">
        <v>11</v>
      </c>
      <c r="G6811" s="1977"/>
      <c r="H6811" s="1973" t="s">
        <v>582</v>
      </c>
      <c r="I6811" s="2018"/>
      <c r="J6811" s="2018"/>
      <c r="K6811" s="1974"/>
      <c r="L6811" s="2018" t="s">
        <v>437</v>
      </c>
      <c r="M6811" s="2018"/>
      <c r="N6811" s="2018"/>
      <c r="O6811" s="2018"/>
      <c r="P6811" s="2010"/>
      <c r="Q6811" s="1064"/>
      <c r="R6811" s="1064"/>
    </row>
    <row r="6812" spans="1:18" s="497" customFormat="1" ht="18">
      <c r="A6812" s="936"/>
      <c r="B6812" s="1026"/>
      <c r="C6812" s="1027"/>
      <c r="D6812" s="1028"/>
      <c r="E6812" s="671"/>
      <c r="F6812" s="1029"/>
      <c r="G6812" s="1030"/>
      <c r="H6812" s="1029"/>
      <c r="I6812" s="1855"/>
      <c r="J6812" s="1031"/>
      <c r="K6812" s="1030"/>
      <c r="L6812" s="1031"/>
      <c r="M6812" s="1031"/>
      <c r="N6812" s="1031"/>
      <c r="O6812" s="1031"/>
      <c r="P6812" s="2010"/>
      <c r="Q6812" s="1064"/>
      <c r="R6812" s="1064"/>
    </row>
    <row r="6813" spans="1:18" ht="18">
      <c r="A6813" s="936" t="s">
        <v>474</v>
      </c>
      <c r="B6813" s="1975" t="s">
        <v>676</v>
      </c>
      <c r="C6813" s="1976"/>
      <c r="D6813" s="1977"/>
      <c r="E6813" s="671">
        <f>+L6764</f>
        <v>11.138060000000001</v>
      </c>
      <c r="F6813" s="1973">
        <v>8.5</v>
      </c>
      <c r="G6813" s="1974"/>
      <c r="H6813" s="1973" t="s">
        <v>450</v>
      </c>
      <c r="I6813" s="2018"/>
      <c r="J6813" s="2018"/>
      <c r="K6813" s="1974"/>
      <c r="L6813" s="2018" t="s">
        <v>437</v>
      </c>
      <c r="M6813" s="2018"/>
      <c r="N6813" s="2018"/>
      <c r="O6813" s="2018"/>
      <c r="P6813" s="2010"/>
      <c r="Q6813" s="1064"/>
      <c r="R6813" s="1064"/>
    </row>
    <row r="6814" spans="1:18" ht="18">
      <c r="A6814" s="936" t="s">
        <v>474</v>
      </c>
      <c r="B6814" s="1975" t="s">
        <v>280</v>
      </c>
      <c r="C6814" s="1976"/>
      <c r="D6814" s="1977"/>
      <c r="E6814" s="671">
        <f>+L6770</f>
        <v>10.376704</v>
      </c>
      <c r="F6814" s="1973">
        <v>8.5</v>
      </c>
      <c r="G6814" s="1974"/>
      <c r="H6814" s="1973" t="s">
        <v>450</v>
      </c>
      <c r="I6814" s="2018"/>
      <c r="J6814" s="2018"/>
      <c r="K6814" s="1974"/>
      <c r="L6814" s="2018" t="s">
        <v>437</v>
      </c>
      <c r="M6814" s="2018"/>
      <c r="N6814" s="2018"/>
      <c r="O6814" s="2018"/>
      <c r="P6814" s="2010"/>
      <c r="Q6814" s="1064"/>
      <c r="R6814" s="1064"/>
    </row>
    <row r="6815" spans="1:18" ht="18">
      <c r="A6815" s="847"/>
      <c r="B6815" s="1975"/>
      <c r="C6815" s="1976"/>
      <c r="D6815" s="1977"/>
      <c r="E6815" s="665"/>
      <c r="F6815" s="1975"/>
      <c r="G6815" s="1977"/>
      <c r="H6815" s="1973"/>
      <c r="I6815" s="2018"/>
      <c r="J6815" s="2018"/>
      <c r="K6815" s="1974"/>
      <c r="L6815" s="2018"/>
      <c r="M6815" s="2018"/>
      <c r="N6815" s="2018"/>
      <c r="O6815" s="2018"/>
      <c r="P6815" s="2010"/>
      <c r="Q6815" s="1064"/>
      <c r="R6815" s="1064"/>
    </row>
    <row r="6816" spans="1:18" ht="18.600000000000001" thickBot="1">
      <c r="A6816" s="664"/>
      <c r="B6816" s="1006"/>
      <c r="C6816" s="1007"/>
      <c r="D6816" s="1007"/>
      <c r="E6816" s="665"/>
      <c r="F6816" s="1007"/>
      <c r="G6816" s="1008"/>
      <c r="H6816" s="1006"/>
      <c r="I6816" s="1842"/>
      <c r="J6816" s="1007"/>
      <c r="K6816" s="669"/>
      <c r="L6816" s="672"/>
      <c r="M6816" s="673"/>
      <c r="N6816" s="673"/>
      <c r="O6816" s="673"/>
      <c r="P6816" s="2010"/>
      <c r="Q6816" s="1064"/>
      <c r="R6816" s="1064"/>
    </row>
    <row r="6817" spans="1:18" ht="18">
      <c r="A6817" s="674"/>
      <c r="B6817" s="675"/>
      <c r="C6817" s="676"/>
      <c r="D6817" s="676"/>
      <c r="E6817" s="1980">
        <f>SUM(E6800:E6816)</f>
        <v>553.38667450000003</v>
      </c>
      <c r="F6817" s="677"/>
      <c r="G6817" s="678"/>
      <c r="H6817" s="679"/>
      <c r="I6817" s="1848"/>
      <c r="J6817" s="676"/>
      <c r="K6817" s="680"/>
      <c r="L6817" s="679"/>
      <c r="M6817" s="676"/>
      <c r="N6817" s="677"/>
      <c r="O6817" s="676"/>
      <c r="P6817" s="2010"/>
      <c r="Q6817" s="1064"/>
      <c r="R6817" s="1064"/>
    </row>
    <row r="6818" spans="1:18" ht="18.600000000000001" thickBot="1">
      <c r="A6818" s="681"/>
      <c r="B6818" s="682"/>
      <c r="C6818" s="683"/>
      <c r="D6818" s="683"/>
      <c r="E6818" s="1981"/>
      <c r="F6818" s="684"/>
      <c r="G6818" s="685"/>
      <c r="H6818" s="686"/>
      <c r="I6818" s="1850"/>
      <c r="J6818" s="683"/>
      <c r="K6818" s="687"/>
      <c r="L6818" s="686"/>
      <c r="M6818" s="683"/>
      <c r="N6818" s="684"/>
      <c r="O6818" s="683"/>
      <c r="P6818" s="2010"/>
      <c r="Q6818" s="1064"/>
      <c r="R6818" s="1064"/>
    </row>
    <row r="6819" spans="1:18" ht="18">
      <c r="A6819" s="688" t="s">
        <v>31</v>
      </c>
      <c r="B6819" s="676"/>
      <c r="C6819" s="676"/>
      <c r="D6819" s="676"/>
      <c r="E6819" s="676"/>
      <c r="F6819" s="677"/>
      <c r="G6819" s="676"/>
      <c r="H6819" s="677"/>
      <c r="I6819" s="1848"/>
      <c r="J6819" s="676"/>
      <c r="K6819" s="689"/>
      <c r="L6819" s="677"/>
      <c r="M6819" s="676"/>
      <c r="N6819" s="677"/>
      <c r="O6819" s="676"/>
      <c r="P6819" s="2010"/>
      <c r="Q6819" s="1064"/>
      <c r="R6819" s="1064"/>
    </row>
    <row r="6820" spans="1:18" ht="18">
      <c r="A6820" s="690"/>
      <c r="B6820" s="691"/>
      <c r="C6820" s="691"/>
      <c r="D6820" s="691"/>
      <c r="E6820" s="691"/>
      <c r="F6820" s="1013"/>
      <c r="G6820" s="691"/>
      <c r="H6820" s="1013"/>
      <c r="I6820" s="1849"/>
      <c r="J6820" s="691"/>
      <c r="K6820" s="693"/>
      <c r="L6820" s="1013"/>
      <c r="M6820" s="691"/>
      <c r="N6820" s="1013"/>
      <c r="O6820" s="691"/>
      <c r="P6820" s="2010"/>
      <c r="Q6820" s="1064"/>
      <c r="R6820" s="1064"/>
    </row>
    <row r="6821" spans="1:18" ht="18.600000000000001" thickBot="1">
      <c r="A6821" s="1982" t="s">
        <v>32</v>
      </c>
      <c r="B6821" s="1983"/>
      <c r="C6821" s="1984" t="s">
        <v>33</v>
      </c>
      <c r="D6821" s="1985"/>
      <c r="E6821" s="694" t="s">
        <v>34</v>
      </c>
      <c r="F6821" s="694" t="s">
        <v>35</v>
      </c>
      <c r="G6821" s="1986" t="s">
        <v>36</v>
      </c>
      <c r="H6821" s="1987"/>
      <c r="I6821" s="1987"/>
      <c r="J6821" s="1987"/>
      <c r="K6821" s="1987"/>
      <c r="L6821" s="1987"/>
      <c r="M6821" s="1987"/>
      <c r="N6821" s="1987"/>
      <c r="O6821" s="1987"/>
      <c r="P6821" s="2010"/>
      <c r="Q6821" s="1064"/>
      <c r="R6821" s="1064"/>
    </row>
    <row r="6822" spans="1:18" ht="18">
      <c r="A6822" s="1988"/>
      <c r="B6822" s="1989"/>
      <c r="C6822" s="1990"/>
      <c r="D6822" s="1989"/>
      <c r="E6822" s="1017"/>
      <c r="F6822" s="1014"/>
      <c r="G6822" s="1991"/>
      <c r="H6822" s="1992"/>
      <c r="I6822" s="1992"/>
      <c r="J6822" s="1992"/>
      <c r="K6822" s="1992"/>
      <c r="L6822" s="1992"/>
      <c r="M6822" s="1992"/>
      <c r="N6822" s="1992"/>
      <c r="O6822" s="1992"/>
      <c r="P6822" s="2010"/>
      <c r="Q6822" s="1064"/>
      <c r="R6822" s="1064"/>
    </row>
    <row r="6823" spans="1:18" ht="18">
      <c r="A6823" s="1997" t="s">
        <v>37</v>
      </c>
      <c r="B6823" s="1998"/>
      <c r="C6823" s="1990"/>
      <c r="D6823" s="1989"/>
      <c r="E6823" s="1017"/>
      <c r="F6823" s="1014"/>
      <c r="G6823" s="1993"/>
      <c r="H6823" s="1994"/>
      <c r="I6823" s="1994"/>
      <c r="J6823" s="1994"/>
      <c r="K6823" s="1994"/>
      <c r="L6823" s="1994"/>
      <c r="M6823" s="1994"/>
      <c r="N6823" s="1994"/>
      <c r="O6823" s="1994"/>
      <c r="P6823" s="2010"/>
      <c r="Q6823" s="1064"/>
      <c r="R6823" s="1064"/>
    </row>
    <row r="6824" spans="1:18" ht="18">
      <c r="A6824" s="1997" t="s">
        <v>38</v>
      </c>
      <c r="B6824" s="1998"/>
      <c r="C6824" s="1990"/>
      <c r="D6824" s="1989"/>
      <c r="E6824" s="1017"/>
      <c r="F6824" s="1014"/>
      <c r="G6824" s="1993"/>
      <c r="H6824" s="1994"/>
      <c r="I6824" s="1994"/>
      <c r="J6824" s="1994"/>
      <c r="K6824" s="1994"/>
      <c r="L6824" s="1994"/>
      <c r="M6824" s="1994"/>
      <c r="N6824" s="1994"/>
      <c r="O6824" s="1994"/>
      <c r="P6824" s="2010"/>
      <c r="Q6824" s="1064"/>
      <c r="R6824" s="1064"/>
    </row>
    <row r="6825" spans="1:18" ht="18">
      <c r="A6825" s="1997" t="s">
        <v>39</v>
      </c>
      <c r="B6825" s="1998"/>
      <c r="C6825" s="1990"/>
      <c r="D6825" s="1989"/>
      <c r="E6825" s="1017"/>
      <c r="F6825" s="1014"/>
      <c r="G6825" s="1993"/>
      <c r="H6825" s="1994"/>
      <c r="I6825" s="1994"/>
      <c r="J6825" s="1994"/>
      <c r="K6825" s="1994"/>
      <c r="L6825" s="1994"/>
      <c r="M6825" s="1994"/>
      <c r="N6825" s="1994"/>
      <c r="O6825" s="1994"/>
      <c r="P6825" s="2010"/>
      <c r="Q6825" s="1064"/>
      <c r="R6825" s="1064"/>
    </row>
    <row r="6826" spans="1:18" ht="18">
      <c r="A6826" s="1997" t="s">
        <v>40</v>
      </c>
      <c r="B6826" s="1998"/>
      <c r="C6826" s="1990"/>
      <c r="D6826" s="1989"/>
      <c r="E6826" s="1017"/>
      <c r="F6826" s="1014"/>
      <c r="G6826" s="1993"/>
      <c r="H6826" s="1994"/>
      <c r="I6826" s="1994"/>
      <c r="J6826" s="1994"/>
      <c r="K6826" s="1994"/>
      <c r="L6826" s="1994"/>
      <c r="M6826" s="1994"/>
      <c r="N6826" s="1994"/>
      <c r="O6826" s="1994"/>
      <c r="P6826" s="2010"/>
      <c r="Q6826" s="1064"/>
      <c r="R6826" s="1064"/>
    </row>
    <row r="6827" spans="1:18" ht="18.600000000000001" thickBot="1">
      <c r="A6827" s="1999" t="s">
        <v>41</v>
      </c>
      <c r="B6827" s="2000"/>
      <c r="C6827" s="2001"/>
      <c r="D6827" s="2002"/>
      <c r="E6827" s="696"/>
      <c r="F6827" s="1015"/>
      <c r="G6827" s="1995"/>
      <c r="H6827" s="1996"/>
      <c r="I6827" s="1996"/>
      <c r="J6827" s="1996"/>
      <c r="K6827" s="1996"/>
      <c r="L6827" s="1996"/>
      <c r="M6827" s="1996"/>
      <c r="N6827" s="1996"/>
      <c r="O6827" s="1996"/>
      <c r="P6827" s="2010"/>
      <c r="Q6827" s="1064"/>
      <c r="R6827" s="1064"/>
    </row>
    <row r="6828" spans="1:18" ht="18">
      <c r="A6828" s="690"/>
      <c r="B6828" s="691"/>
      <c r="C6828" s="691"/>
      <c r="D6828" s="691"/>
      <c r="E6828" s="691"/>
      <c r="F6828" s="1013"/>
      <c r="G6828" s="691"/>
      <c r="H6828" s="698"/>
      <c r="I6828" s="699"/>
      <c r="J6828" s="700"/>
      <c r="K6828" s="701"/>
      <c r="L6828" s="702"/>
      <c r="M6828" s="691"/>
      <c r="N6828" s="1013"/>
      <c r="O6828" s="691"/>
      <c r="P6828" s="2010"/>
      <c r="Q6828" s="1064"/>
      <c r="R6828" s="1064"/>
    </row>
    <row r="6829" spans="1:18" ht="18">
      <c r="A6829" s="703" t="s">
        <v>42</v>
      </c>
      <c r="B6829" s="704"/>
      <c r="C6829" s="691"/>
      <c r="D6829" s="691"/>
      <c r="E6829" s="691"/>
      <c r="F6829" s="1013"/>
      <c r="G6829" s="704"/>
      <c r="H6829" s="698"/>
      <c r="I6829" s="699"/>
      <c r="J6829" s="700"/>
      <c r="K6829" s="693"/>
      <c r="L6829" s="705"/>
      <c r="M6829" s="691"/>
      <c r="N6829" s="1979" t="s">
        <v>43</v>
      </c>
      <c r="O6829" s="1979"/>
      <c r="P6829" s="2010"/>
      <c r="Q6829" s="1064"/>
      <c r="R6829" s="1064"/>
    </row>
    <row r="6830" spans="1:18" ht="18">
      <c r="A6830" s="703"/>
      <c r="B6830" s="704"/>
      <c r="C6830" s="691"/>
      <c r="D6830" s="691"/>
      <c r="E6830" s="691"/>
      <c r="F6830" s="1013"/>
      <c r="G6830" s="691"/>
      <c r="H6830" s="1013"/>
      <c r="I6830" s="1849"/>
      <c r="J6830" s="691"/>
      <c r="K6830" s="693"/>
      <c r="L6830" s="1013"/>
      <c r="M6830" s="691"/>
      <c r="N6830" s="1013"/>
      <c r="O6830" s="704"/>
      <c r="P6830" s="2010"/>
      <c r="Q6830" s="1064"/>
      <c r="R6830" s="1064"/>
    </row>
    <row r="6831" spans="1:18" ht="18">
      <c r="A6831" s="703" t="s">
        <v>44</v>
      </c>
      <c r="B6831" s="704"/>
      <c r="C6831" s="691"/>
      <c r="D6831" s="691"/>
      <c r="E6831" s="691"/>
      <c r="F6831" s="1013"/>
      <c r="G6831" s="691"/>
      <c r="H6831" s="1013"/>
      <c r="I6831" s="1849"/>
      <c r="J6831" s="691"/>
      <c r="K6831" s="693"/>
      <c r="L6831" s="1013"/>
      <c r="M6831" s="691"/>
      <c r="N6831" s="1979" t="s">
        <v>45</v>
      </c>
      <c r="O6831" s="1979"/>
      <c r="P6831" s="2010"/>
      <c r="Q6831" s="1064"/>
      <c r="R6831" s="1064"/>
    </row>
    <row r="6832" spans="1:18" ht="18.600000000000001" thickBot="1">
      <c r="A6832" s="682"/>
      <c r="B6832" s="683"/>
      <c r="C6832" s="683"/>
      <c r="D6832" s="683"/>
      <c r="E6832" s="683"/>
      <c r="F6832" s="684"/>
      <c r="G6832" s="683"/>
      <c r="H6832" s="684"/>
      <c r="I6832" s="1850"/>
      <c r="J6832" s="683"/>
      <c r="K6832" s="706"/>
      <c r="L6832" s="684"/>
      <c r="M6832" s="683"/>
      <c r="N6832" s="684"/>
      <c r="O6832" s="683"/>
      <c r="P6832" s="2010"/>
      <c r="Q6832" s="1064"/>
      <c r="R6832" s="1064"/>
    </row>
    <row r="6837" spans="1:18" s="497" customFormat="1" ht="17.399999999999999">
      <c r="A6837" s="1000" t="s">
        <v>48</v>
      </c>
      <c r="B6837" s="1000"/>
      <c r="C6837" s="718"/>
      <c r="D6837" s="718"/>
      <c r="E6837" s="718"/>
      <c r="F6837" s="720"/>
      <c r="G6837" s="718"/>
      <c r="H6837" s="718"/>
      <c r="I6837" s="721"/>
      <c r="J6837" s="1001"/>
      <c r="K6837" s="1002"/>
      <c r="L6837" s="1978" t="s">
        <v>0</v>
      </c>
      <c r="M6837" s="1978"/>
      <c r="N6837" s="1978"/>
      <c r="O6837" s="1978"/>
      <c r="P6837" s="549"/>
      <c r="Q6837" s="1059"/>
      <c r="R6837" s="1059"/>
    </row>
    <row r="6838" spans="1:18" s="497" customFormat="1" ht="17.399999999999999">
      <c r="A6838" s="718" t="s">
        <v>1</v>
      </c>
      <c r="B6838" s="718"/>
      <c r="C6838" s="718"/>
      <c r="D6838" s="719" t="s">
        <v>2</v>
      </c>
      <c r="E6838" s="719"/>
      <c r="F6838" s="720"/>
      <c r="G6838" s="720"/>
      <c r="H6838" s="720"/>
      <c r="I6838" s="721"/>
      <c r="J6838" s="1114"/>
      <c r="K6838" s="1002" t="s">
        <v>3</v>
      </c>
      <c r="L6838" s="1114"/>
      <c r="M6838" s="718"/>
      <c r="N6838" s="720"/>
      <c r="O6838" s="718"/>
      <c r="P6838" s="549"/>
      <c r="Q6838" s="1059"/>
      <c r="R6838" s="1059"/>
    </row>
    <row r="6839" spans="1:18" s="497" customFormat="1" ht="52.2">
      <c r="A6839" s="640" t="s">
        <v>4</v>
      </c>
      <c r="B6839" s="640" t="s">
        <v>5</v>
      </c>
      <c r="C6839" s="640" t="s">
        <v>6</v>
      </c>
      <c r="D6839" s="640" t="s">
        <v>7</v>
      </c>
      <c r="E6839" s="640" t="s">
        <v>8</v>
      </c>
      <c r="F6839" s="641" t="s">
        <v>9</v>
      </c>
      <c r="G6839" s="642" t="s">
        <v>10</v>
      </c>
      <c r="H6839" s="642" t="s">
        <v>11</v>
      </c>
      <c r="I6839" s="643" t="s">
        <v>12</v>
      </c>
      <c r="J6839" s="644" t="s">
        <v>13</v>
      </c>
      <c r="K6839" s="645" t="s">
        <v>14</v>
      </c>
      <c r="L6839" s="646" t="s">
        <v>15</v>
      </c>
      <c r="M6839" s="641" t="s">
        <v>16</v>
      </c>
      <c r="N6839" s="641" t="s">
        <v>17</v>
      </c>
      <c r="O6839" s="642" t="s">
        <v>18</v>
      </c>
      <c r="P6839" s="641" t="s">
        <v>192</v>
      </c>
      <c r="Q6839" s="1063"/>
      <c r="R6839" s="1063"/>
    </row>
    <row r="6840" spans="1:18" s="497" customFormat="1" ht="17.399999999999999">
      <c r="A6840" s="549"/>
      <c r="B6840" s="549"/>
      <c r="C6840" s="549"/>
      <c r="D6840" s="549"/>
      <c r="E6840" s="549"/>
      <c r="F6840" s="549"/>
      <c r="G6840" s="549"/>
      <c r="H6840" s="549"/>
      <c r="I6840" s="558"/>
      <c r="J6840" s="567"/>
      <c r="K6840" s="648"/>
      <c r="L6840" s="567"/>
      <c r="M6840" s="549"/>
      <c r="N6840" s="549"/>
      <c r="O6840" s="549"/>
      <c r="P6840" s="549"/>
      <c r="Q6840" s="1059"/>
      <c r="R6840" s="1059"/>
    </row>
    <row r="6841" spans="1:18" s="497" customFormat="1" ht="17.399999999999999">
      <c r="A6841" s="547" t="s">
        <v>445</v>
      </c>
      <c r="B6841" s="547" t="s">
        <v>613</v>
      </c>
      <c r="C6841" s="547" t="s">
        <v>446</v>
      </c>
      <c r="D6841" s="813" t="s">
        <v>450</v>
      </c>
      <c r="E6841" s="547" t="s">
        <v>270</v>
      </c>
      <c r="F6841" s="1032">
        <v>8.5</v>
      </c>
      <c r="G6841" s="549" t="s">
        <v>61</v>
      </c>
      <c r="H6841" s="549" t="s">
        <v>91</v>
      </c>
      <c r="I6841" s="558">
        <v>6.97</v>
      </c>
      <c r="J6841" s="567">
        <v>6.1</v>
      </c>
      <c r="K6841" s="648">
        <v>104</v>
      </c>
      <c r="L6841" s="552">
        <f t="shared" ref="L6841:L6844" si="1467">(I6841*J6841*K6841/1000)</f>
        <v>4.4217680000000001</v>
      </c>
      <c r="M6841" s="549"/>
      <c r="N6841" s="549"/>
      <c r="O6841" s="549"/>
      <c r="P6841" s="549"/>
      <c r="Q6841" s="1059"/>
      <c r="R6841" s="1059"/>
    </row>
    <row r="6842" spans="1:18" s="497" customFormat="1" ht="17.399999999999999">
      <c r="A6842" s="549"/>
      <c r="B6842" s="549"/>
      <c r="C6842" s="549"/>
      <c r="D6842" s="549"/>
      <c r="E6842" s="549"/>
      <c r="F6842" s="549"/>
      <c r="G6842" s="549" t="s">
        <v>61</v>
      </c>
      <c r="H6842" s="549" t="s">
        <v>91</v>
      </c>
      <c r="I6842" s="558">
        <v>6.97</v>
      </c>
      <c r="J6842" s="567">
        <v>6.7</v>
      </c>
      <c r="K6842" s="648">
        <v>88</v>
      </c>
      <c r="L6842" s="552">
        <f t="shared" si="1467"/>
        <v>4.1095119999999996</v>
      </c>
      <c r="M6842" s="549"/>
      <c r="N6842" s="549"/>
      <c r="O6842" s="549"/>
      <c r="P6842" s="549"/>
      <c r="Q6842" s="1059"/>
      <c r="R6842" s="1059"/>
    </row>
    <row r="6843" spans="1:18" s="497" customFormat="1" ht="17.399999999999999">
      <c r="A6843" s="549"/>
      <c r="B6843" s="549"/>
      <c r="C6843" s="549"/>
      <c r="D6843" s="549"/>
      <c r="E6843" s="549"/>
      <c r="F6843" s="549"/>
      <c r="G6843" s="549" t="s">
        <v>61</v>
      </c>
      <c r="H6843" s="549" t="s">
        <v>91</v>
      </c>
      <c r="I6843" s="558">
        <v>6.97</v>
      </c>
      <c r="J6843" s="567">
        <v>10.4</v>
      </c>
      <c r="K6843" s="648">
        <v>76</v>
      </c>
      <c r="L6843" s="552">
        <f t="shared" si="1467"/>
        <v>5.5090879999999993</v>
      </c>
      <c r="M6843" s="549"/>
      <c r="N6843" s="549"/>
      <c r="O6843" s="549"/>
      <c r="P6843" s="549"/>
      <c r="Q6843" s="1059"/>
      <c r="R6843" s="1059"/>
    </row>
    <row r="6844" spans="1:18" s="497" customFormat="1" ht="17.399999999999999">
      <c r="A6844" s="549"/>
      <c r="B6844" s="549"/>
      <c r="C6844" s="549"/>
      <c r="D6844" s="549"/>
      <c r="E6844" s="549"/>
      <c r="F6844" s="549"/>
      <c r="G6844" s="549" t="s">
        <v>61</v>
      </c>
      <c r="H6844" s="549" t="s">
        <v>91</v>
      </c>
      <c r="I6844" s="558">
        <v>6.97</v>
      </c>
      <c r="J6844" s="567">
        <v>10.705</v>
      </c>
      <c r="K6844" s="648">
        <v>79</v>
      </c>
      <c r="L6844" s="552">
        <f t="shared" si="1467"/>
        <v>5.8944941499999999</v>
      </c>
      <c r="M6844" s="549"/>
      <c r="N6844" s="549"/>
      <c r="O6844" s="549"/>
      <c r="P6844" s="549"/>
      <c r="Q6844" s="1059"/>
      <c r="R6844" s="1059"/>
    </row>
    <row r="6845" spans="1:18" s="497" customFormat="1" ht="17.399999999999999">
      <c r="A6845" s="549"/>
      <c r="B6845" s="549"/>
      <c r="C6845" s="549"/>
      <c r="D6845" s="549"/>
      <c r="E6845" s="549"/>
      <c r="F6845" s="549"/>
      <c r="G6845" s="549"/>
      <c r="H6845" s="549"/>
      <c r="I6845" s="558"/>
      <c r="J6845" s="567"/>
      <c r="K6845" s="648">
        <f t="shared" ref="K6845:L6845" si="1468">SUM(K6841:K6844)</f>
        <v>347</v>
      </c>
      <c r="L6845" s="567">
        <f t="shared" si="1468"/>
        <v>19.934862149999997</v>
      </c>
      <c r="M6845" s="549"/>
      <c r="N6845" s="549"/>
      <c r="O6845" s="549"/>
      <c r="P6845" s="549"/>
      <c r="Q6845" s="1059"/>
      <c r="R6845" s="1059"/>
    </row>
    <row r="6846" spans="1:18" s="497" customFormat="1" ht="17.399999999999999">
      <c r="A6846" s="549"/>
      <c r="B6846" s="549"/>
      <c r="C6846" s="549"/>
      <c r="D6846" s="549"/>
      <c r="E6846" s="549"/>
      <c r="F6846" s="549"/>
      <c r="G6846" s="549"/>
      <c r="H6846" s="549"/>
      <c r="I6846" s="558"/>
      <c r="J6846" s="567"/>
      <c r="K6846" s="648"/>
      <c r="L6846" s="567"/>
      <c r="M6846" s="549"/>
      <c r="N6846" s="549"/>
      <c r="O6846" s="549"/>
      <c r="P6846" s="549"/>
      <c r="Q6846" s="1059"/>
      <c r="R6846" s="1059"/>
    </row>
    <row r="6847" spans="1:18" s="497" customFormat="1" ht="17.399999999999999">
      <c r="A6847" s="547" t="s">
        <v>523</v>
      </c>
      <c r="B6847" s="547" t="s">
        <v>624</v>
      </c>
      <c r="C6847" s="547" t="s">
        <v>446</v>
      </c>
      <c r="D6847" s="813" t="s">
        <v>450</v>
      </c>
      <c r="E6847" s="547" t="s">
        <v>270</v>
      </c>
      <c r="F6847" s="1032">
        <v>8.5</v>
      </c>
      <c r="G6847" s="549" t="s">
        <v>61</v>
      </c>
      <c r="H6847" s="549" t="s">
        <v>91</v>
      </c>
      <c r="I6847" s="558">
        <v>6.97</v>
      </c>
      <c r="J6847" s="567">
        <v>10</v>
      </c>
      <c r="K6847" s="648">
        <v>111</v>
      </c>
      <c r="L6847" s="552">
        <f t="shared" ref="L6847:L6849" si="1469">(I6847*J6847*K6847/1000)</f>
        <v>7.7367000000000008</v>
      </c>
      <c r="M6847" s="549"/>
      <c r="N6847" s="549"/>
      <c r="O6847" s="549"/>
      <c r="P6847" s="549"/>
      <c r="Q6847" s="1059"/>
      <c r="R6847" s="1059"/>
    </row>
    <row r="6848" spans="1:18" s="497" customFormat="1" ht="17.399999999999999">
      <c r="A6848" s="549"/>
      <c r="B6848" s="549"/>
      <c r="C6848" s="549"/>
      <c r="D6848" s="549"/>
      <c r="E6848" s="549"/>
      <c r="F6848" s="549"/>
      <c r="G6848" s="549" t="s">
        <v>61</v>
      </c>
      <c r="H6848" s="549" t="s">
        <v>91</v>
      </c>
      <c r="I6848" s="558">
        <v>6.97</v>
      </c>
      <c r="J6848" s="567">
        <v>11</v>
      </c>
      <c r="K6848" s="648">
        <v>134</v>
      </c>
      <c r="L6848" s="552">
        <f t="shared" si="1469"/>
        <v>10.27378</v>
      </c>
      <c r="M6848" s="549"/>
      <c r="N6848" s="549"/>
      <c r="O6848" s="549"/>
      <c r="P6848" s="549"/>
      <c r="Q6848" s="1059"/>
      <c r="R6848" s="1059"/>
    </row>
    <row r="6849" spans="1:18" s="497" customFormat="1" ht="17.399999999999999">
      <c r="A6849" s="549"/>
      <c r="B6849" s="549"/>
      <c r="C6849" s="549"/>
      <c r="D6849" s="549"/>
      <c r="E6849" s="549"/>
      <c r="F6849" s="549"/>
      <c r="G6849" s="549" t="s">
        <v>61</v>
      </c>
      <c r="H6849" s="549" t="s">
        <v>91</v>
      </c>
      <c r="I6849" s="558">
        <v>6.97</v>
      </c>
      <c r="J6849" s="567">
        <v>12</v>
      </c>
      <c r="K6849" s="648">
        <v>84</v>
      </c>
      <c r="L6849" s="552">
        <f t="shared" si="1469"/>
        <v>7.02576</v>
      </c>
      <c r="M6849" s="549"/>
      <c r="N6849" s="549"/>
      <c r="O6849" s="549"/>
      <c r="P6849" s="549"/>
      <c r="Q6849" s="1059"/>
      <c r="R6849" s="1059"/>
    </row>
    <row r="6850" spans="1:18" s="497" customFormat="1" ht="17.399999999999999">
      <c r="A6850" s="549"/>
      <c r="B6850" s="549"/>
      <c r="C6850" s="549"/>
      <c r="D6850" s="549"/>
      <c r="E6850" s="549"/>
      <c r="F6850" s="549"/>
      <c r="G6850" s="549"/>
      <c r="H6850" s="549"/>
      <c r="I6850" s="558"/>
      <c r="J6850" s="567"/>
      <c r="K6850" s="648">
        <f t="shared" ref="K6850:L6850" si="1470">SUM(K6847:K6849)</f>
        <v>329</v>
      </c>
      <c r="L6850" s="567">
        <f t="shared" si="1470"/>
        <v>25.036239999999999</v>
      </c>
      <c r="M6850" s="549"/>
      <c r="N6850" s="549"/>
      <c r="O6850" s="549"/>
      <c r="P6850" s="549"/>
      <c r="Q6850" s="1059"/>
      <c r="R6850" s="1059"/>
    </row>
    <row r="6851" spans="1:18" s="497" customFormat="1" ht="17.399999999999999">
      <c r="A6851" s="549"/>
      <c r="B6851" s="549"/>
      <c r="C6851" s="549"/>
      <c r="D6851" s="549"/>
      <c r="E6851" s="549"/>
      <c r="F6851" s="549"/>
      <c r="G6851" s="549"/>
      <c r="H6851" s="549"/>
      <c r="I6851" s="558"/>
      <c r="J6851" s="567"/>
      <c r="K6851" s="648">
        <f>SUM(K6840:K6850)/2</f>
        <v>676</v>
      </c>
      <c r="L6851" s="567">
        <f>SUM(L6840:L6850)/2</f>
        <v>44.971102149999993</v>
      </c>
      <c r="M6851" s="549"/>
      <c r="N6851" s="549"/>
      <c r="O6851" s="549"/>
      <c r="P6851" s="549"/>
      <c r="Q6851" s="1059"/>
      <c r="R6851" s="1059"/>
    </row>
    <row r="6852" spans="1:18" s="497" customFormat="1" ht="17.399999999999999">
      <c r="A6852" s="549"/>
      <c r="B6852" s="549"/>
      <c r="C6852" s="549"/>
      <c r="D6852" s="549"/>
      <c r="E6852" s="549"/>
      <c r="F6852" s="549"/>
      <c r="G6852" s="549"/>
      <c r="H6852" s="549"/>
      <c r="I6852" s="558"/>
      <c r="J6852" s="567"/>
      <c r="K6852" s="648"/>
      <c r="L6852" s="567"/>
      <c r="M6852" s="549"/>
      <c r="N6852" s="549"/>
      <c r="O6852" s="549"/>
      <c r="P6852" s="549"/>
      <c r="Q6852" s="1059"/>
      <c r="R6852" s="1059"/>
    </row>
    <row r="6853" spans="1:18" s="497" customFormat="1" ht="17.399999999999999">
      <c r="A6853" s="547" t="s">
        <v>445</v>
      </c>
      <c r="B6853" s="547" t="s">
        <v>613</v>
      </c>
      <c r="C6853" s="547" t="s">
        <v>446</v>
      </c>
      <c r="D6853" s="813" t="s">
        <v>450</v>
      </c>
      <c r="E6853" s="547" t="s">
        <v>270</v>
      </c>
      <c r="F6853" s="1032">
        <v>8.5</v>
      </c>
      <c r="G6853" s="549" t="s">
        <v>61</v>
      </c>
      <c r="H6853" s="549" t="s">
        <v>53</v>
      </c>
      <c r="I6853" s="558">
        <v>8.32</v>
      </c>
      <c r="J6853" s="567">
        <v>8.1</v>
      </c>
      <c r="K6853" s="648">
        <v>26</v>
      </c>
      <c r="L6853" s="552">
        <f t="shared" ref="L6853:L6857" si="1471">(I6853*J6853*K6853/1000)</f>
        <v>1.752192</v>
      </c>
      <c r="M6853" s="549"/>
      <c r="N6853" s="549"/>
      <c r="O6853" s="549"/>
      <c r="P6853" s="549"/>
      <c r="Q6853" s="1059"/>
      <c r="R6853" s="1059"/>
    </row>
    <row r="6854" spans="1:18" s="497" customFormat="1" ht="17.399999999999999">
      <c r="A6854" s="549"/>
      <c r="B6854" s="549"/>
      <c r="C6854" s="549"/>
      <c r="D6854" s="549"/>
      <c r="E6854" s="549"/>
      <c r="F6854" s="549"/>
      <c r="G6854" s="549" t="s">
        <v>61</v>
      </c>
      <c r="H6854" s="549" t="s">
        <v>53</v>
      </c>
      <c r="I6854" s="558">
        <v>8.32</v>
      </c>
      <c r="J6854" s="567">
        <v>10.7</v>
      </c>
      <c r="K6854" s="648">
        <v>16</v>
      </c>
      <c r="L6854" s="552">
        <f t="shared" si="1471"/>
        <v>1.4243840000000001</v>
      </c>
      <c r="M6854" s="549"/>
      <c r="N6854" s="549"/>
      <c r="O6854" s="549"/>
      <c r="P6854" s="549"/>
      <c r="Q6854" s="1059"/>
      <c r="R6854" s="1059"/>
    </row>
    <row r="6855" spans="1:18" s="497" customFormat="1" ht="17.399999999999999">
      <c r="A6855" s="549"/>
      <c r="B6855" s="549"/>
      <c r="C6855" s="549"/>
      <c r="D6855" s="549"/>
      <c r="E6855" s="549"/>
      <c r="F6855" s="549"/>
      <c r="G6855" s="549" t="s">
        <v>61</v>
      </c>
      <c r="H6855" s="549" t="s">
        <v>53</v>
      </c>
      <c r="I6855" s="558">
        <v>8.32</v>
      </c>
      <c r="J6855" s="567">
        <v>11</v>
      </c>
      <c r="K6855" s="648">
        <v>38</v>
      </c>
      <c r="L6855" s="552">
        <f t="shared" si="1471"/>
        <v>3.4777600000000004</v>
      </c>
      <c r="M6855" s="549"/>
      <c r="N6855" s="549"/>
      <c r="O6855" s="549"/>
      <c r="P6855" s="549"/>
      <c r="Q6855" s="1059"/>
      <c r="R6855" s="1059"/>
    </row>
    <row r="6856" spans="1:18" s="497" customFormat="1" ht="17.399999999999999">
      <c r="A6856" s="549"/>
      <c r="B6856" s="549"/>
      <c r="C6856" s="549"/>
      <c r="D6856" s="549"/>
      <c r="E6856" s="549"/>
      <c r="F6856" s="549"/>
      <c r="G6856" s="549" t="s">
        <v>61</v>
      </c>
      <c r="H6856" s="549" t="s">
        <v>53</v>
      </c>
      <c r="I6856" s="558">
        <v>8.32</v>
      </c>
      <c r="J6856" s="567">
        <v>11.5</v>
      </c>
      <c r="K6856" s="648">
        <v>12</v>
      </c>
      <c r="L6856" s="552">
        <f t="shared" si="1471"/>
        <v>1.1481600000000001</v>
      </c>
      <c r="M6856" s="549"/>
      <c r="N6856" s="549"/>
      <c r="O6856" s="549"/>
      <c r="P6856" s="549"/>
      <c r="Q6856" s="1059"/>
      <c r="R6856" s="1059"/>
    </row>
    <row r="6857" spans="1:18" s="497" customFormat="1" ht="17.399999999999999">
      <c r="A6857" s="549"/>
      <c r="B6857" s="549"/>
      <c r="C6857" s="549"/>
      <c r="D6857" s="549"/>
      <c r="E6857" s="549"/>
      <c r="F6857" s="549"/>
      <c r="G6857" s="549" t="s">
        <v>61</v>
      </c>
      <c r="H6857" s="549" t="s">
        <v>53</v>
      </c>
      <c r="I6857" s="558">
        <v>8.32</v>
      </c>
      <c r="J6857" s="567">
        <v>12</v>
      </c>
      <c r="K6857" s="648">
        <v>157</v>
      </c>
      <c r="L6857" s="552">
        <f t="shared" si="1471"/>
        <v>15.674880000000002</v>
      </c>
      <c r="M6857" s="549"/>
      <c r="N6857" s="549"/>
      <c r="O6857" s="549"/>
      <c r="P6857" s="549"/>
      <c r="Q6857" s="1059"/>
      <c r="R6857" s="1059"/>
    </row>
    <row r="6858" spans="1:18" s="497" customFormat="1" ht="17.399999999999999">
      <c r="A6858" s="549"/>
      <c r="B6858" s="549"/>
      <c r="C6858" s="549"/>
      <c r="D6858" s="549"/>
      <c r="E6858" s="549"/>
      <c r="F6858" s="549"/>
      <c r="G6858" s="549"/>
      <c r="H6858" s="549"/>
      <c r="I6858" s="564"/>
      <c r="J6858" s="567"/>
      <c r="K6858" s="648">
        <f t="shared" ref="K6858" si="1472">SUM(K6853:K6857)</f>
        <v>249</v>
      </c>
      <c r="L6858" s="567">
        <f>SUM(L6853:L6857)</f>
        <v>23.477376000000003</v>
      </c>
      <c r="M6858" s="549"/>
      <c r="N6858" s="549"/>
      <c r="O6858" s="549"/>
      <c r="P6858" s="549"/>
      <c r="Q6858" s="1059"/>
      <c r="R6858" s="1059"/>
    </row>
    <row r="6859" spans="1:18" s="497" customFormat="1" ht="17.399999999999999">
      <c r="A6859" s="549"/>
      <c r="B6859" s="549"/>
      <c r="C6859" s="549"/>
      <c r="D6859" s="549"/>
      <c r="E6859" s="549"/>
      <c r="F6859" s="549"/>
      <c r="G6859" s="549"/>
      <c r="H6859" s="549"/>
      <c r="I6859" s="564"/>
      <c r="J6859" s="567"/>
      <c r="K6859" s="648"/>
      <c r="L6859" s="567">
        <f>+L6858+L6850+L6845</f>
        <v>68.44847815</v>
      </c>
      <c r="M6859" s="549"/>
      <c r="N6859" s="549"/>
      <c r="O6859" s="549"/>
      <c r="P6859" s="549"/>
      <c r="Q6859" s="1059"/>
      <c r="R6859" s="1059"/>
    </row>
    <row r="6860" spans="1:18" s="497" customFormat="1" ht="17.399999999999999">
      <c r="A6860" s="549"/>
      <c r="B6860" s="549"/>
      <c r="C6860" s="549"/>
      <c r="D6860" s="549"/>
      <c r="E6860" s="549"/>
      <c r="F6860" s="549"/>
      <c r="G6860" s="549"/>
      <c r="H6860" s="549"/>
      <c r="I6860" s="564"/>
      <c r="J6860" s="567"/>
      <c r="K6860" s="648"/>
      <c r="L6860" s="567"/>
      <c r="M6860" s="549"/>
      <c r="N6860" s="549"/>
      <c r="O6860" s="549"/>
      <c r="P6860" s="549"/>
      <c r="Q6860" s="1059"/>
      <c r="R6860" s="1059"/>
    </row>
    <row r="6861" spans="1:18" s="497" customFormat="1" ht="18">
      <c r="A6861" s="653" t="s">
        <v>48</v>
      </c>
      <c r="B6861" s="653"/>
      <c r="C6861" s="654"/>
      <c r="D6861" s="654"/>
      <c r="E6861" s="654"/>
      <c r="F6861" s="1115"/>
      <c r="G6861" s="654"/>
      <c r="H6861" s="1115"/>
      <c r="I6861" s="656"/>
      <c r="J6861" s="654"/>
      <c r="K6861" s="657"/>
      <c r="L6861" s="2003" t="s">
        <v>0</v>
      </c>
      <c r="M6861" s="2003"/>
      <c r="N6861" s="2003"/>
      <c r="O6861" s="2004"/>
      <c r="P6861" s="2010"/>
      <c r="Q6861" s="1064"/>
      <c r="R6861" s="1064"/>
    </row>
    <row r="6862" spans="1:18" s="497" customFormat="1" ht="18">
      <c r="A6862" s="658" t="s">
        <v>1</v>
      </c>
      <c r="B6862" s="658"/>
      <c r="C6862" s="658"/>
      <c r="D6862" s="659" t="s">
        <v>2</v>
      </c>
      <c r="E6862" s="659"/>
      <c r="F6862" s="660"/>
      <c r="G6862" s="660"/>
      <c r="H6862" s="660"/>
      <c r="I6862" s="661"/>
      <c r="J6862" s="660"/>
      <c r="K6862" s="662" t="s">
        <v>3</v>
      </c>
      <c r="L6862" s="660"/>
      <c r="M6862" s="658"/>
      <c r="N6862" s="660"/>
      <c r="O6862" s="663"/>
      <c r="P6862" s="2010"/>
      <c r="Q6862" s="1064"/>
      <c r="R6862" s="1064"/>
    </row>
    <row r="6863" spans="1:18" s="497" customFormat="1" ht="18">
      <c r="A6863" s="1115" t="s">
        <v>22</v>
      </c>
      <c r="B6863" s="1990" t="s">
        <v>23</v>
      </c>
      <c r="C6863" s="2005"/>
      <c r="D6863" s="1989"/>
      <c r="E6863" s="1115" t="s">
        <v>24</v>
      </c>
      <c r="F6863" s="1990" t="s">
        <v>25</v>
      </c>
      <c r="G6863" s="1989"/>
      <c r="H6863" s="1990" t="s">
        <v>26</v>
      </c>
      <c r="I6863" s="2005"/>
      <c r="J6863" s="2005"/>
      <c r="K6863" s="1989"/>
      <c r="L6863" s="2006" t="s">
        <v>27</v>
      </c>
      <c r="M6863" s="2006"/>
      <c r="N6863" s="2006"/>
      <c r="O6863" s="1990"/>
      <c r="P6863" s="2010"/>
      <c r="Q6863" s="1064"/>
      <c r="R6863" s="1064"/>
    </row>
    <row r="6864" spans="1:18" s="497" customFormat="1" ht="18">
      <c r="A6864" s="664"/>
      <c r="B6864" s="1975"/>
      <c r="C6864" s="1976"/>
      <c r="D6864" s="1977"/>
      <c r="E6864" s="665"/>
      <c r="F6864" s="1975"/>
      <c r="G6864" s="1977"/>
      <c r="H6864" s="1975"/>
      <c r="I6864" s="1976"/>
      <c r="J6864" s="1976"/>
      <c r="K6864" s="1977"/>
      <c r="L6864" s="1975"/>
      <c r="M6864" s="1976"/>
      <c r="N6864" s="1976"/>
      <c r="O6864" s="1976"/>
      <c r="P6864" s="2010"/>
      <c r="Q6864" s="1064"/>
      <c r="R6864" s="1064"/>
    </row>
    <row r="6865" spans="1:18" s="497" customFormat="1" ht="18">
      <c r="A6865" s="664" t="s">
        <v>46</v>
      </c>
      <c r="B6865" s="1975" t="s">
        <v>79</v>
      </c>
      <c r="C6865" s="1976"/>
      <c r="D6865" s="1977"/>
      <c r="E6865" s="665">
        <v>31.852</v>
      </c>
      <c r="F6865" s="1975">
        <v>11</v>
      </c>
      <c r="G6865" s="1977"/>
      <c r="H6865" s="1975" t="s">
        <v>49</v>
      </c>
      <c r="I6865" s="1976"/>
      <c r="J6865" s="1976"/>
      <c r="K6865" s="1977"/>
      <c r="L6865" s="1976" t="s">
        <v>678</v>
      </c>
      <c r="M6865" s="1976"/>
      <c r="N6865" s="1976"/>
      <c r="O6865" s="1976"/>
      <c r="P6865" s="2010"/>
      <c r="Q6865" s="1064"/>
      <c r="R6865" s="1064"/>
    </row>
    <row r="6866" spans="1:18" s="497" customFormat="1" ht="18">
      <c r="A6866" s="664"/>
      <c r="B6866" s="1975"/>
      <c r="C6866" s="1976"/>
      <c r="D6866" s="1977"/>
      <c r="E6866" s="665"/>
      <c r="F6866" s="1975"/>
      <c r="G6866" s="1977"/>
      <c r="H6866" s="1975"/>
      <c r="I6866" s="1976"/>
      <c r="J6866" s="1976"/>
      <c r="K6866" s="1977"/>
      <c r="L6866" s="1976"/>
      <c r="M6866" s="1976"/>
      <c r="N6866" s="1976"/>
      <c r="O6866" s="1976"/>
      <c r="P6866" s="2010"/>
      <c r="Q6866" s="1064"/>
      <c r="R6866" s="1064"/>
    </row>
    <row r="6867" spans="1:18" s="497" customFormat="1" ht="18">
      <c r="A6867" s="847" t="s">
        <v>58</v>
      </c>
      <c r="B6867" s="1975" t="s">
        <v>79</v>
      </c>
      <c r="C6867" s="1976"/>
      <c r="D6867" s="1977"/>
      <c r="E6867" s="665">
        <v>4.468</v>
      </c>
      <c r="F6867" s="1975">
        <v>11</v>
      </c>
      <c r="G6867" s="1977"/>
      <c r="H6867" s="1973" t="s">
        <v>447</v>
      </c>
      <c r="I6867" s="2018"/>
      <c r="J6867" s="2018"/>
      <c r="K6867" s="1974"/>
      <c r="L6867" s="2018" t="s">
        <v>65</v>
      </c>
      <c r="M6867" s="2018"/>
      <c r="N6867" s="2018"/>
      <c r="O6867" s="2018"/>
      <c r="P6867" s="2010"/>
      <c r="Q6867" s="1064"/>
      <c r="R6867" s="1064"/>
    </row>
    <row r="6868" spans="1:18" s="497" customFormat="1" ht="18">
      <c r="A6868" s="847" t="s">
        <v>163</v>
      </c>
      <c r="B6868" s="1975" t="s">
        <v>55</v>
      </c>
      <c r="C6868" s="1976"/>
      <c r="D6868" s="1977"/>
      <c r="E6868" s="665">
        <v>87.105999999999995</v>
      </c>
      <c r="F6868" s="1975">
        <v>11</v>
      </c>
      <c r="G6868" s="1977"/>
      <c r="H6868" s="1973" t="s">
        <v>447</v>
      </c>
      <c r="I6868" s="2018"/>
      <c r="J6868" s="2018"/>
      <c r="K6868" s="1974"/>
      <c r="L6868" s="2018" t="s">
        <v>65</v>
      </c>
      <c r="M6868" s="2018"/>
      <c r="N6868" s="2018"/>
      <c r="O6868" s="2018"/>
      <c r="P6868" s="2010"/>
      <c r="Q6868" s="1064"/>
      <c r="R6868" s="1064"/>
    </row>
    <row r="6869" spans="1:18" s="497" customFormat="1" ht="18">
      <c r="A6869" s="664"/>
      <c r="B6869" s="1109"/>
      <c r="C6869" s="1110"/>
      <c r="D6869" s="1111"/>
      <c r="E6869" s="665"/>
      <c r="F6869" s="1109"/>
      <c r="G6869" s="1111"/>
      <c r="H6869" s="1116"/>
      <c r="I6869" s="1855"/>
      <c r="J6869" s="1117"/>
      <c r="K6869" s="1118"/>
      <c r="L6869" s="1110"/>
      <c r="M6869" s="1110"/>
      <c r="N6869" s="1110"/>
      <c r="O6869" s="1110"/>
      <c r="P6869" s="2010"/>
      <c r="Q6869" s="1064"/>
      <c r="R6869" s="1064"/>
    </row>
    <row r="6870" spans="1:18" s="497" customFormat="1" ht="18">
      <c r="A6870" s="936" t="s">
        <v>302</v>
      </c>
      <c r="B6870" s="1975" t="s">
        <v>676</v>
      </c>
      <c r="C6870" s="1976"/>
      <c r="D6870" s="1977"/>
      <c r="E6870" s="671">
        <v>3.1779999999999999</v>
      </c>
      <c r="F6870" s="1975">
        <v>11</v>
      </c>
      <c r="G6870" s="1977"/>
      <c r="H6870" s="1973" t="s">
        <v>582</v>
      </c>
      <c r="I6870" s="2018"/>
      <c r="J6870" s="2018"/>
      <c r="K6870" s="1974"/>
      <c r="L6870" s="2018" t="s">
        <v>437</v>
      </c>
      <c r="M6870" s="2018"/>
      <c r="N6870" s="2018"/>
      <c r="O6870" s="2018"/>
      <c r="P6870" s="2010"/>
      <c r="Q6870" s="1064"/>
      <c r="R6870" s="1064"/>
    </row>
    <row r="6871" spans="1:18" s="497" customFormat="1" ht="18">
      <c r="A6871" s="936" t="s">
        <v>380</v>
      </c>
      <c r="B6871" s="1975" t="s">
        <v>280</v>
      </c>
      <c r="C6871" s="1976"/>
      <c r="D6871" s="1977"/>
      <c r="E6871" s="671">
        <v>71.245000000000005</v>
      </c>
      <c r="F6871" s="1975">
        <v>11</v>
      </c>
      <c r="G6871" s="1977"/>
      <c r="H6871" s="1973" t="s">
        <v>582</v>
      </c>
      <c r="I6871" s="2018"/>
      <c r="J6871" s="2018"/>
      <c r="K6871" s="1974"/>
      <c r="L6871" s="2018" t="s">
        <v>437</v>
      </c>
      <c r="M6871" s="2018"/>
      <c r="N6871" s="2018"/>
      <c r="O6871" s="2018"/>
      <c r="P6871" s="2010"/>
      <c r="Q6871" s="1064"/>
      <c r="R6871" s="1064"/>
    </row>
    <row r="6872" spans="1:18" s="497" customFormat="1" ht="18">
      <c r="A6872" s="936" t="s">
        <v>434</v>
      </c>
      <c r="B6872" s="1975" t="s">
        <v>279</v>
      </c>
      <c r="C6872" s="1976"/>
      <c r="D6872" s="1977"/>
      <c r="E6872" s="671">
        <v>3.2829999999999999</v>
      </c>
      <c r="F6872" s="1975">
        <v>11</v>
      </c>
      <c r="G6872" s="1977"/>
      <c r="H6872" s="1973" t="s">
        <v>582</v>
      </c>
      <c r="I6872" s="2018"/>
      <c r="J6872" s="2018"/>
      <c r="K6872" s="1974"/>
      <c r="L6872" s="2018" t="s">
        <v>437</v>
      </c>
      <c r="M6872" s="2018"/>
      <c r="N6872" s="2018"/>
      <c r="O6872" s="2018"/>
      <c r="P6872" s="2010"/>
      <c r="Q6872" s="1064"/>
      <c r="R6872" s="1064"/>
    </row>
    <row r="6873" spans="1:18" s="497" customFormat="1" ht="18">
      <c r="A6873" s="936"/>
      <c r="B6873" s="1109"/>
      <c r="C6873" s="1110"/>
      <c r="D6873" s="1111"/>
      <c r="E6873" s="671"/>
      <c r="F6873" s="1116"/>
      <c r="G6873" s="1118"/>
      <c r="H6873" s="1116"/>
      <c r="I6873" s="1855"/>
      <c r="J6873" s="1117"/>
      <c r="K6873" s="1118"/>
      <c r="L6873" s="1117"/>
      <c r="M6873" s="1117"/>
      <c r="N6873" s="1117"/>
      <c r="O6873" s="1117"/>
      <c r="P6873" s="2010"/>
      <c r="Q6873" s="1064"/>
      <c r="R6873" s="1064"/>
    </row>
    <row r="6874" spans="1:18" s="497" customFormat="1" ht="18">
      <c r="A6874" s="936" t="s">
        <v>474</v>
      </c>
      <c r="B6874" s="1975" t="s">
        <v>676</v>
      </c>
      <c r="C6874" s="1976"/>
      <c r="D6874" s="1977"/>
      <c r="E6874" s="671">
        <v>40</v>
      </c>
      <c r="F6874" s="1973">
        <v>8.5</v>
      </c>
      <c r="G6874" s="1974"/>
      <c r="H6874" s="1973" t="s">
        <v>450</v>
      </c>
      <c r="I6874" s="2018"/>
      <c r="J6874" s="2018"/>
      <c r="K6874" s="1974"/>
      <c r="L6874" s="2018" t="s">
        <v>437</v>
      </c>
      <c r="M6874" s="2018"/>
      <c r="N6874" s="2018"/>
      <c r="O6874" s="2018"/>
      <c r="P6874" s="2010"/>
      <c r="Q6874" s="1064"/>
      <c r="R6874" s="1064"/>
    </row>
    <row r="6875" spans="1:18" s="497" customFormat="1" ht="18">
      <c r="A6875" s="936" t="s">
        <v>474</v>
      </c>
      <c r="B6875" s="1975" t="s">
        <v>280</v>
      </c>
      <c r="C6875" s="1976"/>
      <c r="D6875" s="1977"/>
      <c r="E6875" s="671">
        <v>11</v>
      </c>
      <c r="F6875" s="1973">
        <v>8.5</v>
      </c>
      <c r="G6875" s="1974"/>
      <c r="H6875" s="1973" t="s">
        <v>450</v>
      </c>
      <c r="I6875" s="2018"/>
      <c r="J6875" s="2018"/>
      <c r="K6875" s="1974"/>
      <c r="L6875" s="2018" t="s">
        <v>437</v>
      </c>
      <c r="M6875" s="2018"/>
      <c r="N6875" s="2018"/>
      <c r="O6875" s="2018"/>
      <c r="P6875" s="2010"/>
      <c r="Q6875" s="1064"/>
      <c r="R6875" s="1064"/>
    </row>
    <row r="6876" spans="1:18" s="497" customFormat="1" ht="18">
      <c r="A6876" s="847"/>
      <c r="B6876" s="1975"/>
      <c r="C6876" s="1976"/>
      <c r="D6876" s="1977"/>
      <c r="E6876" s="665"/>
      <c r="F6876" s="1975"/>
      <c r="G6876" s="1977"/>
      <c r="H6876" s="1973"/>
      <c r="I6876" s="2018"/>
      <c r="J6876" s="2018"/>
      <c r="K6876" s="1974"/>
      <c r="L6876" s="2018"/>
      <c r="M6876" s="2018"/>
      <c r="N6876" s="2018"/>
      <c r="O6876" s="2018"/>
      <c r="P6876" s="2010"/>
      <c r="Q6876" s="1064"/>
      <c r="R6876" s="1064"/>
    </row>
    <row r="6877" spans="1:18" s="497" customFormat="1" ht="18.600000000000001" thickBot="1">
      <c r="A6877" s="664"/>
      <c r="B6877" s="1109"/>
      <c r="C6877" s="1110"/>
      <c r="D6877" s="1110"/>
      <c r="E6877" s="665"/>
      <c r="F6877" s="1110"/>
      <c r="G6877" s="1111"/>
      <c r="H6877" s="1109"/>
      <c r="I6877" s="1842"/>
      <c r="J6877" s="1110"/>
      <c r="K6877" s="669"/>
      <c r="L6877" s="672"/>
      <c r="M6877" s="673"/>
      <c r="N6877" s="673"/>
      <c r="O6877" s="673"/>
      <c r="P6877" s="2010"/>
      <c r="Q6877" s="1064"/>
      <c r="R6877" s="1064"/>
    </row>
    <row r="6878" spans="1:18" s="497" customFormat="1" ht="18">
      <c r="A6878" s="674"/>
      <c r="B6878" s="675"/>
      <c r="C6878" s="676"/>
      <c r="D6878" s="676"/>
      <c r="E6878" s="1980">
        <f>SUM(E6864:E6877)</f>
        <v>252.13199999999998</v>
      </c>
      <c r="F6878" s="677"/>
      <c r="G6878" s="678"/>
      <c r="H6878" s="679"/>
      <c r="I6878" s="1848"/>
      <c r="J6878" s="676"/>
      <c r="K6878" s="680"/>
      <c r="L6878" s="679"/>
      <c r="M6878" s="676"/>
      <c r="N6878" s="677"/>
      <c r="O6878" s="676"/>
      <c r="P6878" s="2010"/>
      <c r="Q6878" s="1064"/>
      <c r="R6878" s="1064"/>
    </row>
    <row r="6879" spans="1:18" s="497" customFormat="1" ht="18.600000000000001" thickBot="1">
      <c r="A6879" s="681"/>
      <c r="B6879" s="682"/>
      <c r="C6879" s="683"/>
      <c r="D6879" s="683"/>
      <c r="E6879" s="1981"/>
      <c r="F6879" s="684"/>
      <c r="G6879" s="685"/>
      <c r="H6879" s="686"/>
      <c r="I6879" s="1850"/>
      <c r="J6879" s="683"/>
      <c r="K6879" s="687"/>
      <c r="L6879" s="686"/>
      <c r="M6879" s="683"/>
      <c r="N6879" s="684"/>
      <c r="O6879" s="683"/>
      <c r="P6879" s="2010"/>
      <c r="Q6879" s="1064"/>
      <c r="R6879" s="1064"/>
    </row>
    <row r="6880" spans="1:18" s="497" customFormat="1" ht="18">
      <c r="A6880" s="688" t="s">
        <v>31</v>
      </c>
      <c r="B6880" s="676"/>
      <c r="C6880" s="676"/>
      <c r="D6880" s="676"/>
      <c r="E6880" s="676"/>
      <c r="F6880" s="677"/>
      <c r="G6880" s="676"/>
      <c r="H6880" s="677"/>
      <c r="I6880" s="1848"/>
      <c r="J6880" s="676"/>
      <c r="K6880" s="689"/>
      <c r="L6880" s="677"/>
      <c r="M6880" s="676"/>
      <c r="N6880" s="677"/>
      <c r="O6880" s="676"/>
      <c r="P6880" s="2010"/>
      <c r="Q6880" s="1064"/>
      <c r="R6880" s="1064"/>
    </row>
    <row r="6881" spans="1:18" s="497" customFormat="1" ht="18">
      <c r="A6881" s="690"/>
      <c r="B6881" s="691"/>
      <c r="C6881" s="691"/>
      <c r="D6881" s="691"/>
      <c r="E6881" s="691"/>
      <c r="F6881" s="1108"/>
      <c r="G6881" s="691"/>
      <c r="H6881" s="1108"/>
      <c r="I6881" s="1849"/>
      <c r="J6881" s="691"/>
      <c r="K6881" s="693"/>
      <c r="L6881" s="1108"/>
      <c r="M6881" s="691"/>
      <c r="N6881" s="1108"/>
      <c r="O6881" s="691"/>
      <c r="P6881" s="2010"/>
      <c r="Q6881" s="1064"/>
      <c r="R6881" s="1064"/>
    </row>
    <row r="6882" spans="1:18" s="497" customFormat="1" ht="18.600000000000001" thickBot="1">
      <c r="A6882" s="1982" t="s">
        <v>32</v>
      </c>
      <c r="B6882" s="1983"/>
      <c r="C6882" s="1984" t="s">
        <v>33</v>
      </c>
      <c r="D6882" s="1985"/>
      <c r="E6882" s="694" t="s">
        <v>34</v>
      </c>
      <c r="F6882" s="694" t="s">
        <v>35</v>
      </c>
      <c r="G6882" s="1986" t="s">
        <v>36</v>
      </c>
      <c r="H6882" s="1987"/>
      <c r="I6882" s="1987"/>
      <c r="J6882" s="1987"/>
      <c r="K6882" s="1987"/>
      <c r="L6882" s="1987"/>
      <c r="M6882" s="1987"/>
      <c r="N6882" s="1987"/>
      <c r="O6882" s="1987"/>
      <c r="P6882" s="2010"/>
      <c r="Q6882" s="1064"/>
      <c r="R6882" s="1064"/>
    </row>
    <row r="6883" spans="1:18" s="497" customFormat="1" ht="18">
      <c r="A6883" s="1988"/>
      <c r="B6883" s="1989"/>
      <c r="C6883" s="1990"/>
      <c r="D6883" s="1989"/>
      <c r="E6883" s="1115"/>
      <c r="F6883" s="1112"/>
      <c r="G6883" s="1991"/>
      <c r="H6883" s="1992"/>
      <c r="I6883" s="1992"/>
      <c r="J6883" s="1992"/>
      <c r="K6883" s="1992"/>
      <c r="L6883" s="1992"/>
      <c r="M6883" s="1992"/>
      <c r="N6883" s="1992"/>
      <c r="O6883" s="1992"/>
      <c r="P6883" s="2010"/>
      <c r="Q6883" s="1064"/>
      <c r="R6883" s="1064"/>
    </row>
    <row r="6884" spans="1:18" s="497" customFormat="1" ht="18">
      <c r="A6884" s="1997" t="s">
        <v>37</v>
      </c>
      <c r="B6884" s="1998"/>
      <c r="C6884" s="1990"/>
      <c r="D6884" s="1989"/>
      <c r="E6884" s="1115"/>
      <c r="F6884" s="1112"/>
      <c r="G6884" s="1993"/>
      <c r="H6884" s="1994"/>
      <c r="I6884" s="1994"/>
      <c r="J6884" s="1994"/>
      <c r="K6884" s="1994"/>
      <c r="L6884" s="1994"/>
      <c r="M6884" s="1994"/>
      <c r="N6884" s="1994"/>
      <c r="O6884" s="1994"/>
      <c r="P6884" s="2010"/>
      <c r="Q6884" s="1064"/>
      <c r="R6884" s="1064"/>
    </row>
    <row r="6885" spans="1:18" s="497" customFormat="1" ht="18">
      <c r="A6885" s="1997" t="s">
        <v>38</v>
      </c>
      <c r="B6885" s="1998"/>
      <c r="C6885" s="1990"/>
      <c r="D6885" s="1989"/>
      <c r="E6885" s="1115"/>
      <c r="F6885" s="1112"/>
      <c r="G6885" s="1993"/>
      <c r="H6885" s="1994"/>
      <c r="I6885" s="1994"/>
      <c r="J6885" s="1994"/>
      <c r="K6885" s="1994"/>
      <c r="L6885" s="1994"/>
      <c r="M6885" s="1994"/>
      <c r="N6885" s="1994"/>
      <c r="O6885" s="1994"/>
      <c r="P6885" s="2010"/>
      <c r="Q6885" s="1064"/>
      <c r="R6885" s="1064"/>
    </row>
    <row r="6886" spans="1:18" s="497" customFormat="1" ht="18">
      <c r="A6886" s="1997" t="s">
        <v>39</v>
      </c>
      <c r="B6886" s="1998"/>
      <c r="C6886" s="1990"/>
      <c r="D6886" s="1989"/>
      <c r="E6886" s="1115"/>
      <c r="F6886" s="1112"/>
      <c r="G6886" s="1993"/>
      <c r="H6886" s="1994"/>
      <c r="I6886" s="1994"/>
      <c r="J6886" s="1994"/>
      <c r="K6886" s="1994"/>
      <c r="L6886" s="1994"/>
      <c r="M6886" s="1994"/>
      <c r="N6886" s="1994"/>
      <c r="O6886" s="1994"/>
      <c r="P6886" s="2010"/>
      <c r="Q6886" s="1064"/>
      <c r="R6886" s="1064"/>
    </row>
    <row r="6887" spans="1:18" s="497" customFormat="1" ht="18">
      <c r="A6887" s="1997" t="s">
        <v>40</v>
      </c>
      <c r="B6887" s="1998"/>
      <c r="C6887" s="1990"/>
      <c r="D6887" s="1989"/>
      <c r="E6887" s="1115"/>
      <c r="F6887" s="1112"/>
      <c r="G6887" s="1993"/>
      <c r="H6887" s="1994"/>
      <c r="I6887" s="1994"/>
      <c r="J6887" s="1994"/>
      <c r="K6887" s="1994"/>
      <c r="L6887" s="1994"/>
      <c r="M6887" s="1994"/>
      <c r="N6887" s="1994"/>
      <c r="O6887" s="1994"/>
      <c r="P6887" s="2010"/>
      <c r="Q6887" s="1064"/>
      <c r="R6887" s="1064"/>
    </row>
    <row r="6888" spans="1:18" s="497" customFormat="1" ht="18.600000000000001" thickBot="1">
      <c r="A6888" s="1999" t="s">
        <v>41</v>
      </c>
      <c r="B6888" s="2000"/>
      <c r="C6888" s="2001"/>
      <c r="D6888" s="2002"/>
      <c r="E6888" s="696"/>
      <c r="F6888" s="1113"/>
      <c r="G6888" s="1995"/>
      <c r="H6888" s="1996"/>
      <c r="I6888" s="1996"/>
      <c r="J6888" s="1996"/>
      <c r="K6888" s="1996"/>
      <c r="L6888" s="1996"/>
      <c r="M6888" s="1996"/>
      <c r="N6888" s="1996"/>
      <c r="O6888" s="1996"/>
      <c r="P6888" s="2010"/>
      <c r="Q6888" s="1064"/>
      <c r="R6888" s="1064"/>
    </row>
    <row r="6889" spans="1:18" s="497" customFormat="1" ht="18">
      <c r="A6889" s="690"/>
      <c r="B6889" s="691"/>
      <c r="C6889" s="691"/>
      <c r="D6889" s="691"/>
      <c r="E6889" s="691"/>
      <c r="F6889" s="1108"/>
      <c r="G6889" s="691"/>
      <c r="H6889" s="698"/>
      <c r="I6889" s="699"/>
      <c r="J6889" s="700"/>
      <c r="K6889" s="701"/>
      <c r="L6889" s="702"/>
      <c r="M6889" s="691"/>
      <c r="N6889" s="1108"/>
      <c r="O6889" s="691"/>
      <c r="P6889" s="2010"/>
      <c r="Q6889" s="1064"/>
      <c r="R6889" s="1064"/>
    </row>
    <row r="6890" spans="1:18" s="497" customFormat="1" ht="18">
      <c r="A6890" s="703" t="s">
        <v>42</v>
      </c>
      <c r="B6890" s="704"/>
      <c r="C6890" s="691"/>
      <c r="D6890" s="691"/>
      <c r="E6890" s="691"/>
      <c r="F6890" s="1108"/>
      <c r="G6890" s="704"/>
      <c r="H6890" s="698"/>
      <c r="I6890" s="699"/>
      <c r="J6890" s="700"/>
      <c r="K6890" s="693"/>
      <c r="L6890" s="705"/>
      <c r="M6890" s="691"/>
      <c r="N6890" s="1979" t="s">
        <v>43</v>
      </c>
      <c r="O6890" s="1979"/>
      <c r="P6890" s="2010"/>
      <c r="Q6890" s="1064"/>
      <c r="R6890" s="1064"/>
    </row>
    <row r="6891" spans="1:18" s="497" customFormat="1" ht="18">
      <c r="A6891" s="703"/>
      <c r="B6891" s="704"/>
      <c r="C6891" s="691"/>
      <c r="D6891" s="691"/>
      <c r="E6891" s="691"/>
      <c r="F6891" s="1108"/>
      <c r="G6891" s="691"/>
      <c r="H6891" s="1108"/>
      <c r="I6891" s="1849"/>
      <c r="J6891" s="691"/>
      <c r="K6891" s="693"/>
      <c r="L6891" s="1108"/>
      <c r="M6891" s="691"/>
      <c r="N6891" s="1108"/>
      <c r="O6891" s="704"/>
      <c r="P6891" s="2010"/>
      <c r="Q6891" s="1064"/>
      <c r="R6891" s="1064"/>
    </row>
    <row r="6892" spans="1:18" s="497" customFormat="1" ht="18">
      <c r="A6892" s="703" t="s">
        <v>44</v>
      </c>
      <c r="B6892" s="704"/>
      <c r="C6892" s="691"/>
      <c r="D6892" s="691"/>
      <c r="E6892" s="691"/>
      <c r="F6892" s="1108"/>
      <c r="G6892" s="691"/>
      <c r="H6892" s="1108"/>
      <c r="I6892" s="1849"/>
      <c r="J6892" s="691"/>
      <c r="K6892" s="693"/>
      <c r="L6892" s="1108"/>
      <c r="M6892" s="691"/>
      <c r="N6892" s="1979" t="s">
        <v>45</v>
      </c>
      <c r="O6892" s="1979"/>
      <c r="P6892" s="2010"/>
      <c r="Q6892" s="1064"/>
      <c r="R6892" s="1064"/>
    </row>
    <row r="6893" spans="1:18" s="497" customFormat="1" ht="18.600000000000001" thickBot="1">
      <c r="A6893" s="682"/>
      <c r="B6893" s="683"/>
      <c r="C6893" s="683"/>
      <c r="D6893" s="683"/>
      <c r="E6893" s="683"/>
      <c r="F6893" s="684"/>
      <c r="G6893" s="683"/>
      <c r="H6893" s="684"/>
      <c r="I6893" s="1850"/>
      <c r="J6893" s="683"/>
      <c r="K6893" s="706"/>
      <c r="L6893" s="684"/>
      <c r="M6893" s="683"/>
      <c r="N6893" s="684"/>
      <c r="O6893" s="683"/>
      <c r="P6893" s="2010"/>
      <c r="Q6893" s="1064"/>
      <c r="R6893" s="1064"/>
    </row>
    <row r="6894" spans="1:18" s="497" customFormat="1" ht="17.399999999999999">
      <c r="A6894" s="549"/>
      <c r="B6894" s="549"/>
      <c r="C6894" s="549"/>
      <c r="D6894" s="549"/>
      <c r="E6894" s="549"/>
      <c r="F6894" s="549"/>
      <c r="G6894" s="549"/>
      <c r="H6894" s="549"/>
      <c r="I6894" s="560"/>
      <c r="J6894" s="549"/>
      <c r="K6894" s="652"/>
      <c r="L6894" s="565"/>
      <c r="M6894" s="549"/>
      <c r="N6894" s="549"/>
      <c r="O6894" s="549"/>
      <c r="P6894" s="549"/>
      <c r="Q6894" s="1059"/>
      <c r="R6894" s="1059"/>
    </row>
    <row r="6895" spans="1:18" s="497" customFormat="1" ht="17.399999999999999">
      <c r="A6895" s="547" t="s">
        <v>523</v>
      </c>
      <c r="B6895" s="547" t="s">
        <v>624</v>
      </c>
      <c r="C6895" s="547" t="s">
        <v>446</v>
      </c>
      <c r="D6895" s="813" t="s">
        <v>450</v>
      </c>
      <c r="E6895" s="547" t="s">
        <v>270</v>
      </c>
      <c r="F6895" s="1032">
        <v>8.5</v>
      </c>
      <c r="G6895" s="549" t="s">
        <v>61</v>
      </c>
      <c r="H6895" s="549" t="s">
        <v>53</v>
      </c>
      <c r="I6895" s="558">
        <v>8.3000000000000007</v>
      </c>
      <c r="J6895" s="567">
        <v>6.3</v>
      </c>
      <c r="K6895" s="648">
        <v>312</v>
      </c>
      <c r="L6895" s="552">
        <f t="shared" ref="L6895:L6897" si="1473">(I6895*J6895*K6895/1000)</f>
        <v>16.31448</v>
      </c>
      <c r="M6895" s="549"/>
      <c r="N6895" s="549"/>
      <c r="O6895" s="549"/>
      <c r="P6895" s="549"/>
      <c r="Q6895" s="1059"/>
      <c r="R6895" s="1059"/>
    </row>
    <row r="6896" spans="1:18" s="497" customFormat="1" ht="17.399999999999999">
      <c r="A6896" s="549"/>
      <c r="B6896" s="549"/>
      <c r="C6896" s="549"/>
      <c r="D6896" s="549"/>
      <c r="E6896" s="549"/>
      <c r="F6896" s="549"/>
      <c r="G6896" s="549" t="s">
        <v>61</v>
      </c>
      <c r="H6896" s="549" t="s">
        <v>53</v>
      </c>
      <c r="I6896" s="558">
        <v>8.3000000000000007</v>
      </c>
      <c r="J6896" s="567">
        <v>6.5</v>
      </c>
      <c r="K6896" s="648">
        <v>160</v>
      </c>
      <c r="L6896" s="552">
        <f t="shared" si="1473"/>
        <v>8.6319999999999997</v>
      </c>
      <c r="M6896" s="549"/>
      <c r="N6896" s="549"/>
      <c r="O6896" s="549"/>
      <c r="P6896" s="549"/>
      <c r="Q6896" s="1059"/>
      <c r="R6896" s="1059"/>
    </row>
    <row r="6897" spans="1:18" s="497" customFormat="1" ht="17.399999999999999">
      <c r="A6897" s="549"/>
      <c r="B6897" s="549"/>
      <c r="C6897" s="549"/>
      <c r="D6897" s="549"/>
      <c r="E6897" s="549"/>
      <c r="F6897" s="549"/>
      <c r="G6897" s="549" t="s">
        <v>61</v>
      </c>
      <c r="H6897" s="549" t="s">
        <v>53</v>
      </c>
      <c r="I6897" s="558">
        <v>8.3000000000000007</v>
      </c>
      <c r="J6897" s="567">
        <v>12</v>
      </c>
      <c r="K6897" s="648">
        <v>21</v>
      </c>
      <c r="L6897" s="552">
        <f t="shared" si="1473"/>
        <v>2.0916000000000006</v>
      </c>
      <c r="M6897" s="549"/>
      <c r="N6897" s="549"/>
      <c r="O6897" s="549"/>
      <c r="P6897" s="549"/>
      <c r="Q6897" s="1059"/>
      <c r="R6897" s="1059"/>
    </row>
    <row r="6898" spans="1:18" s="497" customFormat="1" ht="17.399999999999999">
      <c r="A6898" s="549"/>
      <c r="B6898" s="549"/>
      <c r="C6898" s="549"/>
      <c r="D6898" s="549"/>
      <c r="E6898" s="549"/>
      <c r="F6898" s="549"/>
      <c r="G6898" s="549"/>
      <c r="H6898" s="549"/>
      <c r="I6898" s="558"/>
      <c r="J6898" s="567"/>
      <c r="K6898" s="648">
        <f t="shared" ref="K6898:L6898" si="1474">SUM(K6895:K6897)</f>
        <v>493</v>
      </c>
      <c r="L6898" s="567">
        <f t="shared" si="1474"/>
        <v>27.038080000000001</v>
      </c>
      <c r="M6898" s="549"/>
      <c r="N6898" s="549"/>
      <c r="O6898" s="549"/>
      <c r="P6898" s="549"/>
      <c r="Q6898" s="1059"/>
      <c r="R6898" s="1059"/>
    </row>
    <row r="6901" spans="1:18" ht="17.399999999999999">
      <c r="L6901" s="567">
        <f>+L6898+L6858+L6850+L6845</f>
        <v>95.486558149999993</v>
      </c>
    </row>
    <row r="6903" spans="1:18">
      <c r="L6903" s="1033">
        <f>+L6759+L6753+L6746</f>
        <v>66.542635000000004</v>
      </c>
    </row>
    <row r="6904" spans="1:18">
      <c r="L6904" s="1033">
        <f>L6901-L6903</f>
        <v>28.943923149999989</v>
      </c>
    </row>
    <row r="6907" spans="1:18" ht="17.399999999999999">
      <c r="A6907" s="1000" t="s">
        <v>48</v>
      </c>
      <c r="B6907" s="1000"/>
      <c r="C6907" s="718"/>
      <c r="D6907" s="718"/>
      <c r="E6907" s="718"/>
      <c r="F6907" s="720"/>
      <c r="G6907" s="718"/>
      <c r="H6907" s="718"/>
      <c r="I6907" s="721"/>
      <c r="J6907" s="1001"/>
      <c r="K6907" s="1002"/>
      <c r="L6907" s="1978" t="s">
        <v>0</v>
      </c>
      <c r="M6907" s="1978"/>
      <c r="N6907" s="1978"/>
      <c r="O6907" s="1978"/>
      <c r="P6907" s="549"/>
    </row>
    <row r="6908" spans="1:18" ht="17.399999999999999">
      <c r="A6908" s="718" t="s">
        <v>1</v>
      </c>
      <c r="B6908" s="718"/>
      <c r="C6908" s="718"/>
      <c r="D6908" s="719" t="s">
        <v>2</v>
      </c>
      <c r="E6908" s="719"/>
      <c r="F6908" s="720"/>
      <c r="G6908" s="720"/>
      <c r="H6908" s="720"/>
      <c r="I6908" s="721"/>
      <c r="J6908" s="1088"/>
      <c r="K6908" s="1002" t="s">
        <v>3</v>
      </c>
      <c r="L6908" s="1088"/>
      <c r="M6908" s="718"/>
      <c r="N6908" s="720"/>
      <c r="O6908" s="718"/>
      <c r="P6908" s="549"/>
    </row>
    <row r="6909" spans="1:18" ht="52.2">
      <c r="A6909" s="640" t="s">
        <v>4</v>
      </c>
      <c r="B6909" s="640" t="s">
        <v>5</v>
      </c>
      <c r="C6909" s="640" t="s">
        <v>6</v>
      </c>
      <c r="D6909" s="640" t="s">
        <v>7</v>
      </c>
      <c r="E6909" s="640" t="s">
        <v>8</v>
      </c>
      <c r="F6909" s="641" t="s">
        <v>9</v>
      </c>
      <c r="G6909" s="642" t="s">
        <v>10</v>
      </c>
      <c r="H6909" s="642" t="s">
        <v>11</v>
      </c>
      <c r="I6909" s="643" t="s">
        <v>12</v>
      </c>
      <c r="J6909" s="644" t="s">
        <v>13</v>
      </c>
      <c r="K6909" s="645" t="s">
        <v>14</v>
      </c>
      <c r="L6909" s="646" t="s">
        <v>15</v>
      </c>
      <c r="M6909" s="641" t="s">
        <v>16</v>
      </c>
      <c r="N6909" s="641" t="s">
        <v>17</v>
      </c>
      <c r="O6909" s="642" t="s">
        <v>18</v>
      </c>
      <c r="P6909" s="641" t="s">
        <v>192</v>
      </c>
    </row>
    <row r="6910" spans="1:18" ht="18">
      <c r="A6910" s="547" t="s">
        <v>445</v>
      </c>
      <c r="B6910" s="547" t="s">
        <v>687</v>
      </c>
      <c r="C6910" s="547" t="s">
        <v>19</v>
      </c>
      <c r="D6910" s="547" t="s">
        <v>20</v>
      </c>
      <c r="E6910" s="1025" t="s">
        <v>420</v>
      </c>
      <c r="F6910" s="1089">
        <v>16</v>
      </c>
      <c r="G6910" s="707" t="s">
        <v>21</v>
      </c>
      <c r="H6910" s="1120" t="s">
        <v>182</v>
      </c>
      <c r="I6910" s="1879">
        <v>44.2</v>
      </c>
      <c r="J6910" s="1022">
        <v>6.8</v>
      </c>
      <c r="K6910" s="1023">
        <v>20</v>
      </c>
      <c r="L6910" s="893">
        <f t="shared" ref="L6910:L6923" si="1475">(I6910*J6910*K6910/1000)</f>
        <v>6.0111999999999997</v>
      </c>
      <c r="M6910" s="707"/>
      <c r="N6910" s="707"/>
      <c r="O6910" s="707"/>
      <c r="P6910" s="2090" t="s">
        <v>691</v>
      </c>
      <c r="Q6910" s="497" t="s">
        <v>770</v>
      </c>
    </row>
    <row r="6911" spans="1:18" ht="18">
      <c r="A6911" s="547"/>
      <c r="B6911" s="751" t="s">
        <v>52</v>
      </c>
      <c r="C6911" s="547"/>
      <c r="D6911" s="547"/>
      <c r="E6911" s="547"/>
      <c r="F6911" s="1089"/>
      <c r="G6911" s="707" t="s">
        <v>21</v>
      </c>
      <c r="H6911" s="707" t="s">
        <v>182</v>
      </c>
      <c r="I6911" s="1879">
        <v>44.2</v>
      </c>
      <c r="J6911" s="1022">
        <v>7.3</v>
      </c>
      <c r="K6911" s="1023">
        <v>20</v>
      </c>
      <c r="L6911" s="893">
        <f t="shared" si="1475"/>
        <v>6.4532000000000007</v>
      </c>
      <c r="M6911" s="707"/>
      <c r="N6911" s="707"/>
      <c r="O6911" s="707"/>
      <c r="P6911" s="2091"/>
    </row>
    <row r="6912" spans="1:18" ht="18">
      <c r="A6912" s="707"/>
      <c r="B6912" s="707"/>
      <c r="C6912" s="707"/>
      <c r="D6912" s="707"/>
      <c r="E6912" s="707"/>
      <c r="F6912" s="707"/>
      <c r="G6912" s="707" t="s">
        <v>21</v>
      </c>
      <c r="H6912" s="707" t="s">
        <v>182</v>
      </c>
      <c r="I6912" s="1879">
        <v>44.2</v>
      </c>
      <c r="J6912" s="1022">
        <v>8.1</v>
      </c>
      <c r="K6912" s="1023">
        <v>13</v>
      </c>
      <c r="L6912" s="893">
        <f t="shared" si="1475"/>
        <v>4.6542599999999998</v>
      </c>
      <c r="M6912" s="707"/>
      <c r="N6912" s="707"/>
      <c r="O6912" s="707"/>
      <c r="P6912" s="2091"/>
    </row>
    <row r="6913" spans="1:17" ht="18">
      <c r="A6913" s="707"/>
      <c r="B6913" s="707"/>
      <c r="C6913" s="707"/>
      <c r="D6913" s="707"/>
      <c r="E6913" s="707"/>
      <c r="F6913" s="707"/>
      <c r="G6913" s="707" t="s">
        <v>21</v>
      </c>
      <c r="H6913" s="707" t="s">
        <v>182</v>
      </c>
      <c r="I6913" s="1879">
        <v>44.2</v>
      </c>
      <c r="J6913" s="1022">
        <v>9.4</v>
      </c>
      <c r="K6913" s="1023">
        <v>12</v>
      </c>
      <c r="L6913" s="893">
        <f t="shared" si="1475"/>
        <v>4.98576</v>
      </c>
      <c r="M6913" s="707"/>
      <c r="N6913" s="707"/>
      <c r="O6913" s="707"/>
      <c r="P6913" s="2091"/>
    </row>
    <row r="6914" spans="1:17" ht="18">
      <c r="A6914" s="707"/>
      <c r="B6914" s="707"/>
      <c r="C6914" s="707"/>
      <c r="D6914" s="707"/>
      <c r="E6914" s="707"/>
      <c r="F6914" s="707"/>
      <c r="G6914" s="707"/>
      <c r="H6914" s="707"/>
      <c r="I6914" s="1879"/>
      <c r="J6914" s="1022"/>
      <c r="K6914" s="648">
        <v>65</v>
      </c>
      <c r="L6914" s="552">
        <f>SUM(L6910:L6913)</f>
        <v>22.104420000000001</v>
      </c>
      <c r="M6914" s="707"/>
      <c r="N6914" s="707"/>
      <c r="O6914" s="707"/>
      <c r="P6914" s="2092"/>
    </row>
    <row r="6915" spans="1:17" ht="18">
      <c r="A6915" s="707"/>
      <c r="B6915" s="707"/>
      <c r="C6915" s="707"/>
      <c r="D6915" s="707"/>
      <c r="E6915" s="707"/>
      <c r="F6915" s="707"/>
      <c r="G6915" s="707"/>
      <c r="H6915" s="707"/>
      <c r="I6915" s="1879"/>
      <c r="J6915" s="1022"/>
      <c r="K6915" s="1023"/>
      <c r="L6915" s="893"/>
      <c r="M6915" s="707"/>
      <c r="N6915" s="707"/>
      <c r="O6915" s="707"/>
      <c r="P6915" s="549"/>
    </row>
    <row r="6916" spans="1:17" ht="18">
      <c r="A6916" s="547" t="s">
        <v>445</v>
      </c>
      <c r="B6916" s="547" t="s">
        <v>687</v>
      </c>
      <c r="C6916" s="547" t="s">
        <v>19</v>
      </c>
      <c r="D6916" s="547" t="s">
        <v>20</v>
      </c>
      <c r="E6916" s="1025" t="s">
        <v>420</v>
      </c>
      <c r="F6916" s="1089">
        <v>16</v>
      </c>
      <c r="G6916" s="707" t="s">
        <v>21</v>
      </c>
      <c r="H6916" s="1120" t="s">
        <v>181</v>
      </c>
      <c r="I6916" s="1879">
        <v>40.1</v>
      </c>
      <c r="J6916" s="1022">
        <v>5.8</v>
      </c>
      <c r="K6916" s="1023">
        <v>20</v>
      </c>
      <c r="L6916" s="893">
        <f t="shared" si="1475"/>
        <v>4.6516000000000002</v>
      </c>
      <c r="M6916" s="707"/>
      <c r="N6916" s="707"/>
      <c r="O6916" s="707"/>
      <c r="P6916" s="2090" t="s">
        <v>692</v>
      </c>
      <c r="Q6916" s="497" t="s">
        <v>770</v>
      </c>
    </row>
    <row r="6917" spans="1:17" ht="18">
      <c r="A6917" s="547"/>
      <c r="B6917" s="751" t="s">
        <v>52</v>
      </c>
      <c r="C6917" s="547"/>
      <c r="D6917" s="547"/>
      <c r="E6917" s="547"/>
      <c r="F6917" s="1089"/>
      <c r="G6917" s="707" t="s">
        <v>21</v>
      </c>
      <c r="H6917" s="707" t="s">
        <v>181</v>
      </c>
      <c r="I6917" s="1879">
        <v>40.1</v>
      </c>
      <c r="J6917" s="1022">
        <v>6.3</v>
      </c>
      <c r="K6917" s="1023">
        <v>8</v>
      </c>
      <c r="L6917" s="893">
        <f t="shared" si="1475"/>
        <v>2.0210400000000002</v>
      </c>
      <c r="M6917" s="707"/>
      <c r="N6917" s="707"/>
      <c r="O6917" s="707"/>
      <c r="P6917" s="2091"/>
    </row>
    <row r="6918" spans="1:17" ht="18">
      <c r="A6918" s="707"/>
      <c r="B6918" s="707"/>
      <c r="C6918" s="707"/>
      <c r="D6918" s="707"/>
      <c r="E6918" s="707"/>
      <c r="F6918" s="707"/>
      <c r="G6918" s="707" t="s">
        <v>21</v>
      </c>
      <c r="H6918" s="707" t="s">
        <v>181</v>
      </c>
      <c r="I6918" s="1879">
        <v>40.1</v>
      </c>
      <c r="J6918" s="1022">
        <v>6.7</v>
      </c>
      <c r="K6918" s="1023">
        <v>28</v>
      </c>
      <c r="L6918" s="893">
        <f t="shared" si="1475"/>
        <v>7.5227599999999999</v>
      </c>
      <c r="M6918" s="648"/>
      <c r="N6918" s="567"/>
      <c r="O6918" s="707"/>
      <c r="P6918" s="2091"/>
    </row>
    <row r="6919" spans="1:17" ht="18">
      <c r="A6919" s="707"/>
      <c r="B6919" s="707"/>
      <c r="C6919" s="707"/>
      <c r="D6919" s="707"/>
      <c r="E6919" s="707"/>
      <c r="F6919" s="707"/>
      <c r="G6919" s="707" t="s">
        <v>21</v>
      </c>
      <c r="H6919" s="707" t="s">
        <v>181</v>
      </c>
      <c r="I6919" s="1879">
        <v>40.1</v>
      </c>
      <c r="J6919" s="1022">
        <v>7.1</v>
      </c>
      <c r="K6919" s="1023">
        <v>20</v>
      </c>
      <c r="L6919" s="893">
        <f t="shared" si="1475"/>
        <v>5.6941999999999995</v>
      </c>
      <c r="M6919" s="707"/>
      <c r="N6919" s="707"/>
      <c r="O6919" s="707"/>
      <c r="P6919" s="2091"/>
    </row>
    <row r="6920" spans="1:17" ht="18">
      <c r="A6920" s="707"/>
      <c r="B6920" s="707"/>
      <c r="C6920" s="707"/>
      <c r="D6920" s="707"/>
      <c r="E6920" s="707"/>
      <c r="F6920" s="707"/>
      <c r="G6920" s="707" t="s">
        <v>21</v>
      </c>
      <c r="H6920" s="707" t="s">
        <v>181</v>
      </c>
      <c r="I6920" s="1879">
        <v>40.1</v>
      </c>
      <c r="J6920" s="1022">
        <v>7.8</v>
      </c>
      <c r="K6920" s="1023">
        <v>20</v>
      </c>
      <c r="L6920" s="893">
        <f t="shared" si="1475"/>
        <v>6.2556000000000003</v>
      </c>
      <c r="M6920" s="707"/>
      <c r="N6920" s="707"/>
      <c r="O6920" s="707"/>
      <c r="P6920" s="2091"/>
    </row>
    <row r="6921" spans="1:17" ht="18">
      <c r="A6921" s="547"/>
      <c r="B6921" s="547"/>
      <c r="C6921" s="547"/>
      <c r="D6921" s="547"/>
      <c r="E6921" s="560"/>
      <c r="F6921" s="1089"/>
      <c r="G6921" s="707" t="s">
        <v>21</v>
      </c>
      <c r="H6921" s="707" t="s">
        <v>181</v>
      </c>
      <c r="I6921" s="1879">
        <v>40.1</v>
      </c>
      <c r="J6921" s="1022">
        <v>8.3000000000000007</v>
      </c>
      <c r="K6921" s="1023">
        <v>6</v>
      </c>
      <c r="L6921" s="893">
        <f t="shared" si="1475"/>
        <v>1.9969800000000002</v>
      </c>
      <c r="M6921" s="707"/>
      <c r="N6921" s="707"/>
      <c r="O6921" s="707"/>
      <c r="P6921" s="2091"/>
    </row>
    <row r="6922" spans="1:17" ht="18">
      <c r="A6922" s="547"/>
      <c r="B6922" s="549"/>
      <c r="C6922" s="547"/>
      <c r="D6922" s="547"/>
      <c r="E6922" s="547"/>
      <c r="F6922" s="707"/>
      <c r="G6922" s="707" t="s">
        <v>21</v>
      </c>
      <c r="H6922" s="707" t="s">
        <v>181</v>
      </c>
      <c r="I6922" s="1879">
        <v>40.1</v>
      </c>
      <c r="J6922" s="1022">
        <v>8.5500000000000007</v>
      </c>
      <c r="K6922" s="1023">
        <v>4</v>
      </c>
      <c r="L6922" s="893">
        <f t="shared" si="1475"/>
        <v>1.3714200000000001</v>
      </c>
      <c r="M6922" s="707"/>
      <c r="N6922" s="707"/>
      <c r="O6922" s="707"/>
      <c r="P6922" s="2091"/>
    </row>
    <row r="6923" spans="1:17" ht="18">
      <c r="A6923" s="707"/>
      <c r="B6923" s="707"/>
      <c r="C6923" s="707"/>
      <c r="D6923" s="707"/>
      <c r="E6923" s="707"/>
      <c r="F6923" s="707"/>
      <c r="G6923" s="707" t="s">
        <v>21</v>
      </c>
      <c r="H6923" s="707" t="s">
        <v>181</v>
      </c>
      <c r="I6923" s="1879">
        <v>40.1</v>
      </c>
      <c r="J6923" s="1022">
        <v>9.65</v>
      </c>
      <c r="K6923" s="1023">
        <v>16</v>
      </c>
      <c r="L6923" s="893">
        <f t="shared" si="1475"/>
        <v>6.1914400000000009</v>
      </c>
      <c r="M6923" s="707"/>
      <c r="N6923" s="707"/>
      <c r="O6923" s="707"/>
      <c r="P6923" s="2091"/>
    </row>
    <row r="6924" spans="1:17" ht="18">
      <c r="A6924" s="707"/>
      <c r="B6924" s="707"/>
      <c r="C6924" s="707"/>
      <c r="D6924" s="707"/>
      <c r="E6924" s="707"/>
      <c r="F6924" s="707"/>
      <c r="G6924" s="707"/>
      <c r="H6924" s="707"/>
      <c r="I6924" s="1879"/>
      <c r="J6924" s="1022"/>
      <c r="K6924" s="648">
        <v>122</v>
      </c>
      <c r="L6924" s="552">
        <v>35.705040000000004</v>
      </c>
      <c r="M6924" s="707"/>
      <c r="N6924" s="707"/>
      <c r="O6924" s="707"/>
      <c r="P6924" s="2092"/>
    </row>
    <row r="6925" spans="1:17" ht="18">
      <c r="A6925" s="707"/>
      <c r="B6925" s="707"/>
      <c r="C6925" s="707"/>
      <c r="D6925" s="707"/>
      <c r="E6925" s="707"/>
      <c r="F6925" s="707"/>
      <c r="G6925" s="707"/>
      <c r="H6925" s="707"/>
      <c r="I6925" s="1879"/>
      <c r="J6925" s="1022"/>
      <c r="K6925" s="1023"/>
      <c r="L6925" s="893"/>
      <c r="M6925" s="707"/>
      <c r="N6925" s="707"/>
      <c r="O6925" s="707"/>
      <c r="P6925" s="549"/>
    </row>
    <row r="6926" spans="1:17" ht="18">
      <c r="A6926" s="547" t="s">
        <v>445</v>
      </c>
      <c r="B6926" s="547" t="s">
        <v>687</v>
      </c>
      <c r="C6926" s="547" t="s">
        <v>19</v>
      </c>
      <c r="D6926" s="547" t="s">
        <v>20</v>
      </c>
      <c r="E6926" s="1025" t="s">
        <v>420</v>
      </c>
      <c r="F6926" s="1089">
        <v>16</v>
      </c>
      <c r="G6926" s="707" t="s">
        <v>21</v>
      </c>
      <c r="H6926" s="1120" t="s">
        <v>180</v>
      </c>
      <c r="I6926" s="1879">
        <v>35.9</v>
      </c>
      <c r="J6926" s="1022">
        <v>6.5</v>
      </c>
      <c r="K6926" s="1023">
        <v>8</v>
      </c>
      <c r="L6926" s="893">
        <f t="shared" ref="L6926:L6928" si="1476">(I6926*J6926*K6926/1000)</f>
        <v>1.8668</v>
      </c>
      <c r="M6926" s="648"/>
      <c r="N6926" s="567"/>
      <c r="O6926" s="707"/>
      <c r="P6926" s="2090" t="s">
        <v>693</v>
      </c>
      <c r="Q6926" s="497" t="s">
        <v>770</v>
      </c>
    </row>
    <row r="6927" spans="1:17" ht="18">
      <c r="A6927" s="547"/>
      <c r="B6927" s="751" t="s">
        <v>52</v>
      </c>
      <c r="C6927" s="547"/>
      <c r="D6927" s="547"/>
      <c r="E6927" s="547"/>
      <c r="F6927" s="1089"/>
      <c r="G6927" s="707" t="s">
        <v>21</v>
      </c>
      <c r="H6927" s="707" t="s">
        <v>180</v>
      </c>
      <c r="I6927" s="1879">
        <v>35.9</v>
      </c>
      <c r="J6927" s="1022">
        <v>10.1</v>
      </c>
      <c r="K6927" s="1023">
        <v>8</v>
      </c>
      <c r="L6927" s="893">
        <f t="shared" si="1476"/>
        <v>2.9007199999999997</v>
      </c>
      <c r="M6927" s="707"/>
      <c r="N6927" s="707"/>
      <c r="O6927" s="707"/>
      <c r="P6927" s="2091"/>
    </row>
    <row r="6928" spans="1:17" ht="18">
      <c r="A6928" s="707"/>
      <c r="B6928" s="707"/>
      <c r="C6928" s="707"/>
      <c r="D6928" s="707"/>
      <c r="E6928" s="707"/>
      <c r="F6928" s="707"/>
      <c r="G6928" s="707" t="s">
        <v>21</v>
      </c>
      <c r="H6928" s="707" t="s">
        <v>180</v>
      </c>
      <c r="I6928" s="1879">
        <v>35.9</v>
      </c>
      <c r="J6928" s="1022">
        <v>11.5</v>
      </c>
      <c r="K6928" s="1023">
        <v>20</v>
      </c>
      <c r="L6928" s="893">
        <f t="shared" si="1476"/>
        <v>8.2569999999999997</v>
      </c>
      <c r="M6928" s="707"/>
      <c r="N6928" s="707"/>
      <c r="O6928" s="707"/>
      <c r="P6928" s="2091"/>
    </row>
    <row r="6929" spans="1:17" ht="18">
      <c r="A6929" s="707"/>
      <c r="B6929" s="707"/>
      <c r="C6929" s="707"/>
      <c r="D6929" s="707"/>
      <c r="E6929" s="707"/>
      <c r="F6929" s="707"/>
      <c r="G6929" s="707"/>
      <c r="H6929" s="707"/>
      <c r="I6929" s="1879"/>
      <c r="J6929" s="1022"/>
      <c r="K6929" s="648">
        <v>36</v>
      </c>
      <c r="L6929" s="552">
        <v>13.024519999999999</v>
      </c>
      <c r="M6929" s="707"/>
      <c r="N6929" s="707"/>
      <c r="O6929" s="707"/>
      <c r="P6929" s="2092"/>
    </row>
    <row r="6930" spans="1:17" ht="18">
      <c r="A6930" s="707"/>
      <c r="B6930" s="707"/>
      <c r="C6930" s="707"/>
      <c r="D6930" s="707"/>
      <c r="E6930" s="707"/>
      <c r="F6930" s="707"/>
      <c r="G6930" s="707"/>
      <c r="H6930" s="707"/>
      <c r="I6930" s="1879"/>
      <c r="J6930" s="1022"/>
      <c r="K6930" s="1023"/>
      <c r="L6930" s="893"/>
      <c r="M6930" s="707"/>
      <c r="N6930" s="707"/>
      <c r="O6930" s="707"/>
      <c r="P6930" s="549"/>
    </row>
    <row r="6931" spans="1:17" s="497" customFormat="1" ht="18">
      <c r="A6931" s="547" t="s">
        <v>445</v>
      </c>
      <c r="B6931" s="547" t="s">
        <v>690</v>
      </c>
      <c r="C6931" s="547" t="s">
        <v>19</v>
      </c>
      <c r="D6931" s="547" t="s">
        <v>20</v>
      </c>
      <c r="E6931" s="547" t="s">
        <v>367</v>
      </c>
      <c r="F6931" s="1089">
        <v>16</v>
      </c>
      <c r="G6931" s="707" t="s">
        <v>21</v>
      </c>
      <c r="H6931" s="1120" t="s">
        <v>179</v>
      </c>
      <c r="I6931" s="1879">
        <v>33.799999999999997</v>
      </c>
      <c r="J6931" s="1022">
        <v>7.8</v>
      </c>
      <c r="K6931" s="1023">
        <v>10</v>
      </c>
      <c r="L6931" s="893">
        <f t="shared" ref="L6931:L6940" si="1477">(I6931*J6931*K6931/1000)</f>
        <v>2.6363999999999996</v>
      </c>
      <c r="M6931" s="707"/>
      <c r="N6931" s="707"/>
      <c r="O6931" s="707"/>
      <c r="P6931" s="2090" t="s">
        <v>694</v>
      </c>
      <c r="Q6931" s="497" t="s">
        <v>771</v>
      </c>
    </row>
    <row r="6932" spans="1:17" s="497" customFormat="1" ht="18">
      <c r="A6932" s="547"/>
      <c r="B6932" s="751" t="s">
        <v>52</v>
      </c>
      <c r="C6932" s="547"/>
      <c r="D6932" s="547"/>
      <c r="E6932" s="547"/>
      <c r="F6932" s="1089"/>
      <c r="G6932" s="707" t="s">
        <v>21</v>
      </c>
      <c r="H6932" s="707" t="s">
        <v>179</v>
      </c>
      <c r="I6932" s="1879">
        <v>33.799999999999997</v>
      </c>
      <c r="J6932" s="1022">
        <v>8.3000000000000007</v>
      </c>
      <c r="K6932" s="1023">
        <v>2</v>
      </c>
      <c r="L6932" s="893">
        <f t="shared" si="1477"/>
        <v>0.56108000000000002</v>
      </c>
      <c r="M6932" s="707"/>
      <c r="N6932" s="707"/>
      <c r="O6932" s="707"/>
      <c r="P6932" s="2091"/>
      <c r="Q6932" s="497" t="s">
        <v>772</v>
      </c>
    </row>
    <row r="6933" spans="1:17" s="497" customFormat="1" ht="18">
      <c r="A6933" s="707"/>
      <c r="B6933" s="707"/>
      <c r="C6933" s="707"/>
      <c r="D6933" s="707"/>
      <c r="E6933" s="707"/>
      <c r="F6933" s="707"/>
      <c r="G6933" s="707" t="s">
        <v>21</v>
      </c>
      <c r="H6933" s="707" t="s">
        <v>179</v>
      </c>
      <c r="I6933" s="1879">
        <v>33.799999999999997</v>
      </c>
      <c r="J6933" s="1022">
        <v>9.85</v>
      </c>
      <c r="K6933" s="1023">
        <v>216</v>
      </c>
      <c r="L6933" s="893">
        <f t="shared" si="1477"/>
        <v>71.912879999999987</v>
      </c>
      <c r="M6933" s="707"/>
      <c r="N6933" s="707"/>
      <c r="O6933" s="707"/>
      <c r="P6933" s="2091"/>
    </row>
    <row r="6934" spans="1:17" s="497" customFormat="1" ht="18">
      <c r="A6934" s="707"/>
      <c r="B6934" s="707"/>
      <c r="C6934" s="707"/>
      <c r="D6934" s="707"/>
      <c r="E6934" s="707"/>
      <c r="F6934" s="707"/>
      <c r="G6934" s="707" t="s">
        <v>21</v>
      </c>
      <c r="H6934" s="707" t="s">
        <v>179</v>
      </c>
      <c r="I6934" s="1879">
        <v>33.799999999999997</v>
      </c>
      <c r="J6934" s="1022">
        <v>9.9</v>
      </c>
      <c r="K6934" s="1023">
        <v>23</v>
      </c>
      <c r="L6934" s="893">
        <f t="shared" si="1477"/>
        <v>7.6962600000000005</v>
      </c>
      <c r="M6934" s="707"/>
      <c r="N6934" s="707"/>
      <c r="O6934" s="707"/>
      <c r="P6934" s="2091"/>
    </row>
    <row r="6935" spans="1:17" s="497" customFormat="1" ht="18">
      <c r="A6935" s="707"/>
      <c r="B6935" s="707"/>
      <c r="C6935" s="707"/>
      <c r="D6935" s="707"/>
      <c r="E6935" s="707"/>
      <c r="F6935" s="707"/>
      <c r="G6935" s="707" t="s">
        <v>21</v>
      </c>
      <c r="H6935" s="707" t="s">
        <v>179</v>
      </c>
      <c r="I6935" s="1879">
        <v>33.799999999999997</v>
      </c>
      <c r="J6935" s="1022">
        <v>10.3</v>
      </c>
      <c r="K6935" s="1023">
        <v>4</v>
      </c>
      <c r="L6935" s="893">
        <f t="shared" si="1477"/>
        <v>1.39256</v>
      </c>
      <c r="M6935" s="707"/>
      <c r="N6935" s="707"/>
      <c r="O6935" s="707"/>
      <c r="P6935" s="2091"/>
    </row>
    <row r="6936" spans="1:17" s="497" customFormat="1" ht="18">
      <c r="A6936" s="707"/>
      <c r="B6936" s="707"/>
      <c r="C6936" s="707"/>
      <c r="D6936" s="707"/>
      <c r="E6936" s="707"/>
      <c r="F6936" s="707"/>
      <c r="G6936" s="707" t="s">
        <v>21</v>
      </c>
      <c r="H6936" s="707" t="s">
        <v>179</v>
      </c>
      <c r="I6936" s="1879">
        <v>33.799999999999997</v>
      </c>
      <c r="J6936" s="1022">
        <v>10.3</v>
      </c>
      <c r="K6936" s="1023">
        <v>8</v>
      </c>
      <c r="L6936" s="893">
        <f t="shared" si="1477"/>
        <v>2.78512</v>
      </c>
      <c r="M6936" s="707"/>
      <c r="N6936" s="707"/>
      <c r="O6936" s="707"/>
      <c r="P6936" s="2091"/>
    </row>
    <row r="6937" spans="1:17" s="497" customFormat="1" ht="18">
      <c r="A6937" s="707"/>
      <c r="B6937" s="707"/>
      <c r="C6937" s="707"/>
      <c r="D6937" s="707"/>
      <c r="E6937" s="707"/>
      <c r="F6937" s="707"/>
      <c r="G6937" s="707" t="s">
        <v>21</v>
      </c>
      <c r="H6937" s="707" t="s">
        <v>179</v>
      </c>
      <c r="I6937" s="1879">
        <v>33.799999999999997</v>
      </c>
      <c r="J6937" s="1022">
        <v>10.6</v>
      </c>
      <c r="K6937" s="1023">
        <v>52</v>
      </c>
      <c r="L6937" s="893">
        <f t="shared" si="1477"/>
        <v>18.630559999999999</v>
      </c>
      <c r="M6937" s="707"/>
      <c r="N6937" s="707"/>
      <c r="O6937" s="707"/>
      <c r="P6937" s="2091"/>
    </row>
    <row r="6938" spans="1:17" s="497" customFormat="1" ht="18">
      <c r="A6938" s="707"/>
      <c r="B6938" s="707"/>
      <c r="C6938" s="707"/>
      <c r="D6938" s="707"/>
      <c r="E6938" s="707"/>
      <c r="F6938" s="707"/>
      <c r="G6938" s="707" t="s">
        <v>21</v>
      </c>
      <c r="H6938" s="707" t="s">
        <v>179</v>
      </c>
      <c r="I6938" s="1879">
        <v>33.799999999999997</v>
      </c>
      <c r="J6938" s="1022">
        <v>10.6</v>
      </c>
      <c r="K6938" s="1023">
        <v>49</v>
      </c>
      <c r="L6938" s="893">
        <f t="shared" si="1477"/>
        <v>17.555719999999997</v>
      </c>
      <c r="M6938" s="707"/>
      <c r="N6938" s="707"/>
      <c r="O6938" s="707"/>
      <c r="P6938" s="2091"/>
    </row>
    <row r="6939" spans="1:17" s="497" customFormat="1" ht="18">
      <c r="A6939" s="707"/>
      <c r="B6939" s="707"/>
      <c r="C6939" s="707"/>
      <c r="D6939" s="707"/>
      <c r="E6939" s="707"/>
      <c r="F6939" s="707"/>
      <c r="G6939" s="707" t="s">
        <v>21</v>
      </c>
      <c r="H6939" s="707" t="s">
        <v>179</v>
      </c>
      <c r="I6939" s="1879">
        <v>33.799999999999997</v>
      </c>
      <c r="J6939" s="1022">
        <v>10.7</v>
      </c>
      <c r="K6939" s="1023">
        <v>2</v>
      </c>
      <c r="L6939" s="893">
        <f t="shared" si="1477"/>
        <v>0.72331999999999996</v>
      </c>
      <c r="M6939" s="707"/>
      <c r="N6939" s="707"/>
      <c r="O6939" s="707"/>
      <c r="P6939" s="2091"/>
    </row>
    <row r="6940" spans="1:17" s="497" customFormat="1" ht="18">
      <c r="A6940" s="707"/>
      <c r="B6940" s="707"/>
      <c r="C6940" s="707"/>
      <c r="D6940" s="707"/>
      <c r="E6940" s="707"/>
      <c r="F6940" s="707"/>
      <c r="G6940" s="707" t="s">
        <v>21</v>
      </c>
      <c r="H6940" s="707" t="s">
        <v>179</v>
      </c>
      <c r="I6940" s="1879">
        <v>33.799999999999997</v>
      </c>
      <c r="J6940" s="1022">
        <v>10.9</v>
      </c>
      <c r="K6940" s="1023">
        <v>3</v>
      </c>
      <c r="L6940" s="893">
        <f t="shared" si="1477"/>
        <v>1.1052599999999997</v>
      </c>
      <c r="M6940" s="707"/>
      <c r="N6940" s="707"/>
      <c r="O6940" s="707"/>
      <c r="P6940" s="2091"/>
    </row>
    <row r="6941" spans="1:17" s="497" customFormat="1" ht="18">
      <c r="A6941" s="707"/>
      <c r="B6941" s="707"/>
      <c r="C6941" s="707"/>
      <c r="D6941" s="707"/>
      <c r="E6941" s="707"/>
      <c r="F6941" s="707"/>
      <c r="G6941" s="707"/>
      <c r="H6941" s="707"/>
      <c r="I6941" s="1879"/>
      <c r="J6941" s="1022"/>
      <c r="K6941" s="648">
        <f>SUM(K6931:K6940)</f>
        <v>369</v>
      </c>
      <c r="L6941" s="552">
        <f>SUM(L6931:L6940)</f>
        <v>124.99915999999999</v>
      </c>
      <c r="M6941" s="707"/>
      <c r="N6941" s="707"/>
      <c r="O6941" s="707"/>
      <c r="P6941" s="2092"/>
    </row>
    <row r="6942" spans="1:17" s="497" customFormat="1" ht="18">
      <c r="A6942" s="707"/>
      <c r="B6942" s="707"/>
      <c r="C6942" s="707"/>
      <c r="D6942" s="707"/>
      <c r="E6942" s="707"/>
      <c r="F6942" s="707"/>
      <c r="G6942" s="707"/>
      <c r="H6942" s="707"/>
      <c r="I6942" s="1879"/>
      <c r="J6942" s="1022"/>
      <c r="K6942" s="1023"/>
      <c r="L6942" s="893"/>
      <c r="M6942" s="707"/>
      <c r="N6942" s="707"/>
      <c r="O6942" s="707"/>
      <c r="P6942" s="549"/>
    </row>
    <row r="6943" spans="1:17" s="497" customFormat="1" ht="18">
      <c r="A6943" s="707"/>
      <c r="B6943" s="707"/>
      <c r="C6943" s="707"/>
      <c r="D6943" s="707"/>
      <c r="E6943" s="707"/>
      <c r="F6943" s="707"/>
      <c r="G6943" s="707"/>
      <c r="H6943" s="707"/>
      <c r="I6943" s="1879"/>
      <c r="J6943" s="1022"/>
      <c r="K6943" s="1023"/>
      <c r="L6943" s="893"/>
      <c r="M6943" s="707"/>
      <c r="N6943" s="707"/>
      <c r="O6943" s="707"/>
      <c r="P6943" s="549"/>
    </row>
    <row r="6944" spans="1:17" ht="18">
      <c r="A6944" s="547" t="s">
        <v>445</v>
      </c>
      <c r="B6944" s="547" t="s">
        <v>687</v>
      </c>
      <c r="C6944" s="547" t="s">
        <v>19</v>
      </c>
      <c r="D6944" s="547" t="s">
        <v>20</v>
      </c>
      <c r="E6944" s="1025" t="s">
        <v>420</v>
      </c>
      <c r="F6944" s="1089">
        <v>16</v>
      </c>
      <c r="G6944" s="707" t="s">
        <v>21</v>
      </c>
      <c r="H6944" s="1120" t="s">
        <v>178</v>
      </c>
      <c r="I6944" s="1879">
        <v>31.6</v>
      </c>
      <c r="J6944" s="1022">
        <v>7.4</v>
      </c>
      <c r="K6944" s="1023">
        <v>10</v>
      </c>
      <c r="L6944" s="893">
        <f t="shared" ref="L6944:L6948" si="1478">(I6944*J6944*K6944/1000)</f>
        <v>2.3384000000000005</v>
      </c>
      <c r="M6944" s="707"/>
      <c r="N6944" s="707"/>
      <c r="O6944" s="707"/>
      <c r="P6944" s="2090" t="s">
        <v>695</v>
      </c>
      <c r="Q6944" s="497" t="s">
        <v>773</v>
      </c>
    </row>
    <row r="6945" spans="1:17" ht="18">
      <c r="A6945" s="547"/>
      <c r="B6945" s="751" t="s">
        <v>52</v>
      </c>
      <c r="C6945" s="547"/>
      <c r="D6945" s="547"/>
      <c r="E6945" s="547"/>
      <c r="F6945" s="1089"/>
      <c r="G6945" s="707" t="s">
        <v>21</v>
      </c>
      <c r="H6945" s="707" t="s">
        <v>178</v>
      </c>
      <c r="I6945" s="1879">
        <v>31.6</v>
      </c>
      <c r="J6945" s="1022">
        <v>9.5</v>
      </c>
      <c r="K6945" s="1023">
        <v>10</v>
      </c>
      <c r="L6945" s="893">
        <f t="shared" si="1478"/>
        <v>3.0019999999999998</v>
      </c>
      <c r="M6945" s="707"/>
      <c r="N6945" s="707"/>
      <c r="O6945" s="707"/>
      <c r="P6945" s="2091"/>
    </row>
    <row r="6946" spans="1:17" ht="18">
      <c r="A6946" s="707"/>
      <c r="B6946" s="707"/>
      <c r="C6946" s="707"/>
      <c r="D6946" s="707"/>
      <c r="E6946" s="707"/>
      <c r="F6946" s="707"/>
      <c r="G6946" s="707" t="s">
        <v>21</v>
      </c>
      <c r="H6946" s="707" t="s">
        <v>178</v>
      </c>
      <c r="I6946" s="1879">
        <v>31.6</v>
      </c>
      <c r="J6946" s="1022">
        <v>9.6</v>
      </c>
      <c r="K6946" s="1023">
        <v>16</v>
      </c>
      <c r="L6946" s="893">
        <f t="shared" si="1478"/>
        <v>4.8537600000000003</v>
      </c>
      <c r="M6946" s="1023"/>
      <c r="N6946" s="707"/>
      <c r="O6946" s="707"/>
      <c r="P6946" s="2091"/>
    </row>
    <row r="6947" spans="1:17" ht="18">
      <c r="A6947" s="707"/>
      <c r="B6947" s="707"/>
      <c r="C6947" s="707"/>
      <c r="D6947" s="707"/>
      <c r="E6947" s="707"/>
      <c r="F6947" s="707"/>
      <c r="G6947" s="707" t="s">
        <v>21</v>
      </c>
      <c r="H6947" s="707" t="s">
        <v>178</v>
      </c>
      <c r="I6947" s="1879">
        <v>31.6</v>
      </c>
      <c r="J6947" s="1022">
        <v>10.5</v>
      </c>
      <c r="K6947" s="1023">
        <v>3</v>
      </c>
      <c r="L6947" s="893">
        <f t="shared" si="1478"/>
        <v>0.99540000000000006</v>
      </c>
      <c r="M6947" s="648"/>
      <c r="N6947" s="567"/>
      <c r="O6947" s="707"/>
      <c r="P6947" s="2091"/>
    </row>
    <row r="6948" spans="1:17" ht="18">
      <c r="A6948" s="707"/>
      <c r="B6948" s="707"/>
      <c r="C6948" s="707"/>
      <c r="D6948" s="707"/>
      <c r="E6948" s="707"/>
      <c r="F6948" s="707"/>
      <c r="G6948" s="707" t="s">
        <v>21</v>
      </c>
      <c r="H6948" s="707" t="s">
        <v>178</v>
      </c>
      <c r="I6948" s="1879">
        <v>31.6</v>
      </c>
      <c r="J6948" s="1022">
        <v>11.4</v>
      </c>
      <c r="K6948" s="1023">
        <v>8</v>
      </c>
      <c r="L6948" s="893">
        <f t="shared" si="1478"/>
        <v>2.88192</v>
      </c>
      <c r="M6948" s="707"/>
      <c r="N6948" s="707"/>
      <c r="O6948" s="707"/>
      <c r="P6948" s="2091"/>
    </row>
    <row r="6949" spans="1:17" ht="18">
      <c r="A6949" s="547"/>
      <c r="B6949" s="547"/>
      <c r="C6949" s="547"/>
      <c r="D6949" s="547"/>
      <c r="E6949" s="560"/>
      <c r="F6949" s="1089"/>
      <c r="G6949" s="707"/>
      <c r="H6949" s="707"/>
      <c r="I6949" s="1879"/>
      <c r="J6949" s="1022"/>
      <c r="K6949" s="648">
        <v>47</v>
      </c>
      <c r="L6949" s="552">
        <v>14.071480000000001</v>
      </c>
      <c r="M6949" s="707"/>
      <c r="N6949" s="707"/>
      <c r="O6949" s="707"/>
      <c r="P6949" s="2092"/>
    </row>
    <row r="6950" spans="1:17" ht="18">
      <c r="A6950" s="547"/>
      <c r="B6950" s="1086"/>
      <c r="C6950" s="547"/>
      <c r="D6950" s="547"/>
      <c r="E6950" s="547"/>
      <c r="F6950" s="1089"/>
      <c r="G6950" s="707"/>
      <c r="H6950" s="707"/>
      <c r="I6950" s="1879"/>
      <c r="J6950" s="1022"/>
      <c r="K6950" s="1023"/>
      <c r="L6950" s="893"/>
      <c r="M6950" s="707"/>
      <c r="N6950" s="707"/>
      <c r="O6950" s="707"/>
      <c r="P6950" s="549"/>
    </row>
    <row r="6951" spans="1:17" ht="18">
      <c r="A6951" s="547" t="s">
        <v>445</v>
      </c>
      <c r="B6951" s="547" t="s">
        <v>687</v>
      </c>
      <c r="C6951" s="547" t="s">
        <v>19</v>
      </c>
      <c r="D6951" s="547" t="s">
        <v>20</v>
      </c>
      <c r="E6951" s="1025" t="s">
        <v>420</v>
      </c>
      <c r="F6951" s="1089">
        <v>16</v>
      </c>
      <c r="G6951" s="707" t="s">
        <v>21</v>
      </c>
      <c r="H6951" s="1120" t="s">
        <v>177</v>
      </c>
      <c r="I6951" s="1879">
        <v>27.3</v>
      </c>
      <c r="J6951" s="1022">
        <v>8.4</v>
      </c>
      <c r="K6951" s="1023">
        <v>27</v>
      </c>
      <c r="L6951" s="893">
        <f t="shared" ref="L6951:L6958" si="1479">(I6951*J6951*K6951/1000)</f>
        <v>6.1916400000000005</v>
      </c>
      <c r="M6951" s="707"/>
      <c r="N6951" s="707"/>
      <c r="O6951" s="707"/>
      <c r="P6951" s="2090" t="s">
        <v>696</v>
      </c>
      <c r="Q6951" s="497" t="s">
        <v>773</v>
      </c>
    </row>
    <row r="6952" spans="1:17" ht="18">
      <c r="A6952" s="547"/>
      <c r="B6952" s="751" t="s">
        <v>52</v>
      </c>
      <c r="C6952" s="547"/>
      <c r="D6952" s="547"/>
      <c r="E6952" s="547"/>
      <c r="F6952" s="1089"/>
      <c r="G6952" s="707" t="s">
        <v>21</v>
      </c>
      <c r="H6952" s="707" t="s">
        <v>177</v>
      </c>
      <c r="I6952" s="1879">
        <v>27.3</v>
      </c>
      <c r="J6952" s="1022">
        <v>9</v>
      </c>
      <c r="K6952" s="1023">
        <v>13</v>
      </c>
      <c r="L6952" s="893">
        <f t="shared" si="1479"/>
        <v>3.1941000000000002</v>
      </c>
      <c r="M6952" s="707"/>
      <c r="N6952" s="707"/>
      <c r="O6952" s="707"/>
      <c r="P6952" s="2091"/>
    </row>
    <row r="6953" spans="1:17" ht="18">
      <c r="A6953" s="707"/>
      <c r="B6953" s="707"/>
      <c r="C6953" s="707"/>
      <c r="D6953" s="707"/>
      <c r="E6953" s="707"/>
      <c r="F6953" s="707"/>
      <c r="G6953" s="707" t="s">
        <v>21</v>
      </c>
      <c r="H6953" s="707" t="s">
        <v>177</v>
      </c>
      <c r="I6953" s="1879">
        <v>27.3</v>
      </c>
      <c r="J6953" s="1022">
        <v>9.1999999999999993</v>
      </c>
      <c r="K6953" s="1023">
        <v>17</v>
      </c>
      <c r="L6953" s="893">
        <f t="shared" si="1479"/>
        <v>4.2697200000000004</v>
      </c>
      <c r="M6953" s="707"/>
      <c r="N6953" s="707"/>
      <c r="O6953" s="707"/>
      <c r="P6953" s="2091"/>
    </row>
    <row r="6954" spans="1:17" ht="18">
      <c r="A6954" s="707"/>
      <c r="B6954" s="707"/>
      <c r="C6954" s="707"/>
      <c r="D6954" s="707"/>
      <c r="E6954" s="707"/>
      <c r="F6954" s="707"/>
      <c r="G6954" s="707" t="s">
        <v>21</v>
      </c>
      <c r="H6954" s="707" t="s">
        <v>177</v>
      </c>
      <c r="I6954" s="1879">
        <v>27.3</v>
      </c>
      <c r="J6954" s="1022">
        <v>9.5</v>
      </c>
      <c r="K6954" s="1023">
        <v>12</v>
      </c>
      <c r="L6954" s="893">
        <f t="shared" si="1479"/>
        <v>3.1122000000000001</v>
      </c>
      <c r="M6954" s="707"/>
      <c r="N6954" s="707"/>
      <c r="O6954" s="707"/>
      <c r="P6954" s="2091"/>
    </row>
    <row r="6955" spans="1:17" ht="18">
      <c r="A6955" s="707"/>
      <c r="B6955" s="707"/>
      <c r="C6955" s="707"/>
      <c r="D6955" s="707"/>
      <c r="E6955" s="707"/>
      <c r="F6955" s="707"/>
      <c r="G6955" s="707" t="s">
        <v>21</v>
      </c>
      <c r="H6955" s="707" t="s">
        <v>177</v>
      </c>
      <c r="I6955" s="1879">
        <v>27.3</v>
      </c>
      <c r="J6955" s="1022">
        <v>10</v>
      </c>
      <c r="K6955" s="1023">
        <v>6</v>
      </c>
      <c r="L6955" s="893">
        <f t="shared" si="1479"/>
        <v>1.6379999999999999</v>
      </c>
      <c r="M6955" s="707"/>
      <c r="N6955" s="707"/>
      <c r="O6955" s="707"/>
      <c r="P6955" s="2091"/>
    </row>
    <row r="6956" spans="1:17" ht="18">
      <c r="A6956" s="707"/>
      <c r="B6956" s="707"/>
      <c r="C6956" s="707"/>
      <c r="D6956" s="707"/>
      <c r="E6956" s="707"/>
      <c r="F6956" s="707"/>
      <c r="G6956" s="707" t="s">
        <v>21</v>
      </c>
      <c r="H6956" s="707" t="s">
        <v>177</v>
      </c>
      <c r="I6956" s="1879">
        <v>27.3</v>
      </c>
      <c r="J6956" s="1022">
        <v>11.1</v>
      </c>
      <c r="K6956" s="1023">
        <v>8</v>
      </c>
      <c r="L6956" s="893">
        <f t="shared" si="1479"/>
        <v>2.4242399999999997</v>
      </c>
      <c r="M6956" s="648"/>
      <c r="N6956" s="567"/>
      <c r="O6956" s="707"/>
      <c r="P6956" s="2091"/>
    </row>
    <row r="6957" spans="1:17" ht="18">
      <c r="A6957" s="707"/>
      <c r="B6957" s="707"/>
      <c r="C6957" s="707"/>
      <c r="D6957" s="707"/>
      <c r="E6957" s="707"/>
      <c r="F6957" s="707"/>
      <c r="G6957" s="707" t="s">
        <v>21</v>
      </c>
      <c r="H6957" s="707" t="s">
        <v>177</v>
      </c>
      <c r="I6957" s="1879">
        <v>27.3</v>
      </c>
      <c r="J6957" s="1022">
        <v>11.8</v>
      </c>
      <c r="K6957" s="1023">
        <v>19</v>
      </c>
      <c r="L6957" s="893">
        <f t="shared" si="1479"/>
        <v>6.1206600000000009</v>
      </c>
      <c r="M6957" s="707"/>
      <c r="N6957" s="707"/>
      <c r="O6957" s="707"/>
      <c r="P6957" s="2091"/>
    </row>
    <row r="6958" spans="1:17" ht="18">
      <c r="A6958" s="547"/>
      <c r="B6958" s="547"/>
      <c r="C6958" s="547"/>
      <c r="D6958" s="547"/>
      <c r="E6958" s="560"/>
      <c r="F6958" s="1089"/>
      <c r="G6958" s="707" t="s">
        <v>21</v>
      </c>
      <c r="H6958" s="707" t="s">
        <v>177</v>
      </c>
      <c r="I6958" s="1879">
        <v>27.3</v>
      </c>
      <c r="J6958" s="1022">
        <v>12</v>
      </c>
      <c r="K6958" s="1023">
        <v>18</v>
      </c>
      <c r="L6958" s="893">
        <f t="shared" si="1479"/>
        <v>5.8967999999999998</v>
      </c>
      <c r="M6958" s="707"/>
      <c r="N6958" s="707"/>
      <c r="O6958" s="707"/>
      <c r="P6958" s="2091"/>
    </row>
    <row r="6959" spans="1:17" ht="18">
      <c r="A6959" s="547"/>
      <c r="B6959" s="1086"/>
      <c r="C6959" s="547"/>
      <c r="D6959" s="547"/>
      <c r="E6959" s="547"/>
      <c r="F6959" s="1089"/>
      <c r="G6959" s="707"/>
      <c r="H6959" s="707"/>
      <c r="I6959" s="1879"/>
      <c r="J6959" s="1022"/>
      <c r="K6959" s="648">
        <v>120</v>
      </c>
      <c r="L6959" s="552">
        <v>32.847360000000009</v>
      </c>
      <c r="M6959" s="707"/>
      <c r="N6959" s="707"/>
      <c r="O6959" s="707"/>
      <c r="P6959" s="2092"/>
    </row>
    <row r="6960" spans="1:17" ht="18">
      <c r="A6960" s="707"/>
      <c r="B6960" s="707"/>
      <c r="C6960" s="707"/>
      <c r="D6960" s="707"/>
      <c r="E6960" s="707"/>
      <c r="F6960" s="707"/>
      <c r="G6960" s="707"/>
      <c r="H6960" s="707"/>
      <c r="I6960" s="1879"/>
      <c r="J6960" s="1022"/>
      <c r="K6960" s="1023"/>
      <c r="L6960" s="893"/>
      <c r="M6960" s="707"/>
      <c r="N6960" s="707"/>
      <c r="O6960" s="707"/>
      <c r="P6960" s="549"/>
    </row>
    <row r="6961" spans="1:24" s="497" customFormat="1" ht="18">
      <c r="A6961" s="547" t="s">
        <v>445</v>
      </c>
      <c r="B6961" s="547" t="s">
        <v>690</v>
      </c>
      <c r="C6961" s="547" t="s">
        <v>19</v>
      </c>
      <c r="D6961" s="547" t="s">
        <v>20</v>
      </c>
      <c r="E6961" s="547" t="s">
        <v>367</v>
      </c>
      <c r="F6961" s="1089">
        <v>16</v>
      </c>
      <c r="G6961" s="707" t="s">
        <v>21</v>
      </c>
      <c r="H6961" s="1120" t="s">
        <v>177</v>
      </c>
      <c r="I6961" s="1879">
        <v>27.3</v>
      </c>
      <c r="J6961" s="1022">
        <v>10.1</v>
      </c>
      <c r="K6961" s="1023">
        <v>54</v>
      </c>
      <c r="L6961" s="893">
        <f t="shared" ref="L6961:L6964" si="1480">(I6961*J6961*K6961/1000)</f>
        <v>14.889420000000001</v>
      </c>
      <c r="M6961" s="707"/>
      <c r="N6961" s="707"/>
      <c r="O6961" s="707"/>
      <c r="P6961" s="2090" t="s">
        <v>697</v>
      </c>
      <c r="S6961" s="497">
        <f>9+9+9+8</f>
        <v>35</v>
      </c>
      <c r="T6961" s="126">
        <f>J6961*S6961*I6961/1000</f>
        <v>9.6505500000000008</v>
      </c>
      <c r="U6961" s="497">
        <f>7+7+7+7+4-13</f>
        <v>19</v>
      </c>
      <c r="V6961" s="126">
        <f>J6961*U6961*I6961/1000</f>
        <v>5.2388699999999995</v>
      </c>
      <c r="X6961" s="497" t="s">
        <v>776</v>
      </c>
    </row>
    <row r="6962" spans="1:24" s="497" customFormat="1" ht="18">
      <c r="A6962" s="547"/>
      <c r="B6962" s="751" t="s">
        <v>52</v>
      </c>
      <c r="C6962" s="547"/>
      <c r="D6962" s="547"/>
      <c r="E6962" s="547"/>
      <c r="F6962" s="1089"/>
      <c r="G6962" s="707" t="s">
        <v>21</v>
      </c>
      <c r="H6962" s="707" t="s">
        <v>177</v>
      </c>
      <c r="I6962" s="1879">
        <v>27.3</v>
      </c>
      <c r="J6962" s="1022">
        <v>11.6</v>
      </c>
      <c r="K6962" s="1023">
        <v>36</v>
      </c>
      <c r="L6962" s="893">
        <f t="shared" si="1480"/>
        <v>11.40048</v>
      </c>
      <c r="M6962" s="707"/>
      <c r="N6962" s="707"/>
      <c r="O6962" s="707"/>
      <c r="P6962" s="2091"/>
      <c r="S6962" s="497">
        <v>21</v>
      </c>
      <c r="T6962" s="126">
        <f>J6962*S6962*I6962/1000</f>
        <v>6.6502799999999995</v>
      </c>
    </row>
    <row r="6963" spans="1:24" s="497" customFormat="1" ht="18">
      <c r="A6963" s="707"/>
      <c r="B6963" s="707"/>
      <c r="C6963" s="707"/>
      <c r="D6963" s="707"/>
      <c r="E6963" s="707"/>
      <c r="F6963" s="707"/>
      <c r="G6963" s="707" t="s">
        <v>21</v>
      </c>
      <c r="H6963" s="707" t="s">
        <v>177</v>
      </c>
      <c r="I6963" s="1879">
        <v>27.3</v>
      </c>
      <c r="J6963" s="1022">
        <v>10.1</v>
      </c>
      <c r="K6963" s="1023">
        <v>54</v>
      </c>
      <c r="L6963" s="893">
        <f t="shared" si="1480"/>
        <v>14.889420000000001</v>
      </c>
      <c r="M6963" s="707"/>
      <c r="N6963" s="707"/>
      <c r="O6963" s="707"/>
      <c r="P6963" s="2091"/>
      <c r="U6963" s="497">
        <v>13</v>
      </c>
      <c r="V6963" s="126">
        <f>J6963*U6963*I6963/1000</f>
        <v>3.5844899999999997</v>
      </c>
    </row>
    <row r="6964" spans="1:24" s="497" customFormat="1" ht="18">
      <c r="A6964" s="707"/>
      <c r="B6964" s="707"/>
      <c r="C6964" s="707"/>
      <c r="D6964" s="707"/>
      <c r="E6964" s="707"/>
      <c r="F6964" s="707"/>
      <c r="G6964" s="707" t="s">
        <v>21</v>
      </c>
      <c r="H6964" s="707" t="s">
        <v>177</v>
      </c>
      <c r="I6964" s="1879">
        <v>27.3</v>
      </c>
      <c r="J6964" s="1022">
        <v>11.6</v>
      </c>
      <c r="K6964" s="1023">
        <v>34</v>
      </c>
      <c r="L6964" s="893">
        <f t="shared" si="1480"/>
        <v>10.76712</v>
      </c>
      <c r="M6964" s="707"/>
      <c r="N6964" s="707"/>
      <c r="O6964" s="707"/>
      <c r="P6964" s="2091"/>
      <c r="S6964" s="497">
        <f>10+9+9+9+9+9-21</f>
        <v>34</v>
      </c>
      <c r="T6964" s="126">
        <f>J6964*S6964*I6964/1000</f>
        <v>10.767119999999998</v>
      </c>
    </row>
    <row r="6965" spans="1:24" s="497" customFormat="1" ht="18">
      <c r="A6965" s="707"/>
      <c r="B6965" s="707"/>
      <c r="C6965" s="707"/>
      <c r="D6965" s="707"/>
      <c r="E6965" s="707"/>
      <c r="F6965" s="707"/>
      <c r="G6965" s="707"/>
      <c r="H6965" s="707"/>
      <c r="I6965" s="1879"/>
      <c r="J6965" s="1022"/>
      <c r="K6965" s="648">
        <f>SUM(K6961:K6964)</f>
        <v>178</v>
      </c>
      <c r="L6965" s="567">
        <f>SUM(L6961:L6964)</f>
        <v>51.946440000000003</v>
      </c>
      <c r="M6965" s="707"/>
      <c r="N6965" s="707"/>
      <c r="O6965" s="707"/>
      <c r="P6965" s="2092"/>
      <c r="S6965" s="648">
        <f>SUM(S6961:S6964)</f>
        <v>90</v>
      </c>
      <c r="T6965" s="567">
        <f>SUM(T6961:T6964)</f>
        <v>27.06795</v>
      </c>
      <c r="U6965" s="648">
        <f>SUM(U6961:U6964)</f>
        <v>32</v>
      </c>
      <c r="V6965" s="567">
        <f>SUM(V6961:V6964)</f>
        <v>8.8233599999999992</v>
      </c>
    </row>
    <row r="6966" spans="1:24" s="497" customFormat="1" ht="18">
      <c r="A6966" s="547"/>
      <c r="B6966" s="1086"/>
      <c r="C6966" s="547"/>
      <c r="D6966" s="547"/>
      <c r="E6966" s="547"/>
      <c r="F6966" s="1089"/>
      <c r="G6966" s="707"/>
      <c r="H6966" s="707"/>
      <c r="I6966" s="1879"/>
      <c r="J6966" s="1022"/>
      <c r="K6966" s="648"/>
      <c r="L6966" s="552"/>
      <c r="M6966" s="707"/>
      <c r="N6966" s="707"/>
      <c r="O6966" s="707"/>
      <c r="P6966" s="549"/>
    </row>
    <row r="6967" spans="1:24" ht="18">
      <c r="A6967" s="547" t="s">
        <v>445</v>
      </c>
      <c r="B6967" s="547" t="s">
        <v>688</v>
      </c>
      <c r="C6967" s="547" t="s">
        <v>19</v>
      </c>
      <c r="D6967" s="547" t="s">
        <v>20</v>
      </c>
      <c r="E6967" s="1094" t="s">
        <v>47</v>
      </c>
      <c r="F6967" s="1089">
        <v>16</v>
      </c>
      <c r="G6967" s="707" t="s">
        <v>21</v>
      </c>
      <c r="H6967" s="1120" t="s">
        <v>177</v>
      </c>
      <c r="I6967" s="1879">
        <v>27.3</v>
      </c>
      <c r="J6967" s="1022">
        <v>6.7</v>
      </c>
      <c r="K6967" s="1023">
        <v>2</v>
      </c>
      <c r="L6967" s="893">
        <f t="shared" ref="L6967:L6972" si="1481">(I6967*J6967*K6967/1000)</f>
        <v>0.36581999999999998</v>
      </c>
      <c r="M6967" s="707"/>
      <c r="N6967" s="707"/>
      <c r="O6967" s="707"/>
      <c r="P6967" s="2090" t="s">
        <v>698</v>
      </c>
      <c r="U6967">
        <v>2</v>
      </c>
      <c r="V6967" s="126">
        <f t="shared" ref="V6967:V6969" si="1482">J6967*U6967*I6967/1000</f>
        <v>0.36581999999999998</v>
      </c>
      <c r="X6967" s="497" t="s">
        <v>774</v>
      </c>
    </row>
    <row r="6968" spans="1:24" ht="18">
      <c r="A6968" s="547"/>
      <c r="B6968" s="751" t="s">
        <v>702</v>
      </c>
      <c r="C6968" s="547"/>
      <c r="D6968" s="547"/>
      <c r="E6968" s="547"/>
      <c r="F6968" s="1089"/>
      <c r="G6968" s="707" t="s">
        <v>21</v>
      </c>
      <c r="H6968" s="707" t="s">
        <v>177</v>
      </c>
      <c r="I6968" s="1879">
        <v>27.3</v>
      </c>
      <c r="J6968" s="1022">
        <v>8.1</v>
      </c>
      <c r="K6968" s="1023">
        <v>194</v>
      </c>
      <c r="L6968" s="893">
        <f t="shared" si="1481"/>
        <v>42.89922</v>
      </c>
      <c r="M6968" s="707"/>
      <c r="N6968" s="707"/>
      <c r="O6968" s="707"/>
      <c r="P6968" s="2091"/>
      <c r="Q6968" s="497">
        <f>11+11+11+11+11+11</f>
        <v>66</v>
      </c>
      <c r="R6968" s="126">
        <f>J6968*Q6968*I6968/1000</f>
        <v>14.594580000000002</v>
      </c>
      <c r="S6968">
        <f>11+11+11+11+11+11+11</f>
        <v>77</v>
      </c>
      <c r="T6968" s="126">
        <f>J6968*S6968*I6968/1000</f>
        <v>17.027009999999997</v>
      </c>
      <c r="U6968">
        <f>7+7+7+7+6</f>
        <v>34</v>
      </c>
      <c r="V6968" s="126">
        <f t="shared" si="1482"/>
        <v>7.518419999999999</v>
      </c>
      <c r="X6968" s="497" t="s">
        <v>775</v>
      </c>
    </row>
    <row r="6969" spans="1:24" ht="18">
      <c r="A6969" s="707"/>
      <c r="B6969" s="707"/>
      <c r="C6969" s="707"/>
      <c r="D6969" s="707"/>
      <c r="E6969" s="707"/>
      <c r="F6969" s="707"/>
      <c r="G6969" s="707" t="s">
        <v>21</v>
      </c>
      <c r="H6969" s="707" t="s">
        <v>177</v>
      </c>
      <c r="I6969" s="1879">
        <v>27.3</v>
      </c>
      <c r="J6969" s="1022">
        <v>8.9</v>
      </c>
      <c r="K6969" s="1023">
        <v>6</v>
      </c>
      <c r="L6969" s="893">
        <f t="shared" si="1481"/>
        <v>1.4578200000000001</v>
      </c>
      <c r="M6969" s="707"/>
      <c r="N6969" s="707"/>
      <c r="O6969" s="707"/>
      <c r="P6969" s="2091"/>
      <c r="U6969">
        <v>6</v>
      </c>
      <c r="V6969" s="126">
        <f t="shared" si="1482"/>
        <v>1.4578200000000001</v>
      </c>
    </row>
    <row r="6970" spans="1:24" ht="18">
      <c r="A6970" s="707"/>
      <c r="B6970" s="707"/>
      <c r="C6970" s="707"/>
      <c r="D6970" s="707"/>
      <c r="E6970" s="707"/>
      <c r="F6970" s="707"/>
      <c r="G6970" s="707" t="s">
        <v>21</v>
      </c>
      <c r="H6970" s="707" t="s">
        <v>177</v>
      </c>
      <c r="I6970" s="1879">
        <v>27.3</v>
      </c>
      <c r="J6970" s="1022">
        <v>11.1</v>
      </c>
      <c r="K6970" s="1023">
        <v>6</v>
      </c>
      <c r="L6970" s="893">
        <f t="shared" si="1481"/>
        <v>1.8181799999999999</v>
      </c>
      <c r="M6970" s="707"/>
      <c r="N6970" s="707"/>
      <c r="O6970" s="707"/>
      <c r="P6970" s="2091"/>
      <c r="S6970">
        <f>5+1</f>
        <v>6</v>
      </c>
      <c r="T6970" s="126">
        <f t="shared" ref="T6970:T6972" si="1483">J6970*S6970*I6970/1000</f>
        <v>1.8181799999999999</v>
      </c>
    </row>
    <row r="6971" spans="1:24" ht="18">
      <c r="A6971" s="707"/>
      <c r="B6971" s="707"/>
      <c r="C6971" s="707"/>
      <c r="D6971" s="707"/>
      <c r="E6971" s="707"/>
      <c r="F6971" s="707"/>
      <c r="G6971" s="707" t="s">
        <v>21</v>
      </c>
      <c r="H6971" s="707" t="s">
        <v>177</v>
      </c>
      <c r="I6971" s="1879">
        <v>27.3</v>
      </c>
      <c r="J6971" s="1022">
        <v>12.15</v>
      </c>
      <c r="K6971" s="1023">
        <v>68</v>
      </c>
      <c r="L6971" s="893">
        <f t="shared" si="1481"/>
        <v>22.555259999999997</v>
      </c>
      <c r="M6971" s="707"/>
      <c r="N6971" s="707"/>
      <c r="O6971" s="707"/>
      <c r="P6971" s="2091"/>
      <c r="Q6971" s="497">
        <f>7+9+9+9</f>
        <v>34</v>
      </c>
      <c r="R6971" s="126">
        <f>J6971*Q6971*I6971/1000</f>
        <v>11.27763</v>
      </c>
      <c r="S6971">
        <f>9+8</f>
        <v>17</v>
      </c>
      <c r="T6971" s="126">
        <f t="shared" si="1483"/>
        <v>5.6388150000000001</v>
      </c>
      <c r="W6971" s="497"/>
    </row>
    <row r="6972" spans="1:24" ht="18">
      <c r="A6972" s="707"/>
      <c r="B6972" s="707"/>
      <c r="C6972" s="707"/>
      <c r="D6972" s="707"/>
      <c r="E6972" s="707"/>
      <c r="F6972" s="707"/>
      <c r="G6972" s="707" t="s">
        <v>21</v>
      </c>
      <c r="H6972" s="707" t="s">
        <v>177</v>
      </c>
      <c r="I6972" s="1879">
        <v>27.3</v>
      </c>
      <c r="J6972" s="1022">
        <v>12.75</v>
      </c>
      <c r="K6972" s="1023">
        <v>342</v>
      </c>
      <c r="L6972" s="893">
        <f t="shared" si="1481"/>
        <v>119.04164999999999</v>
      </c>
      <c r="M6972" s="648"/>
      <c r="N6972" s="567"/>
      <c r="O6972" s="707"/>
      <c r="P6972" s="2091"/>
      <c r="Q6972" s="497">
        <f>9+9+9+9+9+9+9+9+9+9+9+9+9</f>
        <v>117</v>
      </c>
      <c r="R6972" s="126">
        <f>J6972*Q6972*I6972/1000</f>
        <v>40.724775000000001</v>
      </c>
      <c r="S6972">
        <f>9+9+9+9+9+9+9</f>
        <v>63</v>
      </c>
      <c r="T6972" s="126">
        <f t="shared" si="1483"/>
        <v>21.928725000000004</v>
      </c>
      <c r="U6972">
        <f>7+6+6+6+1</f>
        <v>26</v>
      </c>
      <c r="V6972" s="126">
        <f>J6972*U6972*I6972/1000</f>
        <v>9.0499500000000008</v>
      </c>
    </row>
    <row r="6973" spans="1:24" ht="18">
      <c r="A6973" s="707"/>
      <c r="B6973" s="707"/>
      <c r="C6973" s="707"/>
      <c r="D6973" s="707"/>
      <c r="E6973" s="707"/>
      <c r="F6973" s="707"/>
      <c r="G6973" s="707"/>
      <c r="H6973" s="707"/>
      <c r="I6973" s="1879"/>
      <c r="J6973" s="1022"/>
      <c r="K6973" s="648">
        <f>SUM(K6967:K6972)</f>
        <v>618</v>
      </c>
      <c r="L6973" s="567">
        <f>SUM(L6967:L6972)</f>
        <v>188.13794999999999</v>
      </c>
      <c r="M6973" s="648"/>
      <c r="N6973" s="567"/>
      <c r="O6973" s="707"/>
      <c r="P6973" s="2092"/>
      <c r="Q6973" s="648">
        <f t="shared" ref="Q6973:V6973" si="1484">SUM(Q6967:Q6972)</f>
        <v>217</v>
      </c>
      <c r="R6973" s="567">
        <f t="shared" si="1484"/>
        <v>66.596985000000004</v>
      </c>
      <c r="S6973" s="648">
        <f t="shared" si="1484"/>
        <v>163</v>
      </c>
      <c r="T6973" s="567">
        <f t="shared" si="1484"/>
        <v>46.412729999999996</v>
      </c>
      <c r="U6973" s="648">
        <f t="shared" si="1484"/>
        <v>68</v>
      </c>
      <c r="V6973" s="567">
        <f t="shared" si="1484"/>
        <v>18.392009999999999</v>
      </c>
    </row>
    <row r="6974" spans="1:24" ht="18">
      <c r="A6974" s="547"/>
      <c r="B6974" s="547"/>
      <c r="C6974" s="547"/>
      <c r="D6974" s="547"/>
      <c r="E6974" s="560"/>
      <c r="F6974" s="1089"/>
      <c r="G6974" s="707"/>
      <c r="H6974" s="707"/>
      <c r="I6974" s="1879"/>
      <c r="J6974" s="1022"/>
      <c r="K6974" s="1023"/>
      <c r="L6974" s="893"/>
      <c r="M6974" s="648"/>
      <c r="N6974" s="567"/>
      <c r="O6974" s="707"/>
      <c r="P6974" s="549"/>
    </row>
    <row r="6975" spans="1:24" ht="18">
      <c r="A6975" s="21" t="s">
        <v>59</v>
      </c>
      <c r="B6975" s="547" t="s">
        <v>689</v>
      </c>
      <c r="C6975" s="547" t="s">
        <v>19</v>
      </c>
      <c r="D6975" s="547" t="s">
        <v>20</v>
      </c>
      <c r="E6975" s="1094" t="s">
        <v>47</v>
      </c>
      <c r="F6975" s="1089">
        <v>16</v>
      </c>
      <c r="G6975" s="707" t="s">
        <v>21</v>
      </c>
      <c r="H6975" s="1120" t="s">
        <v>177</v>
      </c>
      <c r="I6975" s="1879">
        <v>27.3</v>
      </c>
      <c r="J6975" s="1022">
        <v>8.1</v>
      </c>
      <c r="K6975" s="1023">
        <v>10</v>
      </c>
      <c r="L6975" s="893">
        <f t="shared" ref="L6975:L6979" si="1485">(I6975*J6975*K6975/1000)</f>
        <v>2.2113</v>
      </c>
      <c r="M6975" s="707"/>
      <c r="N6975" s="707"/>
      <c r="O6975" s="707"/>
      <c r="P6975" s="2090" t="s">
        <v>698</v>
      </c>
      <c r="Q6975" s="497">
        <v>10</v>
      </c>
      <c r="R6975" s="126">
        <f>J6975*Q6975*I6975/1000</f>
        <v>2.2113</v>
      </c>
      <c r="X6975" s="497" t="s">
        <v>776</v>
      </c>
    </row>
    <row r="6976" spans="1:24" ht="18">
      <c r="A6976" s="547"/>
      <c r="B6976" s="751" t="s">
        <v>702</v>
      </c>
      <c r="C6976" s="547"/>
      <c r="D6976" s="547"/>
      <c r="E6976" s="547"/>
      <c r="F6976" s="1089"/>
      <c r="G6976" s="707" t="s">
        <v>21</v>
      </c>
      <c r="H6976" s="707" t="s">
        <v>177</v>
      </c>
      <c r="I6976" s="1879">
        <v>27.3</v>
      </c>
      <c r="J6976" s="1022">
        <v>8.9</v>
      </c>
      <c r="K6976" s="1023">
        <v>10</v>
      </c>
      <c r="L6976" s="893">
        <f t="shared" si="1485"/>
        <v>2.4297000000000004</v>
      </c>
      <c r="M6976" s="707"/>
      <c r="N6976" s="707"/>
      <c r="O6976" s="707"/>
      <c r="P6976" s="2091"/>
      <c r="U6976">
        <f>6+4</f>
        <v>10</v>
      </c>
      <c r="V6976" s="126">
        <f t="shared" ref="V6976:V6977" si="1486">J6976*U6976*I6976/1000</f>
        <v>2.4297000000000004</v>
      </c>
    </row>
    <row r="6977" spans="1:22" ht="18">
      <c r="A6977" s="707"/>
      <c r="B6977" s="707"/>
      <c r="C6977" s="707"/>
      <c r="D6977" s="707"/>
      <c r="E6977" s="707"/>
      <c r="F6977" s="707"/>
      <c r="G6977" s="707" t="s">
        <v>21</v>
      </c>
      <c r="H6977" s="707" t="s">
        <v>177</v>
      </c>
      <c r="I6977" s="1879">
        <v>27.3</v>
      </c>
      <c r="J6977" s="1022">
        <v>12.1</v>
      </c>
      <c r="K6977" s="1023">
        <v>16</v>
      </c>
      <c r="L6977" s="893">
        <f t="shared" si="1485"/>
        <v>5.2852799999999993</v>
      </c>
      <c r="M6977" s="707"/>
      <c r="N6977" s="707"/>
      <c r="O6977" s="707"/>
      <c r="P6977" s="2091"/>
      <c r="U6977">
        <v>4</v>
      </c>
      <c r="V6977" s="126">
        <f t="shared" si="1486"/>
        <v>1.3213199999999998</v>
      </c>
    </row>
    <row r="6978" spans="1:22" ht="18">
      <c r="A6978" s="707"/>
      <c r="B6978" s="707"/>
      <c r="C6978" s="707"/>
      <c r="D6978" s="707"/>
      <c r="E6978" s="707"/>
      <c r="F6978" s="707"/>
      <c r="G6978" s="707" t="s">
        <v>21</v>
      </c>
      <c r="H6978" s="707" t="s">
        <v>177</v>
      </c>
      <c r="I6978" s="1879">
        <v>27.3</v>
      </c>
      <c r="J6978" s="1022">
        <v>12.2</v>
      </c>
      <c r="K6978" s="1023">
        <v>6</v>
      </c>
      <c r="L6978" s="893">
        <f t="shared" si="1485"/>
        <v>1.9983600000000001</v>
      </c>
      <c r="M6978" s="707"/>
      <c r="N6978" s="707"/>
      <c r="O6978" s="707"/>
      <c r="P6978" s="2091"/>
    </row>
    <row r="6979" spans="1:22" ht="18">
      <c r="A6979" s="707"/>
      <c r="B6979" s="707"/>
      <c r="C6979" s="707"/>
      <c r="D6979" s="707"/>
      <c r="E6979" s="707"/>
      <c r="F6979" s="707"/>
      <c r="G6979" s="707" t="s">
        <v>21</v>
      </c>
      <c r="H6979" s="707" t="s">
        <v>177</v>
      </c>
      <c r="I6979" s="1879">
        <v>27.3</v>
      </c>
      <c r="J6979" s="1022">
        <v>12.8</v>
      </c>
      <c r="K6979" s="1023">
        <v>43</v>
      </c>
      <c r="L6979" s="893">
        <f t="shared" si="1485"/>
        <v>15.025920000000001</v>
      </c>
      <c r="M6979" s="707"/>
      <c r="N6979" s="707"/>
      <c r="O6979" s="707"/>
      <c r="P6979" s="2091"/>
      <c r="Q6979" s="497">
        <f>9+9+9</f>
        <v>27</v>
      </c>
      <c r="R6979" s="126">
        <f>J6979*Q6979*I6979/1000</f>
        <v>9.4348800000000015</v>
      </c>
      <c r="S6979">
        <f>9+7</f>
        <v>16</v>
      </c>
      <c r="T6979" s="126">
        <f t="shared" ref="T6979" si="1487">J6979*S6979*I6979/1000</f>
        <v>5.5910400000000005</v>
      </c>
    </row>
    <row r="6980" spans="1:22" ht="18">
      <c r="A6980" s="707"/>
      <c r="B6980" s="707"/>
      <c r="C6980" s="707"/>
      <c r="D6980" s="707"/>
      <c r="E6980" s="707"/>
      <c r="F6980" s="707"/>
      <c r="G6980" s="707"/>
      <c r="H6980" s="707"/>
      <c r="I6980" s="1879"/>
      <c r="J6980" s="1022"/>
      <c r="K6980" s="648">
        <f>SUM(K6975:K6979)</f>
        <v>85</v>
      </c>
      <c r="L6980" s="567">
        <f>SUM(L6975:L6979)</f>
        <v>26.950559999999999</v>
      </c>
      <c r="M6980" s="707"/>
      <c r="N6980" s="707"/>
      <c r="O6980" s="707"/>
      <c r="P6980" s="2092"/>
      <c r="Q6980" s="648">
        <f t="shared" ref="Q6980:V6980" si="1488">SUM(Q6975:Q6979)</f>
        <v>37</v>
      </c>
      <c r="R6980" s="567">
        <f t="shared" si="1488"/>
        <v>11.646180000000001</v>
      </c>
      <c r="S6980" s="648">
        <f t="shared" si="1488"/>
        <v>16</v>
      </c>
      <c r="T6980" s="567">
        <f t="shared" si="1488"/>
        <v>5.5910400000000005</v>
      </c>
      <c r="U6980" s="648">
        <f t="shared" si="1488"/>
        <v>14</v>
      </c>
      <c r="V6980" s="567">
        <f t="shared" si="1488"/>
        <v>3.7510200000000005</v>
      </c>
    </row>
    <row r="6981" spans="1:22" s="497" customFormat="1" ht="18">
      <c r="A6981" s="707"/>
      <c r="B6981" s="707"/>
      <c r="C6981" s="707"/>
      <c r="D6981" s="707"/>
      <c r="E6981" s="707"/>
      <c r="F6981" s="707"/>
      <c r="G6981" s="707"/>
      <c r="H6981" s="707"/>
      <c r="I6981" s="1879"/>
      <c r="J6981" s="1022"/>
      <c r="K6981" s="648"/>
      <c r="L6981" s="552"/>
      <c r="M6981" s="707"/>
      <c r="N6981" s="707"/>
      <c r="O6981" s="707"/>
      <c r="P6981" s="549"/>
    </row>
    <row r="6982" spans="1:22" ht="18">
      <c r="A6982" s="547" t="s">
        <v>445</v>
      </c>
      <c r="B6982" s="547" t="s">
        <v>687</v>
      </c>
      <c r="C6982" s="547" t="s">
        <v>19</v>
      </c>
      <c r="D6982" s="547" t="s">
        <v>20</v>
      </c>
      <c r="E6982" s="1025" t="s">
        <v>420</v>
      </c>
      <c r="F6982" s="1089">
        <v>16</v>
      </c>
      <c r="G6982" s="707" t="s">
        <v>21</v>
      </c>
      <c r="H6982" s="1120" t="s">
        <v>510</v>
      </c>
      <c r="I6982" s="1879">
        <v>25.2</v>
      </c>
      <c r="J6982" s="1022">
        <v>8.6999999999999993</v>
      </c>
      <c r="K6982" s="1023">
        <v>10</v>
      </c>
      <c r="L6982" s="893">
        <f t="shared" ref="L6982:L6983" si="1489">(I6982*J6982*K6982/1000)</f>
        <v>2.1923999999999997</v>
      </c>
      <c r="M6982" s="707"/>
      <c r="N6982" s="707"/>
      <c r="O6982" s="707"/>
      <c r="P6982" s="2090" t="s">
        <v>699</v>
      </c>
      <c r="Q6982" s="497" t="s">
        <v>783</v>
      </c>
    </row>
    <row r="6983" spans="1:22" ht="18">
      <c r="A6983" s="547"/>
      <c r="B6983" s="751" t="s">
        <v>52</v>
      </c>
      <c r="C6983" s="547"/>
      <c r="D6983" s="547"/>
      <c r="E6983" s="547"/>
      <c r="F6983" s="1089"/>
      <c r="G6983" s="707" t="s">
        <v>21</v>
      </c>
      <c r="H6983" s="707" t="s">
        <v>510</v>
      </c>
      <c r="I6983" s="1879">
        <v>25.2</v>
      </c>
      <c r="J6983" s="1022">
        <v>10.6</v>
      </c>
      <c r="K6983" s="1023">
        <v>10</v>
      </c>
      <c r="L6983" s="893">
        <f t="shared" si="1489"/>
        <v>2.6711999999999998</v>
      </c>
      <c r="M6983" s="707"/>
      <c r="N6983" s="707"/>
      <c r="O6983" s="707"/>
      <c r="P6983" s="2091"/>
    </row>
    <row r="6984" spans="1:22" ht="18">
      <c r="A6984" s="707"/>
      <c r="B6984" s="707"/>
      <c r="C6984" s="707"/>
      <c r="D6984" s="707"/>
      <c r="E6984" s="707"/>
      <c r="F6984" s="707"/>
      <c r="G6984" s="707"/>
      <c r="H6984" s="707"/>
      <c r="I6984" s="1879"/>
      <c r="J6984" s="1022"/>
      <c r="K6984" s="648">
        <v>20</v>
      </c>
      <c r="L6984" s="552">
        <v>4.8635999999999999</v>
      </c>
      <c r="M6984" s="707"/>
      <c r="N6984" s="707"/>
      <c r="O6984" s="707"/>
      <c r="P6984" s="2092"/>
    </row>
    <row r="6985" spans="1:22" s="497" customFormat="1" ht="18">
      <c r="A6985" s="707"/>
      <c r="B6985" s="707"/>
      <c r="C6985" s="707"/>
      <c r="D6985" s="707"/>
      <c r="E6985" s="707"/>
      <c r="F6985" s="707"/>
      <c r="G6985" s="707"/>
      <c r="H6985" s="707"/>
      <c r="I6985" s="1879"/>
      <c r="J6985" s="1022"/>
      <c r="K6985" s="1023"/>
      <c r="L6985" s="893"/>
      <c r="M6985" s="707"/>
      <c r="N6985" s="707"/>
      <c r="O6985" s="707"/>
      <c r="P6985" s="1105"/>
    </row>
    <row r="6986" spans="1:22" ht="18">
      <c r="A6986" s="547" t="s">
        <v>445</v>
      </c>
      <c r="B6986" s="547" t="s">
        <v>687</v>
      </c>
      <c r="C6986" s="547" t="s">
        <v>19</v>
      </c>
      <c r="D6986" s="547" t="s">
        <v>20</v>
      </c>
      <c r="E6986" s="1025" t="s">
        <v>420</v>
      </c>
      <c r="F6986" s="1089">
        <v>16</v>
      </c>
      <c r="G6986" s="707" t="s">
        <v>21</v>
      </c>
      <c r="H6986" s="1120" t="s">
        <v>176</v>
      </c>
      <c r="I6986" s="1879">
        <v>23</v>
      </c>
      <c r="J6986" s="1022">
        <v>11.2</v>
      </c>
      <c r="K6986" s="1023">
        <v>15</v>
      </c>
      <c r="L6986" s="893">
        <f t="shared" ref="L6986:L6987" si="1490">(I6986*J6986*K6986/1000)</f>
        <v>3.8639999999999994</v>
      </c>
      <c r="M6986" s="707"/>
      <c r="N6986" s="707"/>
      <c r="O6986" s="707"/>
      <c r="P6986" s="2090" t="s">
        <v>700</v>
      </c>
      <c r="Q6986" s="497" t="s">
        <v>784</v>
      </c>
    </row>
    <row r="6987" spans="1:22" ht="18">
      <c r="A6987" s="547"/>
      <c r="B6987" s="751" t="s">
        <v>52</v>
      </c>
      <c r="C6987" s="547"/>
      <c r="D6987" s="547"/>
      <c r="E6987" s="547"/>
      <c r="F6987" s="1089"/>
      <c r="G6987" s="707" t="s">
        <v>21</v>
      </c>
      <c r="H6987" s="707" t="s">
        <v>176</v>
      </c>
      <c r="I6987" s="1879">
        <v>23</v>
      </c>
      <c r="J6987" s="1022">
        <v>11.5</v>
      </c>
      <c r="K6987" s="1023">
        <v>8</v>
      </c>
      <c r="L6987" s="893">
        <f t="shared" si="1490"/>
        <v>2.1160000000000001</v>
      </c>
      <c r="M6987" s="707"/>
      <c r="N6987" s="707"/>
      <c r="O6987" s="707"/>
      <c r="P6987" s="2091"/>
    </row>
    <row r="6988" spans="1:22" ht="18">
      <c r="A6988" s="707"/>
      <c r="B6988" s="707"/>
      <c r="C6988" s="707"/>
      <c r="D6988" s="707"/>
      <c r="E6988" s="707"/>
      <c r="F6988" s="707"/>
      <c r="G6988" s="707"/>
      <c r="H6988" s="707"/>
      <c r="I6988" s="1879"/>
      <c r="J6988" s="1022"/>
      <c r="K6988" s="648">
        <v>23</v>
      </c>
      <c r="L6988" s="552">
        <v>5.9799999999999995</v>
      </c>
      <c r="M6988" s="707"/>
      <c r="N6988" s="707"/>
      <c r="O6988" s="707"/>
      <c r="P6988" s="2091"/>
    </row>
    <row r="6989" spans="1:22" ht="18">
      <c r="A6989" s="547"/>
      <c r="B6989" s="547"/>
      <c r="C6989" s="547"/>
      <c r="D6989" s="547"/>
      <c r="E6989" s="560"/>
      <c r="F6989" s="1089"/>
      <c r="G6989" s="707"/>
      <c r="H6989" s="707"/>
      <c r="I6989" s="1879"/>
      <c r="J6989" s="1022"/>
      <c r="K6989" s="1023"/>
      <c r="L6989" s="893"/>
      <c r="M6989" s="707"/>
      <c r="N6989" s="707"/>
      <c r="O6989" s="707"/>
      <c r="P6989" s="2091"/>
    </row>
    <row r="6990" spans="1:22" s="497" customFormat="1" ht="18">
      <c r="A6990" s="547" t="s">
        <v>59</v>
      </c>
      <c r="B6990" s="547" t="s">
        <v>701</v>
      </c>
      <c r="C6990" s="547" t="s">
        <v>19</v>
      </c>
      <c r="D6990" s="547" t="s">
        <v>20</v>
      </c>
      <c r="E6990" s="1025" t="s">
        <v>420</v>
      </c>
      <c r="F6990" s="1089">
        <v>16</v>
      </c>
      <c r="G6990" s="707" t="s">
        <v>21</v>
      </c>
      <c r="H6990" s="1120" t="s">
        <v>176</v>
      </c>
      <c r="I6990" s="1879">
        <v>23</v>
      </c>
      <c r="J6990" s="1022">
        <v>6.6</v>
      </c>
      <c r="K6990" s="1023">
        <v>16</v>
      </c>
      <c r="L6990" s="893">
        <v>2.4287999999999998</v>
      </c>
      <c r="M6990" s="707"/>
      <c r="N6990" s="707"/>
      <c r="O6990" s="707"/>
      <c r="P6990" s="2091"/>
      <c r="Q6990" s="497" t="s">
        <v>784</v>
      </c>
    </row>
    <row r="6991" spans="1:22" s="497" customFormat="1" ht="18">
      <c r="A6991" s="547"/>
      <c r="B6991" s="1104" t="s">
        <v>560</v>
      </c>
      <c r="C6991" s="547"/>
      <c r="D6991" s="547"/>
      <c r="E6991" s="560"/>
      <c r="F6991" s="1089"/>
      <c r="G6991" s="707"/>
      <c r="H6991" s="707"/>
      <c r="I6991" s="1879">
        <v>23</v>
      </c>
      <c r="J6991" s="1022">
        <v>7.3</v>
      </c>
      <c r="K6991" s="1023">
        <v>52</v>
      </c>
      <c r="L6991" s="893">
        <v>8.7308000000000003</v>
      </c>
      <c r="M6991" s="707"/>
      <c r="N6991" s="707"/>
      <c r="O6991" s="707"/>
      <c r="P6991" s="2091"/>
    </row>
    <row r="6992" spans="1:22" s="497" customFormat="1" ht="18">
      <c r="A6992" s="547"/>
      <c r="B6992" s="547"/>
      <c r="C6992" s="547"/>
      <c r="D6992" s="547"/>
      <c r="E6992" s="560"/>
      <c r="F6992" s="1089"/>
      <c r="G6992" s="707"/>
      <c r="H6992" s="707"/>
      <c r="I6992" s="1879">
        <v>23</v>
      </c>
      <c r="J6992" s="1022">
        <v>10.5</v>
      </c>
      <c r="K6992" s="1023">
        <v>15</v>
      </c>
      <c r="L6992" s="893">
        <v>3.6225000000000001</v>
      </c>
      <c r="M6992" s="707"/>
      <c r="N6992" s="707"/>
      <c r="O6992" s="707"/>
      <c r="P6992" s="2091"/>
    </row>
    <row r="6993" spans="1:17" s="497" customFormat="1" ht="18">
      <c r="A6993" s="547"/>
      <c r="B6993" s="547"/>
      <c r="C6993" s="547"/>
      <c r="D6993" s="547"/>
      <c r="E6993" s="560"/>
      <c r="F6993" s="1089"/>
      <c r="G6993" s="707"/>
      <c r="H6993" s="707"/>
      <c r="I6993" s="1879"/>
      <c r="J6993" s="1022"/>
      <c r="K6993" s="648">
        <v>83</v>
      </c>
      <c r="L6993" s="552">
        <v>14.7821</v>
      </c>
      <c r="M6993" s="707"/>
      <c r="N6993" s="707"/>
      <c r="O6993" s="707"/>
      <c r="P6993" s="2092"/>
    </row>
    <row r="6994" spans="1:17" s="497" customFormat="1" ht="18">
      <c r="A6994" s="547"/>
      <c r="B6994" s="547"/>
      <c r="C6994" s="547"/>
      <c r="D6994" s="547"/>
      <c r="E6994" s="560"/>
      <c r="F6994" s="1089"/>
      <c r="G6994" s="707"/>
      <c r="H6994" s="707"/>
      <c r="I6994" s="1879"/>
      <c r="J6994" s="1022"/>
      <c r="K6994" s="1023"/>
      <c r="L6994" s="893"/>
      <c r="M6994" s="707"/>
      <c r="N6994" s="707"/>
      <c r="O6994" s="707"/>
      <c r="P6994" s="549"/>
    </row>
    <row r="6995" spans="1:17" s="497" customFormat="1" ht="18">
      <c r="A6995" s="547"/>
      <c r="B6995" s="547"/>
      <c r="C6995" s="547"/>
      <c r="D6995" s="547"/>
      <c r="E6995" s="560"/>
      <c r="F6995" s="1123"/>
      <c r="G6995" s="707"/>
      <c r="H6995" s="707"/>
      <c r="I6995" s="1879"/>
      <c r="J6995" s="1022"/>
      <c r="K6995" s="1023"/>
      <c r="L6995" s="893"/>
      <c r="M6995" s="707"/>
      <c r="N6995" s="707"/>
      <c r="O6995" s="707"/>
      <c r="P6995" s="549"/>
    </row>
    <row r="6996" spans="1:17" s="497" customFormat="1" ht="18">
      <c r="A6996" s="547" t="s">
        <v>445</v>
      </c>
      <c r="B6996" s="547" t="s">
        <v>712</v>
      </c>
      <c r="C6996" s="547" t="s">
        <v>19</v>
      </c>
      <c r="D6996" s="547" t="s">
        <v>20</v>
      </c>
      <c r="E6996" s="1025" t="s">
        <v>420</v>
      </c>
      <c r="F6996" s="1123">
        <v>16</v>
      </c>
      <c r="G6996" s="707" t="s">
        <v>21</v>
      </c>
      <c r="H6996" s="1120" t="s">
        <v>177</v>
      </c>
      <c r="I6996" s="1879">
        <v>27.3</v>
      </c>
      <c r="J6996" s="1135">
        <v>8.9</v>
      </c>
      <c r="K6996" s="1136">
        <v>4</v>
      </c>
      <c r="L6996" s="893">
        <f>(I6996*J6996*K6996/1000)</f>
        <v>0.97188000000000008</v>
      </c>
      <c r="M6996" s="1022"/>
      <c r="N6996" s="707"/>
      <c r="O6996" s="707"/>
      <c r="P6996" s="549"/>
      <c r="Q6996" s="497" t="s">
        <v>776</v>
      </c>
    </row>
    <row r="6997" spans="1:17" s="497" customFormat="1" ht="18">
      <c r="A6997" s="547"/>
      <c r="B6997" s="751" t="s">
        <v>52</v>
      </c>
      <c r="C6997" s="547"/>
      <c r="D6997" s="547"/>
      <c r="E6997" s="547"/>
      <c r="F6997" s="1123"/>
      <c r="G6997" s="707" t="s">
        <v>21</v>
      </c>
      <c r="H6997" s="707" t="s">
        <v>177</v>
      </c>
      <c r="I6997" s="1879">
        <v>27.3</v>
      </c>
      <c r="J6997" s="1135">
        <v>11.1</v>
      </c>
      <c r="K6997" s="1136">
        <v>4</v>
      </c>
      <c r="L6997" s="893">
        <f>(I6997*J6997*K6997/1000)</f>
        <v>1.2121199999999999</v>
      </c>
      <c r="M6997" s="1022"/>
      <c r="N6997" s="707"/>
      <c r="O6997" s="707"/>
      <c r="P6997" s="549"/>
    </row>
    <row r="6998" spans="1:17" s="497" customFormat="1" ht="18">
      <c r="A6998" s="547"/>
      <c r="B6998" s="547"/>
      <c r="C6998" s="547"/>
      <c r="D6998" s="547"/>
      <c r="E6998" s="560"/>
      <c r="F6998" s="1123"/>
      <c r="G6998" s="707" t="s">
        <v>21</v>
      </c>
      <c r="H6998" s="707" t="s">
        <v>177</v>
      </c>
      <c r="I6998" s="1879">
        <v>27.3</v>
      </c>
      <c r="J6998" s="1135">
        <v>11.4</v>
      </c>
      <c r="K6998" s="1136">
        <v>4</v>
      </c>
      <c r="L6998" s="893">
        <f>(I6998*J6998*K6998/1000)</f>
        <v>1.2448800000000002</v>
      </c>
      <c r="M6998" s="1022"/>
      <c r="N6998" s="707"/>
      <c r="O6998" s="707"/>
      <c r="P6998" s="549"/>
    </row>
    <row r="6999" spans="1:17" s="497" customFormat="1" ht="18">
      <c r="A6999" s="547"/>
      <c r="B6999" s="547"/>
      <c r="C6999" s="547"/>
      <c r="D6999" s="547"/>
      <c r="E6999" s="560"/>
      <c r="F6999" s="1123"/>
      <c r="G6999" s="707" t="s">
        <v>21</v>
      </c>
      <c r="H6999" s="707" t="s">
        <v>177</v>
      </c>
      <c r="I6999" s="1879">
        <v>27.3</v>
      </c>
      <c r="J6999" s="1135">
        <v>11.8</v>
      </c>
      <c r="K6999" s="1136">
        <v>8</v>
      </c>
      <c r="L6999" s="893">
        <f>(I6999*J6999*K6999/1000)</f>
        <v>2.5771200000000003</v>
      </c>
      <c r="M6999" s="1022"/>
      <c r="N6999" s="707"/>
      <c r="O6999" s="707"/>
      <c r="P6999" s="549"/>
    </row>
    <row r="7000" spans="1:17" s="497" customFormat="1" ht="18">
      <c r="A7000" s="547"/>
      <c r="B7000" s="547"/>
      <c r="C7000" s="547"/>
      <c r="D7000" s="547"/>
      <c r="E7000" s="560"/>
      <c r="F7000" s="1123"/>
      <c r="G7000" s="707"/>
      <c r="H7000" s="707"/>
      <c r="I7000" s="1879"/>
      <c r="J7000" s="1022"/>
      <c r="K7000" s="564">
        <f>SUM(K6996:K6999)</f>
        <v>20</v>
      </c>
      <c r="L7000" s="552">
        <f>SUM(L6996:L6999)</f>
        <v>6.0060000000000002</v>
      </c>
      <c r="M7000" s="707"/>
      <c r="N7000" s="707"/>
      <c r="O7000" s="707"/>
      <c r="P7000" s="549"/>
    </row>
    <row r="7001" spans="1:17" s="497" customFormat="1" ht="18">
      <c r="A7001" s="547"/>
      <c r="B7001" s="547"/>
      <c r="C7001" s="547"/>
      <c r="D7001" s="547"/>
      <c r="E7001" s="560"/>
      <c r="F7001" s="1123"/>
      <c r="G7001" s="707"/>
      <c r="H7001" s="707"/>
      <c r="I7001" s="1879"/>
      <c r="J7001" s="1022"/>
      <c r="K7001" s="1023"/>
      <c r="L7001" s="893"/>
      <c r="M7001" s="707"/>
      <c r="N7001" s="707"/>
      <c r="O7001" s="707"/>
      <c r="P7001" s="549"/>
    </row>
    <row r="7002" spans="1:17" s="497" customFormat="1" ht="17.399999999999999">
      <c r="A7002" s="547" t="s">
        <v>445</v>
      </c>
      <c r="B7002" s="547" t="s">
        <v>712</v>
      </c>
      <c r="C7002" s="547" t="s">
        <v>19</v>
      </c>
      <c r="D7002" s="547" t="s">
        <v>20</v>
      </c>
      <c r="E7002" s="1123" t="s">
        <v>420</v>
      </c>
      <c r="F7002" s="1123">
        <v>16</v>
      </c>
      <c r="G7002" s="550" t="s">
        <v>21</v>
      </c>
      <c r="H7002" s="599" t="s">
        <v>178</v>
      </c>
      <c r="I7002" s="551">
        <v>31.6</v>
      </c>
      <c r="J7002" s="1143">
        <v>8</v>
      </c>
      <c r="K7002" s="1142">
        <v>4</v>
      </c>
      <c r="L7002" s="552">
        <f>(I7002*J7002*K7002/1000)</f>
        <v>1.0112000000000001</v>
      </c>
      <c r="M7002" s="550"/>
      <c r="N7002" s="550"/>
      <c r="O7002" s="550"/>
      <c r="P7002" s="550"/>
      <c r="Q7002" s="497" t="s">
        <v>776</v>
      </c>
    </row>
    <row r="7003" spans="1:17" s="497" customFormat="1" ht="17.399999999999999">
      <c r="A7003" s="547"/>
      <c r="B7003" s="752" t="s">
        <v>52</v>
      </c>
      <c r="C7003" s="547"/>
      <c r="D7003" s="547"/>
      <c r="E7003" s="547"/>
      <c r="F7003" s="1123"/>
      <c r="G7003" s="550" t="s">
        <v>21</v>
      </c>
      <c r="H7003" s="550" t="s">
        <v>178</v>
      </c>
      <c r="I7003" s="551">
        <v>31.6</v>
      </c>
      <c r="J7003" s="1143">
        <v>11.6</v>
      </c>
      <c r="K7003" s="1142">
        <v>2</v>
      </c>
      <c r="L7003" s="552">
        <f>(I7003*J7003*K7003/1000)</f>
        <v>0.73311999999999999</v>
      </c>
      <c r="M7003" s="550"/>
      <c r="N7003" s="550"/>
      <c r="O7003" s="550"/>
      <c r="P7003" s="550"/>
    </row>
    <row r="7004" spans="1:17" s="497" customFormat="1" ht="17.399999999999999">
      <c r="A7004" s="547"/>
      <c r="B7004" s="547"/>
      <c r="C7004" s="547"/>
      <c r="D7004" s="547"/>
      <c r="E7004" s="1123"/>
      <c r="F7004" s="1123"/>
      <c r="G7004" s="550"/>
      <c r="H7004" s="1142"/>
      <c r="I7004" s="1144"/>
      <c r="J7004" s="1142"/>
      <c r="K7004" s="1140">
        <f>SUM(K7002:K7003)</f>
        <v>6</v>
      </c>
      <c r="L7004" s="552">
        <f>SUM(L7002:L7003)</f>
        <v>1.7443200000000001</v>
      </c>
      <c r="M7004" s="550"/>
      <c r="N7004" s="550"/>
      <c r="O7004" s="550"/>
      <c r="P7004" s="550"/>
    </row>
    <row r="7005" spans="1:17" s="497" customFormat="1" ht="17.399999999999999">
      <c r="A7005" s="547"/>
      <c r="B7005" s="547"/>
      <c r="C7005" s="547"/>
      <c r="D7005" s="547"/>
      <c r="E7005" s="1123"/>
      <c r="F7005" s="1123"/>
      <c r="G7005" s="550"/>
      <c r="H7005" s="1142"/>
      <c r="I7005" s="1144"/>
      <c r="J7005" s="1142"/>
      <c r="K7005" s="1141"/>
      <c r="L7005" s="552"/>
      <c r="M7005" s="550"/>
      <c r="N7005" s="550"/>
      <c r="O7005" s="550"/>
      <c r="P7005" s="550"/>
    </row>
    <row r="7006" spans="1:17" s="497" customFormat="1" ht="17.399999999999999">
      <c r="A7006" s="547" t="s">
        <v>445</v>
      </c>
      <c r="B7006" s="547" t="s">
        <v>712</v>
      </c>
      <c r="C7006" s="547" t="s">
        <v>19</v>
      </c>
      <c r="D7006" s="547" t="s">
        <v>20</v>
      </c>
      <c r="E7006" s="1123" t="s">
        <v>420</v>
      </c>
      <c r="F7006" s="1123">
        <v>16</v>
      </c>
      <c r="G7006" s="550" t="s">
        <v>21</v>
      </c>
      <c r="H7006" s="599" t="s">
        <v>180</v>
      </c>
      <c r="I7006" s="551">
        <v>35.9</v>
      </c>
      <c r="J7006" s="1143">
        <v>7.7</v>
      </c>
      <c r="K7006" s="1142">
        <v>10</v>
      </c>
      <c r="L7006" s="552">
        <f t="shared" ref="L7006" si="1491">(I7006*J7006*K7006/1000)</f>
        <v>2.7643</v>
      </c>
      <c r="M7006" s="550"/>
      <c r="N7006" s="550"/>
      <c r="O7006" s="550"/>
      <c r="P7006" s="550"/>
      <c r="Q7006" s="497" t="s">
        <v>770</v>
      </c>
    </row>
    <row r="7007" spans="1:17" s="497" customFormat="1" ht="17.399999999999999">
      <c r="A7007" s="547"/>
      <c r="B7007" s="547"/>
      <c r="C7007" s="547"/>
      <c r="D7007" s="547"/>
      <c r="E7007" s="1123"/>
      <c r="F7007" s="1123"/>
      <c r="G7007" s="550"/>
      <c r="H7007" s="550"/>
      <c r="I7007" s="551"/>
      <c r="J7007" s="1143"/>
      <c r="K7007" s="1142">
        <f t="shared" ref="K7007" si="1492">SUM(K7006)</f>
        <v>10</v>
      </c>
      <c r="L7007" s="552">
        <f>SUM(L7006)</f>
        <v>2.7643</v>
      </c>
      <c r="M7007" s="550"/>
      <c r="N7007" s="550"/>
      <c r="O7007" s="550"/>
      <c r="P7007" s="550"/>
    </row>
    <row r="7008" spans="1:17" s="497" customFormat="1" ht="17.399999999999999">
      <c r="A7008" s="547"/>
      <c r="B7008" s="752" t="s">
        <v>52</v>
      </c>
      <c r="C7008" s="547"/>
      <c r="D7008" s="547"/>
      <c r="E7008" s="547"/>
      <c r="F7008" s="1123"/>
      <c r="G7008" s="550"/>
      <c r="H7008" s="1142"/>
      <c r="I7008" s="1144"/>
      <c r="J7008" s="1143"/>
      <c r="K7008" s="1141"/>
      <c r="L7008" s="552"/>
      <c r="M7008" s="550"/>
      <c r="N7008" s="550"/>
      <c r="O7008" s="550"/>
      <c r="P7008" s="550"/>
    </row>
    <row r="7009" spans="1:17" s="497" customFormat="1" ht="17.399999999999999">
      <c r="A7009" s="547" t="s">
        <v>445</v>
      </c>
      <c r="B7009" s="547" t="s">
        <v>712</v>
      </c>
      <c r="C7009" s="547" t="s">
        <v>19</v>
      </c>
      <c r="D7009" s="547" t="s">
        <v>20</v>
      </c>
      <c r="E7009" s="1123" t="s">
        <v>420</v>
      </c>
      <c r="F7009" s="1123">
        <v>16</v>
      </c>
      <c r="G7009" s="550" t="s">
        <v>21</v>
      </c>
      <c r="H7009" s="599" t="s">
        <v>181</v>
      </c>
      <c r="I7009" s="551">
        <v>40.1</v>
      </c>
      <c r="J7009" s="1143">
        <v>5.5</v>
      </c>
      <c r="K7009" s="1142">
        <v>8</v>
      </c>
      <c r="L7009" s="552">
        <f t="shared" ref="L7009" si="1493">(I7009*J7009*K7009/1000)</f>
        <v>1.7644000000000002</v>
      </c>
      <c r="M7009" s="550"/>
      <c r="N7009" s="550"/>
      <c r="O7009" s="550"/>
      <c r="P7009" s="550"/>
      <c r="Q7009" s="497" t="s">
        <v>770</v>
      </c>
    </row>
    <row r="7010" spans="1:17" s="497" customFormat="1" ht="17.399999999999999">
      <c r="A7010" s="547"/>
      <c r="B7010" s="752" t="s">
        <v>52</v>
      </c>
      <c r="C7010" s="547"/>
      <c r="D7010" s="547"/>
      <c r="E7010" s="547"/>
      <c r="F7010" s="1123"/>
      <c r="G7010" s="550"/>
      <c r="H7010" s="1142"/>
      <c r="I7010" s="1144"/>
      <c r="J7010" s="1143"/>
      <c r="K7010" s="1142">
        <f t="shared" ref="K7010" si="1494">SUM(K7009)</f>
        <v>8</v>
      </c>
      <c r="L7010" s="1146">
        <f>SUM(L7009)</f>
        <v>1.7644000000000002</v>
      </c>
      <c r="M7010" s="550"/>
      <c r="N7010" s="550"/>
      <c r="O7010" s="550"/>
      <c r="P7010" s="550"/>
    </row>
    <row r="7011" spans="1:17" s="497" customFormat="1" ht="17.399999999999999">
      <c r="A7011" s="547"/>
      <c r="B7011" s="547"/>
      <c r="C7011" s="547"/>
      <c r="D7011" s="547"/>
      <c r="E7011" s="1123"/>
      <c r="F7011" s="1123"/>
      <c r="G7011" s="550"/>
      <c r="H7011" s="1142"/>
      <c r="I7011" s="1144"/>
      <c r="J7011" s="1143"/>
      <c r="K7011" s="1142"/>
      <c r="L7011" s="1147"/>
      <c r="M7011" s="550"/>
      <c r="N7011" s="550"/>
      <c r="O7011" s="550"/>
      <c r="P7011" s="550"/>
    </row>
    <row r="7012" spans="1:17" s="497" customFormat="1" ht="17.399999999999999">
      <c r="A7012" s="547" t="s">
        <v>445</v>
      </c>
      <c r="B7012" s="547" t="s">
        <v>712</v>
      </c>
      <c r="C7012" s="547" t="s">
        <v>19</v>
      </c>
      <c r="D7012" s="547" t="s">
        <v>20</v>
      </c>
      <c r="E7012" s="1123" t="s">
        <v>420</v>
      </c>
      <c r="F7012" s="1123">
        <v>16</v>
      </c>
      <c r="G7012" s="550" t="s">
        <v>21</v>
      </c>
      <c r="H7012" s="599" t="s">
        <v>182</v>
      </c>
      <c r="I7012" s="551">
        <v>44.2</v>
      </c>
      <c r="J7012" s="1143">
        <v>5.8</v>
      </c>
      <c r="K7012" s="1142">
        <v>8</v>
      </c>
      <c r="L7012" s="552">
        <f>(I7012*J7012*K7012/1000)</f>
        <v>2.0508800000000003</v>
      </c>
      <c r="M7012" s="550"/>
      <c r="N7012" s="550"/>
      <c r="O7012" s="550"/>
      <c r="P7012" s="550"/>
      <c r="Q7012" s="497" t="s">
        <v>770</v>
      </c>
    </row>
    <row r="7013" spans="1:17" s="497" customFormat="1" ht="17.399999999999999">
      <c r="A7013" s="547"/>
      <c r="B7013" s="752" t="s">
        <v>52</v>
      </c>
      <c r="C7013" s="547"/>
      <c r="D7013" s="547"/>
      <c r="E7013" s="547"/>
      <c r="F7013" s="1123"/>
      <c r="G7013" s="550" t="s">
        <v>21</v>
      </c>
      <c r="H7013" s="550" t="s">
        <v>182</v>
      </c>
      <c r="I7013" s="551">
        <v>44.2</v>
      </c>
      <c r="J7013" s="1143">
        <v>9.8000000000000007</v>
      </c>
      <c r="K7013" s="1142">
        <v>8</v>
      </c>
      <c r="L7013" s="552">
        <f>(I7013*J7013*K7013/1000)</f>
        <v>3.4652800000000008</v>
      </c>
      <c r="M7013" s="550"/>
      <c r="N7013" s="550"/>
      <c r="O7013" s="550"/>
      <c r="P7013" s="550"/>
    </row>
    <row r="7014" spans="1:17" s="497" customFormat="1" ht="17.399999999999999">
      <c r="A7014" s="547"/>
      <c r="B7014" s="547"/>
      <c r="C7014" s="547"/>
      <c r="D7014" s="547"/>
      <c r="E7014" s="1123"/>
      <c r="F7014" s="1123"/>
      <c r="G7014" s="550"/>
      <c r="H7014" s="550"/>
      <c r="I7014" s="551"/>
      <c r="J7014" s="1145"/>
      <c r="K7014" s="766">
        <f t="shared" ref="K7014" si="1495">SUM(K7012:K7013)</f>
        <v>16</v>
      </c>
      <c r="L7014" s="552">
        <f>SUM(L7012:L7013)</f>
        <v>5.5161600000000011</v>
      </c>
      <c r="M7014" s="550"/>
      <c r="N7014" s="550"/>
      <c r="O7014" s="550"/>
      <c r="P7014" s="550"/>
    </row>
    <row r="7015" spans="1:17" s="497" customFormat="1" ht="17.399999999999999">
      <c r="A7015" s="547"/>
      <c r="B7015" s="547"/>
      <c r="C7015" s="547"/>
      <c r="D7015" s="547"/>
      <c r="E7015" s="1123"/>
      <c r="F7015" s="1123"/>
      <c r="G7015" s="550"/>
      <c r="H7015" s="550"/>
      <c r="I7015" s="551"/>
      <c r="J7015" s="765"/>
      <c r="K7015" s="766"/>
      <c r="L7015" s="552">
        <f>+L7014+L7010+L7007+L7004+L7000</f>
        <v>17.795180000000002</v>
      </c>
      <c r="M7015" s="550"/>
      <c r="N7015" s="550"/>
      <c r="O7015" s="550"/>
      <c r="P7015" s="550"/>
    </row>
    <row r="7016" spans="1:17" s="497" customFormat="1" ht="18">
      <c r="A7016" s="547"/>
      <c r="B7016" s="547"/>
      <c r="C7016" s="547"/>
      <c r="D7016" s="547"/>
      <c r="E7016" s="1123"/>
      <c r="F7016" s="1123"/>
      <c r="G7016" s="1137"/>
      <c r="H7016" s="1137"/>
      <c r="I7016" s="1896"/>
      <c r="J7016" s="1139"/>
      <c r="K7016" s="1138"/>
      <c r="L7016" s="893"/>
      <c r="M7016" s="1137"/>
      <c r="N7016" s="1137"/>
      <c r="O7016" s="1137"/>
      <c r="P7016" s="550"/>
    </row>
    <row r="7017" spans="1:17" s="497" customFormat="1" ht="18">
      <c r="A7017" s="547"/>
      <c r="B7017" s="547"/>
      <c r="C7017" s="547"/>
      <c r="D7017" s="547"/>
      <c r="E7017" s="1156"/>
      <c r="F7017" s="1156"/>
      <c r="G7017" s="1137"/>
      <c r="H7017" s="1137"/>
      <c r="I7017" s="1896"/>
      <c r="J7017" s="1139"/>
      <c r="K7017" s="1138"/>
      <c r="L7017" s="893"/>
      <c r="M7017" s="1137"/>
      <c r="N7017" s="1137"/>
      <c r="O7017" s="1137"/>
      <c r="P7017" s="550"/>
    </row>
    <row r="7018" spans="1:17" s="497" customFormat="1" ht="18">
      <c r="A7018" s="547"/>
      <c r="B7018" s="547"/>
      <c r="C7018" s="547"/>
      <c r="D7018" s="547"/>
      <c r="E7018" s="1156"/>
      <c r="F7018" s="1156"/>
      <c r="G7018" s="1137"/>
      <c r="H7018" s="1137"/>
      <c r="I7018" s="1896"/>
      <c r="J7018" s="1139"/>
      <c r="K7018" s="1138"/>
      <c r="L7018" s="893"/>
      <c r="M7018" s="1137"/>
      <c r="N7018" s="1137"/>
      <c r="O7018" s="1137"/>
      <c r="P7018" s="550"/>
    </row>
    <row r="7019" spans="1:17" s="497" customFormat="1" ht="18">
      <c r="A7019" s="547" t="s">
        <v>445</v>
      </c>
      <c r="B7019" s="547" t="s">
        <v>744</v>
      </c>
      <c r="C7019" s="547" t="s">
        <v>19</v>
      </c>
      <c r="D7019" s="547" t="s">
        <v>20</v>
      </c>
      <c r="E7019" s="547" t="s">
        <v>367</v>
      </c>
      <c r="F7019" s="1156">
        <v>16</v>
      </c>
      <c r="G7019" s="898" t="s">
        <v>21</v>
      </c>
      <c r="H7019" s="1162" t="s">
        <v>179</v>
      </c>
      <c r="I7019" s="1586">
        <v>33.799999999999997</v>
      </c>
      <c r="J7019" s="938">
        <v>7.3</v>
      </c>
      <c r="K7019" s="915">
        <v>216</v>
      </c>
      <c r="L7019" s="552">
        <f>(I7019*J7019*K7019/1000)</f>
        <v>53.295839999999998</v>
      </c>
      <c r="M7019" s="550"/>
      <c r="N7019" s="765"/>
      <c r="O7019" s="1137"/>
      <c r="P7019" s="550"/>
      <c r="Q7019" s="497" t="s">
        <v>782</v>
      </c>
    </row>
    <row r="7020" spans="1:17" s="497" customFormat="1" ht="18">
      <c r="A7020" s="547"/>
      <c r="B7020" s="898" t="s">
        <v>88</v>
      </c>
      <c r="C7020" s="547"/>
      <c r="D7020" s="547"/>
      <c r="E7020" s="1156"/>
      <c r="F7020" s="1156"/>
      <c r="G7020" s="898" t="s">
        <v>21</v>
      </c>
      <c r="H7020" s="898" t="s">
        <v>179</v>
      </c>
      <c r="I7020" s="1586">
        <v>33.799999999999997</v>
      </c>
      <c r="J7020" s="938">
        <v>8.9</v>
      </c>
      <c r="K7020" s="915">
        <f>173</f>
        <v>173</v>
      </c>
      <c r="L7020" s="552">
        <f>(I7020*J7020*K7020/1000)</f>
        <v>52.04186</v>
      </c>
      <c r="M7020" s="550">
        <f>2+3+1+17+8+2</f>
        <v>33</v>
      </c>
      <c r="N7020" s="765">
        <f>J7020*M7020*I7020/1000</f>
        <v>9.9270599999999991</v>
      </c>
      <c r="O7020" s="1137"/>
      <c r="P7020" s="550"/>
    </row>
    <row r="7021" spans="1:17" s="497" customFormat="1" ht="18">
      <c r="A7021" s="547"/>
      <c r="B7021" s="898"/>
      <c r="C7021" s="547"/>
      <c r="D7021" s="547"/>
      <c r="E7021" s="1156"/>
      <c r="F7021" s="1156"/>
      <c r="G7021" s="1162" t="s">
        <v>21</v>
      </c>
      <c r="H7021" s="1162" t="s">
        <v>179</v>
      </c>
      <c r="I7021" s="1897">
        <v>33.799999999999997</v>
      </c>
      <c r="J7021" s="1163">
        <v>7.8</v>
      </c>
      <c r="K7021" s="1164">
        <v>10</v>
      </c>
      <c r="L7021" s="734">
        <f>(I7021*J7021*K7021/1000)</f>
        <v>2.6363999999999996</v>
      </c>
      <c r="M7021" s="550"/>
      <c r="N7021" s="765">
        <f>J7021*M7021*I7021/1000</f>
        <v>0</v>
      </c>
      <c r="O7021" s="1137"/>
      <c r="P7021" s="550"/>
    </row>
    <row r="7022" spans="1:17" s="497" customFormat="1" ht="18">
      <c r="A7022" s="547"/>
      <c r="B7022" s="898"/>
      <c r="C7022" s="547"/>
      <c r="D7022" s="547"/>
      <c r="E7022" s="1156"/>
      <c r="F7022" s="1156"/>
      <c r="G7022" s="1162" t="s">
        <v>21</v>
      </c>
      <c r="H7022" s="1162" t="s">
        <v>179</v>
      </c>
      <c r="I7022" s="1897">
        <v>33.799999999999997</v>
      </c>
      <c r="J7022" s="1163">
        <v>9.85</v>
      </c>
      <c r="K7022" s="1164">
        <v>14</v>
      </c>
      <c r="L7022" s="734">
        <f>(I7022*J7022*K7022/1000)</f>
        <v>4.6610199999999997</v>
      </c>
      <c r="M7022" s="550"/>
      <c r="N7022" s="765">
        <f>J7022*M7022*I7022/1000</f>
        <v>0</v>
      </c>
      <c r="O7022" s="1137"/>
      <c r="P7022" s="550"/>
    </row>
    <row r="7023" spans="1:17" s="497" customFormat="1" ht="18">
      <c r="A7023" s="547"/>
      <c r="B7023" s="898"/>
      <c r="C7023" s="547"/>
      <c r="D7023" s="547"/>
      <c r="E7023" s="1156"/>
      <c r="F7023" s="1156"/>
      <c r="G7023" s="1162" t="s">
        <v>21</v>
      </c>
      <c r="H7023" s="1162" t="s">
        <v>179</v>
      </c>
      <c r="I7023" s="1897">
        <v>33.799999999999997</v>
      </c>
      <c r="J7023" s="1163">
        <v>8.3000000000000007</v>
      </c>
      <c r="K7023" s="1164">
        <v>2</v>
      </c>
      <c r="L7023" s="734">
        <f>(I7023*J7023*K7023/1000)</f>
        <v>0.56108000000000002</v>
      </c>
      <c r="M7023" s="550"/>
      <c r="N7023" s="765">
        <f>J7023*M7023*I7023/1000</f>
        <v>0</v>
      </c>
      <c r="O7023" s="1137"/>
      <c r="P7023" s="550"/>
    </row>
    <row r="7024" spans="1:17" s="497" customFormat="1" ht="18">
      <c r="A7024" s="547"/>
      <c r="B7024" s="547"/>
      <c r="C7024" s="547"/>
      <c r="D7024" s="547"/>
      <c r="E7024" s="1156"/>
      <c r="F7024" s="1156"/>
      <c r="G7024" s="898"/>
      <c r="H7024" s="898"/>
      <c r="I7024" s="920"/>
      <c r="J7024" s="938"/>
      <c r="K7024" s="915">
        <f>SUM(K7019:K7023)</f>
        <v>415</v>
      </c>
      <c r="L7024" s="913">
        <f>SUM(L7019:L7023)</f>
        <v>113.19619999999999</v>
      </c>
      <c r="M7024" s="915">
        <f>SUM(M7019:M7023)</f>
        <v>33</v>
      </c>
      <c r="N7024" s="914">
        <f>SUM(N7019:N7023)</f>
        <v>9.9270599999999991</v>
      </c>
      <c r="O7024" s="1137"/>
      <c r="P7024" s="550"/>
    </row>
    <row r="7025" spans="1:16" s="497" customFormat="1" ht="18">
      <c r="A7025" s="547"/>
      <c r="B7025" s="547"/>
      <c r="C7025" s="547"/>
      <c r="D7025" s="547"/>
      <c r="E7025" s="1156"/>
      <c r="F7025" s="1156"/>
      <c r="G7025" s="1137"/>
      <c r="H7025" s="1137"/>
      <c r="I7025" s="1896"/>
      <c r="J7025" s="1139"/>
      <c r="K7025" s="1138"/>
      <c r="L7025" s="893"/>
      <c r="M7025" s="1137"/>
      <c r="N7025" s="1137"/>
      <c r="O7025" s="1137"/>
      <c r="P7025" s="550"/>
    </row>
    <row r="7026" spans="1:16" s="497" customFormat="1" ht="18">
      <c r="A7026" s="547"/>
      <c r="B7026" s="547"/>
      <c r="C7026" s="547"/>
      <c r="D7026" s="547"/>
      <c r="E7026" s="1156"/>
      <c r="F7026" s="1156"/>
      <c r="G7026" s="1137"/>
      <c r="H7026" s="1137"/>
      <c r="I7026" s="1896"/>
      <c r="J7026" s="1139"/>
      <c r="K7026" s="1138"/>
      <c r="L7026" s="893"/>
      <c r="M7026" s="1137"/>
      <c r="N7026" s="1137"/>
      <c r="O7026" s="1137"/>
      <c r="P7026" s="550"/>
    </row>
    <row r="7027" spans="1:16" s="497" customFormat="1" ht="18">
      <c r="A7027" s="547"/>
      <c r="B7027" s="547"/>
      <c r="C7027" s="547"/>
      <c r="D7027" s="547"/>
      <c r="E7027" s="1156"/>
      <c r="F7027" s="1156"/>
      <c r="G7027" s="1137"/>
      <c r="H7027" s="1137"/>
      <c r="I7027" s="1896"/>
      <c r="J7027" s="1139"/>
      <c r="K7027" s="1138"/>
      <c r="L7027" s="893"/>
      <c r="M7027" s="1137"/>
      <c r="N7027" s="1137"/>
      <c r="O7027" s="1137"/>
      <c r="P7027" s="550"/>
    </row>
    <row r="7028" spans="1:16" s="497" customFormat="1" ht="18">
      <c r="A7028" s="547"/>
      <c r="B7028" s="547"/>
      <c r="C7028" s="547"/>
      <c r="D7028" s="547"/>
      <c r="E7028" s="560"/>
      <c r="F7028" s="1089"/>
      <c r="G7028" s="707"/>
      <c r="H7028" s="707"/>
      <c r="I7028" s="1879"/>
      <c r="J7028" s="1022"/>
      <c r="K7028" s="1023"/>
      <c r="L7028" s="893"/>
      <c r="M7028" s="707"/>
      <c r="N7028" s="707"/>
      <c r="O7028" s="707"/>
      <c r="P7028" s="549"/>
    </row>
    <row r="7029" spans="1:16" s="497" customFormat="1" ht="20.399999999999999">
      <c r="A7029" s="547"/>
      <c r="B7029" s="547"/>
      <c r="C7029" s="547"/>
      <c r="D7029" s="547"/>
      <c r="E7029" s="560"/>
      <c r="F7029" s="1089"/>
      <c r="G7029" s="707"/>
      <c r="H7029" s="707"/>
      <c r="I7029" s="1879"/>
      <c r="J7029" s="1022"/>
      <c r="K7029" s="1095">
        <f>K6914+K6924+K6929+K6941+K6949+K6959+K6965+K6973+K6980+K6984+K6988+K6993</f>
        <v>1766</v>
      </c>
      <c r="L7029" s="1096">
        <f>L6914+L6924+L6929+L6941+L6949+L6959+L6965+L6973+L6980+L6984+L6988+L6993+L7015+L7024</f>
        <v>666.40400999999997</v>
      </c>
      <c r="M7029" s="707"/>
      <c r="N7029" s="707"/>
      <c r="O7029" s="707"/>
      <c r="P7029" s="549"/>
    </row>
    <row r="7030" spans="1:16" s="497" customFormat="1" ht="18">
      <c r="A7030" s="547"/>
      <c r="B7030" s="547"/>
      <c r="C7030" s="547"/>
      <c r="D7030" s="547"/>
      <c r="E7030" s="560"/>
      <c r="F7030" s="1089"/>
      <c r="G7030" s="707"/>
      <c r="H7030" s="707"/>
      <c r="I7030" s="1879"/>
      <c r="J7030" s="1022"/>
      <c r="K7030" s="1023"/>
      <c r="L7030" s="893"/>
      <c r="M7030" s="707"/>
      <c r="N7030" s="707"/>
      <c r="O7030" s="707"/>
      <c r="P7030" s="549"/>
    </row>
    <row r="7031" spans="1:16" ht="18">
      <c r="A7031" s="707"/>
      <c r="B7031" s="707"/>
      <c r="C7031" s="707"/>
      <c r="D7031" s="707"/>
      <c r="E7031" s="707"/>
      <c r="F7031" s="707"/>
      <c r="G7031" s="707"/>
      <c r="H7031" s="707"/>
      <c r="I7031" s="1854"/>
      <c r="J7031" s="707"/>
      <c r="K7031" s="1020"/>
      <c r="L7031" s="1086"/>
      <c r="M7031" s="707"/>
      <c r="N7031" s="707"/>
      <c r="O7031" s="707"/>
      <c r="P7031" s="707"/>
    </row>
    <row r="7032" spans="1:16" ht="21">
      <c r="A7032" s="707"/>
      <c r="B7032" s="707"/>
      <c r="C7032" s="707"/>
      <c r="D7032" s="707"/>
      <c r="E7032" s="707"/>
      <c r="F7032" s="707"/>
      <c r="G7032" s="707"/>
      <c r="H7032" s="707"/>
      <c r="I7032" s="1854"/>
      <c r="J7032" s="707"/>
      <c r="K7032" s="1020"/>
      <c r="L7032" s="1101">
        <f>L7029</f>
        <v>666.40400999999997</v>
      </c>
      <c r="M7032" s="1102"/>
      <c r="N7032" s="1103">
        <f>N7029</f>
        <v>0</v>
      </c>
      <c r="O7032" s="568"/>
      <c r="P7032" s="707"/>
    </row>
    <row r="7033" spans="1:16" ht="18">
      <c r="A7033" s="653" t="s">
        <v>48</v>
      </c>
      <c r="B7033" s="653"/>
      <c r="C7033" s="654"/>
      <c r="D7033" s="654"/>
      <c r="E7033" s="654"/>
      <c r="F7033" s="1087"/>
      <c r="G7033" s="654"/>
      <c r="H7033" s="1087"/>
      <c r="I7033" s="656"/>
      <c r="J7033" s="654"/>
      <c r="K7033" s="657"/>
      <c r="L7033" s="2003" t="s">
        <v>0</v>
      </c>
      <c r="M7033" s="2003"/>
      <c r="N7033" s="2003"/>
      <c r="O7033" s="2004"/>
      <c r="P7033" s="1097"/>
    </row>
    <row r="7034" spans="1:16" ht="18">
      <c r="A7034" s="658" t="s">
        <v>1</v>
      </c>
      <c r="B7034" s="658"/>
      <c r="C7034" s="658"/>
      <c r="D7034" s="659" t="s">
        <v>2</v>
      </c>
      <c r="E7034" s="659"/>
      <c r="F7034" s="660"/>
      <c r="G7034" s="660"/>
      <c r="H7034" s="660"/>
      <c r="I7034" s="661"/>
      <c r="J7034" s="660"/>
      <c r="K7034" s="662" t="s">
        <v>3</v>
      </c>
      <c r="L7034" s="660"/>
      <c r="M7034" s="658"/>
      <c r="N7034" s="660"/>
      <c r="O7034" s="663"/>
      <c r="P7034" s="1098"/>
    </row>
    <row r="7035" spans="1:16" ht="18">
      <c r="A7035" s="1087" t="s">
        <v>22</v>
      </c>
      <c r="B7035" s="1990" t="s">
        <v>23</v>
      </c>
      <c r="C7035" s="2005"/>
      <c r="D7035" s="1989"/>
      <c r="E7035" s="1087" t="s">
        <v>24</v>
      </c>
      <c r="F7035" s="1990" t="s">
        <v>25</v>
      </c>
      <c r="G7035" s="1989"/>
      <c r="H7035" s="1990" t="s">
        <v>26</v>
      </c>
      <c r="I7035" s="2005"/>
      <c r="J7035" s="2005"/>
      <c r="K7035" s="1989"/>
      <c r="L7035" s="2006" t="s">
        <v>27</v>
      </c>
      <c r="M7035" s="2006"/>
      <c r="N7035" s="2006"/>
      <c r="O7035" s="1990"/>
      <c r="P7035" s="1098"/>
    </row>
    <row r="7036" spans="1:16" ht="18">
      <c r="A7036" s="664"/>
      <c r="B7036" s="1975"/>
      <c r="C7036" s="1976"/>
      <c r="D7036" s="1977"/>
      <c r="E7036" s="665"/>
      <c r="F7036" s="1975"/>
      <c r="G7036" s="1977"/>
      <c r="H7036" s="1975"/>
      <c r="I7036" s="1976"/>
      <c r="J7036" s="1976"/>
      <c r="K7036" s="1977"/>
      <c r="L7036" s="1975"/>
      <c r="M7036" s="1976"/>
      <c r="N7036" s="1976"/>
      <c r="O7036" s="1976"/>
      <c r="P7036" s="1098"/>
    </row>
    <row r="7037" spans="1:16" s="497" customFormat="1" ht="18">
      <c r="A7037" s="664"/>
      <c r="B7037" s="1149"/>
      <c r="C7037" s="1150"/>
      <c r="D7037" s="1151"/>
      <c r="E7037" s="665"/>
      <c r="F7037" s="1149"/>
      <c r="G7037" s="1151"/>
      <c r="H7037" s="1149"/>
      <c r="I7037" s="1842"/>
      <c r="J7037" s="1150"/>
      <c r="K7037" s="1151"/>
      <c r="L7037" s="1149"/>
      <c r="M7037" s="1150"/>
      <c r="N7037" s="1150"/>
      <c r="O7037" s="1150"/>
      <c r="P7037" s="1106"/>
    </row>
    <row r="7038" spans="1:16" ht="17.399999999999999">
      <c r="A7038" s="847" t="s">
        <v>28</v>
      </c>
      <c r="B7038" s="1975" t="s">
        <v>187</v>
      </c>
      <c r="C7038" s="1976"/>
      <c r="D7038" s="1977"/>
      <c r="E7038" s="665">
        <f>L6959+L6965+L6973+L6980+L7000-88.83</f>
        <v>217.05830999999995</v>
      </c>
      <c r="F7038" s="1975">
        <v>16</v>
      </c>
      <c r="G7038" s="1977"/>
      <c r="H7038" s="1975" t="s">
        <v>49</v>
      </c>
      <c r="I7038" s="1976"/>
      <c r="J7038" s="1976"/>
      <c r="K7038" s="1977"/>
      <c r="L7038" s="2025" t="s">
        <v>745</v>
      </c>
      <c r="M7038" s="2026"/>
      <c r="N7038" s="2026"/>
      <c r="O7038" s="2026"/>
      <c r="P7038" s="1107"/>
    </row>
    <row r="7039" spans="1:16" s="497" customFormat="1" ht="17.399999999999999">
      <c r="A7039" s="847"/>
      <c r="B7039" s="1090"/>
      <c r="C7039" s="1091"/>
      <c r="D7039" s="1092"/>
      <c r="E7039" s="665"/>
      <c r="F7039" s="1090"/>
      <c r="G7039" s="1092"/>
      <c r="H7039" s="1090"/>
      <c r="I7039" s="1842"/>
      <c r="J7039" s="1091"/>
      <c r="K7039" s="1092"/>
      <c r="L7039" s="1093"/>
      <c r="M7039" s="1093"/>
      <c r="N7039" s="1093"/>
      <c r="O7039" s="1093"/>
      <c r="P7039" s="1100"/>
    </row>
    <row r="7040" spans="1:16" ht="18">
      <c r="A7040" s="847" t="s">
        <v>29</v>
      </c>
      <c r="B7040" s="1975" t="s">
        <v>556</v>
      </c>
      <c r="C7040" s="1976"/>
      <c r="D7040" s="1977"/>
      <c r="E7040" s="665">
        <f>L6984</f>
        <v>4.8635999999999999</v>
      </c>
      <c r="F7040" s="1975">
        <v>16</v>
      </c>
      <c r="G7040" s="1977"/>
      <c r="H7040" s="1975" t="s">
        <v>49</v>
      </c>
      <c r="I7040" s="1976"/>
      <c r="J7040" s="1976"/>
      <c r="K7040" s="1977"/>
      <c r="L7040" s="1976" t="s">
        <v>338</v>
      </c>
      <c r="M7040" s="1976"/>
      <c r="N7040" s="1976"/>
      <c r="O7040" s="1976"/>
      <c r="P7040" s="1098"/>
    </row>
    <row r="7041" spans="1:16" s="497" customFormat="1" ht="18">
      <c r="A7041" s="847"/>
      <c r="B7041" s="1090"/>
      <c r="C7041" s="1091"/>
      <c r="D7041" s="1092"/>
      <c r="E7041" s="665"/>
      <c r="F7041" s="1090"/>
      <c r="G7041" s="1092"/>
      <c r="H7041" s="1090"/>
      <c r="I7041" s="1842"/>
      <c r="J7041" s="1091"/>
      <c r="K7041" s="1092"/>
      <c r="L7041" s="1091"/>
      <c r="M7041" s="1091"/>
      <c r="N7041" s="1091"/>
      <c r="O7041" s="1091"/>
      <c r="P7041" s="1098"/>
    </row>
    <row r="7042" spans="1:16" s="497" customFormat="1" ht="18">
      <c r="A7042" s="847" t="s">
        <v>30</v>
      </c>
      <c r="B7042" s="1975" t="s">
        <v>188</v>
      </c>
      <c r="C7042" s="1976"/>
      <c r="D7042" s="1977"/>
      <c r="E7042" s="665">
        <f>L6988+L6993</f>
        <v>20.7621</v>
      </c>
      <c r="F7042" s="1975">
        <v>16</v>
      </c>
      <c r="G7042" s="1977"/>
      <c r="H7042" s="1975" t="s">
        <v>49</v>
      </c>
      <c r="I7042" s="1976"/>
      <c r="J7042" s="1976"/>
      <c r="K7042" s="1977"/>
      <c r="L7042" s="1976" t="s">
        <v>338</v>
      </c>
      <c r="M7042" s="1976"/>
      <c r="N7042" s="1976"/>
      <c r="O7042" s="1976"/>
      <c r="P7042" s="1098"/>
    </row>
    <row r="7043" spans="1:16" s="497" customFormat="1" ht="18">
      <c r="A7043" s="936"/>
      <c r="B7043" s="1149"/>
      <c r="C7043" s="1150"/>
      <c r="D7043" s="1151"/>
      <c r="E7043" s="671"/>
      <c r="F7043" s="1149"/>
      <c r="G7043" s="1151"/>
      <c r="H7043" s="1149"/>
      <c r="I7043" s="1842"/>
      <c r="J7043" s="1150"/>
      <c r="K7043" s="1151"/>
      <c r="L7043" s="1150"/>
      <c r="M7043" s="1150"/>
      <c r="N7043" s="1150"/>
      <c r="O7043" s="1150"/>
      <c r="P7043" s="1098"/>
    </row>
    <row r="7044" spans="1:16" s="497" customFormat="1" ht="18">
      <c r="A7044" s="847" t="s">
        <v>46</v>
      </c>
      <c r="B7044" s="1975" t="s">
        <v>185</v>
      </c>
      <c r="C7044" s="1976"/>
      <c r="D7044" s="1977"/>
      <c r="E7044" s="665">
        <f>+L7024-9.927</f>
        <v>103.26919999999998</v>
      </c>
      <c r="F7044" s="1975">
        <v>16</v>
      </c>
      <c r="G7044" s="1977"/>
      <c r="H7044" s="1975" t="s">
        <v>49</v>
      </c>
      <c r="I7044" s="1976"/>
      <c r="J7044" s="1976"/>
      <c r="K7044" s="1977"/>
      <c r="L7044" s="1976" t="s">
        <v>557</v>
      </c>
      <c r="M7044" s="1976"/>
      <c r="N7044" s="1976"/>
      <c r="O7044" s="1976"/>
      <c r="P7044" s="1098"/>
    </row>
    <row r="7045" spans="1:16" s="497" customFormat="1" ht="18">
      <c r="A7045" s="936"/>
      <c r="B7045" s="1149"/>
      <c r="C7045" s="1150"/>
      <c r="D7045" s="1151"/>
      <c r="E7045" s="671"/>
      <c r="F7045" s="1149"/>
      <c r="G7045" s="1151"/>
      <c r="H7045" s="1149"/>
      <c r="I7045" s="1842"/>
      <c r="J7045" s="1150"/>
      <c r="K7045" s="1151"/>
      <c r="L7045" s="1150"/>
      <c r="M7045" s="1150"/>
      <c r="N7045" s="1150"/>
      <c r="O7045" s="1150"/>
      <c r="P7045" s="1098"/>
    </row>
    <row r="7046" spans="1:16" ht="18">
      <c r="A7046" s="936"/>
      <c r="B7046" s="1975"/>
      <c r="C7046" s="1976"/>
      <c r="D7046" s="1977"/>
      <c r="E7046" s="671"/>
      <c r="F7046" s="1079"/>
      <c r="G7046" s="1081"/>
      <c r="H7046" s="1079"/>
      <c r="I7046" s="1855"/>
      <c r="J7046" s="1080"/>
      <c r="K7046" s="1081"/>
      <c r="L7046" s="1080"/>
      <c r="M7046" s="1080"/>
      <c r="N7046" s="1080"/>
      <c r="O7046" s="1080"/>
      <c r="P7046" s="1098"/>
    </row>
    <row r="7047" spans="1:16" ht="18.600000000000001" thickBot="1">
      <c r="A7047" s="664"/>
      <c r="B7047" s="1077"/>
      <c r="C7047" s="1082"/>
      <c r="D7047" s="1082"/>
      <c r="E7047" s="665"/>
      <c r="F7047" s="1082"/>
      <c r="G7047" s="1078"/>
      <c r="H7047" s="1077"/>
      <c r="I7047" s="1842"/>
      <c r="J7047" s="1082"/>
      <c r="K7047" s="669"/>
      <c r="L7047" s="672"/>
      <c r="M7047" s="673"/>
      <c r="N7047" s="673"/>
      <c r="O7047" s="673"/>
      <c r="P7047" s="1098"/>
    </row>
    <row r="7048" spans="1:16" ht="18">
      <c r="A7048" s="674"/>
      <c r="B7048" s="675"/>
      <c r="C7048" s="676"/>
      <c r="D7048" s="676"/>
      <c r="E7048" s="1980">
        <f>SUM(E7036:E7047)</f>
        <v>345.9532099999999</v>
      </c>
      <c r="F7048" s="677"/>
      <c r="G7048" s="678"/>
      <c r="H7048" s="679"/>
      <c r="I7048" s="1848"/>
      <c r="J7048" s="676"/>
      <c r="K7048" s="680"/>
      <c r="L7048" s="679"/>
      <c r="M7048" s="676"/>
      <c r="N7048" s="677"/>
      <c r="O7048" s="676"/>
      <c r="P7048" s="1098"/>
    </row>
    <row r="7049" spans="1:16" ht="18.600000000000001" thickBot="1">
      <c r="A7049" s="681"/>
      <c r="B7049" s="682"/>
      <c r="C7049" s="683"/>
      <c r="D7049" s="683"/>
      <c r="E7049" s="1981"/>
      <c r="F7049" s="684"/>
      <c r="G7049" s="685"/>
      <c r="H7049" s="686"/>
      <c r="I7049" s="1850"/>
      <c r="J7049" s="683"/>
      <c r="K7049" s="687"/>
      <c r="L7049" s="686"/>
      <c r="M7049" s="683"/>
      <c r="N7049" s="684"/>
      <c r="O7049" s="683"/>
      <c r="P7049" s="1098"/>
    </row>
    <row r="7050" spans="1:16" ht="18">
      <c r="A7050" s="688" t="s">
        <v>31</v>
      </c>
      <c r="B7050" s="676"/>
      <c r="C7050" s="676"/>
      <c r="D7050" s="676"/>
      <c r="E7050" s="676"/>
      <c r="F7050" s="677"/>
      <c r="G7050" s="676"/>
      <c r="H7050" s="677"/>
      <c r="I7050" s="1848"/>
      <c r="J7050" s="676"/>
      <c r="K7050" s="689"/>
      <c r="L7050" s="677"/>
      <c r="M7050" s="676"/>
      <c r="N7050" s="677"/>
      <c r="O7050" s="676"/>
      <c r="P7050" s="1098"/>
    </row>
    <row r="7051" spans="1:16" ht="18">
      <c r="A7051" s="690"/>
      <c r="B7051" s="691"/>
      <c r="C7051" s="691"/>
      <c r="D7051" s="691"/>
      <c r="E7051" s="691"/>
      <c r="F7051" s="1085"/>
      <c r="G7051" s="691"/>
      <c r="H7051" s="1085"/>
      <c r="I7051" s="1849"/>
      <c r="J7051" s="691"/>
      <c r="K7051" s="693"/>
      <c r="L7051" s="1085"/>
      <c r="M7051" s="691"/>
      <c r="N7051" s="1085"/>
      <c r="O7051" s="691"/>
      <c r="P7051" s="1098"/>
    </row>
    <row r="7052" spans="1:16" ht="18.600000000000001" thickBot="1">
      <c r="A7052" s="1982" t="s">
        <v>32</v>
      </c>
      <c r="B7052" s="1983"/>
      <c r="C7052" s="1984" t="s">
        <v>33</v>
      </c>
      <c r="D7052" s="1985"/>
      <c r="E7052" s="694" t="s">
        <v>34</v>
      </c>
      <c r="F7052" s="694" t="s">
        <v>35</v>
      </c>
      <c r="G7052" s="1986" t="s">
        <v>36</v>
      </c>
      <c r="H7052" s="1987"/>
      <c r="I7052" s="1987"/>
      <c r="J7052" s="1987"/>
      <c r="K7052" s="1987"/>
      <c r="L7052" s="1987"/>
      <c r="M7052" s="1987"/>
      <c r="N7052" s="1987"/>
      <c r="O7052" s="1987"/>
      <c r="P7052" s="1098"/>
    </row>
    <row r="7053" spans="1:16" ht="18">
      <c r="A7053" s="1988"/>
      <c r="B7053" s="1989"/>
      <c r="C7053" s="1990"/>
      <c r="D7053" s="1989"/>
      <c r="E7053" s="1087"/>
      <c r="F7053" s="1083"/>
      <c r="G7053" s="1991"/>
      <c r="H7053" s="1992"/>
      <c r="I7053" s="1992"/>
      <c r="J7053" s="1992"/>
      <c r="K7053" s="1992"/>
      <c r="L7053" s="1992"/>
      <c r="M7053" s="1992"/>
      <c r="N7053" s="1992"/>
      <c r="O7053" s="1992"/>
      <c r="P7053" s="1098"/>
    </row>
    <row r="7054" spans="1:16" ht="18">
      <c r="A7054" s="1997" t="s">
        <v>37</v>
      </c>
      <c r="B7054" s="1998"/>
      <c r="C7054" s="1990"/>
      <c r="D7054" s="1989"/>
      <c r="E7054" s="1087"/>
      <c r="F7054" s="1083"/>
      <c r="G7054" s="1993"/>
      <c r="H7054" s="1994"/>
      <c r="I7054" s="1994"/>
      <c r="J7054" s="1994"/>
      <c r="K7054" s="1994"/>
      <c r="L7054" s="1994"/>
      <c r="M7054" s="1994"/>
      <c r="N7054" s="1994"/>
      <c r="O7054" s="1994"/>
      <c r="P7054" s="1098"/>
    </row>
    <row r="7055" spans="1:16" ht="18">
      <c r="A7055" s="1997" t="s">
        <v>38</v>
      </c>
      <c r="B7055" s="1998"/>
      <c r="C7055" s="1990"/>
      <c r="D7055" s="1989"/>
      <c r="E7055" s="1087"/>
      <c r="F7055" s="1083"/>
      <c r="G7055" s="1993"/>
      <c r="H7055" s="1994"/>
      <c r="I7055" s="1994"/>
      <c r="J7055" s="1994"/>
      <c r="K7055" s="1994"/>
      <c r="L7055" s="1994"/>
      <c r="M7055" s="1994"/>
      <c r="N7055" s="1994"/>
      <c r="O7055" s="1994"/>
      <c r="P7055" s="1098"/>
    </row>
    <row r="7056" spans="1:16" ht="18">
      <c r="A7056" s="1997" t="s">
        <v>39</v>
      </c>
      <c r="B7056" s="1998"/>
      <c r="C7056" s="1990"/>
      <c r="D7056" s="1989"/>
      <c r="E7056" s="1087"/>
      <c r="F7056" s="1083"/>
      <c r="G7056" s="1993"/>
      <c r="H7056" s="1994"/>
      <c r="I7056" s="1994"/>
      <c r="J7056" s="1994"/>
      <c r="K7056" s="1994"/>
      <c r="L7056" s="1994"/>
      <c r="M7056" s="1994"/>
      <c r="N7056" s="1994"/>
      <c r="O7056" s="1994"/>
      <c r="P7056" s="1098"/>
    </row>
    <row r="7057" spans="1:19" ht="18">
      <c r="A7057" s="1997" t="s">
        <v>40</v>
      </c>
      <c r="B7057" s="1998"/>
      <c r="C7057" s="1990"/>
      <c r="D7057" s="1989"/>
      <c r="E7057" s="1087"/>
      <c r="F7057" s="1083"/>
      <c r="G7057" s="1993"/>
      <c r="H7057" s="1994"/>
      <c r="I7057" s="1994"/>
      <c r="J7057" s="1994"/>
      <c r="K7057" s="1994"/>
      <c r="L7057" s="1994"/>
      <c r="M7057" s="1994"/>
      <c r="N7057" s="1994"/>
      <c r="O7057" s="1994"/>
      <c r="P7057" s="1098"/>
    </row>
    <row r="7058" spans="1:19" ht="18.600000000000001" thickBot="1">
      <c r="A7058" s="1999" t="s">
        <v>41</v>
      </c>
      <c r="B7058" s="2000"/>
      <c r="C7058" s="2001"/>
      <c r="D7058" s="2002"/>
      <c r="E7058" s="696"/>
      <c r="F7058" s="1084"/>
      <c r="G7058" s="1995"/>
      <c r="H7058" s="1996"/>
      <c r="I7058" s="1996"/>
      <c r="J7058" s="1996"/>
      <c r="K7058" s="1996"/>
      <c r="L7058" s="1996"/>
      <c r="M7058" s="1996"/>
      <c r="N7058" s="1996"/>
      <c r="O7058" s="1996"/>
      <c r="P7058" s="1098"/>
    </row>
    <row r="7059" spans="1:19" ht="18">
      <c r="A7059" s="690"/>
      <c r="B7059" s="691"/>
      <c r="C7059" s="691"/>
      <c r="D7059" s="691"/>
      <c r="E7059" s="691"/>
      <c r="F7059" s="1085"/>
      <c r="G7059" s="691"/>
      <c r="H7059" s="698"/>
      <c r="I7059" s="699"/>
      <c r="J7059" s="700"/>
      <c r="K7059" s="701"/>
      <c r="L7059" s="702"/>
      <c r="M7059" s="691"/>
      <c r="N7059" s="1085"/>
      <c r="O7059" s="691"/>
      <c r="P7059" s="1098"/>
    </row>
    <row r="7060" spans="1:19" ht="18">
      <c r="A7060" s="703" t="s">
        <v>42</v>
      </c>
      <c r="B7060" s="704"/>
      <c r="C7060" s="691"/>
      <c r="D7060" s="691"/>
      <c r="E7060" s="691"/>
      <c r="F7060" s="1085"/>
      <c r="G7060" s="704"/>
      <c r="H7060" s="698"/>
      <c r="I7060" s="699"/>
      <c r="J7060" s="700"/>
      <c r="K7060" s="693"/>
      <c r="L7060" s="705"/>
      <c r="M7060" s="691"/>
      <c r="N7060" s="1979" t="s">
        <v>43</v>
      </c>
      <c r="O7060" s="1979"/>
      <c r="P7060" s="1098"/>
    </row>
    <row r="7061" spans="1:19" ht="18">
      <c r="A7061" s="703"/>
      <c r="B7061" s="704"/>
      <c r="C7061" s="691"/>
      <c r="D7061" s="691"/>
      <c r="E7061" s="691"/>
      <c r="F7061" s="1085"/>
      <c r="G7061" s="691"/>
      <c r="H7061" s="1085"/>
      <c r="I7061" s="1849"/>
      <c r="J7061" s="691"/>
      <c r="K7061" s="693"/>
      <c r="L7061" s="1085"/>
      <c r="M7061" s="691"/>
      <c r="N7061" s="1085"/>
      <c r="O7061" s="704"/>
      <c r="P7061" s="1098"/>
    </row>
    <row r="7062" spans="1:19" ht="18">
      <c r="A7062" s="703" t="s">
        <v>44</v>
      </c>
      <c r="B7062" s="704"/>
      <c r="C7062" s="691"/>
      <c r="D7062" s="691"/>
      <c r="E7062" s="691"/>
      <c r="F7062" s="1085"/>
      <c r="G7062" s="691"/>
      <c r="H7062" s="1085"/>
      <c r="I7062" s="1849"/>
      <c r="J7062" s="691"/>
      <c r="K7062" s="693"/>
      <c r="L7062" s="1085"/>
      <c r="M7062" s="691"/>
      <c r="N7062" s="1979" t="s">
        <v>45</v>
      </c>
      <c r="O7062" s="1979"/>
      <c r="P7062" s="1098"/>
    </row>
    <row r="7063" spans="1:19" ht="18.600000000000001" thickBot="1">
      <c r="A7063" s="682"/>
      <c r="B7063" s="683"/>
      <c r="C7063" s="683"/>
      <c r="D7063" s="683"/>
      <c r="E7063" s="683"/>
      <c r="F7063" s="684"/>
      <c r="G7063" s="683"/>
      <c r="H7063" s="684"/>
      <c r="I7063" s="1850"/>
      <c r="J7063" s="683"/>
      <c r="K7063" s="706"/>
      <c r="L7063" s="684"/>
      <c r="M7063" s="683"/>
      <c r="N7063" s="684"/>
      <c r="O7063" s="683"/>
      <c r="P7063" s="1099"/>
    </row>
    <row r="7066" spans="1:19" s="497" customFormat="1" ht="17.399999999999999">
      <c r="A7066" s="1000" t="s">
        <v>48</v>
      </c>
      <c r="B7066" s="1000"/>
      <c r="C7066" s="718"/>
      <c r="D7066" s="718"/>
      <c r="E7066" s="718"/>
      <c r="F7066" s="720"/>
      <c r="G7066" s="718"/>
      <c r="H7066" s="718"/>
      <c r="I7066" s="721"/>
      <c r="J7066" s="1001"/>
      <c r="K7066" s="1002"/>
      <c r="L7066" s="1978" t="s">
        <v>0</v>
      </c>
      <c r="M7066" s="1978"/>
      <c r="N7066" s="1978"/>
      <c r="O7066" s="1978"/>
      <c r="P7066" s="549"/>
    </row>
    <row r="7067" spans="1:19" s="497" customFormat="1" ht="17.399999999999999">
      <c r="A7067" s="718" t="s">
        <v>1</v>
      </c>
      <c r="B7067" s="718"/>
      <c r="C7067" s="718"/>
      <c r="D7067" s="719" t="s">
        <v>2</v>
      </c>
      <c r="E7067" s="719"/>
      <c r="F7067" s="720"/>
      <c r="G7067" s="720"/>
      <c r="H7067" s="720"/>
      <c r="I7067" s="721"/>
      <c r="J7067" s="1178"/>
      <c r="K7067" s="1002" t="s">
        <v>3</v>
      </c>
      <c r="L7067" s="1178"/>
      <c r="M7067" s="718"/>
      <c r="N7067" s="720"/>
      <c r="O7067" s="718"/>
      <c r="P7067" s="549"/>
    </row>
    <row r="7068" spans="1:19" s="497" customFormat="1" ht="52.2">
      <c r="A7068" s="640" t="s">
        <v>4</v>
      </c>
      <c r="B7068" s="640" t="s">
        <v>5</v>
      </c>
      <c r="C7068" s="640" t="s">
        <v>6</v>
      </c>
      <c r="D7068" s="640" t="s">
        <v>7</v>
      </c>
      <c r="E7068" s="640" t="s">
        <v>8</v>
      </c>
      <c r="F7068" s="641" t="s">
        <v>9</v>
      </c>
      <c r="G7068" s="642" t="s">
        <v>10</v>
      </c>
      <c r="H7068" s="642" t="s">
        <v>11</v>
      </c>
      <c r="I7068" s="643" t="s">
        <v>12</v>
      </c>
      <c r="J7068" s="644" t="s">
        <v>13</v>
      </c>
      <c r="K7068" s="645" t="s">
        <v>14</v>
      </c>
      <c r="L7068" s="646" t="s">
        <v>15</v>
      </c>
      <c r="M7068" s="641" t="s">
        <v>16</v>
      </c>
      <c r="N7068" s="641" t="s">
        <v>17</v>
      </c>
      <c r="O7068" s="642" t="s">
        <v>18</v>
      </c>
      <c r="P7068" s="641" t="s">
        <v>192</v>
      </c>
    </row>
    <row r="7069" spans="1:19" s="497" customFormat="1" ht="17.399999999999999">
      <c r="A7069" s="547" t="s">
        <v>445</v>
      </c>
      <c r="B7069" s="547" t="s">
        <v>620</v>
      </c>
      <c r="C7069" s="547" t="s">
        <v>19</v>
      </c>
      <c r="D7069" s="547" t="s">
        <v>20</v>
      </c>
      <c r="E7069" s="780" t="s">
        <v>47</v>
      </c>
      <c r="F7069" s="754">
        <v>9</v>
      </c>
      <c r="G7069" s="549" t="s">
        <v>21</v>
      </c>
      <c r="H7069" s="599" t="s">
        <v>713</v>
      </c>
      <c r="I7069" s="558">
        <v>4.6500000000000004</v>
      </c>
      <c r="J7069" s="567">
        <v>10</v>
      </c>
      <c r="K7069" s="648">
        <v>18</v>
      </c>
      <c r="L7069" s="725">
        <f>(I7069*J7069*K7069/1000)</f>
        <v>0.83699999999999997</v>
      </c>
      <c r="M7069" s="549"/>
      <c r="N7069" s="549"/>
      <c r="O7069" s="549"/>
      <c r="P7069" s="2013" t="s">
        <v>787</v>
      </c>
      <c r="Q7069" s="497">
        <v>12</v>
      </c>
      <c r="R7069" s="497">
        <f>J7069*Q7069*I7069/1000</f>
        <v>0.55800000000000005</v>
      </c>
      <c r="S7069" s="497" t="s">
        <v>848</v>
      </c>
    </row>
    <row r="7070" spans="1:19" s="497" customFormat="1" ht="17.399999999999999">
      <c r="A7070" s="547"/>
      <c r="B7070" s="754" t="s">
        <v>621</v>
      </c>
      <c r="C7070" s="547"/>
      <c r="D7070" s="547"/>
      <c r="E7070" s="547"/>
      <c r="F7070" s="550"/>
      <c r="G7070" s="549" t="s">
        <v>21</v>
      </c>
      <c r="H7070" s="549" t="s">
        <v>713</v>
      </c>
      <c r="I7070" s="558">
        <v>4.6500000000000004</v>
      </c>
      <c r="J7070" s="567">
        <v>10.3</v>
      </c>
      <c r="K7070" s="648">
        <v>154</v>
      </c>
      <c r="L7070" s="725">
        <f>(I7070*J7070*K7070/1000)</f>
        <v>7.3758300000000014</v>
      </c>
      <c r="M7070" s="549"/>
      <c r="N7070" s="549"/>
      <c r="O7070" s="549"/>
      <c r="P7070" s="2014"/>
      <c r="Q7070" s="497">
        <f>52+6</f>
        <v>58</v>
      </c>
      <c r="R7070" s="497">
        <f t="shared" ref="R7070:R7073" si="1496">J7070*Q7070*I7070/1000</f>
        <v>2.7779100000000008</v>
      </c>
      <c r="S7070" s="497" t="s">
        <v>917</v>
      </c>
    </row>
    <row r="7071" spans="1:19" s="497" customFormat="1" ht="17.399999999999999">
      <c r="A7071" s="549"/>
      <c r="B7071" s="549"/>
      <c r="C7071" s="549"/>
      <c r="D7071" s="549"/>
      <c r="E7071" s="549"/>
      <c r="F7071" s="549"/>
      <c r="G7071" s="549" t="s">
        <v>21</v>
      </c>
      <c r="H7071" s="549" t="s">
        <v>713</v>
      </c>
      <c r="I7071" s="558">
        <v>4.6500000000000004</v>
      </c>
      <c r="J7071" s="567">
        <v>11</v>
      </c>
      <c r="K7071" s="648">
        <v>144</v>
      </c>
      <c r="L7071" s="725">
        <f>(I7071*J7071*K7071/1000)</f>
        <v>7.3656000000000006</v>
      </c>
      <c r="M7071" s="549"/>
      <c r="N7071" s="549"/>
      <c r="O7071" s="549"/>
      <c r="P7071" s="2014"/>
      <c r="Q7071" s="497">
        <f>52+41</f>
        <v>93</v>
      </c>
      <c r="R7071" s="497">
        <f t="shared" si="1496"/>
        <v>4.7569500000000007</v>
      </c>
    </row>
    <row r="7072" spans="1:19" s="497" customFormat="1" ht="17.399999999999999">
      <c r="A7072" s="549"/>
      <c r="B7072" s="549"/>
      <c r="C7072" s="549"/>
      <c r="D7072" s="549"/>
      <c r="E7072" s="549"/>
      <c r="F7072" s="549"/>
      <c r="G7072" s="549" t="s">
        <v>21</v>
      </c>
      <c r="H7072" s="549" t="s">
        <v>713</v>
      </c>
      <c r="I7072" s="558">
        <v>4.6500000000000004</v>
      </c>
      <c r="J7072" s="567">
        <v>11.5</v>
      </c>
      <c r="K7072" s="648">
        <v>126</v>
      </c>
      <c r="L7072" s="725">
        <f>(I7072*J7072*K7072/1000)</f>
        <v>6.7378500000000008</v>
      </c>
      <c r="M7072" s="549"/>
      <c r="N7072" s="549"/>
      <c r="O7072" s="549"/>
      <c r="P7072" s="2014"/>
      <c r="Q7072" s="497">
        <v>27</v>
      </c>
      <c r="R7072" s="497">
        <f t="shared" si="1496"/>
        <v>1.4438250000000001</v>
      </c>
    </row>
    <row r="7073" spans="1:19" s="497" customFormat="1" ht="17.399999999999999">
      <c r="A7073" s="549"/>
      <c r="B7073" s="549"/>
      <c r="C7073" s="549"/>
      <c r="D7073" s="549"/>
      <c r="E7073" s="549"/>
      <c r="F7073" s="549"/>
      <c r="G7073" s="549" t="s">
        <v>21</v>
      </c>
      <c r="H7073" s="549" t="s">
        <v>713</v>
      </c>
      <c r="I7073" s="558">
        <v>4.6500000000000004</v>
      </c>
      <c r="J7073" s="567">
        <v>12</v>
      </c>
      <c r="K7073" s="648">
        <v>18</v>
      </c>
      <c r="L7073" s="725">
        <f>(I7073*J7073*K7073/1000)</f>
        <v>1.0044000000000002</v>
      </c>
      <c r="M7073" s="549"/>
      <c r="N7073" s="549"/>
      <c r="O7073" s="549"/>
      <c r="P7073" s="2014"/>
      <c r="Q7073" s="497">
        <v>17</v>
      </c>
      <c r="R7073" s="497">
        <f t="shared" si="1496"/>
        <v>0.9486</v>
      </c>
    </row>
    <row r="7074" spans="1:19" s="497" customFormat="1" ht="17.399999999999999">
      <c r="A7074" s="549"/>
      <c r="B7074" s="549"/>
      <c r="C7074" s="549"/>
      <c r="D7074" s="549"/>
      <c r="E7074" s="549"/>
      <c r="F7074" s="549"/>
      <c r="G7074" s="549"/>
      <c r="H7074" s="549"/>
      <c r="I7074" s="558"/>
      <c r="J7074" s="567"/>
      <c r="K7074" s="648">
        <f t="shared" ref="K7074" si="1497">SUM(K7069:K7073)</f>
        <v>460</v>
      </c>
      <c r="L7074" s="710">
        <f>SUM(L7069:L7073)</f>
        <v>23.320680000000003</v>
      </c>
      <c r="M7074" s="549"/>
      <c r="N7074" s="549"/>
      <c r="O7074" s="549"/>
      <c r="P7074" s="2014"/>
      <c r="Q7074" s="648">
        <f t="shared" ref="Q7074" si="1498">SUM(Q7069:Q7073)</f>
        <v>207</v>
      </c>
      <c r="R7074" s="710">
        <f>SUM(R7069:R7073)</f>
        <v>10.485285000000003</v>
      </c>
    </row>
    <row r="7075" spans="1:19" s="497" customFormat="1" ht="17.399999999999999">
      <c r="A7075" s="549"/>
      <c r="B7075" s="549"/>
      <c r="C7075" s="549"/>
      <c r="D7075" s="549"/>
      <c r="E7075" s="549"/>
      <c r="F7075" s="549"/>
      <c r="G7075" s="549"/>
      <c r="H7075" s="549"/>
      <c r="I7075" s="560"/>
      <c r="J7075" s="549"/>
      <c r="K7075" s="561"/>
      <c r="L7075" s="728"/>
      <c r="M7075" s="549"/>
      <c r="N7075" s="549"/>
      <c r="O7075" s="549"/>
      <c r="P7075" s="2014"/>
    </row>
    <row r="7076" spans="1:19" s="497" customFormat="1" ht="17.399999999999999">
      <c r="A7076" s="547" t="s">
        <v>541</v>
      </c>
      <c r="B7076" s="979" t="s">
        <v>622</v>
      </c>
      <c r="C7076" s="547" t="s">
        <v>19</v>
      </c>
      <c r="D7076" s="547" t="s">
        <v>20</v>
      </c>
      <c r="E7076" s="780" t="s">
        <v>47</v>
      </c>
      <c r="F7076" s="754">
        <v>9</v>
      </c>
      <c r="G7076" s="549" t="s">
        <v>21</v>
      </c>
      <c r="H7076" s="599" t="s">
        <v>713</v>
      </c>
      <c r="I7076" s="558">
        <v>4.6500000000000004</v>
      </c>
      <c r="J7076" s="567">
        <v>11</v>
      </c>
      <c r="K7076" s="648">
        <v>122</v>
      </c>
      <c r="L7076" s="725">
        <f>(I7076*J7076*K7076/1000)</f>
        <v>6.2403000000000013</v>
      </c>
      <c r="M7076" s="549"/>
      <c r="N7076" s="549"/>
      <c r="O7076" s="549"/>
      <c r="P7076" s="2014"/>
      <c r="Q7076" s="497" t="s">
        <v>918</v>
      </c>
    </row>
    <row r="7077" spans="1:19" s="497" customFormat="1" ht="17.399999999999999">
      <c r="A7077" s="547"/>
      <c r="B7077" s="754" t="s">
        <v>621</v>
      </c>
      <c r="C7077" s="547"/>
      <c r="D7077" s="547"/>
      <c r="E7077" s="547"/>
      <c r="F7077" s="550"/>
      <c r="G7077" s="549"/>
      <c r="H7077" s="549"/>
      <c r="I7077" s="558"/>
      <c r="J7077" s="567"/>
      <c r="K7077" s="648">
        <f t="shared" ref="K7077" si="1499">SUM(K7076)</f>
        <v>122</v>
      </c>
      <c r="L7077" s="710">
        <f>SUM(L7076)</f>
        <v>6.2403000000000013</v>
      </c>
      <c r="M7077" s="549"/>
      <c r="N7077" s="549"/>
      <c r="O7077" s="549"/>
      <c r="P7077" s="2015"/>
    </row>
    <row r="7078" spans="1:19" s="497" customFormat="1" ht="17.399999999999999">
      <c r="A7078" s="549"/>
      <c r="B7078" s="549"/>
      <c r="C7078" s="549"/>
      <c r="D7078" s="549"/>
      <c r="E7078" s="549"/>
      <c r="F7078" s="549"/>
      <c r="G7078" s="549"/>
      <c r="H7078" s="549"/>
      <c r="I7078" s="560"/>
      <c r="J7078" s="549"/>
      <c r="K7078" s="561"/>
      <c r="L7078" s="710">
        <f>+L7077+L7074</f>
        <v>29.560980000000004</v>
      </c>
      <c r="M7078" s="549"/>
      <c r="N7078" s="549"/>
      <c r="O7078" s="549"/>
      <c r="P7078" s="549"/>
    </row>
    <row r="7079" spans="1:19" s="497" customFormat="1" ht="17.399999999999999">
      <c r="A7079" s="549"/>
      <c r="B7079" s="549"/>
      <c r="C7079" s="549"/>
      <c r="D7079" s="549"/>
      <c r="E7079" s="549"/>
      <c r="F7079" s="549"/>
      <c r="G7079" s="549"/>
      <c r="H7079" s="549"/>
      <c r="I7079" s="560"/>
      <c r="J7079" s="549"/>
      <c r="K7079" s="561"/>
      <c r="L7079" s="710"/>
      <c r="M7079" s="549"/>
      <c r="N7079" s="549"/>
      <c r="O7079" s="549"/>
      <c r="P7079" s="549"/>
    </row>
    <row r="7080" spans="1:19" s="497" customFormat="1" ht="17.399999999999999">
      <c r="A7080" s="549"/>
      <c r="B7080" s="549"/>
      <c r="C7080" s="549"/>
      <c r="D7080" s="549"/>
      <c r="E7080" s="549"/>
      <c r="F7080" s="549"/>
      <c r="G7080" s="549"/>
      <c r="H7080" s="549"/>
      <c r="I7080" s="560"/>
      <c r="J7080" s="549"/>
      <c r="K7080" s="561"/>
      <c r="L7080" s="728"/>
      <c r="M7080" s="549"/>
      <c r="N7080" s="549"/>
      <c r="O7080" s="549"/>
      <c r="P7080" s="549"/>
    </row>
    <row r="7081" spans="1:19" s="497" customFormat="1" ht="17.399999999999999">
      <c r="A7081" s="547" t="s">
        <v>683</v>
      </c>
      <c r="B7081" s="852" t="s">
        <v>581</v>
      </c>
      <c r="C7081" s="547" t="s">
        <v>19</v>
      </c>
      <c r="D7081" s="813" t="s">
        <v>20</v>
      </c>
      <c r="E7081" s="547" t="s">
        <v>359</v>
      </c>
      <c r="F7081" s="1182">
        <v>9</v>
      </c>
      <c r="G7081" s="549" t="s">
        <v>21</v>
      </c>
      <c r="H7081" s="599" t="s">
        <v>713</v>
      </c>
      <c r="I7081" s="558">
        <v>4.6500000000000004</v>
      </c>
      <c r="J7081" s="567">
        <v>12</v>
      </c>
      <c r="K7081" s="648">
        <v>106</v>
      </c>
      <c r="L7081" s="725">
        <f>(I7081*J7081*K7081/1000)</f>
        <v>5.9148000000000005</v>
      </c>
      <c r="M7081" s="549"/>
      <c r="N7081" s="549"/>
      <c r="O7081" s="549"/>
      <c r="P7081" s="549" t="s">
        <v>788</v>
      </c>
      <c r="Q7081" s="497">
        <v>53</v>
      </c>
      <c r="R7081" s="497">
        <f t="shared" ref="R7081" si="1500">J7081*Q7081*I7081/1000</f>
        <v>2.9574000000000003</v>
      </c>
      <c r="S7081" s="497" t="s">
        <v>847</v>
      </c>
    </row>
    <row r="7082" spans="1:19" s="497" customFormat="1" ht="17.399999999999999">
      <c r="A7082" s="549"/>
      <c r="B7082" s="560" t="s">
        <v>277</v>
      </c>
      <c r="C7082" s="549"/>
      <c r="D7082" s="549"/>
      <c r="E7082" s="549"/>
      <c r="F7082" s="549"/>
      <c r="G7082" s="549"/>
      <c r="H7082" s="549"/>
      <c r="I7082" s="558"/>
      <c r="J7082" s="567"/>
      <c r="K7082" s="648">
        <f t="shared" ref="K7082" si="1501">SUM(K7081)</f>
        <v>106</v>
      </c>
      <c r="L7082" s="710">
        <f>SUM(L7081)</f>
        <v>5.9148000000000005</v>
      </c>
      <c r="M7082" s="549"/>
      <c r="N7082" s="549"/>
      <c r="O7082" s="549"/>
      <c r="P7082" s="549"/>
      <c r="Q7082" s="648">
        <f t="shared" ref="Q7082" si="1502">SUM(Q7081)</f>
        <v>53</v>
      </c>
      <c r="R7082" s="710">
        <f>SUM(R7081)</f>
        <v>2.9574000000000003</v>
      </c>
    </row>
    <row r="7083" spans="1:19" s="497" customFormat="1" ht="17.399999999999999">
      <c r="A7083" s="549"/>
      <c r="B7083" s="560"/>
      <c r="C7083" s="549"/>
      <c r="D7083" s="549"/>
      <c r="E7083" s="549"/>
      <c r="F7083" s="549"/>
      <c r="G7083" s="549"/>
      <c r="H7083" s="549"/>
      <c r="I7083" s="558"/>
      <c r="J7083" s="567"/>
      <c r="K7083" s="648"/>
      <c r="L7083" s="710"/>
      <c r="M7083" s="549"/>
      <c r="N7083" s="549"/>
      <c r="O7083" s="549"/>
      <c r="P7083" s="549"/>
    </row>
    <row r="7084" spans="1:19" s="497" customFormat="1" ht="17.399999999999999">
      <c r="A7084" s="549"/>
      <c r="B7084" s="549"/>
      <c r="C7084" s="549"/>
      <c r="D7084" s="549"/>
      <c r="E7084" s="549"/>
      <c r="F7084" s="549"/>
      <c r="G7084" s="549"/>
      <c r="H7084" s="549"/>
      <c r="I7084" s="560"/>
      <c r="J7084" s="549"/>
      <c r="K7084" s="561"/>
      <c r="L7084" s="728"/>
      <c r="M7084" s="549"/>
      <c r="N7084" s="549"/>
      <c r="O7084" s="549"/>
      <c r="P7084" s="549"/>
    </row>
    <row r="7085" spans="1:19" s="497" customFormat="1" ht="17.399999999999999">
      <c r="A7085" s="547" t="s">
        <v>683</v>
      </c>
      <c r="B7085" s="852" t="s">
        <v>581</v>
      </c>
      <c r="C7085" s="547" t="s">
        <v>19</v>
      </c>
      <c r="D7085" s="813" t="s">
        <v>60</v>
      </c>
      <c r="E7085" s="547" t="s">
        <v>270</v>
      </c>
      <c r="F7085" s="1182">
        <v>9</v>
      </c>
      <c r="G7085" s="549" t="s">
        <v>61</v>
      </c>
      <c r="H7085" s="599" t="s">
        <v>713</v>
      </c>
      <c r="I7085" s="558">
        <v>4.6500000000000004</v>
      </c>
      <c r="J7085" s="567">
        <v>12</v>
      </c>
      <c r="K7085" s="648">
        <v>42</v>
      </c>
      <c r="L7085" s="725">
        <f>(I7085*J7085*K7085/1000)</f>
        <v>2.3436000000000003</v>
      </c>
      <c r="M7085" s="648">
        <v>42</v>
      </c>
      <c r="N7085" s="567">
        <f>J7085*M7085*I7085/1000</f>
        <v>2.3436000000000003</v>
      </c>
      <c r="O7085" s="549"/>
      <c r="P7085" s="549"/>
      <c r="S7085" s="497" t="s">
        <v>847</v>
      </c>
    </row>
    <row r="7086" spans="1:19" s="497" customFormat="1" ht="17.399999999999999">
      <c r="A7086" s="549"/>
      <c r="B7086" s="560" t="s">
        <v>277</v>
      </c>
      <c r="C7086" s="549"/>
      <c r="D7086" s="549"/>
      <c r="E7086" s="549"/>
      <c r="F7086" s="549"/>
      <c r="G7086" s="549"/>
      <c r="H7086" s="549"/>
      <c r="I7086" s="558"/>
      <c r="J7086" s="567"/>
      <c r="K7086" s="648">
        <f t="shared" ref="K7086:M7086" si="1503">SUM(K7085)</f>
        <v>42</v>
      </c>
      <c r="L7086" s="710">
        <f>SUM(L7085)</f>
        <v>2.3436000000000003</v>
      </c>
      <c r="M7086" s="648">
        <f t="shared" si="1503"/>
        <v>42</v>
      </c>
      <c r="N7086" s="710">
        <f>SUM(N7085)</f>
        <v>2.3436000000000003</v>
      </c>
      <c r="O7086" s="549"/>
      <c r="P7086" s="549"/>
    </row>
    <row r="7087" spans="1:19" s="497" customFormat="1" ht="17.399999999999999">
      <c r="A7087" s="549"/>
      <c r="B7087" s="549"/>
      <c r="C7087" s="549"/>
      <c r="D7087" s="549"/>
      <c r="E7087" s="549"/>
      <c r="F7087" s="549"/>
      <c r="G7087" s="549"/>
      <c r="H7087" s="549"/>
      <c r="I7087" s="558"/>
      <c r="J7087" s="567"/>
      <c r="K7087" s="648"/>
      <c r="L7087" s="710"/>
      <c r="M7087" s="549"/>
      <c r="N7087" s="549"/>
      <c r="O7087" s="549"/>
      <c r="P7087" s="549"/>
    </row>
    <row r="7088" spans="1:19" s="497" customFormat="1" ht="17.399999999999999">
      <c r="A7088" s="549"/>
      <c r="B7088" s="549"/>
      <c r="C7088" s="549"/>
      <c r="D7088" s="549"/>
      <c r="E7088" s="549"/>
      <c r="F7088" s="549"/>
      <c r="G7088" s="549"/>
      <c r="H7088" s="549"/>
      <c r="I7088" s="558"/>
      <c r="J7088" s="567"/>
      <c r="K7088" s="648"/>
      <c r="L7088" s="710"/>
      <c r="M7088" s="549"/>
      <c r="N7088" s="549"/>
      <c r="O7088" s="549"/>
      <c r="P7088" s="549"/>
    </row>
    <row r="7089" spans="1:19" s="497" customFormat="1" ht="17.399999999999999">
      <c r="A7089" s="547" t="s">
        <v>495</v>
      </c>
      <c r="B7089" s="547" t="s">
        <v>714</v>
      </c>
      <c r="C7089" s="547" t="s">
        <v>19</v>
      </c>
      <c r="D7089" s="813" t="s">
        <v>60</v>
      </c>
      <c r="E7089" s="547" t="s">
        <v>270</v>
      </c>
      <c r="F7089" s="1182">
        <v>9</v>
      </c>
      <c r="G7089" s="549" t="s">
        <v>61</v>
      </c>
      <c r="H7089" s="599" t="s">
        <v>70</v>
      </c>
      <c r="I7089" s="558">
        <v>5.77</v>
      </c>
      <c r="J7089" s="567">
        <v>12</v>
      </c>
      <c r="K7089" s="648">
        <v>57</v>
      </c>
      <c r="L7089" s="725">
        <f>(I7089*J7089*K7089/1000)</f>
        <v>3.9466799999999997</v>
      </c>
      <c r="M7089" s="549"/>
      <c r="N7089" s="549"/>
      <c r="O7089" s="549"/>
      <c r="P7089" s="2013" t="s">
        <v>789</v>
      </c>
      <c r="Q7089" s="497" t="s">
        <v>847</v>
      </c>
    </row>
    <row r="7090" spans="1:19" s="497" customFormat="1" ht="17.399999999999999">
      <c r="A7090" s="549"/>
      <c r="B7090" s="549" t="s">
        <v>333</v>
      </c>
      <c r="C7090" s="549"/>
      <c r="D7090" s="549"/>
      <c r="E7090" s="549"/>
      <c r="F7090" s="549"/>
      <c r="G7090" s="549" t="s">
        <v>61</v>
      </c>
      <c r="H7090" s="549" t="s">
        <v>70</v>
      </c>
      <c r="I7090" s="558">
        <v>5.77</v>
      </c>
      <c r="J7090" s="567">
        <v>11.5</v>
      </c>
      <c r="K7090" s="648">
        <v>53</v>
      </c>
      <c r="L7090" s="725">
        <f>(I7090*J7090*K7090/1000)</f>
        <v>3.5168149999999998</v>
      </c>
      <c r="M7090" s="549"/>
      <c r="N7090" s="549"/>
      <c r="O7090" s="549"/>
      <c r="P7090" s="2014"/>
    </row>
    <row r="7091" spans="1:19" s="497" customFormat="1" ht="17.399999999999999">
      <c r="A7091" s="549"/>
      <c r="B7091" s="549"/>
      <c r="C7091" s="549"/>
      <c r="D7091" s="549"/>
      <c r="E7091" s="549"/>
      <c r="F7091" s="549"/>
      <c r="G7091" s="549" t="s">
        <v>61</v>
      </c>
      <c r="H7091" s="549" t="s">
        <v>70</v>
      </c>
      <c r="I7091" s="558">
        <v>5.77</v>
      </c>
      <c r="J7091" s="567">
        <v>10</v>
      </c>
      <c r="K7091" s="648">
        <v>105</v>
      </c>
      <c r="L7091" s="725">
        <f>(I7091*J7091*K7091/1000)</f>
        <v>6.0585000000000004</v>
      </c>
      <c r="M7091" s="549"/>
      <c r="N7091" s="549"/>
      <c r="O7091" s="549"/>
      <c r="P7091" s="2014"/>
    </row>
    <row r="7092" spans="1:19" s="497" customFormat="1" ht="17.399999999999999">
      <c r="A7092" s="549"/>
      <c r="B7092" s="549"/>
      <c r="C7092" s="549"/>
      <c r="D7092" s="549"/>
      <c r="E7092" s="549"/>
      <c r="F7092" s="549"/>
      <c r="G7092" s="549"/>
      <c r="H7092" s="549"/>
      <c r="I7092" s="558"/>
      <c r="J7092" s="567"/>
      <c r="K7092" s="648">
        <f>SUM(K7089:K7091)</f>
        <v>215</v>
      </c>
      <c r="L7092" s="710">
        <f>SUM(L7089:L7091)</f>
        <v>13.521995</v>
      </c>
      <c r="M7092" s="549"/>
      <c r="N7092" s="549"/>
      <c r="O7092" s="549"/>
      <c r="P7092" s="2015"/>
    </row>
    <row r="7093" spans="1:19" s="497" customFormat="1" ht="17.399999999999999">
      <c r="A7093" s="549"/>
      <c r="B7093" s="549"/>
      <c r="C7093" s="549"/>
      <c r="D7093" s="549"/>
      <c r="E7093" s="549"/>
      <c r="F7093" s="549"/>
      <c r="G7093" s="549"/>
      <c r="H7093" s="549"/>
      <c r="I7093" s="560"/>
      <c r="J7093" s="549"/>
      <c r="K7093" s="561"/>
      <c r="L7093" s="728"/>
      <c r="M7093" s="549"/>
      <c r="N7093" s="549"/>
      <c r="O7093" s="549"/>
      <c r="P7093" s="549"/>
    </row>
    <row r="7094" spans="1:19" s="497" customFormat="1" ht="17.399999999999999">
      <c r="A7094" s="547" t="s">
        <v>715</v>
      </c>
      <c r="B7094" s="547" t="s">
        <v>748</v>
      </c>
      <c r="C7094" s="547" t="s">
        <v>19</v>
      </c>
      <c r="D7094" s="813" t="s">
        <v>60</v>
      </c>
      <c r="E7094" s="547" t="s">
        <v>716</v>
      </c>
      <c r="F7094" s="1182">
        <v>9</v>
      </c>
      <c r="G7094" s="549" t="s">
        <v>61</v>
      </c>
      <c r="H7094" s="599" t="s">
        <v>70</v>
      </c>
      <c r="I7094" s="558">
        <v>5.76</v>
      </c>
      <c r="J7094" s="647">
        <v>12</v>
      </c>
      <c r="K7094" s="648">
        <v>28</v>
      </c>
      <c r="L7094" s="725">
        <f t="shared" ref="L7094:L7096" si="1504">(I7094*J7094*K7094/1000)</f>
        <v>1.9353600000000002</v>
      </c>
      <c r="M7094" s="549"/>
      <c r="N7094" s="549"/>
      <c r="O7094" s="549"/>
      <c r="P7094" s="2013" t="s">
        <v>790</v>
      </c>
      <c r="Q7094" s="497" t="s">
        <v>847</v>
      </c>
    </row>
    <row r="7095" spans="1:19" s="497" customFormat="1" ht="17.399999999999999">
      <c r="A7095" s="549"/>
      <c r="B7095" s="549" t="s">
        <v>88</v>
      </c>
      <c r="C7095" s="549"/>
      <c r="D7095" s="549"/>
      <c r="E7095" s="549"/>
      <c r="F7095" s="549"/>
      <c r="G7095" s="549" t="s">
        <v>61</v>
      </c>
      <c r="H7095" s="549" t="s">
        <v>70</v>
      </c>
      <c r="I7095" s="558">
        <v>5.76</v>
      </c>
      <c r="J7095" s="647">
        <v>9.5</v>
      </c>
      <c r="K7095" s="648">
        <v>78</v>
      </c>
      <c r="L7095" s="725">
        <f t="shared" si="1504"/>
        <v>4.26816</v>
      </c>
      <c r="M7095" s="549"/>
      <c r="N7095" s="549"/>
      <c r="O7095" s="549"/>
      <c r="P7095" s="2014"/>
    </row>
    <row r="7096" spans="1:19" s="497" customFormat="1" ht="17.399999999999999">
      <c r="A7096" s="549"/>
      <c r="B7096" s="549"/>
      <c r="C7096" s="549"/>
      <c r="D7096" s="549"/>
      <c r="E7096" s="549"/>
      <c r="F7096" s="549"/>
      <c r="G7096" s="549" t="s">
        <v>61</v>
      </c>
      <c r="H7096" s="549" t="s">
        <v>70</v>
      </c>
      <c r="I7096" s="558">
        <v>5.76</v>
      </c>
      <c r="J7096" s="647">
        <v>9</v>
      </c>
      <c r="K7096" s="648">
        <v>108</v>
      </c>
      <c r="L7096" s="725">
        <f t="shared" si="1504"/>
        <v>5.5987199999999993</v>
      </c>
      <c r="M7096" s="549"/>
      <c r="N7096" s="549"/>
      <c r="O7096" s="549"/>
      <c r="P7096" s="2014"/>
    </row>
    <row r="7097" spans="1:19" s="497" customFormat="1" ht="17.399999999999999">
      <c r="A7097" s="549"/>
      <c r="B7097" s="549"/>
      <c r="C7097" s="549"/>
      <c r="D7097" s="549"/>
      <c r="E7097" s="549"/>
      <c r="F7097" s="549"/>
      <c r="G7097" s="549"/>
      <c r="H7097" s="549"/>
      <c r="I7097" s="558"/>
      <c r="J7097" s="567"/>
      <c r="K7097" s="648">
        <f>SUM(K7094:K7096)</f>
        <v>214</v>
      </c>
      <c r="L7097" s="710">
        <f>SUM(L7094:L7096)</f>
        <v>11.802239999999999</v>
      </c>
      <c r="M7097" s="549"/>
      <c r="N7097" s="549"/>
      <c r="O7097" s="549"/>
      <c r="P7097" s="2015"/>
    </row>
    <row r="7098" spans="1:19" s="497" customFormat="1" ht="17.399999999999999">
      <c r="A7098" s="549"/>
      <c r="B7098" s="549"/>
      <c r="C7098" s="549"/>
      <c r="D7098" s="549"/>
      <c r="E7098" s="549"/>
      <c r="F7098" s="549"/>
      <c r="G7098" s="549"/>
      <c r="H7098" s="549"/>
      <c r="I7098" s="560"/>
      <c r="J7098" s="549"/>
      <c r="K7098" s="561"/>
      <c r="L7098" s="710">
        <f>SUM(L7089:L7097)/2</f>
        <v>25.324234999999998</v>
      </c>
      <c r="M7098" s="549"/>
      <c r="N7098" s="549"/>
      <c r="O7098" s="549"/>
      <c r="P7098" s="549"/>
    </row>
    <row r="7099" spans="1:19" s="497" customFormat="1" ht="17.399999999999999">
      <c r="A7099" s="549"/>
      <c r="B7099" s="549"/>
      <c r="C7099" s="549"/>
      <c r="D7099" s="549"/>
      <c r="E7099" s="549"/>
      <c r="F7099" s="549"/>
      <c r="G7099" s="549"/>
      <c r="H7099" s="549"/>
      <c r="I7099" s="560"/>
      <c r="J7099" s="549"/>
      <c r="K7099" s="561"/>
      <c r="L7099" s="710"/>
      <c r="M7099" s="549"/>
      <c r="N7099" s="549"/>
      <c r="O7099" s="549"/>
      <c r="P7099" s="549"/>
    </row>
    <row r="7100" spans="1:19" s="497" customFormat="1" ht="17.399999999999999">
      <c r="A7100" s="549"/>
      <c r="B7100" s="549"/>
      <c r="C7100" s="549"/>
      <c r="D7100" s="549"/>
      <c r="E7100" s="549"/>
      <c r="F7100" s="549"/>
      <c r="G7100" s="549"/>
      <c r="H7100" s="549"/>
      <c r="I7100" s="560"/>
      <c r="J7100" s="549"/>
      <c r="K7100" s="561"/>
      <c r="L7100" s="728"/>
      <c r="M7100" s="549"/>
      <c r="N7100" s="549"/>
      <c r="O7100" s="549"/>
      <c r="P7100" s="549"/>
    </row>
    <row r="7101" spans="1:19" s="497" customFormat="1" ht="17.399999999999999">
      <c r="A7101" s="547" t="s">
        <v>495</v>
      </c>
      <c r="B7101" s="547" t="s">
        <v>714</v>
      </c>
      <c r="C7101" s="547" t="s">
        <v>19</v>
      </c>
      <c r="D7101" s="813" t="s">
        <v>60</v>
      </c>
      <c r="E7101" s="547" t="s">
        <v>270</v>
      </c>
      <c r="F7101" s="1182">
        <v>9</v>
      </c>
      <c r="G7101" s="549" t="s">
        <v>61</v>
      </c>
      <c r="H7101" s="599" t="s">
        <v>69</v>
      </c>
      <c r="I7101" s="558">
        <v>6.86</v>
      </c>
      <c r="J7101" s="567">
        <v>12</v>
      </c>
      <c r="K7101" s="648">
        <v>35</v>
      </c>
      <c r="L7101" s="725">
        <f>(I7101*J7101*K7101/1000)</f>
        <v>2.8812000000000002</v>
      </c>
      <c r="M7101" s="549"/>
      <c r="N7101" s="549"/>
      <c r="O7101" s="549"/>
      <c r="P7101" s="2013" t="s">
        <v>791</v>
      </c>
      <c r="Q7101" s="497">
        <v>35</v>
      </c>
      <c r="R7101" s="126">
        <f>J7101*Q7101*I7101/1000</f>
        <v>2.8812000000000002</v>
      </c>
      <c r="S7101" s="497" t="s">
        <v>847</v>
      </c>
    </row>
    <row r="7102" spans="1:19" s="497" customFormat="1" ht="17.399999999999999">
      <c r="A7102" s="549"/>
      <c r="B7102" s="549" t="s">
        <v>333</v>
      </c>
      <c r="C7102" s="549"/>
      <c r="D7102" s="549"/>
      <c r="E7102" s="549"/>
      <c r="F7102" s="549"/>
      <c r="G7102" s="549" t="s">
        <v>61</v>
      </c>
      <c r="H7102" s="549" t="s">
        <v>69</v>
      </c>
      <c r="I7102" s="558">
        <v>6.86</v>
      </c>
      <c r="J7102" s="567">
        <v>10</v>
      </c>
      <c r="K7102" s="648">
        <v>50</v>
      </c>
      <c r="L7102" s="725">
        <f>(I7102*J7102*K7102/1000)</f>
        <v>3.4300000000000006</v>
      </c>
      <c r="M7102" s="549"/>
      <c r="N7102" s="549"/>
      <c r="O7102" s="549"/>
      <c r="P7102" s="2014"/>
      <c r="Q7102" s="497">
        <f>25+25</f>
        <v>50</v>
      </c>
      <c r="R7102" s="126">
        <f t="shared" ref="R7102:R7104" si="1505">J7102*Q7102*I7102/1000</f>
        <v>3.43</v>
      </c>
    </row>
    <row r="7103" spans="1:19" s="497" customFormat="1" ht="17.399999999999999">
      <c r="A7103" s="549"/>
      <c r="B7103" s="549"/>
      <c r="C7103" s="549"/>
      <c r="D7103" s="549"/>
      <c r="E7103" s="549"/>
      <c r="F7103" s="549"/>
      <c r="G7103" s="549" t="s">
        <v>61</v>
      </c>
      <c r="H7103" s="549" t="s">
        <v>69</v>
      </c>
      <c r="I7103" s="558">
        <v>6.86</v>
      </c>
      <c r="J7103" s="567">
        <v>9.5</v>
      </c>
      <c r="K7103" s="648">
        <v>23</v>
      </c>
      <c r="L7103" s="725">
        <f>(I7103*J7103*K7103/1000)</f>
        <v>1.4989100000000002</v>
      </c>
      <c r="M7103" s="549"/>
      <c r="N7103" s="549"/>
      <c r="O7103" s="549"/>
      <c r="P7103" s="2014"/>
      <c r="Q7103" s="497">
        <v>13</v>
      </c>
      <c r="R7103" s="126">
        <f t="shared" si="1505"/>
        <v>0.84721000000000002</v>
      </c>
    </row>
    <row r="7104" spans="1:19" s="497" customFormat="1" ht="17.399999999999999">
      <c r="A7104" s="549"/>
      <c r="B7104" s="549"/>
      <c r="C7104" s="549"/>
      <c r="D7104" s="549"/>
      <c r="E7104" s="549"/>
      <c r="F7104" s="549"/>
      <c r="G7104" s="549" t="s">
        <v>61</v>
      </c>
      <c r="H7104" s="549" t="s">
        <v>69</v>
      </c>
      <c r="I7104" s="558">
        <v>6.86</v>
      </c>
      <c r="J7104" s="567">
        <v>7.25</v>
      </c>
      <c r="K7104" s="648">
        <v>37</v>
      </c>
      <c r="L7104" s="725">
        <f>(I7104*J7104*K7104/1000)</f>
        <v>1.840195</v>
      </c>
      <c r="M7104" s="549"/>
      <c r="N7104" s="549"/>
      <c r="O7104" s="549"/>
      <c r="P7104" s="2014"/>
      <c r="Q7104" s="497">
        <v>20</v>
      </c>
      <c r="R7104" s="126">
        <f t="shared" si="1505"/>
        <v>0.99470000000000003</v>
      </c>
    </row>
    <row r="7105" spans="1:19" s="497" customFormat="1" ht="17.399999999999999">
      <c r="A7105" s="549"/>
      <c r="B7105" s="549"/>
      <c r="C7105" s="549"/>
      <c r="D7105" s="549"/>
      <c r="E7105" s="549"/>
      <c r="F7105" s="549"/>
      <c r="G7105" s="549"/>
      <c r="H7105" s="549"/>
      <c r="I7105" s="560"/>
      <c r="J7105" s="549"/>
      <c r="K7105" s="564">
        <f>SUM(K7101:K7104)</f>
        <v>145</v>
      </c>
      <c r="L7105" s="710">
        <f>SUM(L7101:L7104)</f>
        <v>9.6503050000000012</v>
      </c>
      <c r="M7105" s="549"/>
      <c r="N7105" s="549"/>
      <c r="O7105" s="549"/>
      <c r="P7105" s="2014"/>
      <c r="Q7105" s="652">
        <f>SUM(Q7101:Q7104)</f>
        <v>118</v>
      </c>
      <c r="R7105" s="710">
        <f>SUM(R7101:R7104)</f>
        <v>8.1531099999999999</v>
      </c>
    </row>
    <row r="7106" spans="1:19" s="497" customFormat="1" ht="17.399999999999999">
      <c r="A7106" s="549"/>
      <c r="B7106" s="549"/>
      <c r="C7106" s="549"/>
      <c r="D7106" s="549"/>
      <c r="E7106" s="549"/>
      <c r="F7106" s="549"/>
      <c r="G7106" s="549"/>
      <c r="H7106" s="549"/>
      <c r="I7106" s="560"/>
      <c r="J7106" s="549"/>
      <c r="K7106" s="561"/>
      <c r="L7106" s="728"/>
      <c r="M7106" s="549"/>
      <c r="N7106" s="549"/>
      <c r="O7106" s="549"/>
      <c r="P7106" s="2014"/>
    </row>
    <row r="7107" spans="1:19" s="497" customFormat="1" ht="17.399999999999999">
      <c r="A7107" s="547" t="s">
        <v>717</v>
      </c>
      <c r="B7107" s="1169" t="s">
        <v>308</v>
      </c>
      <c r="C7107" s="547" t="s">
        <v>19</v>
      </c>
      <c r="D7107" s="813" t="s">
        <v>60</v>
      </c>
      <c r="E7107" s="547" t="s">
        <v>270</v>
      </c>
      <c r="F7107" s="1182">
        <v>9</v>
      </c>
      <c r="G7107" s="549" t="s">
        <v>61</v>
      </c>
      <c r="H7107" s="549" t="s">
        <v>69</v>
      </c>
      <c r="I7107" s="558">
        <v>6.86</v>
      </c>
      <c r="J7107" s="567">
        <v>12</v>
      </c>
      <c r="K7107" s="648">
        <f>102-10</f>
        <v>92</v>
      </c>
      <c r="L7107" s="725">
        <f>(I7107*J7107*K7107/1000)</f>
        <v>7.5734400000000006</v>
      </c>
      <c r="M7107" s="549"/>
      <c r="N7107" s="549"/>
      <c r="O7107" s="549"/>
      <c r="P7107" s="2014"/>
      <c r="Q7107" s="497">
        <f>29+33</f>
        <v>62</v>
      </c>
      <c r="R7107" s="126">
        <f>J7107*Q7107*I7107/1000</f>
        <v>5.1038399999999999</v>
      </c>
    </row>
    <row r="7108" spans="1:19" s="497" customFormat="1" ht="17.399999999999999">
      <c r="A7108" s="549"/>
      <c r="B7108" s="547" t="s">
        <v>718</v>
      </c>
      <c r="C7108" s="549"/>
      <c r="D7108" s="549"/>
      <c r="E7108" s="549"/>
      <c r="F7108" s="549"/>
      <c r="G7108" s="549"/>
      <c r="H7108" s="549"/>
      <c r="I7108" s="560"/>
      <c r="J7108" s="549"/>
      <c r="K7108" s="652">
        <f>SUM(K7107:K7107)</f>
        <v>92</v>
      </c>
      <c r="L7108" s="710">
        <f>SUM(L7107:L7107)</f>
        <v>7.5734400000000006</v>
      </c>
      <c r="M7108" s="549"/>
      <c r="N7108" s="549"/>
      <c r="O7108" s="549"/>
      <c r="P7108" s="2015"/>
      <c r="Q7108" s="652">
        <f>SUM(Q7107:Q7107)</f>
        <v>62</v>
      </c>
      <c r="R7108" s="710">
        <f>SUM(R7107:R7107)</f>
        <v>5.1038399999999999</v>
      </c>
    </row>
    <row r="7109" spans="1:19" s="497" customFormat="1" ht="17.399999999999999">
      <c r="A7109" s="549"/>
      <c r="B7109" s="549"/>
      <c r="C7109" s="549"/>
      <c r="D7109" s="549"/>
      <c r="E7109" s="549"/>
      <c r="F7109" s="549"/>
      <c r="G7109" s="549"/>
      <c r="H7109" s="549"/>
      <c r="I7109" s="560"/>
      <c r="J7109" s="549"/>
      <c r="K7109" s="564"/>
      <c r="L7109" s="710"/>
      <c r="M7109" s="549"/>
      <c r="N7109" s="549"/>
      <c r="O7109" s="549"/>
      <c r="P7109" s="549"/>
    </row>
    <row r="7110" spans="1:19" s="497" customFormat="1" ht="17.399999999999999">
      <c r="A7110" s="547" t="s">
        <v>715</v>
      </c>
      <c r="B7110" s="547" t="s">
        <v>748</v>
      </c>
      <c r="C7110" s="547" t="s">
        <v>19</v>
      </c>
      <c r="D7110" s="813" t="s">
        <v>60</v>
      </c>
      <c r="E7110" s="547" t="s">
        <v>716</v>
      </c>
      <c r="F7110" s="1182">
        <v>9</v>
      </c>
      <c r="G7110" s="549" t="s">
        <v>61</v>
      </c>
      <c r="H7110" s="599" t="s">
        <v>69</v>
      </c>
      <c r="I7110" s="558">
        <v>6.85</v>
      </c>
      <c r="J7110" s="567">
        <v>11.2</v>
      </c>
      <c r="K7110" s="648">
        <v>143</v>
      </c>
      <c r="L7110" s="725">
        <f>(I7110*J7110*K7110/1000)</f>
        <v>10.970959999999998</v>
      </c>
      <c r="M7110" s="549"/>
      <c r="N7110" s="549"/>
      <c r="O7110" s="549"/>
      <c r="P7110" s="2013" t="s">
        <v>792</v>
      </c>
      <c r="Q7110" s="497">
        <v>40</v>
      </c>
      <c r="R7110" s="126">
        <f t="shared" ref="R7110:R7111" si="1506">J7110*Q7110*I7110/1000</f>
        <v>3.0687999999999995</v>
      </c>
      <c r="S7110" s="497" t="s">
        <v>837</v>
      </c>
    </row>
    <row r="7111" spans="1:19" s="497" customFormat="1" ht="17.399999999999999">
      <c r="A7111" s="549"/>
      <c r="B7111" s="549" t="s">
        <v>88</v>
      </c>
      <c r="C7111" s="549"/>
      <c r="D7111" s="549"/>
      <c r="E7111" s="549"/>
      <c r="F7111" s="549"/>
      <c r="G7111" s="549" t="s">
        <v>61</v>
      </c>
      <c r="H7111" s="549" t="s">
        <v>69</v>
      </c>
      <c r="I7111" s="558">
        <v>6.85</v>
      </c>
      <c r="J7111" s="567">
        <v>8.4</v>
      </c>
      <c r="K7111" s="648">
        <v>216</v>
      </c>
      <c r="L7111" s="725">
        <f>(I7111*J7111*K7111/1000)</f>
        <v>12.42864</v>
      </c>
      <c r="M7111" s="549"/>
      <c r="N7111" s="549"/>
      <c r="O7111" s="549"/>
      <c r="P7111" s="2015"/>
      <c r="Q7111" s="497">
        <f>52+53</f>
        <v>105</v>
      </c>
      <c r="R7111" s="126">
        <f t="shared" si="1506"/>
        <v>6.0416999999999996</v>
      </c>
    </row>
    <row r="7112" spans="1:19" s="497" customFormat="1" ht="17.399999999999999">
      <c r="A7112" s="549"/>
      <c r="B7112" s="549"/>
      <c r="C7112" s="549"/>
      <c r="D7112" s="549"/>
      <c r="E7112" s="549"/>
      <c r="F7112" s="549"/>
      <c r="G7112" s="549"/>
      <c r="H7112" s="549"/>
      <c r="I7112" s="558"/>
      <c r="J7112" s="567"/>
      <c r="K7112" s="648">
        <f>SUM(K7110:K7111)</f>
        <v>359</v>
      </c>
      <c r="L7112" s="710">
        <f>SUM(L7110:L7111)</f>
        <v>23.3996</v>
      </c>
      <c r="M7112" s="549"/>
      <c r="N7112" s="549"/>
      <c r="O7112" s="549"/>
      <c r="P7112" s="549"/>
      <c r="Q7112" s="648">
        <f>SUM(Q7110:Q7111)</f>
        <v>145</v>
      </c>
      <c r="R7112" s="710">
        <f>SUM(R7110:R7111)</f>
        <v>9.1104999999999983</v>
      </c>
    </row>
    <row r="7113" spans="1:19" s="497" customFormat="1" ht="17.399999999999999">
      <c r="A7113" s="549"/>
      <c r="B7113" s="549"/>
      <c r="C7113" s="549"/>
      <c r="D7113" s="549"/>
      <c r="E7113" s="549"/>
      <c r="F7113" s="549"/>
      <c r="G7113" s="549"/>
      <c r="H7113" s="549"/>
      <c r="I7113" s="558"/>
      <c r="J7113" s="567"/>
      <c r="K7113" s="727">
        <f>SUM(K7101:K7112)/2</f>
        <v>596</v>
      </c>
      <c r="L7113" s="710">
        <f>SUM(L7101:L7112)/2</f>
        <v>40.623345</v>
      </c>
      <c r="M7113" s="549"/>
      <c r="N7113" s="549"/>
      <c r="O7113" s="549"/>
      <c r="P7113" s="549"/>
    </row>
    <row r="7114" spans="1:19" s="497" customFormat="1" ht="17.399999999999999">
      <c r="A7114" s="549"/>
      <c r="B7114" s="549"/>
      <c r="C7114" s="549"/>
      <c r="D7114" s="549"/>
      <c r="E7114" s="549"/>
      <c r="F7114" s="549"/>
      <c r="G7114" s="549"/>
      <c r="H7114" s="549"/>
      <c r="I7114" s="558"/>
      <c r="J7114" s="567"/>
      <c r="K7114" s="648"/>
      <c r="L7114" s="710"/>
      <c r="M7114" s="549"/>
      <c r="N7114" s="549"/>
      <c r="O7114" s="549"/>
      <c r="P7114" s="549"/>
    </row>
    <row r="7115" spans="1:19" s="497" customFormat="1" ht="17.399999999999999">
      <c r="A7115" s="549"/>
      <c r="B7115" s="549"/>
      <c r="C7115" s="549"/>
      <c r="D7115" s="549"/>
      <c r="E7115" s="549"/>
      <c r="F7115" s="549"/>
      <c r="G7115" s="549"/>
      <c r="H7115" s="549"/>
      <c r="I7115" s="560"/>
      <c r="J7115" s="549"/>
      <c r="K7115" s="561"/>
      <c r="L7115" s="728"/>
      <c r="M7115" s="549"/>
      <c r="N7115" s="549"/>
      <c r="O7115" s="549"/>
      <c r="P7115" s="549"/>
    </row>
    <row r="7116" spans="1:19" s="497" customFormat="1" ht="17.399999999999999">
      <c r="A7116" s="549"/>
      <c r="B7116" s="549"/>
      <c r="C7116" s="549"/>
      <c r="D7116" s="549"/>
      <c r="E7116" s="549"/>
      <c r="F7116" s="549"/>
      <c r="G7116" s="549"/>
      <c r="H7116" s="549"/>
      <c r="I7116" s="558"/>
      <c r="J7116" s="567"/>
      <c r="K7116" s="648"/>
      <c r="L7116" s="710"/>
      <c r="M7116" s="549"/>
      <c r="N7116" s="549"/>
      <c r="O7116" s="549"/>
      <c r="P7116" s="549"/>
    </row>
    <row r="7117" spans="1:19" s="497" customFormat="1" ht="17.399999999999999">
      <c r="A7117" s="547" t="s">
        <v>523</v>
      </c>
      <c r="B7117" s="852" t="s">
        <v>624</v>
      </c>
      <c r="C7117" s="547" t="s">
        <v>446</v>
      </c>
      <c r="D7117" s="813" t="s">
        <v>447</v>
      </c>
      <c r="E7117" s="547" t="s">
        <v>359</v>
      </c>
      <c r="F7117" s="1182">
        <v>9</v>
      </c>
      <c r="G7117" s="549" t="s">
        <v>21</v>
      </c>
      <c r="H7117" s="599" t="s">
        <v>69</v>
      </c>
      <c r="I7117" s="558">
        <v>6.86</v>
      </c>
      <c r="J7117" s="567">
        <v>7.75</v>
      </c>
      <c r="K7117" s="648">
        <v>160</v>
      </c>
      <c r="L7117" s="725">
        <f>(I7117*J7117*K7117/1000)</f>
        <v>8.5063999999999993</v>
      </c>
      <c r="M7117" s="549"/>
      <c r="N7117" s="549"/>
      <c r="O7117" s="549"/>
      <c r="P7117" s="2013" t="s">
        <v>793</v>
      </c>
      <c r="Q7117" s="497" t="s">
        <v>837</v>
      </c>
    </row>
    <row r="7118" spans="1:19" s="497" customFormat="1" ht="17.399999999999999">
      <c r="A7118" s="549"/>
      <c r="B7118" s="549"/>
      <c r="C7118" s="549"/>
      <c r="D7118" s="549"/>
      <c r="E7118" s="549"/>
      <c r="F7118" s="549"/>
      <c r="G7118" s="549"/>
      <c r="H7118" s="549"/>
      <c r="I7118" s="558"/>
      <c r="J7118" s="567"/>
      <c r="K7118" s="648">
        <f>SUM(K7117:K7117)</f>
        <v>160</v>
      </c>
      <c r="L7118" s="710">
        <f>SUM(L7117:L7117)</f>
        <v>8.5063999999999993</v>
      </c>
      <c r="M7118" s="549"/>
      <c r="N7118" s="549"/>
      <c r="O7118" s="549"/>
      <c r="P7118" s="2014"/>
    </row>
    <row r="7119" spans="1:19" s="497" customFormat="1" ht="17.399999999999999">
      <c r="A7119" s="549"/>
      <c r="B7119" s="549"/>
      <c r="C7119" s="549"/>
      <c r="D7119" s="549"/>
      <c r="E7119" s="549"/>
      <c r="F7119" s="549"/>
      <c r="G7119" s="549"/>
      <c r="H7119" s="549"/>
      <c r="I7119" s="560"/>
      <c r="J7119" s="549"/>
      <c r="K7119" s="561"/>
      <c r="L7119" s="728"/>
      <c r="M7119" s="549"/>
      <c r="N7119" s="549"/>
      <c r="O7119" s="549"/>
      <c r="P7119" s="2014"/>
    </row>
    <row r="7120" spans="1:19" s="497" customFormat="1" ht="17.399999999999999">
      <c r="A7120" s="547" t="s">
        <v>715</v>
      </c>
      <c r="B7120" s="547" t="s">
        <v>613</v>
      </c>
      <c r="C7120" s="547" t="s">
        <v>446</v>
      </c>
      <c r="D7120" s="813" t="s">
        <v>447</v>
      </c>
      <c r="E7120" s="547" t="s">
        <v>359</v>
      </c>
      <c r="F7120" s="1182">
        <v>9</v>
      </c>
      <c r="G7120" s="549" t="s">
        <v>21</v>
      </c>
      <c r="H7120" s="599" t="s">
        <v>69</v>
      </c>
      <c r="I7120" s="558">
        <v>6.86</v>
      </c>
      <c r="J7120" s="567">
        <v>11</v>
      </c>
      <c r="K7120" s="648">
        <v>172</v>
      </c>
      <c r="L7120" s="725">
        <f>(I7120*J7120*K7120/1000)</f>
        <v>12.97912</v>
      </c>
      <c r="M7120" s="549"/>
      <c r="N7120" s="549"/>
      <c r="O7120" s="549"/>
      <c r="P7120" s="2014"/>
      <c r="Q7120" s="497" t="s">
        <v>837</v>
      </c>
    </row>
    <row r="7121" spans="1:17" s="497" customFormat="1" ht="17.399999999999999">
      <c r="A7121" s="549"/>
      <c r="B7121" s="549"/>
      <c r="C7121" s="549"/>
      <c r="D7121" s="549"/>
      <c r="E7121" s="549"/>
      <c r="F7121" s="549"/>
      <c r="G7121" s="549" t="s">
        <v>21</v>
      </c>
      <c r="H7121" s="549" t="s">
        <v>69</v>
      </c>
      <c r="I7121" s="558">
        <v>6.86</v>
      </c>
      <c r="J7121" s="567">
        <v>11.8</v>
      </c>
      <c r="K7121" s="648">
        <v>4</v>
      </c>
      <c r="L7121" s="725">
        <f>(I7121*J7121*K7121/1000)</f>
        <v>0.32379200000000002</v>
      </c>
      <c r="M7121" s="549"/>
      <c r="N7121" s="549"/>
      <c r="O7121" s="549"/>
      <c r="P7121" s="2014"/>
    </row>
    <row r="7122" spans="1:17" s="497" customFormat="1" ht="17.399999999999999">
      <c r="A7122" s="549"/>
      <c r="B7122" s="549"/>
      <c r="C7122" s="549"/>
      <c r="D7122" s="549"/>
      <c r="E7122" s="549"/>
      <c r="F7122" s="549"/>
      <c r="G7122" s="549" t="s">
        <v>21</v>
      </c>
      <c r="H7122" s="549" t="s">
        <v>69</v>
      </c>
      <c r="I7122" s="558">
        <v>6.86</v>
      </c>
      <c r="J7122" s="567">
        <v>12</v>
      </c>
      <c r="K7122" s="648">
        <v>81</v>
      </c>
      <c r="L7122" s="725">
        <f>(I7122*J7122*K7122/1000)</f>
        <v>6.6679200000000014</v>
      </c>
      <c r="M7122" s="549"/>
      <c r="N7122" s="549"/>
      <c r="O7122" s="549"/>
      <c r="P7122" s="2014"/>
    </row>
    <row r="7123" spans="1:17" s="497" customFormat="1" ht="17.399999999999999">
      <c r="A7123" s="549"/>
      <c r="B7123" s="549"/>
      <c r="C7123" s="549"/>
      <c r="D7123" s="549"/>
      <c r="E7123" s="549"/>
      <c r="F7123" s="549"/>
      <c r="G7123" s="549"/>
      <c r="H7123" s="549"/>
      <c r="I7123" s="558"/>
      <c r="J7123" s="567"/>
      <c r="K7123" s="648">
        <f t="shared" ref="K7123" si="1507">SUM(K7120:K7122)</f>
        <v>257</v>
      </c>
      <c r="L7123" s="710">
        <f>SUM(L7120:L7122)</f>
        <v>19.970832000000001</v>
      </c>
      <c r="M7123" s="549"/>
      <c r="N7123" s="549"/>
      <c r="O7123" s="549"/>
      <c r="P7123" s="2014"/>
    </row>
    <row r="7124" spans="1:17" s="497" customFormat="1" ht="17.399999999999999">
      <c r="A7124" s="549"/>
      <c r="B7124" s="549"/>
      <c r="C7124" s="549"/>
      <c r="D7124" s="549"/>
      <c r="E7124" s="549"/>
      <c r="F7124" s="549"/>
      <c r="G7124" s="549"/>
      <c r="H7124" s="549"/>
      <c r="I7124" s="558"/>
      <c r="J7124" s="567"/>
      <c r="K7124" s="648"/>
      <c r="L7124" s="710"/>
      <c r="M7124" s="549"/>
      <c r="N7124" s="549"/>
      <c r="O7124" s="549"/>
      <c r="P7124" s="1180"/>
    </row>
    <row r="7125" spans="1:17" s="497" customFormat="1" ht="17.399999999999999">
      <c r="A7125" s="547" t="s">
        <v>717</v>
      </c>
      <c r="B7125" s="1169" t="s">
        <v>308</v>
      </c>
      <c r="C7125" s="547" t="s">
        <v>19</v>
      </c>
      <c r="D7125" s="813" t="s">
        <v>447</v>
      </c>
      <c r="E7125" s="547" t="s">
        <v>359</v>
      </c>
      <c r="F7125" s="1182">
        <v>9</v>
      </c>
      <c r="G7125" s="549" t="s">
        <v>21</v>
      </c>
      <c r="H7125" s="549" t="s">
        <v>69</v>
      </c>
      <c r="I7125" s="558">
        <v>6.86</v>
      </c>
      <c r="J7125" s="567">
        <v>8.1999999999999993</v>
      </c>
      <c r="K7125" s="648">
        <v>50</v>
      </c>
      <c r="L7125" s="725">
        <f>(I7125*J7125*K7125/1000)</f>
        <v>2.8125999999999998</v>
      </c>
      <c r="M7125" s="549"/>
      <c r="N7125" s="549"/>
      <c r="O7125" s="549"/>
      <c r="P7125" s="1180"/>
    </row>
    <row r="7126" spans="1:17" s="497" customFormat="1" ht="17.399999999999999">
      <c r="A7126" s="547"/>
      <c r="B7126" s="547" t="s">
        <v>718</v>
      </c>
      <c r="C7126" s="547"/>
      <c r="D7126" s="813"/>
      <c r="E7126" s="547"/>
      <c r="F7126" s="1182"/>
      <c r="G7126" s="549" t="s">
        <v>21</v>
      </c>
      <c r="H7126" s="549" t="s">
        <v>69</v>
      </c>
      <c r="I7126" s="558">
        <v>6.86</v>
      </c>
      <c r="J7126" s="567">
        <v>9.4</v>
      </c>
      <c r="K7126" s="648">
        <v>8</v>
      </c>
      <c r="L7126" s="725">
        <f>(I7126*J7126*K7126/1000)</f>
        <v>0.51587200000000011</v>
      </c>
      <c r="M7126" s="549"/>
      <c r="N7126" s="549"/>
      <c r="O7126" s="549"/>
      <c r="P7126" s="1180"/>
    </row>
    <row r="7127" spans="1:17" s="497" customFormat="1" ht="17.399999999999999">
      <c r="A7127" s="549"/>
      <c r="B7127" s="549"/>
      <c r="C7127" s="549"/>
      <c r="D7127" s="549"/>
      <c r="E7127" s="549"/>
      <c r="F7127" s="549"/>
      <c r="G7127" s="549"/>
      <c r="H7127" s="549"/>
      <c r="I7127" s="558"/>
      <c r="J7127" s="567"/>
      <c r="K7127" s="648">
        <f>SUM(K7125:K7126)</f>
        <v>58</v>
      </c>
      <c r="L7127" s="567">
        <f>SUM(L7125:L7126)</f>
        <v>3.3284719999999997</v>
      </c>
      <c r="M7127" s="549"/>
      <c r="N7127" s="549"/>
      <c r="O7127" s="549"/>
      <c r="P7127" s="1181" t="s">
        <v>794</v>
      </c>
    </row>
    <row r="7128" spans="1:17" s="497" customFormat="1" ht="17.399999999999999">
      <c r="A7128" s="549"/>
      <c r="B7128" s="549"/>
      <c r="C7128" s="549"/>
      <c r="D7128" s="549"/>
      <c r="E7128" s="549"/>
      <c r="F7128" s="549"/>
      <c r="G7128" s="549"/>
      <c r="H7128" s="549"/>
      <c r="I7128" s="560"/>
      <c r="J7128" s="549"/>
      <c r="K7128" s="727">
        <f>SUM(K7117:K7127)/2</f>
        <v>475</v>
      </c>
      <c r="L7128" s="710">
        <f>SUM(L7117:L7127)/2</f>
        <v>31.805704000000002</v>
      </c>
      <c r="M7128" s="549"/>
      <c r="N7128" s="549"/>
      <c r="O7128" s="549"/>
      <c r="P7128" s="549"/>
    </row>
    <row r="7129" spans="1:17" s="497" customFormat="1" ht="17.399999999999999">
      <c r="A7129" s="549"/>
      <c r="B7129" s="549"/>
      <c r="C7129" s="549"/>
      <c r="D7129" s="549"/>
      <c r="E7129" s="549"/>
      <c r="F7129" s="549"/>
      <c r="G7129" s="549"/>
      <c r="H7129" s="549"/>
      <c r="I7129" s="560"/>
      <c r="J7129" s="549"/>
      <c r="K7129" s="561"/>
      <c r="L7129" s="728"/>
      <c r="M7129" s="549"/>
      <c r="N7129" s="549"/>
      <c r="O7129" s="549"/>
      <c r="P7129" s="549"/>
    </row>
    <row r="7130" spans="1:17" s="497" customFormat="1" ht="17.399999999999999">
      <c r="A7130" s="549"/>
      <c r="B7130" s="549"/>
      <c r="C7130" s="549"/>
      <c r="D7130" s="549"/>
      <c r="E7130" s="549"/>
      <c r="F7130" s="549"/>
      <c r="G7130" s="549"/>
      <c r="H7130" s="549"/>
      <c r="I7130" s="560"/>
      <c r="J7130" s="549"/>
      <c r="K7130" s="561"/>
      <c r="L7130" s="728"/>
      <c r="M7130" s="549"/>
      <c r="N7130" s="549"/>
      <c r="O7130" s="549"/>
      <c r="P7130" s="549"/>
    </row>
    <row r="7131" spans="1:17" s="497" customFormat="1" ht="17.399999999999999">
      <c r="A7131" s="547" t="s">
        <v>523</v>
      </c>
      <c r="B7131" s="852" t="s">
        <v>624</v>
      </c>
      <c r="C7131" s="547" t="s">
        <v>446</v>
      </c>
      <c r="D7131" s="813" t="s">
        <v>447</v>
      </c>
      <c r="E7131" s="547" t="s">
        <v>359</v>
      </c>
      <c r="F7131" s="1182">
        <v>9</v>
      </c>
      <c r="G7131" s="549" t="s">
        <v>21</v>
      </c>
      <c r="H7131" s="599" t="s">
        <v>70</v>
      </c>
      <c r="I7131" s="558">
        <v>5.77</v>
      </c>
      <c r="J7131" s="567">
        <v>7.4</v>
      </c>
      <c r="K7131" s="648">
        <v>94</v>
      </c>
      <c r="L7131" s="725">
        <f>(I7131*J7131*K7131/1000)</f>
        <v>4.0136120000000002</v>
      </c>
      <c r="M7131" s="549"/>
      <c r="N7131" s="549"/>
      <c r="O7131" s="549"/>
      <c r="P7131" s="2013" t="s">
        <v>795</v>
      </c>
      <c r="Q7131" s="497" t="s">
        <v>837</v>
      </c>
    </row>
    <row r="7132" spans="1:17" s="497" customFormat="1" ht="17.399999999999999">
      <c r="A7132" s="549"/>
      <c r="B7132" s="549"/>
      <c r="C7132" s="549"/>
      <c r="D7132" s="549"/>
      <c r="E7132" s="549"/>
      <c r="F7132" s="549"/>
      <c r="G7132" s="549" t="s">
        <v>21</v>
      </c>
      <c r="H7132" s="549" t="s">
        <v>70</v>
      </c>
      <c r="I7132" s="558">
        <v>5.77</v>
      </c>
      <c r="J7132" s="567">
        <v>11</v>
      </c>
      <c r="K7132" s="648">
        <v>23</v>
      </c>
      <c r="L7132" s="725">
        <f>(I7132*J7132*K7132/1000)</f>
        <v>1.4598100000000001</v>
      </c>
      <c r="M7132" s="549"/>
      <c r="N7132" s="549"/>
      <c r="O7132" s="549"/>
      <c r="P7132" s="2014"/>
    </row>
    <row r="7133" spans="1:17" s="497" customFormat="1" ht="17.399999999999999">
      <c r="A7133" s="549"/>
      <c r="B7133" s="549"/>
      <c r="C7133" s="549"/>
      <c r="D7133" s="549"/>
      <c r="E7133" s="549"/>
      <c r="F7133" s="549"/>
      <c r="G7133" s="549" t="s">
        <v>21</v>
      </c>
      <c r="H7133" s="549" t="s">
        <v>70</v>
      </c>
      <c r="I7133" s="558">
        <v>5.77</v>
      </c>
      <c r="J7133" s="567">
        <v>12</v>
      </c>
      <c r="K7133" s="648">
        <v>3</v>
      </c>
      <c r="L7133" s="725">
        <f>(I7133*J7133*K7133/1000)</f>
        <v>0.20771999999999996</v>
      </c>
      <c r="M7133" s="549"/>
      <c r="N7133" s="549"/>
      <c r="O7133" s="549"/>
      <c r="P7133" s="2014"/>
    </row>
    <row r="7134" spans="1:17" s="497" customFormat="1" ht="17.399999999999999">
      <c r="A7134" s="549"/>
      <c r="B7134" s="549"/>
      <c r="C7134" s="549"/>
      <c r="D7134" s="549"/>
      <c r="E7134" s="549"/>
      <c r="F7134" s="549"/>
      <c r="G7134" s="549"/>
      <c r="H7134" s="549"/>
      <c r="I7134" s="558"/>
      <c r="J7134" s="567"/>
      <c r="K7134" s="648">
        <f>SUM(K7131:K7133)</f>
        <v>120</v>
      </c>
      <c r="L7134" s="710">
        <f>SUM(L7131:L7133)</f>
        <v>5.6811420000000004</v>
      </c>
      <c r="M7134" s="549"/>
      <c r="N7134" s="549"/>
      <c r="O7134" s="549"/>
      <c r="P7134" s="2015"/>
    </row>
    <row r="7135" spans="1:17" s="497" customFormat="1" ht="17.399999999999999">
      <c r="A7135" s="549"/>
      <c r="B7135" s="549"/>
      <c r="C7135" s="549"/>
      <c r="D7135" s="549"/>
      <c r="E7135" s="549"/>
      <c r="F7135" s="549"/>
      <c r="G7135" s="549"/>
      <c r="H7135" s="549"/>
      <c r="I7135" s="558"/>
      <c r="J7135" s="567"/>
      <c r="K7135" s="648"/>
      <c r="L7135" s="710"/>
      <c r="M7135" s="549"/>
      <c r="N7135" s="549"/>
      <c r="O7135" s="549"/>
      <c r="P7135" s="549"/>
    </row>
    <row r="7136" spans="1:17" s="497" customFormat="1" ht="17.399999999999999">
      <c r="A7136" s="547" t="s">
        <v>445</v>
      </c>
      <c r="B7136" s="1169" t="s">
        <v>488</v>
      </c>
      <c r="C7136" s="547" t="s">
        <v>19</v>
      </c>
      <c r="D7136" s="547" t="s">
        <v>20</v>
      </c>
      <c r="E7136" s="547" t="s">
        <v>47</v>
      </c>
      <c r="F7136" s="1182">
        <v>9</v>
      </c>
      <c r="G7136" s="550" t="s">
        <v>21</v>
      </c>
      <c r="H7136" s="550" t="s">
        <v>70</v>
      </c>
      <c r="I7136" s="551">
        <v>5.76</v>
      </c>
      <c r="J7136" s="765">
        <v>12</v>
      </c>
      <c r="K7136" s="766">
        <v>22</v>
      </c>
      <c r="L7136" s="552">
        <f>(I7136*J7136*K7136/1000)</f>
        <v>1.52064</v>
      </c>
      <c r="M7136" s="549"/>
      <c r="N7136" s="549"/>
      <c r="O7136" s="549"/>
      <c r="P7136" s="549"/>
    </row>
    <row r="7137" spans="1:17" s="497" customFormat="1" ht="17.399999999999999">
      <c r="A7137" s="547"/>
      <c r="B7137" s="752" t="s">
        <v>73</v>
      </c>
      <c r="C7137" s="547"/>
      <c r="D7137" s="547"/>
      <c r="E7137" s="547"/>
      <c r="F7137" s="550"/>
      <c r="G7137" s="550"/>
      <c r="H7137" s="550"/>
      <c r="I7137" s="551"/>
      <c r="J7137" s="765"/>
      <c r="K7137" s="766">
        <f t="shared" ref="K7137" si="1508">SUM(K7136)</f>
        <v>22</v>
      </c>
      <c r="L7137" s="552">
        <f>SUM(L7136)</f>
        <v>1.52064</v>
      </c>
      <c r="M7137" s="549"/>
      <c r="N7137" s="549"/>
      <c r="O7137" s="549"/>
      <c r="P7137" s="549"/>
    </row>
    <row r="7138" spans="1:17" s="497" customFormat="1" ht="17.399999999999999">
      <c r="A7138" s="549"/>
      <c r="B7138" s="549"/>
      <c r="C7138" s="549"/>
      <c r="D7138" s="549"/>
      <c r="E7138" s="549"/>
      <c r="F7138" s="549"/>
      <c r="G7138" s="549"/>
      <c r="H7138" s="549"/>
      <c r="I7138" s="560"/>
      <c r="J7138" s="549"/>
      <c r="K7138" s="561"/>
      <c r="L7138" s="710">
        <f>SUM(L7131:L7137)/2</f>
        <v>7.2017820000000006</v>
      </c>
      <c r="M7138" s="549"/>
      <c r="N7138" s="549"/>
      <c r="O7138" s="549"/>
      <c r="P7138" s="549"/>
    </row>
    <row r="7139" spans="1:17" s="497" customFormat="1" ht="17.399999999999999">
      <c r="A7139" s="549"/>
      <c r="B7139" s="549"/>
      <c r="C7139" s="549"/>
      <c r="D7139" s="549"/>
      <c r="E7139" s="549"/>
      <c r="F7139" s="549"/>
      <c r="G7139" s="549"/>
      <c r="H7139" s="549"/>
      <c r="I7139" s="560"/>
      <c r="J7139" s="549"/>
      <c r="K7139" s="561"/>
      <c r="L7139" s="710"/>
      <c r="M7139" s="549"/>
      <c r="N7139" s="549"/>
      <c r="O7139" s="549"/>
      <c r="P7139" s="549"/>
    </row>
    <row r="7140" spans="1:17" s="497" customFormat="1" ht="17.399999999999999">
      <c r="A7140" s="549"/>
      <c r="B7140" s="549"/>
      <c r="C7140" s="549"/>
      <c r="D7140" s="549"/>
      <c r="E7140" s="549"/>
      <c r="F7140" s="549"/>
      <c r="G7140" s="549"/>
      <c r="H7140" s="549"/>
      <c r="I7140" s="560"/>
      <c r="J7140" s="549"/>
      <c r="K7140" s="561"/>
      <c r="L7140" s="710"/>
      <c r="M7140" s="549"/>
      <c r="N7140" s="549"/>
      <c r="O7140" s="549"/>
      <c r="P7140" s="549"/>
    </row>
    <row r="7141" spans="1:17" s="497" customFormat="1" ht="17.399999999999999">
      <c r="A7141" s="549"/>
      <c r="B7141" s="549"/>
      <c r="C7141" s="549"/>
      <c r="D7141" s="549"/>
      <c r="E7141" s="549"/>
      <c r="F7141" s="549"/>
      <c r="G7141" s="549"/>
      <c r="H7141" s="549"/>
      <c r="I7141" s="560"/>
      <c r="J7141" s="549"/>
      <c r="K7141" s="561"/>
      <c r="L7141" s="710">
        <f>+L7138+L7128+L7113+L7098+L7086+L7082+L7078</f>
        <v>142.77444600000001</v>
      </c>
      <c r="M7141" s="549"/>
      <c r="N7141" s="710">
        <f>+N7138+N7128+N7113+N7098+N7086+N7082+N7078</f>
        <v>2.3436000000000003</v>
      </c>
      <c r="O7141" s="549"/>
      <c r="P7141" s="549"/>
    </row>
    <row r="7142" spans="1:17" s="497" customFormat="1" ht="17.399999999999999">
      <c r="A7142" s="549"/>
      <c r="B7142" s="549"/>
      <c r="C7142" s="549"/>
      <c r="D7142" s="549"/>
      <c r="E7142" s="549"/>
      <c r="F7142" s="549"/>
      <c r="G7142" s="549"/>
      <c r="H7142" s="549"/>
      <c r="I7142" s="560"/>
      <c r="J7142" s="549"/>
      <c r="K7142" s="561"/>
      <c r="L7142" s="710"/>
      <c r="M7142" s="549"/>
      <c r="N7142" s="710"/>
      <c r="O7142" s="549"/>
      <c r="P7142" s="549"/>
    </row>
    <row r="7143" spans="1:17" s="497" customFormat="1" ht="17.399999999999999">
      <c r="A7143" s="550"/>
      <c r="B7143" s="550"/>
      <c r="C7143" s="550"/>
      <c r="D7143" s="550"/>
      <c r="E7143" s="550"/>
      <c r="F7143" s="550"/>
      <c r="G7143" s="550"/>
      <c r="H7143" s="550"/>
      <c r="I7143" s="1865"/>
      <c r="J7143" s="550"/>
      <c r="K7143" s="772"/>
      <c r="L7143" s="763"/>
      <c r="M7143" s="550"/>
      <c r="N7143" s="550"/>
      <c r="O7143" s="550"/>
      <c r="P7143" s="550"/>
    </row>
    <row r="7144" spans="1:17" s="497" customFormat="1" ht="17.399999999999999">
      <c r="A7144" s="547" t="s">
        <v>715</v>
      </c>
      <c r="B7144" s="547" t="s">
        <v>801</v>
      </c>
      <c r="C7144" s="547" t="s">
        <v>19</v>
      </c>
      <c r="D7144" s="813" t="s">
        <v>60</v>
      </c>
      <c r="E7144" s="547" t="s">
        <v>716</v>
      </c>
      <c r="F7144" s="1189">
        <v>9</v>
      </c>
      <c r="G7144" s="550" t="s">
        <v>61</v>
      </c>
      <c r="H7144" s="599" t="s">
        <v>70</v>
      </c>
      <c r="I7144" s="551">
        <v>5.76</v>
      </c>
      <c r="J7144" s="764">
        <v>9</v>
      </c>
      <c r="K7144" s="766">
        <v>108</v>
      </c>
      <c r="L7144" s="725">
        <f>(I7144*J7144*K7144/1000)</f>
        <v>5.5987199999999993</v>
      </c>
      <c r="M7144" s="550"/>
      <c r="N7144" s="550"/>
      <c r="O7144" s="550"/>
      <c r="P7144" s="1188"/>
      <c r="Q7144" s="497" t="s">
        <v>847</v>
      </c>
    </row>
    <row r="7145" spans="1:17" s="497" customFormat="1" ht="17.399999999999999">
      <c r="A7145" s="550"/>
      <c r="B7145" s="550" t="s">
        <v>88</v>
      </c>
      <c r="C7145" s="550"/>
      <c r="D7145" s="550"/>
      <c r="E7145" s="550"/>
      <c r="F7145" s="550"/>
      <c r="G7145" s="550" t="s">
        <v>61</v>
      </c>
      <c r="H7145" s="550" t="s">
        <v>70</v>
      </c>
      <c r="I7145" s="551">
        <v>5.76</v>
      </c>
      <c r="J7145" s="764">
        <v>9.5</v>
      </c>
      <c r="K7145" s="766">
        <v>108</v>
      </c>
      <c r="L7145" s="725">
        <f>(I7145*J7145*K7145/1000)</f>
        <v>5.9097600000000003</v>
      </c>
      <c r="M7145" s="550"/>
      <c r="N7145" s="550"/>
      <c r="O7145" s="550"/>
      <c r="P7145" s="1188"/>
    </row>
    <row r="7146" spans="1:17" s="497" customFormat="1" ht="17.399999999999999">
      <c r="A7146" s="550"/>
      <c r="B7146" s="550"/>
      <c r="C7146" s="550"/>
      <c r="D7146" s="550"/>
      <c r="E7146" s="550"/>
      <c r="F7146" s="550"/>
      <c r="G7146" s="550"/>
      <c r="H7146" s="550"/>
      <c r="I7146" s="551"/>
      <c r="J7146" s="765"/>
      <c r="K7146" s="766">
        <f>SUM(K7144:K7145)</f>
        <v>216</v>
      </c>
      <c r="L7146" s="763">
        <f>SUM(L7144:L7145)</f>
        <v>11.508479999999999</v>
      </c>
      <c r="M7146" s="550"/>
      <c r="N7146" s="550"/>
      <c r="O7146" s="550"/>
      <c r="P7146" s="1188" t="s">
        <v>812</v>
      </c>
    </row>
    <row r="7147" spans="1:17" s="497" customFormat="1" ht="17.399999999999999">
      <c r="A7147" s="550"/>
      <c r="B7147" s="550"/>
      <c r="C7147" s="550"/>
      <c r="D7147" s="550"/>
      <c r="E7147" s="550"/>
      <c r="F7147" s="550"/>
      <c r="G7147" s="550"/>
      <c r="H7147" s="550"/>
      <c r="I7147" s="551"/>
      <c r="J7147" s="765"/>
      <c r="K7147" s="766"/>
      <c r="L7147" s="763"/>
      <c r="M7147" s="550"/>
      <c r="N7147" s="550"/>
      <c r="O7147" s="550"/>
      <c r="P7147" s="1188"/>
    </row>
    <row r="7148" spans="1:17" s="497" customFormat="1" ht="17.399999999999999">
      <c r="A7148" s="550"/>
      <c r="B7148" s="550"/>
      <c r="C7148" s="550"/>
      <c r="D7148" s="550"/>
      <c r="E7148" s="550"/>
      <c r="F7148" s="550"/>
      <c r="G7148" s="550"/>
      <c r="H7148" s="550"/>
      <c r="I7148" s="551"/>
      <c r="J7148" s="765"/>
      <c r="K7148" s="766"/>
      <c r="L7148" s="763"/>
      <c r="M7148" s="550"/>
      <c r="N7148" s="550"/>
      <c r="O7148" s="550"/>
      <c r="P7148" s="1188"/>
    </row>
    <row r="7149" spans="1:17" s="497" customFormat="1" ht="17.399999999999999">
      <c r="A7149" s="547" t="s">
        <v>715</v>
      </c>
      <c r="B7149" s="547" t="s">
        <v>801</v>
      </c>
      <c r="C7149" s="547" t="s">
        <v>19</v>
      </c>
      <c r="D7149" s="813" t="s">
        <v>60</v>
      </c>
      <c r="E7149" s="547" t="s">
        <v>716</v>
      </c>
      <c r="F7149" s="1189">
        <v>9</v>
      </c>
      <c r="G7149" s="550" t="s">
        <v>61</v>
      </c>
      <c r="H7149" s="599" t="s">
        <v>69</v>
      </c>
      <c r="I7149" s="551">
        <v>6.85</v>
      </c>
      <c r="J7149" s="765">
        <v>8.4</v>
      </c>
      <c r="K7149" s="766">
        <v>216</v>
      </c>
      <c r="L7149" s="725">
        <f>(I7149*J7149*K7149/1000)</f>
        <v>12.42864</v>
      </c>
      <c r="M7149" s="550"/>
      <c r="N7149" s="550"/>
      <c r="O7149" s="550"/>
      <c r="P7149" s="2083" t="s">
        <v>792</v>
      </c>
      <c r="Q7149" s="497" t="s">
        <v>837</v>
      </c>
    </row>
    <row r="7150" spans="1:17" s="497" customFormat="1" ht="17.399999999999999">
      <c r="A7150" s="550"/>
      <c r="B7150" s="550" t="s">
        <v>88</v>
      </c>
      <c r="C7150" s="550"/>
      <c r="D7150" s="550"/>
      <c r="E7150" s="550"/>
      <c r="F7150" s="550"/>
      <c r="G7150" s="550" t="s">
        <v>61</v>
      </c>
      <c r="H7150" s="550" t="s">
        <v>69</v>
      </c>
      <c r="I7150" s="551">
        <v>6.85</v>
      </c>
      <c r="J7150" s="765">
        <v>11.2</v>
      </c>
      <c r="K7150" s="766">
        <v>216</v>
      </c>
      <c r="L7150" s="725">
        <f>(I7150*J7150*K7150/1000)</f>
        <v>16.571519999999996</v>
      </c>
      <c r="M7150" s="550"/>
      <c r="N7150" s="550"/>
      <c r="O7150" s="550"/>
      <c r="P7150" s="2085"/>
    </row>
    <row r="7151" spans="1:17" s="497" customFormat="1" ht="17.399999999999999">
      <c r="A7151" s="550"/>
      <c r="B7151" s="550"/>
      <c r="C7151" s="550"/>
      <c r="D7151" s="550"/>
      <c r="E7151" s="550"/>
      <c r="F7151" s="550"/>
      <c r="G7151" s="550"/>
      <c r="H7151" s="550"/>
      <c r="I7151" s="551"/>
      <c r="J7151" s="765"/>
      <c r="K7151" s="766">
        <f>SUM(K7149:K7150)</f>
        <v>432</v>
      </c>
      <c r="L7151" s="763">
        <f>SUM(L7149:L7150)</f>
        <v>29.000159999999994</v>
      </c>
      <c r="M7151" s="550"/>
      <c r="N7151" s="550"/>
      <c r="O7151" s="550"/>
      <c r="P7151" s="550"/>
    </row>
    <row r="7152" spans="1:17" s="497" customFormat="1" ht="17.399999999999999">
      <c r="A7152" s="550"/>
      <c r="B7152" s="550"/>
      <c r="C7152" s="550"/>
      <c r="D7152" s="550"/>
      <c r="E7152" s="550"/>
      <c r="F7152" s="550"/>
      <c r="G7152" s="550"/>
      <c r="H7152" s="550"/>
      <c r="I7152" s="551"/>
      <c r="J7152" s="765"/>
      <c r="K7152" s="766"/>
      <c r="L7152" s="763"/>
      <c r="M7152" s="550"/>
      <c r="N7152" s="550"/>
      <c r="O7152" s="550"/>
      <c r="P7152" s="550"/>
    </row>
    <row r="7153" spans="1:17" s="497" customFormat="1" ht="17.399999999999999">
      <c r="A7153" s="547" t="s">
        <v>272</v>
      </c>
      <c r="B7153" s="547" t="s">
        <v>802</v>
      </c>
      <c r="C7153" s="547" t="s">
        <v>19</v>
      </c>
      <c r="D7153" s="813" t="s">
        <v>60</v>
      </c>
      <c r="E7153" s="547" t="s">
        <v>270</v>
      </c>
      <c r="F7153" s="1189">
        <v>9</v>
      </c>
      <c r="G7153" s="550" t="s">
        <v>61</v>
      </c>
      <c r="H7153" s="599" t="s">
        <v>69</v>
      </c>
      <c r="I7153" s="551">
        <v>6.86</v>
      </c>
      <c r="J7153" s="765">
        <v>12</v>
      </c>
      <c r="K7153" s="766">
        <v>8</v>
      </c>
      <c r="L7153" s="725">
        <f>(I7153*J7153*K7153/1000)</f>
        <v>0.65856000000000003</v>
      </c>
      <c r="M7153" s="550"/>
      <c r="N7153" s="550"/>
      <c r="O7153" s="550"/>
      <c r="P7153" s="550"/>
      <c r="Q7153" s="497" t="s">
        <v>847</v>
      </c>
    </row>
    <row r="7154" spans="1:17" s="497" customFormat="1" ht="17.399999999999999">
      <c r="A7154" s="550"/>
      <c r="B7154" s="547" t="s">
        <v>277</v>
      </c>
      <c r="C7154" s="550"/>
      <c r="D7154" s="550"/>
      <c r="E7154" s="550"/>
      <c r="F7154" s="550"/>
      <c r="G7154" s="550"/>
      <c r="H7154" s="550"/>
      <c r="I7154" s="1865"/>
      <c r="J7154" s="550"/>
      <c r="K7154" s="708">
        <f>SUM(K7153:K7153)</f>
        <v>8</v>
      </c>
      <c r="L7154" s="1190">
        <f>SUM(L7153:L7153)</f>
        <v>0.65856000000000003</v>
      </c>
      <c r="M7154" s="550"/>
      <c r="N7154" s="550"/>
      <c r="O7154" s="550"/>
      <c r="P7154" s="550" t="s">
        <v>813</v>
      </c>
    </row>
    <row r="7155" spans="1:17" s="497" customFormat="1" ht="17.399999999999999">
      <c r="A7155" s="550"/>
      <c r="B7155" s="547"/>
      <c r="C7155" s="550"/>
      <c r="D7155" s="550"/>
      <c r="E7155" s="550"/>
      <c r="F7155" s="550"/>
      <c r="G7155" s="550"/>
      <c r="H7155" s="550"/>
      <c r="I7155" s="1865"/>
      <c r="J7155" s="550"/>
      <c r="K7155" s="708"/>
      <c r="L7155" s="763">
        <f>+L7154+L7151</f>
        <v>29.658719999999995</v>
      </c>
      <c r="M7155" s="550"/>
      <c r="N7155" s="550"/>
      <c r="O7155" s="550"/>
      <c r="P7155" s="550"/>
    </row>
    <row r="7156" spans="1:17" s="497" customFormat="1" ht="17.399999999999999">
      <c r="A7156" s="550"/>
      <c r="B7156" s="547"/>
      <c r="C7156" s="550"/>
      <c r="D7156" s="550"/>
      <c r="E7156" s="550"/>
      <c r="F7156" s="550"/>
      <c r="G7156" s="550"/>
      <c r="H7156" s="550"/>
      <c r="I7156" s="1865"/>
      <c r="J7156" s="550"/>
      <c r="K7156" s="708"/>
      <c r="L7156" s="763"/>
      <c r="M7156" s="550"/>
      <c r="N7156" s="550"/>
      <c r="O7156" s="550"/>
      <c r="P7156" s="550"/>
    </row>
    <row r="7157" spans="1:17" s="497" customFormat="1" ht="17.399999999999999">
      <c r="A7157" s="547" t="s">
        <v>806</v>
      </c>
      <c r="B7157" s="547" t="s">
        <v>811</v>
      </c>
      <c r="C7157" s="547" t="s">
        <v>446</v>
      </c>
      <c r="D7157" s="813" t="s">
        <v>447</v>
      </c>
      <c r="E7157" s="547" t="s">
        <v>359</v>
      </c>
      <c r="F7157" s="1189">
        <v>9</v>
      </c>
      <c r="G7157" s="550" t="s">
        <v>21</v>
      </c>
      <c r="H7157" s="599" t="s">
        <v>69</v>
      </c>
      <c r="I7157" s="1898">
        <v>6.86</v>
      </c>
      <c r="J7157" s="765">
        <v>11</v>
      </c>
      <c r="K7157" s="766">
        <v>16</v>
      </c>
      <c r="L7157" s="552">
        <f t="shared" ref="L7157:L7158" si="1509">(I7157*J7157*K7157/1000)</f>
        <v>1.2073600000000002</v>
      </c>
      <c r="M7157" s="550"/>
      <c r="N7157" s="550"/>
      <c r="O7157" s="550"/>
      <c r="P7157" s="550"/>
      <c r="Q7157" s="497" t="s">
        <v>837</v>
      </c>
    </row>
    <row r="7158" spans="1:17" s="497" customFormat="1" ht="17.399999999999999">
      <c r="A7158" s="550"/>
      <c r="B7158" s="550"/>
      <c r="C7158" s="550"/>
      <c r="D7158" s="550"/>
      <c r="E7158" s="550"/>
      <c r="F7158" s="550"/>
      <c r="G7158" s="550" t="s">
        <v>21</v>
      </c>
      <c r="H7158" s="550" t="s">
        <v>69</v>
      </c>
      <c r="I7158" s="1898">
        <v>6.86</v>
      </c>
      <c r="J7158" s="765">
        <v>11.8</v>
      </c>
      <c r="K7158" s="766">
        <v>48</v>
      </c>
      <c r="L7158" s="552">
        <f t="shared" si="1509"/>
        <v>3.8855040000000005</v>
      </c>
      <c r="M7158" s="550"/>
      <c r="N7158" s="550"/>
      <c r="O7158" s="550"/>
      <c r="P7158" s="550"/>
    </row>
    <row r="7159" spans="1:17" s="497" customFormat="1" ht="17.399999999999999">
      <c r="A7159" s="550"/>
      <c r="B7159" s="550"/>
      <c r="C7159" s="550"/>
      <c r="D7159" s="550"/>
      <c r="E7159" s="550"/>
      <c r="F7159" s="550"/>
      <c r="G7159" s="550"/>
      <c r="H7159" s="550"/>
      <c r="I7159" s="551"/>
      <c r="J7159" s="765"/>
      <c r="K7159" s="766">
        <f t="shared" ref="K7159:L7159" si="1510">SUM(K7157:K7158)</f>
        <v>64</v>
      </c>
      <c r="L7159" s="765">
        <f t="shared" si="1510"/>
        <v>5.0928640000000005</v>
      </c>
      <c r="M7159" s="550"/>
      <c r="N7159" s="550"/>
      <c r="O7159" s="550"/>
      <c r="P7159" s="550" t="s">
        <v>793</v>
      </c>
    </row>
    <row r="7160" spans="1:17" s="497" customFormat="1" ht="17.399999999999999">
      <c r="A7160" s="550"/>
      <c r="B7160" s="550"/>
      <c r="C7160" s="550"/>
      <c r="D7160" s="550"/>
      <c r="E7160" s="550"/>
      <c r="F7160" s="550"/>
      <c r="G7160" s="550"/>
      <c r="H7160" s="550"/>
      <c r="I7160" s="1865"/>
      <c r="J7160" s="550"/>
      <c r="K7160" s="772"/>
      <c r="L7160" s="763"/>
      <c r="M7160" s="550"/>
      <c r="N7160" s="550"/>
      <c r="O7160" s="550"/>
      <c r="P7160" s="550"/>
    </row>
    <row r="7161" spans="1:17" s="497" customFormat="1" ht="17.399999999999999">
      <c r="A7161" s="550"/>
      <c r="B7161" s="547"/>
      <c r="C7161" s="550"/>
      <c r="D7161" s="550"/>
      <c r="E7161" s="550"/>
      <c r="F7161" s="550"/>
      <c r="G7161" s="550"/>
      <c r="H7161" s="550"/>
      <c r="I7161" s="1865"/>
      <c r="J7161" s="550"/>
      <c r="K7161" s="708"/>
      <c r="L7161" s="763"/>
      <c r="M7161" s="550"/>
      <c r="N7161" s="550"/>
      <c r="O7161" s="550"/>
      <c r="P7161" s="550"/>
    </row>
    <row r="7162" spans="1:17" s="497" customFormat="1" ht="17.399999999999999">
      <c r="A7162" s="547" t="s">
        <v>445</v>
      </c>
      <c r="B7162" s="547" t="s">
        <v>803</v>
      </c>
      <c r="C7162" s="547" t="s">
        <v>19</v>
      </c>
      <c r="D7162" s="547" t="s">
        <v>20</v>
      </c>
      <c r="E7162" s="547" t="s">
        <v>57</v>
      </c>
      <c r="F7162" s="1189">
        <v>9</v>
      </c>
      <c r="G7162" s="550" t="s">
        <v>21</v>
      </c>
      <c r="H7162" s="599" t="s">
        <v>70</v>
      </c>
      <c r="I7162" s="551">
        <v>5.76</v>
      </c>
      <c r="J7162" s="765">
        <v>12</v>
      </c>
      <c r="K7162" s="766">
        <v>15</v>
      </c>
      <c r="L7162" s="552">
        <f>(I7162*J7162*K7162/1000)</f>
        <v>1.0368000000000002</v>
      </c>
      <c r="M7162" s="550"/>
      <c r="N7162" s="550"/>
      <c r="O7162" s="550"/>
      <c r="P7162" s="550"/>
      <c r="Q7162" s="497" t="s">
        <v>850</v>
      </c>
    </row>
    <row r="7163" spans="1:17" s="497" customFormat="1" ht="17.399999999999999">
      <c r="A7163" s="547"/>
      <c r="B7163" s="752" t="s">
        <v>204</v>
      </c>
      <c r="C7163" s="547"/>
      <c r="D7163" s="547"/>
      <c r="E7163" s="547"/>
      <c r="F7163" s="550"/>
      <c r="G7163" s="550"/>
      <c r="H7163" s="550"/>
      <c r="I7163" s="551"/>
      <c r="J7163" s="765"/>
      <c r="K7163" s="766">
        <f>SUM(K7162)</f>
        <v>15</v>
      </c>
      <c r="L7163" s="1191">
        <f>SUM(L7162)</f>
        <v>1.0368000000000002</v>
      </c>
      <c r="M7163" s="550"/>
      <c r="N7163" s="550"/>
      <c r="O7163" s="550"/>
      <c r="P7163" s="550" t="s">
        <v>814</v>
      </c>
    </row>
    <row r="7164" spans="1:17" s="497" customFormat="1" ht="17.399999999999999">
      <c r="A7164" s="547"/>
      <c r="B7164" s="752"/>
      <c r="C7164" s="547"/>
      <c r="D7164" s="547"/>
      <c r="E7164" s="547"/>
      <c r="F7164" s="550"/>
      <c r="G7164" s="550"/>
      <c r="H7164" s="550"/>
      <c r="I7164" s="551"/>
      <c r="J7164" s="765"/>
      <c r="K7164" s="766"/>
      <c r="L7164" s="552"/>
      <c r="M7164" s="550"/>
      <c r="N7164" s="550"/>
      <c r="O7164" s="550"/>
      <c r="P7164" s="550"/>
    </row>
    <row r="7165" spans="1:17" s="497" customFormat="1" ht="17.399999999999999">
      <c r="A7165" s="547" t="s">
        <v>445</v>
      </c>
      <c r="B7165" s="547" t="s">
        <v>804</v>
      </c>
      <c r="C7165" s="547" t="s">
        <v>19</v>
      </c>
      <c r="D7165" s="547" t="s">
        <v>20</v>
      </c>
      <c r="E7165" s="547" t="s">
        <v>805</v>
      </c>
      <c r="F7165" s="1189">
        <v>9</v>
      </c>
      <c r="G7165" s="550" t="s">
        <v>21</v>
      </c>
      <c r="H7165" s="599" t="s">
        <v>70</v>
      </c>
      <c r="I7165" s="551">
        <v>5.76</v>
      </c>
      <c r="J7165" s="765">
        <v>12</v>
      </c>
      <c r="K7165" s="766">
        <v>2</v>
      </c>
      <c r="L7165" s="552">
        <f>(I7165*J7165*K7165/1000)</f>
        <v>0.13824</v>
      </c>
      <c r="M7165" s="550">
        <v>2</v>
      </c>
      <c r="N7165" s="567">
        <f>J7165*M7165*I7165/1000</f>
        <v>0.13824</v>
      </c>
      <c r="O7165" s="550"/>
      <c r="P7165" s="550"/>
      <c r="Q7165" s="497" t="s">
        <v>837</v>
      </c>
    </row>
    <row r="7166" spans="1:17" s="497" customFormat="1" ht="17.399999999999999">
      <c r="A7166" s="547"/>
      <c r="B7166" s="752"/>
      <c r="C7166" s="547"/>
      <c r="D7166" s="547"/>
      <c r="E7166" s="547"/>
      <c r="F7166" s="550"/>
      <c r="G7166" s="550"/>
      <c r="H7166" s="550"/>
      <c r="I7166" s="551"/>
      <c r="J7166" s="765"/>
      <c r="K7166" s="766">
        <f t="shared" ref="K7166:M7166" si="1511">SUM(K7165)</f>
        <v>2</v>
      </c>
      <c r="L7166" s="552">
        <f>SUM(L7165)</f>
        <v>0.13824</v>
      </c>
      <c r="M7166" s="766">
        <f t="shared" si="1511"/>
        <v>2</v>
      </c>
      <c r="N7166" s="552">
        <f>SUM(N7165)</f>
        <v>0.13824</v>
      </c>
      <c r="O7166" s="550"/>
      <c r="P7166" s="550"/>
    </row>
    <row r="7167" spans="1:17" s="497" customFormat="1" ht="17.399999999999999">
      <c r="A7167" s="550"/>
      <c r="B7167" s="550"/>
      <c r="C7167" s="550"/>
      <c r="D7167" s="550"/>
      <c r="E7167" s="550"/>
      <c r="F7167" s="550"/>
      <c r="G7167" s="550"/>
      <c r="H7167" s="550"/>
      <c r="I7167" s="1865"/>
      <c r="J7167" s="550"/>
      <c r="K7167" s="772"/>
      <c r="L7167" s="763"/>
      <c r="M7167" s="550"/>
      <c r="N7167" s="550"/>
      <c r="O7167" s="550"/>
      <c r="P7167" s="550"/>
    </row>
    <row r="7168" spans="1:17" s="497" customFormat="1" ht="17.399999999999999">
      <c r="A7168" s="547" t="s">
        <v>806</v>
      </c>
      <c r="B7168" s="547" t="s">
        <v>613</v>
      </c>
      <c r="C7168" s="547" t="s">
        <v>446</v>
      </c>
      <c r="D7168" s="813" t="s">
        <v>447</v>
      </c>
      <c r="E7168" s="547" t="s">
        <v>359</v>
      </c>
      <c r="F7168" s="1189">
        <v>9</v>
      </c>
      <c r="G7168" s="550" t="s">
        <v>21</v>
      </c>
      <c r="H7168" s="599" t="s">
        <v>70</v>
      </c>
      <c r="I7168" s="551">
        <v>5.77</v>
      </c>
      <c r="J7168" s="765">
        <v>10</v>
      </c>
      <c r="K7168" s="766">
        <v>76</v>
      </c>
      <c r="L7168" s="725">
        <f>(I7168*J7168*K7168/1000)</f>
        <v>4.3852000000000002</v>
      </c>
      <c r="M7168" s="550"/>
      <c r="N7168" s="550"/>
      <c r="O7168" s="550"/>
      <c r="P7168" s="550"/>
      <c r="Q7168" s="497" t="s">
        <v>837</v>
      </c>
    </row>
    <row r="7169" spans="1:17" s="497" customFormat="1" ht="17.399999999999999">
      <c r="A7169" s="550"/>
      <c r="B7169" s="550"/>
      <c r="C7169" s="550"/>
      <c r="D7169" s="550"/>
      <c r="E7169" s="550"/>
      <c r="F7169" s="550"/>
      <c r="G7169" s="550" t="s">
        <v>21</v>
      </c>
      <c r="H7169" s="550" t="s">
        <v>70</v>
      </c>
      <c r="I7169" s="551">
        <v>5.77</v>
      </c>
      <c r="J7169" s="765">
        <v>12</v>
      </c>
      <c r="K7169" s="766">
        <v>233</v>
      </c>
      <c r="L7169" s="725">
        <f>(I7169*J7169*K7169/1000)</f>
        <v>16.132919999999999</v>
      </c>
      <c r="M7169" s="550"/>
      <c r="N7169" s="550"/>
      <c r="O7169" s="550"/>
      <c r="P7169" s="550"/>
    </row>
    <row r="7170" spans="1:17" s="497" customFormat="1" ht="17.399999999999999">
      <c r="A7170" s="550"/>
      <c r="B7170" s="550"/>
      <c r="C7170" s="550"/>
      <c r="D7170" s="550"/>
      <c r="E7170" s="550"/>
      <c r="F7170" s="550"/>
      <c r="G7170" s="550"/>
      <c r="H7170" s="550"/>
      <c r="I7170" s="551"/>
      <c r="J7170" s="765"/>
      <c r="K7170" s="766">
        <f>SUM(K7168:K7169)</f>
        <v>309</v>
      </c>
      <c r="L7170" s="763">
        <f>SUM(L7168:L7169)</f>
        <v>20.51812</v>
      </c>
      <c r="M7170" s="550"/>
      <c r="N7170" s="550"/>
      <c r="O7170" s="550"/>
      <c r="P7170" s="550" t="s">
        <v>795</v>
      </c>
    </row>
    <row r="7171" spans="1:17" s="497" customFormat="1" ht="17.399999999999999">
      <c r="A7171" s="550"/>
      <c r="B7171" s="550"/>
      <c r="C7171" s="550"/>
      <c r="D7171" s="550"/>
      <c r="E7171" s="550"/>
      <c r="F7171" s="550"/>
      <c r="G7171" s="550"/>
      <c r="H7171" s="550"/>
      <c r="I7171" s="551"/>
      <c r="J7171" s="765"/>
      <c r="K7171" s="766"/>
      <c r="L7171" s="763"/>
      <c r="M7171" s="550"/>
      <c r="N7171" s="550"/>
      <c r="O7171" s="550"/>
      <c r="P7171" s="550"/>
    </row>
    <row r="7172" spans="1:17" s="497" customFormat="1" ht="17.399999999999999">
      <c r="A7172" s="547" t="s">
        <v>495</v>
      </c>
      <c r="B7172" s="547" t="s">
        <v>807</v>
      </c>
      <c r="C7172" s="547" t="s">
        <v>446</v>
      </c>
      <c r="D7172" s="813" t="s">
        <v>447</v>
      </c>
      <c r="E7172" s="547" t="s">
        <v>359</v>
      </c>
      <c r="F7172" s="1189">
        <v>9</v>
      </c>
      <c r="G7172" s="550" t="s">
        <v>21</v>
      </c>
      <c r="H7172" s="599" t="s">
        <v>70</v>
      </c>
      <c r="I7172" s="551">
        <v>5.77</v>
      </c>
      <c r="J7172" s="765">
        <v>7.4</v>
      </c>
      <c r="K7172" s="766">
        <v>26</v>
      </c>
      <c r="L7172" s="725">
        <f>(I7172*J7172*K7172/1000)</f>
        <v>1.1101479999999999</v>
      </c>
      <c r="M7172" s="550"/>
      <c r="N7172" s="550"/>
      <c r="O7172" s="550"/>
      <c r="P7172" s="550"/>
      <c r="Q7172" s="497" t="s">
        <v>837</v>
      </c>
    </row>
    <row r="7173" spans="1:17" s="497" customFormat="1" ht="17.399999999999999">
      <c r="A7173" s="550"/>
      <c r="B7173" s="550"/>
      <c r="C7173" s="550"/>
      <c r="D7173" s="550"/>
      <c r="E7173" s="550"/>
      <c r="F7173" s="550"/>
      <c r="G7173" s="550" t="s">
        <v>21</v>
      </c>
      <c r="H7173" s="550" t="s">
        <v>70</v>
      </c>
      <c r="I7173" s="551">
        <v>5.77</v>
      </c>
      <c r="J7173" s="765">
        <v>10.25</v>
      </c>
      <c r="K7173" s="766">
        <v>52</v>
      </c>
      <c r="L7173" s="725">
        <f>(I7173*J7173*K7173/1000)</f>
        <v>3.0754099999999998</v>
      </c>
      <c r="M7173" s="550"/>
      <c r="N7173" s="550"/>
      <c r="O7173" s="550"/>
      <c r="P7173" s="550"/>
    </row>
    <row r="7174" spans="1:17" s="497" customFormat="1" ht="17.399999999999999">
      <c r="A7174" s="550"/>
      <c r="B7174" s="550"/>
      <c r="C7174" s="550"/>
      <c r="D7174" s="550"/>
      <c r="E7174" s="550"/>
      <c r="F7174" s="550"/>
      <c r="G7174" s="550" t="s">
        <v>21</v>
      </c>
      <c r="H7174" s="550" t="s">
        <v>70</v>
      </c>
      <c r="I7174" s="551">
        <v>5.77</v>
      </c>
      <c r="J7174" s="765">
        <v>11</v>
      </c>
      <c r="K7174" s="766">
        <v>13</v>
      </c>
      <c r="L7174" s="725">
        <f>(I7174*J7174*K7174/1000)</f>
        <v>0.82511000000000001</v>
      </c>
      <c r="M7174" s="550"/>
      <c r="N7174" s="550"/>
      <c r="O7174" s="550"/>
      <c r="P7174" s="550"/>
    </row>
    <row r="7175" spans="1:17" s="497" customFormat="1" ht="17.399999999999999">
      <c r="A7175" s="550"/>
      <c r="B7175" s="550"/>
      <c r="C7175" s="550"/>
      <c r="D7175" s="550"/>
      <c r="E7175" s="550"/>
      <c r="F7175" s="550"/>
      <c r="G7175" s="550"/>
      <c r="H7175" s="550"/>
      <c r="I7175" s="551"/>
      <c r="J7175" s="765"/>
      <c r="K7175" s="766">
        <f>SUM(K7172:K7174)</f>
        <v>91</v>
      </c>
      <c r="L7175" s="763">
        <f>SUM(L7172:L7174)</f>
        <v>5.010667999999999</v>
      </c>
      <c r="M7175" s="550"/>
      <c r="N7175" s="550"/>
      <c r="O7175" s="550"/>
      <c r="P7175" s="550" t="s">
        <v>795</v>
      </c>
    </row>
    <row r="7176" spans="1:17" s="497" customFormat="1" ht="17.399999999999999">
      <c r="A7176" s="550"/>
      <c r="B7176" s="550"/>
      <c r="C7176" s="550"/>
      <c r="D7176" s="550"/>
      <c r="E7176" s="550"/>
      <c r="F7176" s="550"/>
      <c r="G7176" s="550"/>
      <c r="H7176" s="550"/>
      <c r="I7176" s="551"/>
      <c r="J7176" s="765"/>
      <c r="K7176" s="766"/>
      <c r="L7176" s="763"/>
      <c r="M7176" s="550"/>
      <c r="N7176" s="550"/>
      <c r="O7176" s="550"/>
      <c r="P7176" s="550"/>
    </row>
    <row r="7177" spans="1:17" s="497" customFormat="1" ht="17.399999999999999">
      <c r="A7177" s="547" t="s">
        <v>806</v>
      </c>
      <c r="B7177" s="547" t="s">
        <v>811</v>
      </c>
      <c r="C7177" s="547" t="s">
        <v>446</v>
      </c>
      <c r="D7177" s="813" t="s">
        <v>447</v>
      </c>
      <c r="E7177" s="547" t="s">
        <v>359</v>
      </c>
      <c r="F7177" s="1189">
        <v>9</v>
      </c>
      <c r="G7177" s="550" t="s">
        <v>21</v>
      </c>
      <c r="H7177" s="599" t="s">
        <v>70</v>
      </c>
      <c r="I7177" s="1898">
        <v>5.77</v>
      </c>
      <c r="J7177" s="765">
        <v>7.4</v>
      </c>
      <c r="K7177" s="766">
        <v>48</v>
      </c>
      <c r="L7177" s="552">
        <f t="shared" ref="L7177:L7179" si="1512">(I7177*J7177*K7177/1000)</f>
        <v>2.0495039999999998</v>
      </c>
      <c r="M7177" s="550"/>
      <c r="N7177" s="550"/>
      <c r="O7177" s="550"/>
      <c r="P7177" s="550"/>
      <c r="Q7177" s="497" t="s">
        <v>837</v>
      </c>
    </row>
    <row r="7178" spans="1:17" s="497" customFormat="1" ht="17.399999999999999">
      <c r="A7178" s="550"/>
      <c r="B7178" s="550"/>
      <c r="C7178" s="550"/>
      <c r="D7178" s="550"/>
      <c r="E7178" s="550"/>
      <c r="F7178" s="550"/>
      <c r="G7178" s="550" t="s">
        <v>21</v>
      </c>
      <c r="H7178" s="550" t="s">
        <v>70</v>
      </c>
      <c r="I7178" s="1898">
        <v>5.77</v>
      </c>
      <c r="J7178" s="765">
        <v>10.25</v>
      </c>
      <c r="K7178" s="766">
        <v>6</v>
      </c>
      <c r="L7178" s="552">
        <f t="shared" si="1512"/>
        <v>0.35485500000000003</v>
      </c>
      <c r="M7178" s="550"/>
      <c r="N7178" s="550"/>
      <c r="O7178" s="550"/>
      <c r="P7178" s="550"/>
    </row>
    <row r="7179" spans="1:17" s="497" customFormat="1" ht="17.399999999999999">
      <c r="A7179" s="550"/>
      <c r="B7179" s="550"/>
      <c r="C7179" s="550"/>
      <c r="D7179" s="550"/>
      <c r="E7179" s="550"/>
      <c r="F7179" s="550"/>
      <c r="G7179" s="550" t="s">
        <v>21</v>
      </c>
      <c r="H7179" s="550" t="s">
        <v>70</v>
      </c>
      <c r="I7179" s="1898">
        <v>5.77</v>
      </c>
      <c r="J7179" s="765">
        <v>11</v>
      </c>
      <c r="K7179" s="766">
        <v>21</v>
      </c>
      <c r="L7179" s="552">
        <f t="shared" si="1512"/>
        <v>1.33287</v>
      </c>
      <c r="M7179" s="550"/>
      <c r="N7179" s="550"/>
      <c r="O7179" s="550"/>
      <c r="P7179" s="550"/>
    </row>
    <row r="7180" spans="1:17" s="497" customFormat="1" ht="17.399999999999999">
      <c r="A7180" s="550"/>
      <c r="B7180" s="550"/>
      <c r="C7180" s="550"/>
      <c r="D7180" s="550"/>
      <c r="E7180" s="550"/>
      <c r="F7180" s="550"/>
      <c r="G7180" s="550"/>
      <c r="H7180" s="550"/>
      <c r="I7180" s="551"/>
      <c r="J7180" s="765"/>
      <c r="K7180" s="766">
        <f>SUM(K7177:K7179)</f>
        <v>75</v>
      </c>
      <c r="L7180" s="765">
        <f>SUM(L7177:L7179)</f>
        <v>3.7372290000000001</v>
      </c>
      <c r="M7180" s="550"/>
      <c r="N7180" s="550"/>
      <c r="O7180" s="550"/>
      <c r="P7180" s="550" t="s">
        <v>795</v>
      </c>
    </row>
    <row r="7181" spans="1:17" s="497" customFormat="1" ht="17.399999999999999">
      <c r="A7181" s="550"/>
      <c r="B7181" s="550"/>
      <c r="C7181" s="550"/>
      <c r="D7181" s="550"/>
      <c r="E7181" s="550"/>
      <c r="F7181" s="550"/>
      <c r="G7181" s="550"/>
      <c r="H7181" s="550"/>
      <c r="I7181" s="551"/>
      <c r="J7181" s="765"/>
      <c r="K7181" s="770">
        <f>SUM(K7162:K7180)/2</f>
        <v>492</v>
      </c>
      <c r="L7181" s="763">
        <f>SUM(L7162:L7180)/2</f>
        <v>30.441057000000001</v>
      </c>
      <c r="M7181" s="550"/>
      <c r="N7181" s="550"/>
      <c r="O7181" s="550"/>
      <c r="P7181" s="550"/>
    </row>
    <row r="7182" spans="1:17" s="497" customFormat="1" ht="17.399999999999999">
      <c r="A7182" s="550"/>
      <c r="B7182" s="550"/>
      <c r="C7182" s="550"/>
      <c r="D7182" s="550"/>
      <c r="E7182" s="550"/>
      <c r="F7182" s="550"/>
      <c r="G7182" s="550"/>
      <c r="H7182" s="550"/>
      <c r="I7182" s="551"/>
      <c r="J7182" s="765"/>
      <c r="K7182" s="766"/>
      <c r="L7182" s="763"/>
      <c r="M7182" s="550"/>
      <c r="N7182" s="550"/>
      <c r="O7182" s="550"/>
      <c r="P7182" s="550"/>
    </row>
    <row r="7183" spans="1:17" s="497" customFormat="1" ht="17.399999999999999">
      <c r="A7183" s="550"/>
      <c r="B7183" s="550"/>
      <c r="C7183" s="550"/>
      <c r="D7183" s="550"/>
      <c r="E7183" s="550"/>
      <c r="F7183" s="550"/>
      <c r="G7183" s="550"/>
      <c r="H7183" s="550"/>
      <c r="I7183" s="1865"/>
      <c r="J7183" s="550"/>
      <c r="K7183" s="772"/>
      <c r="L7183" s="763"/>
      <c r="M7183" s="550"/>
      <c r="N7183" s="550"/>
      <c r="O7183" s="550"/>
      <c r="P7183" s="550"/>
    </row>
    <row r="7184" spans="1:17" s="497" customFormat="1" ht="17.399999999999999">
      <c r="A7184" s="547" t="s">
        <v>806</v>
      </c>
      <c r="B7184" s="547" t="s">
        <v>613</v>
      </c>
      <c r="C7184" s="547" t="s">
        <v>446</v>
      </c>
      <c r="D7184" s="813" t="s">
        <v>450</v>
      </c>
      <c r="E7184" s="547" t="s">
        <v>270</v>
      </c>
      <c r="F7184" s="1189">
        <v>7</v>
      </c>
      <c r="G7184" s="550" t="s">
        <v>61</v>
      </c>
      <c r="H7184" s="599" t="s">
        <v>70</v>
      </c>
      <c r="I7184" s="551">
        <v>5.77</v>
      </c>
      <c r="J7184" s="765">
        <v>11.5</v>
      </c>
      <c r="K7184" s="766">
        <v>82</v>
      </c>
      <c r="L7184" s="552">
        <f t="shared" ref="L7184:L7185" si="1513">(I7184*J7184*K7184/1000)</f>
        <v>5.4411099999999983</v>
      </c>
      <c r="M7184" s="550"/>
      <c r="N7184" s="550"/>
      <c r="O7184" s="550"/>
      <c r="P7184" s="550"/>
      <c r="Q7184" s="497" t="s">
        <v>837</v>
      </c>
    </row>
    <row r="7185" spans="1:17" s="497" customFormat="1" ht="17.399999999999999">
      <c r="A7185" s="550"/>
      <c r="B7185" s="550"/>
      <c r="C7185" s="550"/>
      <c r="D7185" s="550"/>
      <c r="E7185" s="550"/>
      <c r="F7185" s="550"/>
      <c r="G7185" s="550" t="s">
        <v>61</v>
      </c>
      <c r="H7185" s="550" t="s">
        <v>70</v>
      </c>
      <c r="I7185" s="551">
        <v>5.77</v>
      </c>
      <c r="J7185" s="765">
        <v>11.7</v>
      </c>
      <c r="K7185" s="766">
        <v>63</v>
      </c>
      <c r="L7185" s="552">
        <f t="shared" si="1513"/>
        <v>4.2530669999999988</v>
      </c>
      <c r="M7185" s="550"/>
      <c r="N7185" s="550"/>
      <c r="O7185" s="550"/>
      <c r="P7185" s="550"/>
    </row>
    <row r="7186" spans="1:17" s="497" customFormat="1" ht="17.399999999999999">
      <c r="A7186" s="550"/>
      <c r="B7186" s="550"/>
      <c r="C7186" s="550"/>
      <c r="D7186" s="550"/>
      <c r="E7186" s="1189"/>
      <c r="F7186" s="550"/>
      <c r="G7186" s="550"/>
      <c r="H7186" s="550"/>
      <c r="I7186" s="551"/>
      <c r="J7186" s="765"/>
      <c r="K7186" s="766">
        <f>SUM(K7184:K7185)</f>
        <v>145</v>
      </c>
      <c r="L7186" s="765">
        <f>SUM(L7184:L7185)</f>
        <v>9.6941769999999963</v>
      </c>
      <c r="M7186" s="550"/>
      <c r="N7186" s="550"/>
      <c r="O7186" s="550"/>
      <c r="P7186" s="550"/>
    </row>
    <row r="7187" spans="1:17" s="497" customFormat="1" ht="17.399999999999999">
      <c r="A7187" s="550"/>
      <c r="B7187" s="550"/>
      <c r="C7187" s="550"/>
      <c r="D7187" s="550"/>
      <c r="E7187" s="1189"/>
      <c r="F7187" s="550"/>
      <c r="G7187" s="550"/>
      <c r="H7187" s="550"/>
      <c r="I7187" s="551"/>
      <c r="J7187" s="765"/>
      <c r="K7187" s="766"/>
      <c r="L7187" s="765"/>
      <c r="M7187" s="550"/>
      <c r="N7187" s="550"/>
      <c r="O7187" s="550"/>
      <c r="P7187" s="550"/>
    </row>
    <row r="7188" spans="1:17" s="497" customFormat="1" ht="17.399999999999999">
      <c r="A7188" s="547" t="s">
        <v>495</v>
      </c>
      <c r="B7188" s="547" t="s">
        <v>807</v>
      </c>
      <c r="C7188" s="547" t="s">
        <v>446</v>
      </c>
      <c r="D7188" s="813" t="s">
        <v>450</v>
      </c>
      <c r="E7188" s="547" t="s">
        <v>270</v>
      </c>
      <c r="F7188" s="1189">
        <v>7</v>
      </c>
      <c r="G7188" s="550" t="s">
        <v>61</v>
      </c>
      <c r="H7188" s="599" t="s">
        <v>70</v>
      </c>
      <c r="I7188" s="551">
        <v>5.77</v>
      </c>
      <c r="J7188" s="765">
        <v>7.5</v>
      </c>
      <c r="K7188" s="766">
        <v>52</v>
      </c>
      <c r="L7188" s="552">
        <f t="shared" ref="L7188" si="1514">(I7188*J7188*K7188/1000)</f>
        <v>2.2502999999999997</v>
      </c>
      <c r="M7188" s="550"/>
      <c r="N7188" s="550"/>
      <c r="O7188" s="550"/>
      <c r="P7188" s="550"/>
      <c r="Q7188" s="497" t="s">
        <v>837</v>
      </c>
    </row>
    <row r="7189" spans="1:17" s="497" customFormat="1" ht="17.399999999999999">
      <c r="A7189" s="550"/>
      <c r="B7189" s="550"/>
      <c r="C7189" s="550"/>
      <c r="D7189" s="550"/>
      <c r="E7189" s="1189"/>
      <c r="F7189" s="550"/>
      <c r="G7189" s="550"/>
      <c r="H7189" s="550"/>
      <c r="I7189" s="551"/>
      <c r="J7189" s="765"/>
      <c r="K7189" s="766">
        <f>SUM(K7188:K7188)</f>
        <v>52</v>
      </c>
      <c r="L7189" s="765">
        <f>SUM(L7188:L7188)</f>
        <v>2.2502999999999997</v>
      </c>
      <c r="M7189" s="550"/>
      <c r="N7189" s="550"/>
      <c r="O7189" s="550"/>
      <c r="P7189" s="550"/>
    </row>
    <row r="7190" spans="1:17" s="497" customFormat="1" ht="17.399999999999999">
      <c r="A7190" s="550"/>
      <c r="B7190" s="550"/>
      <c r="C7190" s="550"/>
      <c r="D7190" s="550"/>
      <c r="E7190" s="1189"/>
      <c r="F7190" s="550"/>
      <c r="G7190" s="550"/>
      <c r="H7190" s="550"/>
      <c r="I7190" s="551"/>
      <c r="J7190" s="765"/>
      <c r="K7190" s="766"/>
      <c r="L7190" s="765"/>
      <c r="M7190" s="550"/>
      <c r="N7190" s="550"/>
      <c r="O7190" s="550"/>
      <c r="P7190" s="550"/>
    </row>
    <row r="7191" spans="1:17" s="497" customFormat="1" ht="17.399999999999999">
      <c r="A7191" s="547" t="s">
        <v>806</v>
      </c>
      <c r="B7191" s="547" t="s">
        <v>811</v>
      </c>
      <c r="C7191" s="547" t="s">
        <v>446</v>
      </c>
      <c r="D7191" s="813" t="s">
        <v>450</v>
      </c>
      <c r="E7191" s="547" t="s">
        <v>270</v>
      </c>
      <c r="F7191" s="1189">
        <v>7</v>
      </c>
      <c r="G7191" s="550" t="s">
        <v>61</v>
      </c>
      <c r="H7191" s="599" t="s">
        <v>70</v>
      </c>
      <c r="I7191" s="551">
        <v>5.77</v>
      </c>
      <c r="J7191" s="765">
        <v>10</v>
      </c>
      <c r="K7191" s="766">
        <v>10</v>
      </c>
      <c r="L7191" s="552">
        <f t="shared" ref="L7191:L7196" si="1515">(I7191*J7191*K7191/1000)</f>
        <v>0.57699999999999996</v>
      </c>
      <c r="M7191" s="550"/>
      <c r="N7191" s="550"/>
      <c r="O7191" s="550"/>
      <c r="P7191" s="550"/>
      <c r="Q7191" s="497" t="s">
        <v>837</v>
      </c>
    </row>
    <row r="7192" spans="1:17" s="497" customFormat="1" ht="17.399999999999999">
      <c r="A7192" s="550"/>
      <c r="B7192" s="550"/>
      <c r="C7192" s="550"/>
      <c r="D7192" s="550"/>
      <c r="E7192" s="550"/>
      <c r="F7192" s="550"/>
      <c r="G7192" s="550" t="s">
        <v>61</v>
      </c>
      <c r="H7192" s="550" t="s">
        <v>70</v>
      </c>
      <c r="I7192" s="551">
        <v>5.77</v>
      </c>
      <c r="J7192" s="765">
        <v>10.5</v>
      </c>
      <c r="K7192" s="766">
        <v>24</v>
      </c>
      <c r="L7192" s="552">
        <f t="shared" si="1515"/>
        <v>1.45404</v>
      </c>
      <c r="M7192" s="550"/>
      <c r="N7192" s="550"/>
      <c r="O7192" s="550"/>
      <c r="P7192" s="550"/>
    </row>
    <row r="7193" spans="1:17" s="497" customFormat="1" ht="17.399999999999999">
      <c r="A7193" s="550"/>
      <c r="B7193" s="550"/>
      <c r="C7193" s="550"/>
      <c r="D7193" s="550"/>
      <c r="E7193" s="550"/>
      <c r="F7193" s="550"/>
      <c r="G7193" s="550" t="s">
        <v>61</v>
      </c>
      <c r="H7193" s="550" t="s">
        <v>70</v>
      </c>
      <c r="I7193" s="551">
        <v>5.77</v>
      </c>
      <c r="J7193" s="765">
        <v>10.8</v>
      </c>
      <c r="K7193" s="766">
        <v>125</v>
      </c>
      <c r="L7193" s="552">
        <f t="shared" si="1515"/>
        <v>7.7895000000000003</v>
      </c>
      <c r="M7193" s="550"/>
      <c r="N7193" s="550"/>
      <c r="O7193" s="550"/>
      <c r="P7193" s="550"/>
    </row>
    <row r="7194" spans="1:17" s="497" customFormat="1" ht="17.399999999999999">
      <c r="A7194" s="550"/>
      <c r="B7194" s="550"/>
      <c r="C7194" s="550"/>
      <c r="D7194" s="550"/>
      <c r="E7194" s="550"/>
      <c r="F7194" s="550"/>
      <c r="G7194" s="550" t="s">
        <v>61</v>
      </c>
      <c r="H7194" s="550" t="s">
        <v>70</v>
      </c>
      <c r="I7194" s="551">
        <v>5.77</v>
      </c>
      <c r="J7194" s="765">
        <v>11.2</v>
      </c>
      <c r="K7194" s="766">
        <v>48</v>
      </c>
      <c r="L7194" s="552">
        <f t="shared" si="1515"/>
        <v>3.1019519999999998</v>
      </c>
      <c r="M7194" s="550"/>
      <c r="N7194" s="550"/>
      <c r="O7194" s="550"/>
      <c r="P7194" s="550"/>
    </row>
    <row r="7195" spans="1:17" s="497" customFormat="1" ht="17.399999999999999">
      <c r="A7195" s="550"/>
      <c r="B7195" s="550"/>
      <c r="C7195" s="550"/>
      <c r="D7195" s="550"/>
      <c r="E7195" s="550"/>
      <c r="F7195" s="550"/>
      <c r="G7195" s="550" t="s">
        <v>61</v>
      </c>
      <c r="H7195" s="550" t="s">
        <v>70</v>
      </c>
      <c r="I7195" s="551">
        <v>5.77</v>
      </c>
      <c r="J7195" s="765">
        <v>11.5</v>
      </c>
      <c r="K7195" s="766">
        <v>33</v>
      </c>
      <c r="L7195" s="552">
        <f t="shared" si="1515"/>
        <v>2.1897149999999996</v>
      </c>
      <c r="M7195" s="550"/>
      <c r="N7195" s="550"/>
      <c r="O7195" s="550"/>
      <c r="P7195" s="550"/>
    </row>
    <row r="7196" spans="1:17" s="497" customFormat="1" ht="17.399999999999999">
      <c r="A7196" s="550"/>
      <c r="B7196" s="550"/>
      <c r="C7196" s="550"/>
      <c r="D7196" s="550"/>
      <c r="E7196" s="550"/>
      <c r="F7196" s="550"/>
      <c r="G7196" s="550" t="s">
        <v>61</v>
      </c>
      <c r="H7196" s="550" t="s">
        <v>70</v>
      </c>
      <c r="I7196" s="551">
        <v>5.77</v>
      </c>
      <c r="J7196" s="765">
        <v>12</v>
      </c>
      <c r="K7196" s="766">
        <v>26</v>
      </c>
      <c r="L7196" s="552">
        <f t="shared" si="1515"/>
        <v>1.8002399999999998</v>
      </c>
      <c r="M7196" s="550"/>
      <c r="N7196" s="550"/>
      <c r="O7196" s="550"/>
      <c r="P7196" s="550"/>
    </row>
    <row r="7197" spans="1:17" s="497" customFormat="1" ht="17.399999999999999">
      <c r="A7197" s="550"/>
      <c r="B7197" s="550"/>
      <c r="C7197" s="550"/>
      <c r="D7197" s="550"/>
      <c r="E7197" s="550"/>
      <c r="F7197" s="550"/>
      <c r="G7197" s="550"/>
      <c r="H7197" s="550"/>
      <c r="I7197" s="551"/>
      <c r="J7197" s="765"/>
      <c r="K7197" s="766">
        <f>SUM(K7191:K7196)</f>
        <v>266</v>
      </c>
      <c r="L7197" s="765">
        <f>SUM(L7191:L7196)</f>
        <v>16.912447</v>
      </c>
      <c r="M7197" s="550"/>
      <c r="N7197" s="550"/>
      <c r="O7197" s="550"/>
      <c r="P7197" s="550"/>
    </row>
    <row r="7198" spans="1:17" s="497" customFormat="1" ht="17.399999999999999">
      <c r="A7198" s="550"/>
      <c r="B7198" s="550"/>
      <c r="C7198" s="550"/>
      <c r="D7198" s="550"/>
      <c r="E7198" s="1189"/>
      <c r="F7198" s="550"/>
      <c r="G7198" s="550"/>
      <c r="H7198" s="550"/>
      <c r="I7198" s="551"/>
      <c r="J7198" s="765"/>
      <c r="K7198" s="766">
        <f>SUM(K7184:K7197)/2</f>
        <v>463</v>
      </c>
      <c r="L7198" s="765">
        <f>SUM(L7184:L7197)/2</f>
        <v>28.856923999999996</v>
      </c>
      <c r="M7198" s="550"/>
      <c r="N7198" s="550"/>
      <c r="O7198" s="550"/>
      <c r="P7198" s="550" t="s">
        <v>796</v>
      </c>
    </row>
    <row r="7199" spans="1:17" s="497" customFormat="1" ht="17.399999999999999">
      <c r="A7199" s="550"/>
      <c r="B7199" s="550"/>
      <c r="C7199" s="550"/>
      <c r="D7199" s="550"/>
      <c r="E7199" s="1189"/>
      <c r="F7199" s="550"/>
      <c r="G7199" s="550"/>
      <c r="H7199" s="550"/>
      <c r="I7199" s="551"/>
      <c r="J7199" s="765"/>
      <c r="K7199" s="766"/>
      <c r="L7199" s="765"/>
      <c r="M7199" s="550"/>
      <c r="N7199" s="550"/>
      <c r="O7199" s="550"/>
      <c r="P7199" s="550"/>
    </row>
    <row r="7200" spans="1:17" s="497" customFormat="1" ht="17.399999999999999">
      <c r="A7200" s="550"/>
      <c r="B7200" s="550"/>
      <c r="C7200" s="550"/>
      <c r="D7200" s="550"/>
      <c r="E7200" s="1189"/>
      <c r="F7200" s="550"/>
      <c r="G7200" s="550"/>
      <c r="H7200" s="550"/>
      <c r="I7200" s="551"/>
      <c r="J7200" s="765"/>
      <c r="K7200" s="766"/>
      <c r="L7200" s="765"/>
      <c r="M7200" s="550"/>
      <c r="N7200" s="550"/>
      <c r="O7200" s="550"/>
      <c r="P7200" s="550"/>
    </row>
    <row r="7201" spans="1:19" s="497" customFormat="1" ht="17.399999999999999">
      <c r="A7201" s="547" t="s">
        <v>523</v>
      </c>
      <c r="B7201" s="547" t="s">
        <v>808</v>
      </c>
      <c r="C7201" s="547" t="s">
        <v>19</v>
      </c>
      <c r="D7201" s="547" t="s">
        <v>60</v>
      </c>
      <c r="E7201" s="547" t="s">
        <v>270</v>
      </c>
      <c r="F7201" s="1189">
        <v>7</v>
      </c>
      <c r="G7201" s="550" t="s">
        <v>61</v>
      </c>
      <c r="H7201" s="599" t="s">
        <v>274</v>
      </c>
      <c r="I7201" s="551">
        <v>9</v>
      </c>
      <c r="J7201" s="765">
        <v>10</v>
      </c>
      <c r="K7201" s="766">
        <v>25</v>
      </c>
      <c r="L7201" s="552">
        <f>(I7201*J7201*K7201/1000)</f>
        <v>2.25</v>
      </c>
      <c r="M7201" s="550"/>
      <c r="N7201" s="550"/>
      <c r="O7201" s="550"/>
      <c r="P7201" s="550"/>
      <c r="Q7201" s="497" t="s">
        <v>850</v>
      </c>
    </row>
    <row r="7202" spans="1:19" s="497" customFormat="1" ht="17.399999999999999">
      <c r="A7202" s="547"/>
      <c r="B7202" s="550" t="s">
        <v>809</v>
      </c>
      <c r="C7202" s="547"/>
      <c r="D7202" s="547"/>
      <c r="E7202" s="547"/>
      <c r="F7202" s="1189"/>
      <c r="G7202" s="550" t="s">
        <v>61</v>
      </c>
      <c r="H7202" s="550" t="s">
        <v>274</v>
      </c>
      <c r="I7202" s="551">
        <v>9</v>
      </c>
      <c r="J7202" s="765">
        <v>10.65</v>
      </c>
      <c r="K7202" s="766">
        <v>61</v>
      </c>
      <c r="L7202" s="552">
        <f t="shared" ref="L7202:L7206" si="1516">(I7202*J7202*K7202/1000)</f>
        <v>5.8468500000000008</v>
      </c>
      <c r="M7202" s="550"/>
      <c r="N7202" s="550"/>
      <c r="O7202" s="550"/>
      <c r="P7202" s="550"/>
    </row>
    <row r="7203" spans="1:19" s="497" customFormat="1" ht="17.399999999999999">
      <c r="A7203" s="547"/>
      <c r="B7203" s="547"/>
      <c r="C7203" s="547"/>
      <c r="D7203" s="547"/>
      <c r="E7203" s="547"/>
      <c r="F7203" s="1189"/>
      <c r="G7203" s="550" t="s">
        <v>61</v>
      </c>
      <c r="H7203" s="550" t="s">
        <v>274</v>
      </c>
      <c r="I7203" s="551">
        <v>9</v>
      </c>
      <c r="J7203" s="765">
        <v>10.75</v>
      </c>
      <c r="K7203" s="766">
        <v>52</v>
      </c>
      <c r="L7203" s="552">
        <f t="shared" si="1516"/>
        <v>5.0309999999999997</v>
      </c>
      <c r="M7203" s="550"/>
      <c r="N7203" s="550"/>
      <c r="O7203" s="550"/>
      <c r="P7203" s="550"/>
    </row>
    <row r="7204" spans="1:19" s="497" customFormat="1" ht="17.399999999999999">
      <c r="A7204" s="547"/>
      <c r="B7204" s="547"/>
      <c r="C7204" s="547"/>
      <c r="D7204" s="547"/>
      <c r="E7204" s="547"/>
      <c r="F7204" s="1189"/>
      <c r="G7204" s="550" t="s">
        <v>61</v>
      </c>
      <c r="H7204" s="550" t="s">
        <v>274</v>
      </c>
      <c r="I7204" s="551">
        <v>9</v>
      </c>
      <c r="J7204" s="765">
        <v>12</v>
      </c>
      <c r="K7204" s="766">
        <v>132</v>
      </c>
      <c r="L7204" s="552">
        <f t="shared" si="1516"/>
        <v>14.256</v>
      </c>
      <c r="M7204" s="550"/>
      <c r="N7204" s="550"/>
      <c r="O7204" s="550"/>
      <c r="P7204" s="550"/>
    </row>
    <row r="7205" spans="1:19" s="497" customFormat="1" ht="17.399999999999999">
      <c r="A7205" s="547"/>
      <c r="B7205" s="547"/>
      <c r="C7205" s="547"/>
      <c r="D7205" s="547"/>
      <c r="E7205" s="547"/>
      <c r="F7205" s="1189"/>
      <c r="G7205" s="550" t="s">
        <v>61</v>
      </c>
      <c r="H7205" s="550" t="s">
        <v>274</v>
      </c>
      <c r="I7205" s="551">
        <v>9</v>
      </c>
      <c r="J7205" s="765">
        <v>12.65</v>
      </c>
      <c r="K7205" s="766">
        <v>14</v>
      </c>
      <c r="L7205" s="552">
        <f t="shared" si="1516"/>
        <v>1.5939000000000001</v>
      </c>
      <c r="M7205" s="550"/>
      <c r="N7205" s="550"/>
      <c r="O7205" s="550"/>
      <c r="P7205" s="550"/>
    </row>
    <row r="7206" spans="1:19" s="497" customFormat="1" ht="17.399999999999999">
      <c r="A7206" s="547"/>
      <c r="B7206" s="547"/>
      <c r="C7206" s="547"/>
      <c r="D7206" s="547"/>
      <c r="E7206" s="547"/>
      <c r="F7206" s="1189"/>
      <c r="G7206" s="550" t="s">
        <v>61</v>
      </c>
      <c r="H7206" s="550" t="s">
        <v>274</v>
      </c>
      <c r="I7206" s="551">
        <v>9</v>
      </c>
      <c r="J7206" s="765">
        <v>12.75</v>
      </c>
      <c r="K7206" s="766">
        <v>13</v>
      </c>
      <c r="L7206" s="552">
        <f t="shared" si="1516"/>
        <v>1.4917499999999999</v>
      </c>
      <c r="M7206" s="550"/>
      <c r="N7206" s="550"/>
      <c r="O7206" s="550"/>
      <c r="P7206" s="550"/>
    </row>
    <row r="7207" spans="1:19" s="497" customFormat="1" ht="17.399999999999999">
      <c r="A7207" s="550"/>
      <c r="B7207" s="150"/>
      <c r="C7207" s="550"/>
      <c r="D7207" s="550"/>
      <c r="E7207" s="1189"/>
      <c r="F7207" s="1189"/>
      <c r="G7207" s="550"/>
      <c r="H7207" s="550"/>
      <c r="I7207" s="551"/>
      <c r="J7207" s="765"/>
      <c r="K7207" s="766">
        <f>SUM(K7201:K7206)</f>
        <v>297</v>
      </c>
      <c r="L7207" s="1192">
        <f>SUM(L7201:L7206)</f>
        <v>30.4695</v>
      </c>
      <c r="M7207" s="550"/>
      <c r="N7207" s="550"/>
      <c r="O7207" s="550"/>
      <c r="P7207" s="550"/>
    </row>
    <row r="7208" spans="1:19" s="497" customFormat="1" ht="17.399999999999999">
      <c r="A7208" s="550"/>
      <c r="B7208" s="150"/>
      <c r="C7208" s="550"/>
      <c r="D7208" s="550"/>
      <c r="E7208" s="1189"/>
      <c r="F7208" s="1189"/>
      <c r="G7208" s="550"/>
      <c r="H7208" s="550"/>
      <c r="I7208" s="551"/>
      <c r="J7208" s="765"/>
      <c r="K7208" s="766"/>
      <c r="L7208" s="765"/>
      <c r="M7208" s="550"/>
      <c r="N7208" s="550"/>
      <c r="O7208" s="550"/>
      <c r="P7208" s="550"/>
    </row>
    <row r="7209" spans="1:19" s="497" customFormat="1" ht="17.399999999999999">
      <c r="A7209" s="547" t="s">
        <v>523</v>
      </c>
      <c r="B7209" s="547" t="s">
        <v>810</v>
      </c>
      <c r="C7209" s="547" t="s">
        <v>19</v>
      </c>
      <c r="D7209" s="547" t="s">
        <v>60</v>
      </c>
      <c r="E7209" s="547" t="s">
        <v>270</v>
      </c>
      <c r="F7209" s="1189">
        <v>7</v>
      </c>
      <c r="G7209" s="550" t="s">
        <v>61</v>
      </c>
      <c r="H7209" s="599" t="s">
        <v>274</v>
      </c>
      <c r="I7209" s="551">
        <v>9</v>
      </c>
      <c r="J7209" s="765">
        <v>12</v>
      </c>
      <c r="K7209" s="766">
        <v>132</v>
      </c>
      <c r="L7209" s="552">
        <f>(I7209*J7209*K7209/1000)</f>
        <v>14.256</v>
      </c>
      <c r="M7209" s="550"/>
      <c r="N7209" s="550"/>
      <c r="O7209" s="550"/>
      <c r="P7209" s="550"/>
      <c r="Q7209" s="497" t="s">
        <v>850</v>
      </c>
    </row>
    <row r="7210" spans="1:19" s="497" customFormat="1" ht="17.399999999999999">
      <c r="A7210" s="547"/>
      <c r="B7210" s="550" t="s">
        <v>809</v>
      </c>
      <c r="C7210" s="547"/>
      <c r="D7210" s="547"/>
      <c r="E7210" s="547"/>
      <c r="F7210" s="1189"/>
      <c r="G7210" s="550" t="s">
        <v>61</v>
      </c>
      <c r="H7210" s="550" t="s">
        <v>274</v>
      </c>
      <c r="I7210" s="551">
        <v>9</v>
      </c>
      <c r="J7210" s="765">
        <v>10</v>
      </c>
      <c r="K7210" s="766">
        <v>25</v>
      </c>
      <c r="L7210" s="552">
        <f t="shared" ref="L7210" si="1517">(I7210*J7210*K7210/1000)</f>
        <v>2.25</v>
      </c>
      <c r="M7210" s="550"/>
      <c r="N7210" s="550"/>
      <c r="O7210" s="550"/>
      <c r="P7210" s="550"/>
    </row>
    <row r="7211" spans="1:19" s="497" customFormat="1" ht="17.399999999999999">
      <c r="A7211" s="550"/>
      <c r="B7211" s="150"/>
      <c r="C7211" s="550"/>
      <c r="D7211" s="550"/>
      <c r="E7211" s="1189"/>
      <c r="F7211" s="1189"/>
      <c r="G7211" s="550"/>
      <c r="H7211" s="550"/>
      <c r="I7211" s="551"/>
      <c r="J7211" s="765"/>
      <c r="K7211" s="766">
        <f>SUM(K7209:K7210)</f>
        <v>157</v>
      </c>
      <c r="L7211" s="1192">
        <f>SUM(L7209:L7210)</f>
        <v>16.506</v>
      </c>
      <c r="M7211" s="550"/>
      <c r="N7211" s="550"/>
      <c r="O7211" s="550"/>
      <c r="P7211" s="550"/>
    </row>
    <row r="7212" spans="1:19" s="497" customFormat="1" ht="17.399999999999999">
      <c r="A7212" s="550"/>
      <c r="B7212" s="150"/>
      <c r="C7212" s="550"/>
      <c r="D7212" s="550"/>
      <c r="E7212" s="1189"/>
      <c r="F7212" s="1189"/>
      <c r="G7212" s="550"/>
      <c r="H7212" s="550"/>
      <c r="I7212" s="551"/>
      <c r="J7212" s="765"/>
      <c r="K7212" s="766"/>
      <c r="L7212" s="765">
        <f>+L7207+L7211</f>
        <v>46.975499999999997</v>
      </c>
      <c r="M7212" s="550"/>
      <c r="N7212" s="550"/>
      <c r="O7212" s="550"/>
      <c r="P7212" s="550" t="s">
        <v>797</v>
      </c>
    </row>
    <row r="7213" spans="1:19" s="497" customFormat="1" ht="17.399999999999999">
      <c r="A7213" s="550"/>
      <c r="B7213" s="150"/>
      <c r="C7213" s="550"/>
      <c r="D7213" s="550"/>
      <c r="E7213" s="1189"/>
      <c r="F7213" s="1189"/>
      <c r="G7213" s="550"/>
      <c r="H7213" s="550"/>
      <c r="I7213" s="551"/>
      <c r="J7213" s="765"/>
      <c r="K7213" s="766"/>
      <c r="L7213" s="765"/>
      <c r="M7213" s="550"/>
      <c r="N7213" s="550"/>
      <c r="O7213" s="550"/>
      <c r="P7213" s="550"/>
    </row>
    <row r="7214" spans="1:19" s="497" customFormat="1" ht="17.399999999999999">
      <c r="A7214" s="547" t="s">
        <v>523</v>
      </c>
      <c r="B7214" s="547" t="s">
        <v>808</v>
      </c>
      <c r="C7214" s="547" t="s">
        <v>19</v>
      </c>
      <c r="D7214" s="547" t="s">
        <v>60</v>
      </c>
      <c r="E7214" s="547" t="s">
        <v>270</v>
      </c>
      <c r="F7214" s="1189">
        <v>7</v>
      </c>
      <c r="G7214" s="550" t="s">
        <v>61</v>
      </c>
      <c r="H7214" s="599" t="s">
        <v>69</v>
      </c>
      <c r="I7214" s="551">
        <v>6.86</v>
      </c>
      <c r="J7214" s="765">
        <v>10.5</v>
      </c>
      <c r="K7214" s="766">
        <v>23</v>
      </c>
      <c r="L7214" s="552">
        <f>(I7214*J7214*K7214/1000)</f>
        <v>1.65669</v>
      </c>
      <c r="M7214" s="550"/>
      <c r="N7214" s="550"/>
      <c r="O7214" s="550"/>
      <c r="P7214" s="550"/>
      <c r="Q7214" s="497">
        <v>19</v>
      </c>
      <c r="R7214" s="126">
        <f>J7214*Q7214*I7214/1000</f>
        <v>1.3685700000000001</v>
      </c>
      <c r="S7214" s="497" t="s">
        <v>850</v>
      </c>
    </row>
    <row r="7215" spans="1:19" s="497" customFormat="1" ht="17.399999999999999">
      <c r="A7215" s="547"/>
      <c r="B7215" s="550" t="s">
        <v>809</v>
      </c>
      <c r="C7215" s="547"/>
      <c r="D7215" s="547"/>
      <c r="E7215" s="547"/>
      <c r="F7215" s="1189"/>
      <c r="G7215" s="550" t="s">
        <v>61</v>
      </c>
      <c r="H7215" s="550" t="s">
        <v>69</v>
      </c>
      <c r="I7215" s="551">
        <v>6.86</v>
      </c>
      <c r="J7215" s="765">
        <v>11</v>
      </c>
      <c r="K7215" s="766">
        <v>15</v>
      </c>
      <c r="L7215" s="552">
        <f t="shared" ref="L7215:L7216" si="1518">(I7215*J7215*K7215/1000)</f>
        <v>1.1319000000000001</v>
      </c>
      <c r="M7215" s="550"/>
      <c r="N7215" s="550"/>
      <c r="O7215" s="550"/>
      <c r="P7215" s="550"/>
      <c r="Q7215" s="497">
        <v>11</v>
      </c>
      <c r="R7215" s="126">
        <f t="shared" ref="R7215:R7216" si="1519">J7215*Q7215*I7215/1000</f>
        <v>0.83006000000000002</v>
      </c>
    </row>
    <row r="7216" spans="1:19" s="497" customFormat="1" ht="17.399999999999999">
      <c r="A7216" s="547"/>
      <c r="B7216" s="547"/>
      <c r="C7216" s="547"/>
      <c r="D7216" s="547"/>
      <c r="E7216" s="547"/>
      <c r="F7216" s="1189"/>
      <c r="G7216" s="550" t="s">
        <v>61</v>
      </c>
      <c r="H7216" s="550" t="s">
        <v>69</v>
      </c>
      <c r="I7216" s="551">
        <v>6.86</v>
      </c>
      <c r="J7216" s="765">
        <v>11.5</v>
      </c>
      <c r="K7216" s="766">
        <v>25</v>
      </c>
      <c r="L7216" s="552">
        <f t="shared" si="1518"/>
        <v>1.9722500000000001</v>
      </c>
      <c r="M7216" s="550"/>
      <c r="N7216" s="550"/>
      <c r="O7216" s="550"/>
      <c r="P7216" s="550"/>
      <c r="Q7216" s="497">
        <f>25-19</f>
        <v>6</v>
      </c>
      <c r="R7216" s="126">
        <f t="shared" si="1519"/>
        <v>0.47334000000000004</v>
      </c>
    </row>
    <row r="7217" spans="1:19" s="497" customFormat="1" ht="17.399999999999999">
      <c r="A7217" s="550"/>
      <c r="B7217" s="150"/>
      <c r="C7217" s="550"/>
      <c r="D7217" s="550"/>
      <c r="E7217" s="1189"/>
      <c r="F7217" s="1189"/>
      <c r="G7217" s="550"/>
      <c r="H7217" s="550"/>
      <c r="I7217" s="551"/>
      <c r="J7217" s="765"/>
      <c r="K7217" s="766">
        <f>SUM(K7214:K7216)</f>
        <v>63</v>
      </c>
      <c r="L7217" s="1192">
        <f>SUM(L7214:L7216)</f>
        <v>4.76084</v>
      </c>
      <c r="M7217" s="550"/>
      <c r="N7217" s="550"/>
      <c r="O7217" s="550"/>
      <c r="P7217" s="550"/>
      <c r="Q7217" s="766">
        <f>SUM(Q7214:Q7216)</f>
        <v>36</v>
      </c>
      <c r="R7217" s="1192">
        <f>SUM(R7214:R7216)</f>
        <v>2.67197</v>
      </c>
    </row>
    <row r="7218" spans="1:19" s="497" customFormat="1" ht="17.399999999999999">
      <c r="A7218" s="550"/>
      <c r="B7218" s="150"/>
      <c r="C7218" s="550"/>
      <c r="D7218" s="550"/>
      <c r="E7218" s="1189"/>
      <c r="F7218" s="1189"/>
      <c r="G7218" s="550"/>
      <c r="H7218" s="550"/>
      <c r="I7218" s="551"/>
      <c r="J7218" s="765"/>
      <c r="K7218" s="766"/>
      <c r="L7218" s="765"/>
      <c r="M7218" s="550"/>
      <c r="N7218" s="550"/>
      <c r="O7218" s="550"/>
      <c r="P7218" s="550"/>
    </row>
    <row r="7219" spans="1:19" s="497" customFormat="1" ht="17.399999999999999">
      <c r="A7219" s="547" t="s">
        <v>523</v>
      </c>
      <c r="B7219" s="547" t="s">
        <v>810</v>
      </c>
      <c r="C7219" s="547" t="s">
        <v>19</v>
      </c>
      <c r="D7219" s="547" t="s">
        <v>60</v>
      </c>
      <c r="E7219" s="547" t="s">
        <v>270</v>
      </c>
      <c r="F7219" s="1189">
        <v>7</v>
      </c>
      <c r="G7219" s="550" t="s">
        <v>61</v>
      </c>
      <c r="H7219" s="599" t="s">
        <v>69</v>
      </c>
      <c r="I7219" s="551">
        <v>6.86</v>
      </c>
      <c r="J7219" s="765">
        <v>11.5</v>
      </c>
      <c r="K7219" s="766">
        <v>19</v>
      </c>
      <c r="L7219" s="552">
        <f>(I7219*J7219*K7219/1000)</f>
        <v>1.4989100000000002</v>
      </c>
      <c r="M7219" s="550"/>
      <c r="N7219" s="550"/>
      <c r="O7219" s="550"/>
      <c r="P7219" s="550"/>
      <c r="Q7219" s="512">
        <v>19</v>
      </c>
      <c r="R7219" s="126">
        <f t="shared" ref="R7219" si="1520">J7219*Q7219*I7219/1000</f>
        <v>1.4989100000000002</v>
      </c>
      <c r="S7219" s="497" t="s">
        <v>850</v>
      </c>
    </row>
    <row r="7220" spans="1:19" s="497" customFormat="1" ht="17.399999999999999">
      <c r="A7220" s="550"/>
      <c r="B7220" s="550" t="s">
        <v>809</v>
      </c>
      <c r="C7220" s="550"/>
      <c r="D7220" s="550"/>
      <c r="E7220" s="1189"/>
      <c r="F7220" s="1189"/>
      <c r="G7220" s="550"/>
      <c r="H7220" s="550"/>
      <c r="I7220" s="551"/>
      <c r="J7220" s="765"/>
      <c r="K7220" s="766">
        <f>SUM(K7219:K7219)</f>
        <v>19</v>
      </c>
      <c r="L7220" s="1192">
        <f>SUM(L7219:L7219)</f>
        <v>1.4989100000000002</v>
      </c>
      <c r="M7220" s="550"/>
      <c r="N7220" s="550"/>
      <c r="O7220" s="550"/>
      <c r="P7220" s="550"/>
      <c r="Q7220" s="766">
        <f>SUM(Q7219:Q7219)</f>
        <v>19</v>
      </c>
      <c r="R7220" s="1192">
        <f>SUM(R7219:R7219)</f>
        <v>1.4989100000000002</v>
      </c>
    </row>
    <row r="7221" spans="1:19" s="497" customFormat="1" ht="17.399999999999999">
      <c r="A7221" s="550"/>
      <c r="B7221" s="550"/>
      <c r="C7221" s="550"/>
      <c r="D7221" s="550"/>
      <c r="E7221" s="550"/>
      <c r="F7221" s="550"/>
      <c r="G7221" s="550"/>
      <c r="H7221" s="550"/>
      <c r="I7221" s="1865"/>
      <c r="J7221" s="550"/>
      <c r="K7221" s="772"/>
      <c r="L7221" s="763">
        <f>+L7220+L7217</f>
        <v>6.2597500000000004</v>
      </c>
      <c r="M7221" s="550"/>
      <c r="N7221" s="550"/>
      <c r="O7221" s="550"/>
      <c r="P7221" s="550" t="s">
        <v>815</v>
      </c>
    </row>
    <row r="7222" spans="1:19" s="497" customFormat="1" ht="17.399999999999999">
      <c r="A7222" s="550"/>
      <c r="B7222" s="550"/>
      <c r="C7222" s="550"/>
      <c r="D7222" s="550"/>
      <c r="E7222" s="550"/>
      <c r="F7222" s="550"/>
      <c r="G7222" s="550"/>
      <c r="H7222" s="550"/>
      <c r="I7222" s="1865"/>
      <c r="J7222" s="550"/>
      <c r="K7222" s="772"/>
      <c r="L7222" s="763"/>
      <c r="M7222" s="550"/>
      <c r="N7222" s="550"/>
      <c r="O7222" s="550"/>
      <c r="P7222" s="550"/>
    </row>
    <row r="7223" spans="1:19" s="497" customFormat="1" ht="17.399999999999999">
      <c r="A7223" s="550"/>
      <c r="B7223" s="550"/>
      <c r="C7223" s="550"/>
      <c r="D7223" s="550"/>
      <c r="E7223" s="550"/>
      <c r="F7223" s="550"/>
      <c r="G7223" s="550"/>
      <c r="H7223" s="550"/>
      <c r="I7223" s="1865"/>
      <c r="J7223" s="550"/>
      <c r="K7223" s="772"/>
      <c r="L7223" s="763">
        <f>+L7221+L7212+L7198+L7181+L7159+L7155+L7146</f>
        <v>158.79329499999997</v>
      </c>
      <c r="M7223" s="550"/>
      <c r="N7223" s="550"/>
      <c r="O7223" s="550"/>
      <c r="P7223" s="550"/>
    </row>
    <row r="7224" spans="1:19" s="497" customFormat="1" ht="17.399999999999999">
      <c r="A7224" s="549"/>
      <c r="B7224" s="549"/>
      <c r="C7224" s="549"/>
      <c r="D7224" s="549"/>
      <c r="E7224" s="549"/>
      <c r="F7224" s="549"/>
      <c r="G7224" s="549"/>
      <c r="H7224" s="549"/>
      <c r="I7224" s="560"/>
      <c r="J7224" s="549"/>
      <c r="K7224" s="561"/>
      <c r="L7224" s="710"/>
      <c r="M7224" s="549"/>
      <c r="N7224" s="549"/>
      <c r="O7224" s="549"/>
      <c r="P7224" s="549"/>
    </row>
    <row r="7225" spans="1:19" s="497" customFormat="1" ht="17.399999999999999">
      <c r="A7225" s="549"/>
      <c r="B7225" s="549"/>
      <c r="C7225" s="549"/>
      <c r="D7225" s="549"/>
      <c r="E7225" s="549"/>
      <c r="F7225" s="549"/>
      <c r="G7225" s="549"/>
      <c r="H7225" s="549"/>
      <c r="I7225" s="560"/>
      <c r="J7225" s="549"/>
      <c r="K7225" s="561"/>
      <c r="L7225" s="728"/>
      <c r="M7225" s="549"/>
      <c r="N7225" s="549"/>
      <c r="O7225" s="549"/>
      <c r="P7225" s="549"/>
    </row>
    <row r="7226" spans="1:19" s="497" customFormat="1" ht="17.399999999999999">
      <c r="A7226" s="549"/>
      <c r="B7226" s="549"/>
      <c r="C7226" s="549"/>
      <c r="D7226" s="549"/>
      <c r="E7226" s="549"/>
      <c r="F7226" s="549"/>
      <c r="G7226" s="549"/>
      <c r="H7226" s="549"/>
      <c r="I7226" s="560"/>
      <c r="J7226" s="549"/>
      <c r="K7226" s="561"/>
      <c r="L7226" s="710">
        <f>+L7223+L7141</f>
        <v>301.56774099999996</v>
      </c>
      <c r="M7226" s="549"/>
      <c r="N7226" s="710">
        <f>+N7223+N7141</f>
        <v>2.3436000000000003</v>
      </c>
      <c r="O7226" s="549"/>
      <c r="P7226" s="549"/>
      <c r="Q7226" s="431">
        <f>+L7221+L7212+L7198+L7138++L7128+L7113+L7098+L7082+L7078</f>
        <v>222.52302</v>
      </c>
    </row>
    <row r="7227" spans="1:19" s="497" customFormat="1" ht="17.399999999999999">
      <c r="A7227" s="653" t="s">
        <v>48</v>
      </c>
      <c r="B7227" s="653"/>
      <c r="C7227" s="654"/>
      <c r="D7227" s="654"/>
      <c r="E7227" s="654"/>
      <c r="F7227" s="1179"/>
      <c r="G7227" s="654"/>
      <c r="H7227" s="1179"/>
      <c r="I7227" s="656"/>
      <c r="J7227" s="654"/>
      <c r="K7227" s="657"/>
      <c r="L7227" s="2003" t="s">
        <v>0</v>
      </c>
      <c r="M7227" s="2003"/>
      <c r="N7227" s="2003"/>
      <c r="O7227" s="2004"/>
      <c r="P7227" s="2010"/>
    </row>
    <row r="7228" spans="1:19" s="497" customFormat="1" ht="17.399999999999999">
      <c r="A7228" s="658" t="s">
        <v>1</v>
      </c>
      <c r="B7228" s="658"/>
      <c r="C7228" s="658"/>
      <c r="D7228" s="659" t="s">
        <v>2</v>
      </c>
      <c r="E7228" s="659"/>
      <c r="F7228" s="660"/>
      <c r="G7228" s="660"/>
      <c r="H7228" s="660"/>
      <c r="I7228" s="661"/>
      <c r="J7228" s="660"/>
      <c r="K7228" s="662" t="s">
        <v>3</v>
      </c>
      <c r="L7228" s="660"/>
      <c r="M7228" s="658"/>
      <c r="N7228" s="660"/>
      <c r="O7228" s="663"/>
      <c r="P7228" s="2010"/>
    </row>
    <row r="7229" spans="1:19" s="497" customFormat="1" ht="17.399999999999999">
      <c r="A7229" s="1179" t="s">
        <v>22</v>
      </c>
      <c r="B7229" s="1990" t="s">
        <v>23</v>
      </c>
      <c r="C7229" s="2005"/>
      <c r="D7229" s="1989"/>
      <c r="E7229" s="1179" t="s">
        <v>24</v>
      </c>
      <c r="F7229" s="1990" t="s">
        <v>25</v>
      </c>
      <c r="G7229" s="1989"/>
      <c r="H7229" s="1990" t="s">
        <v>26</v>
      </c>
      <c r="I7229" s="2005"/>
      <c r="J7229" s="2005"/>
      <c r="K7229" s="1989"/>
      <c r="L7229" s="2006" t="s">
        <v>27</v>
      </c>
      <c r="M7229" s="2006"/>
      <c r="N7229" s="2006"/>
      <c r="O7229" s="1990"/>
      <c r="P7229" s="2010"/>
    </row>
    <row r="7230" spans="1:19" s="497" customFormat="1" ht="17.399999999999999">
      <c r="A7230" s="664"/>
      <c r="B7230" s="1975"/>
      <c r="C7230" s="1976"/>
      <c r="D7230" s="1977"/>
      <c r="E7230" s="665"/>
      <c r="F7230" s="1975"/>
      <c r="G7230" s="1977"/>
      <c r="H7230" s="1975"/>
      <c r="I7230" s="1976"/>
      <c r="J7230" s="1976"/>
      <c r="K7230" s="1977"/>
      <c r="L7230" s="1975"/>
      <c r="M7230" s="1976"/>
      <c r="N7230" s="1976"/>
      <c r="O7230" s="1976"/>
      <c r="P7230" s="2010"/>
    </row>
    <row r="7231" spans="1:19" s="497" customFormat="1" ht="17.399999999999999">
      <c r="A7231" s="664"/>
      <c r="B7231" s="1175"/>
      <c r="C7231" s="1176"/>
      <c r="D7231" s="1177"/>
      <c r="E7231" s="665"/>
      <c r="F7231" s="1175"/>
      <c r="G7231" s="1177"/>
      <c r="H7231" s="1175"/>
      <c r="I7231" s="1842"/>
      <c r="J7231" s="1176"/>
      <c r="K7231" s="1177"/>
      <c r="L7231" s="1176"/>
      <c r="M7231" s="1176"/>
      <c r="N7231" s="1176"/>
      <c r="O7231" s="1176"/>
      <c r="P7231" s="2010"/>
    </row>
    <row r="7232" spans="1:19" s="497" customFormat="1" ht="17.399999999999999">
      <c r="A7232" s="664" t="s">
        <v>28</v>
      </c>
      <c r="B7232" s="1975" t="s">
        <v>720</v>
      </c>
      <c r="C7232" s="1976"/>
      <c r="D7232" s="1977"/>
      <c r="E7232" s="665">
        <f>+L7078+L7082</f>
        <v>35.475780000000007</v>
      </c>
      <c r="F7232" s="1975">
        <v>9</v>
      </c>
      <c r="G7232" s="1977"/>
      <c r="H7232" s="1975" t="s">
        <v>49</v>
      </c>
      <c r="I7232" s="1976"/>
      <c r="J7232" s="1976"/>
      <c r="K7232" s="1977"/>
      <c r="L7232" s="1976" t="s">
        <v>721</v>
      </c>
      <c r="M7232" s="1976"/>
      <c r="N7232" s="1976"/>
      <c r="O7232" s="1976"/>
      <c r="P7232" s="2010"/>
    </row>
    <row r="7233" spans="1:18" s="497" customFormat="1" ht="17.399999999999999">
      <c r="A7233" s="664"/>
      <c r="B7233" s="1175"/>
      <c r="C7233" s="1176"/>
      <c r="D7233" s="1177"/>
      <c r="E7233" s="665"/>
      <c r="F7233" s="1175"/>
      <c r="G7233" s="1177"/>
      <c r="H7233" s="1175"/>
      <c r="I7233" s="1842"/>
      <c r="J7233" s="1176"/>
      <c r="K7233" s="1177"/>
      <c r="L7233" s="1176"/>
      <c r="M7233" s="1176"/>
      <c r="N7233" s="1176"/>
      <c r="O7233" s="1176"/>
      <c r="P7233" s="2010"/>
    </row>
    <row r="7234" spans="1:18" s="497" customFormat="1" ht="17.399999999999999">
      <c r="A7234" s="664" t="s">
        <v>29</v>
      </c>
      <c r="B7234" s="1975" t="s">
        <v>573</v>
      </c>
      <c r="C7234" s="1976"/>
      <c r="D7234" s="1977"/>
      <c r="E7234" s="665">
        <f>+L7098+L7146</f>
        <v>36.832714999999993</v>
      </c>
      <c r="F7234" s="1975">
        <v>9</v>
      </c>
      <c r="G7234" s="1977"/>
      <c r="H7234" s="1975" t="s">
        <v>155</v>
      </c>
      <c r="I7234" s="1976"/>
      <c r="J7234" s="1976"/>
      <c r="K7234" s="1977"/>
      <c r="L7234" s="1976" t="s">
        <v>729</v>
      </c>
      <c r="M7234" s="1976"/>
      <c r="N7234" s="1976"/>
      <c r="O7234" s="1976"/>
      <c r="P7234" s="2010"/>
    </row>
    <row r="7235" spans="1:18" s="497" customFormat="1" ht="17.399999999999999">
      <c r="A7235" s="664" t="s">
        <v>30</v>
      </c>
      <c r="B7235" s="1975" t="s">
        <v>623</v>
      </c>
      <c r="C7235" s="1976"/>
      <c r="D7235" s="1977"/>
      <c r="E7235" s="665">
        <f>+L7113+L7155</f>
        <v>70.282064999999989</v>
      </c>
      <c r="F7235" s="1975">
        <v>9</v>
      </c>
      <c r="G7235" s="1977"/>
      <c r="H7235" s="1975" t="s">
        <v>155</v>
      </c>
      <c r="I7235" s="1976"/>
      <c r="J7235" s="1976"/>
      <c r="K7235" s="1977"/>
      <c r="L7235" s="1976" t="s">
        <v>719</v>
      </c>
      <c r="M7235" s="1976"/>
      <c r="N7235" s="1976"/>
      <c r="O7235" s="1976"/>
      <c r="P7235" s="2010"/>
    </row>
    <row r="7236" spans="1:18" s="497" customFormat="1" ht="17.399999999999999">
      <c r="A7236" s="664"/>
      <c r="B7236" s="1975"/>
      <c r="C7236" s="1976"/>
      <c r="D7236" s="1977"/>
      <c r="E7236" s="665"/>
      <c r="F7236" s="1975"/>
      <c r="G7236" s="1977"/>
      <c r="H7236" s="1975"/>
      <c r="I7236" s="1976"/>
      <c r="J7236" s="1976"/>
      <c r="K7236" s="1977"/>
      <c r="L7236" s="1976"/>
      <c r="M7236" s="1976"/>
      <c r="N7236" s="1976"/>
      <c r="O7236" s="1976"/>
      <c r="P7236" s="2010"/>
    </row>
    <row r="7237" spans="1:18" s="497" customFormat="1" ht="17.399999999999999">
      <c r="A7237" s="664"/>
      <c r="B7237" s="1975"/>
      <c r="C7237" s="1976"/>
      <c r="D7237" s="1977"/>
      <c r="E7237" s="665"/>
      <c r="F7237" s="1975"/>
      <c r="G7237" s="1977"/>
      <c r="H7237" s="1975"/>
      <c r="I7237" s="1976"/>
      <c r="J7237" s="1976"/>
      <c r="K7237" s="1977"/>
      <c r="L7237" s="1976"/>
      <c r="M7237" s="1976"/>
      <c r="N7237" s="1976"/>
      <c r="O7237" s="1976"/>
      <c r="P7237" s="2010"/>
    </row>
    <row r="7238" spans="1:18" s="497" customFormat="1" ht="17.399999999999999">
      <c r="A7238" s="664" t="s">
        <v>46</v>
      </c>
      <c r="B7238" s="1975" t="s">
        <v>71</v>
      </c>
      <c r="C7238" s="1976"/>
      <c r="D7238" s="1977"/>
      <c r="E7238" s="665">
        <f>+L7128+L7159</f>
        <v>36.898568000000004</v>
      </c>
      <c r="F7238" s="1975">
        <v>9</v>
      </c>
      <c r="G7238" s="1977"/>
      <c r="H7238" s="1975" t="s">
        <v>447</v>
      </c>
      <c r="I7238" s="1976"/>
      <c r="J7238" s="1976"/>
      <c r="K7238" s="1977"/>
      <c r="L7238" s="1976" t="s">
        <v>65</v>
      </c>
      <c r="M7238" s="1976"/>
      <c r="N7238" s="1976"/>
      <c r="O7238" s="1976"/>
      <c r="P7238" s="2010"/>
    </row>
    <row r="7239" spans="1:18" s="497" customFormat="1" ht="17.399999999999999">
      <c r="A7239" s="664" t="s">
        <v>58</v>
      </c>
      <c r="B7239" s="1975" t="s">
        <v>78</v>
      </c>
      <c r="C7239" s="1976"/>
      <c r="D7239" s="1977"/>
      <c r="E7239" s="665">
        <f>+L7138+L7181-0.138</f>
        <v>37.504839000000004</v>
      </c>
      <c r="F7239" s="1975">
        <v>9</v>
      </c>
      <c r="G7239" s="1977"/>
      <c r="H7239" s="1975" t="s">
        <v>447</v>
      </c>
      <c r="I7239" s="1976"/>
      <c r="J7239" s="1976"/>
      <c r="K7239" s="1977"/>
      <c r="L7239" s="1976" t="s">
        <v>65</v>
      </c>
      <c r="M7239" s="1976"/>
      <c r="N7239" s="1976"/>
      <c r="O7239" s="1976"/>
      <c r="P7239" s="2010"/>
    </row>
    <row r="7240" spans="1:18" s="497" customFormat="1" ht="17.399999999999999">
      <c r="A7240" s="664"/>
      <c r="B7240" s="1185"/>
      <c r="C7240" s="1186"/>
      <c r="D7240" s="1187"/>
      <c r="E7240" s="665"/>
      <c r="F7240" s="1185"/>
      <c r="G7240" s="1187"/>
      <c r="H7240" s="1185"/>
      <c r="I7240" s="1842"/>
      <c r="J7240" s="1186"/>
      <c r="K7240" s="1187"/>
      <c r="L7240" s="1186"/>
      <c r="M7240" s="1186"/>
      <c r="N7240" s="1186"/>
      <c r="O7240" s="1186"/>
      <c r="P7240" s="2010"/>
    </row>
    <row r="7241" spans="1:18" s="497" customFormat="1" ht="17.399999999999999">
      <c r="A7241" s="664"/>
      <c r="B7241" s="1975"/>
      <c r="C7241" s="1976"/>
      <c r="D7241" s="1977"/>
      <c r="E7241" s="665"/>
      <c r="F7241" s="1975"/>
      <c r="G7241" s="1977"/>
      <c r="H7241" s="1975"/>
      <c r="I7241" s="1976"/>
      <c r="J7241" s="1976"/>
      <c r="K7241" s="1977"/>
      <c r="L7241" s="1976"/>
      <c r="M7241" s="1976"/>
      <c r="N7241" s="1976"/>
      <c r="O7241" s="1976"/>
      <c r="P7241" s="2010"/>
    </row>
    <row r="7242" spans="1:18" s="497" customFormat="1" ht="17.399999999999999">
      <c r="A7242" s="664" t="s">
        <v>163</v>
      </c>
      <c r="B7242" s="1975" t="s">
        <v>573</v>
      </c>
      <c r="C7242" s="1976"/>
      <c r="D7242" s="1977"/>
      <c r="E7242" s="665">
        <f>+L7198</f>
        <v>28.856923999999996</v>
      </c>
      <c r="F7242" s="1975">
        <v>7</v>
      </c>
      <c r="G7242" s="1977"/>
      <c r="H7242" s="1975" t="s">
        <v>450</v>
      </c>
      <c r="I7242" s="1976"/>
      <c r="J7242" s="1976"/>
      <c r="K7242" s="1977"/>
      <c r="L7242" s="1976" t="s">
        <v>733</v>
      </c>
      <c r="M7242" s="1976"/>
      <c r="N7242" s="1976"/>
      <c r="O7242" s="1976"/>
      <c r="P7242" s="2010"/>
    </row>
    <row r="7243" spans="1:18" s="497" customFormat="1" ht="17.399999999999999">
      <c r="A7243" s="664"/>
      <c r="B7243" s="1175"/>
      <c r="C7243" s="1176"/>
      <c r="D7243" s="1176"/>
      <c r="E7243" s="665"/>
      <c r="F7243" s="1176"/>
      <c r="G7243" s="1177"/>
      <c r="H7243" s="1175"/>
      <c r="I7243" s="1842"/>
      <c r="J7243" s="1176"/>
      <c r="K7243" s="1177"/>
      <c r="L7243" s="1176"/>
      <c r="M7243" s="1176"/>
      <c r="N7243" s="1176"/>
      <c r="O7243" s="1176"/>
      <c r="P7243" s="2010"/>
    </row>
    <row r="7244" spans="1:18" s="497" customFormat="1" ht="17.399999999999999">
      <c r="A7244" s="664" t="s">
        <v>302</v>
      </c>
      <c r="B7244" s="1975" t="s">
        <v>574</v>
      </c>
      <c r="C7244" s="1976"/>
      <c r="D7244" s="1977"/>
      <c r="E7244" s="665">
        <f>+L7212</f>
        <v>46.975499999999997</v>
      </c>
      <c r="F7244" s="1975">
        <v>7</v>
      </c>
      <c r="G7244" s="1977"/>
      <c r="H7244" s="2007" t="s">
        <v>592</v>
      </c>
      <c r="I7244" s="2007"/>
      <c r="J7244" s="2007"/>
      <c r="K7244" s="2007"/>
      <c r="L7244" s="1976" t="s">
        <v>818</v>
      </c>
      <c r="M7244" s="1976"/>
      <c r="N7244" s="1976"/>
      <c r="O7244" s="1976"/>
      <c r="P7244" s="2010"/>
    </row>
    <row r="7245" spans="1:18" s="497" customFormat="1" ht="17.399999999999999">
      <c r="A7245" s="664" t="s">
        <v>380</v>
      </c>
      <c r="B7245" s="1975" t="s">
        <v>623</v>
      </c>
      <c r="C7245" s="1976"/>
      <c r="D7245" s="1977"/>
      <c r="E7245" s="665">
        <f>+L7221</f>
        <v>6.2597500000000004</v>
      </c>
      <c r="F7245" s="1975">
        <v>7</v>
      </c>
      <c r="G7245" s="1977"/>
      <c r="H7245" s="2007" t="s">
        <v>592</v>
      </c>
      <c r="I7245" s="2007"/>
      <c r="J7245" s="2007"/>
      <c r="K7245" s="2007"/>
      <c r="L7245" s="1976" t="s">
        <v>818</v>
      </c>
      <c r="M7245" s="1976"/>
      <c r="N7245" s="1976"/>
      <c r="O7245" s="1976"/>
      <c r="P7245" s="2010"/>
    </row>
    <row r="7246" spans="1:18" s="497" customFormat="1" ht="17.399999999999999">
      <c r="A7246" s="664"/>
      <c r="B7246" s="1175"/>
      <c r="C7246" s="1176"/>
      <c r="D7246" s="1176"/>
      <c r="E7246" s="665"/>
      <c r="F7246" s="1176"/>
      <c r="G7246" s="1177"/>
      <c r="H7246" s="1175"/>
      <c r="I7246" s="1842"/>
      <c r="J7246" s="1176"/>
      <c r="K7246" s="1177"/>
      <c r="L7246" s="1176"/>
      <c r="M7246" s="1176"/>
      <c r="N7246" s="1176"/>
      <c r="O7246" s="1176"/>
      <c r="P7246" s="2010"/>
    </row>
    <row r="7247" spans="1:18" s="497" customFormat="1" ht="18" thickBot="1">
      <c r="A7247" s="664"/>
      <c r="B7247" s="1175"/>
      <c r="C7247" s="1176"/>
      <c r="D7247" s="1176"/>
      <c r="E7247" s="665"/>
      <c r="F7247" s="1176"/>
      <c r="G7247" s="1177"/>
      <c r="H7247" s="1175"/>
      <c r="I7247" s="1842"/>
      <c r="J7247" s="1176"/>
      <c r="K7247" s="669"/>
      <c r="L7247" s="672"/>
      <c r="M7247" s="673"/>
      <c r="N7247" s="673"/>
      <c r="O7247" s="673"/>
      <c r="P7247" s="2010"/>
    </row>
    <row r="7248" spans="1:18" s="497" customFormat="1" ht="17.399999999999999">
      <c r="A7248" s="674"/>
      <c r="B7248" s="675"/>
      <c r="C7248" s="676"/>
      <c r="D7248" s="676"/>
      <c r="E7248" s="1980">
        <f>SUM(E7230:E7247)</f>
        <v>299.086141</v>
      </c>
      <c r="F7248" s="677"/>
      <c r="G7248" s="678"/>
      <c r="H7248" s="679"/>
      <c r="I7248" s="1848"/>
      <c r="J7248" s="676"/>
      <c r="K7248" s="680"/>
      <c r="L7248" s="679"/>
      <c r="M7248" s="676"/>
      <c r="N7248" s="677"/>
      <c r="O7248" s="676"/>
      <c r="P7248" s="2010"/>
      <c r="Q7248" s="497">
        <v>275.82499999999999</v>
      </c>
      <c r="R7248" s="126">
        <f>E7248-Q7248</f>
        <v>23.261141000000009</v>
      </c>
    </row>
    <row r="7249" spans="1:16" s="497" customFormat="1" ht="18" thickBot="1">
      <c r="A7249" s="681"/>
      <c r="B7249" s="682"/>
      <c r="C7249" s="683"/>
      <c r="D7249" s="683"/>
      <c r="E7249" s="1981"/>
      <c r="F7249" s="684"/>
      <c r="G7249" s="685"/>
      <c r="H7249" s="686"/>
      <c r="I7249" s="1850"/>
      <c r="J7249" s="683"/>
      <c r="K7249" s="687"/>
      <c r="L7249" s="686"/>
      <c r="M7249" s="683"/>
      <c r="N7249" s="684"/>
      <c r="O7249" s="683"/>
      <c r="P7249" s="2010"/>
    </row>
    <row r="7250" spans="1:16" s="497" customFormat="1" ht="17.399999999999999">
      <c r="A7250" s="688" t="s">
        <v>31</v>
      </c>
      <c r="B7250" s="676"/>
      <c r="C7250" s="676"/>
      <c r="D7250" s="676"/>
      <c r="E7250" s="676" t="s">
        <v>575</v>
      </c>
      <c r="F7250" s="677"/>
      <c r="G7250" s="676"/>
      <c r="H7250" s="677"/>
      <c r="I7250" s="1848"/>
      <c r="J7250" s="676"/>
      <c r="K7250" s="689"/>
      <c r="L7250" s="677"/>
      <c r="M7250" s="676"/>
      <c r="N7250" s="677"/>
      <c r="O7250" s="676"/>
      <c r="P7250" s="2010"/>
    </row>
    <row r="7251" spans="1:16" s="497" customFormat="1" ht="17.399999999999999">
      <c r="A7251" s="690"/>
      <c r="B7251" s="691"/>
      <c r="C7251" s="691"/>
      <c r="D7251" s="691"/>
      <c r="E7251" s="691"/>
      <c r="F7251" s="1174"/>
      <c r="G7251" s="691"/>
      <c r="H7251" s="1174"/>
      <c r="I7251" s="1849"/>
      <c r="J7251" s="691"/>
      <c r="K7251" s="693"/>
      <c r="L7251" s="1174"/>
      <c r="M7251" s="691"/>
      <c r="N7251" s="1174"/>
      <c r="O7251" s="691"/>
      <c r="P7251" s="2010"/>
    </row>
    <row r="7252" spans="1:16" s="497" customFormat="1" ht="18" thickBot="1">
      <c r="A7252" s="1982" t="s">
        <v>32</v>
      </c>
      <c r="B7252" s="1983"/>
      <c r="C7252" s="1984" t="s">
        <v>33</v>
      </c>
      <c r="D7252" s="1985"/>
      <c r="E7252" s="694" t="s">
        <v>34</v>
      </c>
      <c r="F7252" s="694" t="s">
        <v>35</v>
      </c>
      <c r="G7252" s="1986" t="s">
        <v>36</v>
      </c>
      <c r="H7252" s="1987"/>
      <c r="I7252" s="1987"/>
      <c r="J7252" s="1987"/>
      <c r="K7252" s="1987"/>
      <c r="L7252" s="1987"/>
      <c r="M7252" s="1987"/>
      <c r="N7252" s="1987"/>
      <c r="O7252" s="1987"/>
      <c r="P7252" s="2010"/>
    </row>
    <row r="7253" spans="1:16" s="497" customFormat="1" ht="17.399999999999999">
      <c r="A7253" s="1988"/>
      <c r="B7253" s="1989"/>
      <c r="C7253" s="1990"/>
      <c r="D7253" s="1989"/>
      <c r="E7253" s="1179"/>
      <c r="F7253" s="1172"/>
      <c r="G7253" s="1991"/>
      <c r="H7253" s="1992"/>
      <c r="I7253" s="1992"/>
      <c r="J7253" s="1992"/>
      <c r="K7253" s="1992"/>
      <c r="L7253" s="1992"/>
      <c r="M7253" s="1992"/>
      <c r="N7253" s="1992"/>
      <c r="O7253" s="1992"/>
      <c r="P7253" s="2010"/>
    </row>
    <row r="7254" spans="1:16" s="497" customFormat="1" ht="17.399999999999999">
      <c r="A7254" s="1997" t="s">
        <v>37</v>
      </c>
      <c r="B7254" s="1998"/>
      <c r="C7254" s="1990"/>
      <c r="D7254" s="1989"/>
      <c r="E7254" s="1179"/>
      <c r="F7254" s="1172"/>
      <c r="G7254" s="1993"/>
      <c r="H7254" s="1994"/>
      <c r="I7254" s="1994"/>
      <c r="J7254" s="1994"/>
      <c r="K7254" s="1994"/>
      <c r="L7254" s="1994"/>
      <c r="M7254" s="1994"/>
      <c r="N7254" s="1994"/>
      <c r="O7254" s="1994"/>
      <c r="P7254" s="2010"/>
    </row>
    <row r="7255" spans="1:16" s="497" customFormat="1" ht="17.399999999999999">
      <c r="A7255" s="1997" t="s">
        <v>38</v>
      </c>
      <c r="B7255" s="1998"/>
      <c r="C7255" s="1990"/>
      <c r="D7255" s="1989"/>
      <c r="E7255" s="1179"/>
      <c r="F7255" s="1172"/>
      <c r="G7255" s="1993"/>
      <c r="H7255" s="1994"/>
      <c r="I7255" s="1994"/>
      <c r="J7255" s="1994"/>
      <c r="K7255" s="1994"/>
      <c r="L7255" s="1994"/>
      <c r="M7255" s="1994"/>
      <c r="N7255" s="1994"/>
      <c r="O7255" s="1994"/>
      <c r="P7255" s="2010"/>
    </row>
    <row r="7256" spans="1:16" s="497" customFormat="1" ht="17.399999999999999">
      <c r="A7256" s="1997" t="s">
        <v>39</v>
      </c>
      <c r="B7256" s="1998"/>
      <c r="C7256" s="1990"/>
      <c r="D7256" s="1989"/>
      <c r="E7256" s="1179"/>
      <c r="F7256" s="1172"/>
      <c r="G7256" s="1993"/>
      <c r="H7256" s="1994"/>
      <c r="I7256" s="1994"/>
      <c r="J7256" s="1994"/>
      <c r="K7256" s="1994"/>
      <c r="L7256" s="1994"/>
      <c r="M7256" s="1994"/>
      <c r="N7256" s="1994"/>
      <c r="O7256" s="1994"/>
      <c r="P7256" s="2010"/>
    </row>
    <row r="7257" spans="1:16" s="497" customFormat="1" ht="17.399999999999999">
      <c r="A7257" s="1997" t="s">
        <v>40</v>
      </c>
      <c r="B7257" s="1998"/>
      <c r="C7257" s="1990"/>
      <c r="D7257" s="1989"/>
      <c r="E7257" s="1179"/>
      <c r="F7257" s="1172"/>
      <c r="G7257" s="1993"/>
      <c r="H7257" s="1994"/>
      <c r="I7257" s="1994"/>
      <c r="J7257" s="1994"/>
      <c r="K7257" s="1994"/>
      <c r="L7257" s="1994"/>
      <c r="M7257" s="1994"/>
      <c r="N7257" s="1994"/>
      <c r="O7257" s="1994"/>
      <c r="P7257" s="2010"/>
    </row>
    <row r="7258" spans="1:16" s="497" customFormat="1" ht="18" thickBot="1">
      <c r="A7258" s="1999" t="s">
        <v>41</v>
      </c>
      <c r="B7258" s="2000"/>
      <c r="C7258" s="2001"/>
      <c r="D7258" s="2002"/>
      <c r="E7258" s="696"/>
      <c r="F7258" s="1173"/>
      <c r="G7258" s="1995"/>
      <c r="H7258" s="1996"/>
      <c r="I7258" s="1996"/>
      <c r="J7258" s="1996"/>
      <c r="K7258" s="1996"/>
      <c r="L7258" s="1996"/>
      <c r="M7258" s="1996"/>
      <c r="N7258" s="1996"/>
      <c r="O7258" s="1996"/>
      <c r="P7258" s="2010"/>
    </row>
    <row r="7259" spans="1:16" s="497" customFormat="1" ht="18">
      <c r="A7259" s="690"/>
      <c r="B7259" s="691"/>
      <c r="C7259" s="691"/>
      <c r="D7259" s="691"/>
      <c r="E7259" s="691"/>
      <c r="F7259" s="1174"/>
      <c r="G7259" s="691"/>
      <c r="H7259" s="698"/>
      <c r="I7259" s="699"/>
      <c r="J7259" s="700"/>
      <c r="K7259" s="701"/>
      <c r="L7259" s="702"/>
      <c r="M7259" s="691"/>
      <c r="N7259" s="1174"/>
      <c r="O7259" s="691"/>
      <c r="P7259" s="2010"/>
    </row>
    <row r="7260" spans="1:16" s="497" customFormat="1" ht="18">
      <c r="A7260" s="703" t="s">
        <v>42</v>
      </c>
      <c r="B7260" s="704"/>
      <c r="C7260" s="691"/>
      <c r="D7260" s="691"/>
      <c r="E7260" s="691"/>
      <c r="F7260" s="1174"/>
      <c r="G7260" s="704"/>
      <c r="H7260" s="698"/>
      <c r="I7260" s="699"/>
      <c r="J7260" s="700"/>
      <c r="K7260" s="693"/>
      <c r="L7260" s="705"/>
      <c r="M7260" s="691"/>
      <c r="N7260" s="1979" t="s">
        <v>43</v>
      </c>
      <c r="O7260" s="1979"/>
      <c r="P7260" s="2010"/>
    </row>
    <row r="7261" spans="1:16" s="497" customFormat="1" ht="17.399999999999999">
      <c r="A7261" s="703"/>
      <c r="B7261" s="704"/>
      <c r="C7261" s="691"/>
      <c r="D7261" s="691"/>
      <c r="E7261" s="691"/>
      <c r="F7261" s="1174"/>
      <c r="G7261" s="691"/>
      <c r="H7261" s="1174"/>
      <c r="I7261" s="1849"/>
      <c r="J7261" s="691"/>
      <c r="K7261" s="693"/>
      <c r="L7261" s="1174"/>
      <c r="M7261" s="691"/>
      <c r="N7261" s="1174"/>
      <c r="O7261" s="704"/>
      <c r="P7261" s="2010"/>
    </row>
    <row r="7262" spans="1:16" s="497" customFormat="1" ht="17.399999999999999">
      <c r="A7262" s="703" t="s">
        <v>44</v>
      </c>
      <c r="B7262" s="704"/>
      <c r="C7262" s="691"/>
      <c r="D7262" s="691"/>
      <c r="E7262" s="691"/>
      <c r="F7262" s="1174"/>
      <c r="G7262" s="691"/>
      <c r="H7262" s="1174"/>
      <c r="I7262" s="1849"/>
      <c r="J7262" s="691"/>
      <c r="K7262" s="693"/>
      <c r="L7262" s="1174"/>
      <c r="M7262" s="691"/>
      <c r="N7262" s="1979" t="s">
        <v>45</v>
      </c>
      <c r="O7262" s="1979"/>
      <c r="P7262" s="2010"/>
    </row>
    <row r="7263" spans="1:16" s="497" customFormat="1" ht="18" thickBot="1">
      <c r="A7263" s="682"/>
      <c r="B7263" s="683"/>
      <c r="C7263" s="683"/>
      <c r="D7263" s="683"/>
      <c r="E7263" s="683"/>
      <c r="F7263" s="684"/>
      <c r="G7263" s="683"/>
      <c r="H7263" s="684"/>
      <c r="I7263" s="1850"/>
      <c r="J7263" s="683"/>
      <c r="K7263" s="706"/>
      <c r="L7263" s="684"/>
      <c r="M7263" s="683"/>
      <c r="N7263" s="684"/>
      <c r="O7263" s="683"/>
      <c r="P7263" s="2010"/>
    </row>
    <row r="7270" spans="1:30" s="497" customFormat="1" ht="17.399999999999999">
      <c r="A7270" s="1000" t="s">
        <v>48</v>
      </c>
      <c r="B7270" s="1000"/>
      <c r="C7270" s="718"/>
      <c r="D7270" s="718"/>
      <c r="E7270" s="718"/>
      <c r="F7270" s="720"/>
      <c r="G7270" s="718"/>
      <c r="H7270" s="718"/>
      <c r="I7270" s="721"/>
      <c r="J7270" s="1001"/>
      <c r="K7270" s="1002"/>
      <c r="L7270" s="2093" t="s">
        <v>0</v>
      </c>
      <c r="M7270" s="2094"/>
      <c r="N7270" s="2094"/>
      <c r="O7270" s="2095"/>
      <c r="P7270" s="549"/>
      <c r="S7270"/>
      <c r="T7270"/>
      <c r="U7270"/>
      <c r="V7270"/>
      <c r="W7270"/>
      <c r="X7270"/>
      <c r="Y7270"/>
      <c r="Z7270"/>
      <c r="AA7270"/>
      <c r="AB7270"/>
      <c r="AC7270"/>
      <c r="AD7270"/>
    </row>
    <row r="7271" spans="1:30" s="497" customFormat="1" ht="17.399999999999999">
      <c r="A7271" s="718" t="s">
        <v>1</v>
      </c>
      <c r="B7271" s="718"/>
      <c r="C7271" s="718"/>
      <c r="D7271" s="719" t="s">
        <v>2</v>
      </c>
      <c r="E7271" s="719"/>
      <c r="F7271" s="720"/>
      <c r="G7271" s="720"/>
      <c r="H7271" s="720"/>
      <c r="I7271" s="721"/>
      <c r="J7271" s="1178"/>
      <c r="K7271" s="1002" t="s">
        <v>3</v>
      </c>
      <c r="L7271" s="1178"/>
      <c r="M7271" s="718"/>
      <c r="N7271" s="720"/>
      <c r="O7271" s="718"/>
      <c r="P7271" s="549"/>
      <c r="S7271"/>
      <c r="T7271"/>
      <c r="U7271"/>
      <c r="V7271"/>
      <c r="W7271"/>
      <c r="X7271"/>
      <c r="Y7271"/>
      <c r="Z7271"/>
      <c r="AA7271"/>
      <c r="AB7271"/>
      <c r="AC7271"/>
      <c r="AD7271"/>
    </row>
    <row r="7272" spans="1:30" s="497" customFormat="1" ht="52.2">
      <c r="A7272" s="640" t="s">
        <v>4</v>
      </c>
      <c r="B7272" s="640" t="s">
        <v>5</v>
      </c>
      <c r="C7272" s="640" t="s">
        <v>6</v>
      </c>
      <c r="D7272" s="640" t="s">
        <v>7</v>
      </c>
      <c r="E7272" s="640" t="s">
        <v>8</v>
      </c>
      <c r="F7272" s="641" t="s">
        <v>9</v>
      </c>
      <c r="G7272" s="642" t="s">
        <v>10</v>
      </c>
      <c r="H7272" s="642" t="s">
        <v>11</v>
      </c>
      <c r="I7272" s="643" t="s">
        <v>12</v>
      </c>
      <c r="J7272" s="644" t="s">
        <v>13</v>
      </c>
      <c r="K7272" s="645" t="s">
        <v>14</v>
      </c>
      <c r="L7272" s="646" t="s">
        <v>15</v>
      </c>
      <c r="M7272" s="641" t="s">
        <v>16</v>
      </c>
      <c r="N7272" s="641" t="s">
        <v>17</v>
      </c>
      <c r="O7272" s="642" t="s">
        <v>18</v>
      </c>
      <c r="P7272" s="641" t="s">
        <v>192</v>
      </c>
      <c r="S7272"/>
      <c r="T7272"/>
      <c r="U7272"/>
      <c r="V7272"/>
      <c r="W7272"/>
      <c r="X7272"/>
      <c r="Y7272"/>
      <c r="Z7272"/>
      <c r="AA7272"/>
      <c r="AB7272"/>
      <c r="AC7272"/>
      <c r="AD7272"/>
    </row>
    <row r="7273" spans="1:30" s="497" customFormat="1" ht="17.399999999999999">
      <c r="A7273" s="547" t="s">
        <v>445</v>
      </c>
      <c r="B7273" s="547" t="s">
        <v>620</v>
      </c>
      <c r="C7273" s="547" t="s">
        <v>19</v>
      </c>
      <c r="D7273" s="547" t="s">
        <v>20</v>
      </c>
      <c r="E7273" s="780" t="s">
        <v>47</v>
      </c>
      <c r="F7273" s="754">
        <v>9</v>
      </c>
      <c r="G7273" s="549" t="s">
        <v>21</v>
      </c>
      <c r="H7273" s="599" t="s">
        <v>263</v>
      </c>
      <c r="I7273" s="558">
        <v>6.38</v>
      </c>
      <c r="J7273" s="567">
        <v>10</v>
      </c>
      <c r="K7273" s="648">
        <v>164</v>
      </c>
      <c r="L7273" s="552">
        <f>(I7273*J7273*K7273/1000)</f>
        <v>10.463199999999999</v>
      </c>
      <c r="M7273" s="549"/>
      <c r="N7273" s="549"/>
      <c r="O7273" s="549"/>
      <c r="P7273" s="2013" t="s">
        <v>816</v>
      </c>
      <c r="Q7273" s="497">
        <f>41+41+49+34</f>
        <v>165</v>
      </c>
      <c r="R7273" s="497">
        <f>J7273*Q7273*I7273/1000</f>
        <v>10.526999999999999</v>
      </c>
      <c r="S7273" s="497" t="s">
        <v>850</v>
      </c>
      <c r="T7273"/>
      <c r="U7273"/>
      <c r="V7273"/>
      <c r="W7273"/>
      <c r="X7273"/>
      <c r="Y7273"/>
      <c r="Z7273"/>
      <c r="AA7273"/>
      <c r="AB7273"/>
      <c r="AC7273"/>
      <c r="AD7273"/>
    </row>
    <row r="7274" spans="1:30" s="497" customFormat="1" ht="17.399999999999999">
      <c r="A7274" s="547"/>
      <c r="B7274" s="754" t="s">
        <v>621</v>
      </c>
      <c r="C7274" s="547"/>
      <c r="D7274" s="547"/>
      <c r="E7274" s="547"/>
      <c r="F7274" s="550"/>
      <c r="G7274" s="549" t="s">
        <v>21</v>
      </c>
      <c r="H7274" s="549" t="s">
        <v>263</v>
      </c>
      <c r="I7274" s="558">
        <v>6.38</v>
      </c>
      <c r="J7274" s="567">
        <v>10.5</v>
      </c>
      <c r="K7274" s="648">
        <v>283</v>
      </c>
      <c r="L7274" s="552">
        <f>(I7274*J7274*K7274/1000)</f>
        <v>18.958169999999999</v>
      </c>
      <c r="M7274" s="549"/>
      <c r="N7274" s="549"/>
      <c r="O7274" s="549"/>
      <c r="P7274" s="2014"/>
      <c r="Q7274" s="497">
        <f>39+40+42+47+8+47</f>
        <v>223</v>
      </c>
      <c r="R7274" s="497">
        <f t="shared" ref="R7274:R7277" si="1521">J7274*Q7274*I7274/1000</f>
        <v>14.93877</v>
      </c>
      <c r="S7274"/>
      <c r="T7274"/>
      <c r="U7274"/>
      <c r="V7274"/>
      <c r="W7274"/>
      <c r="X7274"/>
      <c r="Y7274"/>
      <c r="Z7274"/>
      <c r="AA7274"/>
      <c r="AB7274"/>
      <c r="AC7274"/>
      <c r="AD7274"/>
    </row>
    <row r="7275" spans="1:30" s="497" customFormat="1" ht="17.399999999999999">
      <c r="A7275" s="549"/>
      <c r="B7275" s="549"/>
      <c r="C7275" s="549"/>
      <c r="D7275" s="549"/>
      <c r="E7275" s="549"/>
      <c r="F7275" s="549"/>
      <c r="G7275" s="549" t="s">
        <v>21</v>
      </c>
      <c r="H7275" s="549" t="s">
        <v>263</v>
      </c>
      <c r="I7275" s="558">
        <v>6.38</v>
      </c>
      <c r="J7275" s="567">
        <v>11</v>
      </c>
      <c r="K7275" s="648">
        <v>317</v>
      </c>
      <c r="L7275" s="552">
        <f>(I7275*J7275*K7275/1000)</f>
        <v>22.247059999999998</v>
      </c>
      <c r="M7275" s="549"/>
      <c r="N7275" s="549"/>
      <c r="O7275" s="549"/>
      <c r="P7275" s="2014"/>
      <c r="Q7275" s="497">
        <f>40+40+44+40+41+44+23</f>
        <v>272</v>
      </c>
      <c r="R7275" s="497">
        <f t="shared" si="1521"/>
        <v>19.08896</v>
      </c>
      <c r="S7275"/>
      <c r="T7275"/>
      <c r="U7275"/>
      <c r="V7275"/>
      <c r="W7275"/>
      <c r="X7275"/>
      <c r="Y7275"/>
      <c r="Z7275"/>
      <c r="AA7275"/>
      <c r="AB7275"/>
      <c r="AC7275"/>
      <c r="AD7275"/>
    </row>
    <row r="7276" spans="1:30" s="497" customFormat="1" ht="17.399999999999999">
      <c r="A7276" s="549"/>
      <c r="B7276" s="549"/>
      <c r="C7276" s="549"/>
      <c r="D7276" s="549"/>
      <c r="E7276" s="549"/>
      <c r="F7276" s="549"/>
      <c r="G7276" s="549" t="s">
        <v>21</v>
      </c>
      <c r="H7276" s="549" t="s">
        <v>263</v>
      </c>
      <c r="I7276" s="558">
        <v>6.38</v>
      </c>
      <c r="J7276" s="567">
        <v>11.5</v>
      </c>
      <c r="K7276" s="648">
        <v>65</v>
      </c>
      <c r="L7276" s="552">
        <f>(I7276*J7276*K7276/1000)</f>
        <v>4.76905</v>
      </c>
      <c r="M7276" s="549"/>
      <c r="N7276" s="549"/>
      <c r="O7276" s="549"/>
      <c r="P7276" s="2014"/>
      <c r="Q7276" s="497">
        <f>6+32</f>
        <v>38</v>
      </c>
      <c r="R7276" s="497">
        <f t="shared" si="1521"/>
        <v>2.7880599999999998</v>
      </c>
      <c r="S7276"/>
      <c r="T7276"/>
      <c r="U7276"/>
      <c r="V7276"/>
      <c r="W7276"/>
      <c r="X7276"/>
      <c r="Y7276"/>
      <c r="Z7276"/>
      <c r="AA7276"/>
      <c r="AB7276"/>
      <c r="AC7276"/>
      <c r="AD7276"/>
    </row>
    <row r="7277" spans="1:30" s="497" customFormat="1" ht="17.399999999999999">
      <c r="A7277" s="549"/>
      <c r="B7277" s="549"/>
      <c r="C7277" s="549"/>
      <c r="D7277" s="549"/>
      <c r="E7277" s="549"/>
      <c r="F7277" s="549"/>
      <c r="G7277" s="549" t="s">
        <v>21</v>
      </c>
      <c r="H7277" s="549" t="s">
        <v>263</v>
      </c>
      <c r="I7277" s="558">
        <v>6.38</v>
      </c>
      <c r="J7277" s="567">
        <v>12</v>
      </c>
      <c r="K7277" s="648">
        <v>319</v>
      </c>
      <c r="L7277" s="552">
        <f>(I7277*J7277*K7277/1000)</f>
        <v>24.422639999999998</v>
      </c>
      <c r="M7277" s="549"/>
      <c r="N7277" s="549"/>
      <c r="O7277" s="549"/>
      <c r="P7277" s="2014"/>
      <c r="Q7277" s="497">
        <f>42+40+12+40+40+40+40+40+39</f>
        <v>333</v>
      </c>
      <c r="R7277" s="497">
        <f t="shared" si="1521"/>
        <v>25.494479999999999</v>
      </c>
      <c r="S7277"/>
      <c r="T7277"/>
      <c r="U7277"/>
      <c r="V7277"/>
      <c r="W7277"/>
      <c r="X7277"/>
      <c r="Y7277"/>
      <c r="Z7277"/>
      <c r="AA7277"/>
      <c r="AB7277"/>
      <c r="AC7277"/>
      <c r="AD7277"/>
    </row>
    <row r="7278" spans="1:30" s="497" customFormat="1" ht="17.399999999999999">
      <c r="A7278" s="549"/>
      <c r="B7278" s="549"/>
      <c r="C7278" s="549"/>
      <c r="D7278" s="549"/>
      <c r="E7278" s="549"/>
      <c r="F7278" s="549"/>
      <c r="G7278" s="549"/>
      <c r="H7278" s="549"/>
      <c r="I7278" s="558"/>
      <c r="J7278" s="567"/>
      <c r="K7278" s="648">
        <f>SUM(K7273:K7277)</f>
        <v>1148</v>
      </c>
      <c r="L7278" s="567">
        <f>SUM(L7273:L7277)</f>
        <v>80.860119999999995</v>
      </c>
      <c r="M7278" s="549"/>
      <c r="N7278" s="549"/>
      <c r="O7278" s="549"/>
      <c r="P7278" s="2014"/>
      <c r="Q7278" s="648">
        <f>SUM(Q7273:Q7277)</f>
        <v>1031</v>
      </c>
      <c r="R7278" s="567">
        <f>SUM(R7273:R7277)</f>
        <v>72.837270000000004</v>
      </c>
      <c r="S7278"/>
      <c r="T7278"/>
      <c r="U7278"/>
      <c r="V7278"/>
      <c r="W7278"/>
      <c r="X7278"/>
      <c r="Y7278"/>
      <c r="Z7278"/>
      <c r="AA7278"/>
      <c r="AB7278"/>
      <c r="AC7278"/>
      <c r="AD7278"/>
    </row>
    <row r="7279" spans="1:30" s="497" customFormat="1" ht="17.399999999999999">
      <c r="A7279" s="549"/>
      <c r="B7279" s="549"/>
      <c r="C7279" s="549"/>
      <c r="D7279" s="549"/>
      <c r="E7279" s="549"/>
      <c r="F7279" s="549"/>
      <c r="G7279" s="549"/>
      <c r="H7279" s="549"/>
      <c r="I7279" s="560"/>
      <c r="J7279" s="549"/>
      <c r="K7279" s="561"/>
      <c r="L7279" s="560"/>
      <c r="M7279" s="549"/>
      <c r="N7279" s="549"/>
      <c r="O7279" s="549"/>
      <c r="P7279" s="2014"/>
      <c r="S7279"/>
      <c r="T7279"/>
      <c r="U7279"/>
      <c r="V7279"/>
      <c r="W7279"/>
      <c r="X7279"/>
      <c r="Y7279"/>
      <c r="Z7279"/>
      <c r="AA7279"/>
      <c r="AB7279"/>
      <c r="AC7279"/>
      <c r="AD7279"/>
    </row>
    <row r="7280" spans="1:30" s="497" customFormat="1" ht="17.399999999999999">
      <c r="A7280" s="547" t="s">
        <v>541</v>
      </c>
      <c r="B7280" s="547" t="s">
        <v>622</v>
      </c>
      <c r="C7280" s="547" t="s">
        <v>19</v>
      </c>
      <c r="D7280" s="547" t="s">
        <v>20</v>
      </c>
      <c r="E7280" s="780" t="s">
        <v>47</v>
      </c>
      <c r="F7280" s="754">
        <v>9</v>
      </c>
      <c r="G7280" s="549" t="s">
        <v>21</v>
      </c>
      <c r="H7280" s="599" t="s">
        <v>263</v>
      </c>
      <c r="I7280" s="558">
        <v>6.38</v>
      </c>
      <c r="J7280" s="567">
        <v>10.5</v>
      </c>
      <c r="K7280" s="648">
        <v>317</v>
      </c>
      <c r="L7280" s="552">
        <f>(I7280*J7280*K7280/1000)</f>
        <v>21.235829999999996</v>
      </c>
      <c r="M7280" s="549"/>
      <c r="N7280" s="549"/>
      <c r="O7280" s="549"/>
      <c r="P7280" s="2014"/>
      <c r="Q7280" s="497" t="s">
        <v>850</v>
      </c>
      <c r="S7280"/>
      <c r="T7280"/>
      <c r="U7280"/>
      <c r="V7280"/>
      <c r="W7280"/>
      <c r="X7280"/>
      <c r="Y7280"/>
      <c r="Z7280"/>
      <c r="AA7280"/>
      <c r="AB7280"/>
      <c r="AC7280"/>
      <c r="AD7280"/>
    </row>
    <row r="7281" spans="1:30" s="497" customFormat="1" ht="17.399999999999999">
      <c r="A7281" s="547"/>
      <c r="B7281" s="754" t="s">
        <v>621</v>
      </c>
      <c r="C7281" s="547"/>
      <c r="D7281" s="547"/>
      <c r="E7281" s="547"/>
      <c r="F7281" s="550"/>
      <c r="G7281" s="549"/>
      <c r="H7281" s="549"/>
      <c r="I7281" s="558"/>
      <c r="J7281" s="567"/>
      <c r="K7281" s="648">
        <f t="shared" ref="K7281" si="1522">SUM(K7280)</f>
        <v>317</v>
      </c>
      <c r="L7281" s="567">
        <f>SUM(L7280)</f>
        <v>21.235829999999996</v>
      </c>
      <c r="M7281" s="549"/>
      <c r="N7281" s="549"/>
      <c r="O7281" s="549"/>
      <c r="P7281" s="2015"/>
      <c r="S7281"/>
      <c r="T7281"/>
      <c r="U7281"/>
      <c r="V7281"/>
      <c r="W7281"/>
      <c r="X7281"/>
      <c r="Y7281"/>
      <c r="Z7281"/>
      <c r="AA7281"/>
      <c r="AB7281"/>
      <c r="AC7281"/>
      <c r="AD7281"/>
    </row>
    <row r="7282" spans="1:30" s="497" customFormat="1" ht="17.399999999999999">
      <c r="A7282" s="549"/>
      <c r="B7282" s="549"/>
      <c r="C7282" s="549"/>
      <c r="D7282" s="549"/>
      <c r="E7282" s="549"/>
      <c r="F7282" s="549"/>
      <c r="G7282" s="549"/>
      <c r="H7282" s="549"/>
      <c r="I7282" s="560"/>
      <c r="J7282" s="549"/>
      <c r="K7282" s="561"/>
      <c r="L7282" s="568">
        <f>SUM(L7273:L7281)/2</f>
        <v>102.09594999999999</v>
      </c>
      <c r="M7282" s="549"/>
      <c r="N7282" s="549"/>
      <c r="O7282" s="549"/>
      <c r="P7282" s="549"/>
      <c r="S7282"/>
      <c r="T7282"/>
      <c r="U7282"/>
      <c r="V7282"/>
      <c r="W7282"/>
      <c r="X7282"/>
      <c r="Y7282"/>
      <c r="Z7282"/>
      <c r="AA7282"/>
      <c r="AB7282"/>
      <c r="AC7282"/>
      <c r="AD7282"/>
    </row>
    <row r="7283" spans="1:30" s="497" customFormat="1" ht="17.399999999999999">
      <c r="A7283" s="549"/>
      <c r="B7283" s="549"/>
      <c r="C7283" s="549"/>
      <c r="D7283" s="549"/>
      <c r="E7283" s="549"/>
      <c r="F7283" s="549"/>
      <c r="G7283" s="549"/>
      <c r="H7283" s="549"/>
      <c r="I7283" s="560"/>
      <c r="J7283" s="549"/>
      <c r="K7283" s="561"/>
      <c r="L7283" s="560"/>
      <c r="M7283" s="549"/>
      <c r="N7283" s="549"/>
      <c r="O7283" s="549"/>
      <c r="P7283" s="549"/>
      <c r="S7283"/>
      <c r="T7283"/>
      <c r="U7283"/>
      <c r="V7283"/>
      <c r="W7283"/>
      <c r="X7283"/>
      <c r="Y7283"/>
      <c r="Z7283"/>
      <c r="AA7283"/>
      <c r="AB7283"/>
      <c r="AC7283"/>
      <c r="AD7283"/>
    </row>
    <row r="7284" spans="1:30" s="497" customFormat="1" ht="17.399999999999999">
      <c r="A7284" s="549"/>
      <c r="B7284" s="549"/>
      <c r="C7284" s="549"/>
      <c r="D7284" s="549"/>
      <c r="E7284" s="549"/>
      <c r="F7284" s="549"/>
      <c r="G7284" s="549"/>
      <c r="H7284" s="549"/>
      <c r="I7284" s="560"/>
      <c r="J7284" s="549"/>
      <c r="K7284" s="561"/>
      <c r="L7284" s="560"/>
      <c r="M7284" s="549"/>
      <c r="N7284" s="549"/>
      <c r="O7284" s="549"/>
      <c r="P7284" s="549"/>
      <c r="S7284"/>
      <c r="T7284"/>
      <c r="U7284"/>
      <c r="V7284"/>
      <c r="W7284"/>
      <c r="X7284"/>
      <c r="Y7284"/>
      <c r="Z7284"/>
      <c r="AA7284"/>
      <c r="AB7284"/>
      <c r="AC7284"/>
      <c r="AD7284"/>
    </row>
    <row r="7285" spans="1:30" s="497" customFormat="1" ht="17.399999999999999">
      <c r="A7285" s="547" t="s">
        <v>445</v>
      </c>
      <c r="B7285" s="547" t="s">
        <v>620</v>
      </c>
      <c r="C7285" s="547" t="s">
        <v>19</v>
      </c>
      <c r="D7285" s="547" t="s">
        <v>20</v>
      </c>
      <c r="E7285" s="780" t="s">
        <v>47</v>
      </c>
      <c r="F7285" s="754">
        <v>9</v>
      </c>
      <c r="G7285" s="549" t="s">
        <v>21</v>
      </c>
      <c r="H7285" s="599" t="s">
        <v>262</v>
      </c>
      <c r="I7285" s="558">
        <v>5.37</v>
      </c>
      <c r="J7285" s="567">
        <v>10</v>
      </c>
      <c r="K7285" s="648">
        <v>52</v>
      </c>
      <c r="L7285" s="552">
        <f>(I7285*J7285*K7285/1000)</f>
        <v>2.7924000000000002</v>
      </c>
      <c r="M7285" s="549"/>
      <c r="N7285" s="549"/>
      <c r="O7285" s="549"/>
      <c r="P7285" s="2013" t="s">
        <v>817</v>
      </c>
      <c r="Q7285" s="497" t="s">
        <v>856</v>
      </c>
      <c r="S7285"/>
      <c r="T7285"/>
      <c r="U7285"/>
      <c r="V7285"/>
      <c r="W7285"/>
      <c r="X7285"/>
      <c r="Y7285"/>
      <c r="Z7285"/>
      <c r="AA7285"/>
      <c r="AB7285"/>
      <c r="AC7285"/>
      <c r="AD7285"/>
    </row>
    <row r="7286" spans="1:30" s="497" customFormat="1" ht="17.399999999999999">
      <c r="A7286" s="547"/>
      <c r="B7286" s="754" t="s">
        <v>621</v>
      </c>
      <c r="C7286" s="547"/>
      <c r="D7286" s="547"/>
      <c r="E7286" s="547"/>
      <c r="F7286" s="550"/>
      <c r="G7286" s="549" t="s">
        <v>21</v>
      </c>
      <c r="H7286" s="549" t="s">
        <v>262</v>
      </c>
      <c r="I7286" s="558">
        <v>5.37</v>
      </c>
      <c r="J7286" s="567">
        <v>10.5</v>
      </c>
      <c r="K7286" s="648">
        <v>8</v>
      </c>
      <c r="L7286" s="552">
        <f>(I7286*J7286*K7286/1000)</f>
        <v>0.45107999999999998</v>
      </c>
      <c r="M7286" s="549"/>
      <c r="N7286" s="549"/>
      <c r="O7286" s="549"/>
      <c r="P7286" s="2014"/>
      <c r="S7286"/>
      <c r="T7286"/>
      <c r="U7286"/>
      <c r="V7286"/>
      <c r="W7286"/>
      <c r="X7286"/>
      <c r="Y7286"/>
      <c r="Z7286"/>
      <c r="AA7286"/>
      <c r="AB7286"/>
      <c r="AC7286"/>
      <c r="AD7286"/>
    </row>
    <row r="7287" spans="1:30" s="497" customFormat="1" ht="17.399999999999999">
      <c r="A7287" s="549"/>
      <c r="B7287" s="549"/>
      <c r="C7287" s="549"/>
      <c r="D7287" s="549"/>
      <c r="E7287" s="549"/>
      <c r="F7287" s="549"/>
      <c r="G7287" s="549" t="s">
        <v>21</v>
      </c>
      <c r="H7287" s="549" t="s">
        <v>262</v>
      </c>
      <c r="I7287" s="558">
        <v>5.37</v>
      </c>
      <c r="J7287" s="567">
        <v>11</v>
      </c>
      <c r="K7287" s="648">
        <v>105</v>
      </c>
      <c r="L7287" s="552">
        <f>(I7287*J7287*K7287/1000)</f>
        <v>6.20235</v>
      </c>
      <c r="M7287" s="549"/>
      <c r="N7287" s="549"/>
      <c r="O7287" s="549"/>
      <c r="P7287" s="2014"/>
      <c r="S7287"/>
      <c r="T7287"/>
      <c r="U7287"/>
      <c r="V7287"/>
      <c r="W7287"/>
      <c r="X7287"/>
      <c r="Y7287"/>
      <c r="Z7287"/>
      <c r="AA7287"/>
      <c r="AB7287"/>
      <c r="AC7287"/>
      <c r="AD7287"/>
    </row>
    <row r="7288" spans="1:30" s="497" customFormat="1" ht="17.399999999999999">
      <c r="A7288" s="549"/>
      <c r="B7288" s="549"/>
      <c r="C7288" s="549"/>
      <c r="D7288" s="549"/>
      <c r="E7288" s="549"/>
      <c r="F7288" s="549"/>
      <c r="G7288" s="549" t="s">
        <v>21</v>
      </c>
      <c r="H7288" s="549" t="s">
        <v>262</v>
      </c>
      <c r="I7288" s="558">
        <v>5.37</v>
      </c>
      <c r="J7288" s="567">
        <v>11.5</v>
      </c>
      <c r="K7288" s="648">
        <v>54</v>
      </c>
      <c r="L7288" s="552">
        <f>(I7288*J7288*K7288/1000)</f>
        <v>3.3347699999999998</v>
      </c>
      <c r="M7288" s="549"/>
      <c r="N7288" s="549"/>
      <c r="O7288" s="549"/>
      <c r="P7288" s="2014"/>
      <c r="S7288"/>
      <c r="T7288"/>
      <c r="U7288"/>
      <c r="V7288"/>
      <c r="W7288"/>
      <c r="X7288"/>
      <c r="Y7288"/>
      <c r="Z7288"/>
      <c r="AA7288"/>
      <c r="AB7288"/>
      <c r="AC7288"/>
      <c r="AD7288"/>
    </row>
    <row r="7289" spans="1:30" s="497" customFormat="1" ht="17.399999999999999">
      <c r="A7289" s="549"/>
      <c r="B7289" s="549"/>
      <c r="C7289" s="549"/>
      <c r="D7289" s="549"/>
      <c r="E7289" s="549"/>
      <c r="F7289" s="549"/>
      <c r="G7289" s="549" t="s">
        <v>21</v>
      </c>
      <c r="H7289" s="549" t="s">
        <v>262</v>
      </c>
      <c r="I7289" s="558">
        <v>5.37</v>
      </c>
      <c r="J7289" s="567">
        <v>12</v>
      </c>
      <c r="K7289" s="648">
        <v>124</v>
      </c>
      <c r="L7289" s="552">
        <f>(I7289*J7289*K7289/1000)</f>
        <v>7.9905599999999994</v>
      </c>
      <c r="M7289" s="549"/>
      <c r="N7289" s="549"/>
      <c r="O7289" s="549"/>
      <c r="P7289" s="2014"/>
      <c r="S7289"/>
      <c r="T7289"/>
      <c r="U7289"/>
      <c r="V7289"/>
      <c r="W7289"/>
      <c r="X7289"/>
      <c r="Y7289"/>
      <c r="Z7289"/>
      <c r="AA7289"/>
      <c r="AB7289"/>
      <c r="AC7289"/>
      <c r="AD7289"/>
    </row>
    <row r="7290" spans="1:30" s="497" customFormat="1" ht="17.399999999999999">
      <c r="A7290" s="549"/>
      <c r="B7290" s="549"/>
      <c r="C7290" s="549"/>
      <c r="D7290" s="549"/>
      <c r="E7290" s="549"/>
      <c r="F7290" s="549"/>
      <c r="G7290" s="549"/>
      <c r="H7290" s="549"/>
      <c r="I7290" s="558"/>
      <c r="J7290" s="567"/>
      <c r="K7290" s="648">
        <f t="shared" ref="K7290" si="1523">SUM(K7285:K7289)</f>
        <v>343</v>
      </c>
      <c r="L7290" s="567">
        <f>SUM(L7285:L7289)</f>
        <v>20.771159999999998</v>
      </c>
      <c r="M7290" s="549"/>
      <c r="N7290" s="549"/>
      <c r="O7290" s="549"/>
      <c r="P7290" s="2014"/>
      <c r="S7290"/>
      <c r="T7290"/>
      <c r="U7290"/>
      <c r="V7290"/>
      <c r="W7290"/>
      <c r="X7290"/>
      <c r="Y7290"/>
      <c r="Z7290"/>
      <c r="AA7290"/>
      <c r="AB7290"/>
      <c r="AC7290"/>
      <c r="AD7290"/>
    </row>
    <row r="7291" spans="1:30" s="497" customFormat="1" ht="17.399999999999999">
      <c r="A7291" s="549"/>
      <c r="B7291" s="549"/>
      <c r="C7291" s="549"/>
      <c r="D7291" s="549"/>
      <c r="E7291" s="549"/>
      <c r="F7291" s="549"/>
      <c r="G7291" s="549"/>
      <c r="H7291" s="549"/>
      <c r="I7291" s="558"/>
      <c r="J7291" s="567"/>
      <c r="K7291" s="648"/>
      <c r="L7291" s="567"/>
      <c r="M7291" s="549"/>
      <c r="N7291" s="549"/>
      <c r="O7291" s="549"/>
      <c r="P7291" s="2014"/>
    </row>
    <row r="7292" spans="1:30" s="497" customFormat="1" ht="17.399999999999999">
      <c r="A7292" s="547" t="s">
        <v>541</v>
      </c>
      <c r="B7292" s="979" t="s">
        <v>622</v>
      </c>
      <c r="C7292" s="547" t="s">
        <v>19</v>
      </c>
      <c r="D7292" s="547" t="s">
        <v>20</v>
      </c>
      <c r="E7292" s="780" t="s">
        <v>47</v>
      </c>
      <c r="F7292" s="754">
        <v>9</v>
      </c>
      <c r="G7292" s="549" t="s">
        <v>21</v>
      </c>
      <c r="H7292" s="599" t="s">
        <v>262</v>
      </c>
      <c r="I7292" s="558">
        <v>5.37</v>
      </c>
      <c r="J7292" s="567">
        <v>10.5</v>
      </c>
      <c r="K7292" s="648">
        <v>125</v>
      </c>
      <c r="L7292" s="552">
        <f>(I7292*J7292*K7292/1000)</f>
        <v>7.0481249999999998</v>
      </c>
      <c r="M7292" s="549"/>
      <c r="N7292" s="549"/>
      <c r="O7292" s="549"/>
      <c r="P7292" s="2014"/>
      <c r="Q7292" s="497" t="s">
        <v>856</v>
      </c>
      <c r="S7292"/>
      <c r="T7292"/>
      <c r="U7292"/>
      <c r="V7292"/>
      <c r="W7292"/>
      <c r="X7292"/>
      <c r="Y7292"/>
      <c r="Z7292"/>
      <c r="AA7292"/>
      <c r="AB7292"/>
      <c r="AC7292"/>
      <c r="AD7292"/>
    </row>
    <row r="7293" spans="1:30" s="497" customFormat="1" ht="17.399999999999999">
      <c r="A7293" s="547"/>
      <c r="B7293" s="754" t="s">
        <v>621</v>
      </c>
      <c r="C7293" s="547"/>
      <c r="D7293" s="547"/>
      <c r="E7293" s="547"/>
      <c r="F7293" s="550"/>
      <c r="G7293" s="549"/>
      <c r="H7293" s="549"/>
      <c r="I7293" s="558"/>
      <c r="J7293" s="567"/>
      <c r="K7293" s="648">
        <f t="shared" ref="K7293" si="1524">SUM(K7292)</f>
        <v>125</v>
      </c>
      <c r="L7293" s="567">
        <f>SUM(L7292)</f>
        <v>7.0481249999999998</v>
      </c>
      <c r="M7293" s="549"/>
      <c r="N7293" s="549"/>
      <c r="O7293" s="549"/>
      <c r="P7293" s="2014"/>
      <c r="S7293"/>
      <c r="T7293"/>
      <c r="U7293"/>
      <c r="V7293"/>
      <c r="W7293"/>
      <c r="X7293"/>
      <c r="Y7293"/>
      <c r="Z7293"/>
      <c r="AA7293"/>
      <c r="AB7293"/>
      <c r="AC7293"/>
      <c r="AD7293"/>
    </row>
    <row r="7294" spans="1:30" s="497" customFormat="1" ht="17.399999999999999">
      <c r="A7294" s="547"/>
      <c r="B7294" s="550"/>
      <c r="C7294" s="547"/>
      <c r="D7294" s="547"/>
      <c r="E7294" s="547"/>
      <c r="F7294" s="550"/>
      <c r="G7294" s="549"/>
      <c r="H7294" s="549"/>
      <c r="I7294" s="558"/>
      <c r="J7294" s="567"/>
      <c r="K7294" s="648">
        <f>SUM(K7285:K7293)/2</f>
        <v>468</v>
      </c>
      <c r="L7294" s="567">
        <f>SUM(L7285:L7293)/2</f>
        <v>27.819284999999997</v>
      </c>
      <c r="M7294" s="549"/>
      <c r="N7294" s="549"/>
      <c r="O7294" s="549"/>
      <c r="P7294" s="2014"/>
    </row>
    <row r="7295" spans="1:30" s="497" customFormat="1" ht="17.399999999999999">
      <c r="A7295" s="547"/>
      <c r="B7295" s="550"/>
      <c r="C7295" s="547"/>
      <c r="D7295" s="547"/>
      <c r="E7295" s="547"/>
      <c r="F7295" s="550"/>
      <c r="G7295" s="549"/>
      <c r="H7295" s="549"/>
      <c r="I7295" s="558"/>
      <c r="J7295" s="567"/>
      <c r="K7295" s="648"/>
      <c r="L7295" s="567"/>
      <c r="M7295" s="549"/>
      <c r="N7295" s="549"/>
      <c r="O7295" s="549"/>
      <c r="P7295" s="2014"/>
    </row>
    <row r="7296" spans="1:30" s="497" customFormat="1" ht="17.399999999999999">
      <c r="A7296" s="547" t="s">
        <v>445</v>
      </c>
      <c r="B7296" s="547" t="s">
        <v>786</v>
      </c>
      <c r="C7296" s="547" t="s">
        <v>19</v>
      </c>
      <c r="D7296" s="547" t="s">
        <v>20</v>
      </c>
      <c r="E7296" s="780" t="s">
        <v>47</v>
      </c>
      <c r="F7296" s="754">
        <v>9</v>
      </c>
      <c r="G7296" s="549" t="s">
        <v>21</v>
      </c>
      <c r="H7296" s="599" t="s">
        <v>262</v>
      </c>
      <c r="I7296" s="558">
        <v>5.37</v>
      </c>
      <c r="J7296" s="567">
        <v>10</v>
      </c>
      <c r="K7296" s="648">
        <v>95</v>
      </c>
      <c r="L7296" s="552">
        <f>(I7296*J7296*K7296/1000)</f>
        <v>5.1014999999999997</v>
      </c>
      <c r="M7296" s="549"/>
      <c r="N7296" s="549"/>
      <c r="O7296" s="549"/>
      <c r="P7296" s="2014"/>
      <c r="Q7296" s="497" t="s">
        <v>856</v>
      </c>
    </row>
    <row r="7297" spans="1:30" s="497" customFormat="1" ht="17.399999999999999">
      <c r="A7297" s="547"/>
      <c r="B7297" s="754" t="s">
        <v>621</v>
      </c>
      <c r="C7297" s="547"/>
      <c r="D7297" s="547"/>
      <c r="E7297" s="547"/>
      <c r="F7297" s="550"/>
      <c r="G7297" s="549" t="s">
        <v>21</v>
      </c>
      <c r="H7297" s="549" t="s">
        <v>262</v>
      </c>
      <c r="I7297" s="558">
        <v>5.37</v>
      </c>
      <c r="J7297" s="567">
        <v>10.5</v>
      </c>
      <c r="K7297" s="648">
        <v>3</v>
      </c>
      <c r="L7297" s="552">
        <f>(I7297*J7297*K7297/1000)</f>
        <v>0.169155</v>
      </c>
      <c r="M7297" s="549"/>
      <c r="N7297" s="549"/>
      <c r="O7297" s="549"/>
      <c r="P7297" s="2014"/>
    </row>
    <row r="7298" spans="1:30" s="497" customFormat="1" ht="17.399999999999999">
      <c r="A7298" s="547"/>
      <c r="B7298" s="550"/>
      <c r="C7298" s="547"/>
      <c r="D7298" s="547"/>
      <c r="E7298" s="547"/>
      <c r="F7298" s="550"/>
      <c r="G7298" s="549" t="s">
        <v>21</v>
      </c>
      <c r="H7298" s="549" t="s">
        <v>262</v>
      </c>
      <c r="I7298" s="558">
        <v>5.37</v>
      </c>
      <c r="J7298" s="567">
        <v>11</v>
      </c>
      <c r="K7298" s="648">
        <v>114</v>
      </c>
      <c r="L7298" s="552">
        <f>(I7298*J7298*K7298/1000)</f>
        <v>6.7339800000000007</v>
      </c>
      <c r="M7298" s="549"/>
      <c r="N7298" s="549"/>
      <c r="O7298" s="549"/>
      <c r="P7298" s="2014"/>
    </row>
    <row r="7299" spans="1:30" s="497" customFormat="1" ht="17.399999999999999">
      <c r="A7299" s="547"/>
      <c r="B7299" s="550"/>
      <c r="C7299" s="547"/>
      <c r="D7299" s="547"/>
      <c r="E7299" s="547"/>
      <c r="F7299" s="550"/>
      <c r="G7299" s="549" t="s">
        <v>21</v>
      </c>
      <c r="H7299" s="549" t="s">
        <v>262</v>
      </c>
      <c r="I7299" s="558">
        <v>5.37</v>
      </c>
      <c r="J7299" s="567">
        <v>11.5</v>
      </c>
      <c r="K7299" s="648">
        <v>57</v>
      </c>
      <c r="L7299" s="552">
        <f>(I7299*J7299*K7299/1000)</f>
        <v>3.5200350000000005</v>
      </c>
      <c r="M7299" s="549"/>
      <c r="N7299" s="549"/>
      <c r="O7299" s="549"/>
      <c r="P7299" s="2014"/>
    </row>
    <row r="7300" spans="1:30" s="497" customFormat="1" ht="17.399999999999999">
      <c r="A7300" s="547"/>
      <c r="B7300" s="550"/>
      <c r="C7300" s="547"/>
      <c r="D7300" s="547"/>
      <c r="E7300" s="547"/>
      <c r="F7300" s="550"/>
      <c r="G7300" s="549" t="s">
        <v>21</v>
      </c>
      <c r="H7300" s="549" t="s">
        <v>262</v>
      </c>
      <c r="I7300" s="558">
        <v>5.37</v>
      </c>
      <c r="J7300" s="567">
        <v>12</v>
      </c>
      <c r="K7300" s="648">
        <v>108</v>
      </c>
      <c r="L7300" s="552">
        <f>(I7300*J7300*K7300/1000)</f>
        <v>6.9595199999999995</v>
      </c>
      <c r="M7300" s="549"/>
      <c r="N7300" s="549"/>
      <c r="O7300" s="549"/>
      <c r="P7300" s="2015"/>
    </row>
    <row r="7301" spans="1:30" s="497" customFormat="1" ht="17.399999999999999">
      <c r="A7301" s="547"/>
      <c r="B7301" s="550"/>
      <c r="C7301" s="547"/>
      <c r="D7301" s="547"/>
      <c r="E7301" s="547"/>
      <c r="F7301" s="550"/>
      <c r="G7301" s="549"/>
      <c r="H7301" s="549"/>
      <c r="I7301" s="558"/>
      <c r="J7301" s="567"/>
      <c r="K7301" s="648">
        <f>SUM(K7296:K7300)</f>
        <v>377</v>
      </c>
      <c r="L7301" s="567">
        <f>SUM(L7296:L7300)</f>
        <v>22.484189999999998</v>
      </c>
      <c r="M7301" s="549"/>
      <c r="N7301" s="549"/>
      <c r="O7301" s="549"/>
      <c r="P7301" s="549"/>
    </row>
    <row r="7302" spans="1:30" s="497" customFormat="1" ht="17.399999999999999">
      <c r="A7302" s="547"/>
      <c r="B7302" s="550"/>
      <c r="C7302" s="547"/>
      <c r="D7302" s="547"/>
      <c r="E7302" s="547"/>
      <c r="F7302" s="550"/>
      <c r="G7302" s="549"/>
      <c r="H7302" s="549"/>
      <c r="I7302" s="558"/>
      <c r="J7302" s="567"/>
      <c r="K7302" s="648"/>
      <c r="L7302" s="567"/>
      <c r="M7302" s="549"/>
      <c r="N7302" s="549"/>
      <c r="O7302" s="549"/>
      <c r="P7302" s="549"/>
    </row>
    <row r="7303" spans="1:30" s="497" customFormat="1" ht="17.399999999999999">
      <c r="A7303" s="547"/>
      <c r="B7303" s="550"/>
      <c r="C7303" s="547"/>
      <c r="D7303" s="547"/>
      <c r="E7303" s="547"/>
      <c r="F7303" s="550"/>
      <c r="G7303" s="549"/>
      <c r="H7303" s="549"/>
      <c r="I7303" s="558"/>
      <c r="J7303" s="567"/>
      <c r="K7303" s="648"/>
      <c r="L7303" s="567"/>
      <c r="M7303" s="549"/>
      <c r="N7303" s="549"/>
      <c r="O7303" s="549"/>
      <c r="P7303" s="549"/>
    </row>
    <row r="7304" spans="1:30" s="497" customFormat="1" ht="17.399999999999999">
      <c r="A7304" s="549"/>
      <c r="B7304" s="549"/>
      <c r="C7304" s="549"/>
      <c r="D7304" s="549"/>
      <c r="E7304" s="549"/>
      <c r="F7304" s="549"/>
      <c r="G7304" s="549"/>
      <c r="H7304" s="549"/>
      <c r="I7304" s="560"/>
      <c r="J7304" s="549"/>
      <c r="K7304" s="561"/>
      <c r="L7304" s="560"/>
      <c r="M7304" s="549"/>
      <c r="N7304" s="549"/>
      <c r="O7304" s="549"/>
      <c r="P7304" s="549"/>
      <c r="S7304"/>
      <c r="T7304"/>
      <c r="U7304"/>
      <c r="V7304"/>
      <c r="W7304"/>
      <c r="X7304"/>
      <c r="Y7304"/>
      <c r="Z7304"/>
      <c r="AA7304"/>
      <c r="AB7304"/>
      <c r="AC7304"/>
      <c r="AD7304"/>
    </row>
    <row r="7305" spans="1:30" s="497" customFormat="1" ht="17.399999999999999">
      <c r="A7305" s="549"/>
      <c r="B7305" s="549"/>
      <c r="C7305" s="549"/>
      <c r="D7305" s="549"/>
      <c r="E7305" s="549"/>
      <c r="F7305" s="549"/>
      <c r="G7305" s="549"/>
      <c r="H7305" s="549"/>
      <c r="I7305" s="560"/>
      <c r="J7305" s="549"/>
      <c r="K7305" s="561"/>
      <c r="L7305" s="568">
        <f>+L7294+L7282+L7301</f>
        <v>152.39942500000001</v>
      </c>
      <c r="M7305" s="549"/>
      <c r="N7305" s="549"/>
      <c r="O7305" s="549"/>
      <c r="P7305" s="549"/>
      <c r="S7305"/>
      <c r="T7305"/>
      <c r="U7305"/>
      <c r="V7305"/>
      <c r="W7305"/>
      <c r="X7305"/>
      <c r="Y7305"/>
      <c r="Z7305"/>
      <c r="AA7305"/>
      <c r="AB7305"/>
      <c r="AC7305"/>
      <c r="AD7305"/>
    </row>
    <row r="7306" spans="1:30" s="497" customFormat="1" ht="17.399999999999999">
      <c r="A7306" s="653" t="s">
        <v>48</v>
      </c>
      <c r="B7306" s="653"/>
      <c r="C7306" s="654"/>
      <c r="D7306" s="654"/>
      <c r="E7306" s="654"/>
      <c r="F7306" s="1179"/>
      <c r="G7306" s="654"/>
      <c r="H7306" s="1179"/>
      <c r="I7306" s="656"/>
      <c r="J7306" s="654"/>
      <c r="K7306" s="657"/>
      <c r="L7306" s="2004" t="s">
        <v>0</v>
      </c>
      <c r="M7306" s="2096"/>
      <c r="N7306" s="2096"/>
      <c r="O7306" s="2097"/>
      <c r="P7306" s="2010"/>
      <c r="S7306"/>
      <c r="T7306"/>
      <c r="U7306"/>
      <c r="V7306"/>
      <c r="W7306"/>
      <c r="X7306"/>
      <c r="Y7306"/>
      <c r="Z7306"/>
      <c r="AA7306"/>
      <c r="AB7306"/>
      <c r="AC7306"/>
      <c r="AD7306"/>
    </row>
    <row r="7307" spans="1:30" s="497" customFormat="1" ht="17.399999999999999">
      <c r="A7307" s="658" t="s">
        <v>1</v>
      </c>
      <c r="B7307" s="658"/>
      <c r="C7307" s="658"/>
      <c r="D7307" s="659" t="s">
        <v>2</v>
      </c>
      <c r="E7307" s="659"/>
      <c r="F7307" s="660"/>
      <c r="G7307" s="660"/>
      <c r="H7307" s="660"/>
      <c r="I7307" s="661"/>
      <c r="J7307" s="660"/>
      <c r="K7307" s="662" t="s">
        <v>3</v>
      </c>
      <c r="L7307" s="660"/>
      <c r="M7307" s="658"/>
      <c r="N7307" s="660"/>
      <c r="O7307" s="663"/>
      <c r="P7307" s="2010"/>
      <c r="S7307"/>
      <c r="T7307"/>
      <c r="U7307"/>
      <c r="V7307"/>
      <c r="W7307"/>
      <c r="X7307"/>
      <c r="Y7307"/>
      <c r="Z7307"/>
      <c r="AA7307"/>
      <c r="AB7307"/>
      <c r="AC7307"/>
      <c r="AD7307"/>
    </row>
    <row r="7308" spans="1:30" s="497" customFormat="1" ht="17.399999999999999">
      <c r="A7308" s="1179" t="s">
        <v>22</v>
      </c>
      <c r="B7308" s="1990" t="s">
        <v>23</v>
      </c>
      <c r="C7308" s="2005"/>
      <c r="D7308" s="1989"/>
      <c r="E7308" s="1179" t="s">
        <v>24</v>
      </c>
      <c r="F7308" s="1990" t="s">
        <v>25</v>
      </c>
      <c r="G7308" s="1989"/>
      <c r="H7308" s="1990" t="s">
        <v>26</v>
      </c>
      <c r="I7308" s="2005"/>
      <c r="J7308" s="2005"/>
      <c r="K7308" s="1989"/>
      <c r="L7308" s="1990" t="s">
        <v>27</v>
      </c>
      <c r="M7308" s="2005"/>
      <c r="N7308" s="2005"/>
      <c r="O7308" s="1989"/>
      <c r="P7308" s="2010"/>
      <c r="S7308"/>
      <c r="T7308"/>
      <c r="U7308"/>
      <c r="V7308"/>
      <c r="W7308"/>
      <c r="X7308"/>
      <c r="Y7308"/>
      <c r="Z7308"/>
      <c r="AA7308"/>
      <c r="AB7308"/>
      <c r="AC7308"/>
      <c r="AD7308"/>
    </row>
    <row r="7309" spans="1:30" s="497" customFormat="1" ht="17.399999999999999">
      <c r="A7309" s="664"/>
      <c r="B7309" s="2098"/>
      <c r="C7309" s="2099"/>
      <c r="D7309" s="2100"/>
      <c r="E7309" s="665"/>
      <c r="F7309" s="2098"/>
      <c r="G7309" s="2100"/>
      <c r="H7309" s="2098"/>
      <c r="I7309" s="2099"/>
      <c r="J7309" s="2099"/>
      <c r="K7309" s="2100"/>
      <c r="L7309" s="2098"/>
      <c r="M7309" s="2099"/>
      <c r="N7309" s="2099"/>
      <c r="O7309" s="2101"/>
      <c r="P7309" s="2010"/>
      <c r="S7309"/>
      <c r="T7309"/>
      <c r="U7309"/>
      <c r="V7309"/>
      <c r="W7309"/>
      <c r="X7309"/>
      <c r="Y7309"/>
      <c r="Z7309"/>
      <c r="AA7309"/>
      <c r="AB7309"/>
      <c r="AC7309"/>
      <c r="AD7309"/>
    </row>
    <row r="7310" spans="1:30" s="497" customFormat="1" ht="17.399999999999999">
      <c r="A7310" s="664"/>
      <c r="B7310" s="1175"/>
      <c r="C7310" s="1176"/>
      <c r="D7310" s="1177"/>
      <c r="E7310" s="665"/>
      <c r="F7310" s="1175"/>
      <c r="G7310" s="1177"/>
      <c r="H7310" s="1175"/>
      <c r="I7310" s="1842"/>
      <c r="J7310" s="1176"/>
      <c r="K7310" s="1177"/>
      <c r="L7310" s="1176"/>
      <c r="M7310" s="1176"/>
      <c r="N7310" s="1176"/>
      <c r="O7310" s="1176"/>
      <c r="P7310" s="2010"/>
      <c r="S7310"/>
      <c r="T7310"/>
      <c r="U7310"/>
      <c r="V7310"/>
      <c r="W7310"/>
      <c r="X7310"/>
      <c r="Y7310"/>
      <c r="Z7310"/>
      <c r="AA7310"/>
      <c r="AB7310"/>
      <c r="AC7310"/>
      <c r="AD7310"/>
    </row>
    <row r="7311" spans="1:30" s="497" customFormat="1" ht="17.399999999999999">
      <c r="A7311" s="664" t="s">
        <v>28</v>
      </c>
      <c r="B7311" s="1975" t="s">
        <v>353</v>
      </c>
      <c r="C7311" s="1976"/>
      <c r="D7311" s="1977"/>
      <c r="E7311" s="665">
        <f>+L7282</f>
        <v>102.09594999999999</v>
      </c>
      <c r="F7311" s="1975">
        <v>9</v>
      </c>
      <c r="G7311" s="1977"/>
      <c r="H7311" s="1975" t="s">
        <v>49</v>
      </c>
      <c r="I7311" s="1976"/>
      <c r="J7311" s="1976"/>
      <c r="K7311" s="1977"/>
      <c r="L7311" s="1975" t="s">
        <v>730</v>
      </c>
      <c r="M7311" s="1976"/>
      <c r="N7311" s="1976"/>
      <c r="O7311" s="2008"/>
      <c r="P7311" s="2010"/>
      <c r="S7311"/>
      <c r="T7311"/>
      <c r="U7311"/>
      <c r="V7311"/>
      <c r="W7311"/>
      <c r="X7311"/>
      <c r="Y7311"/>
      <c r="Z7311"/>
      <c r="AA7311"/>
      <c r="AB7311"/>
      <c r="AC7311"/>
      <c r="AD7311"/>
    </row>
    <row r="7312" spans="1:30" s="497" customFormat="1" ht="17.399999999999999">
      <c r="A7312" s="664" t="s">
        <v>29</v>
      </c>
      <c r="B7312" s="1975" t="s">
        <v>352</v>
      </c>
      <c r="C7312" s="1976"/>
      <c r="D7312" s="1977"/>
      <c r="E7312" s="665">
        <f>+L7294+22.484</f>
        <v>50.303285000000002</v>
      </c>
      <c r="F7312" s="1975">
        <v>9</v>
      </c>
      <c r="G7312" s="1977"/>
      <c r="H7312" s="1975" t="s">
        <v>49</v>
      </c>
      <c r="I7312" s="1976"/>
      <c r="J7312" s="1976"/>
      <c r="K7312" s="1977"/>
      <c r="L7312" s="1975" t="s">
        <v>730</v>
      </c>
      <c r="M7312" s="1976"/>
      <c r="N7312" s="1976"/>
      <c r="O7312" s="2008"/>
      <c r="P7312" s="2010"/>
      <c r="S7312"/>
      <c r="T7312"/>
      <c r="U7312"/>
      <c r="V7312"/>
      <c r="W7312"/>
      <c r="X7312"/>
      <c r="Y7312"/>
      <c r="Z7312"/>
      <c r="AA7312"/>
      <c r="AB7312"/>
      <c r="AC7312"/>
      <c r="AD7312"/>
    </row>
    <row r="7313" spans="1:30" s="497" customFormat="1" ht="17.399999999999999">
      <c r="A7313" s="664"/>
      <c r="B7313" s="1975"/>
      <c r="C7313" s="1976"/>
      <c r="D7313" s="1977"/>
      <c r="E7313" s="665"/>
      <c r="F7313" s="1975"/>
      <c r="G7313" s="1977"/>
      <c r="H7313" s="1975"/>
      <c r="I7313" s="1976"/>
      <c r="J7313" s="1976"/>
      <c r="K7313" s="1977"/>
      <c r="L7313" s="1975"/>
      <c r="M7313" s="1976"/>
      <c r="N7313" s="1976"/>
      <c r="O7313" s="2008"/>
      <c r="P7313" s="2010"/>
      <c r="S7313"/>
      <c r="T7313"/>
      <c r="U7313"/>
      <c r="V7313"/>
      <c r="W7313"/>
      <c r="X7313"/>
      <c r="Y7313"/>
      <c r="Z7313"/>
      <c r="AA7313"/>
      <c r="AB7313"/>
      <c r="AC7313"/>
      <c r="AD7313"/>
    </row>
    <row r="7314" spans="1:30" s="497" customFormat="1" ht="17.399999999999999">
      <c r="A7314" s="664"/>
      <c r="B7314" s="1975"/>
      <c r="C7314" s="1976"/>
      <c r="D7314" s="1977"/>
      <c r="E7314" s="665"/>
      <c r="F7314" s="1975"/>
      <c r="G7314" s="1977"/>
      <c r="H7314" s="1975"/>
      <c r="I7314" s="1976"/>
      <c r="J7314" s="1976"/>
      <c r="K7314" s="1977"/>
      <c r="L7314" s="1975"/>
      <c r="M7314" s="1976"/>
      <c r="N7314" s="1976"/>
      <c r="O7314" s="2008"/>
      <c r="P7314" s="2010"/>
      <c r="S7314"/>
      <c r="T7314"/>
      <c r="U7314"/>
      <c r="V7314"/>
      <c r="W7314"/>
      <c r="X7314"/>
      <c r="Y7314"/>
      <c r="Z7314"/>
      <c r="AA7314"/>
      <c r="AB7314"/>
      <c r="AC7314"/>
      <c r="AD7314"/>
    </row>
    <row r="7315" spans="1:30" s="497" customFormat="1" ht="18" thickBot="1">
      <c r="A7315" s="664"/>
      <c r="B7315" s="1175"/>
      <c r="C7315" s="1176"/>
      <c r="D7315" s="1176"/>
      <c r="E7315" s="665"/>
      <c r="F7315" s="1176"/>
      <c r="G7315" s="1177"/>
      <c r="H7315" s="1175"/>
      <c r="I7315" s="1842"/>
      <c r="J7315" s="1176"/>
      <c r="K7315" s="669"/>
      <c r="L7315" s="672"/>
      <c r="M7315" s="673"/>
      <c r="N7315" s="673"/>
      <c r="O7315" s="673"/>
      <c r="P7315" s="2010"/>
      <c r="S7315"/>
      <c r="T7315"/>
      <c r="U7315"/>
      <c r="V7315"/>
      <c r="W7315"/>
      <c r="X7315"/>
      <c r="Y7315"/>
      <c r="Z7315"/>
      <c r="AA7315"/>
      <c r="AB7315"/>
      <c r="AC7315"/>
      <c r="AD7315"/>
    </row>
    <row r="7316" spans="1:30" s="497" customFormat="1" ht="17.399999999999999">
      <c r="A7316" s="674"/>
      <c r="B7316" s="675"/>
      <c r="C7316" s="676"/>
      <c r="D7316" s="676"/>
      <c r="E7316" s="1980">
        <f>SUM(E7309:E7315)</f>
        <v>152.39923499999998</v>
      </c>
      <c r="F7316" s="677"/>
      <c r="G7316" s="678"/>
      <c r="H7316" s="679"/>
      <c r="I7316" s="1848"/>
      <c r="J7316" s="676"/>
      <c r="K7316" s="680"/>
      <c r="L7316" s="679"/>
      <c r="M7316" s="676"/>
      <c r="N7316" s="677"/>
      <c r="O7316" s="676"/>
      <c r="P7316" s="2010"/>
      <c r="S7316"/>
      <c r="T7316"/>
      <c r="U7316"/>
      <c r="V7316"/>
      <c r="W7316"/>
      <c r="X7316"/>
      <c r="Y7316"/>
      <c r="Z7316"/>
      <c r="AA7316"/>
      <c r="AB7316"/>
      <c r="AC7316"/>
      <c r="AD7316"/>
    </row>
    <row r="7317" spans="1:30" s="497" customFormat="1" ht="18" thickBot="1">
      <c r="A7317" s="681"/>
      <c r="B7317" s="682"/>
      <c r="C7317" s="683"/>
      <c r="D7317" s="683"/>
      <c r="E7317" s="1981"/>
      <c r="F7317" s="684"/>
      <c r="G7317" s="685"/>
      <c r="H7317" s="686"/>
      <c r="I7317" s="1850"/>
      <c r="J7317" s="683"/>
      <c r="K7317" s="687"/>
      <c r="L7317" s="686"/>
      <c r="M7317" s="683"/>
      <c r="N7317" s="684"/>
      <c r="O7317" s="683"/>
      <c r="P7317" s="2010"/>
      <c r="S7317"/>
      <c r="T7317"/>
      <c r="U7317"/>
      <c r="V7317"/>
      <c r="W7317"/>
      <c r="X7317"/>
      <c r="Y7317"/>
      <c r="Z7317"/>
      <c r="AA7317"/>
      <c r="AB7317"/>
      <c r="AC7317"/>
      <c r="AD7317"/>
    </row>
    <row r="7318" spans="1:30" s="497" customFormat="1" ht="17.399999999999999">
      <c r="A7318" s="688" t="s">
        <v>31</v>
      </c>
      <c r="B7318" s="676"/>
      <c r="C7318" s="676"/>
      <c r="D7318" s="676"/>
      <c r="E7318" s="676" t="s">
        <v>575</v>
      </c>
      <c r="F7318" s="677"/>
      <c r="G7318" s="676"/>
      <c r="H7318" s="677"/>
      <c r="I7318" s="1848"/>
      <c r="J7318" s="676"/>
      <c r="K7318" s="689"/>
      <c r="L7318" s="677"/>
      <c r="M7318" s="676"/>
      <c r="N7318" s="677"/>
      <c r="O7318" s="676"/>
      <c r="P7318" s="2010"/>
      <c r="S7318"/>
      <c r="T7318"/>
      <c r="U7318"/>
      <c r="V7318"/>
      <c r="W7318"/>
      <c r="X7318"/>
      <c r="Y7318"/>
      <c r="Z7318"/>
      <c r="AA7318"/>
      <c r="AB7318"/>
      <c r="AC7318"/>
      <c r="AD7318"/>
    </row>
    <row r="7319" spans="1:30" s="497" customFormat="1" ht="17.399999999999999">
      <c r="A7319" s="690"/>
      <c r="B7319" s="691"/>
      <c r="C7319" s="691"/>
      <c r="D7319" s="691"/>
      <c r="E7319" s="691"/>
      <c r="F7319" s="1174"/>
      <c r="G7319" s="691"/>
      <c r="H7319" s="1174"/>
      <c r="I7319" s="1849"/>
      <c r="J7319" s="691"/>
      <c r="K7319" s="693"/>
      <c r="L7319" s="1174"/>
      <c r="M7319" s="691"/>
      <c r="N7319" s="1174"/>
      <c r="O7319" s="691"/>
      <c r="P7319" s="2010"/>
      <c r="S7319"/>
      <c r="T7319"/>
      <c r="U7319"/>
      <c r="V7319"/>
      <c r="W7319"/>
      <c r="X7319"/>
      <c r="Y7319"/>
      <c r="Z7319"/>
      <c r="AA7319"/>
      <c r="AB7319"/>
      <c r="AC7319"/>
      <c r="AD7319"/>
    </row>
    <row r="7320" spans="1:30" s="497" customFormat="1" ht="18" thickBot="1">
      <c r="A7320" s="1982" t="s">
        <v>32</v>
      </c>
      <c r="B7320" s="1983"/>
      <c r="C7320" s="1984" t="s">
        <v>33</v>
      </c>
      <c r="D7320" s="1985"/>
      <c r="E7320" s="694" t="s">
        <v>34</v>
      </c>
      <c r="F7320" s="694" t="s">
        <v>35</v>
      </c>
      <c r="G7320" s="1986" t="s">
        <v>36</v>
      </c>
      <c r="H7320" s="1987"/>
      <c r="I7320" s="1987"/>
      <c r="J7320" s="1987"/>
      <c r="K7320" s="1987"/>
      <c r="L7320" s="1987"/>
      <c r="M7320" s="1987"/>
      <c r="N7320" s="1987"/>
      <c r="O7320" s="2102"/>
      <c r="P7320" s="2010"/>
      <c r="S7320"/>
      <c r="T7320"/>
      <c r="U7320"/>
      <c r="V7320"/>
      <c r="W7320"/>
      <c r="X7320"/>
      <c r="Y7320"/>
      <c r="Z7320"/>
      <c r="AA7320"/>
      <c r="AB7320"/>
      <c r="AC7320"/>
      <c r="AD7320"/>
    </row>
    <row r="7321" spans="1:30" s="497" customFormat="1" ht="17.399999999999999">
      <c r="A7321" s="1988"/>
      <c r="B7321" s="1989"/>
      <c r="C7321" s="1990"/>
      <c r="D7321" s="1989"/>
      <c r="E7321" s="1179"/>
      <c r="F7321" s="1172"/>
      <c r="G7321" s="1991"/>
      <c r="H7321" s="1992"/>
      <c r="I7321" s="1992"/>
      <c r="J7321" s="1992"/>
      <c r="K7321" s="1992"/>
      <c r="L7321" s="1992"/>
      <c r="M7321" s="1992"/>
      <c r="N7321" s="1992"/>
      <c r="O7321" s="1992"/>
      <c r="P7321" s="2010"/>
      <c r="S7321"/>
      <c r="T7321"/>
      <c r="U7321"/>
      <c r="V7321"/>
      <c r="W7321"/>
      <c r="X7321"/>
      <c r="Y7321"/>
      <c r="Z7321"/>
      <c r="AA7321"/>
      <c r="AB7321"/>
      <c r="AC7321"/>
      <c r="AD7321"/>
    </row>
    <row r="7322" spans="1:30" s="497" customFormat="1" ht="17.399999999999999">
      <c r="A7322" s="1997" t="s">
        <v>37</v>
      </c>
      <c r="B7322" s="1998"/>
      <c r="C7322" s="1990"/>
      <c r="D7322" s="1989"/>
      <c r="E7322" s="1179"/>
      <c r="F7322" s="1172"/>
      <c r="G7322" s="1993"/>
      <c r="H7322" s="1994"/>
      <c r="I7322" s="1994"/>
      <c r="J7322" s="1994"/>
      <c r="K7322" s="1994"/>
      <c r="L7322" s="1994"/>
      <c r="M7322" s="1994"/>
      <c r="N7322" s="1994"/>
      <c r="O7322" s="1994"/>
      <c r="P7322" s="2010"/>
      <c r="S7322"/>
      <c r="T7322"/>
      <c r="U7322"/>
      <c r="V7322"/>
      <c r="W7322"/>
      <c r="X7322"/>
      <c r="Y7322"/>
      <c r="Z7322"/>
      <c r="AA7322"/>
      <c r="AB7322"/>
      <c r="AC7322"/>
      <c r="AD7322"/>
    </row>
    <row r="7323" spans="1:30" s="497" customFormat="1" ht="17.399999999999999">
      <c r="A7323" s="1997" t="s">
        <v>38</v>
      </c>
      <c r="B7323" s="1998"/>
      <c r="C7323" s="1990"/>
      <c r="D7323" s="1989"/>
      <c r="E7323" s="1179"/>
      <c r="F7323" s="1172"/>
      <c r="G7323" s="1993"/>
      <c r="H7323" s="1994"/>
      <c r="I7323" s="1994"/>
      <c r="J7323" s="1994"/>
      <c r="K7323" s="1994"/>
      <c r="L7323" s="1994"/>
      <c r="M7323" s="1994"/>
      <c r="N7323" s="1994"/>
      <c r="O7323" s="1994"/>
      <c r="P7323" s="2010"/>
      <c r="S7323"/>
      <c r="T7323"/>
      <c r="U7323"/>
      <c r="V7323"/>
      <c r="W7323"/>
      <c r="X7323"/>
      <c r="Y7323"/>
      <c r="Z7323"/>
      <c r="AA7323"/>
      <c r="AB7323"/>
      <c r="AC7323"/>
      <c r="AD7323"/>
    </row>
    <row r="7324" spans="1:30" s="497" customFormat="1" ht="17.399999999999999">
      <c r="A7324" s="1997" t="s">
        <v>39</v>
      </c>
      <c r="B7324" s="1998"/>
      <c r="C7324" s="1990"/>
      <c r="D7324" s="1989"/>
      <c r="E7324" s="1179"/>
      <c r="F7324" s="1172"/>
      <c r="G7324" s="1993"/>
      <c r="H7324" s="1994"/>
      <c r="I7324" s="1994"/>
      <c r="J7324" s="1994"/>
      <c r="K7324" s="1994"/>
      <c r="L7324" s="1994"/>
      <c r="M7324" s="1994"/>
      <c r="N7324" s="1994"/>
      <c r="O7324" s="1994"/>
      <c r="P7324" s="2010"/>
      <c r="S7324"/>
      <c r="T7324"/>
      <c r="U7324"/>
      <c r="V7324"/>
      <c r="W7324"/>
      <c r="X7324"/>
      <c r="Y7324"/>
      <c r="Z7324"/>
      <c r="AA7324"/>
      <c r="AB7324"/>
      <c r="AC7324"/>
      <c r="AD7324"/>
    </row>
    <row r="7325" spans="1:30" s="497" customFormat="1" ht="17.399999999999999">
      <c r="A7325" s="1997" t="s">
        <v>40</v>
      </c>
      <c r="B7325" s="1998"/>
      <c r="C7325" s="1990"/>
      <c r="D7325" s="1989"/>
      <c r="E7325" s="1179"/>
      <c r="F7325" s="1172"/>
      <c r="G7325" s="1993"/>
      <c r="H7325" s="1994"/>
      <c r="I7325" s="1994"/>
      <c r="J7325" s="1994"/>
      <c r="K7325" s="1994"/>
      <c r="L7325" s="1994"/>
      <c r="M7325" s="1994"/>
      <c r="N7325" s="1994"/>
      <c r="O7325" s="1994"/>
      <c r="P7325" s="2010"/>
      <c r="S7325"/>
      <c r="T7325"/>
      <c r="U7325"/>
      <c r="V7325"/>
      <c r="W7325"/>
      <c r="X7325"/>
      <c r="Y7325"/>
      <c r="Z7325"/>
      <c r="AA7325"/>
      <c r="AB7325"/>
      <c r="AC7325"/>
      <c r="AD7325"/>
    </row>
    <row r="7326" spans="1:30" ht="18" thickBot="1">
      <c r="A7326" s="1999" t="s">
        <v>41</v>
      </c>
      <c r="B7326" s="2000"/>
      <c r="C7326" s="2001"/>
      <c r="D7326" s="2002"/>
      <c r="E7326" s="696"/>
      <c r="F7326" s="1121"/>
      <c r="G7326" s="1995"/>
      <c r="H7326" s="1996"/>
      <c r="I7326" s="1996"/>
      <c r="J7326" s="1996"/>
      <c r="K7326" s="1996"/>
      <c r="L7326" s="1996"/>
      <c r="M7326" s="1996"/>
      <c r="N7326" s="1996"/>
      <c r="O7326" s="1996"/>
      <c r="P7326" s="2010"/>
    </row>
    <row r="7327" spans="1:30" ht="18">
      <c r="A7327" s="690"/>
      <c r="B7327" s="691"/>
      <c r="C7327" s="691"/>
      <c r="D7327" s="691"/>
      <c r="E7327" s="691"/>
      <c r="F7327" s="1122"/>
      <c r="G7327" s="691"/>
      <c r="H7327" s="698"/>
      <c r="I7327" s="699"/>
      <c r="J7327" s="700"/>
      <c r="K7327" s="701"/>
      <c r="L7327" s="702"/>
      <c r="M7327" s="691"/>
      <c r="N7327" s="1122"/>
      <c r="O7327" s="691"/>
      <c r="P7327" s="2010"/>
    </row>
    <row r="7328" spans="1:30" ht="18">
      <c r="A7328" s="703" t="s">
        <v>42</v>
      </c>
      <c r="B7328" s="704"/>
      <c r="C7328" s="691"/>
      <c r="D7328" s="691"/>
      <c r="E7328" s="691"/>
      <c r="F7328" s="1122"/>
      <c r="G7328" s="704"/>
      <c r="H7328" s="698"/>
      <c r="I7328" s="699"/>
      <c r="J7328" s="700"/>
      <c r="K7328" s="693"/>
      <c r="L7328" s="705"/>
      <c r="M7328" s="691"/>
      <c r="N7328" s="1979" t="s">
        <v>43</v>
      </c>
      <c r="O7328" s="1979"/>
      <c r="P7328" s="2010"/>
    </row>
    <row r="7329" spans="1:17" ht="17.399999999999999">
      <c r="A7329" s="703"/>
      <c r="B7329" s="704"/>
      <c r="C7329" s="691"/>
      <c r="D7329" s="691"/>
      <c r="E7329" s="691"/>
      <c r="F7329" s="1122"/>
      <c r="G7329" s="691"/>
      <c r="H7329" s="1122"/>
      <c r="I7329" s="1849"/>
      <c r="J7329" s="691"/>
      <c r="K7329" s="693"/>
      <c r="L7329" s="1122"/>
      <c r="M7329" s="691"/>
      <c r="N7329" s="1122"/>
      <c r="O7329" s="704"/>
      <c r="P7329" s="2010"/>
    </row>
    <row r="7330" spans="1:17" ht="17.399999999999999">
      <c r="A7330" s="703" t="s">
        <v>44</v>
      </c>
      <c r="B7330" s="704"/>
      <c r="C7330" s="691"/>
      <c r="D7330" s="691"/>
      <c r="E7330" s="691"/>
      <c r="F7330" s="1122"/>
      <c r="G7330" s="691"/>
      <c r="H7330" s="1122"/>
      <c r="I7330" s="1849"/>
      <c r="J7330" s="691"/>
      <c r="K7330" s="693"/>
      <c r="L7330" s="1122"/>
      <c r="M7330" s="691"/>
      <c r="N7330" s="1979" t="s">
        <v>45</v>
      </c>
      <c r="O7330" s="1979"/>
      <c r="P7330" s="2010"/>
    </row>
    <row r="7331" spans="1:17" ht="18" thickBot="1">
      <c r="A7331" s="682"/>
      <c r="B7331" s="683"/>
      <c r="C7331" s="683"/>
      <c r="D7331" s="683"/>
      <c r="E7331" s="683"/>
      <c r="F7331" s="684"/>
      <c r="G7331" s="683"/>
      <c r="H7331" s="684"/>
      <c r="I7331" s="1850"/>
      <c r="J7331" s="683"/>
      <c r="K7331" s="706"/>
      <c r="L7331" s="684"/>
      <c r="M7331" s="683"/>
      <c r="N7331" s="684"/>
      <c r="O7331" s="683"/>
      <c r="P7331" s="2010"/>
    </row>
    <row r="7336" spans="1:17" ht="17.399999999999999">
      <c r="A7336" s="1000" t="s">
        <v>48</v>
      </c>
      <c r="B7336" s="1000"/>
      <c r="C7336" s="718"/>
      <c r="D7336" s="718"/>
      <c r="E7336" s="718"/>
      <c r="F7336" s="720"/>
      <c r="G7336" s="718"/>
      <c r="H7336" s="718"/>
      <c r="I7336" s="721"/>
      <c r="J7336" s="1001"/>
      <c r="K7336" s="1002"/>
      <c r="L7336" s="1978" t="s">
        <v>0</v>
      </c>
      <c r="M7336" s="1978"/>
      <c r="N7336" s="1978"/>
      <c r="O7336" s="1978"/>
      <c r="P7336" s="549"/>
    </row>
    <row r="7337" spans="1:17" ht="17.399999999999999">
      <c r="A7337" s="718" t="s">
        <v>1</v>
      </c>
      <c r="B7337" s="718"/>
      <c r="C7337" s="718"/>
      <c r="D7337" s="719" t="s">
        <v>2</v>
      </c>
      <c r="E7337" s="719"/>
      <c r="F7337" s="720"/>
      <c r="G7337" s="720"/>
      <c r="H7337" s="720"/>
      <c r="I7337" s="721"/>
      <c r="J7337" s="1131"/>
      <c r="K7337" s="1002" t="s">
        <v>3</v>
      </c>
      <c r="L7337" s="1131"/>
      <c r="M7337" s="718"/>
      <c r="N7337" s="720"/>
      <c r="O7337" s="718"/>
      <c r="P7337" s="549"/>
    </row>
    <row r="7338" spans="1:17" ht="52.2">
      <c r="A7338" s="640" t="s">
        <v>4</v>
      </c>
      <c r="B7338" s="640" t="s">
        <v>5</v>
      </c>
      <c r="C7338" s="640" t="s">
        <v>6</v>
      </c>
      <c r="D7338" s="640" t="s">
        <v>7</v>
      </c>
      <c r="E7338" s="640" t="s">
        <v>8</v>
      </c>
      <c r="F7338" s="641" t="s">
        <v>9</v>
      </c>
      <c r="G7338" s="642" t="s">
        <v>10</v>
      </c>
      <c r="H7338" s="642" t="s">
        <v>11</v>
      </c>
      <c r="I7338" s="643" t="s">
        <v>12</v>
      </c>
      <c r="J7338" s="644" t="s">
        <v>13</v>
      </c>
      <c r="K7338" s="645" t="s">
        <v>14</v>
      </c>
      <c r="L7338" s="646" t="s">
        <v>15</v>
      </c>
      <c r="M7338" s="641" t="s">
        <v>16</v>
      </c>
      <c r="N7338" s="641" t="s">
        <v>17</v>
      </c>
      <c r="O7338" s="642" t="s">
        <v>18</v>
      </c>
      <c r="P7338" s="641" t="s">
        <v>192</v>
      </c>
    </row>
    <row r="7339" spans="1:17" ht="17.399999999999999">
      <c r="A7339" s="547" t="s">
        <v>445</v>
      </c>
      <c r="B7339" s="547" t="s">
        <v>688</v>
      </c>
      <c r="C7339" s="547" t="s">
        <v>19</v>
      </c>
      <c r="D7339" s="547" t="s">
        <v>20</v>
      </c>
      <c r="E7339" s="1094" t="s">
        <v>47</v>
      </c>
      <c r="F7339" s="1134">
        <v>12</v>
      </c>
      <c r="G7339" s="549" t="s">
        <v>21</v>
      </c>
      <c r="H7339" s="599" t="s">
        <v>133</v>
      </c>
      <c r="I7339" s="558">
        <v>15</v>
      </c>
      <c r="J7339" s="567">
        <v>9.1</v>
      </c>
      <c r="K7339" s="648">
        <v>14</v>
      </c>
      <c r="L7339" s="552">
        <f>(I7339*J7339*K7339/1000)</f>
        <v>1.911</v>
      </c>
      <c r="M7339" s="549"/>
      <c r="N7339" s="549"/>
      <c r="O7339" s="549"/>
      <c r="P7339" s="2013" t="s">
        <v>722</v>
      </c>
      <c r="Q7339" s="497" t="s">
        <v>785</v>
      </c>
    </row>
    <row r="7340" spans="1:17" ht="17.399999999999999">
      <c r="A7340" s="547"/>
      <c r="B7340" s="751" t="s">
        <v>702</v>
      </c>
      <c r="C7340" s="547"/>
      <c r="D7340" s="547"/>
      <c r="E7340" s="547"/>
      <c r="F7340" s="1134"/>
      <c r="G7340" s="549" t="s">
        <v>21</v>
      </c>
      <c r="H7340" s="549" t="s">
        <v>133</v>
      </c>
      <c r="I7340" s="558">
        <v>15</v>
      </c>
      <c r="J7340" s="567">
        <v>10.3</v>
      </c>
      <c r="K7340" s="648">
        <v>30</v>
      </c>
      <c r="L7340" s="552">
        <f>(I7340*J7340*K7340/1000)</f>
        <v>4.6349999999999998</v>
      </c>
      <c r="M7340" s="549"/>
      <c r="N7340" s="549"/>
      <c r="O7340" s="549"/>
      <c r="P7340" s="2014"/>
    </row>
    <row r="7341" spans="1:17" ht="17.399999999999999">
      <c r="A7341" s="549"/>
      <c r="B7341" s="549"/>
      <c r="C7341" s="549"/>
      <c r="D7341" s="549"/>
      <c r="E7341" s="549"/>
      <c r="F7341" s="549"/>
      <c r="G7341" s="549" t="s">
        <v>21</v>
      </c>
      <c r="H7341" s="549" t="s">
        <v>133</v>
      </c>
      <c r="I7341" s="558">
        <v>15</v>
      </c>
      <c r="J7341" s="567">
        <v>10.6</v>
      </c>
      <c r="K7341" s="648">
        <v>13</v>
      </c>
      <c r="L7341" s="552">
        <f>(I7341*J7341*K7341/1000)</f>
        <v>2.0670000000000002</v>
      </c>
      <c r="M7341" s="549"/>
      <c r="N7341" s="549"/>
      <c r="O7341" s="549"/>
      <c r="P7341" s="2014"/>
    </row>
    <row r="7342" spans="1:17" ht="17.399999999999999">
      <c r="A7342" s="549"/>
      <c r="B7342" s="549"/>
      <c r="C7342" s="549"/>
      <c r="D7342" s="549"/>
      <c r="E7342" s="549"/>
      <c r="F7342" s="549"/>
      <c r="G7342" s="549"/>
      <c r="H7342" s="549"/>
      <c r="I7342" s="558"/>
      <c r="J7342" s="567"/>
      <c r="K7342" s="648">
        <f>SUM(K7339:K7341)</f>
        <v>57</v>
      </c>
      <c r="L7342" s="567">
        <f>SUM(L7339:L7341)</f>
        <v>8.6129999999999995</v>
      </c>
      <c r="M7342" s="549"/>
      <c r="N7342" s="549"/>
      <c r="O7342" s="549"/>
      <c r="P7342" s="2015"/>
    </row>
    <row r="7343" spans="1:17" s="497" customFormat="1" ht="17.399999999999999">
      <c r="A7343" s="549"/>
      <c r="B7343" s="549"/>
      <c r="C7343" s="549"/>
      <c r="D7343" s="549"/>
      <c r="E7343" s="549"/>
      <c r="F7343" s="549"/>
      <c r="G7343" s="549"/>
      <c r="H7343" s="549"/>
      <c r="I7343" s="558"/>
      <c r="J7343" s="567"/>
      <c r="K7343" s="648"/>
      <c r="L7343" s="567"/>
      <c r="M7343" s="549"/>
      <c r="N7343" s="549"/>
      <c r="O7343" s="549"/>
      <c r="P7343" s="549"/>
    </row>
    <row r="7344" spans="1:17" s="497" customFormat="1" ht="17.399999999999999">
      <c r="A7344" s="549"/>
      <c r="B7344" s="549"/>
      <c r="C7344" s="549"/>
      <c r="D7344" s="549"/>
      <c r="E7344" s="549"/>
      <c r="F7344" s="549"/>
      <c r="G7344" s="549"/>
      <c r="H7344" s="549"/>
      <c r="I7344" s="558"/>
      <c r="J7344" s="567"/>
      <c r="K7344" s="648"/>
      <c r="L7344" s="567"/>
      <c r="M7344" s="549"/>
      <c r="N7344" s="549"/>
      <c r="O7344" s="549"/>
      <c r="P7344" s="549"/>
    </row>
    <row r="7345" spans="1:17" s="497" customFormat="1" ht="17.399999999999999">
      <c r="A7345" s="547" t="s">
        <v>717</v>
      </c>
      <c r="B7345" s="1169" t="s">
        <v>308</v>
      </c>
      <c r="C7345" s="547" t="s">
        <v>19</v>
      </c>
      <c r="D7345" s="547" t="s">
        <v>20</v>
      </c>
      <c r="E7345" s="547" t="s">
        <v>359</v>
      </c>
      <c r="F7345" s="1134">
        <v>12</v>
      </c>
      <c r="G7345" s="549" t="s">
        <v>21</v>
      </c>
      <c r="H7345" s="549" t="s">
        <v>133</v>
      </c>
      <c r="I7345" s="558">
        <v>15.04</v>
      </c>
      <c r="J7345" s="567">
        <v>1.2390000000000001</v>
      </c>
      <c r="K7345" s="648">
        <f>280-87+8</f>
        <v>201</v>
      </c>
      <c r="L7345" s="552">
        <f>(I7345*J7345*K7345/1000)</f>
        <v>3.7455465600000002</v>
      </c>
      <c r="M7345" s="549"/>
      <c r="N7345" s="549"/>
      <c r="O7345" s="549"/>
      <c r="P7345" s="2013" t="s">
        <v>723</v>
      </c>
    </row>
    <row r="7346" spans="1:17" s="497" customFormat="1" ht="17.399999999999999">
      <c r="A7346" s="547"/>
      <c r="B7346" s="1157" t="s">
        <v>718</v>
      </c>
      <c r="C7346" s="547"/>
      <c r="D7346" s="547"/>
      <c r="E7346" s="547"/>
      <c r="F7346" s="1134"/>
      <c r="G7346" s="549" t="s">
        <v>21</v>
      </c>
      <c r="H7346" s="549" t="s">
        <v>133</v>
      </c>
      <c r="I7346" s="558">
        <v>15.04</v>
      </c>
      <c r="J7346" s="567">
        <v>2.8</v>
      </c>
      <c r="K7346" s="648">
        <f>330-53+20</f>
        <v>297</v>
      </c>
      <c r="L7346" s="552">
        <f>(I7346*J7346*K7346/1000)</f>
        <v>12.507263999999999</v>
      </c>
      <c r="M7346" s="549"/>
      <c r="N7346" s="549"/>
      <c r="O7346" s="549"/>
      <c r="P7346" s="2014"/>
    </row>
    <row r="7347" spans="1:17" s="497" customFormat="1" ht="17.399999999999999">
      <c r="A7347" s="549"/>
      <c r="B7347" s="549"/>
      <c r="C7347" s="549"/>
      <c r="D7347" s="549"/>
      <c r="E7347" s="549"/>
      <c r="F7347" s="549"/>
      <c r="G7347" s="549" t="s">
        <v>21</v>
      </c>
      <c r="H7347" s="549" t="s">
        <v>133</v>
      </c>
      <c r="I7347" s="558">
        <v>15.04</v>
      </c>
      <c r="J7347" s="567">
        <v>3.2</v>
      </c>
      <c r="K7347" s="648">
        <f>56-24</f>
        <v>32</v>
      </c>
      <c r="L7347" s="552">
        <f>(I7347*J7347*K7347/1000)</f>
        <v>1.5400959999999999</v>
      </c>
      <c r="M7347" s="549"/>
      <c r="N7347" s="549"/>
      <c r="O7347" s="549"/>
      <c r="P7347" s="2014"/>
    </row>
    <row r="7348" spans="1:17" s="497" customFormat="1" ht="17.399999999999999">
      <c r="A7348" s="549"/>
      <c r="B7348" s="549"/>
      <c r="C7348" s="549"/>
      <c r="D7348" s="549"/>
      <c r="E7348" s="549"/>
      <c r="F7348" s="549"/>
      <c r="G7348" s="549"/>
      <c r="H7348" s="549"/>
      <c r="I7348" s="558"/>
      <c r="J7348" s="567"/>
      <c r="K7348" s="648">
        <f>SUM(K7345:K7347)</f>
        <v>530</v>
      </c>
      <c r="L7348" s="567">
        <f>SUM(L7345:L7347)</f>
        <v>17.792906559999999</v>
      </c>
      <c r="M7348" s="549" t="s">
        <v>740</v>
      </c>
      <c r="N7348" s="549"/>
      <c r="O7348" s="549"/>
      <c r="P7348" s="2014"/>
    </row>
    <row r="7349" spans="1:17" s="497" customFormat="1" ht="17.399999999999999">
      <c r="A7349" s="549"/>
      <c r="B7349" s="549"/>
      <c r="C7349" s="549"/>
      <c r="D7349" s="549"/>
      <c r="E7349" s="549"/>
      <c r="F7349" s="549"/>
      <c r="G7349" s="549"/>
      <c r="H7349" s="549"/>
      <c r="I7349" s="560"/>
      <c r="J7349" s="549"/>
      <c r="K7349" s="561"/>
      <c r="L7349" s="560"/>
      <c r="M7349" s="549"/>
      <c r="N7349" s="549"/>
      <c r="O7349" s="549"/>
      <c r="P7349" s="2014"/>
    </row>
    <row r="7350" spans="1:17" s="497" customFormat="1" ht="17.399999999999999">
      <c r="A7350" s="547" t="s">
        <v>717</v>
      </c>
      <c r="B7350" s="1169" t="s">
        <v>308</v>
      </c>
      <c r="C7350" s="547" t="s">
        <v>19</v>
      </c>
      <c r="D7350" s="547" t="s">
        <v>20</v>
      </c>
      <c r="E7350" s="547" t="s">
        <v>359</v>
      </c>
      <c r="F7350" s="1134">
        <v>12</v>
      </c>
      <c r="G7350" s="549" t="s">
        <v>21</v>
      </c>
      <c r="H7350" s="549" t="s">
        <v>133</v>
      </c>
      <c r="I7350" s="558">
        <v>15.04</v>
      </c>
      <c r="J7350" s="567">
        <v>9.1999999999999993</v>
      </c>
      <c r="K7350" s="648">
        <v>28</v>
      </c>
      <c r="L7350" s="552">
        <f>(I7350*J7350*K7350/1000)</f>
        <v>3.874304</v>
      </c>
      <c r="M7350" s="549"/>
      <c r="N7350" s="549"/>
      <c r="O7350" s="549"/>
      <c r="P7350" s="2014"/>
    </row>
    <row r="7351" spans="1:17" s="497" customFormat="1" ht="17.399999999999999">
      <c r="A7351" s="547"/>
      <c r="B7351" s="1157" t="s">
        <v>718</v>
      </c>
      <c r="C7351" s="547"/>
      <c r="D7351" s="547"/>
      <c r="E7351" s="547"/>
      <c r="F7351" s="1134"/>
      <c r="G7351" s="549"/>
      <c r="H7351" s="549"/>
      <c r="I7351" s="558"/>
      <c r="J7351" s="567"/>
      <c r="K7351" s="648">
        <f t="shared" ref="K7351" si="1525">SUM(K7350)</f>
        <v>28</v>
      </c>
      <c r="L7351" s="552">
        <f>SUM(L7350)</f>
        <v>3.874304</v>
      </c>
      <c r="M7351" s="549"/>
      <c r="N7351" s="549"/>
      <c r="O7351" s="549"/>
      <c r="P7351" s="2015"/>
    </row>
    <row r="7352" spans="1:17" s="497" customFormat="1" ht="17.399999999999999">
      <c r="A7352" s="549"/>
      <c r="B7352" s="549"/>
      <c r="C7352" s="549"/>
      <c r="D7352" s="549"/>
      <c r="E7352" s="549"/>
      <c r="F7352" s="549"/>
      <c r="G7352" s="549"/>
      <c r="H7352" s="549"/>
      <c r="I7352" s="560"/>
      <c r="J7352" s="549"/>
      <c r="K7352" s="652">
        <f>SUM(K7339:K7351)/2</f>
        <v>615</v>
      </c>
      <c r="L7352" s="565">
        <f>SUM(L7339:L7351)/2</f>
        <v>30.28021056</v>
      </c>
      <c r="M7352" s="549"/>
      <c r="N7352" s="549"/>
      <c r="O7352" s="549"/>
      <c r="P7352" s="549"/>
    </row>
    <row r="7353" spans="1:17" s="497" customFormat="1" ht="17.399999999999999">
      <c r="A7353" s="549"/>
      <c r="B7353" s="549"/>
      <c r="C7353" s="549"/>
      <c r="D7353" s="549"/>
      <c r="E7353" s="549"/>
      <c r="F7353" s="549"/>
      <c r="G7353" s="549"/>
      <c r="H7353" s="549"/>
      <c r="I7353" s="560"/>
      <c r="J7353" s="549"/>
      <c r="K7353" s="561"/>
      <c r="L7353" s="568"/>
      <c r="M7353" s="549"/>
      <c r="N7353" s="549"/>
      <c r="O7353" s="549"/>
      <c r="P7353" s="549"/>
    </row>
    <row r="7354" spans="1:17" ht="17.399999999999999">
      <c r="A7354" s="549"/>
      <c r="B7354" s="549"/>
      <c r="C7354" s="549"/>
      <c r="D7354" s="549"/>
      <c r="E7354" s="549"/>
      <c r="F7354" s="549"/>
      <c r="G7354" s="549"/>
      <c r="H7354" s="549"/>
      <c r="I7354" s="560"/>
      <c r="J7354" s="549"/>
      <c r="K7354" s="561"/>
      <c r="L7354" s="560"/>
      <c r="M7354" s="549"/>
      <c r="N7354" s="549"/>
      <c r="O7354" s="549"/>
      <c r="P7354" s="549"/>
    </row>
    <row r="7355" spans="1:17" ht="17.399999999999999">
      <c r="A7355" s="547" t="s">
        <v>445</v>
      </c>
      <c r="B7355" s="547" t="s">
        <v>688</v>
      </c>
      <c r="C7355" s="547" t="s">
        <v>19</v>
      </c>
      <c r="D7355" s="547" t="s">
        <v>20</v>
      </c>
      <c r="E7355" s="1094" t="s">
        <v>47</v>
      </c>
      <c r="F7355" s="1134">
        <v>12</v>
      </c>
      <c r="G7355" s="549" t="s">
        <v>21</v>
      </c>
      <c r="H7355" s="599" t="s">
        <v>205</v>
      </c>
      <c r="I7355" s="558">
        <v>13.6</v>
      </c>
      <c r="J7355" s="567">
        <v>7.6</v>
      </c>
      <c r="K7355" s="648">
        <v>18</v>
      </c>
      <c r="L7355" s="552">
        <f>(I7355*J7355*K7355/1000)</f>
        <v>1.8604799999999999</v>
      </c>
      <c r="M7355" s="549"/>
      <c r="N7355" s="549"/>
      <c r="O7355" s="549"/>
      <c r="P7355" s="549" t="s">
        <v>724</v>
      </c>
      <c r="Q7355" s="497" t="s">
        <v>785</v>
      </c>
    </row>
    <row r="7356" spans="1:17" ht="17.399999999999999">
      <c r="A7356" s="547"/>
      <c r="B7356" s="751" t="s">
        <v>702</v>
      </c>
      <c r="C7356" s="547"/>
      <c r="D7356" s="547"/>
      <c r="E7356" s="547"/>
      <c r="F7356" s="1134"/>
      <c r="G7356" s="549"/>
      <c r="H7356" s="549"/>
      <c r="I7356" s="558"/>
      <c r="J7356" s="567"/>
      <c r="K7356" s="648">
        <f t="shared" ref="K7356" si="1526">SUM(K7355)</f>
        <v>18</v>
      </c>
      <c r="L7356" s="567">
        <f>SUM(L7355)</f>
        <v>1.8604799999999999</v>
      </c>
      <c r="M7356" s="549"/>
      <c r="N7356" s="549"/>
      <c r="O7356" s="549"/>
      <c r="P7356" s="549"/>
    </row>
    <row r="7357" spans="1:17" s="497" customFormat="1" ht="17.399999999999999">
      <c r="A7357" s="547"/>
      <c r="B7357" s="751"/>
      <c r="C7357" s="547"/>
      <c r="D7357" s="547"/>
      <c r="E7357" s="547"/>
      <c r="F7357" s="1134"/>
      <c r="G7357" s="549"/>
      <c r="H7357" s="549"/>
      <c r="I7357" s="558"/>
      <c r="J7357" s="567"/>
      <c r="K7357" s="648"/>
      <c r="L7357" s="567"/>
      <c r="M7357" s="549"/>
      <c r="N7357" s="549"/>
      <c r="O7357" s="549"/>
      <c r="P7357" s="549"/>
    </row>
    <row r="7358" spans="1:17" ht="17.399999999999999">
      <c r="A7358" s="549"/>
      <c r="B7358" s="549"/>
      <c r="C7358" s="549"/>
      <c r="D7358" s="549"/>
      <c r="E7358" s="549"/>
      <c r="F7358" s="549"/>
      <c r="G7358" s="549"/>
      <c r="H7358" s="549"/>
      <c r="I7358" s="560"/>
      <c r="J7358" s="549"/>
      <c r="K7358" s="561"/>
      <c r="L7358" s="560"/>
      <c r="M7358" s="549"/>
      <c r="N7358" s="549"/>
      <c r="O7358" s="549"/>
      <c r="P7358" s="549"/>
    </row>
    <row r="7359" spans="1:17" ht="17.399999999999999">
      <c r="A7359" s="547" t="s">
        <v>541</v>
      </c>
      <c r="B7359" s="1169" t="s">
        <v>735</v>
      </c>
      <c r="C7359" s="547" t="s">
        <v>19</v>
      </c>
      <c r="D7359" s="547" t="s">
        <v>20</v>
      </c>
      <c r="E7359" s="547" t="s">
        <v>57</v>
      </c>
      <c r="F7359" s="1134">
        <v>12</v>
      </c>
      <c r="G7359" s="549" t="s">
        <v>21</v>
      </c>
      <c r="H7359" s="549" t="s">
        <v>134</v>
      </c>
      <c r="I7359" s="558">
        <v>12.2</v>
      </c>
      <c r="J7359" s="567">
        <v>6.3</v>
      </c>
      <c r="K7359" s="648">
        <v>16</v>
      </c>
      <c r="L7359" s="552">
        <f>(I7359*J7359*K7359/1000)</f>
        <v>1.22976</v>
      </c>
      <c r="M7359" s="549"/>
      <c r="N7359" s="549"/>
      <c r="O7359" s="549"/>
      <c r="P7359" s="549"/>
    </row>
    <row r="7360" spans="1:17" ht="17.399999999999999">
      <c r="A7360" s="547"/>
      <c r="B7360" s="1024" t="s">
        <v>736</v>
      </c>
      <c r="C7360" s="547"/>
      <c r="D7360" s="547"/>
      <c r="E7360" s="547"/>
      <c r="F7360" s="550"/>
      <c r="G7360" s="650"/>
      <c r="H7360" s="549"/>
      <c r="I7360" s="558"/>
      <c r="J7360" s="567"/>
      <c r="K7360" s="648">
        <f>SUM(K7359:K7359)</f>
        <v>16</v>
      </c>
      <c r="L7360" s="567">
        <f>SUM(L7359:L7359)</f>
        <v>1.22976</v>
      </c>
      <c r="M7360" s="549"/>
      <c r="N7360" s="549"/>
      <c r="O7360" s="549"/>
      <c r="P7360" s="549"/>
    </row>
    <row r="7361" spans="1:17" ht="17.399999999999999">
      <c r="A7361" s="549"/>
      <c r="B7361" s="549"/>
      <c r="C7361" s="549"/>
      <c r="D7361" s="549"/>
      <c r="E7361" s="549"/>
      <c r="F7361" s="549"/>
      <c r="G7361" s="549"/>
      <c r="H7361" s="549"/>
      <c r="I7361" s="560"/>
      <c r="J7361" s="549"/>
      <c r="K7361" s="561"/>
      <c r="L7361" s="560"/>
      <c r="M7361" s="549"/>
      <c r="N7361" s="549"/>
      <c r="O7361" s="549"/>
      <c r="P7361" s="549"/>
    </row>
    <row r="7362" spans="1:17" ht="17.399999999999999">
      <c r="A7362" s="547" t="s">
        <v>445</v>
      </c>
      <c r="B7362" s="547" t="s">
        <v>688</v>
      </c>
      <c r="C7362" s="547" t="s">
        <v>19</v>
      </c>
      <c r="D7362" s="547" t="s">
        <v>20</v>
      </c>
      <c r="E7362" s="1094" t="s">
        <v>47</v>
      </c>
      <c r="F7362" s="1134">
        <v>12</v>
      </c>
      <c r="G7362" s="549" t="s">
        <v>21</v>
      </c>
      <c r="H7362" s="599" t="s">
        <v>134</v>
      </c>
      <c r="I7362" s="558">
        <v>12.2</v>
      </c>
      <c r="J7362" s="567">
        <v>7.5</v>
      </c>
      <c r="K7362" s="648">
        <v>61</v>
      </c>
      <c r="L7362" s="552">
        <f t="shared" ref="L7362:L7367" si="1527">(I7362*J7362*K7362/1000)</f>
        <v>5.5815000000000001</v>
      </c>
      <c r="M7362" s="549"/>
      <c r="N7362" s="549"/>
      <c r="O7362" s="549"/>
      <c r="P7362" s="549"/>
      <c r="Q7362" s="497" t="s">
        <v>785</v>
      </c>
    </row>
    <row r="7363" spans="1:17" ht="17.399999999999999">
      <c r="A7363" s="547"/>
      <c r="B7363" s="751" t="s">
        <v>702</v>
      </c>
      <c r="C7363" s="547"/>
      <c r="D7363" s="547"/>
      <c r="E7363" s="547"/>
      <c r="F7363" s="1134"/>
      <c r="G7363" s="549" t="s">
        <v>21</v>
      </c>
      <c r="H7363" s="549" t="s">
        <v>134</v>
      </c>
      <c r="I7363" s="558">
        <v>12.2</v>
      </c>
      <c r="J7363" s="567">
        <v>7.6</v>
      </c>
      <c r="K7363" s="648">
        <v>126</v>
      </c>
      <c r="L7363" s="552">
        <f t="shared" si="1527"/>
        <v>11.682719999999998</v>
      </c>
      <c r="M7363" s="549"/>
      <c r="N7363" s="549"/>
      <c r="O7363" s="549"/>
      <c r="P7363" s="549"/>
    </row>
    <row r="7364" spans="1:17" ht="17.399999999999999">
      <c r="A7364" s="549"/>
      <c r="B7364" s="549"/>
      <c r="C7364" s="549"/>
      <c r="D7364" s="549"/>
      <c r="E7364" s="549"/>
      <c r="F7364" s="549"/>
      <c r="G7364" s="549" t="s">
        <v>21</v>
      </c>
      <c r="H7364" s="549" t="s">
        <v>134</v>
      </c>
      <c r="I7364" s="558">
        <v>12.2</v>
      </c>
      <c r="J7364" s="567">
        <v>9</v>
      </c>
      <c r="K7364" s="648">
        <v>28</v>
      </c>
      <c r="L7364" s="552">
        <f t="shared" si="1527"/>
        <v>3.0744000000000002</v>
      </c>
      <c r="M7364" s="549"/>
      <c r="N7364" s="549"/>
      <c r="O7364" s="549"/>
      <c r="P7364" s="549"/>
    </row>
    <row r="7365" spans="1:17" ht="17.399999999999999">
      <c r="A7365" s="549"/>
      <c r="B7365" s="549"/>
      <c r="C7365" s="549"/>
      <c r="D7365" s="549"/>
      <c r="E7365" s="549"/>
      <c r="F7365" s="549"/>
      <c r="G7365" s="549" t="s">
        <v>21</v>
      </c>
      <c r="H7365" s="549" t="s">
        <v>134</v>
      </c>
      <c r="I7365" s="558">
        <v>12.2</v>
      </c>
      <c r="J7365" s="567">
        <v>10.3</v>
      </c>
      <c r="K7365" s="648">
        <v>24</v>
      </c>
      <c r="L7365" s="552">
        <f t="shared" si="1527"/>
        <v>3.0158400000000003</v>
      </c>
      <c r="M7365" s="549"/>
      <c r="N7365" s="549"/>
      <c r="O7365" s="549"/>
      <c r="P7365" s="549"/>
    </row>
    <row r="7366" spans="1:17" ht="17.399999999999999">
      <c r="A7366" s="549"/>
      <c r="B7366" s="549"/>
      <c r="C7366" s="549"/>
      <c r="D7366" s="549"/>
      <c r="E7366" s="549"/>
      <c r="F7366" s="549"/>
      <c r="G7366" s="549" t="s">
        <v>21</v>
      </c>
      <c r="H7366" s="549" t="s">
        <v>134</v>
      </c>
      <c r="I7366" s="558">
        <v>12.2</v>
      </c>
      <c r="J7366" s="567">
        <v>10.4</v>
      </c>
      <c r="K7366" s="648">
        <v>55</v>
      </c>
      <c r="L7366" s="552">
        <f t="shared" si="1527"/>
        <v>6.9783999999999997</v>
      </c>
      <c r="M7366" s="549"/>
      <c r="N7366" s="549"/>
      <c r="O7366" s="549"/>
      <c r="P7366" s="549"/>
    </row>
    <row r="7367" spans="1:17" ht="17.399999999999999">
      <c r="A7367" s="549"/>
      <c r="B7367" s="549"/>
      <c r="C7367" s="549"/>
      <c r="D7367" s="549"/>
      <c r="E7367" s="549"/>
      <c r="F7367" s="549"/>
      <c r="G7367" s="549" t="s">
        <v>21</v>
      </c>
      <c r="H7367" s="549" t="s">
        <v>134</v>
      </c>
      <c r="I7367" s="558">
        <v>12.2</v>
      </c>
      <c r="J7367" s="567">
        <v>11.2</v>
      </c>
      <c r="K7367" s="648">
        <v>13</v>
      </c>
      <c r="L7367" s="552">
        <f t="shared" si="1527"/>
        <v>1.7763199999999997</v>
      </c>
      <c r="M7367" s="549"/>
      <c r="N7367" s="549"/>
      <c r="O7367" s="549"/>
      <c r="P7367" s="549"/>
    </row>
    <row r="7368" spans="1:17" ht="17.399999999999999">
      <c r="A7368" s="549"/>
      <c r="B7368" s="549"/>
      <c r="C7368" s="549"/>
      <c r="D7368" s="549"/>
      <c r="E7368" s="549"/>
      <c r="F7368" s="549"/>
      <c r="G7368" s="549"/>
      <c r="H7368" s="549"/>
      <c r="I7368" s="558"/>
      <c r="J7368" s="567"/>
      <c r="K7368" s="648">
        <f t="shared" ref="K7368" si="1528">SUM(K7362:K7367)</f>
        <v>307</v>
      </c>
      <c r="L7368" s="567">
        <f>SUM(L7362:L7367)</f>
        <v>32.109180000000002</v>
      </c>
      <c r="M7368" s="549"/>
      <c r="N7368" s="549"/>
      <c r="O7368" s="549"/>
      <c r="P7368" s="549" t="s">
        <v>725</v>
      </c>
    </row>
    <row r="7369" spans="1:17" s="497" customFormat="1" ht="17.399999999999999">
      <c r="A7369" s="549"/>
      <c r="B7369" s="549"/>
      <c r="C7369" s="549"/>
      <c r="D7369" s="549"/>
      <c r="E7369" s="549"/>
      <c r="F7369" s="549"/>
      <c r="G7369" s="549"/>
      <c r="H7369" s="549"/>
      <c r="I7369" s="558"/>
      <c r="J7369" s="567"/>
      <c r="K7369" s="648"/>
      <c r="L7369" s="567"/>
      <c r="M7369" s="549"/>
      <c r="N7369" s="549"/>
      <c r="O7369" s="549"/>
      <c r="P7369" s="549"/>
    </row>
    <row r="7370" spans="1:17" ht="17.399999999999999">
      <c r="A7370" s="547" t="s">
        <v>523</v>
      </c>
      <c r="B7370" s="852" t="s">
        <v>738</v>
      </c>
      <c r="C7370" s="547" t="s">
        <v>19</v>
      </c>
      <c r="D7370" s="547" t="s">
        <v>20</v>
      </c>
      <c r="E7370" s="547" t="s">
        <v>359</v>
      </c>
      <c r="F7370" s="1134">
        <v>12</v>
      </c>
      <c r="G7370" s="549" t="s">
        <v>21</v>
      </c>
      <c r="H7370" s="599" t="s">
        <v>134</v>
      </c>
      <c r="I7370" s="558">
        <v>12.18</v>
      </c>
      <c r="J7370" s="567">
        <v>12</v>
      </c>
      <c r="K7370" s="648">
        <v>40</v>
      </c>
      <c r="L7370" s="552">
        <f>(I7370*J7370*K7370/1000)</f>
        <v>5.8464</v>
      </c>
      <c r="M7370" s="549"/>
      <c r="N7370" s="549"/>
      <c r="O7370" s="549"/>
      <c r="P7370" s="2013" t="s">
        <v>728</v>
      </c>
      <c r="Q7370" s="497" t="s">
        <v>785</v>
      </c>
    </row>
    <row r="7371" spans="1:17" ht="17.399999999999999">
      <c r="A7371" s="549"/>
      <c r="B7371" s="549" t="s">
        <v>277</v>
      </c>
      <c r="C7371" s="549"/>
      <c r="D7371" s="549"/>
      <c r="E7371" s="549"/>
      <c r="F7371" s="549"/>
      <c r="G7371" s="549"/>
      <c r="H7371" s="549"/>
      <c r="I7371" s="558"/>
      <c r="J7371" s="567"/>
      <c r="K7371" s="648">
        <f t="shared" ref="K7371:L7371" si="1529">SUM(K7370)</f>
        <v>40</v>
      </c>
      <c r="L7371" s="567">
        <f t="shared" si="1529"/>
        <v>5.8464</v>
      </c>
      <c r="M7371" s="549"/>
      <c r="N7371" s="549"/>
      <c r="O7371" s="549"/>
      <c r="P7371" s="2014"/>
    </row>
    <row r="7372" spans="1:17" s="497" customFormat="1" ht="17.399999999999999">
      <c r="A7372" s="549"/>
      <c r="B7372" s="549"/>
      <c r="C7372" s="549"/>
      <c r="D7372" s="549"/>
      <c r="E7372" s="549"/>
      <c r="F7372" s="549"/>
      <c r="G7372" s="549"/>
      <c r="H7372" s="549"/>
      <c r="I7372" s="558"/>
      <c r="J7372" s="567"/>
      <c r="K7372" s="648"/>
      <c r="L7372" s="567"/>
      <c r="M7372" s="549"/>
      <c r="N7372" s="549"/>
      <c r="O7372" s="549"/>
      <c r="P7372" s="2014"/>
    </row>
    <row r="7373" spans="1:17" s="497" customFormat="1" ht="17.399999999999999">
      <c r="A7373" s="547" t="s">
        <v>717</v>
      </c>
      <c r="B7373" s="1169" t="s">
        <v>308</v>
      </c>
      <c r="C7373" s="547" t="s">
        <v>19</v>
      </c>
      <c r="D7373" s="547" t="s">
        <v>20</v>
      </c>
      <c r="E7373" s="547" t="s">
        <v>270</v>
      </c>
      <c r="F7373" s="1134">
        <v>12</v>
      </c>
      <c r="G7373" s="549" t="s">
        <v>21</v>
      </c>
      <c r="H7373" s="549" t="s">
        <v>134</v>
      </c>
      <c r="I7373" s="558">
        <v>12.18</v>
      </c>
      <c r="J7373" s="567">
        <v>9.6999999999999993</v>
      </c>
      <c r="K7373" s="648">
        <v>16</v>
      </c>
      <c r="L7373" s="552">
        <f>(I7373*J7373*K7373/1000)</f>
        <v>1.8903359999999998</v>
      </c>
      <c r="M7373" s="549"/>
      <c r="N7373" s="549"/>
      <c r="O7373" s="549"/>
      <c r="P7373" s="2015"/>
    </row>
    <row r="7374" spans="1:17" s="497" customFormat="1" ht="17.399999999999999">
      <c r="A7374" s="547"/>
      <c r="B7374" s="1157" t="s">
        <v>718</v>
      </c>
      <c r="C7374" s="547"/>
      <c r="D7374" s="547"/>
      <c r="E7374" s="547"/>
      <c r="F7374" s="550"/>
      <c r="G7374" s="650"/>
      <c r="H7374" s="549"/>
      <c r="I7374" s="558"/>
      <c r="J7374" s="567"/>
      <c r="K7374" s="648">
        <f>SUM(K7373:K7373)</f>
        <v>16</v>
      </c>
      <c r="L7374" s="567">
        <f>SUM(L7373:L7373)</f>
        <v>1.8903359999999998</v>
      </c>
      <c r="M7374" s="549"/>
      <c r="N7374" s="549"/>
      <c r="O7374" s="549"/>
      <c r="P7374" s="549"/>
    </row>
    <row r="7375" spans="1:17" s="497" customFormat="1" ht="17.399999999999999">
      <c r="A7375" s="549"/>
      <c r="B7375" s="549"/>
      <c r="C7375" s="549"/>
      <c r="D7375" s="549"/>
      <c r="E7375" s="549"/>
      <c r="F7375" s="549"/>
      <c r="G7375" s="549"/>
      <c r="H7375" s="549"/>
      <c r="I7375" s="558"/>
      <c r="J7375" s="567"/>
      <c r="K7375" s="648">
        <f>SUM(K7359:K7374)/2</f>
        <v>379</v>
      </c>
      <c r="L7375" s="567">
        <f>SUM(L7359:L7374)/2</f>
        <v>41.075676000000009</v>
      </c>
      <c r="M7375" s="549"/>
      <c r="N7375" s="549"/>
      <c r="O7375" s="549"/>
      <c r="P7375" s="549"/>
    </row>
    <row r="7376" spans="1:17" s="497" customFormat="1" ht="17.399999999999999">
      <c r="A7376" s="549"/>
      <c r="B7376" s="549"/>
      <c r="C7376" s="549"/>
      <c r="D7376" s="549"/>
      <c r="E7376" s="549"/>
      <c r="F7376" s="549"/>
      <c r="G7376" s="549"/>
      <c r="H7376" s="549"/>
      <c r="I7376" s="558"/>
      <c r="J7376" s="567"/>
      <c r="K7376" s="648"/>
      <c r="L7376" s="567"/>
      <c r="M7376" s="549"/>
      <c r="N7376" s="549"/>
      <c r="O7376" s="549"/>
      <c r="P7376" s="549"/>
    </row>
    <row r="7377" spans="1:17" ht="17.399999999999999">
      <c r="A7377" s="549"/>
      <c r="B7377" s="549"/>
      <c r="C7377" s="549"/>
      <c r="D7377" s="549"/>
      <c r="E7377" s="549"/>
      <c r="F7377" s="549"/>
      <c r="G7377" s="549"/>
      <c r="H7377" s="549"/>
      <c r="I7377" s="560"/>
      <c r="J7377" s="549"/>
      <c r="K7377" s="561"/>
      <c r="L7377" s="560"/>
      <c r="M7377" s="549"/>
      <c r="N7377" s="549"/>
      <c r="O7377" s="549"/>
      <c r="P7377" s="549"/>
    </row>
    <row r="7378" spans="1:17" ht="17.399999999999999">
      <c r="A7378" s="547" t="s">
        <v>523</v>
      </c>
      <c r="B7378" s="852" t="s">
        <v>738</v>
      </c>
      <c r="C7378" s="547" t="s">
        <v>19</v>
      </c>
      <c r="D7378" s="547" t="s">
        <v>20</v>
      </c>
      <c r="E7378" s="547" t="s">
        <v>359</v>
      </c>
      <c r="F7378" s="1156">
        <v>12</v>
      </c>
      <c r="G7378" s="550" t="s">
        <v>21</v>
      </c>
      <c r="H7378" s="599" t="s">
        <v>119</v>
      </c>
      <c r="I7378" s="551">
        <v>10.73</v>
      </c>
      <c r="J7378" s="765">
        <v>12</v>
      </c>
      <c r="K7378" s="766">
        <v>52</v>
      </c>
      <c r="L7378" s="552">
        <f>(I7378*J7378*K7378/1000)</f>
        <v>6.6955199999999992</v>
      </c>
      <c r="M7378" s="550"/>
      <c r="N7378" s="550"/>
      <c r="O7378" s="550"/>
      <c r="P7378" s="550" t="s">
        <v>726</v>
      </c>
      <c r="Q7378" s="497" t="s">
        <v>785</v>
      </c>
    </row>
    <row r="7379" spans="1:17" ht="17.399999999999999">
      <c r="A7379" s="550"/>
      <c r="B7379" s="550" t="s">
        <v>277</v>
      </c>
      <c r="C7379" s="550"/>
      <c r="D7379" s="550"/>
      <c r="E7379" s="550"/>
      <c r="F7379" s="550"/>
      <c r="G7379" s="550"/>
      <c r="H7379" s="550"/>
      <c r="I7379" s="551"/>
      <c r="J7379" s="765"/>
      <c r="K7379" s="766">
        <f t="shared" ref="K7379:L7379" si="1530">SUM(K7378)</f>
        <v>52</v>
      </c>
      <c r="L7379" s="765">
        <f t="shared" si="1530"/>
        <v>6.6955199999999992</v>
      </c>
      <c r="M7379" s="550"/>
      <c r="N7379" s="550"/>
      <c r="O7379" s="550"/>
      <c r="P7379" s="550"/>
    </row>
    <row r="7380" spans="1:17" s="497" customFormat="1" ht="17.399999999999999">
      <c r="A7380" s="550"/>
      <c r="B7380" s="550"/>
      <c r="C7380" s="550"/>
      <c r="D7380" s="550"/>
      <c r="E7380" s="550"/>
      <c r="F7380" s="550"/>
      <c r="G7380" s="550"/>
      <c r="H7380" s="550"/>
      <c r="I7380" s="551"/>
      <c r="J7380" s="765"/>
      <c r="K7380" s="766"/>
      <c r="L7380" s="765"/>
      <c r="M7380" s="550"/>
      <c r="N7380" s="550"/>
      <c r="O7380" s="550"/>
      <c r="P7380" s="550"/>
    </row>
    <row r="7381" spans="1:17" s="497" customFormat="1" ht="17.399999999999999">
      <c r="A7381" s="550"/>
      <c r="B7381" s="550"/>
      <c r="C7381" s="550"/>
      <c r="D7381" s="550"/>
      <c r="E7381" s="550"/>
      <c r="F7381" s="550"/>
      <c r="G7381" s="550"/>
      <c r="H7381" s="550"/>
      <c r="I7381" s="551"/>
      <c r="J7381" s="765"/>
      <c r="K7381" s="766"/>
      <c r="L7381" s="765"/>
      <c r="M7381" s="550"/>
      <c r="N7381" s="550"/>
      <c r="O7381" s="550"/>
      <c r="P7381" s="550"/>
    </row>
    <row r="7382" spans="1:17" ht="17.399999999999999">
      <c r="A7382" s="550"/>
      <c r="B7382" s="550"/>
      <c r="C7382" s="550"/>
      <c r="D7382" s="550"/>
      <c r="E7382" s="550"/>
      <c r="F7382" s="550"/>
      <c r="G7382" s="550"/>
      <c r="H7382" s="550"/>
      <c r="I7382" s="1865"/>
      <c r="J7382" s="550"/>
      <c r="K7382" s="772"/>
      <c r="L7382" s="1156"/>
      <c r="M7382" s="550"/>
      <c r="N7382" s="550"/>
      <c r="O7382" s="550"/>
      <c r="P7382" s="550"/>
    </row>
    <row r="7383" spans="1:17" ht="17.399999999999999">
      <c r="A7383" s="547" t="s">
        <v>523</v>
      </c>
      <c r="B7383" s="852" t="s">
        <v>738</v>
      </c>
      <c r="C7383" s="547" t="s">
        <v>19</v>
      </c>
      <c r="D7383" s="547" t="s">
        <v>20</v>
      </c>
      <c r="E7383" s="547" t="s">
        <v>359</v>
      </c>
      <c r="F7383" s="1156">
        <v>12</v>
      </c>
      <c r="G7383" s="550" t="s">
        <v>21</v>
      </c>
      <c r="H7383" s="599" t="s">
        <v>118</v>
      </c>
      <c r="I7383" s="551">
        <v>9.26</v>
      </c>
      <c r="J7383" s="765">
        <v>12</v>
      </c>
      <c r="K7383" s="766">
        <v>166</v>
      </c>
      <c r="L7383" s="552">
        <f>(I7383*J7383*K7383/1000)</f>
        <v>18.445920000000001</v>
      </c>
      <c r="M7383" s="550"/>
      <c r="N7383" s="550"/>
      <c r="O7383" s="550"/>
      <c r="P7383" s="550" t="s">
        <v>727</v>
      </c>
      <c r="Q7383" s="497" t="s">
        <v>785</v>
      </c>
    </row>
    <row r="7384" spans="1:17" ht="17.399999999999999">
      <c r="A7384" s="550"/>
      <c r="B7384" s="550" t="s">
        <v>277</v>
      </c>
      <c r="C7384" s="550"/>
      <c r="D7384" s="550"/>
      <c r="E7384" s="550"/>
      <c r="F7384" s="550"/>
      <c r="G7384" s="550"/>
      <c r="H7384" s="550"/>
      <c r="I7384" s="551"/>
      <c r="J7384" s="765"/>
      <c r="K7384" s="766">
        <f t="shared" ref="K7384:L7384" si="1531">SUM(K7383)</f>
        <v>166</v>
      </c>
      <c r="L7384" s="765">
        <f t="shared" si="1531"/>
        <v>18.445920000000001</v>
      </c>
      <c r="M7384" s="550"/>
      <c r="N7384" s="550"/>
      <c r="O7384" s="550"/>
      <c r="P7384" s="550"/>
    </row>
    <row r="7385" spans="1:17" s="497" customFormat="1" ht="17.399999999999999">
      <c r="A7385" s="550"/>
      <c r="B7385" s="550"/>
      <c r="C7385" s="550"/>
      <c r="D7385" s="550"/>
      <c r="E7385" s="550"/>
      <c r="F7385" s="550"/>
      <c r="G7385" s="550"/>
      <c r="H7385" s="550"/>
      <c r="I7385" s="551"/>
      <c r="J7385" s="765"/>
      <c r="K7385" s="766"/>
      <c r="L7385" s="765"/>
      <c r="M7385" s="550"/>
      <c r="N7385" s="550"/>
      <c r="O7385" s="550"/>
      <c r="P7385" s="550"/>
    </row>
    <row r="7386" spans="1:17" s="497" customFormat="1" ht="17.399999999999999">
      <c r="A7386" s="550"/>
      <c r="B7386" s="550"/>
      <c r="C7386" s="550"/>
      <c r="D7386" s="550"/>
      <c r="E7386" s="550"/>
      <c r="F7386" s="550"/>
      <c r="G7386" s="550"/>
      <c r="H7386" s="550"/>
      <c r="I7386" s="551"/>
      <c r="J7386" s="763"/>
      <c r="K7386" s="766"/>
      <c r="L7386" s="765"/>
      <c r="M7386" s="550"/>
      <c r="N7386" s="550"/>
      <c r="O7386" s="550"/>
      <c r="P7386" s="550"/>
    </row>
    <row r="7387" spans="1:17" s="497" customFormat="1" ht="17.399999999999999">
      <c r="A7387" s="547" t="s">
        <v>541</v>
      </c>
      <c r="B7387" s="979" t="s">
        <v>622</v>
      </c>
      <c r="C7387" s="547" t="s">
        <v>19</v>
      </c>
      <c r="D7387" s="547" t="s">
        <v>20</v>
      </c>
      <c r="E7387" s="547" t="s">
        <v>47</v>
      </c>
      <c r="F7387" s="550">
        <v>12</v>
      </c>
      <c r="G7387" s="550" t="s">
        <v>21</v>
      </c>
      <c r="H7387" s="599" t="s">
        <v>118</v>
      </c>
      <c r="I7387" s="551">
        <v>9.26</v>
      </c>
      <c r="J7387" s="765">
        <v>6.2</v>
      </c>
      <c r="K7387" s="766">
        <v>30</v>
      </c>
      <c r="L7387" s="552">
        <f>(I7387*J7387*K7387/1000)</f>
        <v>1.7223599999999999</v>
      </c>
      <c r="M7387" s="550"/>
      <c r="N7387" s="550"/>
      <c r="O7387" s="550"/>
      <c r="P7387" s="2083" t="s">
        <v>747</v>
      </c>
      <c r="Q7387" s="497" t="s">
        <v>785</v>
      </c>
    </row>
    <row r="7388" spans="1:17" s="497" customFormat="1" ht="17.399999999999999">
      <c r="A7388" s="547"/>
      <c r="B7388" s="550" t="s">
        <v>621</v>
      </c>
      <c r="C7388" s="547"/>
      <c r="D7388" s="547"/>
      <c r="E7388" s="547"/>
      <c r="F7388" s="550"/>
      <c r="G7388" s="550"/>
      <c r="H7388" s="550"/>
      <c r="I7388" s="551"/>
      <c r="J7388" s="765"/>
      <c r="K7388" s="766">
        <f t="shared" ref="K7388:L7388" si="1532">SUM(K7387)</f>
        <v>30</v>
      </c>
      <c r="L7388" s="765">
        <f t="shared" si="1532"/>
        <v>1.7223599999999999</v>
      </c>
      <c r="M7388" s="550"/>
      <c r="N7388" s="550"/>
      <c r="O7388" s="550"/>
      <c r="P7388" s="2084"/>
    </row>
    <row r="7389" spans="1:17" s="497" customFormat="1" ht="17.399999999999999">
      <c r="A7389" s="550"/>
      <c r="B7389" s="550"/>
      <c r="C7389" s="550"/>
      <c r="D7389" s="550"/>
      <c r="E7389" s="550"/>
      <c r="F7389" s="550"/>
      <c r="G7389" s="550"/>
      <c r="H7389" s="550"/>
      <c r="I7389" s="551"/>
      <c r="J7389" s="763"/>
      <c r="K7389" s="766"/>
      <c r="L7389" s="765"/>
      <c r="M7389" s="550"/>
      <c r="N7389" s="550"/>
      <c r="O7389" s="550"/>
      <c r="P7389" s="2084"/>
    </row>
    <row r="7390" spans="1:17" s="497" customFormat="1" ht="17.399999999999999">
      <c r="A7390" s="547" t="s">
        <v>445</v>
      </c>
      <c r="B7390" s="547" t="s">
        <v>620</v>
      </c>
      <c r="C7390" s="547" t="s">
        <v>19</v>
      </c>
      <c r="D7390" s="547" t="s">
        <v>20</v>
      </c>
      <c r="E7390" s="547" t="s">
        <v>47</v>
      </c>
      <c r="F7390" s="550">
        <v>12</v>
      </c>
      <c r="G7390" s="550" t="s">
        <v>21</v>
      </c>
      <c r="H7390" s="599" t="s">
        <v>118</v>
      </c>
      <c r="I7390" s="551">
        <v>9.26</v>
      </c>
      <c r="J7390" s="765">
        <v>6.2</v>
      </c>
      <c r="K7390" s="766">
        <v>68</v>
      </c>
      <c r="L7390" s="552">
        <f>(I7390*J7390*K7390/1000)</f>
        <v>3.9040159999999999</v>
      </c>
      <c r="M7390" s="550"/>
      <c r="N7390" s="550"/>
      <c r="O7390" s="550"/>
      <c r="P7390" s="2084"/>
      <c r="Q7390" s="497" t="s">
        <v>785</v>
      </c>
    </row>
    <row r="7391" spans="1:17" s="497" customFormat="1" ht="17.399999999999999">
      <c r="A7391" s="547"/>
      <c r="B7391" s="550" t="s">
        <v>621</v>
      </c>
      <c r="C7391" s="547"/>
      <c r="D7391" s="547"/>
      <c r="E7391" s="547"/>
      <c r="F7391" s="550"/>
      <c r="G7391" s="550"/>
      <c r="H7391" s="550"/>
      <c r="I7391" s="551"/>
      <c r="J7391" s="765"/>
      <c r="K7391" s="766">
        <f t="shared" ref="K7391:L7391" si="1533">SUM(K7390)</f>
        <v>68</v>
      </c>
      <c r="L7391" s="765">
        <f t="shared" si="1533"/>
        <v>3.9040159999999999</v>
      </c>
      <c r="M7391" s="550"/>
      <c r="N7391" s="550"/>
      <c r="O7391" s="550"/>
      <c r="P7391" s="2084"/>
    </row>
    <row r="7392" spans="1:17" s="497" customFormat="1" ht="17.399999999999999">
      <c r="A7392" s="550"/>
      <c r="B7392" s="550"/>
      <c r="C7392" s="550"/>
      <c r="D7392" s="550"/>
      <c r="E7392" s="550"/>
      <c r="F7392" s="550"/>
      <c r="G7392" s="550"/>
      <c r="H7392" s="550"/>
      <c r="I7392" s="551"/>
      <c r="J7392" s="763"/>
      <c r="K7392" s="766"/>
      <c r="L7392" s="765"/>
      <c r="M7392" s="550"/>
      <c r="N7392" s="550"/>
      <c r="O7392" s="550"/>
      <c r="P7392" s="2084"/>
    </row>
    <row r="7393" spans="1:17" s="497" customFormat="1" ht="17.399999999999999">
      <c r="A7393" s="547" t="s">
        <v>445</v>
      </c>
      <c r="B7393" s="547" t="s">
        <v>746</v>
      </c>
      <c r="C7393" s="547" t="s">
        <v>19</v>
      </c>
      <c r="D7393" s="547" t="s">
        <v>20</v>
      </c>
      <c r="E7393" s="547" t="s">
        <v>47</v>
      </c>
      <c r="F7393" s="550">
        <v>12</v>
      </c>
      <c r="G7393" s="550" t="s">
        <v>21</v>
      </c>
      <c r="H7393" s="599" t="s">
        <v>118</v>
      </c>
      <c r="I7393" s="551">
        <v>9.26</v>
      </c>
      <c r="J7393" s="765">
        <v>6.2</v>
      </c>
      <c r="K7393" s="766">
        <v>58</v>
      </c>
      <c r="L7393" s="552">
        <f>(I7393*J7393*K7393/1000)</f>
        <v>3.3298959999999997</v>
      </c>
      <c r="M7393" s="550"/>
      <c r="N7393" s="550"/>
      <c r="O7393" s="550"/>
      <c r="P7393" s="2084"/>
      <c r="Q7393" s="497" t="s">
        <v>785</v>
      </c>
    </row>
    <row r="7394" spans="1:17" s="497" customFormat="1" ht="17.399999999999999">
      <c r="A7394" s="547"/>
      <c r="B7394" s="550" t="s">
        <v>621</v>
      </c>
      <c r="C7394" s="547"/>
      <c r="D7394" s="547"/>
      <c r="E7394" s="547"/>
      <c r="F7394" s="550"/>
      <c r="G7394" s="550"/>
      <c r="H7394" s="550"/>
      <c r="I7394" s="551"/>
      <c r="J7394" s="765"/>
      <c r="K7394" s="766">
        <f t="shared" ref="K7394:L7394" si="1534">SUM(K7393)</f>
        <v>58</v>
      </c>
      <c r="L7394" s="765">
        <f t="shared" si="1534"/>
        <v>3.3298959999999997</v>
      </c>
      <c r="M7394" s="550"/>
      <c r="N7394" s="550"/>
      <c r="O7394" s="550"/>
      <c r="P7394" s="2085"/>
    </row>
    <row r="7395" spans="1:17" s="497" customFormat="1" ht="17.399999999999999">
      <c r="A7395" s="550"/>
      <c r="B7395" s="550"/>
      <c r="C7395" s="550"/>
      <c r="D7395" s="550"/>
      <c r="E7395" s="550"/>
      <c r="F7395" s="550"/>
      <c r="G7395" s="550"/>
      <c r="H7395" s="550"/>
      <c r="I7395" s="1865"/>
      <c r="J7395" s="763"/>
      <c r="K7395" s="766">
        <f>SUM(K7387:K7394)/2</f>
        <v>156</v>
      </c>
      <c r="L7395" s="765">
        <f>SUM(L7387:L7394)/2</f>
        <v>8.9562719999999985</v>
      </c>
      <c r="M7395" s="550"/>
      <c r="N7395" s="550"/>
      <c r="O7395" s="550"/>
      <c r="P7395" s="550"/>
    </row>
    <row r="7396" spans="1:17" s="497" customFormat="1" ht="17.399999999999999">
      <c r="A7396" s="550"/>
      <c r="B7396" s="550"/>
      <c r="C7396" s="550"/>
      <c r="D7396" s="550"/>
      <c r="E7396" s="550"/>
      <c r="F7396" s="550"/>
      <c r="G7396" s="550"/>
      <c r="H7396" s="550"/>
      <c r="I7396" s="1865"/>
      <c r="J7396" s="763"/>
      <c r="K7396" s="766"/>
      <c r="L7396" s="765"/>
      <c r="M7396" s="550"/>
      <c r="N7396" s="550"/>
      <c r="O7396" s="550"/>
      <c r="P7396" s="550"/>
    </row>
    <row r="7397" spans="1:17" s="497" customFormat="1" ht="17.399999999999999">
      <c r="A7397" s="550"/>
      <c r="B7397" s="550"/>
      <c r="C7397" s="550"/>
      <c r="D7397" s="550"/>
      <c r="E7397" s="550"/>
      <c r="F7397" s="550"/>
      <c r="G7397" s="550"/>
      <c r="H7397" s="550"/>
      <c r="I7397" s="551"/>
      <c r="J7397" s="765"/>
      <c r="K7397" s="766"/>
      <c r="L7397" s="765"/>
      <c r="M7397" s="550"/>
      <c r="N7397" s="550"/>
      <c r="O7397" s="550"/>
      <c r="P7397" s="550"/>
    </row>
    <row r="7398" spans="1:17" ht="17.399999999999999">
      <c r="A7398" s="550"/>
      <c r="B7398" s="550"/>
      <c r="C7398" s="550"/>
      <c r="D7398" s="550"/>
      <c r="E7398" s="550"/>
      <c r="F7398" s="550"/>
      <c r="G7398" s="550"/>
      <c r="H7398" s="550"/>
      <c r="I7398" s="1865"/>
      <c r="J7398" s="550"/>
      <c r="K7398" s="772"/>
      <c r="L7398" s="1156"/>
      <c r="M7398" s="550"/>
      <c r="N7398" s="550"/>
      <c r="O7398" s="550"/>
      <c r="P7398" s="550"/>
    </row>
    <row r="7399" spans="1:17" ht="17.399999999999999">
      <c r="A7399" s="547" t="s">
        <v>523</v>
      </c>
      <c r="B7399" s="852" t="s">
        <v>737</v>
      </c>
      <c r="C7399" s="547" t="s">
        <v>446</v>
      </c>
      <c r="D7399" s="813" t="s">
        <v>447</v>
      </c>
      <c r="E7399" s="547" t="s">
        <v>359</v>
      </c>
      <c r="F7399" s="1156">
        <v>12</v>
      </c>
      <c r="G7399" s="550" t="s">
        <v>21</v>
      </c>
      <c r="H7399" s="599" t="s">
        <v>118</v>
      </c>
      <c r="I7399" s="551">
        <v>9.26</v>
      </c>
      <c r="J7399" s="765">
        <v>10</v>
      </c>
      <c r="K7399" s="766">
        <v>34</v>
      </c>
      <c r="L7399" s="552">
        <f t="shared" ref="L7399:L7400" si="1535">(I7399*J7399*K7399/1000)</f>
        <v>3.1483999999999996</v>
      </c>
      <c r="M7399" s="550"/>
      <c r="N7399" s="550"/>
      <c r="O7399" s="550"/>
      <c r="P7399" s="550"/>
      <c r="Q7399" s="497" t="s">
        <v>837</v>
      </c>
    </row>
    <row r="7400" spans="1:17" ht="17.399999999999999">
      <c r="A7400" s="550"/>
      <c r="B7400" s="550"/>
      <c r="C7400" s="550"/>
      <c r="D7400" s="550"/>
      <c r="E7400" s="550"/>
      <c r="F7400" s="550"/>
      <c r="G7400" s="550" t="s">
        <v>21</v>
      </c>
      <c r="H7400" s="550" t="s">
        <v>118</v>
      </c>
      <c r="I7400" s="551">
        <v>9.26</v>
      </c>
      <c r="J7400" s="765">
        <v>12</v>
      </c>
      <c r="K7400" s="766">
        <v>40</v>
      </c>
      <c r="L7400" s="552">
        <f t="shared" si="1535"/>
        <v>4.4447999999999999</v>
      </c>
      <c r="M7400" s="550"/>
      <c r="N7400" s="550"/>
      <c r="O7400" s="550"/>
      <c r="P7400" s="550"/>
    </row>
    <row r="7401" spans="1:17" ht="17.399999999999999">
      <c r="A7401" s="550"/>
      <c r="B7401" s="550"/>
      <c r="C7401" s="550"/>
      <c r="D7401" s="550"/>
      <c r="E7401" s="550"/>
      <c r="F7401" s="550"/>
      <c r="G7401" s="550"/>
      <c r="H7401" s="550"/>
      <c r="I7401" s="551"/>
      <c r="J7401" s="765"/>
      <c r="K7401" s="766">
        <f t="shared" ref="K7401:L7401" si="1536">SUM(K7399:K7400)</f>
        <v>74</v>
      </c>
      <c r="L7401" s="765">
        <f t="shared" si="1536"/>
        <v>7.5931999999999995</v>
      </c>
      <c r="M7401" s="550"/>
      <c r="N7401" s="550"/>
      <c r="O7401" s="550"/>
      <c r="P7401" s="550" t="s">
        <v>734</v>
      </c>
    </row>
    <row r="7402" spans="1:17" s="497" customFormat="1" ht="17.399999999999999">
      <c r="A7402" s="550"/>
      <c r="B7402" s="550"/>
      <c r="C7402" s="550"/>
      <c r="D7402" s="550"/>
      <c r="E7402" s="550"/>
      <c r="F7402" s="550"/>
      <c r="G7402" s="550"/>
      <c r="H7402" s="550"/>
      <c r="I7402" s="551"/>
      <c r="J7402" s="765"/>
      <c r="K7402" s="766"/>
      <c r="L7402" s="765"/>
      <c r="M7402" s="550"/>
      <c r="N7402" s="550"/>
      <c r="O7402" s="550"/>
      <c r="P7402" s="550"/>
    </row>
    <row r="7403" spans="1:17" s="497" customFormat="1" ht="17.399999999999999">
      <c r="A7403" s="550"/>
      <c r="B7403" s="550"/>
      <c r="C7403" s="550"/>
      <c r="D7403" s="550"/>
      <c r="E7403" s="550"/>
      <c r="F7403" s="550"/>
      <c r="G7403" s="550"/>
      <c r="H7403" s="550"/>
      <c r="I7403" s="551"/>
      <c r="J7403" s="765"/>
      <c r="K7403" s="766"/>
      <c r="L7403" s="765"/>
      <c r="M7403" s="550"/>
      <c r="N7403" s="550"/>
      <c r="O7403" s="550"/>
      <c r="P7403" s="550"/>
    </row>
    <row r="7404" spans="1:17" ht="17.399999999999999">
      <c r="A7404" s="547" t="s">
        <v>523</v>
      </c>
      <c r="B7404" s="852" t="s">
        <v>737</v>
      </c>
      <c r="C7404" s="547" t="s">
        <v>446</v>
      </c>
      <c r="D7404" s="813" t="s">
        <v>447</v>
      </c>
      <c r="E7404" s="547" t="s">
        <v>359</v>
      </c>
      <c r="F7404" s="1156">
        <v>12</v>
      </c>
      <c r="G7404" s="550" t="s">
        <v>21</v>
      </c>
      <c r="H7404" s="599" t="s">
        <v>119</v>
      </c>
      <c r="I7404" s="551">
        <v>10.73</v>
      </c>
      <c r="J7404" s="765">
        <v>10</v>
      </c>
      <c r="K7404" s="766">
        <v>41</v>
      </c>
      <c r="L7404" s="552">
        <f>(I7404*J7404*K7404/1000)</f>
        <v>4.3993000000000002</v>
      </c>
      <c r="M7404" s="550"/>
      <c r="N7404" s="550"/>
      <c r="O7404" s="550"/>
      <c r="P7404" s="550"/>
      <c r="Q7404" s="497" t="s">
        <v>837</v>
      </c>
    </row>
    <row r="7405" spans="1:17" ht="17.399999999999999">
      <c r="A7405" s="550"/>
      <c r="B7405" s="550"/>
      <c r="C7405" s="550"/>
      <c r="D7405" s="550"/>
      <c r="E7405" s="550"/>
      <c r="F7405" s="550"/>
      <c r="G7405" s="550" t="s">
        <v>21</v>
      </c>
      <c r="H7405" s="550" t="s">
        <v>119</v>
      </c>
      <c r="I7405" s="551">
        <v>10.73</v>
      </c>
      <c r="J7405" s="765">
        <v>11.6</v>
      </c>
      <c r="K7405" s="766">
        <v>2</v>
      </c>
      <c r="L7405" s="552">
        <f>(I7405*J7405*K7405/1000)</f>
        <v>0.24893600000000002</v>
      </c>
      <c r="M7405" s="550"/>
      <c r="N7405" s="550"/>
      <c r="O7405" s="550"/>
      <c r="P7405" s="550"/>
    </row>
    <row r="7406" spans="1:17" ht="17.399999999999999">
      <c r="A7406" s="550"/>
      <c r="B7406" s="550"/>
      <c r="C7406" s="550"/>
      <c r="D7406" s="550"/>
      <c r="E7406" s="550"/>
      <c r="F7406" s="550"/>
      <c r="G7406" s="550" t="s">
        <v>21</v>
      </c>
      <c r="H7406" s="550" t="s">
        <v>119</v>
      </c>
      <c r="I7406" s="551">
        <v>10.73</v>
      </c>
      <c r="J7406" s="765">
        <v>12</v>
      </c>
      <c r="K7406" s="766">
        <v>40</v>
      </c>
      <c r="L7406" s="552">
        <f>(I7406*J7406*K7406/1000)</f>
        <v>5.1503999999999994</v>
      </c>
      <c r="M7406" s="550"/>
      <c r="N7406" s="550"/>
      <c r="O7406" s="550"/>
      <c r="P7406" s="550"/>
    </row>
    <row r="7407" spans="1:17" ht="17.399999999999999">
      <c r="A7407" s="550"/>
      <c r="B7407" s="550"/>
      <c r="C7407" s="550"/>
      <c r="D7407" s="550"/>
      <c r="E7407" s="550"/>
      <c r="F7407" s="550"/>
      <c r="G7407" s="550"/>
      <c r="H7407" s="550"/>
      <c r="I7407" s="551"/>
      <c r="J7407" s="765"/>
      <c r="K7407" s="766">
        <f t="shared" ref="K7407" si="1537">SUM(K7404:K7406)</f>
        <v>83</v>
      </c>
      <c r="L7407" s="765">
        <f>SUM(L7404:L7406)</f>
        <v>9.7986359999999983</v>
      </c>
      <c r="M7407" s="550"/>
      <c r="N7407" s="550"/>
      <c r="O7407" s="550"/>
      <c r="P7407" s="550" t="s">
        <v>731</v>
      </c>
    </row>
    <row r="7408" spans="1:17" s="497" customFormat="1" ht="17.399999999999999">
      <c r="A7408" s="550"/>
      <c r="B7408" s="550"/>
      <c r="C7408" s="550"/>
      <c r="D7408" s="550"/>
      <c r="E7408" s="550"/>
      <c r="F7408" s="550"/>
      <c r="G7408" s="550"/>
      <c r="H7408" s="550"/>
      <c r="I7408" s="551"/>
      <c r="J7408" s="765"/>
      <c r="K7408" s="766"/>
      <c r="L7408" s="765"/>
      <c r="M7408" s="550"/>
      <c r="N7408" s="550"/>
      <c r="O7408" s="550"/>
      <c r="P7408" s="550"/>
    </row>
    <row r="7409" spans="1:17" s="497" customFormat="1" ht="17.399999999999999">
      <c r="A7409" s="550"/>
      <c r="B7409" s="550"/>
      <c r="C7409" s="550"/>
      <c r="D7409" s="550"/>
      <c r="E7409" s="550"/>
      <c r="F7409" s="550"/>
      <c r="G7409" s="550"/>
      <c r="H7409" s="550"/>
      <c r="I7409" s="551"/>
      <c r="J7409" s="765"/>
      <c r="K7409" s="766"/>
      <c r="L7409" s="765"/>
      <c r="M7409" s="550"/>
      <c r="N7409" s="550"/>
      <c r="O7409" s="550"/>
      <c r="P7409" s="550"/>
    </row>
    <row r="7410" spans="1:17" ht="17.399999999999999">
      <c r="A7410" s="547" t="s">
        <v>523</v>
      </c>
      <c r="B7410" s="852" t="s">
        <v>737</v>
      </c>
      <c r="C7410" s="547" t="s">
        <v>446</v>
      </c>
      <c r="D7410" s="813" t="s">
        <v>447</v>
      </c>
      <c r="E7410" s="547" t="s">
        <v>359</v>
      </c>
      <c r="F7410" s="1156">
        <v>12</v>
      </c>
      <c r="G7410" s="550" t="s">
        <v>21</v>
      </c>
      <c r="H7410" s="599" t="s">
        <v>134</v>
      </c>
      <c r="I7410" s="1865">
        <v>12.18</v>
      </c>
      <c r="J7410" s="765">
        <v>12</v>
      </c>
      <c r="K7410" s="766">
        <v>60</v>
      </c>
      <c r="L7410" s="552">
        <f>(I7410*J7410*K7410/1000)</f>
        <v>8.7696000000000005</v>
      </c>
      <c r="M7410" s="550"/>
      <c r="N7410" s="550"/>
      <c r="O7410" s="550"/>
      <c r="P7410" s="550"/>
      <c r="Q7410" s="497" t="s">
        <v>837</v>
      </c>
    </row>
    <row r="7411" spans="1:17" ht="17.399999999999999">
      <c r="A7411" s="550"/>
      <c r="B7411" s="550"/>
      <c r="C7411" s="550"/>
      <c r="D7411" s="550"/>
      <c r="E7411" s="550"/>
      <c r="F7411" s="550"/>
      <c r="G7411" s="550"/>
      <c r="H7411" s="550"/>
      <c r="I7411" s="551"/>
      <c r="J7411" s="765"/>
      <c r="K7411" s="766">
        <f t="shared" ref="K7411:L7411" si="1538">SUM(K7410)</f>
        <v>60</v>
      </c>
      <c r="L7411" s="765">
        <f t="shared" si="1538"/>
        <v>8.7696000000000005</v>
      </c>
      <c r="M7411" s="550"/>
      <c r="N7411" s="550"/>
      <c r="O7411" s="550"/>
      <c r="P7411" s="550"/>
    </row>
    <row r="7412" spans="1:17" ht="17.399999999999999">
      <c r="A7412" s="550"/>
      <c r="B7412" s="550"/>
      <c r="C7412" s="550"/>
      <c r="D7412" s="550"/>
      <c r="E7412" s="550"/>
      <c r="F7412" s="550"/>
      <c r="G7412" s="550"/>
      <c r="H7412" s="550"/>
      <c r="I7412" s="1865"/>
      <c r="J7412" s="550"/>
      <c r="K7412" s="772"/>
      <c r="L7412" s="1156"/>
      <c r="M7412" s="550"/>
      <c r="N7412" s="550"/>
      <c r="O7412" s="550"/>
      <c r="P7412" s="550"/>
    </row>
    <row r="7413" spans="1:17" ht="17.399999999999999">
      <c r="A7413" s="547" t="s">
        <v>523</v>
      </c>
      <c r="B7413" s="852" t="s">
        <v>739</v>
      </c>
      <c r="C7413" s="547" t="s">
        <v>446</v>
      </c>
      <c r="D7413" s="813" t="s">
        <v>447</v>
      </c>
      <c r="E7413" s="547" t="s">
        <v>359</v>
      </c>
      <c r="F7413" s="1156">
        <v>12</v>
      </c>
      <c r="G7413" s="550" t="s">
        <v>21</v>
      </c>
      <c r="H7413" s="599" t="s">
        <v>134</v>
      </c>
      <c r="I7413" s="1865">
        <v>12.18</v>
      </c>
      <c r="J7413" s="763">
        <v>12</v>
      </c>
      <c r="K7413" s="766">
        <v>4</v>
      </c>
      <c r="L7413" s="552">
        <f>(I7413*J7413*K7413/1000)</f>
        <v>0.58463999999999994</v>
      </c>
      <c r="M7413" s="550"/>
      <c r="N7413" s="550"/>
      <c r="O7413" s="550"/>
      <c r="P7413" s="550"/>
      <c r="Q7413" s="497" t="s">
        <v>837</v>
      </c>
    </row>
    <row r="7414" spans="1:17" ht="17.399999999999999">
      <c r="A7414" s="550"/>
      <c r="B7414" s="550"/>
      <c r="C7414" s="550"/>
      <c r="D7414" s="550"/>
      <c r="E7414" s="550"/>
      <c r="F7414" s="550"/>
      <c r="G7414" s="550"/>
      <c r="H7414" s="550"/>
      <c r="I7414" s="1865"/>
      <c r="J7414" s="763"/>
      <c r="K7414" s="766">
        <f t="shared" ref="K7414:L7414" si="1539">SUM(K7413)</f>
        <v>4</v>
      </c>
      <c r="L7414" s="765">
        <f t="shared" si="1539"/>
        <v>0.58463999999999994</v>
      </c>
      <c r="M7414" s="550"/>
      <c r="N7414" s="550"/>
      <c r="O7414" s="550"/>
      <c r="P7414" s="550"/>
    </row>
    <row r="7415" spans="1:17" s="497" customFormat="1" ht="17.399999999999999">
      <c r="A7415" s="550"/>
      <c r="B7415" s="550"/>
      <c r="C7415" s="550"/>
      <c r="D7415" s="550"/>
      <c r="E7415" s="550"/>
      <c r="F7415" s="550"/>
      <c r="G7415" s="550"/>
      <c r="H7415" s="550"/>
      <c r="I7415" s="1865"/>
      <c r="J7415" s="763"/>
      <c r="K7415" s="766"/>
      <c r="L7415" s="765">
        <f>+L7414+L7411</f>
        <v>9.3542400000000008</v>
      </c>
      <c r="M7415" s="550"/>
      <c r="N7415" s="550"/>
      <c r="O7415" s="550"/>
      <c r="P7415" s="550" t="s">
        <v>732</v>
      </c>
    </row>
    <row r="7416" spans="1:17" s="497" customFormat="1" ht="17.399999999999999">
      <c r="A7416" s="550"/>
      <c r="B7416" s="550"/>
      <c r="C7416" s="550"/>
      <c r="D7416" s="550"/>
      <c r="E7416" s="550"/>
      <c r="F7416" s="550"/>
      <c r="G7416" s="550"/>
      <c r="H7416" s="550"/>
      <c r="I7416" s="1865"/>
      <c r="J7416" s="763"/>
      <c r="K7416" s="766"/>
      <c r="L7416" s="765"/>
      <c r="M7416" s="550"/>
      <c r="N7416" s="550"/>
      <c r="O7416" s="550"/>
      <c r="P7416" s="550"/>
    </row>
    <row r="7417" spans="1:17" s="497" customFormat="1" ht="17.399999999999999">
      <c r="A7417" s="550"/>
      <c r="B7417" s="550"/>
      <c r="C7417" s="550"/>
      <c r="D7417" s="550"/>
      <c r="E7417" s="550"/>
      <c r="F7417" s="550"/>
      <c r="G7417" s="550"/>
      <c r="H7417" s="550"/>
      <c r="I7417" s="1865"/>
      <c r="J7417" s="763"/>
      <c r="K7417" s="766"/>
      <c r="L7417" s="765"/>
      <c r="M7417" s="550"/>
      <c r="N7417" s="550"/>
      <c r="O7417" s="550"/>
      <c r="P7417" s="550"/>
    </row>
    <row r="7418" spans="1:17" s="497" customFormat="1" ht="17.399999999999999">
      <c r="A7418" s="550"/>
      <c r="B7418" s="550"/>
      <c r="C7418" s="550"/>
      <c r="D7418" s="550"/>
      <c r="E7418" s="550"/>
      <c r="F7418" s="550"/>
      <c r="G7418" s="550"/>
      <c r="H7418" s="550"/>
      <c r="I7418" s="1865"/>
      <c r="J7418" s="763"/>
      <c r="K7418" s="766"/>
      <c r="L7418" s="765"/>
      <c r="M7418" s="550"/>
      <c r="N7418" s="550"/>
      <c r="O7418" s="550"/>
      <c r="P7418" s="550"/>
    </row>
    <row r="7419" spans="1:17" ht="17.399999999999999">
      <c r="A7419" s="547" t="s">
        <v>523</v>
      </c>
      <c r="B7419" s="852" t="s">
        <v>737</v>
      </c>
      <c r="C7419" s="547" t="s">
        <v>446</v>
      </c>
      <c r="D7419" s="813" t="s">
        <v>450</v>
      </c>
      <c r="E7419" s="547" t="s">
        <v>270</v>
      </c>
      <c r="F7419" s="1156">
        <v>8.5</v>
      </c>
      <c r="G7419" s="550" t="s">
        <v>61</v>
      </c>
      <c r="H7419" s="599" t="s">
        <v>118</v>
      </c>
      <c r="I7419" s="551">
        <v>9.26</v>
      </c>
      <c r="J7419" s="765">
        <v>6.3</v>
      </c>
      <c r="K7419" s="766">
        <v>102</v>
      </c>
      <c r="L7419" s="552">
        <f t="shared" ref="L7419:L7423" si="1540">(I7419*J7419*K7419/1000)</f>
        <v>5.9504760000000001</v>
      </c>
      <c r="M7419" s="550"/>
      <c r="N7419" s="550"/>
      <c r="O7419" s="550"/>
      <c r="P7419" s="550"/>
      <c r="Q7419" s="497" t="s">
        <v>856</v>
      </c>
    </row>
    <row r="7420" spans="1:17" ht="17.399999999999999">
      <c r="A7420" s="550"/>
      <c r="B7420" s="550"/>
      <c r="C7420" s="550"/>
      <c r="D7420" s="550"/>
      <c r="E7420" s="550"/>
      <c r="F7420" s="550"/>
      <c r="G7420" s="550" t="s">
        <v>61</v>
      </c>
      <c r="H7420" s="550" t="s">
        <v>118</v>
      </c>
      <c r="I7420" s="551">
        <v>9.26</v>
      </c>
      <c r="J7420" s="765">
        <v>7</v>
      </c>
      <c r="K7420" s="766">
        <v>156</v>
      </c>
      <c r="L7420" s="552">
        <f t="shared" si="1540"/>
        <v>10.111919999999998</v>
      </c>
      <c r="M7420" s="550"/>
      <c r="N7420" s="550"/>
      <c r="O7420" s="550"/>
      <c r="P7420" s="550"/>
    </row>
    <row r="7421" spans="1:17" ht="17.399999999999999">
      <c r="A7421" s="550"/>
      <c r="B7421" s="550"/>
      <c r="C7421" s="550"/>
      <c r="D7421" s="550"/>
      <c r="E7421" s="550"/>
      <c r="F7421" s="550"/>
      <c r="G7421" s="550" t="s">
        <v>61</v>
      </c>
      <c r="H7421" s="550" t="s">
        <v>118</v>
      </c>
      <c r="I7421" s="551">
        <v>9.26</v>
      </c>
      <c r="J7421" s="765">
        <v>10.5</v>
      </c>
      <c r="K7421" s="766">
        <v>77</v>
      </c>
      <c r="L7421" s="552">
        <f t="shared" si="1540"/>
        <v>7.4867100000000004</v>
      </c>
      <c r="M7421" s="550"/>
      <c r="N7421" s="550"/>
      <c r="O7421" s="550"/>
      <c r="P7421" s="550"/>
    </row>
    <row r="7422" spans="1:17" ht="17.399999999999999">
      <c r="A7422" s="550"/>
      <c r="B7422" s="550"/>
      <c r="C7422" s="550"/>
      <c r="D7422" s="550"/>
      <c r="E7422" s="550"/>
      <c r="F7422" s="550"/>
      <c r="G7422" s="550" t="s">
        <v>61</v>
      </c>
      <c r="H7422" s="550" t="s">
        <v>118</v>
      </c>
      <c r="I7422" s="551">
        <v>9.26</v>
      </c>
      <c r="J7422" s="765">
        <v>11.5</v>
      </c>
      <c r="K7422" s="766">
        <v>8</v>
      </c>
      <c r="L7422" s="552">
        <f t="shared" si="1540"/>
        <v>0.85192000000000001</v>
      </c>
      <c r="M7422" s="550"/>
      <c r="N7422" s="550"/>
      <c r="O7422" s="550"/>
      <c r="P7422" s="550"/>
    </row>
    <row r="7423" spans="1:17" ht="17.399999999999999">
      <c r="A7423" s="550"/>
      <c r="B7423" s="550"/>
      <c r="C7423" s="550"/>
      <c r="D7423" s="550"/>
      <c r="E7423" s="550"/>
      <c r="F7423" s="550"/>
      <c r="G7423" s="550" t="s">
        <v>61</v>
      </c>
      <c r="H7423" s="550" t="s">
        <v>118</v>
      </c>
      <c r="I7423" s="551">
        <v>9.26</v>
      </c>
      <c r="J7423" s="765">
        <v>12</v>
      </c>
      <c r="K7423" s="766">
        <v>24</v>
      </c>
      <c r="L7423" s="552">
        <f t="shared" si="1540"/>
        <v>2.6668799999999999</v>
      </c>
      <c r="M7423" s="550"/>
      <c r="N7423" s="550"/>
      <c r="O7423" s="550"/>
      <c r="P7423" s="550"/>
    </row>
    <row r="7424" spans="1:17" ht="17.399999999999999">
      <c r="A7424" s="550"/>
      <c r="B7424" s="550"/>
      <c r="C7424" s="550"/>
      <c r="D7424" s="550"/>
      <c r="E7424" s="550"/>
      <c r="F7424" s="550"/>
      <c r="G7424" s="550"/>
      <c r="H7424" s="550"/>
      <c r="I7424" s="551"/>
      <c r="J7424" s="765"/>
      <c r="K7424" s="766">
        <f t="shared" ref="K7424:L7424" si="1541">SUM(K7419:K7423)</f>
        <v>367</v>
      </c>
      <c r="L7424" s="765">
        <f t="shared" si="1541"/>
        <v>27.067906000000001</v>
      </c>
      <c r="M7424" s="550"/>
      <c r="N7424" s="550"/>
      <c r="O7424" s="550"/>
      <c r="P7424" s="550"/>
    </row>
    <row r="7425" spans="1:17" ht="17.399999999999999">
      <c r="A7425" s="550"/>
      <c r="B7425" s="550"/>
      <c r="C7425" s="550"/>
      <c r="D7425" s="550"/>
      <c r="E7425" s="550"/>
      <c r="F7425" s="550"/>
      <c r="G7425" s="550"/>
      <c r="H7425" s="550"/>
      <c r="I7425" s="1865"/>
      <c r="J7425" s="550"/>
      <c r="K7425" s="772"/>
      <c r="L7425" s="1156"/>
      <c r="M7425" s="550"/>
      <c r="N7425" s="550"/>
      <c r="O7425" s="550"/>
      <c r="P7425" s="550"/>
    </row>
    <row r="7426" spans="1:17" ht="17.399999999999999">
      <c r="A7426" s="547" t="s">
        <v>83</v>
      </c>
      <c r="B7426" s="547" t="s">
        <v>579</v>
      </c>
      <c r="C7426" s="547" t="s">
        <v>446</v>
      </c>
      <c r="D7426" s="813" t="s">
        <v>450</v>
      </c>
      <c r="E7426" s="547" t="s">
        <v>270</v>
      </c>
      <c r="F7426" s="1156">
        <v>8.5</v>
      </c>
      <c r="G7426" s="550" t="s">
        <v>61</v>
      </c>
      <c r="H7426" s="599" t="s">
        <v>118</v>
      </c>
      <c r="I7426" s="551">
        <v>9.26</v>
      </c>
      <c r="J7426" s="765">
        <v>12</v>
      </c>
      <c r="K7426" s="766">
        <v>2</v>
      </c>
      <c r="L7426" s="552">
        <f>(I7426*J7426*K7426/1000)</f>
        <v>0.22224000000000002</v>
      </c>
      <c r="M7426" s="550"/>
      <c r="N7426" s="550"/>
      <c r="O7426" s="550"/>
      <c r="P7426" s="550"/>
      <c r="Q7426" s="497" t="s">
        <v>856</v>
      </c>
    </row>
    <row r="7427" spans="1:17" ht="17.399999999999999">
      <c r="A7427" s="550"/>
      <c r="B7427" s="550"/>
      <c r="C7427" s="550"/>
      <c r="D7427" s="550"/>
      <c r="E7427" s="550"/>
      <c r="F7427" s="550"/>
      <c r="G7427" s="550"/>
      <c r="H7427" s="550"/>
      <c r="I7427" s="551"/>
      <c r="J7427" s="765"/>
      <c r="K7427" s="766">
        <f t="shared" ref="K7427:L7427" si="1542">SUM(K7426)</f>
        <v>2</v>
      </c>
      <c r="L7427" s="765">
        <f t="shared" si="1542"/>
        <v>0.22224000000000002</v>
      </c>
      <c r="M7427" s="550"/>
      <c r="N7427" s="550"/>
      <c r="O7427" s="550"/>
      <c r="P7427" s="550"/>
    </row>
    <row r="7428" spans="1:17" ht="17.399999999999999">
      <c r="A7428" s="550"/>
      <c r="B7428" s="550"/>
      <c r="C7428" s="550"/>
      <c r="D7428" s="550"/>
      <c r="E7428" s="550"/>
      <c r="F7428" s="550"/>
      <c r="G7428" s="550"/>
      <c r="H7428" s="550"/>
      <c r="I7428" s="1865"/>
      <c r="J7428" s="550"/>
      <c r="K7428" s="772"/>
      <c r="L7428" s="1156"/>
      <c r="M7428" s="550"/>
      <c r="N7428" s="550"/>
      <c r="O7428" s="550"/>
      <c r="P7428" s="550"/>
    </row>
    <row r="7429" spans="1:17" ht="17.399999999999999">
      <c r="A7429" s="547" t="s">
        <v>523</v>
      </c>
      <c r="B7429" s="852" t="s">
        <v>739</v>
      </c>
      <c r="C7429" s="547" t="s">
        <v>446</v>
      </c>
      <c r="D7429" s="813" t="s">
        <v>450</v>
      </c>
      <c r="E7429" s="547" t="s">
        <v>270</v>
      </c>
      <c r="F7429" s="1156">
        <v>8.5</v>
      </c>
      <c r="G7429" s="550" t="s">
        <v>61</v>
      </c>
      <c r="H7429" s="599" t="s">
        <v>118</v>
      </c>
      <c r="I7429" s="1865">
        <v>9.26</v>
      </c>
      <c r="J7429" s="763">
        <v>12</v>
      </c>
      <c r="K7429" s="766">
        <v>6</v>
      </c>
      <c r="L7429" s="552">
        <f>(I7429*J7429*K7429/1000)</f>
        <v>0.66671999999999998</v>
      </c>
      <c r="M7429" s="550"/>
      <c r="N7429" s="550"/>
      <c r="O7429" s="550"/>
      <c r="P7429" s="550"/>
      <c r="Q7429" s="497" t="s">
        <v>856</v>
      </c>
    </row>
    <row r="7430" spans="1:17" ht="17.399999999999999">
      <c r="A7430" s="550"/>
      <c r="B7430" s="550"/>
      <c r="C7430" s="550"/>
      <c r="D7430" s="550"/>
      <c r="E7430" s="550"/>
      <c r="F7430" s="550"/>
      <c r="G7430" s="550"/>
      <c r="H7430" s="550"/>
      <c r="I7430" s="1865"/>
      <c r="J7430" s="763"/>
      <c r="K7430" s="766">
        <f t="shared" ref="K7430" si="1543">SUM(K7429)</f>
        <v>6</v>
      </c>
      <c r="L7430" s="765">
        <f>SUM(L7429)</f>
        <v>0.66671999999999998</v>
      </c>
      <c r="M7430" s="550"/>
      <c r="N7430" s="550"/>
      <c r="O7430" s="550"/>
      <c r="P7430" s="550"/>
    </row>
    <row r="7431" spans="1:17" s="497" customFormat="1" ht="17.399999999999999">
      <c r="A7431" s="550"/>
      <c r="B7431" s="550"/>
      <c r="C7431" s="550"/>
      <c r="D7431" s="550"/>
      <c r="E7431" s="550"/>
      <c r="F7431" s="550"/>
      <c r="G7431" s="550"/>
      <c r="H7431" s="550"/>
      <c r="I7431" s="1865"/>
      <c r="J7431" s="763"/>
      <c r="K7431" s="766">
        <f>SUM(K7419:K7430)/2</f>
        <v>375</v>
      </c>
      <c r="L7431" s="765">
        <f>SUM(L7419:L7430)/2</f>
        <v>27.956865999999998</v>
      </c>
      <c r="M7431" s="550"/>
      <c r="N7431" s="550"/>
      <c r="O7431" s="550"/>
      <c r="P7431" s="550" t="s">
        <v>743</v>
      </c>
    </row>
    <row r="7432" spans="1:17" s="497" customFormat="1" ht="17.399999999999999">
      <c r="A7432" s="549"/>
      <c r="B7432" s="549"/>
      <c r="C7432" s="549"/>
      <c r="D7432" s="549"/>
      <c r="E7432" s="549"/>
      <c r="F7432" s="549"/>
      <c r="G7432" s="549"/>
      <c r="H7432" s="549"/>
      <c r="I7432" s="560"/>
      <c r="J7432" s="710"/>
      <c r="K7432" s="766"/>
      <c r="L7432" s="765"/>
      <c r="M7432" s="549"/>
      <c r="N7432" s="549"/>
      <c r="O7432" s="549"/>
      <c r="P7432" s="549"/>
    </row>
    <row r="7433" spans="1:17" s="497" customFormat="1" ht="17.399999999999999">
      <c r="A7433" s="549"/>
      <c r="B7433" s="549"/>
      <c r="C7433" s="549"/>
      <c r="D7433" s="549"/>
      <c r="E7433" s="549"/>
      <c r="F7433" s="549"/>
      <c r="G7433" s="549"/>
      <c r="H7433" s="549"/>
      <c r="I7433" s="560"/>
      <c r="J7433" s="710"/>
      <c r="K7433" s="766"/>
      <c r="L7433" s="765"/>
      <c r="M7433" s="549"/>
      <c r="N7433" s="549"/>
      <c r="O7433" s="549"/>
      <c r="P7433" s="549"/>
    </row>
    <row r="7434" spans="1:17" ht="17.399999999999999">
      <c r="A7434" s="549"/>
      <c r="B7434" s="549"/>
      <c r="C7434" s="549"/>
      <c r="D7434" s="549"/>
      <c r="E7434" s="549"/>
      <c r="F7434" s="549"/>
      <c r="G7434" s="549"/>
      <c r="H7434" s="549"/>
      <c r="I7434" s="560"/>
      <c r="J7434" s="549"/>
      <c r="K7434" s="561"/>
      <c r="L7434" s="560"/>
      <c r="M7434" s="549"/>
      <c r="N7434" s="549"/>
      <c r="O7434" s="549"/>
      <c r="P7434" s="549"/>
    </row>
    <row r="7435" spans="1:17" ht="17.399999999999999">
      <c r="A7435" s="549"/>
      <c r="B7435" s="549"/>
      <c r="C7435" s="549"/>
      <c r="D7435" s="549"/>
      <c r="E7435" s="549"/>
      <c r="F7435" s="549"/>
      <c r="G7435" s="549"/>
      <c r="H7435" s="549"/>
      <c r="I7435" s="560"/>
      <c r="J7435" s="549"/>
      <c r="K7435" s="561"/>
      <c r="L7435" s="568">
        <f>+L7431+L7415+L7407+L7401+L7384+L7379+L7375+L7356+L7352+L7395</f>
        <v>162.01702055999999</v>
      </c>
      <c r="M7435" s="549"/>
      <c r="N7435" s="549"/>
      <c r="O7435" s="549"/>
      <c r="P7435" s="549"/>
    </row>
    <row r="7436" spans="1:17" ht="17.399999999999999">
      <c r="A7436" s="653" t="s">
        <v>48</v>
      </c>
      <c r="B7436" s="653"/>
      <c r="C7436" s="654"/>
      <c r="D7436" s="654"/>
      <c r="E7436" s="654"/>
      <c r="F7436" s="1132"/>
      <c r="G7436" s="654"/>
      <c r="H7436" s="1132"/>
      <c r="I7436" s="656"/>
      <c r="J7436" s="654"/>
      <c r="K7436" s="657"/>
      <c r="L7436" s="2003" t="s">
        <v>0</v>
      </c>
      <c r="M7436" s="2003"/>
      <c r="N7436" s="2003"/>
      <c r="O7436" s="2004"/>
      <c r="P7436" s="2010"/>
    </row>
    <row r="7437" spans="1:17" ht="17.399999999999999">
      <c r="A7437" s="658" t="s">
        <v>1</v>
      </c>
      <c r="B7437" s="658"/>
      <c r="C7437" s="658"/>
      <c r="D7437" s="659" t="s">
        <v>2</v>
      </c>
      <c r="E7437" s="659"/>
      <c r="F7437" s="660"/>
      <c r="G7437" s="660"/>
      <c r="H7437" s="660"/>
      <c r="I7437" s="661"/>
      <c r="J7437" s="660"/>
      <c r="K7437" s="662" t="s">
        <v>3</v>
      </c>
      <c r="L7437" s="660"/>
      <c r="M7437" s="658"/>
      <c r="N7437" s="660"/>
      <c r="O7437" s="663"/>
      <c r="P7437" s="2010"/>
    </row>
    <row r="7438" spans="1:17" ht="17.399999999999999">
      <c r="A7438" s="1132" t="s">
        <v>22</v>
      </c>
      <c r="B7438" s="1990" t="s">
        <v>23</v>
      </c>
      <c r="C7438" s="2005"/>
      <c r="D7438" s="1989"/>
      <c r="E7438" s="1132" t="s">
        <v>24</v>
      </c>
      <c r="F7438" s="1990" t="s">
        <v>25</v>
      </c>
      <c r="G7438" s="1989"/>
      <c r="H7438" s="1990" t="s">
        <v>26</v>
      </c>
      <c r="I7438" s="2005"/>
      <c r="J7438" s="2005"/>
      <c r="K7438" s="1989"/>
      <c r="L7438" s="2006" t="s">
        <v>27</v>
      </c>
      <c r="M7438" s="2006"/>
      <c r="N7438" s="2006"/>
      <c r="O7438" s="1990"/>
      <c r="P7438" s="2010"/>
    </row>
    <row r="7439" spans="1:17" ht="17.399999999999999">
      <c r="A7439" s="664"/>
      <c r="B7439" s="1975"/>
      <c r="C7439" s="1976"/>
      <c r="D7439" s="1977"/>
      <c r="E7439" s="665"/>
      <c r="F7439" s="1975"/>
      <c r="G7439" s="1977"/>
      <c r="H7439" s="1975"/>
      <c r="I7439" s="1976"/>
      <c r="J7439" s="1976"/>
      <c r="K7439" s="1977"/>
      <c r="L7439" s="1975"/>
      <c r="M7439" s="1976"/>
      <c r="N7439" s="1976"/>
      <c r="O7439" s="1976"/>
      <c r="P7439" s="2010"/>
    </row>
    <row r="7440" spans="1:17" ht="17.399999999999999">
      <c r="A7440" s="664" t="s">
        <v>28</v>
      </c>
      <c r="B7440" s="1975" t="s">
        <v>159</v>
      </c>
      <c r="C7440" s="1976"/>
      <c r="D7440" s="1977"/>
      <c r="E7440" s="665">
        <f>+L7352</f>
        <v>30.28021056</v>
      </c>
      <c r="F7440" s="1975">
        <v>12</v>
      </c>
      <c r="G7440" s="1977"/>
      <c r="H7440" s="1975" t="s">
        <v>49</v>
      </c>
      <c r="I7440" s="1976"/>
      <c r="J7440" s="1976"/>
      <c r="K7440" s="1977"/>
      <c r="L7440" s="1976" t="s">
        <v>742</v>
      </c>
      <c r="M7440" s="1976"/>
      <c r="N7440" s="1976"/>
      <c r="O7440" s="1976"/>
      <c r="P7440" s="2010"/>
    </row>
    <row r="7441" spans="1:16" ht="17.399999999999999">
      <c r="A7441" s="664" t="s">
        <v>29</v>
      </c>
      <c r="B7441" s="1975" t="s">
        <v>741</v>
      </c>
      <c r="C7441" s="1976"/>
      <c r="D7441" s="1977"/>
      <c r="E7441" s="665">
        <v>3</v>
      </c>
      <c r="F7441" s="1975">
        <v>12</v>
      </c>
      <c r="G7441" s="1977"/>
      <c r="H7441" s="1975" t="s">
        <v>49</v>
      </c>
      <c r="I7441" s="1976"/>
      <c r="J7441" s="1976"/>
      <c r="K7441" s="1977"/>
      <c r="L7441" s="1976" t="s">
        <v>742</v>
      </c>
      <c r="M7441" s="1976"/>
      <c r="N7441" s="1976"/>
      <c r="O7441" s="1976"/>
      <c r="P7441" s="2010"/>
    </row>
    <row r="7442" spans="1:16" ht="17.399999999999999">
      <c r="A7442" s="664" t="s">
        <v>30</v>
      </c>
      <c r="B7442" s="1975" t="s">
        <v>138</v>
      </c>
      <c r="C7442" s="1976"/>
      <c r="D7442" s="1977"/>
      <c r="E7442" s="665">
        <f>+L7375</f>
        <v>41.075676000000009</v>
      </c>
      <c r="F7442" s="1975">
        <v>12</v>
      </c>
      <c r="G7442" s="1977"/>
      <c r="H7442" s="1975" t="s">
        <v>49</v>
      </c>
      <c r="I7442" s="1976"/>
      <c r="J7442" s="1976"/>
      <c r="K7442" s="1977"/>
      <c r="L7442" s="1976" t="s">
        <v>742</v>
      </c>
      <c r="M7442" s="1976"/>
      <c r="N7442" s="1976"/>
      <c r="O7442" s="1976"/>
      <c r="P7442" s="2010"/>
    </row>
    <row r="7443" spans="1:16" ht="18" thickBot="1">
      <c r="A7443" s="847" t="s">
        <v>46</v>
      </c>
      <c r="B7443" s="1973" t="s">
        <v>137</v>
      </c>
      <c r="C7443" s="2018"/>
      <c r="D7443" s="1974"/>
      <c r="E7443" s="665">
        <f>+L7379</f>
        <v>6.6955199999999992</v>
      </c>
      <c r="F7443" s="1973">
        <v>12</v>
      </c>
      <c r="G7443" s="1974"/>
      <c r="H7443" s="1973" t="s">
        <v>49</v>
      </c>
      <c r="I7443" s="2018"/>
      <c r="J7443" s="2018"/>
      <c r="K7443" s="1974"/>
      <c r="L7443" s="2018" t="s">
        <v>742</v>
      </c>
      <c r="M7443" s="2018"/>
      <c r="N7443" s="2018"/>
      <c r="O7443" s="2018"/>
      <c r="P7443" s="2010"/>
    </row>
    <row r="7444" spans="1:16" s="497" customFormat="1" ht="18" thickBot="1">
      <c r="A7444" s="847"/>
      <c r="B7444" s="1152"/>
      <c r="C7444" s="1153"/>
      <c r="D7444" s="1154"/>
      <c r="E7444" s="1161">
        <f>+E7443+E7442+E7441+E7440</f>
        <v>81.051406560000004</v>
      </c>
      <c r="F7444" s="1152"/>
      <c r="G7444" s="1154"/>
      <c r="H7444" s="1152"/>
      <c r="I7444" s="1855"/>
      <c r="J7444" s="1153"/>
      <c r="K7444" s="1154"/>
      <c r="L7444" s="1153"/>
      <c r="M7444" s="1153"/>
      <c r="N7444" s="1153"/>
      <c r="O7444" s="1153"/>
      <c r="P7444" s="2010"/>
    </row>
    <row r="7445" spans="1:16" s="497" customFormat="1" ht="17.399999999999999">
      <c r="A7445" s="847"/>
      <c r="B7445" s="1152"/>
      <c r="C7445" s="1153"/>
      <c r="D7445" s="1154"/>
      <c r="E7445" s="665"/>
      <c r="F7445" s="1152"/>
      <c r="G7445" s="1154"/>
      <c r="H7445" s="1152"/>
      <c r="I7445" s="1855"/>
      <c r="J7445" s="1153"/>
      <c r="K7445" s="1154"/>
      <c r="L7445" s="1153"/>
      <c r="M7445" s="1153"/>
      <c r="N7445" s="1153"/>
      <c r="O7445" s="1153"/>
      <c r="P7445" s="2010"/>
    </row>
    <row r="7446" spans="1:16" s="497" customFormat="1" ht="17.399999999999999">
      <c r="A7446" s="847" t="s">
        <v>58</v>
      </c>
      <c r="B7446" s="1973" t="s">
        <v>136</v>
      </c>
      <c r="C7446" s="2018"/>
      <c r="D7446" s="1974"/>
      <c r="E7446" s="665">
        <f>+L7384+L7395</f>
        <v>27.402191999999999</v>
      </c>
      <c r="F7446" s="1973">
        <v>12</v>
      </c>
      <c r="G7446" s="1974"/>
      <c r="H7446" s="1973" t="s">
        <v>49</v>
      </c>
      <c r="I7446" s="2018"/>
      <c r="J7446" s="2018"/>
      <c r="K7446" s="1974"/>
      <c r="L7446" s="2018" t="s">
        <v>750</v>
      </c>
      <c r="M7446" s="2018"/>
      <c r="N7446" s="2018"/>
      <c r="O7446" s="2018"/>
      <c r="P7446" s="2010"/>
    </row>
    <row r="7447" spans="1:16" s="497" customFormat="1" ht="17.399999999999999">
      <c r="A7447" s="664"/>
      <c r="B7447" s="1126"/>
      <c r="C7447" s="1127"/>
      <c r="D7447" s="1128"/>
      <c r="E7447" s="665"/>
      <c r="F7447" s="1126"/>
      <c r="G7447" s="1128"/>
      <c r="H7447" s="1126"/>
      <c r="I7447" s="1842"/>
      <c r="J7447" s="1127"/>
      <c r="K7447" s="1128"/>
      <c r="L7447" s="1127"/>
      <c r="M7447" s="1127"/>
      <c r="N7447" s="1127"/>
      <c r="O7447" s="1127"/>
      <c r="P7447" s="2010"/>
    </row>
    <row r="7448" spans="1:16" s="497" customFormat="1" ht="17.399999999999999">
      <c r="A7448" s="664" t="s">
        <v>163</v>
      </c>
      <c r="B7448" s="1975" t="s">
        <v>136</v>
      </c>
      <c r="C7448" s="1976"/>
      <c r="D7448" s="1977"/>
      <c r="E7448" s="665">
        <f>+L7401</f>
        <v>7.5931999999999995</v>
      </c>
      <c r="F7448" s="1975">
        <v>12</v>
      </c>
      <c r="G7448" s="1977"/>
      <c r="H7448" s="1975" t="s">
        <v>447</v>
      </c>
      <c r="I7448" s="1976"/>
      <c r="J7448" s="1976"/>
      <c r="K7448" s="1977"/>
      <c r="L7448" s="1976" t="s">
        <v>65</v>
      </c>
      <c r="M7448" s="1976"/>
      <c r="N7448" s="1976"/>
      <c r="O7448" s="1976"/>
      <c r="P7448" s="2010"/>
    </row>
    <row r="7449" spans="1:16" s="497" customFormat="1" ht="17.399999999999999">
      <c r="A7449" s="664" t="s">
        <v>302</v>
      </c>
      <c r="B7449" s="1975" t="s">
        <v>137</v>
      </c>
      <c r="C7449" s="1976"/>
      <c r="D7449" s="1977"/>
      <c r="E7449" s="665">
        <f>+L7407</f>
        <v>9.7986359999999983</v>
      </c>
      <c r="F7449" s="1975">
        <v>12</v>
      </c>
      <c r="G7449" s="1977"/>
      <c r="H7449" s="1975" t="s">
        <v>447</v>
      </c>
      <c r="I7449" s="1976"/>
      <c r="J7449" s="1976"/>
      <c r="K7449" s="1977"/>
      <c r="L7449" s="1976" t="s">
        <v>65</v>
      </c>
      <c r="M7449" s="1976"/>
      <c r="N7449" s="1976"/>
      <c r="O7449" s="1976"/>
      <c r="P7449" s="2010"/>
    </row>
    <row r="7450" spans="1:16" s="497" customFormat="1" ht="17.399999999999999">
      <c r="A7450" s="664" t="s">
        <v>380</v>
      </c>
      <c r="B7450" s="1975" t="s">
        <v>138</v>
      </c>
      <c r="C7450" s="1976"/>
      <c r="D7450" s="1977"/>
      <c r="E7450" s="665">
        <f>+L7415</f>
        <v>9.3542400000000008</v>
      </c>
      <c r="F7450" s="1975">
        <v>12</v>
      </c>
      <c r="G7450" s="1977"/>
      <c r="H7450" s="1975" t="s">
        <v>447</v>
      </c>
      <c r="I7450" s="1976"/>
      <c r="J7450" s="1976"/>
      <c r="K7450" s="1977"/>
      <c r="L7450" s="1976" t="s">
        <v>65</v>
      </c>
      <c r="M7450" s="1976"/>
      <c r="N7450" s="1976"/>
      <c r="O7450" s="1976"/>
      <c r="P7450" s="2010"/>
    </row>
    <row r="7451" spans="1:16" s="497" customFormat="1" ht="17.399999999999999">
      <c r="A7451" s="664"/>
      <c r="B7451" s="1975"/>
      <c r="C7451" s="1976"/>
      <c r="D7451" s="1977"/>
      <c r="E7451" s="665"/>
      <c r="F7451" s="1975"/>
      <c r="G7451" s="1977"/>
      <c r="H7451" s="1975"/>
      <c r="I7451" s="1976"/>
      <c r="J7451" s="1976"/>
      <c r="K7451" s="1977"/>
      <c r="L7451" s="1976"/>
      <c r="M7451" s="1976"/>
      <c r="N7451" s="1976"/>
      <c r="O7451" s="1976"/>
      <c r="P7451" s="2010"/>
    </row>
    <row r="7452" spans="1:16" s="497" customFormat="1" ht="18" thickBot="1">
      <c r="A7452" s="1155" t="s">
        <v>434</v>
      </c>
      <c r="B7452" s="1976" t="s">
        <v>397</v>
      </c>
      <c r="C7452" s="1976"/>
      <c r="D7452" s="1976"/>
      <c r="E7452" s="671">
        <f>+L7431</f>
        <v>27.956865999999998</v>
      </c>
      <c r="F7452" s="1975">
        <v>8.5</v>
      </c>
      <c r="G7452" s="1977"/>
      <c r="H7452" s="1975" t="s">
        <v>450</v>
      </c>
      <c r="I7452" s="1976"/>
      <c r="J7452" s="1976"/>
      <c r="K7452" s="1977"/>
      <c r="L7452" s="1976" t="s">
        <v>751</v>
      </c>
      <c r="M7452" s="1976"/>
      <c r="N7452" s="1976"/>
      <c r="O7452" s="1976"/>
      <c r="P7452" s="2010"/>
    </row>
    <row r="7453" spans="1:16" s="497" customFormat="1" ht="18" thickBot="1">
      <c r="A7453" s="1155"/>
      <c r="B7453" s="1150"/>
      <c r="C7453" s="1150"/>
      <c r="D7453" s="1150"/>
      <c r="E7453" s="1161">
        <f>+E7452+E7450+E7449+E7448+E7446</f>
        <v>82.105133999999993</v>
      </c>
      <c r="F7453" s="1149"/>
      <c r="G7453" s="1151"/>
      <c r="H7453" s="1149"/>
      <c r="I7453" s="1842"/>
      <c r="J7453" s="1150"/>
      <c r="K7453" s="1151"/>
      <c r="L7453" s="1150"/>
      <c r="M7453" s="1150"/>
      <c r="N7453" s="1150"/>
      <c r="O7453" s="1150"/>
      <c r="P7453" s="2010"/>
    </row>
    <row r="7454" spans="1:16" ht="17.399999999999999">
      <c r="A7454" s="1133"/>
      <c r="B7454" s="1976"/>
      <c r="C7454" s="1976"/>
      <c r="D7454" s="1976"/>
      <c r="E7454" s="671"/>
      <c r="F7454" s="1975"/>
      <c r="G7454" s="1977"/>
      <c r="H7454" s="1975"/>
      <c r="I7454" s="1976"/>
      <c r="J7454" s="1976"/>
      <c r="K7454" s="1977"/>
      <c r="L7454" s="1976"/>
      <c r="M7454" s="1976"/>
      <c r="N7454" s="1976"/>
      <c r="O7454" s="1976"/>
      <c r="P7454" s="2010"/>
    </row>
    <row r="7455" spans="1:16" ht="18" thickBot="1">
      <c r="A7455" s="664"/>
      <c r="B7455" s="1126"/>
      <c r="C7455" s="1127"/>
      <c r="D7455" s="1127"/>
      <c r="E7455" s="665"/>
      <c r="F7455" s="1127"/>
      <c r="G7455" s="1128"/>
      <c r="H7455" s="1126"/>
      <c r="I7455" s="1842"/>
      <c r="J7455" s="1127"/>
      <c r="K7455" s="669"/>
      <c r="L7455" s="672"/>
      <c r="M7455" s="673"/>
      <c r="N7455" s="673"/>
      <c r="O7455" s="673"/>
      <c r="P7455" s="2010"/>
    </row>
    <row r="7456" spans="1:16" ht="17.399999999999999">
      <c r="A7456" s="674"/>
      <c r="B7456" s="675"/>
      <c r="C7456" s="676"/>
      <c r="D7456" s="676"/>
      <c r="E7456" s="1980">
        <f>+E7453+E7444</f>
        <v>163.15654056</v>
      </c>
      <c r="F7456" s="677"/>
      <c r="G7456" s="678"/>
      <c r="H7456" s="679"/>
      <c r="I7456" s="1848"/>
      <c r="J7456" s="676"/>
      <c r="K7456" s="680"/>
      <c r="L7456" s="679"/>
      <c r="M7456" s="676"/>
      <c r="N7456" s="677"/>
      <c r="O7456" s="676"/>
      <c r="P7456" s="2010"/>
    </row>
    <row r="7457" spans="1:16" ht="18" thickBot="1">
      <c r="A7457" s="681"/>
      <c r="B7457" s="682"/>
      <c r="C7457" s="683"/>
      <c r="D7457" s="683"/>
      <c r="E7457" s="1981"/>
      <c r="F7457" s="684"/>
      <c r="G7457" s="685"/>
      <c r="H7457" s="686"/>
      <c r="I7457" s="1850"/>
      <c r="J7457" s="683"/>
      <c r="K7457" s="687"/>
      <c r="L7457" s="686"/>
      <c r="M7457" s="683"/>
      <c r="N7457" s="684"/>
      <c r="O7457" s="683"/>
      <c r="P7457" s="2010"/>
    </row>
    <row r="7458" spans="1:16" ht="17.399999999999999">
      <c r="A7458" s="688" t="s">
        <v>31</v>
      </c>
      <c r="B7458" s="676"/>
      <c r="C7458" s="676"/>
      <c r="D7458" s="676"/>
      <c r="E7458" s="676"/>
      <c r="F7458" s="677"/>
      <c r="G7458" s="676"/>
      <c r="H7458" s="677"/>
      <c r="I7458" s="1848"/>
      <c r="J7458" s="676"/>
      <c r="K7458" s="689"/>
      <c r="L7458" s="677"/>
      <c r="M7458" s="676"/>
      <c r="N7458" s="677"/>
      <c r="O7458" s="676"/>
      <c r="P7458" s="2010"/>
    </row>
    <row r="7459" spans="1:16" ht="17.399999999999999">
      <c r="A7459" s="690"/>
      <c r="B7459" s="691"/>
      <c r="C7459" s="691"/>
      <c r="D7459" s="691"/>
      <c r="E7459" s="691"/>
      <c r="F7459" s="1125"/>
      <c r="G7459" s="691"/>
      <c r="H7459" s="1125"/>
      <c r="I7459" s="1849"/>
      <c r="J7459" s="691"/>
      <c r="K7459" s="693"/>
      <c r="L7459" s="1125"/>
      <c r="M7459" s="691"/>
      <c r="N7459" s="1125"/>
      <c r="O7459" s="691"/>
      <c r="P7459" s="2010"/>
    </row>
    <row r="7460" spans="1:16" ht="18" thickBot="1">
      <c r="A7460" s="1982" t="s">
        <v>32</v>
      </c>
      <c r="B7460" s="1983"/>
      <c r="C7460" s="1984" t="s">
        <v>33</v>
      </c>
      <c r="D7460" s="1985"/>
      <c r="E7460" s="694" t="s">
        <v>34</v>
      </c>
      <c r="F7460" s="694" t="s">
        <v>35</v>
      </c>
      <c r="G7460" s="1986" t="s">
        <v>36</v>
      </c>
      <c r="H7460" s="1987"/>
      <c r="I7460" s="1987"/>
      <c r="J7460" s="1987"/>
      <c r="K7460" s="1987"/>
      <c r="L7460" s="1987"/>
      <c r="M7460" s="1987"/>
      <c r="N7460" s="1987"/>
      <c r="O7460" s="1987"/>
      <c r="P7460" s="2010"/>
    </row>
    <row r="7461" spans="1:16" ht="17.399999999999999">
      <c r="A7461" s="1988"/>
      <c r="B7461" s="1989"/>
      <c r="C7461" s="1990"/>
      <c r="D7461" s="1989"/>
      <c r="E7461" s="1132"/>
      <c r="F7461" s="1129"/>
      <c r="G7461" s="1991"/>
      <c r="H7461" s="1992"/>
      <c r="I7461" s="1992"/>
      <c r="J7461" s="1992"/>
      <c r="K7461" s="1992"/>
      <c r="L7461" s="1992"/>
      <c r="M7461" s="1992"/>
      <c r="N7461" s="1992"/>
      <c r="O7461" s="1992"/>
      <c r="P7461" s="2010"/>
    </row>
    <row r="7462" spans="1:16" ht="17.399999999999999">
      <c r="A7462" s="1997" t="s">
        <v>37</v>
      </c>
      <c r="B7462" s="1998"/>
      <c r="C7462" s="1990"/>
      <c r="D7462" s="1989"/>
      <c r="E7462" s="1132"/>
      <c r="F7462" s="1129"/>
      <c r="G7462" s="1993"/>
      <c r="H7462" s="1994"/>
      <c r="I7462" s="1994"/>
      <c r="J7462" s="1994"/>
      <c r="K7462" s="1994"/>
      <c r="L7462" s="1994"/>
      <c r="M7462" s="1994"/>
      <c r="N7462" s="1994"/>
      <c r="O7462" s="1994"/>
      <c r="P7462" s="2010"/>
    </row>
    <row r="7463" spans="1:16" ht="17.399999999999999">
      <c r="A7463" s="1997" t="s">
        <v>38</v>
      </c>
      <c r="B7463" s="1998"/>
      <c r="C7463" s="1990"/>
      <c r="D7463" s="1989"/>
      <c r="E7463" s="1132"/>
      <c r="F7463" s="1129"/>
      <c r="G7463" s="1993"/>
      <c r="H7463" s="1994"/>
      <c r="I7463" s="1994"/>
      <c r="J7463" s="1994"/>
      <c r="K7463" s="1994"/>
      <c r="L7463" s="1994"/>
      <c r="M7463" s="1994"/>
      <c r="N7463" s="1994"/>
      <c r="O7463" s="1994"/>
      <c r="P7463" s="2010"/>
    </row>
    <row r="7464" spans="1:16" ht="17.399999999999999">
      <c r="A7464" s="1997" t="s">
        <v>39</v>
      </c>
      <c r="B7464" s="1998"/>
      <c r="C7464" s="1990"/>
      <c r="D7464" s="1989"/>
      <c r="E7464" s="1132"/>
      <c r="F7464" s="1129"/>
      <c r="G7464" s="1993"/>
      <c r="H7464" s="1994"/>
      <c r="I7464" s="1994"/>
      <c r="J7464" s="1994"/>
      <c r="K7464" s="1994"/>
      <c r="L7464" s="1994"/>
      <c r="M7464" s="1994"/>
      <c r="N7464" s="1994"/>
      <c r="O7464" s="1994"/>
      <c r="P7464" s="2010"/>
    </row>
    <row r="7465" spans="1:16" ht="17.399999999999999">
      <c r="A7465" s="1997" t="s">
        <v>40</v>
      </c>
      <c r="B7465" s="1998"/>
      <c r="C7465" s="1990"/>
      <c r="D7465" s="1989"/>
      <c r="E7465" s="1132"/>
      <c r="F7465" s="1129"/>
      <c r="G7465" s="1993"/>
      <c r="H7465" s="1994"/>
      <c r="I7465" s="1994"/>
      <c r="J7465" s="1994"/>
      <c r="K7465" s="1994"/>
      <c r="L7465" s="1994"/>
      <c r="M7465" s="1994"/>
      <c r="N7465" s="1994"/>
      <c r="O7465" s="1994"/>
      <c r="P7465" s="2010"/>
    </row>
    <row r="7466" spans="1:16" ht="18" thickBot="1">
      <c r="A7466" s="1999" t="s">
        <v>41</v>
      </c>
      <c r="B7466" s="2000"/>
      <c r="C7466" s="2001"/>
      <c r="D7466" s="2002"/>
      <c r="E7466" s="696"/>
      <c r="F7466" s="1130"/>
      <c r="G7466" s="1995"/>
      <c r="H7466" s="1996"/>
      <c r="I7466" s="1996"/>
      <c r="J7466" s="1996"/>
      <c r="K7466" s="1996"/>
      <c r="L7466" s="1996"/>
      <c r="M7466" s="1996"/>
      <c r="N7466" s="1996"/>
      <c r="O7466" s="1996"/>
      <c r="P7466" s="2010"/>
    </row>
    <row r="7467" spans="1:16" ht="18">
      <c r="A7467" s="690"/>
      <c r="B7467" s="691"/>
      <c r="C7467" s="691"/>
      <c r="D7467" s="691"/>
      <c r="E7467" s="691"/>
      <c r="F7467" s="1125"/>
      <c r="G7467" s="691"/>
      <c r="H7467" s="698"/>
      <c r="I7467" s="699"/>
      <c r="J7467" s="700"/>
      <c r="K7467" s="701"/>
      <c r="L7467" s="702"/>
      <c r="M7467" s="691"/>
      <c r="N7467" s="1125"/>
      <c r="O7467" s="691"/>
      <c r="P7467" s="2010"/>
    </row>
    <row r="7468" spans="1:16" ht="18">
      <c r="A7468" s="703" t="s">
        <v>42</v>
      </c>
      <c r="B7468" s="704"/>
      <c r="C7468" s="691"/>
      <c r="D7468" s="691"/>
      <c r="E7468" s="691"/>
      <c r="F7468" s="1125"/>
      <c r="G7468" s="704"/>
      <c r="H7468" s="698"/>
      <c r="I7468" s="699"/>
      <c r="J7468" s="700"/>
      <c r="K7468" s="693"/>
      <c r="L7468" s="705"/>
      <c r="M7468" s="691"/>
      <c r="N7468" s="1979" t="s">
        <v>43</v>
      </c>
      <c r="O7468" s="1979"/>
      <c r="P7468" s="2010"/>
    </row>
    <row r="7469" spans="1:16" ht="17.399999999999999">
      <c r="A7469" s="703"/>
      <c r="B7469" s="704"/>
      <c r="C7469" s="691"/>
      <c r="D7469" s="691"/>
      <c r="E7469" s="691"/>
      <c r="F7469" s="1125"/>
      <c r="G7469" s="691"/>
      <c r="H7469" s="1125"/>
      <c r="I7469" s="1849"/>
      <c r="J7469" s="691"/>
      <c r="K7469" s="693"/>
      <c r="L7469" s="1125"/>
      <c r="M7469" s="691"/>
      <c r="N7469" s="1125"/>
      <c r="O7469" s="704"/>
      <c r="P7469" s="2010"/>
    </row>
    <row r="7470" spans="1:16" ht="17.399999999999999">
      <c r="A7470" s="703" t="s">
        <v>44</v>
      </c>
      <c r="B7470" s="704"/>
      <c r="C7470" s="691"/>
      <c r="D7470" s="691"/>
      <c r="E7470" s="691"/>
      <c r="F7470" s="1125"/>
      <c r="G7470" s="691"/>
      <c r="H7470" s="1125"/>
      <c r="I7470" s="1849"/>
      <c r="J7470" s="691"/>
      <c r="K7470" s="693"/>
      <c r="L7470" s="1125"/>
      <c r="M7470" s="691"/>
      <c r="N7470" s="1979" t="s">
        <v>45</v>
      </c>
      <c r="O7470" s="1979"/>
      <c r="P7470" s="2010"/>
    </row>
    <row r="7471" spans="1:16" ht="18" thickBot="1">
      <c r="A7471" s="682"/>
      <c r="B7471" s="683"/>
      <c r="C7471" s="683"/>
      <c r="D7471" s="683"/>
      <c r="E7471" s="683"/>
      <c r="F7471" s="684"/>
      <c r="G7471" s="683"/>
      <c r="H7471" s="684"/>
      <c r="I7471" s="1850"/>
      <c r="J7471" s="683"/>
      <c r="K7471" s="706"/>
      <c r="L7471" s="684"/>
      <c r="M7471" s="683"/>
      <c r="N7471" s="684"/>
      <c r="O7471" s="683"/>
      <c r="P7471" s="2010"/>
    </row>
    <row r="7475" spans="1:24" ht="17.399999999999999">
      <c r="A7475" s="711" t="s">
        <v>48</v>
      </c>
      <c r="B7475" s="711"/>
      <c r="C7475" s="712"/>
      <c r="D7475" s="712"/>
      <c r="E7475" s="712"/>
      <c r="F7475" s="713"/>
      <c r="G7475" s="712"/>
      <c r="H7475" s="712"/>
      <c r="I7475" s="714"/>
      <c r="J7475" s="715"/>
      <c r="K7475" s="716"/>
      <c r="L7475" s="1978" t="s">
        <v>0</v>
      </c>
      <c r="M7475" s="1978"/>
      <c r="N7475" s="1978"/>
      <c r="O7475" s="1978"/>
      <c r="P7475" s="717"/>
    </row>
    <row r="7476" spans="1:24" ht="17.399999999999999">
      <c r="A7476" s="718" t="s">
        <v>1</v>
      </c>
      <c r="B7476" s="718"/>
      <c r="C7476" s="718"/>
      <c r="D7476" s="719" t="s">
        <v>2</v>
      </c>
      <c r="E7476" s="719"/>
      <c r="F7476" s="720"/>
      <c r="G7476" s="720"/>
      <c r="H7476" s="720"/>
      <c r="I7476" s="721"/>
      <c r="J7476" s="1131"/>
      <c r="K7476" s="723" t="s">
        <v>3</v>
      </c>
      <c r="L7476" s="1131"/>
      <c r="M7476" s="718"/>
      <c r="N7476" s="720"/>
      <c r="O7476" s="718"/>
      <c r="P7476" s="724"/>
    </row>
    <row r="7477" spans="1:24" ht="52.2">
      <c r="A7477" s="640" t="s">
        <v>4</v>
      </c>
      <c r="B7477" s="640" t="s">
        <v>5</v>
      </c>
      <c r="C7477" s="640" t="s">
        <v>6</v>
      </c>
      <c r="D7477" s="640" t="s">
        <v>7</v>
      </c>
      <c r="E7477" s="640" t="s">
        <v>8</v>
      </c>
      <c r="F7477" s="641" t="s">
        <v>9</v>
      </c>
      <c r="G7477" s="642" t="s">
        <v>10</v>
      </c>
      <c r="H7477" s="642" t="s">
        <v>11</v>
      </c>
      <c r="I7477" s="643" t="s">
        <v>12</v>
      </c>
      <c r="J7477" s="644" t="s">
        <v>13</v>
      </c>
      <c r="K7477" s="645" t="s">
        <v>14</v>
      </c>
      <c r="L7477" s="646" t="s">
        <v>15</v>
      </c>
      <c r="M7477" s="641" t="s">
        <v>16</v>
      </c>
      <c r="N7477" s="641" t="s">
        <v>17</v>
      </c>
      <c r="O7477" s="642" t="s">
        <v>18</v>
      </c>
      <c r="P7477" s="641" t="s">
        <v>192</v>
      </c>
    </row>
    <row r="7478" spans="1:24" ht="17.399999999999999">
      <c r="A7478" s="547" t="s">
        <v>445</v>
      </c>
      <c r="B7478" s="547" t="s">
        <v>485</v>
      </c>
      <c r="C7478" s="547" t="s">
        <v>19</v>
      </c>
      <c r="D7478" s="547" t="s">
        <v>20</v>
      </c>
      <c r="E7478" s="560" t="s">
        <v>57</v>
      </c>
      <c r="F7478" s="1134">
        <v>13</v>
      </c>
      <c r="G7478" s="549" t="s">
        <v>21</v>
      </c>
      <c r="H7478" s="599" t="s">
        <v>92</v>
      </c>
      <c r="I7478" s="558">
        <v>16.600000000000001</v>
      </c>
      <c r="J7478" s="567">
        <v>6.2</v>
      </c>
      <c r="K7478" s="648">
        <v>14</v>
      </c>
      <c r="L7478" s="552">
        <f t="shared" ref="L7478:L7485" si="1544">(I7478*J7478*K7478/1000)</f>
        <v>1.4408800000000002</v>
      </c>
      <c r="M7478" s="549">
        <f>4+4</f>
        <v>8</v>
      </c>
      <c r="N7478" s="567">
        <f>J7478*M7478*I7478/1000</f>
        <v>0.82336000000000009</v>
      </c>
      <c r="O7478" s="549"/>
      <c r="P7478" s="549"/>
      <c r="Q7478" s="497">
        <v>1</v>
      </c>
      <c r="R7478" s="126">
        <f t="shared" ref="R7478:R7485" si="1545">J7478*Q7478*I7478/1000</f>
        <v>0.10292000000000001</v>
      </c>
      <c r="T7478" s="497" t="s">
        <v>799</v>
      </c>
      <c r="U7478" s="497"/>
      <c r="V7478" s="497"/>
      <c r="W7478">
        <v>7</v>
      </c>
      <c r="X7478" s="126">
        <f>J7478*W7478*I7478/1000</f>
        <v>0.72044000000000008</v>
      </c>
    </row>
    <row r="7479" spans="1:24" ht="17.399999999999999">
      <c r="A7479" s="547"/>
      <c r="B7479" s="560" t="s">
        <v>423</v>
      </c>
      <c r="C7479" s="547"/>
      <c r="D7479" s="547"/>
      <c r="E7479" s="547"/>
      <c r="F7479" s="1134"/>
      <c r="G7479" s="549" t="s">
        <v>21</v>
      </c>
      <c r="H7479" s="549" t="s">
        <v>92</v>
      </c>
      <c r="I7479" s="558">
        <v>16.600000000000001</v>
      </c>
      <c r="J7479" s="567">
        <v>7</v>
      </c>
      <c r="K7479" s="648">
        <v>64</v>
      </c>
      <c r="L7479" s="552">
        <f t="shared" si="1544"/>
        <v>7.4368000000000007</v>
      </c>
      <c r="M7479" s="549"/>
      <c r="N7479" s="567"/>
      <c r="O7479" s="549"/>
      <c r="P7479" s="549"/>
      <c r="Q7479" s="497">
        <f>20+7+18+18</f>
        <v>63</v>
      </c>
      <c r="R7479" s="126">
        <f t="shared" si="1545"/>
        <v>7.3206000000000007</v>
      </c>
      <c r="T7479" s="497"/>
      <c r="U7479" s="497"/>
      <c r="V7479" s="497"/>
      <c r="W7479">
        <v>1</v>
      </c>
      <c r="X7479" s="126">
        <f>J7479*W7479*I7479/1000</f>
        <v>0.11620000000000001</v>
      </c>
    </row>
    <row r="7480" spans="1:24" ht="17.399999999999999">
      <c r="A7480" s="549"/>
      <c r="B7480" s="549"/>
      <c r="C7480" s="549"/>
      <c r="D7480" s="549"/>
      <c r="E7480" s="549"/>
      <c r="F7480" s="549"/>
      <c r="G7480" s="549" t="s">
        <v>21</v>
      </c>
      <c r="H7480" s="549" t="s">
        <v>92</v>
      </c>
      <c r="I7480" s="558">
        <v>16.600000000000001</v>
      </c>
      <c r="J7480" s="567">
        <v>7.8</v>
      </c>
      <c r="K7480" s="648">
        <v>17</v>
      </c>
      <c r="L7480" s="552">
        <f t="shared" si="1544"/>
        <v>2.2011600000000002</v>
      </c>
      <c r="M7480" s="549"/>
      <c r="N7480" s="567"/>
      <c r="O7480" s="549"/>
      <c r="P7480" s="549"/>
      <c r="Q7480" s="497">
        <v>12</v>
      </c>
      <c r="R7480" s="126">
        <f t="shared" si="1545"/>
        <v>1.55376</v>
      </c>
      <c r="T7480" s="497"/>
      <c r="U7480" s="497"/>
      <c r="V7480" s="497"/>
      <c r="X7480" s="126"/>
    </row>
    <row r="7481" spans="1:24" ht="17.399999999999999">
      <c r="A7481" s="549"/>
      <c r="B7481" s="549"/>
      <c r="C7481" s="549"/>
      <c r="D7481" s="549"/>
      <c r="E7481" s="549"/>
      <c r="F7481" s="549"/>
      <c r="G7481" s="549" t="s">
        <v>21</v>
      </c>
      <c r="H7481" s="549" t="s">
        <v>92</v>
      </c>
      <c r="I7481" s="558">
        <v>16.600000000000001</v>
      </c>
      <c r="J7481" s="567">
        <v>8</v>
      </c>
      <c r="K7481" s="648">
        <v>64</v>
      </c>
      <c r="L7481" s="552">
        <f t="shared" si="1544"/>
        <v>8.4992000000000001</v>
      </c>
      <c r="M7481" s="549">
        <f>2+1</f>
        <v>3</v>
      </c>
      <c r="N7481" s="567">
        <f>J7481*M7481*I7481/1000</f>
        <v>0.39840000000000003</v>
      </c>
      <c r="O7481" s="549"/>
      <c r="P7481" s="549"/>
      <c r="Q7481" s="497">
        <f>20+1+18+18</f>
        <v>57</v>
      </c>
      <c r="R7481" s="126">
        <f t="shared" si="1545"/>
        <v>7.5696000000000003</v>
      </c>
      <c r="T7481" s="497"/>
      <c r="U7481" s="497"/>
      <c r="V7481" s="497"/>
      <c r="W7481">
        <v>4</v>
      </c>
      <c r="X7481" s="126">
        <f t="shared" ref="X7481:X7483" si="1546">J7481*W7481*I7481/1000</f>
        <v>0.53120000000000001</v>
      </c>
    </row>
    <row r="7482" spans="1:24" ht="17.399999999999999">
      <c r="A7482" s="549"/>
      <c r="B7482" s="549"/>
      <c r="C7482" s="549"/>
      <c r="D7482" s="549"/>
      <c r="E7482" s="549"/>
      <c r="F7482" s="549"/>
      <c r="G7482" s="549" t="s">
        <v>21</v>
      </c>
      <c r="H7482" s="549" t="s">
        <v>92</v>
      </c>
      <c r="I7482" s="558">
        <v>16.600000000000001</v>
      </c>
      <c r="J7482" s="567">
        <v>10.4</v>
      </c>
      <c r="K7482" s="648">
        <v>8</v>
      </c>
      <c r="L7482" s="552">
        <f t="shared" si="1544"/>
        <v>1.3811200000000001</v>
      </c>
      <c r="M7482" s="549"/>
      <c r="N7482" s="567"/>
      <c r="O7482" s="549"/>
      <c r="P7482" s="549"/>
      <c r="Q7482" s="497">
        <v>1</v>
      </c>
      <c r="R7482" s="126">
        <f t="shared" si="1545"/>
        <v>0.17264000000000002</v>
      </c>
      <c r="T7482" s="497"/>
      <c r="U7482" s="497"/>
      <c r="V7482" s="497"/>
      <c r="W7482">
        <f>2+3</f>
        <v>5</v>
      </c>
      <c r="X7482" s="126">
        <f t="shared" si="1546"/>
        <v>0.86320000000000008</v>
      </c>
    </row>
    <row r="7483" spans="1:24" ht="17.399999999999999">
      <c r="A7483" s="549"/>
      <c r="B7483" s="549"/>
      <c r="C7483" s="549"/>
      <c r="D7483" s="549"/>
      <c r="E7483" s="549"/>
      <c r="F7483" s="549"/>
      <c r="G7483" s="549" t="s">
        <v>21</v>
      </c>
      <c r="H7483" s="549" t="s">
        <v>92</v>
      </c>
      <c r="I7483" s="558">
        <v>16.600000000000001</v>
      </c>
      <c r="J7483" s="567">
        <v>10.5</v>
      </c>
      <c r="K7483" s="648">
        <v>28</v>
      </c>
      <c r="L7483" s="552">
        <f t="shared" si="1544"/>
        <v>4.8804000000000007</v>
      </c>
      <c r="M7483" s="549"/>
      <c r="N7483" s="567"/>
      <c r="O7483" s="549"/>
      <c r="P7483" s="549"/>
      <c r="Q7483" s="497">
        <f>11+15</f>
        <v>26</v>
      </c>
      <c r="R7483" s="126">
        <f t="shared" si="1545"/>
        <v>4.5318000000000005</v>
      </c>
      <c r="S7483">
        <v>15</v>
      </c>
      <c r="T7483" s="126">
        <f>J7483*S7483*I7483/1000</f>
        <v>2.6145</v>
      </c>
      <c r="U7483" s="497"/>
      <c r="V7483" s="497"/>
      <c r="W7483">
        <v>2</v>
      </c>
      <c r="X7483" s="126">
        <f t="shared" si="1546"/>
        <v>0.34860000000000002</v>
      </c>
    </row>
    <row r="7484" spans="1:24" ht="17.399999999999999">
      <c r="A7484" s="549"/>
      <c r="B7484" s="549"/>
      <c r="C7484" s="549"/>
      <c r="D7484" s="549"/>
      <c r="E7484" s="549"/>
      <c r="F7484" s="549"/>
      <c r="G7484" s="549" t="s">
        <v>21</v>
      </c>
      <c r="H7484" s="549" t="s">
        <v>92</v>
      </c>
      <c r="I7484" s="558">
        <v>16.600000000000001</v>
      </c>
      <c r="J7484" s="567">
        <v>11</v>
      </c>
      <c r="K7484" s="648">
        <v>64</v>
      </c>
      <c r="L7484" s="552">
        <f t="shared" si="1544"/>
        <v>11.686400000000001</v>
      </c>
      <c r="M7484" s="549">
        <v>1</v>
      </c>
      <c r="N7484" s="567">
        <f>J7484*M7484*I7484/1000</f>
        <v>0.18260000000000001</v>
      </c>
      <c r="O7484" s="549"/>
      <c r="P7484" s="549"/>
      <c r="Q7484" s="497">
        <f>18+18+15+16-4</f>
        <v>63</v>
      </c>
      <c r="R7484" s="126">
        <f t="shared" si="1545"/>
        <v>11.503800000000002</v>
      </c>
      <c r="S7484">
        <v>18</v>
      </c>
      <c r="T7484" s="126">
        <f>J7484*S7484*I7484/1000</f>
        <v>3.2868000000000004</v>
      </c>
      <c r="U7484" s="497"/>
      <c r="V7484" s="497"/>
    </row>
    <row r="7485" spans="1:24" ht="17.399999999999999">
      <c r="A7485" s="549"/>
      <c r="B7485" s="549"/>
      <c r="C7485" s="549"/>
      <c r="D7485" s="549"/>
      <c r="E7485" s="549"/>
      <c r="F7485" s="549"/>
      <c r="G7485" s="549" t="s">
        <v>21</v>
      </c>
      <c r="H7485" s="549" t="s">
        <v>92</v>
      </c>
      <c r="I7485" s="558">
        <v>16.600000000000001</v>
      </c>
      <c r="J7485" s="567">
        <v>12</v>
      </c>
      <c r="K7485" s="648">
        <v>34</v>
      </c>
      <c r="L7485" s="552">
        <f t="shared" si="1544"/>
        <v>6.7728000000000002</v>
      </c>
      <c r="M7485" s="549"/>
      <c r="N7485" s="567"/>
      <c r="O7485" s="549"/>
      <c r="P7485" s="549"/>
      <c r="Q7485" s="497">
        <f>8+32-6</f>
        <v>34</v>
      </c>
      <c r="R7485" s="126">
        <f t="shared" si="1545"/>
        <v>6.7728000000000002</v>
      </c>
      <c r="T7485" s="497"/>
      <c r="U7485" s="497"/>
      <c r="V7485" s="497"/>
    </row>
    <row r="7486" spans="1:24" ht="17.399999999999999">
      <c r="A7486" s="549"/>
      <c r="B7486" s="549"/>
      <c r="C7486" s="549"/>
      <c r="D7486" s="549"/>
      <c r="E7486" s="549"/>
      <c r="F7486" s="549"/>
      <c r="G7486" s="549"/>
      <c r="H7486" s="549"/>
      <c r="I7486" s="558"/>
      <c r="J7486" s="567"/>
      <c r="K7486" s="648">
        <f>SUM(K7478:K7485)</f>
        <v>293</v>
      </c>
      <c r="L7486" s="567">
        <f t="shared" ref="L7486:N7486" si="1547">SUM(L7478:L7485)</f>
        <v>44.298760000000001</v>
      </c>
      <c r="M7486" s="648">
        <f>SUM(M7478:M7485)</f>
        <v>12</v>
      </c>
      <c r="N7486" s="567">
        <f t="shared" si="1547"/>
        <v>1.4043600000000003</v>
      </c>
      <c r="O7486" s="549"/>
      <c r="P7486" s="549" t="s">
        <v>752</v>
      </c>
      <c r="Q7486" s="648">
        <f>SUM(Q7478:Q7485)</f>
        <v>257</v>
      </c>
      <c r="R7486" s="567">
        <f t="shared" ref="R7486:T7486" si="1548">SUM(R7478:R7485)</f>
        <v>39.527920000000009</v>
      </c>
      <c r="S7486" s="648">
        <f>SUM(S7478:S7485)</f>
        <v>33</v>
      </c>
      <c r="T7486" s="567">
        <f t="shared" si="1548"/>
        <v>5.9013000000000009</v>
      </c>
      <c r="U7486" s="497"/>
      <c r="V7486" s="497"/>
      <c r="W7486" s="648">
        <f>SUM(W7478:W7485)</f>
        <v>19</v>
      </c>
      <c r="X7486" s="567">
        <f t="shared" ref="X7486" si="1549">SUM(X7478:X7485)</f>
        <v>2.5796400000000004</v>
      </c>
    </row>
    <row r="7487" spans="1:24" s="497" customFormat="1" ht="17.399999999999999">
      <c r="A7487" s="549"/>
      <c r="B7487" s="549"/>
      <c r="C7487" s="549"/>
      <c r="D7487" s="549"/>
      <c r="E7487" s="549"/>
      <c r="F7487" s="549"/>
      <c r="G7487" s="549"/>
      <c r="H7487" s="549"/>
      <c r="I7487" s="558"/>
      <c r="J7487" s="567"/>
      <c r="K7487" s="648"/>
      <c r="L7487" s="567"/>
      <c r="M7487" s="549"/>
      <c r="N7487" s="549"/>
      <c r="O7487" s="549"/>
      <c r="P7487" s="549"/>
    </row>
    <row r="7488" spans="1:24" ht="17.399999999999999">
      <c r="A7488" s="547" t="s">
        <v>445</v>
      </c>
      <c r="B7488" s="547" t="s">
        <v>576</v>
      </c>
      <c r="C7488" s="547" t="s">
        <v>19</v>
      </c>
      <c r="D7488" s="547" t="s">
        <v>20</v>
      </c>
      <c r="E7488" s="560" t="s">
        <v>47</v>
      </c>
      <c r="F7488" s="1134">
        <v>13</v>
      </c>
      <c r="G7488" s="549" t="s">
        <v>21</v>
      </c>
      <c r="H7488" s="599" t="s">
        <v>92</v>
      </c>
      <c r="I7488" s="558">
        <v>16.600000000000001</v>
      </c>
      <c r="J7488" s="567">
        <v>7.8</v>
      </c>
      <c r="K7488" s="648">
        <v>1</v>
      </c>
      <c r="L7488" s="552">
        <f t="shared" ref="L7488:L7496" si="1550">(I7488*J7488*K7488/1000)</f>
        <v>0.12948000000000001</v>
      </c>
      <c r="M7488" s="549"/>
      <c r="N7488" s="549"/>
      <c r="O7488" s="549"/>
      <c r="P7488" s="549"/>
      <c r="R7488" s="126">
        <f t="shared" ref="R7488:R7496" si="1551">J7488*Q7488*I7488/1000</f>
        <v>0</v>
      </c>
      <c r="T7488" s="497" t="s">
        <v>799</v>
      </c>
      <c r="U7488" s="497"/>
      <c r="V7488" s="497"/>
    </row>
    <row r="7489" spans="1:24" ht="17.399999999999999">
      <c r="A7489" s="547"/>
      <c r="B7489" s="1159" t="s">
        <v>439</v>
      </c>
      <c r="C7489" s="547"/>
      <c r="D7489" s="547"/>
      <c r="E7489" s="547"/>
      <c r="F7489" s="1134"/>
      <c r="G7489" s="549" t="s">
        <v>21</v>
      </c>
      <c r="H7489" s="549" t="s">
        <v>92</v>
      </c>
      <c r="I7489" s="558">
        <v>16.600000000000001</v>
      </c>
      <c r="J7489" s="567">
        <v>8</v>
      </c>
      <c r="K7489" s="648">
        <v>12</v>
      </c>
      <c r="L7489" s="552">
        <f t="shared" si="1550"/>
        <v>1.5936000000000001</v>
      </c>
      <c r="M7489" s="549"/>
      <c r="N7489" s="549"/>
      <c r="O7489" s="549"/>
      <c r="P7489" s="549"/>
      <c r="Q7489" s="497">
        <v>12</v>
      </c>
      <c r="R7489" s="126">
        <f t="shared" si="1551"/>
        <v>1.5936000000000001</v>
      </c>
      <c r="T7489" s="497"/>
      <c r="U7489" s="497"/>
      <c r="V7489" s="497"/>
    </row>
    <row r="7490" spans="1:24" ht="17.399999999999999">
      <c r="A7490" s="549"/>
      <c r="B7490" s="549"/>
      <c r="C7490" s="549"/>
      <c r="D7490" s="549"/>
      <c r="E7490" s="549"/>
      <c r="F7490" s="549"/>
      <c r="G7490" s="549" t="s">
        <v>21</v>
      </c>
      <c r="H7490" s="549" t="s">
        <v>92</v>
      </c>
      <c r="I7490" s="558">
        <v>16.600000000000001</v>
      </c>
      <c r="J7490" s="567">
        <v>8.6999999999999993</v>
      </c>
      <c r="K7490" s="648">
        <v>23</v>
      </c>
      <c r="L7490" s="552">
        <f t="shared" si="1550"/>
        <v>3.3216600000000001</v>
      </c>
      <c r="M7490" s="549"/>
      <c r="N7490" s="549"/>
      <c r="O7490" s="549"/>
      <c r="P7490" s="549"/>
      <c r="Q7490" s="497">
        <v>12</v>
      </c>
      <c r="R7490" s="126">
        <f t="shared" si="1551"/>
        <v>1.7330399999999999</v>
      </c>
      <c r="T7490" s="497"/>
      <c r="U7490" s="497"/>
      <c r="V7490" s="497"/>
      <c r="W7490">
        <v>8</v>
      </c>
      <c r="X7490" s="126">
        <f t="shared" ref="X7490:X7492" si="1552">J7490*W7490*I7490/1000</f>
        <v>1.1553599999999999</v>
      </c>
    </row>
    <row r="7491" spans="1:24" ht="17.399999999999999">
      <c r="A7491" s="549"/>
      <c r="B7491" s="549"/>
      <c r="C7491" s="549"/>
      <c r="D7491" s="549"/>
      <c r="E7491" s="549"/>
      <c r="F7491" s="549"/>
      <c r="G7491" s="549" t="s">
        <v>21</v>
      </c>
      <c r="H7491" s="549" t="s">
        <v>92</v>
      </c>
      <c r="I7491" s="558">
        <v>16.600000000000001</v>
      </c>
      <c r="J7491" s="567">
        <v>10</v>
      </c>
      <c r="K7491" s="648">
        <v>29</v>
      </c>
      <c r="L7491" s="552">
        <f t="shared" si="1550"/>
        <v>4.8140000000000001</v>
      </c>
      <c r="M7491" s="549"/>
      <c r="N7491" s="549"/>
      <c r="O7491" s="549"/>
      <c r="P7491" s="549"/>
      <c r="Q7491" s="497">
        <v>12</v>
      </c>
      <c r="R7491" s="126">
        <f t="shared" si="1551"/>
        <v>1.9920000000000002</v>
      </c>
      <c r="T7491" s="497"/>
      <c r="U7491" s="497"/>
      <c r="V7491" s="497"/>
      <c r="W7491">
        <v>12</v>
      </c>
      <c r="X7491" s="126">
        <f t="shared" si="1552"/>
        <v>1.9920000000000002</v>
      </c>
    </row>
    <row r="7492" spans="1:24" ht="17.399999999999999">
      <c r="A7492" s="549"/>
      <c r="B7492" s="549"/>
      <c r="C7492" s="549"/>
      <c r="D7492" s="549"/>
      <c r="E7492" s="549"/>
      <c r="F7492" s="549"/>
      <c r="G7492" s="549" t="s">
        <v>21</v>
      </c>
      <c r="H7492" s="549" t="s">
        <v>92</v>
      </c>
      <c r="I7492" s="558">
        <v>16.600000000000001</v>
      </c>
      <c r="J7492" s="567">
        <v>10.8</v>
      </c>
      <c r="K7492" s="648">
        <v>28</v>
      </c>
      <c r="L7492" s="552">
        <f t="shared" si="1550"/>
        <v>5.0198400000000012</v>
      </c>
      <c r="M7492" s="549"/>
      <c r="N7492" s="549"/>
      <c r="O7492" s="549"/>
      <c r="P7492" s="549"/>
      <c r="Q7492" s="497">
        <v>17</v>
      </c>
      <c r="R7492" s="126">
        <f t="shared" si="1551"/>
        <v>3.0477600000000007</v>
      </c>
      <c r="T7492" s="497"/>
      <c r="U7492" s="497"/>
      <c r="V7492" s="497"/>
      <c r="W7492">
        <v>12</v>
      </c>
      <c r="X7492" s="126">
        <f t="shared" si="1552"/>
        <v>2.1513600000000004</v>
      </c>
    </row>
    <row r="7493" spans="1:24" ht="17.399999999999999">
      <c r="A7493" s="549"/>
      <c r="B7493" s="549"/>
      <c r="C7493" s="549"/>
      <c r="D7493" s="549"/>
      <c r="E7493" s="549"/>
      <c r="F7493" s="549"/>
      <c r="G7493" s="549" t="s">
        <v>21</v>
      </c>
      <c r="H7493" s="549" t="s">
        <v>92</v>
      </c>
      <c r="I7493" s="558">
        <v>16.600000000000001</v>
      </c>
      <c r="J7493" s="567">
        <v>11</v>
      </c>
      <c r="K7493" s="648">
        <v>20</v>
      </c>
      <c r="L7493" s="552">
        <f t="shared" si="1550"/>
        <v>3.6520000000000006</v>
      </c>
      <c r="M7493" s="549"/>
      <c r="N7493" s="549"/>
      <c r="O7493" s="549"/>
      <c r="P7493" s="549"/>
      <c r="Q7493" s="497">
        <f>12+4</f>
        <v>16</v>
      </c>
      <c r="R7493" s="126">
        <f t="shared" si="1551"/>
        <v>2.9216000000000002</v>
      </c>
      <c r="T7493" s="497"/>
      <c r="U7493" s="497"/>
      <c r="V7493" s="497"/>
    </row>
    <row r="7494" spans="1:24" ht="17.399999999999999">
      <c r="A7494" s="549"/>
      <c r="B7494" s="549"/>
      <c r="C7494" s="549"/>
      <c r="D7494" s="549"/>
      <c r="E7494" s="549"/>
      <c r="F7494" s="549"/>
      <c r="G7494" s="549" t="s">
        <v>21</v>
      </c>
      <c r="H7494" s="549" t="s">
        <v>92</v>
      </c>
      <c r="I7494" s="558">
        <v>16.600000000000001</v>
      </c>
      <c r="J7494" s="567">
        <v>11.2</v>
      </c>
      <c r="K7494" s="648">
        <v>20</v>
      </c>
      <c r="L7494" s="552">
        <f t="shared" si="1550"/>
        <v>3.7184000000000004</v>
      </c>
      <c r="M7494" s="549"/>
      <c r="N7494" s="549"/>
      <c r="O7494" s="549"/>
      <c r="P7494" s="549"/>
      <c r="Q7494" s="497">
        <f>15+4</f>
        <v>19</v>
      </c>
      <c r="R7494" s="126">
        <f t="shared" si="1551"/>
        <v>3.5324800000000001</v>
      </c>
      <c r="T7494" s="497"/>
      <c r="U7494" s="497"/>
      <c r="V7494" s="497"/>
    </row>
    <row r="7495" spans="1:24" ht="17.399999999999999">
      <c r="A7495" s="549"/>
      <c r="B7495" s="549"/>
      <c r="C7495" s="549"/>
      <c r="D7495" s="549"/>
      <c r="E7495" s="549"/>
      <c r="F7495" s="549"/>
      <c r="G7495" s="549" t="s">
        <v>21</v>
      </c>
      <c r="H7495" s="549" t="s">
        <v>92</v>
      </c>
      <c r="I7495" s="558">
        <v>16.600000000000001</v>
      </c>
      <c r="J7495" s="567">
        <v>11.3</v>
      </c>
      <c r="K7495" s="648">
        <v>38</v>
      </c>
      <c r="L7495" s="552">
        <f t="shared" si="1550"/>
        <v>7.1280400000000022</v>
      </c>
      <c r="M7495" s="549"/>
      <c r="N7495" s="549"/>
      <c r="O7495" s="549"/>
      <c r="P7495" s="549"/>
      <c r="Q7495" s="497">
        <f>13+15</f>
        <v>28</v>
      </c>
      <c r="R7495" s="126">
        <f t="shared" si="1551"/>
        <v>5.2522400000000005</v>
      </c>
      <c r="T7495" s="497"/>
      <c r="U7495" s="497"/>
      <c r="V7495" s="497"/>
      <c r="W7495">
        <v>7</v>
      </c>
      <c r="X7495" s="126">
        <f>J7495*W7495*I7495/1000</f>
        <v>1.3130600000000001</v>
      </c>
    </row>
    <row r="7496" spans="1:24" ht="17.399999999999999">
      <c r="A7496" s="549"/>
      <c r="B7496" s="549"/>
      <c r="C7496" s="549"/>
      <c r="D7496" s="549"/>
      <c r="E7496" s="549"/>
      <c r="F7496" s="549"/>
      <c r="G7496" s="549" t="s">
        <v>21</v>
      </c>
      <c r="H7496" s="549" t="s">
        <v>92</v>
      </c>
      <c r="I7496" s="558">
        <v>16.600000000000001</v>
      </c>
      <c r="J7496" s="567">
        <v>12</v>
      </c>
      <c r="K7496" s="648">
        <v>47</v>
      </c>
      <c r="L7496" s="552">
        <f t="shared" si="1550"/>
        <v>9.3624000000000009</v>
      </c>
      <c r="M7496" s="549"/>
      <c r="N7496" s="549"/>
      <c r="O7496" s="549"/>
      <c r="P7496" s="549"/>
      <c r="Q7496" s="497">
        <f>16+16+15+16+16-32</f>
        <v>47</v>
      </c>
      <c r="R7496" s="126">
        <f t="shared" si="1551"/>
        <v>9.3624000000000009</v>
      </c>
      <c r="T7496" s="497"/>
      <c r="U7496" s="497"/>
      <c r="V7496" s="497"/>
    </row>
    <row r="7497" spans="1:24" ht="17.399999999999999">
      <c r="A7497" s="549"/>
      <c r="B7497" s="549"/>
      <c r="C7497" s="549"/>
      <c r="D7497" s="549"/>
      <c r="E7497" s="549"/>
      <c r="F7497" s="549"/>
      <c r="G7497" s="549"/>
      <c r="H7497" s="549"/>
      <c r="I7497" s="558"/>
      <c r="J7497" s="567"/>
      <c r="K7497" s="648">
        <f>SUM(K7488:K7496)</f>
        <v>218</v>
      </c>
      <c r="L7497" s="567">
        <f>SUM(L7488:L7496)</f>
        <v>38.73942000000001</v>
      </c>
      <c r="M7497" s="648">
        <f>SUM(M7488:M7496)</f>
        <v>0</v>
      </c>
      <c r="N7497" s="567">
        <f>SUM(N7488:N7496)</f>
        <v>0</v>
      </c>
      <c r="O7497" s="549"/>
      <c r="P7497" s="549" t="s">
        <v>753</v>
      </c>
      <c r="Q7497" s="648">
        <f>SUM(Q7488:Q7496)</f>
        <v>163</v>
      </c>
      <c r="R7497" s="567">
        <f>SUM(R7488:R7496)</f>
        <v>29.435120000000001</v>
      </c>
      <c r="S7497" s="648">
        <f>SUM(S7488:S7496)</f>
        <v>0</v>
      </c>
      <c r="T7497" s="497"/>
      <c r="U7497" s="497"/>
      <c r="V7497" s="497"/>
      <c r="W7497" s="648">
        <f>SUM(W7488:W7496)</f>
        <v>39</v>
      </c>
      <c r="X7497" s="567">
        <f>SUM(X7488:X7496)</f>
        <v>6.6117800000000004</v>
      </c>
    </row>
    <row r="7498" spans="1:24" ht="17.399999999999999">
      <c r="A7498" s="549"/>
      <c r="B7498" s="549"/>
      <c r="C7498" s="549"/>
      <c r="D7498" s="549"/>
      <c r="E7498" s="549"/>
      <c r="F7498" s="549"/>
      <c r="G7498" s="549"/>
      <c r="H7498" s="549"/>
      <c r="I7498" s="560"/>
      <c r="J7498" s="549"/>
      <c r="K7498" s="561"/>
      <c r="L7498" s="560"/>
      <c r="M7498" s="549"/>
      <c r="N7498" s="549"/>
      <c r="O7498" s="549"/>
      <c r="P7498" s="549"/>
      <c r="T7498" s="497"/>
      <c r="U7498" s="497"/>
      <c r="V7498" s="497"/>
    </row>
    <row r="7499" spans="1:24" ht="17.399999999999999">
      <c r="A7499" s="547" t="s">
        <v>445</v>
      </c>
      <c r="B7499" s="1170" t="s">
        <v>611</v>
      </c>
      <c r="C7499" s="547" t="s">
        <v>19</v>
      </c>
      <c r="D7499" s="547" t="s">
        <v>20</v>
      </c>
      <c r="E7499" s="560" t="s">
        <v>47</v>
      </c>
      <c r="F7499" s="1134">
        <v>13</v>
      </c>
      <c r="G7499" s="549" t="s">
        <v>21</v>
      </c>
      <c r="H7499" s="599" t="s">
        <v>92</v>
      </c>
      <c r="I7499" s="558">
        <v>16.600000000000001</v>
      </c>
      <c r="J7499" s="567">
        <v>7.25</v>
      </c>
      <c r="K7499" s="648">
        <v>8</v>
      </c>
      <c r="L7499" s="552">
        <f t="shared" ref="L7499:L7501" si="1553">(I7499*J7499*K7499/1000)</f>
        <v>0.9628000000000001</v>
      </c>
      <c r="M7499" s="549"/>
      <c r="N7499" s="549"/>
      <c r="O7499" s="549"/>
      <c r="P7499" s="549"/>
      <c r="Q7499" s="497">
        <v>7</v>
      </c>
      <c r="R7499" s="126">
        <f t="shared" ref="R7499:R7501" si="1554">J7499*Q7499*I7499/1000</f>
        <v>0.84245000000000003</v>
      </c>
      <c r="T7499" s="497" t="s">
        <v>799</v>
      </c>
      <c r="U7499" s="497"/>
      <c r="V7499" s="497"/>
    </row>
    <row r="7500" spans="1:24" ht="17.399999999999999">
      <c r="A7500" s="547"/>
      <c r="B7500" s="1159" t="s">
        <v>585</v>
      </c>
      <c r="C7500" s="547"/>
      <c r="D7500" s="547"/>
      <c r="E7500" s="547"/>
      <c r="F7500" s="1134"/>
      <c r="G7500" s="549" t="s">
        <v>21</v>
      </c>
      <c r="H7500" s="549" t="s">
        <v>92</v>
      </c>
      <c r="I7500" s="558">
        <v>16.600000000000001</v>
      </c>
      <c r="J7500" s="567">
        <v>7.3</v>
      </c>
      <c r="K7500" s="648">
        <v>72</v>
      </c>
      <c r="L7500" s="552">
        <f t="shared" si="1553"/>
        <v>8.7249600000000012</v>
      </c>
      <c r="M7500" s="549"/>
      <c r="N7500" s="549"/>
      <c r="O7500" s="549"/>
      <c r="P7500" s="549"/>
      <c r="Q7500" s="497">
        <f>7+20+18+18+16-7</f>
        <v>72</v>
      </c>
      <c r="R7500" s="126">
        <f t="shared" si="1554"/>
        <v>8.7249600000000012</v>
      </c>
      <c r="S7500">
        <v>18</v>
      </c>
      <c r="T7500" s="126">
        <f>J7500*S7500*I7500/1000</f>
        <v>2.1812400000000003</v>
      </c>
      <c r="U7500" s="497"/>
      <c r="V7500" s="497"/>
    </row>
    <row r="7501" spans="1:24" ht="17.399999999999999">
      <c r="A7501" s="549"/>
      <c r="B7501" s="549"/>
      <c r="C7501" s="549"/>
      <c r="D7501" s="549"/>
      <c r="E7501" s="549"/>
      <c r="F7501" s="549"/>
      <c r="G7501" s="549" t="s">
        <v>21</v>
      </c>
      <c r="H7501" s="549" t="s">
        <v>92</v>
      </c>
      <c r="I7501" s="558">
        <v>16.600000000000001</v>
      </c>
      <c r="J7501" s="567">
        <v>9.6</v>
      </c>
      <c r="K7501" s="648">
        <v>342</v>
      </c>
      <c r="L7501" s="552">
        <f t="shared" si="1553"/>
        <v>54.50112</v>
      </c>
      <c r="M7501" s="549"/>
      <c r="N7501" s="549"/>
      <c r="O7501" s="549"/>
      <c r="P7501" s="549"/>
      <c r="Q7501" s="497">
        <f>19+19+19+19+16+20+18+18+18+18+18+18+18+18+18+18+16</f>
        <v>308</v>
      </c>
      <c r="R7501" s="126">
        <f t="shared" si="1554"/>
        <v>49.082879999999996</v>
      </c>
      <c r="S7501">
        <f>18+18+18+18</f>
        <v>72</v>
      </c>
      <c r="T7501" s="126">
        <f>J7501*S7501*I7501/1000</f>
        <v>11.47392</v>
      </c>
      <c r="U7501" s="497"/>
      <c r="V7501" s="497"/>
    </row>
    <row r="7502" spans="1:24" ht="17.399999999999999">
      <c r="A7502" s="549"/>
      <c r="B7502" s="549"/>
      <c r="C7502" s="549"/>
      <c r="D7502" s="549"/>
      <c r="E7502" s="549"/>
      <c r="F7502" s="549"/>
      <c r="G7502" s="549"/>
      <c r="H7502" s="549"/>
      <c r="I7502" s="558"/>
      <c r="J7502" s="567"/>
      <c r="K7502" s="648">
        <f>SUM(K7499:K7501)</f>
        <v>422</v>
      </c>
      <c r="L7502" s="567">
        <f>SUM(L7499:L7501)</f>
        <v>64.188879999999997</v>
      </c>
      <c r="M7502" s="549"/>
      <c r="N7502" s="549"/>
      <c r="O7502" s="549"/>
      <c r="P7502" s="549" t="s">
        <v>753</v>
      </c>
      <c r="Q7502" s="648">
        <f>SUM(Q7499:Q7501)</f>
        <v>387</v>
      </c>
      <c r="R7502" s="567">
        <f>SUM(R7499:R7501)</f>
        <v>58.650289999999998</v>
      </c>
      <c r="S7502" s="648">
        <f>SUM(S7499:S7501)</f>
        <v>90</v>
      </c>
      <c r="T7502" s="567">
        <f>SUM(T7499:T7501)</f>
        <v>13.65516</v>
      </c>
      <c r="U7502" s="497"/>
      <c r="V7502" s="497"/>
    </row>
    <row r="7503" spans="1:24" s="497" customFormat="1" ht="18">
      <c r="A7503" s="549"/>
      <c r="B7503" s="549"/>
      <c r="C7503" s="549"/>
      <c r="D7503" s="549"/>
      <c r="E7503" s="549"/>
      <c r="F7503" s="549"/>
      <c r="G7503" s="549"/>
      <c r="H7503" s="549"/>
      <c r="I7503" s="558"/>
      <c r="J7503" s="567"/>
      <c r="K7503" s="648"/>
      <c r="L7503" s="567"/>
      <c r="M7503" s="549"/>
      <c r="N7503" s="549"/>
      <c r="O7503" s="549"/>
      <c r="P7503" s="1171" t="s">
        <v>798</v>
      </c>
    </row>
    <row r="7504" spans="1:24" ht="17.399999999999999">
      <c r="A7504" s="547" t="s">
        <v>523</v>
      </c>
      <c r="B7504" s="852" t="s">
        <v>738</v>
      </c>
      <c r="C7504" s="547" t="s">
        <v>19</v>
      </c>
      <c r="D7504" s="547" t="s">
        <v>20</v>
      </c>
      <c r="E7504" s="547" t="s">
        <v>359</v>
      </c>
      <c r="F7504" s="1134">
        <v>13</v>
      </c>
      <c r="G7504" s="549" t="s">
        <v>21</v>
      </c>
      <c r="H7504" s="599" t="s">
        <v>92</v>
      </c>
      <c r="I7504" s="558">
        <v>16.579999999999998</v>
      </c>
      <c r="J7504" s="567">
        <v>12</v>
      </c>
      <c r="K7504" s="648">
        <v>20</v>
      </c>
      <c r="L7504" s="552">
        <f>(I7504*J7504*K7504/1000)</f>
        <v>3.9791999999999996</v>
      </c>
      <c r="M7504" s="549"/>
      <c r="N7504" s="549"/>
      <c r="O7504" s="549"/>
      <c r="P7504" s="549"/>
      <c r="Q7504" s="497">
        <v>6</v>
      </c>
      <c r="R7504" s="126">
        <f t="shared" ref="R7504" si="1555">J7504*Q7504*I7504/1000</f>
        <v>1.1937599999999997</v>
      </c>
      <c r="T7504" s="497"/>
      <c r="U7504" s="497"/>
      <c r="V7504" s="497"/>
    </row>
    <row r="7505" spans="1:22" ht="17.399999999999999">
      <c r="A7505" s="549"/>
      <c r="B7505" s="549" t="s">
        <v>277</v>
      </c>
      <c r="C7505" s="549"/>
      <c r="D7505" s="549"/>
      <c r="E7505" s="549"/>
      <c r="F7505" s="549"/>
      <c r="G7505" s="549"/>
      <c r="H7505" s="549"/>
      <c r="I7505" s="558"/>
      <c r="J7505" s="567"/>
      <c r="K7505" s="648">
        <f t="shared" ref="K7505:L7505" si="1556">SUM(K7504)</f>
        <v>20</v>
      </c>
      <c r="L7505" s="567">
        <f t="shared" si="1556"/>
        <v>3.9791999999999996</v>
      </c>
      <c r="M7505" s="549"/>
      <c r="N7505" s="549"/>
      <c r="O7505" s="549"/>
      <c r="P7505" s="549" t="s">
        <v>754</v>
      </c>
      <c r="Q7505" s="648">
        <f t="shared" ref="Q7505:R7505" si="1557">SUM(Q7504)</f>
        <v>6</v>
      </c>
      <c r="R7505" s="567">
        <f t="shared" si="1557"/>
        <v>1.1937599999999997</v>
      </c>
      <c r="T7505" s="497" t="s">
        <v>799</v>
      </c>
      <c r="U7505" s="497"/>
      <c r="V7505" s="497"/>
    </row>
    <row r="7506" spans="1:22" s="497" customFormat="1" ht="17.399999999999999">
      <c r="A7506" s="549"/>
      <c r="B7506" s="549"/>
      <c r="C7506" s="549"/>
      <c r="D7506" s="549"/>
      <c r="E7506" s="549"/>
      <c r="F7506" s="549"/>
      <c r="G7506" s="549"/>
      <c r="H7506" s="549"/>
      <c r="I7506" s="558"/>
      <c r="J7506" s="567"/>
      <c r="K7506" s="648"/>
      <c r="L7506" s="567"/>
      <c r="M7506" s="549"/>
      <c r="N7506" s="549"/>
      <c r="O7506" s="549"/>
      <c r="P7506" s="549"/>
    </row>
    <row r="7507" spans="1:22" ht="17.399999999999999">
      <c r="A7507" s="547" t="s">
        <v>445</v>
      </c>
      <c r="B7507" s="547" t="s">
        <v>687</v>
      </c>
      <c r="C7507" s="547" t="s">
        <v>19</v>
      </c>
      <c r="D7507" s="547" t="s">
        <v>20</v>
      </c>
      <c r="E7507" s="1025" t="s">
        <v>420</v>
      </c>
      <c r="F7507" s="1134">
        <v>13</v>
      </c>
      <c r="G7507" s="549" t="s">
        <v>21</v>
      </c>
      <c r="H7507" s="599" t="s">
        <v>92</v>
      </c>
      <c r="I7507" s="558">
        <v>16.600000000000001</v>
      </c>
      <c r="J7507" s="567">
        <v>6.4</v>
      </c>
      <c r="K7507" s="648">
        <v>49</v>
      </c>
      <c r="L7507" s="552">
        <f t="shared" ref="L7507:L7511" si="1558">(I7507*J7507*K7507/1000)</f>
        <v>5.2057600000000006</v>
      </c>
      <c r="M7507" s="549"/>
      <c r="N7507" s="549"/>
      <c r="O7507" s="549"/>
      <c r="P7507" s="549">
        <f>20+11</f>
        <v>31</v>
      </c>
      <c r="Q7507" s="497">
        <v>7</v>
      </c>
      <c r="R7507" s="126">
        <f>J7507*Q7507*I7507/1000</f>
        <v>0.74368000000000023</v>
      </c>
      <c r="T7507" s="497" t="s">
        <v>799</v>
      </c>
      <c r="U7507" s="497"/>
      <c r="V7507" s="497"/>
    </row>
    <row r="7508" spans="1:22" ht="17.399999999999999">
      <c r="A7508" s="547"/>
      <c r="B7508" s="751" t="s">
        <v>52</v>
      </c>
      <c r="C7508" s="547"/>
      <c r="D7508" s="547"/>
      <c r="E7508" s="547"/>
      <c r="F7508" s="1134"/>
      <c r="G7508" s="549" t="s">
        <v>21</v>
      </c>
      <c r="H7508" s="549" t="s">
        <v>92</v>
      </c>
      <c r="I7508" s="558">
        <v>16.600000000000001</v>
      </c>
      <c r="J7508" s="567">
        <v>10.199999999999999</v>
      </c>
      <c r="K7508" s="648">
        <v>30</v>
      </c>
      <c r="L7508" s="552">
        <f t="shared" si="1558"/>
        <v>5.0795999999999992</v>
      </c>
      <c r="M7508" s="549"/>
      <c r="N7508" s="549"/>
      <c r="O7508" s="549"/>
      <c r="P7508" s="549">
        <v>1</v>
      </c>
      <c r="Q7508" s="497">
        <f>20+1</f>
        <v>21</v>
      </c>
      <c r="R7508" s="126">
        <f t="shared" ref="R7508:R7511" si="1559">J7508*Q7508*I7508/1000</f>
        <v>3.5557200000000004</v>
      </c>
      <c r="T7508" s="497"/>
      <c r="U7508" s="497"/>
      <c r="V7508" s="497"/>
    </row>
    <row r="7509" spans="1:22" ht="17.399999999999999">
      <c r="A7509" s="549"/>
      <c r="B7509" s="549"/>
      <c r="C7509" s="549"/>
      <c r="D7509" s="549"/>
      <c r="E7509" s="549"/>
      <c r="F7509" s="549"/>
      <c r="G7509" s="549" t="s">
        <v>21</v>
      </c>
      <c r="H7509" s="549" t="s">
        <v>92</v>
      </c>
      <c r="I7509" s="558">
        <v>16.600000000000001</v>
      </c>
      <c r="J7509" s="567">
        <v>10.7</v>
      </c>
      <c r="K7509" s="648">
        <v>23</v>
      </c>
      <c r="L7509" s="552">
        <f t="shared" si="1558"/>
        <v>4.0852599999999999</v>
      </c>
      <c r="M7509" s="549"/>
      <c r="N7509" s="549"/>
      <c r="O7509" s="549"/>
      <c r="P7509" s="549">
        <v>6</v>
      </c>
      <c r="Q7509" s="497">
        <v>17</v>
      </c>
      <c r="R7509" s="126">
        <f t="shared" si="1559"/>
        <v>3.0195400000000001</v>
      </c>
      <c r="T7509" s="497"/>
      <c r="U7509" s="497"/>
      <c r="V7509" s="497"/>
    </row>
    <row r="7510" spans="1:22" ht="17.399999999999999">
      <c r="A7510" s="549"/>
      <c r="B7510" s="549"/>
      <c r="C7510" s="549"/>
      <c r="D7510" s="549"/>
      <c r="E7510" s="549"/>
      <c r="F7510" s="549"/>
      <c r="G7510" s="549" t="s">
        <v>21</v>
      </c>
      <c r="H7510" s="549" t="s">
        <v>92</v>
      </c>
      <c r="I7510" s="558">
        <v>16.600000000000001</v>
      </c>
      <c r="J7510" s="567">
        <v>11.7</v>
      </c>
      <c r="K7510" s="648">
        <v>22</v>
      </c>
      <c r="L7510" s="552">
        <f t="shared" si="1558"/>
        <v>4.2728400000000004</v>
      </c>
      <c r="M7510" s="549"/>
      <c r="N7510" s="549"/>
      <c r="O7510" s="549"/>
      <c r="P7510" s="549">
        <v>11</v>
      </c>
      <c r="Q7510" s="497">
        <v>11</v>
      </c>
      <c r="R7510" s="126">
        <f t="shared" si="1559"/>
        <v>2.1364200000000002</v>
      </c>
      <c r="T7510" s="497"/>
      <c r="U7510" s="497"/>
      <c r="V7510" s="497"/>
    </row>
    <row r="7511" spans="1:22" ht="17.399999999999999">
      <c r="A7511" s="549"/>
      <c r="B7511" s="549"/>
      <c r="C7511" s="549"/>
      <c r="D7511" s="549"/>
      <c r="E7511" s="549"/>
      <c r="F7511" s="549"/>
      <c r="G7511" s="549" t="s">
        <v>21</v>
      </c>
      <c r="H7511" s="549" t="s">
        <v>92</v>
      </c>
      <c r="I7511" s="558">
        <v>16.600000000000001</v>
      </c>
      <c r="J7511" s="567">
        <v>12</v>
      </c>
      <c r="K7511" s="648">
        <v>18</v>
      </c>
      <c r="L7511" s="552">
        <f t="shared" si="1558"/>
        <v>3.5856000000000003</v>
      </c>
      <c r="M7511" s="549"/>
      <c r="N7511" s="549"/>
      <c r="O7511" s="549"/>
      <c r="P7511" s="549">
        <v>9</v>
      </c>
      <c r="Q7511" s="497">
        <v>9</v>
      </c>
      <c r="R7511" s="126">
        <f t="shared" si="1559"/>
        <v>1.7928000000000002</v>
      </c>
      <c r="T7511" s="497"/>
      <c r="U7511" s="497"/>
      <c r="V7511" s="497"/>
    </row>
    <row r="7512" spans="1:22" ht="17.399999999999999">
      <c r="A7512" s="549"/>
      <c r="B7512" s="549"/>
      <c r="C7512" s="549"/>
      <c r="D7512" s="549"/>
      <c r="E7512" s="549"/>
      <c r="F7512" s="549"/>
      <c r="G7512" s="549"/>
      <c r="H7512" s="549"/>
      <c r="I7512" s="558"/>
      <c r="J7512" s="567"/>
      <c r="K7512" s="648">
        <f t="shared" ref="K7512:L7512" si="1560">SUM(K7507:K7511)</f>
        <v>142</v>
      </c>
      <c r="L7512" s="567">
        <f t="shared" si="1560"/>
        <v>22.22906</v>
      </c>
      <c r="M7512" s="549"/>
      <c r="N7512" s="549"/>
      <c r="O7512" s="549"/>
      <c r="P7512" s="549" t="s">
        <v>755</v>
      </c>
      <c r="Q7512" s="648">
        <f>SUM(Q7507:Q7511)</f>
        <v>65</v>
      </c>
      <c r="R7512" s="567">
        <f t="shared" ref="R7512" si="1561">SUM(R7507:R7511)</f>
        <v>11.24816</v>
      </c>
      <c r="T7512" s="497"/>
      <c r="U7512" s="497"/>
      <c r="V7512" s="497"/>
    </row>
    <row r="7513" spans="1:22" s="497" customFormat="1" ht="17.399999999999999">
      <c r="A7513" s="549"/>
      <c r="B7513" s="549"/>
      <c r="C7513" s="549"/>
      <c r="D7513" s="549"/>
      <c r="E7513" s="549"/>
      <c r="F7513" s="549"/>
      <c r="G7513" s="549"/>
      <c r="H7513" s="549"/>
      <c r="I7513" s="558"/>
      <c r="J7513" s="567"/>
      <c r="K7513" s="648"/>
      <c r="L7513" s="567"/>
      <c r="M7513" s="549"/>
      <c r="N7513" s="549"/>
      <c r="O7513" s="549"/>
      <c r="P7513" s="549"/>
    </row>
    <row r="7514" spans="1:22" ht="17.399999999999999">
      <c r="A7514" s="547" t="s">
        <v>445</v>
      </c>
      <c r="B7514" s="547" t="s">
        <v>712</v>
      </c>
      <c r="C7514" s="547" t="s">
        <v>19</v>
      </c>
      <c r="D7514" s="547" t="s">
        <v>20</v>
      </c>
      <c r="E7514" s="1025" t="s">
        <v>420</v>
      </c>
      <c r="F7514" s="1134">
        <v>13</v>
      </c>
      <c r="G7514" s="549" t="s">
        <v>21</v>
      </c>
      <c r="H7514" s="599" t="s">
        <v>92</v>
      </c>
      <c r="I7514" s="560">
        <v>16.600000000000001</v>
      </c>
      <c r="J7514" s="710">
        <v>8.3000000000000007</v>
      </c>
      <c r="K7514" s="648">
        <v>8</v>
      </c>
      <c r="L7514" s="552">
        <f>(I7514*J7514*K7514/1000)</f>
        <v>1.1022400000000003</v>
      </c>
      <c r="M7514" s="549"/>
      <c r="N7514" s="549"/>
      <c r="O7514" s="549"/>
      <c r="P7514" s="549">
        <v>8</v>
      </c>
      <c r="T7514" s="497" t="s">
        <v>799</v>
      </c>
      <c r="U7514" s="497"/>
      <c r="V7514" s="497"/>
    </row>
    <row r="7515" spans="1:22" ht="17.399999999999999">
      <c r="A7515" s="547"/>
      <c r="B7515" s="751" t="s">
        <v>52</v>
      </c>
      <c r="C7515" s="547"/>
      <c r="D7515" s="547"/>
      <c r="E7515" s="547"/>
      <c r="F7515" s="1134"/>
      <c r="G7515" s="549" t="s">
        <v>21</v>
      </c>
      <c r="H7515" s="549" t="s">
        <v>92</v>
      </c>
      <c r="I7515" s="560">
        <v>16.600000000000001</v>
      </c>
      <c r="J7515" s="710">
        <v>10.5</v>
      </c>
      <c r="K7515" s="648">
        <v>4</v>
      </c>
      <c r="L7515" s="552">
        <f>(I7515*J7515*K7515/1000)</f>
        <v>0.69720000000000004</v>
      </c>
      <c r="M7515" s="549"/>
      <c r="N7515" s="549"/>
      <c r="O7515" s="549"/>
      <c r="P7515" s="549"/>
      <c r="Q7515" s="497">
        <v>4</v>
      </c>
      <c r="R7515" s="126">
        <f>J7515*Q7515*I7515/1000</f>
        <v>0.69720000000000004</v>
      </c>
      <c r="T7515" s="497"/>
      <c r="U7515" s="497"/>
      <c r="V7515" s="497"/>
    </row>
    <row r="7516" spans="1:22" ht="17.399999999999999">
      <c r="A7516" s="549"/>
      <c r="B7516" s="549"/>
      <c r="C7516" s="549"/>
      <c r="D7516" s="549"/>
      <c r="E7516" s="549"/>
      <c r="F7516" s="549"/>
      <c r="G7516" s="549"/>
      <c r="H7516" s="549"/>
      <c r="I7516" s="560"/>
      <c r="J7516" s="710"/>
      <c r="K7516" s="648">
        <f>SUM(K7514:K7515)</f>
        <v>12</v>
      </c>
      <c r="L7516" s="765">
        <f>SUM(L7514:L7515)</f>
        <v>1.7994400000000004</v>
      </c>
      <c r="M7516" s="549"/>
      <c r="N7516" s="549"/>
      <c r="O7516" s="549"/>
      <c r="P7516" s="549" t="s">
        <v>755</v>
      </c>
      <c r="Q7516" s="648">
        <f>SUM(Q7514:Q7515)</f>
        <v>4</v>
      </c>
      <c r="R7516" s="765">
        <f>SUM(R7514:R7515)</f>
        <v>0.69720000000000004</v>
      </c>
      <c r="T7516" s="497"/>
      <c r="U7516" s="497"/>
      <c r="V7516" s="497"/>
    </row>
    <row r="7517" spans="1:22" s="497" customFormat="1" ht="17.399999999999999">
      <c r="A7517" s="549"/>
      <c r="B7517" s="549"/>
      <c r="C7517" s="549"/>
      <c r="D7517" s="549"/>
      <c r="E7517" s="549"/>
      <c r="F7517" s="549"/>
      <c r="G7517" s="549"/>
      <c r="H7517" s="549"/>
      <c r="I7517" s="560"/>
      <c r="J7517" s="710"/>
      <c r="K7517" s="766">
        <f>SUM(K7478:K7516)/2</f>
        <v>1107</v>
      </c>
      <c r="L7517" s="765">
        <f>SUM(L7478:L7516)/2</f>
        <v>175.23475999999997</v>
      </c>
      <c r="M7517" s="766">
        <f>SUM(M7478:M7516)/2</f>
        <v>12</v>
      </c>
      <c r="N7517" s="765">
        <f>SUM(N7478:N7516)/2</f>
        <v>1.4043600000000003</v>
      </c>
      <c r="O7517" s="549"/>
      <c r="P7517" s="549"/>
      <c r="Q7517" s="766">
        <f>SUM(Q7478:Q7516)/2</f>
        <v>882</v>
      </c>
      <c r="R7517" s="765">
        <f>SUM(R7478:R7516)/2</f>
        <v>140.75245000000001</v>
      </c>
    </row>
    <row r="7518" spans="1:22" s="497" customFormat="1" ht="17.399999999999999">
      <c r="A7518" s="549"/>
      <c r="B7518" s="549"/>
      <c r="C7518" s="549"/>
      <c r="D7518" s="549"/>
      <c r="E7518" s="549"/>
      <c r="F7518" s="549"/>
      <c r="G7518" s="549"/>
      <c r="H7518" s="549"/>
      <c r="I7518" s="560"/>
      <c r="J7518" s="710"/>
      <c r="K7518" s="766"/>
      <c r="L7518" s="765"/>
      <c r="M7518" s="549"/>
      <c r="N7518" s="549"/>
      <c r="O7518" s="549"/>
      <c r="P7518" s="549"/>
    </row>
    <row r="7519" spans="1:22" s="497" customFormat="1" ht="17.399999999999999">
      <c r="A7519" s="549"/>
      <c r="B7519" s="549"/>
      <c r="C7519" s="549"/>
      <c r="D7519" s="549"/>
      <c r="E7519" s="549"/>
      <c r="F7519" s="549"/>
      <c r="G7519" s="549"/>
      <c r="H7519" s="549"/>
      <c r="I7519" s="560"/>
      <c r="J7519" s="710"/>
      <c r="K7519" s="648"/>
      <c r="L7519" s="765"/>
      <c r="M7519" s="549"/>
      <c r="N7519" s="549"/>
      <c r="O7519" s="549"/>
      <c r="P7519" s="549"/>
    </row>
    <row r="7520" spans="1:22" ht="17.399999999999999">
      <c r="A7520" s="547" t="s">
        <v>445</v>
      </c>
      <c r="B7520" s="547" t="s">
        <v>583</v>
      </c>
      <c r="C7520" s="547" t="s">
        <v>19</v>
      </c>
      <c r="D7520" s="547" t="s">
        <v>20</v>
      </c>
      <c r="E7520" s="560" t="s">
        <v>47</v>
      </c>
      <c r="F7520" s="1134">
        <v>12</v>
      </c>
      <c r="G7520" s="549" t="s">
        <v>21</v>
      </c>
      <c r="H7520" s="599" t="s">
        <v>99</v>
      </c>
      <c r="I7520" s="558">
        <v>15</v>
      </c>
      <c r="J7520" s="567">
        <v>10</v>
      </c>
      <c r="K7520" s="648">
        <v>1</v>
      </c>
      <c r="L7520" s="552">
        <f>(I7520*J7520*K7520/1000)</f>
        <v>0.15</v>
      </c>
      <c r="M7520" s="549">
        <v>1</v>
      </c>
      <c r="N7520" s="567">
        <f>J7520*M7520*I7520/1000</f>
        <v>0.15</v>
      </c>
      <c r="O7520" s="549"/>
      <c r="P7520" s="549"/>
      <c r="Q7520" s="497" t="s">
        <v>829</v>
      </c>
    </row>
    <row r="7521" spans="1:24" ht="17.399999999999999">
      <c r="A7521" s="547"/>
      <c r="B7521" s="1165" t="s">
        <v>238</v>
      </c>
      <c r="C7521" s="547"/>
      <c r="D7521" s="547"/>
      <c r="E7521" s="547"/>
      <c r="F7521" s="1134"/>
      <c r="G7521" s="549"/>
      <c r="H7521" s="549"/>
      <c r="I7521" s="558"/>
      <c r="J7521" s="567"/>
      <c r="K7521" s="648">
        <f t="shared" ref="K7521:M7521" si="1562">SUM(K7520)</f>
        <v>1</v>
      </c>
      <c r="L7521" s="567">
        <f>SUM(L7520)</f>
        <v>0.15</v>
      </c>
      <c r="M7521" s="648">
        <f t="shared" si="1562"/>
        <v>1</v>
      </c>
      <c r="N7521" s="567">
        <f>SUM(N7520)</f>
        <v>0.15</v>
      </c>
      <c r="O7521" s="549"/>
      <c r="P7521" s="549"/>
    </row>
    <row r="7522" spans="1:24" ht="17.399999999999999">
      <c r="A7522" s="549"/>
      <c r="B7522" s="549"/>
      <c r="C7522" s="549"/>
      <c r="D7522" s="549"/>
      <c r="E7522" s="549"/>
      <c r="F7522" s="549"/>
      <c r="G7522" s="549"/>
      <c r="H7522" s="549"/>
      <c r="I7522" s="560"/>
      <c r="J7522" s="549"/>
      <c r="K7522" s="561"/>
      <c r="L7522" s="560"/>
      <c r="M7522" s="549"/>
      <c r="N7522" s="549"/>
      <c r="O7522" s="549"/>
      <c r="P7522" s="549"/>
    </row>
    <row r="7523" spans="1:24" ht="17.399999999999999">
      <c r="A7523" s="549"/>
      <c r="B7523" s="549"/>
      <c r="C7523" s="549"/>
      <c r="D7523" s="549"/>
      <c r="E7523" s="549"/>
      <c r="F7523" s="549"/>
      <c r="G7523" s="549"/>
      <c r="H7523" s="549"/>
      <c r="I7523" s="560"/>
      <c r="J7523" s="549"/>
      <c r="K7523" s="561"/>
      <c r="L7523" s="560"/>
      <c r="M7523" s="549"/>
      <c r="N7523" s="549"/>
      <c r="O7523" s="549"/>
      <c r="P7523" s="549"/>
    </row>
    <row r="7524" spans="1:24" ht="17.399999999999999">
      <c r="A7524" s="547" t="s">
        <v>445</v>
      </c>
      <c r="B7524" s="547" t="s">
        <v>485</v>
      </c>
      <c r="C7524" s="547" t="s">
        <v>19</v>
      </c>
      <c r="D7524" s="547" t="s">
        <v>20</v>
      </c>
      <c r="E7524" s="560" t="s">
        <v>57</v>
      </c>
      <c r="F7524" s="1134">
        <v>12</v>
      </c>
      <c r="G7524" s="549" t="s">
        <v>21</v>
      </c>
      <c r="H7524" s="599" t="s">
        <v>95</v>
      </c>
      <c r="I7524" s="558">
        <v>13.4</v>
      </c>
      <c r="J7524" s="567">
        <v>6.9</v>
      </c>
      <c r="K7524" s="648">
        <v>46</v>
      </c>
      <c r="L7524" s="552">
        <f t="shared" ref="L7524:L7531" si="1563">(I7524*J7524*K7524/1000)</f>
        <v>4.2531600000000012</v>
      </c>
      <c r="M7524" s="549">
        <v>3</v>
      </c>
      <c r="N7524" s="567">
        <f t="shared" ref="N7524:N7531" si="1564">J7524*M7524*I7524/1000</f>
        <v>0.27738000000000007</v>
      </c>
      <c r="O7524" s="549"/>
      <c r="P7524" s="549"/>
      <c r="Q7524" s="497">
        <v>24</v>
      </c>
      <c r="R7524" s="126">
        <f t="shared" ref="R7524:R7531" si="1565">J7524*Q7524*I7524/1000</f>
        <v>2.2190400000000006</v>
      </c>
      <c r="S7524">
        <f>1+3</f>
        <v>4</v>
      </c>
      <c r="T7524" s="126">
        <f>J7524*S7524*I7524/1000</f>
        <v>0.36984000000000006</v>
      </c>
      <c r="W7524" s="497" t="s">
        <v>829</v>
      </c>
      <c r="X7524" s="497"/>
    </row>
    <row r="7525" spans="1:24" ht="17.399999999999999">
      <c r="A7525" s="547"/>
      <c r="B7525" s="560" t="s">
        <v>423</v>
      </c>
      <c r="C7525" s="547"/>
      <c r="D7525" s="547"/>
      <c r="E7525" s="547"/>
      <c r="F7525" s="1134"/>
      <c r="G7525" s="549" t="s">
        <v>21</v>
      </c>
      <c r="H7525" s="549" t="s">
        <v>95</v>
      </c>
      <c r="I7525" s="558">
        <v>13.4</v>
      </c>
      <c r="J7525" s="567">
        <v>7.6</v>
      </c>
      <c r="K7525" s="648">
        <v>80</v>
      </c>
      <c r="L7525" s="552">
        <f t="shared" si="1563"/>
        <v>8.1472000000000016</v>
      </c>
      <c r="M7525" s="549">
        <v>4</v>
      </c>
      <c r="N7525" s="567">
        <f t="shared" si="1564"/>
        <v>0.40736</v>
      </c>
      <c r="O7525" s="549"/>
      <c r="P7525" s="549"/>
      <c r="Q7525" s="497">
        <f>6+25</f>
        <v>31</v>
      </c>
      <c r="R7525" s="126">
        <f t="shared" si="1565"/>
        <v>3.1570399999999998</v>
      </c>
      <c r="S7525">
        <f>5+5+3+5</f>
        <v>18</v>
      </c>
      <c r="T7525" s="126">
        <f t="shared" ref="T7525:T7531" si="1566">J7525*S7525*I7525/1000</f>
        <v>1.8331199999999999</v>
      </c>
      <c r="W7525" s="497"/>
      <c r="X7525" s="497"/>
    </row>
    <row r="7526" spans="1:24" ht="17.399999999999999">
      <c r="A7526" s="549"/>
      <c r="B7526" s="549"/>
      <c r="C7526" s="549"/>
      <c r="D7526" s="549"/>
      <c r="E7526" s="549"/>
      <c r="F7526" s="549"/>
      <c r="G7526" s="549" t="s">
        <v>21</v>
      </c>
      <c r="H7526" s="549" t="s">
        <v>95</v>
      </c>
      <c r="I7526" s="558">
        <v>13.4</v>
      </c>
      <c r="J7526" s="567">
        <v>8.4</v>
      </c>
      <c r="K7526" s="648">
        <v>60</v>
      </c>
      <c r="L7526" s="552">
        <f t="shared" si="1563"/>
        <v>6.7536000000000005</v>
      </c>
      <c r="M7526" s="549">
        <v>2</v>
      </c>
      <c r="N7526" s="567">
        <f t="shared" si="1564"/>
        <v>0.22512000000000001</v>
      </c>
      <c r="O7526" s="549"/>
      <c r="P7526" s="549"/>
      <c r="Q7526" s="497">
        <f>3+18</f>
        <v>21</v>
      </c>
      <c r="R7526" s="126">
        <f t="shared" si="1565"/>
        <v>2.3637600000000001</v>
      </c>
      <c r="S7526">
        <f>1+2+3+1+8</f>
        <v>15</v>
      </c>
      <c r="T7526" s="126">
        <f t="shared" si="1566"/>
        <v>1.6884000000000001</v>
      </c>
      <c r="W7526" s="497"/>
      <c r="X7526" s="497"/>
    </row>
    <row r="7527" spans="1:24" ht="17.399999999999999">
      <c r="A7527" s="549"/>
      <c r="B7527" s="549"/>
      <c r="C7527" s="549"/>
      <c r="D7527" s="549"/>
      <c r="E7527" s="549"/>
      <c r="F7527" s="549"/>
      <c r="G7527" s="549" t="s">
        <v>21</v>
      </c>
      <c r="H7527" s="549" t="s">
        <v>95</v>
      </c>
      <c r="I7527" s="558">
        <v>13.4</v>
      </c>
      <c r="J7527" s="567">
        <v>9.1999999999999993</v>
      </c>
      <c r="K7527" s="648">
        <v>26</v>
      </c>
      <c r="L7527" s="552">
        <f t="shared" si="1563"/>
        <v>3.2052799999999997</v>
      </c>
      <c r="M7527" s="549">
        <v>4</v>
      </c>
      <c r="N7527" s="567">
        <f t="shared" si="1564"/>
        <v>0.49311999999999995</v>
      </c>
      <c r="O7527" s="549"/>
      <c r="P7527" s="549"/>
      <c r="Q7527" s="497">
        <f>6+16</f>
        <v>22</v>
      </c>
      <c r="R7527" s="126">
        <f t="shared" si="1565"/>
        <v>2.7121599999999999</v>
      </c>
      <c r="T7527" s="126">
        <f t="shared" si="1566"/>
        <v>0</v>
      </c>
      <c r="W7527" s="497"/>
      <c r="X7527" s="497"/>
    </row>
    <row r="7528" spans="1:24" ht="17.399999999999999">
      <c r="A7528" s="549"/>
      <c r="B7528" s="549"/>
      <c r="C7528" s="549"/>
      <c r="D7528" s="549"/>
      <c r="E7528" s="549"/>
      <c r="F7528" s="549"/>
      <c r="G7528" s="549" t="s">
        <v>21</v>
      </c>
      <c r="H7528" s="549" t="s">
        <v>95</v>
      </c>
      <c r="I7528" s="558">
        <v>13.4</v>
      </c>
      <c r="J7528" s="567">
        <v>10.3</v>
      </c>
      <c r="K7528" s="648">
        <v>37</v>
      </c>
      <c r="L7528" s="552">
        <f t="shared" si="1563"/>
        <v>5.1067400000000003</v>
      </c>
      <c r="M7528" s="549"/>
      <c r="N7528" s="567">
        <f t="shared" si="1564"/>
        <v>0</v>
      </c>
      <c r="O7528" s="549"/>
      <c r="P7528" s="549"/>
      <c r="Q7528" s="497">
        <f>21+2</f>
        <v>23</v>
      </c>
      <c r="R7528" s="126">
        <f t="shared" si="1565"/>
        <v>3.1744599999999998</v>
      </c>
      <c r="S7528">
        <f>8+3+3</f>
        <v>14</v>
      </c>
      <c r="T7528" s="126">
        <f t="shared" si="1566"/>
        <v>1.9322800000000002</v>
      </c>
      <c r="W7528" s="497"/>
      <c r="X7528" s="497"/>
    </row>
    <row r="7529" spans="1:24" ht="17.399999999999999">
      <c r="A7529" s="549"/>
      <c r="B7529" s="549"/>
      <c r="C7529" s="549"/>
      <c r="D7529" s="549"/>
      <c r="E7529" s="549"/>
      <c r="F7529" s="549"/>
      <c r="G7529" s="549" t="s">
        <v>21</v>
      </c>
      <c r="H7529" s="549" t="s">
        <v>95</v>
      </c>
      <c r="I7529" s="558">
        <v>13.4</v>
      </c>
      <c r="J7529" s="567">
        <v>10.8</v>
      </c>
      <c r="K7529" s="648">
        <v>44</v>
      </c>
      <c r="L7529" s="552">
        <f t="shared" si="1563"/>
        <v>6.3676800000000009</v>
      </c>
      <c r="M7529" s="549">
        <v>6</v>
      </c>
      <c r="N7529" s="567">
        <f t="shared" si="1564"/>
        <v>0.8683200000000002</v>
      </c>
      <c r="O7529" s="549"/>
      <c r="P7529" s="549"/>
      <c r="Q7529" s="497">
        <f>8+20+12-2</f>
        <v>38</v>
      </c>
      <c r="R7529" s="126">
        <f t="shared" si="1565"/>
        <v>5.4993600000000002</v>
      </c>
      <c r="T7529" s="126">
        <f t="shared" si="1566"/>
        <v>0</v>
      </c>
      <c r="W7529" s="497"/>
      <c r="X7529" s="497"/>
    </row>
    <row r="7530" spans="1:24" ht="17.399999999999999">
      <c r="A7530" s="549"/>
      <c r="B7530" s="549"/>
      <c r="C7530" s="549"/>
      <c r="D7530" s="549"/>
      <c r="E7530" s="549"/>
      <c r="F7530" s="549"/>
      <c r="G7530" s="549" t="s">
        <v>21</v>
      </c>
      <c r="H7530" s="549" t="s">
        <v>95</v>
      </c>
      <c r="I7530" s="558">
        <v>13.4</v>
      </c>
      <c r="J7530" s="567">
        <v>11.5</v>
      </c>
      <c r="K7530" s="648">
        <v>44</v>
      </c>
      <c r="L7530" s="552">
        <f t="shared" si="1563"/>
        <v>6.7803999999999993</v>
      </c>
      <c r="M7530" s="549">
        <v>1</v>
      </c>
      <c r="N7530" s="567">
        <f t="shared" si="1564"/>
        <v>0.15409999999999999</v>
      </c>
      <c r="O7530" s="549"/>
      <c r="P7530" s="549"/>
      <c r="Q7530" s="497">
        <f>13+20+6</f>
        <v>39</v>
      </c>
      <c r="R7530" s="126">
        <f t="shared" si="1565"/>
        <v>6.0099000000000009</v>
      </c>
      <c r="S7530">
        <v>2</v>
      </c>
      <c r="T7530" s="126">
        <f t="shared" si="1566"/>
        <v>0.30819999999999997</v>
      </c>
      <c r="W7530" s="497"/>
      <c r="X7530" s="497"/>
    </row>
    <row r="7531" spans="1:24" ht="17.399999999999999">
      <c r="A7531" s="549"/>
      <c r="B7531" s="549"/>
      <c r="C7531" s="549"/>
      <c r="D7531" s="549"/>
      <c r="E7531" s="549"/>
      <c r="F7531" s="549"/>
      <c r="G7531" s="549" t="s">
        <v>21</v>
      </c>
      <c r="H7531" s="549" t="s">
        <v>95</v>
      </c>
      <c r="I7531" s="558">
        <v>13.4</v>
      </c>
      <c r="J7531" s="567">
        <v>12</v>
      </c>
      <c r="K7531" s="648">
        <v>80</v>
      </c>
      <c r="L7531" s="552">
        <f t="shared" si="1563"/>
        <v>12.864000000000001</v>
      </c>
      <c r="M7531" s="549">
        <v>6</v>
      </c>
      <c r="N7531" s="567">
        <f t="shared" si="1564"/>
        <v>0.9648000000000001</v>
      </c>
      <c r="O7531" s="549"/>
      <c r="P7531" s="549"/>
      <c r="Q7531" s="497">
        <f>18+18+20+18</f>
        <v>74</v>
      </c>
      <c r="R7531" s="126">
        <f t="shared" si="1565"/>
        <v>11.8992</v>
      </c>
      <c r="T7531" s="126">
        <f t="shared" si="1566"/>
        <v>0</v>
      </c>
      <c r="W7531" s="497"/>
      <c r="X7531" s="497"/>
    </row>
    <row r="7532" spans="1:24" ht="17.399999999999999">
      <c r="A7532" s="549"/>
      <c r="B7532" s="549"/>
      <c r="C7532" s="549"/>
      <c r="D7532" s="549"/>
      <c r="E7532" s="549"/>
      <c r="F7532" s="549"/>
      <c r="G7532" s="549"/>
      <c r="H7532" s="549"/>
      <c r="I7532" s="558"/>
      <c r="J7532" s="567"/>
      <c r="K7532" s="648">
        <f>SUM(K7524:K7531)</f>
        <v>417</v>
      </c>
      <c r="L7532" s="567">
        <f t="shared" ref="L7532:N7532" si="1567">SUM(L7524:L7531)</f>
        <v>53.478059999999999</v>
      </c>
      <c r="M7532" s="648">
        <f>SUM(M7524:M7531)</f>
        <v>26</v>
      </c>
      <c r="N7532" s="567">
        <f t="shared" si="1567"/>
        <v>3.3902000000000001</v>
      </c>
      <c r="O7532" s="549"/>
      <c r="P7532" s="549" t="s">
        <v>756</v>
      </c>
      <c r="Q7532" s="648">
        <f>SUM(Q7524:Q7531)</f>
        <v>272</v>
      </c>
      <c r="R7532" s="567">
        <f t="shared" ref="R7532:T7532" si="1568">SUM(R7524:R7531)</f>
        <v>37.03492</v>
      </c>
      <c r="S7532" s="648">
        <f>SUM(S7524:S7531)</f>
        <v>53</v>
      </c>
      <c r="T7532" s="567">
        <f t="shared" si="1568"/>
        <v>6.1318400000000004</v>
      </c>
      <c r="W7532" s="497"/>
      <c r="X7532" s="497"/>
    </row>
    <row r="7533" spans="1:24" ht="17.399999999999999">
      <c r="A7533" s="549"/>
      <c r="B7533" s="549"/>
      <c r="C7533" s="549"/>
      <c r="D7533" s="549"/>
      <c r="E7533" s="549"/>
      <c r="F7533" s="549"/>
      <c r="G7533" s="549"/>
      <c r="H7533" s="549"/>
      <c r="I7533" s="560"/>
      <c r="J7533" s="549"/>
      <c r="K7533" s="561"/>
      <c r="L7533" s="560"/>
      <c r="M7533" s="549"/>
      <c r="N7533" s="567"/>
      <c r="O7533" s="549"/>
      <c r="P7533" s="549"/>
      <c r="W7533" s="497"/>
      <c r="X7533" s="497"/>
    </row>
    <row r="7534" spans="1:24" ht="17.399999999999999">
      <c r="A7534" s="547" t="s">
        <v>445</v>
      </c>
      <c r="B7534" s="547" t="s">
        <v>576</v>
      </c>
      <c r="C7534" s="547" t="s">
        <v>19</v>
      </c>
      <c r="D7534" s="547" t="s">
        <v>20</v>
      </c>
      <c r="E7534" s="560" t="s">
        <v>47</v>
      </c>
      <c r="F7534" s="1134">
        <v>12</v>
      </c>
      <c r="G7534" s="549" t="s">
        <v>21</v>
      </c>
      <c r="H7534" s="599" t="s">
        <v>95</v>
      </c>
      <c r="I7534" s="558">
        <v>13.4</v>
      </c>
      <c r="J7534" s="567">
        <v>6.6</v>
      </c>
      <c r="K7534" s="648">
        <v>2</v>
      </c>
      <c r="L7534" s="552">
        <f t="shared" ref="L7534:L7541" si="1569">(I7534*J7534*K7534/1000)</f>
        <v>0.17687999999999998</v>
      </c>
      <c r="M7534" s="549"/>
      <c r="N7534" s="567">
        <f t="shared" ref="N7534:N7541" si="1570">J7534*M7534*I7534/1000</f>
        <v>0</v>
      </c>
      <c r="O7534" s="549"/>
      <c r="P7534" s="549"/>
      <c r="S7534">
        <v>1</v>
      </c>
      <c r="T7534" s="126">
        <f t="shared" ref="T7534:T7541" si="1571">J7534*S7534*I7534/1000</f>
        <v>8.8439999999999991E-2</v>
      </c>
      <c r="W7534" s="497" t="s">
        <v>829</v>
      </c>
      <c r="X7534" s="497"/>
    </row>
    <row r="7535" spans="1:24" ht="17.399999999999999">
      <c r="A7535" s="547"/>
      <c r="B7535" s="1159" t="s">
        <v>439</v>
      </c>
      <c r="C7535" s="547"/>
      <c r="D7535" s="547"/>
      <c r="E7535" s="547"/>
      <c r="F7535" s="1134"/>
      <c r="G7535" s="549" t="s">
        <v>21</v>
      </c>
      <c r="H7535" s="549" t="s">
        <v>95</v>
      </c>
      <c r="I7535" s="558">
        <v>13.4</v>
      </c>
      <c r="J7535" s="567">
        <v>8.6</v>
      </c>
      <c r="K7535" s="648">
        <v>23</v>
      </c>
      <c r="L7535" s="552">
        <f t="shared" si="1569"/>
        <v>2.6505199999999998</v>
      </c>
      <c r="M7535" s="549"/>
      <c r="N7535" s="567">
        <f t="shared" si="1570"/>
        <v>0</v>
      </c>
      <c r="O7535" s="549"/>
      <c r="P7535" s="549"/>
      <c r="S7535">
        <f>13+7+1</f>
        <v>21</v>
      </c>
      <c r="T7535" s="126">
        <f t="shared" si="1571"/>
        <v>2.4200399999999997</v>
      </c>
      <c r="W7535" s="497"/>
      <c r="X7535" s="497"/>
    </row>
    <row r="7536" spans="1:24" ht="17.399999999999999">
      <c r="A7536" s="549"/>
      <c r="B7536" s="549"/>
      <c r="C7536" s="549"/>
      <c r="D7536" s="549"/>
      <c r="E7536" s="549"/>
      <c r="F7536" s="549"/>
      <c r="G7536" s="549" t="s">
        <v>21</v>
      </c>
      <c r="H7536" s="549" t="s">
        <v>95</v>
      </c>
      <c r="I7536" s="558">
        <v>13.4</v>
      </c>
      <c r="J7536" s="567">
        <v>9.6</v>
      </c>
      <c r="K7536" s="648">
        <v>9</v>
      </c>
      <c r="L7536" s="552">
        <f t="shared" si="1569"/>
        <v>1.1577599999999997</v>
      </c>
      <c r="M7536" s="549"/>
      <c r="N7536" s="567">
        <f t="shared" si="1570"/>
        <v>0</v>
      </c>
      <c r="O7536" s="549"/>
      <c r="P7536" s="549"/>
      <c r="S7536">
        <f>3+6</f>
        <v>9</v>
      </c>
      <c r="T7536" s="126">
        <f t="shared" si="1571"/>
        <v>1.1577599999999999</v>
      </c>
      <c r="W7536" s="497"/>
      <c r="X7536" s="497"/>
    </row>
    <row r="7537" spans="1:24" ht="17.399999999999999">
      <c r="A7537" s="549"/>
      <c r="B7537" s="549"/>
      <c r="C7537" s="549"/>
      <c r="D7537" s="549"/>
      <c r="E7537" s="549"/>
      <c r="F7537" s="549"/>
      <c r="G7537" s="549" t="s">
        <v>21</v>
      </c>
      <c r="H7537" s="549" t="s">
        <v>95</v>
      </c>
      <c r="I7537" s="558">
        <v>13.4</v>
      </c>
      <c r="J7537" s="567">
        <v>9.8000000000000007</v>
      </c>
      <c r="K7537" s="648">
        <v>56</v>
      </c>
      <c r="L7537" s="552">
        <f t="shared" si="1569"/>
        <v>7.3539200000000013</v>
      </c>
      <c r="M7537" s="549"/>
      <c r="N7537" s="567">
        <f t="shared" si="1570"/>
        <v>0</v>
      </c>
      <c r="O7537" s="549"/>
      <c r="P7537" s="549"/>
      <c r="Q7537" s="497">
        <v>16</v>
      </c>
      <c r="R7537" s="126">
        <f t="shared" ref="R7537:R7538" si="1572">J7537*Q7537*I7537/1000</f>
        <v>2.1011200000000003</v>
      </c>
      <c r="S7537">
        <f>9+13+1+1</f>
        <v>24</v>
      </c>
      <c r="T7537" s="126">
        <f t="shared" si="1571"/>
        <v>3.1516800000000003</v>
      </c>
      <c r="W7537" s="497"/>
      <c r="X7537" s="497"/>
    </row>
    <row r="7538" spans="1:24" ht="17.399999999999999">
      <c r="A7538" s="549"/>
      <c r="B7538" s="549"/>
      <c r="C7538" s="549"/>
      <c r="D7538" s="549"/>
      <c r="E7538" s="549"/>
      <c r="F7538" s="549"/>
      <c r="G7538" s="549" t="s">
        <v>21</v>
      </c>
      <c r="H7538" s="549" t="s">
        <v>95</v>
      </c>
      <c r="I7538" s="558">
        <v>13.4</v>
      </c>
      <c r="J7538" s="567">
        <v>10</v>
      </c>
      <c r="K7538" s="648">
        <v>56</v>
      </c>
      <c r="L7538" s="552">
        <f t="shared" si="1569"/>
        <v>7.5039999999999996</v>
      </c>
      <c r="M7538" s="549"/>
      <c r="N7538" s="567">
        <f t="shared" si="1570"/>
        <v>0</v>
      </c>
      <c r="O7538" s="549"/>
      <c r="P7538" s="549"/>
      <c r="Q7538" s="497">
        <f>16+3+20</f>
        <v>39</v>
      </c>
      <c r="R7538" s="126">
        <f t="shared" si="1572"/>
        <v>5.226</v>
      </c>
      <c r="S7538">
        <f>12+5</f>
        <v>17</v>
      </c>
      <c r="T7538" s="126">
        <f t="shared" si="1571"/>
        <v>2.278</v>
      </c>
      <c r="W7538" s="497"/>
      <c r="X7538" s="497"/>
    </row>
    <row r="7539" spans="1:24" ht="17.399999999999999">
      <c r="A7539" s="549"/>
      <c r="B7539" s="549"/>
      <c r="C7539" s="549"/>
      <c r="D7539" s="549"/>
      <c r="E7539" s="549"/>
      <c r="F7539" s="549"/>
      <c r="G7539" s="549" t="s">
        <v>21</v>
      </c>
      <c r="H7539" s="549" t="s">
        <v>95</v>
      </c>
      <c r="I7539" s="558">
        <v>13.4</v>
      </c>
      <c r="J7539" s="567">
        <v>10.5</v>
      </c>
      <c r="K7539" s="648">
        <v>21</v>
      </c>
      <c r="L7539" s="552">
        <f t="shared" si="1569"/>
        <v>2.9547000000000003</v>
      </c>
      <c r="M7539" s="549"/>
      <c r="N7539" s="567">
        <f t="shared" si="1570"/>
        <v>0</v>
      </c>
      <c r="O7539" s="549"/>
      <c r="P7539" s="549"/>
      <c r="Q7539" s="497">
        <f>9+12</f>
        <v>21</v>
      </c>
      <c r="R7539" s="126">
        <f>J7539*Q7539*I7539/1000</f>
        <v>2.9547000000000003</v>
      </c>
      <c r="T7539" s="126">
        <f t="shared" si="1571"/>
        <v>0</v>
      </c>
      <c r="W7539" s="497"/>
      <c r="X7539" s="497"/>
    </row>
    <row r="7540" spans="1:24" ht="17.399999999999999">
      <c r="A7540" s="549"/>
      <c r="B7540" s="549"/>
      <c r="C7540" s="549"/>
      <c r="D7540" s="549"/>
      <c r="E7540" s="549"/>
      <c r="F7540" s="549"/>
      <c r="G7540" s="549" t="s">
        <v>21</v>
      </c>
      <c r="H7540" s="549" t="s">
        <v>95</v>
      </c>
      <c r="I7540" s="558">
        <v>13.4</v>
      </c>
      <c r="J7540" s="567">
        <v>11.2</v>
      </c>
      <c r="K7540" s="648">
        <v>8</v>
      </c>
      <c r="L7540" s="552">
        <f t="shared" si="1569"/>
        <v>1.2006399999999999</v>
      </c>
      <c r="M7540" s="549"/>
      <c r="N7540" s="567">
        <f t="shared" si="1570"/>
        <v>0</v>
      </c>
      <c r="O7540" s="549"/>
      <c r="P7540" s="549"/>
      <c r="S7540">
        <f>4+2</f>
        <v>6</v>
      </c>
      <c r="T7540" s="126">
        <f t="shared" si="1571"/>
        <v>0.90047999999999995</v>
      </c>
      <c r="W7540" s="497"/>
      <c r="X7540" s="497"/>
    </row>
    <row r="7541" spans="1:24" ht="17.399999999999999">
      <c r="A7541" s="549"/>
      <c r="B7541" s="549"/>
      <c r="C7541" s="549"/>
      <c r="D7541" s="549"/>
      <c r="E7541" s="549"/>
      <c r="F7541" s="549"/>
      <c r="G7541" s="549" t="s">
        <v>21</v>
      </c>
      <c r="H7541" s="549" t="s">
        <v>95</v>
      </c>
      <c r="I7541" s="558">
        <v>13.4</v>
      </c>
      <c r="J7541" s="567">
        <v>12</v>
      </c>
      <c r="K7541" s="648">
        <v>46</v>
      </c>
      <c r="L7541" s="552">
        <f t="shared" si="1569"/>
        <v>7.3967999999999998</v>
      </c>
      <c r="M7541" s="549"/>
      <c r="N7541" s="567">
        <f t="shared" si="1570"/>
        <v>0</v>
      </c>
      <c r="O7541" s="549"/>
      <c r="P7541" s="549"/>
      <c r="Q7541" s="497">
        <f>20+20+18+12-24</f>
        <v>46</v>
      </c>
      <c r="R7541" s="126">
        <f>J7541*Q7541*I7541/1000</f>
        <v>7.3967999999999998</v>
      </c>
      <c r="T7541" s="126">
        <f t="shared" si="1571"/>
        <v>0</v>
      </c>
      <c r="W7541" s="497"/>
      <c r="X7541" s="497"/>
    </row>
    <row r="7542" spans="1:24" ht="17.399999999999999">
      <c r="A7542" s="549"/>
      <c r="B7542" s="549"/>
      <c r="C7542" s="549"/>
      <c r="D7542" s="549"/>
      <c r="E7542" s="549"/>
      <c r="F7542" s="549"/>
      <c r="G7542" s="549"/>
      <c r="H7542" s="549"/>
      <c r="I7542" s="558"/>
      <c r="J7542" s="567"/>
      <c r="K7542" s="648">
        <f>SUM(K7534:K7541)</f>
        <v>221</v>
      </c>
      <c r="L7542" s="567">
        <f>SUM(L7534:L7541)</f>
        <v>30.395219999999998</v>
      </c>
      <c r="M7542" s="648">
        <f>SUM(M7534:M7541)</f>
        <v>0</v>
      </c>
      <c r="N7542" s="567">
        <f>SUM(N7534:N7541)</f>
        <v>0</v>
      </c>
      <c r="O7542" s="549"/>
      <c r="P7542" s="549" t="s">
        <v>757</v>
      </c>
      <c r="Q7542" s="648">
        <f>SUM(Q7534:Q7541)</f>
        <v>122</v>
      </c>
      <c r="R7542" s="567">
        <f>SUM(R7534:R7541)</f>
        <v>17.678620000000002</v>
      </c>
      <c r="S7542" s="648">
        <f>SUM(S7534:S7541)</f>
        <v>78</v>
      </c>
      <c r="T7542" s="567">
        <f>SUM(T7534:T7541)</f>
        <v>9.9963999999999995</v>
      </c>
      <c r="W7542" s="497"/>
      <c r="X7542" s="497"/>
    </row>
    <row r="7543" spans="1:24" ht="17.399999999999999">
      <c r="A7543" s="549"/>
      <c r="B7543" s="549"/>
      <c r="C7543" s="549"/>
      <c r="D7543" s="549"/>
      <c r="E7543" s="549"/>
      <c r="F7543" s="549"/>
      <c r="G7543" s="549"/>
      <c r="H7543" s="549"/>
      <c r="I7543" s="560"/>
      <c r="J7543" s="549"/>
      <c r="K7543" s="561"/>
      <c r="L7543" s="560"/>
      <c r="M7543" s="549"/>
      <c r="N7543" s="549"/>
      <c r="O7543" s="549"/>
      <c r="P7543" s="549"/>
      <c r="W7543" s="497"/>
      <c r="X7543" s="497"/>
    </row>
    <row r="7544" spans="1:24" ht="17.399999999999999">
      <c r="A7544" s="547" t="s">
        <v>445</v>
      </c>
      <c r="B7544" s="547" t="s">
        <v>583</v>
      </c>
      <c r="C7544" s="547" t="s">
        <v>19</v>
      </c>
      <c r="D7544" s="547" t="s">
        <v>20</v>
      </c>
      <c r="E7544" s="560" t="s">
        <v>47</v>
      </c>
      <c r="F7544" s="1134">
        <v>12</v>
      </c>
      <c r="G7544" s="549" t="s">
        <v>21</v>
      </c>
      <c r="H7544" s="599" t="s">
        <v>95</v>
      </c>
      <c r="I7544" s="558">
        <v>13.4</v>
      </c>
      <c r="J7544" s="567">
        <v>10</v>
      </c>
      <c r="K7544" s="648">
        <v>1</v>
      </c>
      <c r="L7544" s="552">
        <f>(I7544*J7544*K7544/1000)</f>
        <v>0.13400000000000001</v>
      </c>
      <c r="M7544" s="549">
        <v>1</v>
      </c>
      <c r="N7544" s="549">
        <f t="shared" ref="N7544" si="1573">J7544*M7544*I7544/1000</f>
        <v>0.13400000000000001</v>
      </c>
      <c r="O7544" s="549"/>
      <c r="P7544" s="549"/>
      <c r="T7544" s="497"/>
      <c r="W7544" s="497" t="s">
        <v>829</v>
      </c>
      <c r="X7544" s="497"/>
    </row>
    <row r="7545" spans="1:24" ht="17.399999999999999">
      <c r="A7545" s="547"/>
      <c r="B7545" s="1160" t="s">
        <v>238</v>
      </c>
      <c r="C7545" s="547"/>
      <c r="D7545" s="547"/>
      <c r="E7545" s="547"/>
      <c r="F7545" s="1134"/>
      <c r="G7545" s="549"/>
      <c r="H7545" s="549"/>
      <c r="I7545" s="558"/>
      <c r="J7545" s="567"/>
      <c r="K7545" s="648">
        <f t="shared" ref="K7545:N7545" si="1574">SUM(K7544)</f>
        <v>1</v>
      </c>
      <c r="L7545" s="567">
        <f t="shared" si="1574"/>
        <v>0.13400000000000001</v>
      </c>
      <c r="M7545" s="648">
        <f t="shared" si="1574"/>
        <v>1</v>
      </c>
      <c r="N7545" s="567">
        <f t="shared" si="1574"/>
        <v>0.13400000000000001</v>
      </c>
      <c r="O7545" s="549"/>
      <c r="P7545" s="549" t="s">
        <v>757</v>
      </c>
      <c r="W7545" s="497"/>
      <c r="X7545" s="497"/>
    </row>
    <row r="7546" spans="1:24" s="497" customFormat="1" ht="17.399999999999999">
      <c r="A7546" s="547"/>
      <c r="B7546" s="1160"/>
      <c r="C7546" s="547"/>
      <c r="D7546" s="547"/>
      <c r="E7546" s="547"/>
      <c r="F7546" s="1134"/>
      <c r="G7546" s="549"/>
      <c r="H7546" s="549"/>
      <c r="I7546" s="558"/>
      <c r="J7546" s="567"/>
      <c r="K7546" s="648"/>
      <c r="L7546" s="567"/>
      <c r="M7546" s="549"/>
      <c r="N7546" s="549"/>
      <c r="O7546" s="549"/>
      <c r="P7546" s="549"/>
    </row>
    <row r="7547" spans="1:24" ht="17.399999999999999">
      <c r="A7547" s="547" t="s">
        <v>445</v>
      </c>
      <c r="B7547" s="1170" t="s">
        <v>611</v>
      </c>
      <c r="C7547" s="547" t="s">
        <v>19</v>
      </c>
      <c r="D7547" s="547" t="s">
        <v>20</v>
      </c>
      <c r="E7547" s="560" t="s">
        <v>47</v>
      </c>
      <c r="F7547" s="1134">
        <v>12</v>
      </c>
      <c r="G7547" s="549" t="s">
        <v>21</v>
      </c>
      <c r="H7547" s="599" t="s">
        <v>95</v>
      </c>
      <c r="I7547" s="558">
        <v>13.4</v>
      </c>
      <c r="J7547" s="567">
        <v>9.1999999999999993</v>
      </c>
      <c r="K7547" s="648">
        <v>18</v>
      </c>
      <c r="L7547" s="552">
        <f>(I7547*J7547*K7547/1000)</f>
        <v>2.2190400000000001</v>
      </c>
      <c r="M7547" s="549"/>
      <c r="N7547" s="549"/>
      <c r="O7547" s="549"/>
      <c r="P7547" s="549"/>
      <c r="Q7547" s="497">
        <v>4</v>
      </c>
      <c r="R7547" s="126">
        <f t="shared" ref="R7547" si="1575">J7547*Q7547*I7547/1000</f>
        <v>0.49311999999999995</v>
      </c>
      <c r="S7547">
        <f>2+3+5</f>
        <v>10</v>
      </c>
      <c r="T7547" s="126">
        <f t="shared" ref="T7547" si="1576">J7547*S7547*I7547/1000</f>
        <v>1.2327999999999999</v>
      </c>
      <c r="W7547" s="497" t="s">
        <v>829</v>
      </c>
      <c r="X7547" s="497"/>
    </row>
    <row r="7548" spans="1:24" ht="17.399999999999999">
      <c r="A7548" s="547"/>
      <c r="B7548" s="1159" t="s">
        <v>585</v>
      </c>
      <c r="C7548" s="547"/>
      <c r="D7548" s="547"/>
      <c r="E7548" s="547"/>
      <c r="F7548" s="1134"/>
      <c r="G7548" s="549"/>
      <c r="H7548" s="549"/>
      <c r="I7548" s="558"/>
      <c r="J7548" s="567"/>
      <c r="K7548" s="648">
        <f t="shared" ref="K7548" si="1577">SUM(K7547)</f>
        <v>18</v>
      </c>
      <c r="L7548" s="567">
        <f>SUM(L7547)</f>
        <v>2.2190400000000001</v>
      </c>
      <c r="M7548" s="549"/>
      <c r="N7548" s="549"/>
      <c r="O7548" s="549"/>
      <c r="P7548" s="549" t="s">
        <v>757</v>
      </c>
      <c r="Q7548" s="648">
        <f t="shared" ref="Q7548:S7548" si="1578">SUM(Q7547)</f>
        <v>4</v>
      </c>
      <c r="R7548" s="567">
        <f>SUM(R7547)</f>
        <v>0.49311999999999995</v>
      </c>
      <c r="S7548" s="648">
        <f t="shared" si="1578"/>
        <v>10</v>
      </c>
      <c r="T7548" s="567">
        <f>SUM(T7547)</f>
        <v>1.2327999999999999</v>
      </c>
      <c r="W7548" s="497"/>
      <c r="X7548" s="497"/>
    </row>
    <row r="7549" spans="1:24" ht="17.399999999999999">
      <c r="A7549" s="549"/>
      <c r="B7549" s="549"/>
      <c r="C7549" s="549"/>
      <c r="D7549" s="549"/>
      <c r="E7549" s="549"/>
      <c r="F7549" s="549"/>
      <c r="G7549" s="549"/>
      <c r="H7549" s="549"/>
      <c r="I7549" s="560"/>
      <c r="J7549" s="549"/>
      <c r="K7549" s="561"/>
      <c r="L7549" s="560"/>
      <c r="M7549" s="549"/>
      <c r="N7549" s="549"/>
      <c r="O7549" s="549"/>
      <c r="P7549" s="549"/>
      <c r="W7549" s="497"/>
      <c r="X7549" s="497"/>
    </row>
    <row r="7550" spans="1:24" s="497" customFormat="1" ht="17.399999999999999">
      <c r="A7550" s="547" t="s">
        <v>715</v>
      </c>
      <c r="B7550" s="547" t="s">
        <v>748</v>
      </c>
      <c r="C7550" s="547" t="s">
        <v>19</v>
      </c>
      <c r="D7550" s="547" t="s">
        <v>20</v>
      </c>
      <c r="E7550" s="547" t="s">
        <v>749</v>
      </c>
      <c r="F7550" s="1156">
        <v>12</v>
      </c>
      <c r="G7550" s="549" t="s">
        <v>21</v>
      </c>
      <c r="H7550" s="599" t="s">
        <v>95</v>
      </c>
      <c r="I7550" s="560">
        <v>13.4</v>
      </c>
      <c r="J7550" s="710">
        <v>10.9</v>
      </c>
      <c r="K7550" s="648">
        <v>18</v>
      </c>
      <c r="L7550" s="552">
        <f>(I7550*J7550*K7550/1000)</f>
        <v>2.6290800000000001</v>
      </c>
      <c r="M7550" s="648"/>
      <c r="N7550" s="765"/>
      <c r="O7550" s="549"/>
      <c r="P7550" s="549"/>
      <c r="Q7550" s="497">
        <v>15</v>
      </c>
      <c r="R7550" s="126">
        <f t="shared" ref="R7550" si="1579">J7550*Q7550*I7550/1000</f>
        <v>2.1909000000000001</v>
      </c>
      <c r="S7550" s="497">
        <v>3</v>
      </c>
      <c r="T7550" s="126">
        <f t="shared" ref="T7550" si="1580">J7550*S7550*I7550/1000</f>
        <v>0.43818000000000007</v>
      </c>
      <c r="W7550" s="497" t="s">
        <v>829</v>
      </c>
    </row>
    <row r="7551" spans="1:24" s="497" customFormat="1" ht="17.399999999999999">
      <c r="A7551" s="549"/>
      <c r="B7551" s="549" t="s">
        <v>88</v>
      </c>
      <c r="C7551" s="549"/>
      <c r="D7551" s="549"/>
      <c r="E7551" s="549"/>
      <c r="F7551" s="549"/>
      <c r="G7551" s="549"/>
      <c r="H7551" s="549"/>
      <c r="I7551" s="560"/>
      <c r="J7551" s="710"/>
      <c r="K7551" s="648">
        <f t="shared" ref="K7551:L7551" si="1581">SUM(K7550)</f>
        <v>18</v>
      </c>
      <c r="L7551" s="765">
        <f t="shared" si="1581"/>
        <v>2.6290800000000001</v>
      </c>
      <c r="M7551" s="648"/>
      <c r="N7551" s="765"/>
      <c r="O7551" s="549"/>
      <c r="P7551" s="549" t="s">
        <v>758</v>
      </c>
      <c r="Q7551" s="648">
        <f t="shared" ref="Q7551:T7551" si="1582">SUM(Q7550)</f>
        <v>15</v>
      </c>
      <c r="R7551" s="765">
        <f t="shared" si="1582"/>
        <v>2.1909000000000001</v>
      </c>
      <c r="S7551" s="648">
        <f t="shared" si="1582"/>
        <v>3</v>
      </c>
      <c r="T7551" s="765">
        <f t="shared" si="1582"/>
        <v>0.43818000000000007</v>
      </c>
    </row>
    <row r="7552" spans="1:24" s="497" customFormat="1" ht="17.399999999999999">
      <c r="A7552" s="549"/>
      <c r="B7552" s="549"/>
      <c r="C7552" s="549"/>
      <c r="D7552" s="549"/>
      <c r="E7552" s="549"/>
      <c r="F7552" s="549"/>
      <c r="G7552" s="549"/>
      <c r="H7552" s="549"/>
      <c r="I7552" s="560"/>
      <c r="J7552" s="710"/>
      <c r="K7552" s="648"/>
      <c r="L7552" s="765"/>
      <c r="M7552" s="648"/>
      <c r="N7552" s="765"/>
      <c r="O7552" s="549"/>
      <c r="P7552" s="549"/>
    </row>
    <row r="7553" spans="1:24" ht="17.399999999999999">
      <c r="A7553" s="547" t="s">
        <v>445</v>
      </c>
      <c r="B7553" s="547" t="s">
        <v>687</v>
      </c>
      <c r="C7553" s="547" t="s">
        <v>19</v>
      </c>
      <c r="D7553" s="547" t="s">
        <v>20</v>
      </c>
      <c r="E7553" s="1025" t="s">
        <v>420</v>
      </c>
      <c r="F7553" s="1156">
        <v>12</v>
      </c>
      <c r="G7553" s="549" t="s">
        <v>21</v>
      </c>
      <c r="H7553" s="599" t="s">
        <v>95</v>
      </c>
      <c r="I7553" s="558">
        <v>13.4</v>
      </c>
      <c r="J7553" s="567">
        <v>9</v>
      </c>
      <c r="K7553" s="648">
        <v>23</v>
      </c>
      <c r="L7553" s="552">
        <f t="shared" ref="L7553:L7559" si="1583">(I7553*J7553*K7553/1000)</f>
        <v>2.7738</v>
      </c>
      <c r="M7553" s="549"/>
      <c r="N7553" s="549"/>
      <c r="O7553" s="549"/>
      <c r="P7553" s="549"/>
      <c r="Q7553" s="759">
        <v>11</v>
      </c>
      <c r="R7553" s="126">
        <f t="shared" ref="R7553:R7559" si="1584">J7553*Q7553*I7553/1000</f>
        <v>1.3266000000000002</v>
      </c>
      <c r="S7553" s="497" t="s">
        <v>849</v>
      </c>
      <c r="W7553" s="497"/>
      <c r="X7553" s="497"/>
    </row>
    <row r="7554" spans="1:24" ht="17.399999999999999">
      <c r="A7554" s="547"/>
      <c r="B7554" s="751" t="s">
        <v>52</v>
      </c>
      <c r="C7554" s="547"/>
      <c r="D7554" s="547"/>
      <c r="E7554" s="547"/>
      <c r="F7554" s="1156"/>
      <c r="G7554" s="549" t="s">
        <v>21</v>
      </c>
      <c r="H7554" s="549" t="s">
        <v>95</v>
      </c>
      <c r="I7554" s="558">
        <v>13.4</v>
      </c>
      <c r="J7554" s="567">
        <v>10</v>
      </c>
      <c r="K7554" s="648">
        <v>34</v>
      </c>
      <c r="L7554" s="552">
        <f t="shared" si="1583"/>
        <v>4.556</v>
      </c>
      <c r="M7554" s="549"/>
      <c r="N7554" s="549"/>
      <c r="O7554" s="549"/>
      <c r="P7554" s="549"/>
      <c r="Q7554" s="759">
        <v>10</v>
      </c>
      <c r="R7554" s="126">
        <f t="shared" si="1584"/>
        <v>1.34</v>
      </c>
      <c r="S7554" s="497" t="s">
        <v>851</v>
      </c>
      <c r="W7554" s="497"/>
      <c r="X7554" s="497"/>
    </row>
    <row r="7555" spans="1:24" ht="17.399999999999999">
      <c r="A7555" s="549"/>
      <c r="B7555" s="549"/>
      <c r="C7555" s="549"/>
      <c r="D7555" s="549"/>
      <c r="E7555" s="549"/>
      <c r="F7555" s="549"/>
      <c r="G7555" s="549" t="s">
        <v>21</v>
      </c>
      <c r="H7555" s="549" t="s">
        <v>95</v>
      </c>
      <c r="I7555" s="558">
        <v>13.4</v>
      </c>
      <c r="J7555" s="567">
        <v>10.5</v>
      </c>
      <c r="K7555" s="648">
        <v>24</v>
      </c>
      <c r="L7555" s="552">
        <f t="shared" si="1583"/>
        <v>3.3768000000000002</v>
      </c>
      <c r="M7555" s="549"/>
      <c r="N7555" s="549"/>
      <c r="O7555" s="549"/>
      <c r="P7555" s="549"/>
      <c r="Q7555" s="497">
        <v>9</v>
      </c>
      <c r="R7555" s="126">
        <f t="shared" si="1584"/>
        <v>1.2663</v>
      </c>
      <c r="W7555" s="497"/>
      <c r="X7555" s="497"/>
    </row>
    <row r="7556" spans="1:24" ht="17.399999999999999">
      <c r="A7556" s="549"/>
      <c r="B7556" s="549"/>
      <c r="C7556" s="549"/>
      <c r="D7556" s="549"/>
      <c r="E7556" s="549"/>
      <c r="F7556" s="549"/>
      <c r="G7556" s="549" t="s">
        <v>21</v>
      </c>
      <c r="H7556" s="549" t="s">
        <v>95</v>
      </c>
      <c r="I7556" s="558">
        <v>13.4</v>
      </c>
      <c r="J7556" s="567">
        <v>11</v>
      </c>
      <c r="K7556" s="648">
        <v>27</v>
      </c>
      <c r="L7556" s="552">
        <f t="shared" si="1583"/>
        <v>3.9798</v>
      </c>
      <c r="M7556" s="549"/>
      <c r="N7556" s="549"/>
      <c r="O7556" s="549"/>
      <c r="P7556" s="549"/>
      <c r="Q7556" s="759">
        <v>10</v>
      </c>
      <c r="R7556" s="126">
        <f t="shared" si="1584"/>
        <v>1.474</v>
      </c>
      <c r="W7556" s="497"/>
      <c r="X7556" s="497"/>
    </row>
    <row r="7557" spans="1:24" ht="17.399999999999999">
      <c r="A7557" s="549"/>
      <c r="B7557" s="549"/>
      <c r="C7557" s="549"/>
      <c r="D7557" s="549"/>
      <c r="E7557" s="549"/>
      <c r="F7557" s="549"/>
      <c r="G7557" s="549" t="s">
        <v>21</v>
      </c>
      <c r="H7557" s="549" t="s">
        <v>95</v>
      </c>
      <c r="I7557" s="558">
        <v>13.4</v>
      </c>
      <c r="J7557" s="567">
        <v>11.7</v>
      </c>
      <c r="K7557" s="648">
        <v>23</v>
      </c>
      <c r="L7557" s="552">
        <f t="shared" si="1583"/>
        <v>3.6059399999999999</v>
      </c>
      <c r="M7557" s="549"/>
      <c r="N7557" s="549"/>
      <c r="O7557" s="549"/>
      <c r="P7557" s="549"/>
      <c r="R7557" s="126">
        <f t="shared" si="1584"/>
        <v>0</v>
      </c>
      <c r="W7557" s="497"/>
      <c r="X7557" s="497"/>
    </row>
    <row r="7558" spans="1:24" ht="17.399999999999999">
      <c r="A7558" s="549"/>
      <c r="B7558" s="549"/>
      <c r="C7558" s="549"/>
      <c r="D7558" s="549"/>
      <c r="E7558" s="549"/>
      <c r="F7558" s="549"/>
      <c r="G7558" s="549" t="s">
        <v>21</v>
      </c>
      <c r="H7558" s="549" t="s">
        <v>95</v>
      </c>
      <c r="I7558" s="558">
        <v>13.4</v>
      </c>
      <c r="J7558" s="567">
        <v>11.9</v>
      </c>
      <c r="K7558" s="648">
        <v>20</v>
      </c>
      <c r="L7558" s="552">
        <f t="shared" si="1583"/>
        <v>3.1892000000000005</v>
      </c>
      <c r="M7558" s="549"/>
      <c r="N7558" s="549"/>
      <c r="O7558" s="549"/>
      <c r="P7558" s="549"/>
      <c r="Q7558" s="759">
        <f>15+5</f>
        <v>20</v>
      </c>
      <c r="R7558" s="126">
        <f t="shared" si="1584"/>
        <v>3.1892000000000005</v>
      </c>
      <c r="W7558" s="497"/>
      <c r="X7558" s="497"/>
    </row>
    <row r="7559" spans="1:24" ht="17.399999999999999">
      <c r="A7559" s="549"/>
      <c r="B7559" s="549"/>
      <c r="C7559" s="549"/>
      <c r="D7559" s="549"/>
      <c r="E7559" s="549"/>
      <c r="F7559" s="549"/>
      <c r="G7559" s="549" t="s">
        <v>21</v>
      </c>
      <c r="H7559" s="549" t="s">
        <v>95</v>
      </c>
      <c r="I7559" s="558">
        <v>13.4</v>
      </c>
      <c r="J7559" s="567">
        <v>12</v>
      </c>
      <c r="K7559" s="648">
        <v>20</v>
      </c>
      <c r="L7559" s="552">
        <f t="shared" si="1583"/>
        <v>3.2160000000000002</v>
      </c>
      <c r="M7559" s="549"/>
      <c r="N7559" s="549"/>
      <c r="O7559" s="549"/>
      <c r="P7559" s="549"/>
      <c r="Q7559" s="759">
        <f>8+8</f>
        <v>16</v>
      </c>
      <c r="R7559" s="126">
        <f t="shared" si="1584"/>
        <v>2.5728</v>
      </c>
      <c r="W7559" s="497"/>
      <c r="X7559" s="497"/>
    </row>
    <row r="7560" spans="1:24" ht="17.399999999999999">
      <c r="A7560" s="549"/>
      <c r="B7560" s="549"/>
      <c r="C7560" s="549"/>
      <c r="D7560" s="549"/>
      <c r="E7560" s="549"/>
      <c r="F7560" s="549"/>
      <c r="G7560" s="549"/>
      <c r="H7560" s="549"/>
      <c r="I7560" s="558"/>
      <c r="J7560" s="567"/>
      <c r="K7560" s="648">
        <f t="shared" ref="K7560" si="1585">SUM(K7553:K7559)</f>
        <v>171</v>
      </c>
      <c r="L7560" s="567">
        <f>SUM(L7553:L7559)</f>
        <v>24.697540000000004</v>
      </c>
      <c r="M7560" s="549"/>
      <c r="N7560" s="549"/>
      <c r="O7560" s="549"/>
      <c r="P7560" s="549" t="s">
        <v>759</v>
      </c>
      <c r="Q7560" s="648"/>
      <c r="R7560" s="567">
        <f>SUM(R7553:R7559)</f>
        <v>11.168900000000001</v>
      </c>
      <c r="W7560" s="497"/>
      <c r="X7560" s="497"/>
    </row>
    <row r="7561" spans="1:24" ht="17.399999999999999">
      <c r="A7561" s="549"/>
      <c r="B7561" s="549"/>
      <c r="C7561" s="549"/>
      <c r="D7561" s="549"/>
      <c r="E7561" s="549"/>
      <c r="F7561" s="549"/>
      <c r="G7561" s="549"/>
      <c r="H7561" s="549"/>
      <c r="I7561" s="560"/>
      <c r="J7561" s="549"/>
      <c r="K7561" s="561"/>
      <c r="L7561" s="560"/>
      <c r="M7561" s="549"/>
      <c r="N7561" s="549"/>
      <c r="O7561" s="549"/>
      <c r="P7561" s="549"/>
      <c r="W7561" s="497"/>
      <c r="X7561" s="497"/>
    </row>
    <row r="7562" spans="1:24" ht="17.399999999999999">
      <c r="A7562" s="547" t="s">
        <v>445</v>
      </c>
      <c r="B7562" s="547" t="s">
        <v>712</v>
      </c>
      <c r="C7562" s="547" t="s">
        <v>19</v>
      </c>
      <c r="D7562" s="547" t="s">
        <v>20</v>
      </c>
      <c r="E7562" s="1025" t="s">
        <v>420</v>
      </c>
      <c r="F7562" s="1134">
        <v>12</v>
      </c>
      <c r="G7562" s="549" t="s">
        <v>21</v>
      </c>
      <c r="H7562" s="599" t="s">
        <v>95</v>
      </c>
      <c r="I7562" s="558">
        <v>13.4</v>
      </c>
      <c r="J7562" s="710">
        <v>11.2</v>
      </c>
      <c r="K7562" s="648">
        <v>4</v>
      </c>
      <c r="L7562" s="552">
        <f>(I7562*J7562*K7562/1000)</f>
        <v>0.60031999999999996</v>
      </c>
      <c r="M7562" s="549"/>
      <c r="N7562" s="549"/>
      <c r="O7562" s="549"/>
      <c r="P7562" s="549"/>
      <c r="Q7562" s="497" t="s">
        <v>850</v>
      </c>
      <c r="W7562" s="497"/>
      <c r="X7562" s="497"/>
    </row>
    <row r="7563" spans="1:24" ht="17.399999999999999">
      <c r="A7563" s="547"/>
      <c r="B7563" s="751" t="s">
        <v>52</v>
      </c>
      <c r="C7563" s="547"/>
      <c r="D7563" s="547"/>
      <c r="E7563" s="547"/>
      <c r="F7563" s="1134"/>
      <c r="G7563" s="549"/>
      <c r="H7563" s="549"/>
      <c r="I7563" s="560"/>
      <c r="J7563" s="710"/>
      <c r="K7563" s="648">
        <f t="shared" ref="K7563" si="1586">SUM(K7562)</f>
        <v>4</v>
      </c>
      <c r="L7563" s="765">
        <f>SUM(L7562)</f>
        <v>0.60031999999999996</v>
      </c>
      <c r="M7563" s="549"/>
      <c r="N7563" s="549"/>
      <c r="O7563" s="549"/>
      <c r="P7563" s="549" t="s">
        <v>759</v>
      </c>
      <c r="W7563" s="497"/>
      <c r="X7563" s="497"/>
    </row>
    <row r="7564" spans="1:24" s="497" customFormat="1" ht="17.399999999999999">
      <c r="A7564" s="547"/>
      <c r="B7564" s="751"/>
      <c r="C7564" s="547"/>
      <c r="D7564" s="547"/>
      <c r="E7564" s="547"/>
      <c r="F7564" s="1134"/>
      <c r="G7564" s="549"/>
      <c r="H7564" s="549"/>
      <c r="I7564" s="560"/>
      <c r="J7564" s="710"/>
      <c r="K7564" s="766">
        <f>SUM(K7524:K7563)/2</f>
        <v>850</v>
      </c>
      <c r="L7564" s="765">
        <f>SUM(L7524:L7563)/2</f>
        <v>114.15326</v>
      </c>
      <c r="M7564" s="766">
        <f>SUM(M7524:M7563)/2</f>
        <v>27</v>
      </c>
      <c r="N7564" s="765">
        <f>SUM(N7524:N7563)/2</f>
        <v>3.5242000000000004</v>
      </c>
      <c r="O7564" s="549"/>
      <c r="P7564" s="549"/>
      <c r="Q7564" s="766">
        <f>SUM(Q7524:Q7563)/2</f>
        <v>451</v>
      </c>
      <c r="R7564" s="765">
        <f>SUM(R7524:R7563)/2</f>
        <v>68.566460000000006</v>
      </c>
    </row>
    <row r="7565" spans="1:24" s="497" customFormat="1" ht="17.399999999999999">
      <c r="A7565" s="547"/>
      <c r="B7565" s="751"/>
      <c r="C7565" s="547"/>
      <c r="D7565" s="547"/>
      <c r="E7565" s="547"/>
      <c r="F7565" s="1134"/>
      <c r="G7565" s="549"/>
      <c r="H7565" s="549"/>
      <c r="I7565" s="560"/>
      <c r="J7565" s="710"/>
      <c r="K7565" s="648"/>
      <c r="L7565" s="765"/>
      <c r="M7565" s="549"/>
      <c r="N7565" s="549"/>
      <c r="O7565" s="549"/>
      <c r="P7565" s="549"/>
    </row>
    <row r="7566" spans="1:24" ht="17.399999999999999">
      <c r="A7566" s="549"/>
      <c r="B7566" s="549"/>
      <c r="C7566" s="549"/>
      <c r="D7566" s="549"/>
      <c r="E7566" s="549"/>
      <c r="F7566" s="549"/>
      <c r="G7566" s="549"/>
      <c r="H7566" s="549"/>
      <c r="I7566" s="560"/>
      <c r="J7566" s="549"/>
      <c r="K7566" s="561"/>
      <c r="L7566" s="560"/>
      <c r="M7566" s="549"/>
      <c r="N7566" s="549"/>
      <c r="O7566" s="549"/>
      <c r="P7566" s="549"/>
      <c r="W7566" s="497"/>
      <c r="X7566" s="497"/>
    </row>
    <row r="7567" spans="1:24" ht="17.399999999999999">
      <c r="A7567" s="547" t="s">
        <v>523</v>
      </c>
      <c r="B7567" s="852" t="s">
        <v>738</v>
      </c>
      <c r="C7567" s="547" t="s">
        <v>19</v>
      </c>
      <c r="D7567" s="547" t="s">
        <v>20</v>
      </c>
      <c r="E7567" s="547" t="s">
        <v>359</v>
      </c>
      <c r="F7567" s="1156">
        <v>12</v>
      </c>
      <c r="G7567" s="549" t="s">
        <v>21</v>
      </c>
      <c r="H7567" s="599" t="s">
        <v>98</v>
      </c>
      <c r="I7567" s="558">
        <v>11.8</v>
      </c>
      <c r="J7567" s="567">
        <v>12</v>
      </c>
      <c r="K7567" s="648">
        <v>44</v>
      </c>
      <c r="L7567" s="552">
        <f>(I7567*J7567*K7567/1000)</f>
        <v>6.2304000000000013</v>
      </c>
      <c r="M7567" s="549"/>
      <c r="N7567" s="549"/>
      <c r="O7567" s="549"/>
      <c r="P7567" s="549"/>
      <c r="Q7567" s="497" t="s">
        <v>969</v>
      </c>
      <c r="W7567" s="497"/>
      <c r="X7567" s="497"/>
    </row>
    <row r="7568" spans="1:24" ht="17.399999999999999">
      <c r="A7568" s="549"/>
      <c r="B7568" s="549" t="s">
        <v>277</v>
      </c>
      <c r="C7568" s="549"/>
      <c r="D7568" s="549"/>
      <c r="E7568" s="549"/>
      <c r="F7568" s="549"/>
      <c r="G7568" s="549"/>
      <c r="H7568" s="549"/>
      <c r="I7568" s="558"/>
      <c r="J7568" s="567"/>
      <c r="K7568" s="648">
        <f t="shared" ref="K7568:L7568" si="1587">SUM(K7567)</f>
        <v>44</v>
      </c>
      <c r="L7568" s="567">
        <f t="shared" si="1587"/>
        <v>6.2304000000000013</v>
      </c>
      <c r="M7568" s="549"/>
      <c r="N7568" s="549"/>
      <c r="O7568" s="549"/>
      <c r="P7568" s="549" t="s">
        <v>760</v>
      </c>
      <c r="W7568" s="497"/>
      <c r="X7568" s="497"/>
    </row>
    <row r="7569" spans="1:24" ht="17.399999999999999">
      <c r="A7569" s="549"/>
      <c r="B7569" s="549"/>
      <c r="C7569" s="549"/>
      <c r="D7569" s="549"/>
      <c r="E7569" s="549"/>
      <c r="F7569" s="549"/>
      <c r="G7569" s="549"/>
      <c r="H7569" s="549"/>
      <c r="I7569" s="560"/>
      <c r="J7569" s="549"/>
      <c r="K7569" s="561"/>
      <c r="L7569" s="560"/>
      <c r="M7569" s="549"/>
      <c r="N7569" s="549"/>
      <c r="O7569" s="549"/>
      <c r="P7569" s="549"/>
      <c r="W7569" s="497"/>
      <c r="X7569" s="497"/>
    </row>
    <row r="7570" spans="1:24" ht="17.399999999999999">
      <c r="A7570" s="547" t="s">
        <v>445</v>
      </c>
      <c r="B7570" s="547" t="s">
        <v>583</v>
      </c>
      <c r="C7570" s="547" t="s">
        <v>19</v>
      </c>
      <c r="D7570" s="547" t="s">
        <v>20</v>
      </c>
      <c r="E7570" s="560" t="s">
        <v>47</v>
      </c>
      <c r="F7570" s="1134">
        <v>12</v>
      </c>
      <c r="G7570" s="549" t="s">
        <v>21</v>
      </c>
      <c r="H7570" s="599" t="s">
        <v>98</v>
      </c>
      <c r="I7570" s="558">
        <v>11.8</v>
      </c>
      <c r="J7570" s="567">
        <v>11.2</v>
      </c>
      <c r="K7570" s="648">
        <v>4</v>
      </c>
      <c r="L7570" s="552">
        <f>(I7570*J7570*K7570/1000)</f>
        <v>0.52864</v>
      </c>
      <c r="M7570" s="549">
        <v>4</v>
      </c>
      <c r="N7570" s="567">
        <f t="shared" ref="N7570" si="1588">J7570*M7570*I7570/1000</f>
        <v>0.52864</v>
      </c>
      <c r="O7570" s="549"/>
      <c r="P7570" s="549"/>
      <c r="Q7570" s="497" t="s">
        <v>837</v>
      </c>
      <c r="W7570" s="497"/>
      <c r="X7570" s="497"/>
    </row>
    <row r="7571" spans="1:24" ht="17.399999999999999">
      <c r="A7571" s="547"/>
      <c r="B7571" s="1160" t="s">
        <v>238</v>
      </c>
      <c r="C7571" s="547"/>
      <c r="D7571" s="547"/>
      <c r="E7571" s="547"/>
      <c r="F7571" s="1134"/>
      <c r="G7571" s="549"/>
      <c r="H7571" s="549"/>
      <c r="I7571" s="558"/>
      <c r="J7571" s="567"/>
      <c r="K7571" s="648">
        <f t="shared" ref="K7571:M7571" si="1589">SUM(K7570)</f>
        <v>4</v>
      </c>
      <c r="L7571" s="567">
        <f>SUM(L7570)</f>
        <v>0.52864</v>
      </c>
      <c r="M7571" s="648">
        <f t="shared" si="1589"/>
        <v>4</v>
      </c>
      <c r="N7571" s="567">
        <f>SUM(N7570)</f>
        <v>0.52864</v>
      </c>
      <c r="O7571" s="549"/>
      <c r="P7571" s="549"/>
      <c r="W7571" s="497"/>
      <c r="X7571" s="497"/>
    </row>
    <row r="7572" spans="1:24" s="497" customFormat="1" ht="17.399999999999999">
      <c r="A7572" s="547"/>
      <c r="B7572" s="1160"/>
      <c r="C7572" s="547"/>
      <c r="D7572" s="547"/>
      <c r="E7572" s="547"/>
      <c r="F7572" s="1134"/>
      <c r="G7572" s="549"/>
      <c r="H7572" s="549"/>
      <c r="I7572" s="558"/>
      <c r="J7572" s="567"/>
      <c r="K7572" s="648">
        <f>SUM(K7567:K7571)/2</f>
        <v>48</v>
      </c>
      <c r="L7572" s="567">
        <f>SUM(L7567:L7571)/2</f>
        <v>6.7590400000000006</v>
      </c>
      <c r="M7572" s="648">
        <f>SUM(M7567:M7571)/2</f>
        <v>4</v>
      </c>
      <c r="N7572" s="567">
        <f>SUM(N7567:N7571)/2</f>
        <v>0.52864</v>
      </c>
      <c r="O7572" s="549"/>
      <c r="P7572" s="549"/>
    </row>
    <row r="7573" spans="1:24" ht="17.399999999999999">
      <c r="A7573" s="549"/>
      <c r="B7573" s="549"/>
      <c r="C7573" s="549"/>
      <c r="D7573" s="549"/>
      <c r="E7573" s="549"/>
      <c r="F7573" s="549"/>
      <c r="G7573" s="549"/>
      <c r="H7573" s="549"/>
      <c r="I7573" s="560"/>
      <c r="J7573" s="549"/>
      <c r="K7573" s="561"/>
      <c r="L7573" s="560"/>
      <c r="M7573" s="549"/>
      <c r="N7573" s="549"/>
      <c r="O7573" s="549"/>
      <c r="P7573" s="549"/>
      <c r="W7573" s="497"/>
      <c r="X7573" s="497"/>
    </row>
    <row r="7574" spans="1:24" ht="17.399999999999999">
      <c r="A7574" s="549"/>
      <c r="B7574" s="549"/>
      <c r="C7574" s="549"/>
      <c r="D7574" s="549"/>
      <c r="E7574" s="549"/>
      <c r="F7574" s="549"/>
      <c r="G7574" s="549"/>
      <c r="H7574" s="549"/>
      <c r="I7574" s="560"/>
      <c r="J7574" s="549"/>
      <c r="K7574" s="561"/>
      <c r="L7574" s="560"/>
      <c r="M7574" s="549"/>
      <c r="N7574" s="549"/>
      <c r="O7574" s="549"/>
      <c r="P7574" s="549"/>
      <c r="W7574" s="497"/>
      <c r="X7574" s="497"/>
    </row>
    <row r="7575" spans="1:24" s="497" customFormat="1" ht="17.399999999999999">
      <c r="A7575" s="549"/>
      <c r="B7575" s="549"/>
      <c r="C7575" s="549"/>
      <c r="D7575" s="549"/>
      <c r="E7575" s="549"/>
      <c r="F7575" s="549"/>
      <c r="G7575" s="549"/>
      <c r="H7575" s="549"/>
      <c r="I7575" s="558"/>
      <c r="J7575" s="567"/>
      <c r="K7575" s="648"/>
      <c r="L7575" s="567"/>
      <c r="M7575" s="549"/>
      <c r="N7575" s="549"/>
      <c r="O7575" s="549"/>
      <c r="P7575" s="549"/>
    </row>
    <row r="7576" spans="1:24" s="497" customFormat="1" ht="17.399999999999999">
      <c r="A7576" s="547" t="s">
        <v>715</v>
      </c>
      <c r="B7576" s="547" t="s">
        <v>748</v>
      </c>
      <c r="C7576" s="547" t="s">
        <v>19</v>
      </c>
      <c r="D7576" s="547" t="s">
        <v>20</v>
      </c>
      <c r="E7576" s="547" t="s">
        <v>749</v>
      </c>
      <c r="F7576" s="1156">
        <v>12</v>
      </c>
      <c r="G7576" s="549" t="s">
        <v>21</v>
      </c>
      <c r="H7576" s="599" t="s">
        <v>97</v>
      </c>
      <c r="I7576" s="558">
        <v>10.199999999999999</v>
      </c>
      <c r="J7576" s="710">
        <v>10.9</v>
      </c>
      <c r="K7576" s="648">
        <v>8</v>
      </c>
      <c r="L7576" s="552">
        <f>(I7576*J7576*K7576/1000)</f>
        <v>0.8894399999999999</v>
      </c>
      <c r="M7576" s="648">
        <v>8</v>
      </c>
      <c r="N7576" s="567">
        <f t="shared" ref="N7576" si="1590">J7576*M7576*I7576/1000</f>
        <v>0.8894399999999999</v>
      </c>
      <c r="O7576" s="549"/>
      <c r="P7576" s="549"/>
      <c r="Q7576" s="497" t="s">
        <v>829</v>
      </c>
    </row>
    <row r="7577" spans="1:24" s="497" customFormat="1" ht="17.399999999999999">
      <c r="A7577" s="549"/>
      <c r="B7577" s="549" t="s">
        <v>88</v>
      </c>
      <c r="C7577" s="549"/>
      <c r="D7577" s="549"/>
      <c r="E7577" s="549"/>
      <c r="F7577" s="549"/>
      <c r="G7577" s="549"/>
      <c r="H7577" s="549"/>
      <c r="I7577" s="560"/>
      <c r="J7577" s="710"/>
      <c r="K7577" s="648">
        <f t="shared" ref="K7577:M7577" si="1591">SUM(K7576)</f>
        <v>8</v>
      </c>
      <c r="L7577" s="765">
        <f>SUM(L7576)</f>
        <v>0.8894399999999999</v>
      </c>
      <c r="M7577" s="648">
        <f t="shared" si="1591"/>
        <v>8</v>
      </c>
      <c r="N7577" s="765">
        <f>SUM(N7576)</f>
        <v>0.8894399999999999</v>
      </c>
      <c r="O7577" s="549"/>
      <c r="P7577" s="549"/>
    </row>
    <row r="7578" spans="1:24" s="497" customFormat="1" ht="17.399999999999999">
      <c r="A7578" s="547"/>
      <c r="B7578" s="1160"/>
      <c r="C7578" s="547"/>
      <c r="D7578" s="547"/>
      <c r="E7578" s="547"/>
      <c r="F7578" s="1156"/>
      <c r="G7578" s="549"/>
      <c r="H7578" s="549"/>
      <c r="I7578" s="560"/>
      <c r="J7578" s="710"/>
      <c r="K7578" s="648"/>
      <c r="L7578" s="765"/>
      <c r="M7578" s="766"/>
      <c r="N7578" s="765"/>
      <c r="O7578" s="549"/>
      <c r="P7578" s="549"/>
    </row>
    <row r="7579" spans="1:24" ht="17.399999999999999">
      <c r="A7579" s="549"/>
      <c r="B7579" s="549"/>
      <c r="C7579" s="549"/>
      <c r="D7579" s="549"/>
      <c r="E7579" s="549"/>
      <c r="F7579" s="549"/>
      <c r="G7579" s="549"/>
      <c r="H7579" s="549"/>
      <c r="I7579" s="560"/>
      <c r="J7579" s="549"/>
      <c r="K7579" s="561"/>
      <c r="L7579" s="560"/>
      <c r="M7579" s="549"/>
      <c r="N7579" s="549"/>
      <c r="O7579" s="549"/>
      <c r="P7579" s="549"/>
      <c r="W7579" s="497"/>
      <c r="X7579" s="497"/>
    </row>
    <row r="7580" spans="1:24" ht="17.399999999999999">
      <c r="A7580" s="547" t="s">
        <v>523</v>
      </c>
      <c r="B7580" s="547" t="s">
        <v>737</v>
      </c>
      <c r="C7580" s="547" t="s">
        <v>446</v>
      </c>
      <c r="D7580" s="813" t="s">
        <v>447</v>
      </c>
      <c r="E7580" s="547" t="s">
        <v>359</v>
      </c>
      <c r="F7580" s="1134">
        <v>12</v>
      </c>
      <c r="G7580" s="549" t="s">
        <v>21</v>
      </c>
      <c r="H7580" s="599" t="s">
        <v>98</v>
      </c>
      <c r="I7580" s="558">
        <v>11.8</v>
      </c>
      <c r="J7580" s="567">
        <v>7.1</v>
      </c>
      <c r="K7580" s="648">
        <v>86</v>
      </c>
      <c r="L7580" s="552">
        <f>(I7580*J7580*K7580/1000)</f>
        <v>7.2050799999999997</v>
      </c>
      <c r="M7580" s="549"/>
      <c r="N7580" s="549">
        <f t="shared" ref="N7580:N7583" si="1592">J7580*M7580*I7580/1000</f>
        <v>0</v>
      </c>
      <c r="O7580" s="549"/>
      <c r="P7580" s="549"/>
      <c r="Q7580" s="497">
        <v>22</v>
      </c>
      <c r="R7580" s="497">
        <f>J7580*Q7580*I7580/1000</f>
        <v>1.8431600000000001</v>
      </c>
      <c r="S7580" s="497" t="s">
        <v>837</v>
      </c>
      <c r="W7580" s="497"/>
      <c r="X7580" s="497"/>
    </row>
    <row r="7581" spans="1:24" ht="17.399999999999999">
      <c r="A7581" s="549"/>
      <c r="B7581" s="549"/>
      <c r="C7581" s="549"/>
      <c r="D7581" s="549"/>
      <c r="E7581" s="549"/>
      <c r="F7581" s="549"/>
      <c r="G7581" s="549" t="s">
        <v>21</v>
      </c>
      <c r="H7581" s="549" t="s">
        <v>98</v>
      </c>
      <c r="I7581" s="558">
        <v>11.8</v>
      </c>
      <c r="J7581" s="567">
        <v>8.1</v>
      </c>
      <c r="K7581" s="648">
        <v>45</v>
      </c>
      <c r="L7581" s="552">
        <f>(I7581*J7581*K7581/1000)</f>
        <v>4.3010999999999999</v>
      </c>
      <c r="M7581" s="549">
        <v>14</v>
      </c>
      <c r="N7581" s="647">
        <f t="shared" si="1592"/>
        <v>1.33812</v>
      </c>
      <c r="O7581" s="549"/>
      <c r="P7581" s="549"/>
      <c r="Q7581" s="497">
        <v>4</v>
      </c>
      <c r="R7581" s="497">
        <f t="shared" ref="R7581:R7583" si="1593">J7581*Q7581*I7581/1000</f>
        <v>0.38231999999999999</v>
      </c>
      <c r="W7581" s="497"/>
      <c r="X7581" s="497"/>
    </row>
    <row r="7582" spans="1:24" ht="17.399999999999999">
      <c r="A7582" s="549"/>
      <c r="B7582" s="549"/>
      <c r="C7582" s="549"/>
      <c r="D7582" s="549"/>
      <c r="E7582" s="549"/>
      <c r="F7582" s="549"/>
      <c r="G7582" s="549" t="s">
        <v>21</v>
      </c>
      <c r="H7582" s="549" t="s">
        <v>98</v>
      </c>
      <c r="I7582" s="558">
        <v>11.8</v>
      </c>
      <c r="J7582" s="567">
        <v>11</v>
      </c>
      <c r="K7582" s="648">
        <v>8</v>
      </c>
      <c r="L7582" s="552">
        <f>(I7582*J7582*K7582/1000)</f>
        <v>1.0384</v>
      </c>
      <c r="M7582" s="549"/>
      <c r="N7582" s="647">
        <f t="shared" si="1592"/>
        <v>0</v>
      </c>
      <c r="O7582" s="549"/>
      <c r="P7582" s="549"/>
      <c r="Q7582" s="497">
        <v>5</v>
      </c>
      <c r="R7582" s="497">
        <f t="shared" si="1593"/>
        <v>0.64900000000000002</v>
      </c>
      <c r="W7582" s="497"/>
      <c r="X7582" s="497"/>
    </row>
    <row r="7583" spans="1:24" ht="17.399999999999999">
      <c r="A7583" s="549"/>
      <c r="B7583" s="549"/>
      <c r="C7583" s="549"/>
      <c r="D7583" s="549"/>
      <c r="E7583" s="549"/>
      <c r="F7583" s="549"/>
      <c r="G7583" s="549" t="s">
        <v>21</v>
      </c>
      <c r="H7583" s="549" t="s">
        <v>98</v>
      </c>
      <c r="I7583" s="558">
        <v>11.8</v>
      </c>
      <c r="J7583" s="567">
        <v>12</v>
      </c>
      <c r="K7583" s="648">
        <v>56</v>
      </c>
      <c r="L7583" s="552">
        <f>(I7583*J7583*K7583/1000)</f>
        <v>7.9296000000000015</v>
      </c>
      <c r="M7583" s="549">
        <v>16</v>
      </c>
      <c r="N7583" s="647">
        <f t="shared" si="1592"/>
        <v>2.2656000000000005</v>
      </c>
      <c r="O7583" s="549"/>
      <c r="P7583" s="549"/>
      <c r="Q7583" s="497">
        <f>21+2</f>
        <v>23</v>
      </c>
      <c r="R7583" s="497">
        <f t="shared" si="1593"/>
        <v>3.2568000000000001</v>
      </c>
      <c r="W7583" s="497"/>
      <c r="X7583" s="497"/>
    </row>
    <row r="7584" spans="1:24" ht="17.399999999999999">
      <c r="A7584" s="549"/>
      <c r="B7584" s="549"/>
      <c r="C7584" s="549"/>
      <c r="D7584" s="549"/>
      <c r="E7584" s="549"/>
      <c r="F7584" s="549"/>
      <c r="G7584" s="549"/>
      <c r="H7584" s="549"/>
      <c r="I7584" s="558"/>
      <c r="J7584" s="567"/>
      <c r="K7584" s="648">
        <f t="shared" ref="K7584:M7584" si="1594">SUM(K7580:K7583)</f>
        <v>195</v>
      </c>
      <c r="L7584" s="567">
        <f>SUM(L7580:L7583)</f>
        <v>20.47418</v>
      </c>
      <c r="M7584" s="648">
        <f t="shared" si="1594"/>
        <v>30</v>
      </c>
      <c r="N7584" s="647">
        <f>SUM(N7580:N7583)</f>
        <v>3.6037200000000005</v>
      </c>
      <c r="O7584" s="549"/>
      <c r="P7584" s="549" t="s">
        <v>761</v>
      </c>
      <c r="Q7584" s="648">
        <f t="shared" ref="Q7584" si="1595">SUM(Q7580:Q7583)</f>
        <v>54</v>
      </c>
      <c r="R7584" s="567">
        <f>SUM(R7580:R7583)</f>
        <v>6.1312800000000003</v>
      </c>
      <c r="W7584" s="497"/>
      <c r="X7584" s="497"/>
    </row>
    <row r="7585" spans="1:24" s="497" customFormat="1" ht="17.399999999999999">
      <c r="A7585" s="549"/>
      <c r="B7585" s="549"/>
      <c r="C7585" s="549"/>
      <c r="D7585" s="549"/>
      <c r="E7585" s="549"/>
      <c r="F7585" s="549"/>
      <c r="G7585" s="549"/>
      <c r="H7585" s="549"/>
      <c r="I7585" s="558"/>
      <c r="J7585" s="567"/>
      <c r="K7585" s="648"/>
      <c r="L7585" s="567"/>
      <c r="M7585" s="549"/>
      <c r="N7585" s="549"/>
      <c r="O7585" s="549"/>
      <c r="P7585" s="549"/>
    </row>
    <row r="7586" spans="1:24" ht="17.399999999999999">
      <c r="A7586" s="547" t="s">
        <v>83</v>
      </c>
      <c r="B7586" s="1183" t="s">
        <v>579</v>
      </c>
      <c r="C7586" s="547" t="s">
        <v>446</v>
      </c>
      <c r="D7586" s="813" t="s">
        <v>447</v>
      </c>
      <c r="E7586" s="547" t="s">
        <v>359</v>
      </c>
      <c r="F7586" s="1134">
        <v>12</v>
      </c>
      <c r="G7586" s="549" t="s">
        <v>21</v>
      </c>
      <c r="H7586" s="599" t="s">
        <v>97</v>
      </c>
      <c r="I7586" s="558">
        <v>10.199999999999999</v>
      </c>
      <c r="J7586" s="567">
        <v>10</v>
      </c>
      <c r="K7586" s="648">
        <v>2</v>
      </c>
      <c r="L7586" s="552">
        <f t="shared" ref="L7586:L7587" si="1596">(I7586*J7586*K7586/1000)</f>
        <v>0.20399999999999999</v>
      </c>
      <c r="M7586" s="549"/>
      <c r="N7586" s="549"/>
      <c r="O7586" s="549"/>
      <c r="P7586" s="549"/>
      <c r="Q7586" s="1184" t="s">
        <v>800</v>
      </c>
      <c r="R7586" s="497" t="s">
        <v>829</v>
      </c>
      <c r="W7586" s="497"/>
      <c r="X7586" s="497"/>
    </row>
    <row r="7587" spans="1:24" ht="17.399999999999999">
      <c r="A7587" s="549"/>
      <c r="B7587" s="549"/>
      <c r="C7587" s="549"/>
      <c r="D7587" s="549"/>
      <c r="E7587" s="549"/>
      <c r="F7587" s="549"/>
      <c r="G7587" s="549" t="s">
        <v>21</v>
      </c>
      <c r="H7587" s="549" t="s">
        <v>97</v>
      </c>
      <c r="I7587" s="558">
        <v>10.199999999999999</v>
      </c>
      <c r="J7587" s="567">
        <v>10.5</v>
      </c>
      <c r="K7587" s="648">
        <v>29</v>
      </c>
      <c r="L7587" s="552">
        <f t="shared" si="1596"/>
        <v>3.1058999999999997</v>
      </c>
      <c r="M7587" s="549"/>
      <c r="N7587" s="549"/>
      <c r="O7587" s="549"/>
      <c r="P7587" s="549"/>
      <c r="W7587" s="497"/>
      <c r="X7587" s="497"/>
    </row>
    <row r="7588" spans="1:24" ht="17.399999999999999">
      <c r="A7588" s="549"/>
      <c r="B7588" s="549"/>
      <c r="C7588" s="549"/>
      <c r="D7588" s="549"/>
      <c r="E7588" s="549"/>
      <c r="F7588" s="549"/>
      <c r="G7588" s="549"/>
      <c r="H7588" s="549"/>
      <c r="I7588" s="558"/>
      <c r="J7588" s="567"/>
      <c r="K7588" s="648">
        <f t="shared" ref="K7588:N7588" si="1597">SUM(K7586:K7587)</f>
        <v>31</v>
      </c>
      <c r="L7588" s="567">
        <f t="shared" si="1597"/>
        <v>3.3098999999999998</v>
      </c>
      <c r="M7588" s="648">
        <f t="shared" si="1597"/>
        <v>0</v>
      </c>
      <c r="N7588" s="567">
        <f t="shared" si="1597"/>
        <v>0</v>
      </c>
      <c r="O7588" s="549"/>
      <c r="P7588" s="549" t="s">
        <v>762</v>
      </c>
      <c r="W7588" s="497"/>
      <c r="X7588" s="497"/>
    </row>
    <row r="7589" spans="1:24" ht="17.399999999999999">
      <c r="A7589" s="549"/>
      <c r="B7589" s="549"/>
      <c r="C7589" s="549"/>
      <c r="D7589" s="549"/>
      <c r="E7589" s="549"/>
      <c r="F7589" s="549"/>
      <c r="G7589" s="549"/>
      <c r="H7589" s="549"/>
      <c r="I7589" s="560"/>
      <c r="J7589" s="549"/>
      <c r="K7589" s="561"/>
      <c r="L7589" s="560"/>
      <c r="M7589" s="549"/>
      <c r="N7589" s="549"/>
      <c r="O7589" s="549"/>
      <c r="P7589" s="549"/>
      <c r="W7589" s="497"/>
      <c r="X7589" s="497"/>
    </row>
    <row r="7590" spans="1:24" ht="17.399999999999999">
      <c r="A7590" s="547" t="s">
        <v>523</v>
      </c>
      <c r="B7590" s="547" t="s">
        <v>737</v>
      </c>
      <c r="C7590" s="547" t="s">
        <v>446</v>
      </c>
      <c r="D7590" s="813" t="s">
        <v>447</v>
      </c>
      <c r="E7590" s="547" t="s">
        <v>359</v>
      </c>
      <c r="F7590" s="1134">
        <v>12</v>
      </c>
      <c r="G7590" s="549" t="s">
        <v>21</v>
      </c>
      <c r="H7590" s="599" t="s">
        <v>97</v>
      </c>
      <c r="I7590" s="558">
        <v>10.199999999999999</v>
      </c>
      <c r="J7590" s="567">
        <v>6.1</v>
      </c>
      <c r="K7590" s="648">
        <v>1</v>
      </c>
      <c r="L7590" s="552">
        <f>(I7590*J7590*K7590/1000)</f>
        <v>6.2219999999999991E-2</v>
      </c>
      <c r="M7590" s="549"/>
      <c r="N7590" s="549">
        <f t="shared" ref="N7590:N7592" si="1598">J7590*M7590*I7590/1000</f>
        <v>0</v>
      </c>
      <c r="O7590" s="549"/>
      <c r="P7590" s="549"/>
      <c r="Q7590" s="497" t="s">
        <v>837</v>
      </c>
      <c r="W7590" s="497"/>
      <c r="X7590" s="497"/>
    </row>
    <row r="7591" spans="1:24" ht="17.399999999999999">
      <c r="A7591" s="549"/>
      <c r="B7591" s="549"/>
      <c r="C7591" s="549"/>
      <c r="D7591" s="549"/>
      <c r="E7591" s="549"/>
      <c r="F7591" s="549"/>
      <c r="G7591" s="549" t="s">
        <v>21</v>
      </c>
      <c r="H7591" s="549" t="s">
        <v>97</v>
      </c>
      <c r="I7591" s="558">
        <v>10.199999999999999</v>
      </c>
      <c r="J7591" s="567">
        <v>10</v>
      </c>
      <c r="K7591" s="648">
        <v>20</v>
      </c>
      <c r="L7591" s="552">
        <f>(I7591*J7591*K7591/1000)</f>
        <v>2.04</v>
      </c>
      <c r="M7591" s="549"/>
      <c r="N7591" s="549">
        <f t="shared" si="1598"/>
        <v>0</v>
      </c>
      <c r="O7591" s="549"/>
      <c r="P7591" s="549"/>
      <c r="W7591" s="497"/>
      <c r="X7591" s="497"/>
    </row>
    <row r="7592" spans="1:24" ht="17.399999999999999">
      <c r="A7592" s="549"/>
      <c r="B7592" s="549"/>
      <c r="C7592" s="549"/>
      <c r="D7592" s="549"/>
      <c r="E7592" s="549"/>
      <c r="F7592" s="549"/>
      <c r="G7592" s="549" t="s">
        <v>21</v>
      </c>
      <c r="H7592" s="549" t="s">
        <v>97</v>
      </c>
      <c r="I7592" s="558">
        <v>10.199999999999999</v>
      </c>
      <c r="J7592" s="567">
        <v>11</v>
      </c>
      <c r="K7592" s="648">
        <v>45</v>
      </c>
      <c r="L7592" s="552">
        <f>(I7592*J7592*K7592/1000)</f>
        <v>5.0489999999999995</v>
      </c>
      <c r="M7592" s="549"/>
      <c r="N7592" s="549">
        <f t="shared" si="1598"/>
        <v>0</v>
      </c>
      <c r="O7592" s="549"/>
      <c r="P7592" s="549"/>
      <c r="W7592" s="497"/>
      <c r="X7592" s="497"/>
    </row>
    <row r="7593" spans="1:24" ht="17.399999999999999">
      <c r="A7593" s="549"/>
      <c r="B7593" s="549"/>
      <c r="C7593" s="549"/>
      <c r="D7593" s="549"/>
      <c r="E7593" s="549"/>
      <c r="F7593" s="549"/>
      <c r="G7593" s="549"/>
      <c r="H7593" s="549"/>
      <c r="I7593" s="558"/>
      <c r="J7593" s="567"/>
      <c r="K7593" s="648">
        <f>SUM(K7590:K7592)</f>
        <v>66</v>
      </c>
      <c r="L7593" s="567">
        <f>SUM(L7590:L7592)</f>
        <v>7.1512199999999995</v>
      </c>
      <c r="M7593" s="648">
        <f>SUM(M7590:M7592)</f>
        <v>0</v>
      </c>
      <c r="N7593" s="567">
        <f>SUM(N7590:N7592)</f>
        <v>0</v>
      </c>
      <c r="O7593" s="549"/>
      <c r="P7593" s="549" t="s">
        <v>762</v>
      </c>
      <c r="W7593" s="497"/>
      <c r="X7593" s="497"/>
    </row>
    <row r="7594" spans="1:24" s="497" customFormat="1" ht="17.399999999999999">
      <c r="A7594" s="549"/>
      <c r="B7594" s="549"/>
      <c r="C7594" s="549"/>
      <c r="D7594" s="549"/>
      <c r="E7594" s="549"/>
      <c r="F7594" s="549"/>
      <c r="G7594" s="549"/>
      <c r="H7594" s="549"/>
      <c r="I7594" s="558"/>
      <c r="J7594" s="567"/>
      <c r="K7594" s="648">
        <f>SUM(K7586:K7593)/2</f>
        <v>97</v>
      </c>
      <c r="L7594" s="567">
        <f>SUM(L7586:L7593)/2</f>
        <v>10.461119999999999</v>
      </c>
      <c r="M7594" s="648">
        <f>SUM(M7586:M7593)/2</f>
        <v>0</v>
      </c>
      <c r="N7594" s="567">
        <f>SUM(N7586:N7593)/2</f>
        <v>0</v>
      </c>
      <c r="O7594" s="549"/>
      <c r="P7594" s="549"/>
    </row>
    <row r="7595" spans="1:24" s="497" customFormat="1" ht="17.399999999999999">
      <c r="A7595" s="549"/>
      <c r="B7595" s="549"/>
      <c r="C7595" s="549"/>
      <c r="D7595" s="549"/>
      <c r="E7595" s="549"/>
      <c r="F7595" s="549"/>
      <c r="G7595" s="549"/>
      <c r="H7595" s="549"/>
      <c r="I7595" s="558"/>
      <c r="J7595" s="567"/>
      <c r="K7595" s="648"/>
      <c r="L7595" s="567"/>
      <c r="M7595" s="648"/>
      <c r="N7595" s="567"/>
      <c r="O7595" s="549"/>
      <c r="P7595" s="549"/>
    </row>
    <row r="7596" spans="1:24" s="497" customFormat="1" ht="17.399999999999999">
      <c r="A7596" s="549"/>
      <c r="B7596" s="549"/>
      <c r="C7596" s="549"/>
      <c r="D7596" s="549"/>
      <c r="E7596" s="549"/>
      <c r="F7596" s="549"/>
      <c r="G7596" s="549"/>
      <c r="H7596" s="549"/>
      <c r="I7596" s="558"/>
      <c r="J7596" s="567"/>
      <c r="K7596" s="648"/>
      <c r="L7596" s="567"/>
      <c r="M7596" s="549"/>
      <c r="N7596" s="549"/>
      <c r="O7596" s="549"/>
      <c r="P7596" s="549"/>
    </row>
    <row r="7597" spans="1:24" ht="17.399999999999999">
      <c r="A7597" s="547" t="s">
        <v>523</v>
      </c>
      <c r="B7597" s="852" t="s">
        <v>737</v>
      </c>
      <c r="C7597" s="547" t="s">
        <v>446</v>
      </c>
      <c r="D7597" s="813" t="s">
        <v>447</v>
      </c>
      <c r="E7597" s="547" t="s">
        <v>359</v>
      </c>
      <c r="F7597" s="1134">
        <v>12</v>
      </c>
      <c r="G7597" s="549" t="s">
        <v>21</v>
      </c>
      <c r="H7597" s="599" t="s">
        <v>95</v>
      </c>
      <c r="I7597" s="558">
        <v>13.4</v>
      </c>
      <c r="J7597" s="567">
        <v>7.5</v>
      </c>
      <c r="K7597" s="648">
        <v>16</v>
      </c>
      <c r="L7597" s="552">
        <f>(I7597*J7597*K7597/1000)</f>
        <v>1.6080000000000001</v>
      </c>
      <c r="M7597" s="549"/>
      <c r="N7597" s="549"/>
      <c r="O7597" s="549"/>
      <c r="P7597" s="549"/>
      <c r="Q7597" s="497" t="s">
        <v>856</v>
      </c>
      <c r="W7597" s="497"/>
      <c r="X7597" s="497"/>
    </row>
    <row r="7598" spans="1:24" ht="17.399999999999999">
      <c r="A7598" s="549"/>
      <c r="B7598" s="549"/>
      <c r="C7598" s="549"/>
      <c r="D7598" s="549"/>
      <c r="E7598" s="549"/>
      <c r="F7598" s="549"/>
      <c r="G7598" s="549" t="s">
        <v>21</v>
      </c>
      <c r="H7598" s="549" t="s">
        <v>95</v>
      </c>
      <c r="I7598" s="558">
        <v>13.4</v>
      </c>
      <c r="J7598" s="567">
        <v>9.1999999999999993</v>
      </c>
      <c r="K7598" s="648">
        <v>20</v>
      </c>
      <c r="L7598" s="552">
        <f>(I7598*J7598*K7598/1000)</f>
        <v>2.4655999999999998</v>
      </c>
      <c r="M7598" s="549"/>
      <c r="N7598" s="549"/>
      <c r="O7598" s="549"/>
      <c r="P7598" s="549"/>
      <c r="W7598" s="497"/>
      <c r="X7598" s="497"/>
    </row>
    <row r="7599" spans="1:24" ht="17.399999999999999">
      <c r="A7599" s="549"/>
      <c r="B7599" s="549"/>
      <c r="C7599" s="549"/>
      <c r="D7599" s="549"/>
      <c r="E7599" s="549"/>
      <c r="F7599" s="549"/>
      <c r="G7599" s="549" t="s">
        <v>21</v>
      </c>
      <c r="H7599" s="549" t="s">
        <v>95</v>
      </c>
      <c r="I7599" s="558">
        <v>13.4</v>
      </c>
      <c r="J7599" s="567">
        <v>11.5</v>
      </c>
      <c r="K7599" s="648">
        <v>20</v>
      </c>
      <c r="L7599" s="552">
        <f>(I7599*J7599*K7599/1000)</f>
        <v>3.0819999999999999</v>
      </c>
      <c r="M7599" s="549"/>
      <c r="N7599" s="549"/>
      <c r="O7599" s="549"/>
      <c r="P7599" s="549"/>
      <c r="W7599" s="497"/>
      <c r="X7599" s="497"/>
    </row>
    <row r="7600" spans="1:24" ht="17.399999999999999">
      <c r="A7600" s="549"/>
      <c r="B7600" s="549"/>
      <c r="C7600" s="549"/>
      <c r="D7600" s="549"/>
      <c r="E7600" s="549"/>
      <c r="F7600" s="549"/>
      <c r="G7600" s="549"/>
      <c r="H7600" s="549"/>
      <c r="I7600" s="558"/>
      <c r="J7600" s="567"/>
      <c r="K7600" s="648">
        <f>SUM(K7597:K7599)</f>
        <v>56</v>
      </c>
      <c r="L7600" s="567">
        <f>SUM(L7597:L7599)</f>
        <v>7.1555999999999997</v>
      </c>
      <c r="M7600" s="549"/>
      <c r="N7600" s="549"/>
      <c r="O7600" s="549"/>
      <c r="P7600" s="549" t="s">
        <v>763</v>
      </c>
      <c r="W7600" s="497"/>
      <c r="X7600" s="497"/>
    </row>
    <row r="7601" spans="1:24" ht="17.399999999999999">
      <c r="A7601" s="549"/>
      <c r="B7601" s="549"/>
      <c r="C7601" s="549"/>
      <c r="D7601" s="549"/>
      <c r="E7601" s="549"/>
      <c r="F7601" s="549"/>
      <c r="G7601" s="549"/>
      <c r="H7601" s="549"/>
      <c r="I7601" s="560"/>
      <c r="J7601" s="549"/>
      <c r="K7601" s="561"/>
      <c r="L7601" s="560"/>
      <c r="M7601" s="549"/>
      <c r="N7601" s="549"/>
      <c r="O7601" s="549"/>
      <c r="P7601" s="549"/>
      <c r="W7601" s="497"/>
      <c r="X7601" s="497"/>
    </row>
    <row r="7602" spans="1:24" ht="17.399999999999999">
      <c r="A7602" s="549"/>
      <c r="B7602" s="549"/>
      <c r="C7602" s="549"/>
      <c r="D7602" s="549"/>
      <c r="E7602" s="549"/>
      <c r="F7602" s="549"/>
      <c r="G7602" s="549"/>
      <c r="H7602" s="549"/>
      <c r="I7602" s="560"/>
      <c r="J7602" s="549"/>
      <c r="K7602" s="561"/>
      <c r="L7602" s="560"/>
      <c r="M7602" s="549"/>
      <c r="N7602" s="549"/>
      <c r="O7602" s="549"/>
      <c r="P7602" s="549"/>
      <c r="W7602" s="497"/>
      <c r="X7602" s="497"/>
    </row>
    <row r="7603" spans="1:24" ht="17.399999999999999">
      <c r="A7603" s="547" t="s">
        <v>445</v>
      </c>
      <c r="B7603" s="547" t="s">
        <v>583</v>
      </c>
      <c r="C7603" s="547" t="s">
        <v>19</v>
      </c>
      <c r="D7603" s="547" t="s">
        <v>60</v>
      </c>
      <c r="E7603" s="560" t="s">
        <v>323</v>
      </c>
      <c r="F7603" s="1134">
        <v>12</v>
      </c>
      <c r="G7603" s="549" t="s">
        <v>61</v>
      </c>
      <c r="H7603" s="599" t="s">
        <v>95</v>
      </c>
      <c r="I7603" s="558">
        <v>13.4</v>
      </c>
      <c r="J7603" s="710">
        <v>6</v>
      </c>
      <c r="K7603" s="648">
        <v>3</v>
      </c>
      <c r="L7603" s="552">
        <f>(I7603*J7603*K7603/1000)</f>
        <v>0.24120000000000003</v>
      </c>
      <c r="M7603" s="549">
        <v>3</v>
      </c>
      <c r="N7603" s="567">
        <f t="shared" ref="N7603" si="1599">J7603*M7603*I7603/1000</f>
        <v>0.24120000000000003</v>
      </c>
      <c r="O7603" s="549"/>
      <c r="P7603" s="549"/>
      <c r="Q7603" s="497" t="s">
        <v>847</v>
      </c>
      <c r="W7603" s="497"/>
      <c r="X7603" s="497"/>
    </row>
    <row r="7604" spans="1:24" ht="17.399999999999999">
      <c r="A7604" s="547"/>
      <c r="B7604" s="1160" t="s">
        <v>238</v>
      </c>
      <c r="C7604" s="547"/>
      <c r="D7604" s="547"/>
      <c r="E7604" s="547"/>
      <c r="F7604" s="1134"/>
      <c r="G7604" s="549"/>
      <c r="H7604" s="549"/>
      <c r="I7604" s="560"/>
      <c r="J7604" s="710"/>
      <c r="K7604" s="648">
        <f t="shared" ref="K7604:M7604" si="1600">SUM(K7603)</f>
        <v>3</v>
      </c>
      <c r="L7604" s="765">
        <f>SUM(L7603)</f>
        <v>0.24120000000000003</v>
      </c>
      <c r="M7604" s="648">
        <f t="shared" si="1600"/>
        <v>3</v>
      </c>
      <c r="N7604" s="765">
        <f>SUM(N7603)</f>
        <v>0.24120000000000003</v>
      </c>
      <c r="O7604" s="549"/>
      <c r="P7604" s="549" t="s">
        <v>764</v>
      </c>
      <c r="W7604" s="497"/>
      <c r="X7604" s="497"/>
    </row>
    <row r="7605" spans="1:24" s="497" customFormat="1" ht="17.399999999999999">
      <c r="A7605" s="547"/>
      <c r="B7605" s="1160"/>
      <c r="C7605" s="547"/>
      <c r="D7605" s="547"/>
      <c r="E7605" s="547"/>
      <c r="F7605" s="1156"/>
      <c r="G7605" s="549"/>
      <c r="H7605" s="549"/>
      <c r="I7605" s="560"/>
      <c r="J7605" s="710"/>
      <c r="K7605" s="648"/>
      <c r="L7605" s="765"/>
      <c r="M7605" s="648"/>
      <c r="N7605" s="765"/>
      <c r="O7605" s="549"/>
      <c r="P7605" s="549"/>
    </row>
    <row r="7606" spans="1:24" s="497" customFormat="1" ht="17.399999999999999">
      <c r="A7606" s="547" t="s">
        <v>715</v>
      </c>
      <c r="B7606" s="547" t="s">
        <v>748</v>
      </c>
      <c r="C7606" s="547" t="s">
        <v>19</v>
      </c>
      <c r="D7606" s="813" t="s">
        <v>60</v>
      </c>
      <c r="E7606" s="547" t="s">
        <v>716</v>
      </c>
      <c r="F7606" s="1156">
        <v>12</v>
      </c>
      <c r="G7606" s="549" t="s">
        <v>61</v>
      </c>
      <c r="H7606" s="599" t="s">
        <v>95</v>
      </c>
      <c r="I7606" s="558">
        <v>13.4</v>
      </c>
      <c r="J7606" s="710">
        <v>6.15</v>
      </c>
      <c r="K7606" s="648">
        <v>46</v>
      </c>
      <c r="L7606" s="552">
        <f t="shared" ref="L7606:L7609" si="1601">(I7606*J7606*K7606/1000)</f>
        <v>3.7908600000000008</v>
      </c>
      <c r="M7606" s="648">
        <f>1+4</f>
        <v>5</v>
      </c>
      <c r="N7606" s="567">
        <f t="shared" ref="N7606:N7609" si="1602">J7606*M7606*I7606/1000</f>
        <v>0.41205000000000003</v>
      </c>
      <c r="O7606" s="549"/>
      <c r="P7606" s="549"/>
      <c r="Q7606" s="497" t="s">
        <v>850</v>
      </c>
    </row>
    <row r="7607" spans="1:24" s="497" customFormat="1" ht="17.399999999999999">
      <c r="A7607" s="549"/>
      <c r="B7607" s="549" t="s">
        <v>88</v>
      </c>
      <c r="C7607" s="549"/>
      <c r="D7607" s="549"/>
      <c r="E7607" s="549"/>
      <c r="F7607" s="549"/>
      <c r="G7607" s="549" t="s">
        <v>61</v>
      </c>
      <c r="H7607" s="549" t="s">
        <v>95</v>
      </c>
      <c r="I7607" s="558">
        <v>13.4</v>
      </c>
      <c r="J7607" s="710">
        <v>8.75</v>
      </c>
      <c r="K7607" s="648">
        <v>19</v>
      </c>
      <c r="L7607" s="552">
        <f t="shared" si="1601"/>
        <v>2.2277499999999999</v>
      </c>
      <c r="M7607" s="648">
        <f>1+2</f>
        <v>3</v>
      </c>
      <c r="N7607" s="567">
        <f t="shared" si="1602"/>
        <v>0.35175000000000001</v>
      </c>
      <c r="O7607" s="549"/>
      <c r="P7607" s="549"/>
    </row>
    <row r="7608" spans="1:24" s="497" customFormat="1" ht="17.399999999999999">
      <c r="A7608" s="547"/>
      <c r="B7608" s="1160"/>
      <c r="C7608" s="547"/>
      <c r="D7608" s="547"/>
      <c r="E7608" s="547"/>
      <c r="F7608" s="1156"/>
      <c r="G7608" s="549" t="s">
        <v>61</v>
      </c>
      <c r="H7608" s="549" t="s">
        <v>95</v>
      </c>
      <c r="I7608" s="558">
        <v>13.4</v>
      </c>
      <c r="J7608" s="710">
        <v>10.4</v>
      </c>
      <c r="K7608" s="648">
        <v>139</v>
      </c>
      <c r="L7608" s="552">
        <f t="shared" si="1601"/>
        <v>19.371040000000001</v>
      </c>
      <c r="M7608" s="648">
        <f>2+1</f>
        <v>3</v>
      </c>
      <c r="N7608" s="567">
        <f t="shared" si="1602"/>
        <v>0.41808000000000006</v>
      </c>
      <c r="O7608" s="549"/>
      <c r="P7608" s="549"/>
    </row>
    <row r="7609" spans="1:24" s="497" customFormat="1" ht="17.399999999999999">
      <c r="A7609" s="547"/>
      <c r="B7609" s="1160"/>
      <c r="C7609" s="547"/>
      <c r="D7609" s="547"/>
      <c r="E7609" s="547"/>
      <c r="F7609" s="1156"/>
      <c r="G7609" s="549" t="s">
        <v>61</v>
      </c>
      <c r="H7609" s="549" t="s">
        <v>95</v>
      </c>
      <c r="I7609" s="558">
        <v>13.4</v>
      </c>
      <c r="J7609" s="710">
        <v>11.4</v>
      </c>
      <c r="K7609" s="648">
        <v>8</v>
      </c>
      <c r="L7609" s="552">
        <f t="shared" si="1601"/>
        <v>1.2220800000000001</v>
      </c>
      <c r="M7609" s="648"/>
      <c r="N7609" s="567">
        <f t="shared" si="1602"/>
        <v>0</v>
      </c>
      <c r="O7609" s="549"/>
      <c r="P7609" s="549"/>
    </row>
    <row r="7610" spans="1:24" s="497" customFormat="1" ht="17.399999999999999">
      <c r="A7610" s="547"/>
      <c r="B7610" s="1160"/>
      <c r="C7610" s="547"/>
      <c r="D7610" s="547"/>
      <c r="E7610" s="547"/>
      <c r="F7610" s="1156"/>
      <c r="G7610" s="549"/>
      <c r="H7610" s="549"/>
      <c r="I7610" s="560"/>
      <c r="J7610" s="710"/>
      <c r="K7610" s="648">
        <f t="shared" ref="K7610:M7610" si="1603">SUM(K7606:K7609)</f>
        <v>212</v>
      </c>
      <c r="L7610" s="765">
        <f t="shared" si="1603"/>
        <v>26.611730000000001</v>
      </c>
      <c r="M7610" s="648">
        <f t="shared" si="1603"/>
        <v>11</v>
      </c>
      <c r="N7610" s="765">
        <f>SUM(N7606:N7609)</f>
        <v>1.18188</v>
      </c>
      <c r="O7610" s="549"/>
      <c r="P7610" s="549" t="s">
        <v>765</v>
      </c>
    </row>
    <row r="7611" spans="1:24" s="497" customFormat="1" ht="17.399999999999999">
      <c r="A7611" s="547"/>
      <c r="B7611" s="1160"/>
      <c r="C7611" s="547"/>
      <c r="D7611" s="547"/>
      <c r="E7611" s="547"/>
      <c r="F7611" s="1156"/>
      <c r="G7611" s="549"/>
      <c r="H7611" s="549"/>
      <c r="I7611" s="560"/>
      <c r="J7611" s="710"/>
      <c r="K7611" s="766">
        <f>+K7610+K7604</f>
        <v>215</v>
      </c>
      <c r="L7611" s="765">
        <f>+L7610+L7604</f>
        <v>26.852930000000001</v>
      </c>
      <c r="M7611" s="766">
        <f>+M7610+M7604</f>
        <v>14</v>
      </c>
      <c r="N7611" s="765">
        <f>+N7610+N7604</f>
        <v>1.4230800000000001</v>
      </c>
      <c r="O7611" s="549"/>
      <c r="P7611" s="549"/>
    </row>
    <row r="7612" spans="1:24" ht="17.399999999999999">
      <c r="A7612" s="549"/>
      <c r="B7612" s="549"/>
      <c r="C7612" s="549"/>
      <c r="D7612" s="549"/>
      <c r="E7612" s="549"/>
      <c r="F7612" s="549"/>
      <c r="G7612" s="549"/>
      <c r="H7612" s="549"/>
      <c r="I7612" s="560"/>
      <c r="J7612" s="549"/>
      <c r="K7612" s="561"/>
      <c r="L7612" s="560"/>
      <c r="M7612" s="549"/>
      <c r="N7612" s="549"/>
      <c r="O7612" s="549"/>
      <c r="P7612" s="549"/>
    </row>
    <row r="7613" spans="1:24" ht="17.399999999999999">
      <c r="A7613" s="549"/>
      <c r="B7613" s="549"/>
      <c r="C7613" s="549"/>
      <c r="D7613" s="549"/>
      <c r="E7613" s="549"/>
      <c r="F7613" s="549"/>
      <c r="G7613" s="549"/>
      <c r="H7613" s="549"/>
      <c r="I7613" s="560"/>
      <c r="J7613" s="549"/>
      <c r="K7613" s="561"/>
      <c r="L7613" s="560"/>
      <c r="M7613" s="549"/>
      <c r="N7613" s="549"/>
      <c r="O7613" s="549"/>
      <c r="P7613" s="549"/>
    </row>
    <row r="7614" spans="1:24" s="497" customFormat="1" ht="17.399999999999999">
      <c r="A7614" s="549"/>
      <c r="B7614" s="549"/>
      <c r="C7614" s="549"/>
      <c r="D7614" s="549"/>
      <c r="E7614" s="549"/>
      <c r="F7614" s="549"/>
      <c r="G7614" s="549"/>
      <c r="H7614" s="549"/>
      <c r="I7614" s="558"/>
      <c r="J7614" s="567"/>
      <c r="K7614" s="648"/>
      <c r="L7614" s="567"/>
      <c r="M7614" s="549"/>
      <c r="N7614" s="549"/>
      <c r="O7614" s="549"/>
      <c r="P7614" s="549"/>
    </row>
    <row r="7615" spans="1:24" s="497" customFormat="1" ht="17.399999999999999">
      <c r="A7615" s="549"/>
      <c r="B7615" s="549"/>
      <c r="C7615" s="549"/>
      <c r="D7615" s="549"/>
      <c r="E7615" s="549"/>
      <c r="F7615" s="549"/>
      <c r="G7615" s="549"/>
      <c r="H7615" s="549"/>
      <c r="I7615" s="558"/>
      <c r="J7615" s="567"/>
      <c r="K7615" s="648"/>
      <c r="L7615" s="567"/>
      <c r="M7615" s="549"/>
      <c r="N7615" s="549"/>
      <c r="O7615" s="549"/>
      <c r="P7615" s="549"/>
    </row>
    <row r="7616" spans="1:24" ht="17.399999999999999">
      <c r="A7616" s="549"/>
      <c r="B7616" s="549"/>
      <c r="C7616" s="549"/>
      <c r="D7616" s="549"/>
      <c r="E7616" s="549"/>
      <c r="F7616" s="549"/>
      <c r="G7616" s="549"/>
      <c r="H7616" s="549"/>
      <c r="I7616" s="560"/>
      <c r="J7616" s="549"/>
      <c r="K7616" s="561"/>
      <c r="L7616" s="560"/>
      <c r="M7616" s="549"/>
      <c r="N7616" s="549"/>
      <c r="O7616" s="549"/>
      <c r="P7616" s="549"/>
    </row>
    <row r="7617" spans="1:24" ht="17.399999999999999">
      <c r="A7617" s="547" t="s">
        <v>523</v>
      </c>
      <c r="B7617" s="547" t="s">
        <v>737</v>
      </c>
      <c r="C7617" s="547" t="s">
        <v>446</v>
      </c>
      <c r="D7617" s="813" t="s">
        <v>450</v>
      </c>
      <c r="E7617" s="547" t="s">
        <v>270</v>
      </c>
      <c r="F7617" s="1134">
        <v>12</v>
      </c>
      <c r="G7617" s="549" t="s">
        <v>61</v>
      </c>
      <c r="H7617" s="599" t="s">
        <v>97</v>
      </c>
      <c r="I7617" s="558">
        <v>10.199999999999999</v>
      </c>
      <c r="J7617" s="567">
        <v>10</v>
      </c>
      <c r="K7617" s="648">
        <v>10</v>
      </c>
      <c r="L7617" s="552">
        <f t="shared" ref="L7617:L7619" si="1604">(I7617*J7617*K7617/1000)</f>
        <v>1.02</v>
      </c>
      <c r="M7617" s="549"/>
      <c r="N7617" s="549"/>
      <c r="O7617" s="549"/>
      <c r="P7617" s="549"/>
      <c r="Q7617" s="497" t="s">
        <v>837</v>
      </c>
    </row>
    <row r="7618" spans="1:24" ht="17.399999999999999">
      <c r="A7618" s="549"/>
      <c r="B7618" s="549"/>
      <c r="C7618" s="549"/>
      <c r="D7618" s="549"/>
      <c r="E7618" s="549"/>
      <c r="F7618" s="549"/>
      <c r="G7618" s="549" t="s">
        <v>61</v>
      </c>
      <c r="H7618" s="549" t="s">
        <v>97</v>
      </c>
      <c r="I7618" s="558">
        <v>10.199999999999999</v>
      </c>
      <c r="J7618" s="567">
        <v>11</v>
      </c>
      <c r="K7618" s="648">
        <v>20</v>
      </c>
      <c r="L7618" s="552">
        <f t="shared" si="1604"/>
        <v>2.2440000000000002</v>
      </c>
      <c r="M7618" s="549"/>
      <c r="N7618" s="549"/>
      <c r="O7618" s="549"/>
      <c r="P7618" s="549"/>
    </row>
    <row r="7619" spans="1:24" ht="17.399999999999999">
      <c r="A7619" s="549"/>
      <c r="B7619" s="549"/>
      <c r="C7619" s="549"/>
      <c r="D7619" s="549"/>
      <c r="E7619" s="549"/>
      <c r="F7619" s="549"/>
      <c r="G7619" s="549" t="s">
        <v>61</v>
      </c>
      <c r="H7619" s="549" t="s">
        <v>97</v>
      </c>
      <c r="I7619" s="558">
        <v>10.199999999999999</v>
      </c>
      <c r="J7619" s="567">
        <v>12</v>
      </c>
      <c r="K7619" s="648">
        <v>18</v>
      </c>
      <c r="L7619" s="552">
        <f t="shared" si="1604"/>
        <v>2.2031999999999998</v>
      </c>
      <c r="M7619" s="549"/>
      <c r="N7619" s="549"/>
      <c r="O7619" s="549"/>
      <c r="P7619" s="549"/>
    </row>
    <row r="7620" spans="1:24" ht="17.399999999999999">
      <c r="A7620" s="549"/>
      <c r="B7620" s="549"/>
      <c r="C7620" s="549"/>
      <c r="D7620" s="549"/>
      <c r="E7620" s="549"/>
      <c r="F7620" s="549"/>
      <c r="G7620" s="549"/>
      <c r="H7620" s="549"/>
      <c r="I7620" s="558"/>
      <c r="J7620" s="567"/>
      <c r="K7620" s="648">
        <f t="shared" ref="K7620:L7620" si="1605">SUM(K7617:K7619)</f>
        <v>48</v>
      </c>
      <c r="L7620" s="567">
        <f t="shared" si="1605"/>
        <v>5.4672000000000001</v>
      </c>
      <c r="M7620" s="549"/>
      <c r="N7620" s="549"/>
      <c r="O7620" s="549"/>
      <c r="P7620" s="549" t="s">
        <v>766</v>
      </c>
    </row>
    <row r="7621" spans="1:24" ht="17.399999999999999">
      <c r="A7621" s="549"/>
      <c r="B7621" s="549"/>
      <c r="C7621" s="549"/>
      <c r="D7621" s="549"/>
      <c r="E7621" s="549"/>
      <c r="F7621" s="549"/>
      <c r="G7621" s="549"/>
      <c r="H7621" s="549"/>
      <c r="I7621" s="560"/>
      <c r="J7621" s="549"/>
      <c r="K7621" s="561"/>
      <c r="L7621" s="560"/>
      <c r="M7621" s="549"/>
      <c r="N7621" s="549"/>
      <c r="O7621" s="549"/>
      <c r="P7621" s="549"/>
    </row>
    <row r="7622" spans="1:24" ht="17.399999999999999">
      <c r="A7622" s="547" t="s">
        <v>523</v>
      </c>
      <c r="B7622" s="852" t="s">
        <v>738</v>
      </c>
      <c r="C7622" s="547" t="s">
        <v>19</v>
      </c>
      <c r="D7622" s="547" t="s">
        <v>60</v>
      </c>
      <c r="E7622" s="547" t="s">
        <v>270</v>
      </c>
      <c r="F7622" s="1134">
        <v>12</v>
      </c>
      <c r="G7622" s="549" t="s">
        <v>61</v>
      </c>
      <c r="H7622" s="599" t="s">
        <v>97</v>
      </c>
      <c r="I7622" s="558">
        <v>10.199999999999999</v>
      </c>
      <c r="J7622" s="567">
        <v>12</v>
      </c>
      <c r="K7622" s="648">
        <v>6</v>
      </c>
      <c r="L7622" s="552">
        <f>(I7622*J7622*K7622/1000)</f>
        <v>0.73439999999999994</v>
      </c>
      <c r="M7622" s="549">
        <v>6</v>
      </c>
      <c r="N7622" s="567">
        <f t="shared" ref="N7622" si="1606">J7622*M7622*I7622/1000</f>
        <v>0.73439999999999994</v>
      </c>
      <c r="O7622" s="549"/>
      <c r="P7622" s="549"/>
      <c r="Q7622" s="497" t="s">
        <v>837</v>
      </c>
    </row>
    <row r="7623" spans="1:24" ht="17.399999999999999">
      <c r="A7623" s="549"/>
      <c r="B7623" s="549" t="s">
        <v>277</v>
      </c>
      <c r="C7623" s="549"/>
      <c r="D7623" s="549"/>
      <c r="E7623" s="549"/>
      <c r="F7623" s="549"/>
      <c r="G7623" s="549"/>
      <c r="H7623" s="549"/>
      <c r="I7623" s="558"/>
      <c r="J7623" s="567"/>
      <c r="K7623" s="648">
        <f t="shared" ref="K7623:N7623" si="1607">SUM(K7622)</f>
        <v>6</v>
      </c>
      <c r="L7623" s="567">
        <f t="shared" si="1607"/>
        <v>0.73439999999999994</v>
      </c>
      <c r="M7623" s="648">
        <f>SUM(M7622)</f>
        <v>6</v>
      </c>
      <c r="N7623" s="567">
        <f t="shared" si="1607"/>
        <v>0.73439999999999994</v>
      </c>
      <c r="O7623" s="549"/>
      <c r="P7623" s="549"/>
    </row>
    <row r="7624" spans="1:24" s="497" customFormat="1" ht="17.399999999999999">
      <c r="A7624" s="549"/>
      <c r="B7624" s="549"/>
      <c r="C7624" s="549"/>
      <c r="D7624" s="549"/>
      <c r="E7624" s="549"/>
      <c r="F7624" s="549"/>
      <c r="G7624" s="549"/>
      <c r="H7624" s="549"/>
      <c r="I7624" s="558"/>
      <c r="J7624" s="567"/>
      <c r="K7624" s="648">
        <f>SUM(K7617:K7623)/2</f>
        <v>54</v>
      </c>
      <c r="L7624" s="567">
        <f>SUM(L7617:L7623)/2</f>
        <v>6.2016000000000009</v>
      </c>
      <c r="M7624" s="648">
        <f>SUM(M7617:M7623)/2</f>
        <v>6</v>
      </c>
      <c r="N7624" s="567">
        <f>SUM(N7617:N7623)/2</f>
        <v>0.73439999999999994</v>
      </c>
      <c r="O7624" s="549"/>
      <c r="P7624" s="549"/>
    </row>
    <row r="7625" spans="1:24" s="497" customFormat="1" ht="17.399999999999999">
      <c r="A7625" s="549"/>
      <c r="B7625" s="549"/>
      <c r="C7625" s="549"/>
      <c r="D7625" s="549"/>
      <c r="E7625" s="549"/>
      <c r="F7625" s="549"/>
      <c r="G7625" s="549"/>
      <c r="H7625" s="549"/>
      <c r="I7625" s="558"/>
      <c r="J7625" s="567"/>
      <c r="K7625" s="648"/>
      <c r="L7625" s="567"/>
      <c r="M7625" s="648"/>
      <c r="N7625" s="567"/>
      <c r="O7625" s="549"/>
      <c r="P7625" s="549"/>
    </row>
    <row r="7626" spans="1:24" s="497" customFormat="1" ht="17.399999999999999">
      <c r="A7626" s="549"/>
      <c r="B7626" s="549"/>
      <c r="C7626" s="549"/>
      <c r="D7626" s="549"/>
      <c r="E7626" s="549"/>
      <c r="F7626" s="549"/>
      <c r="G7626" s="549"/>
      <c r="H7626" s="549"/>
      <c r="I7626" s="558"/>
      <c r="J7626" s="567"/>
      <c r="K7626" s="648"/>
      <c r="L7626" s="567"/>
      <c r="M7626" s="549"/>
      <c r="N7626" s="549"/>
      <c r="O7626" s="549"/>
      <c r="P7626" s="549"/>
    </row>
    <row r="7627" spans="1:24" ht="17.399999999999999">
      <c r="A7627" s="547" t="s">
        <v>523</v>
      </c>
      <c r="B7627" s="852" t="s">
        <v>738</v>
      </c>
      <c r="C7627" s="547" t="s">
        <v>19</v>
      </c>
      <c r="D7627" s="547" t="s">
        <v>60</v>
      </c>
      <c r="E7627" s="547" t="s">
        <v>270</v>
      </c>
      <c r="F7627" s="1134">
        <v>12</v>
      </c>
      <c r="G7627" s="549" t="s">
        <v>61</v>
      </c>
      <c r="H7627" s="599" t="s">
        <v>98</v>
      </c>
      <c r="I7627" s="558">
        <v>11.8</v>
      </c>
      <c r="J7627" s="567">
        <v>12</v>
      </c>
      <c r="K7627" s="648">
        <v>4</v>
      </c>
      <c r="L7627" s="552">
        <f>(I7627*J7627*K7627/1000)</f>
        <v>0.56640000000000013</v>
      </c>
      <c r="M7627" s="549">
        <v>4</v>
      </c>
      <c r="N7627" s="567">
        <f t="shared" ref="N7627" si="1608">J7627*M7627*I7627/1000</f>
        <v>0.56640000000000013</v>
      </c>
      <c r="O7627" s="549"/>
      <c r="P7627" s="549"/>
      <c r="Q7627" s="497" t="s">
        <v>837</v>
      </c>
    </row>
    <row r="7628" spans="1:24" ht="17.399999999999999">
      <c r="A7628" s="549"/>
      <c r="B7628" s="549" t="s">
        <v>277</v>
      </c>
      <c r="C7628" s="549"/>
      <c r="D7628" s="549"/>
      <c r="E7628" s="549"/>
      <c r="F7628" s="549"/>
      <c r="G7628" s="549"/>
      <c r="H7628" s="549"/>
      <c r="I7628" s="558"/>
      <c r="J7628" s="567"/>
      <c r="K7628" s="648">
        <f t="shared" ref="K7628:N7628" si="1609">SUM(K7627)</f>
        <v>4</v>
      </c>
      <c r="L7628" s="567">
        <f t="shared" si="1609"/>
        <v>0.56640000000000013</v>
      </c>
      <c r="M7628" s="648">
        <f t="shared" si="1609"/>
        <v>4</v>
      </c>
      <c r="N7628" s="567">
        <f t="shared" si="1609"/>
        <v>0.56640000000000013</v>
      </c>
      <c r="O7628" s="549"/>
      <c r="P7628" s="549"/>
    </row>
    <row r="7629" spans="1:24" ht="17.399999999999999">
      <c r="A7629" s="549"/>
      <c r="B7629" s="549"/>
      <c r="C7629" s="549"/>
      <c r="D7629" s="549"/>
      <c r="E7629" s="549"/>
      <c r="F7629" s="549"/>
      <c r="G7629" s="549"/>
      <c r="H7629" s="549"/>
      <c r="I7629" s="560"/>
      <c r="J7629" s="549"/>
      <c r="K7629" s="561"/>
      <c r="L7629" s="560"/>
      <c r="M7629" s="549"/>
      <c r="N7629" s="549"/>
      <c r="O7629" s="549"/>
      <c r="P7629" s="549"/>
    </row>
    <row r="7630" spans="1:24" s="497" customFormat="1" ht="17.399999999999999">
      <c r="A7630" s="549"/>
      <c r="B7630" s="549"/>
      <c r="C7630" s="549"/>
      <c r="D7630" s="549"/>
      <c r="E7630" s="549"/>
      <c r="F7630" s="549"/>
      <c r="G7630" s="549"/>
      <c r="H7630" s="549"/>
      <c r="I7630" s="560"/>
      <c r="J7630" s="549"/>
      <c r="K7630" s="561"/>
      <c r="L7630" s="560"/>
      <c r="M7630" s="549"/>
      <c r="N7630" s="549"/>
      <c r="O7630" s="549"/>
      <c r="P7630" s="549"/>
    </row>
    <row r="7631" spans="1:24" s="497" customFormat="1" ht="17.399999999999999">
      <c r="A7631" s="549"/>
      <c r="B7631" s="549"/>
      <c r="C7631" s="549"/>
      <c r="D7631" s="549"/>
      <c r="E7631" s="549"/>
      <c r="F7631" s="549"/>
      <c r="G7631" s="549"/>
      <c r="H7631" s="549"/>
      <c r="I7631" s="560"/>
      <c r="J7631" s="549"/>
      <c r="K7631" s="561"/>
      <c r="L7631" s="560"/>
      <c r="M7631" s="549"/>
      <c r="N7631" s="549"/>
      <c r="O7631" s="549"/>
      <c r="P7631" s="549"/>
    </row>
    <row r="7632" spans="1:24" s="497" customFormat="1" ht="18">
      <c r="A7632" s="547" t="s">
        <v>523</v>
      </c>
      <c r="B7632" s="852" t="s">
        <v>777</v>
      </c>
      <c r="C7632" s="547" t="s">
        <v>19</v>
      </c>
      <c r="D7632" s="547" t="s">
        <v>20</v>
      </c>
      <c r="E7632" s="547" t="s">
        <v>359</v>
      </c>
      <c r="F7632" s="1168">
        <v>12</v>
      </c>
      <c r="G7632" s="898" t="s">
        <v>21</v>
      </c>
      <c r="H7632" s="1162" t="s">
        <v>95</v>
      </c>
      <c r="I7632" s="1586">
        <v>13.4</v>
      </c>
      <c r="J7632" s="914">
        <v>12</v>
      </c>
      <c r="K7632" s="915">
        <v>82</v>
      </c>
      <c r="L7632" s="725">
        <f>(I7632*J7632*K7632/1000)</f>
        <v>13.185600000000001</v>
      </c>
      <c r="M7632" s="549"/>
      <c r="N7632" s="549"/>
      <c r="O7632" s="549"/>
      <c r="P7632" s="549"/>
      <c r="Q7632" s="497">
        <v>24</v>
      </c>
      <c r="R7632" s="126">
        <f t="shared" ref="R7632" si="1610">J7632*Q7632*I7632/1000</f>
        <v>3.8592000000000004</v>
      </c>
      <c r="S7632" s="497">
        <f>12+3</f>
        <v>15</v>
      </c>
      <c r="T7632" s="126">
        <f t="shared" ref="T7632" si="1611">J7632*S7632*I7632/1000</f>
        <v>2.4119999999999999</v>
      </c>
      <c r="U7632" s="432">
        <v>10.5</v>
      </c>
      <c r="V7632" s="512">
        <f>3+5</f>
        <v>8</v>
      </c>
      <c r="W7632" s="497">
        <f>U7632*V7632*13.4</f>
        <v>1125.6000000000001</v>
      </c>
      <c r="X7632" s="497" t="s">
        <v>829</v>
      </c>
    </row>
    <row r="7633" spans="1:23" s="497" customFormat="1" ht="18">
      <c r="A7633" s="549"/>
      <c r="B7633" s="549" t="s">
        <v>277</v>
      </c>
      <c r="C7633" s="549"/>
      <c r="D7633" s="549"/>
      <c r="E7633" s="549"/>
      <c r="F7633" s="549"/>
      <c r="G7633" s="898"/>
      <c r="H7633" s="898"/>
      <c r="I7633" s="1586"/>
      <c r="J7633" s="914"/>
      <c r="K7633" s="915">
        <f t="shared" ref="K7633" si="1612">SUM(K7632)</f>
        <v>82</v>
      </c>
      <c r="L7633" s="938">
        <f>SUM(L7632)</f>
        <v>13.185600000000001</v>
      </c>
      <c r="M7633" s="549"/>
      <c r="N7633" s="549"/>
      <c r="O7633" s="549"/>
      <c r="P7633" s="549" t="s">
        <v>780</v>
      </c>
      <c r="Q7633" s="915">
        <f t="shared" ref="Q7633:S7633" si="1613">SUM(Q7632)</f>
        <v>24</v>
      </c>
      <c r="R7633" s="938">
        <f>SUM(R7632)</f>
        <v>3.8592000000000004</v>
      </c>
      <c r="S7633" s="915">
        <f t="shared" si="1613"/>
        <v>15</v>
      </c>
      <c r="T7633" s="938">
        <f>SUM(T7632)</f>
        <v>2.4119999999999999</v>
      </c>
      <c r="U7633" s="432">
        <v>10.8</v>
      </c>
      <c r="V7633" s="497">
        <v>3</v>
      </c>
      <c r="W7633" s="497">
        <f>U7633*V7633*13.4</f>
        <v>434.16000000000008</v>
      </c>
    </row>
    <row r="7634" spans="1:23" s="497" customFormat="1" ht="18">
      <c r="A7634" s="549"/>
      <c r="B7634" s="549"/>
      <c r="C7634" s="549"/>
      <c r="D7634" s="549"/>
      <c r="E7634" s="549"/>
      <c r="F7634" s="549"/>
      <c r="G7634" s="898"/>
      <c r="H7634" s="898"/>
      <c r="I7634" s="1586"/>
      <c r="J7634" s="914"/>
      <c r="K7634" s="915"/>
      <c r="L7634" s="938"/>
      <c r="M7634" s="549"/>
      <c r="N7634" s="549"/>
      <c r="O7634" s="549"/>
      <c r="P7634" s="549"/>
      <c r="U7634" s="432">
        <v>10.3</v>
      </c>
      <c r="V7634" s="497">
        <v>3</v>
      </c>
      <c r="W7634" s="497">
        <f>U7634*V7634*13.4</f>
        <v>414.06000000000006</v>
      </c>
    </row>
    <row r="7635" spans="1:23" s="497" customFormat="1" ht="17.399999999999999">
      <c r="A7635" s="549"/>
      <c r="B7635" s="549"/>
      <c r="C7635" s="549"/>
      <c r="D7635" s="549"/>
      <c r="E7635" s="549"/>
      <c r="F7635" s="549"/>
      <c r="G7635" s="549"/>
      <c r="H7635" s="549"/>
      <c r="I7635" s="560"/>
      <c r="J7635" s="549"/>
      <c r="K7635" s="561"/>
      <c r="L7635" s="560"/>
      <c r="M7635" s="549"/>
      <c r="N7635" s="549"/>
      <c r="O7635" s="549"/>
      <c r="P7635" s="549"/>
      <c r="U7635" s="433">
        <v>10</v>
      </c>
      <c r="V7635" s="497">
        <v>6</v>
      </c>
      <c r="W7635" s="497">
        <f>U7635*V7635*13.4</f>
        <v>804</v>
      </c>
    </row>
    <row r="7636" spans="1:23" s="497" customFormat="1" ht="18">
      <c r="A7636" s="547" t="s">
        <v>523</v>
      </c>
      <c r="B7636" s="852" t="s">
        <v>777</v>
      </c>
      <c r="C7636" s="547" t="s">
        <v>19</v>
      </c>
      <c r="D7636" s="547" t="s">
        <v>20</v>
      </c>
      <c r="E7636" s="547" t="s">
        <v>359</v>
      </c>
      <c r="F7636" s="1168">
        <v>12</v>
      </c>
      <c r="G7636" s="898" t="s">
        <v>21</v>
      </c>
      <c r="H7636" s="1162" t="s">
        <v>97</v>
      </c>
      <c r="I7636" s="1586">
        <v>10.199999999999999</v>
      </c>
      <c r="J7636" s="914">
        <v>12</v>
      </c>
      <c r="K7636" s="915">
        <v>116</v>
      </c>
      <c r="L7636" s="725">
        <f>(I7636*J7636*K7636/1000)</f>
        <v>14.198399999999999</v>
      </c>
      <c r="M7636" s="549"/>
      <c r="N7636" s="549"/>
      <c r="O7636" s="549"/>
      <c r="P7636" s="549"/>
      <c r="Q7636" s="497">
        <f>24+21</f>
        <v>45</v>
      </c>
      <c r="R7636" s="126">
        <f t="shared" ref="R7636" si="1614">J7636*Q7636*I7636/1000</f>
        <v>5.508</v>
      </c>
      <c r="S7636" s="497" t="s">
        <v>847</v>
      </c>
    </row>
    <row r="7637" spans="1:23" s="497" customFormat="1" ht="18">
      <c r="A7637" s="549"/>
      <c r="B7637" s="549" t="s">
        <v>277</v>
      </c>
      <c r="C7637" s="549"/>
      <c r="D7637" s="549"/>
      <c r="E7637" s="549"/>
      <c r="F7637" s="549"/>
      <c r="G7637" s="898"/>
      <c r="H7637" s="898"/>
      <c r="I7637" s="1586"/>
      <c r="J7637" s="914"/>
      <c r="K7637" s="915">
        <f t="shared" ref="K7637" si="1615">SUM(K7636)</f>
        <v>116</v>
      </c>
      <c r="L7637" s="938">
        <f>SUM(L7636)</f>
        <v>14.198399999999999</v>
      </c>
      <c r="M7637" s="549"/>
      <c r="N7637" s="549"/>
      <c r="O7637" s="549"/>
      <c r="P7637" s="549" t="s">
        <v>779</v>
      </c>
      <c r="Q7637" s="915">
        <f t="shared" ref="Q7637" si="1616">SUM(Q7636)</f>
        <v>45</v>
      </c>
      <c r="R7637" s="938">
        <f>SUM(R7636)</f>
        <v>5.508</v>
      </c>
    </row>
    <row r="7638" spans="1:23" s="497" customFormat="1" ht="18">
      <c r="A7638" s="549"/>
      <c r="B7638" s="549"/>
      <c r="C7638" s="549"/>
      <c r="D7638" s="549"/>
      <c r="E7638" s="549"/>
      <c r="F7638" s="549"/>
      <c r="G7638" s="898"/>
      <c r="H7638" s="898"/>
      <c r="I7638" s="1586"/>
      <c r="J7638" s="914"/>
      <c r="K7638" s="915"/>
      <c r="L7638" s="938"/>
      <c r="M7638" s="549"/>
      <c r="N7638" s="549"/>
      <c r="O7638" s="549"/>
      <c r="P7638" s="549"/>
    </row>
    <row r="7639" spans="1:23" s="497" customFormat="1" ht="17.399999999999999">
      <c r="A7639" s="549"/>
      <c r="B7639" s="549"/>
      <c r="C7639" s="549"/>
      <c r="D7639" s="549"/>
      <c r="E7639" s="549"/>
      <c r="F7639" s="549"/>
      <c r="G7639" s="549"/>
      <c r="H7639" s="549"/>
      <c r="I7639" s="560"/>
      <c r="J7639" s="549"/>
      <c r="K7639" s="561"/>
      <c r="L7639" s="560"/>
      <c r="M7639" s="549"/>
      <c r="N7639" s="549"/>
      <c r="O7639" s="549"/>
      <c r="P7639" s="549"/>
    </row>
    <row r="7640" spans="1:23" s="497" customFormat="1" ht="17.399999999999999">
      <c r="A7640" s="547" t="s">
        <v>83</v>
      </c>
      <c r="B7640" s="547" t="s">
        <v>613</v>
      </c>
      <c r="C7640" s="547" t="s">
        <v>446</v>
      </c>
      <c r="D7640" s="813" t="s">
        <v>447</v>
      </c>
      <c r="E7640" s="547" t="s">
        <v>359</v>
      </c>
      <c r="F7640" s="1168">
        <v>12</v>
      </c>
      <c r="G7640" s="549" t="s">
        <v>21</v>
      </c>
      <c r="H7640" s="599" t="s">
        <v>95</v>
      </c>
      <c r="I7640" s="558">
        <v>13.4</v>
      </c>
      <c r="J7640" s="567">
        <v>10.85</v>
      </c>
      <c r="K7640" s="848">
        <v>152</v>
      </c>
      <c r="L7640" s="552">
        <f>(I7640*J7640*K7640/1000)</f>
        <v>22.09928</v>
      </c>
      <c r="M7640" s="549"/>
      <c r="N7640" s="549"/>
      <c r="O7640" s="549"/>
      <c r="P7640" s="549"/>
      <c r="Q7640" s="497" t="s">
        <v>856</v>
      </c>
    </row>
    <row r="7641" spans="1:23" s="497" customFormat="1" ht="17.399999999999999">
      <c r="A7641" s="549"/>
      <c r="B7641" s="549"/>
      <c r="C7641" s="549"/>
      <c r="D7641" s="549"/>
      <c r="E7641" s="549"/>
      <c r="F7641" s="549"/>
      <c r="G7641" s="549"/>
      <c r="H7641" s="549"/>
      <c r="I7641" s="558"/>
      <c r="J7641" s="567"/>
      <c r="K7641" s="648">
        <f>SUM(K7640:K7640)</f>
        <v>152</v>
      </c>
      <c r="L7641" s="567">
        <f>SUM(L7640:L7640)</f>
        <v>22.09928</v>
      </c>
      <c r="M7641" s="549"/>
      <c r="N7641" s="549"/>
      <c r="O7641" s="549"/>
      <c r="P7641" s="549" t="s">
        <v>763</v>
      </c>
    </row>
    <row r="7642" spans="1:23" s="497" customFormat="1" ht="17.399999999999999">
      <c r="A7642" s="549"/>
      <c r="B7642" s="549"/>
      <c r="C7642" s="549"/>
      <c r="D7642" s="549"/>
      <c r="E7642" s="549"/>
      <c r="F7642" s="549"/>
      <c r="G7642" s="549"/>
      <c r="H7642" s="549"/>
      <c r="I7642" s="560"/>
      <c r="J7642" s="549"/>
      <c r="K7642" s="561"/>
      <c r="L7642" s="560"/>
      <c r="M7642" s="549"/>
      <c r="N7642" s="549"/>
      <c r="O7642" s="549"/>
      <c r="P7642" s="549"/>
    </row>
    <row r="7643" spans="1:23" s="497" customFormat="1" ht="17.399999999999999">
      <c r="A7643" s="549"/>
      <c r="B7643" s="549"/>
      <c r="C7643" s="549"/>
      <c r="D7643" s="549"/>
      <c r="E7643" s="549"/>
      <c r="F7643" s="549"/>
      <c r="G7643" s="549"/>
      <c r="H7643" s="549"/>
      <c r="I7643" s="560"/>
      <c r="J7643" s="549"/>
      <c r="K7643" s="561"/>
      <c r="L7643" s="560"/>
      <c r="M7643" s="549"/>
      <c r="N7643" s="549"/>
      <c r="O7643" s="549"/>
      <c r="P7643" s="549"/>
    </row>
    <row r="7644" spans="1:23" s="497" customFormat="1" ht="18">
      <c r="A7644" s="547" t="s">
        <v>523</v>
      </c>
      <c r="B7644" s="852" t="s">
        <v>778</v>
      </c>
      <c r="C7644" s="547" t="s">
        <v>19</v>
      </c>
      <c r="D7644" s="547" t="s">
        <v>60</v>
      </c>
      <c r="E7644" s="547" t="s">
        <v>270</v>
      </c>
      <c r="F7644" s="1168">
        <v>12</v>
      </c>
      <c r="G7644" s="898" t="s">
        <v>61</v>
      </c>
      <c r="H7644" s="1162" t="s">
        <v>95</v>
      </c>
      <c r="I7644" s="1586">
        <v>13.4</v>
      </c>
      <c r="J7644" s="938">
        <v>7.75</v>
      </c>
      <c r="K7644" s="915">
        <v>12</v>
      </c>
      <c r="L7644" s="552">
        <f>(I7644*J7644*K7644/1000)</f>
        <v>1.2462</v>
      </c>
      <c r="M7644" s="549"/>
      <c r="N7644" s="549"/>
      <c r="O7644" s="549"/>
      <c r="P7644" s="549"/>
      <c r="Q7644" s="497" t="s">
        <v>850</v>
      </c>
    </row>
    <row r="7645" spans="1:23" s="497" customFormat="1" ht="18">
      <c r="A7645" s="549"/>
      <c r="B7645" s="1162" t="s">
        <v>333</v>
      </c>
      <c r="C7645" s="549"/>
      <c r="D7645" s="549"/>
      <c r="E7645" s="549"/>
      <c r="F7645" s="549"/>
      <c r="G7645" s="898" t="s">
        <v>61</v>
      </c>
      <c r="H7645" s="898" t="s">
        <v>95</v>
      </c>
      <c r="I7645" s="1586">
        <v>13.4</v>
      </c>
      <c r="J7645" s="938">
        <v>11</v>
      </c>
      <c r="K7645" s="915">
        <v>24</v>
      </c>
      <c r="L7645" s="552">
        <f>(I7645*J7645*K7645/1000)</f>
        <v>3.5376000000000003</v>
      </c>
      <c r="M7645" s="549"/>
      <c r="N7645" s="549"/>
      <c r="O7645" s="549"/>
      <c r="P7645" s="549"/>
    </row>
    <row r="7646" spans="1:23" s="497" customFormat="1" ht="18">
      <c r="A7646" s="549"/>
      <c r="B7646" s="549"/>
      <c r="C7646" s="549"/>
      <c r="D7646" s="549"/>
      <c r="E7646" s="549"/>
      <c r="F7646" s="549"/>
      <c r="G7646" s="898" t="s">
        <v>61</v>
      </c>
      <c r="H7646" s="898" t="s">
        <v>95</v>
      </c>
      <c r="I7646" s="1586">
        <v>13.4</v>
      </c>
      <c r="J7646" s="938">
        <v>12</v>
      </c>
      <c r="K7646" s="915">
        <v>10</v>
      </c>
      <c r="L7646" s="552">
        <f>(I7646*J7646*K7646/1000)</f>
        <v>1.6080000000000001</v>
      </c>
      <c r="M7646" s="549"/>
      <c r="N7646" s="549"/>
      <c r="O7646" s="549"/>
      <c r="P7646" s="549"/>
    </row>
    <row r="7647" spans="1:23" s="497" customFormat="1" ht="18">
      <c r="A7647" s="549"/>
      <c r="B7647" s="549"/>
      <c r="C7647" s="549"/>
      <c r="D7647" s="549"/>
      <c r="E7647" s="549"/>
      <c r="F7647" s="549"/>
      <c r="G7647" s="898"/>
      <c r="H7647" s="898"/>
      <c r="I7647" s="920"/>
      <c r="J7647" s="938"/>
      <c r="K7647" s="915">
        <f>SUM(K7644:K7646)</f>
        <v>46</v>
      </c>
      <c r="L7647" s="996">
        <f>SUM(L7644:L7646)</f>
        <v>6.3917999999999999</v>
      </c>
      <c r="M7647" s="549"/>
      <c r="N7647" s="549"/>
      <c r="O7647" s="549"/>
      <c r="P7647" s="549" t="s">
        <v>781</v>
      </c>
    </row>
    <row r="7648" spans="1:23" s="497" customFormat="1" ht="17.399999999999999">
      <c r="A7648" s="549"/>
      <c r="B7648" s="549"/>
      <c r="C7648" s="549"/>
      <c r="D7648" s="549"/>
      <c r="E7648" s="549"/>
      <c r="F7648" s="549"/>
      <c r="G7648" s="549"/>
      <c r="H7648" s="549"/>
      <c r="I7648" s="560"/>
      <c r="J7648" s="549"/>
      <c r="K7648" s="561"/>
      <c r="L7648" s="560"/>
      <c r="M7648" s="549"/>
      <c r="N7648" s="549"/>
      <c r="O7648" s="549"/>
      <c r="P7648" s="549"/>
    </row>
    <row r="7649" spans="1:16" s="497" customFormat="1" ht="17.399999999999999">
      <c r="A7649" s="549"/>
      <c r="B7649" s="549"/>
      <c r="C7649" s="549"/>
      <c r="D7649" s="549"/>
      <c r="E7649" s="549"/>
      <c r="F7649" s="549"/>
      <c r="G7649" s="549"/>
      <c r="H7649" s="549"/>
      <c r="I7649" s="560"/>
      <c r="J7649" s="549"/>
      <c r="K7649" s="561"/>
      <c r="L7649" s="565">
        <f>+L7647+L7633+L7637+L7641</f>
        <v>55.875080000000004</v>
      </c>
      <c r="M7649" s="549"/>
      <c r="N7649" s="549"/>
      <c r="O7649" s="549"/>
      <c r="P7649" s="549"/>
    </row>
    <row r="7650" spans="1:16" s="497" customFormat="1" ht="17.399999999999999">
      <c r="A7650" s="549"/>
      <c r="B7650" s="549"/>
      <c r="C7650" s="549"/>
      <c r="D7650" s="549"/>
      <c r="E7650" s="549"/>
      <c r="F7650" s="549"/>
      <c r="G7650" s="549"/>
      <c r="H7650" s="549"/>
      <c r="I7650" s="560"/>
      <c r="J7650" s="549"/>
      <c r="K7650" s="561"/>
      <c r="L7650" s="560"/>
      <c r="M7650" s="549"/>
      <c r="N7650" s="549"/>
      <c r="O7650" s="549"/>
      <c r="P7650" s="549"/>
    </row>
    <row r="7651" spans="1:16" s="497" customFormat="1" ht="17.399999999999999">
      <c r="A7651" s="547"/>
      <c r="B7651" s="1160"/>
      <c r="C7651" s="547"/>
      <c r="D7651" s="547"/>
      <c r="E7651" s="547"/>
      <c r="F7651" s="1156"/>
      <c r="G7651" s="549"/>
      <c r="H7651" s="549"/>
      <c r="I7651" s="560"/>
      <c r="J7651" s="710"/>
      <c r="K7651" s="648"/>
      <c r="L7651" s="765"/>
      <c r="M7651" s="648"/>
      <c r="N7651" s="765"/>
      <c r="O7651" s="549"/>
      <c r="P7651" s="549"/>
    </row>
    <row r="7652" spans="1:16" ht="17.399999999999999">
      <c r="A7652" s="549"/>
      <c r="B7652" s="549"/>
      <c r="C7652" s="549"/>
      <c r="D7652" s="549"/>
      <c r="E7652" s="549"/>
      <c r="F7652" s="549"/>
      <c r="G7652" s="549"/>
      <c r="H7652" s="549"/>
      <c r="I7652" s="560"/>
      <c r="J7652" s="549"/>
      <c r="K7652" s="561"/>
      <c r="L7652" s="560"/>
      <c r="M7652" s="549"/>
      <c r="N7652" s="549"/>
      <c r="O7652" s="549"/>
      <c r="P7652" s="549"/>
    </row>
    <row r="7653" spans="1:16" ht="17.399999999999999">
      <c r="A7653" s="549"/>
      <c r="B7653" s="549"/>
      <c r="C7653" s="549"/>
      <c r="D7653" s="549"/>
      <c r="E7653" s="549"/>
      <c r="F7653" s="549"/>
      <c r="G7653" s="549"/>
      <c r="H7653" s="549"/>
      <c r="I7653" s="560"/>
      <c r="J7653" s="549"/>
      <c r="K7653" s="561"/>
      <c r="L7653" s="568">
        <f>+L7628+L7624+L7600+L7584+L7594+L7611+L7577+L7572+L7564+L7521+L7517+L7649</f>
        <v>424.77341000000001</v>
      </c>
      <c r="M7653" s="549"/>
      <c r="N7653" s="568">
        <f>+N7628+N7624+N7600+N7584+N7594+N7611+N7577+N7572+N7564+N7521+N7517</f>
        <v>12.824240000000001</v>
      </c>
      <c r="O7653" s="549"/>
      <c r="P7653" s="549"/>
    </row>
    <row r="7654" spans="1:16" ht="17.399999999999999">
      <c r="A7654" s="653" t="s">
        <v>48</v>
      </c>
      <c r="B7654" s="653"/>
      <c r="C7654" s="654"/>
      <c r="D7654" s="654"/>
      <c r="E7654" s="654"/>
      <c r="F7654" s="1132"/>
      <c r="G7654" s="654"/>
      <c r="H7654" s="1132"/>
      <c r="I7654" s="656"/>
      <c r="J7654" s="654"/>
      <c r="K7654" s="657"/>
      <c r="L7654" s="2003" t="s">
        <v>0</v>
      </c>
      <c r="M7654" s="2003"/>
      <c r="N7654" s="2003"/>
      <c r="O7654" s="2004"/>
      <c r="P7654" s="2010"/>
    </row>
    <row r="7655" spans="1:16" ht="17.399999999999999">
      <c r="A7655" s="658" t="s">
        <v>1</v>
      </c>
      <c r="B7655" s="658"/>
      <c r="C7655" s="658"/>
      <c r="D7655" s="659" t="s">
        <v>2</v>
      </c>
      <c r="E7655" s="659"/>
      <c r="F7655" s="660"/>
      <c r="G7655" s="660"/>
      <c r="H7655" s="660"/>
      <c r="I7655" s="661"/>
      <c r="J7655" s="660"/>
      <c r="K7655" s="662" t="s">
        <v>3</v>
      </c>
      <c r="L7655" s="660"/>
      <c r="M7655" s="658"/>
      <c r="N7655" s="660"/>
      <c r="O7655" s="663"/>
      <c r="P7655" s="2010"/>
    </row>
    <row r="7656" spans="1:16" ht="17.399999999999999">
      <c r="A7656" s="1132" t="s">
        <v>22</v>
      </c>
      <c r="B7656" s="1990" t="s">
        <v>23</v>
      </c>
      <c r="C7656" s="2005"/>
      <c r="D7656" s="1989"/>
      <c r="E7656" s="1132" t="s">
        <v>24</v>
      </c>
      <c r="F7656" s="1990" t="s">
        <v>25</v>
      </c>
      <c r="G7656" s="1989"/>
      <c r="H7656" s="1990" t="s">
        <v>26</v>
      </c>
      <c r="I7656" s="2005"/>
      <c r="J7656" s="2005"/>
      <c r="K7656" s="1989"/>
      <c r="L7656" s="2006" t="s">
        <v>27</v>
      </c>
      <c r="M7656" s="2006"/>
      <c r="N7656" s="2006"/>
      <c r="O7656" s="1990"/>
      <c r="P7656" s="2010"/>
    </row>
    <row r="7657" spans="1:16" ht="17.399999999999999">
      <c r="A7657" s="664"/>
      <c r="B7657" s="1975"/>
      <c r="C7657" s="1976"/>
      <c r="D7657" s="1977"/>
      <c r="E7657" s="665"/>
      <c r="F7657" s="1975"/>
      <c r="G7657" s="1977"/>
      <c r="H7657" s="1975"/>
      <c r="I7657" s="1976"/>
      <c r="J7657" s="1976"/>
      <c r="K7657" s="1977"/>
      <c r="L7657" s="1975"/>
      <c r="M7657" s="1976"/>
      <c r="N7657" s="1976"/>
      <c r="O7657" s="1976"/>
      <c r="P7657" s="2010"/>
    </row>
    <row r="7658" spans="1:16" s="497" customFormat="1" ht="17.399999999999999">
      <c r="A7658" s="664"/>
      <c r="B7658" s="1126"/>
      <c r="C7658" s="1127"/>
      <c r="D7658" s="1128"/>
      <c r="E7658" s="665"/>
      <c r="F7658" s="1126"/>
      <c r="G7658" s="1128"/>
      <c r="H7658" s="1126"/>
      <c r="I7658" s="1842"/>
      <c r="J7658" s="1127"/>
      <c r="K7658" s="1128"/>
      <c r="L7658" s="1127"/>
      <c r="M7658" s="1127"/>
      <c r="N7658" s="1127"/>
      <c r="O7658" s="1127"/>
      <c r="P7658" s="2010"/>
    </row>
    <row r="7659" spans="1:16" ht="17.399999999999999">
      <c r="A7659" s="664" t="s">
        <v>28</v>
      </c>
      <c r="B7659" s="1975" t="s">
        <v>104</v>
      </c>
      <c r="C7659" s="1976"/>
      <c r="D7659" s="1977"/>
      <c r="E7659" s="665">
        <f>+L7517-1.404</f>
        <v>173.83075999999997</v>
      </c>
      <c r="F7659" s="2016">
        <v>13</v>
      </c>
      <c r="G7659" s="2017"/>
      <c r="H7659" s="1975" t="s">
        <v>49</v>
      </c>
      <c r="I7659" s="1976"/>
      <c r="J7659" s="1976"/>
      <c r="K7659" s="1977"/>
      <c r="L7659" s="1976" t="s">
        <v>742</v>
      </c>
      <c r="M7659" s="1976"/>
      <c r="N7659" s="1976"/>
      <c r="O7659" s="1976"/>
      <c r="P7659" s="2010"/>
    </row>
    <row r="7660" spans="1:16" ht="17.399999999999999">
      <c r="A7660" s="664" t="s">
        <v>29</v>
      </c>
      <c r="B7660" s="1975" t="s">
        <v>102</v>
      </c>
      <c r="C7660" s="1976"/>
      <c r="D7660" s="1977"/>
      <c r="E7660" s="665">
        <f>+L7564-3.524+13.186</f>
        <v>123.81525999999999</v>
      </c>
      <c r="F7660" s="1975">
        <v>12</v>
      </c>
      <c r="G7660" s="1977"/>
      <c r="H7660" s="1975" t="s">
        <v>49</v>
      </c>
      <c r="I7660" s="1976"/>
      <c r="J7660" s="1976"/>
      <c r="K7660" s="1977"/>
      <c r="L7660" s="1976" t="s">
        <v>742</v>
      </c>
      <c r="M7660" s="1976"/>
      <c r="N7660" s="1976"/>
      <c r="O7660" s="1976"/>
      <c r="P7660" s="2010"/>
    </row>
    <row r="7661" spans="1:16" ht="17.399999999999999">
      <c r="A7661" s="664" t="s">
        <v>30</v>
      </c>
      <c r="B7661" s="1975" t="s">
        <v>101</v>
      </c>
      <c r="C7661" s="1976"/>
      <c r="D7661" s="1977"/>
      <c r="E7661" s="665">
        <f>+L7572-0.529</f>
        <v>6.2300400000000007</v>
      </c>
      <c r="F7661" s="1975">
        <v>12</v>
      </c>
      <c r="G7661" s="1977"/>
      <c r="H7661" s="1975" t="s">
        <v>49</v>
      </c>
      <c r="I7661" s="1976"/>
      <c r="J7661" s="1976"/>
      <c r="K7661" s="1977"/>
      <c r="L7661" s="1976" t="s">
        <v>742</v>
      </c>
      <c r="M7661" s="1976"/>
      <c r="N7661" s="1976"/>
      <c r="O7661" s="1976"/>
      <c r="P7661" s="2010"/>
    </row>
    <row r="7662" spans="1:16" s="497" customFormat="1" ht="17.399999999999999">
      <c r="A7662" s="664" t="s">
        <v>46</v>
      </c>
      <c r="B7662" s="1975" t="s">
        <v>100</v>
      </c>
      <c r="C7662" s="1976"/>
      <c r="D7662" s="1977"/>
      <c r="E7662" s="665">
        <v>14.198</v>
      </c>
      <c r="F7662" s="1975">
        <v>12</v>
      </c>
      <c r="G7662" s="1977"/>
      <c r="H7662" s="1975" t="s">
        <v>49</v>
      </c>
      <c r="I7662" s="1976"/>
      <c r="J7662" s="1976"/>
      <c r="K7662" s="1977"/>
      <c r="L7662" s="1976" t="s">
        <v>742</v>
      </c>
      <c r="M7662" s="1976"/>
      <c r="N7662" s="1976"/>
      <c r="O7662" s="1976"/>
      <c r="P7662" s="2010"/>
    </row>
    <row r="7663" spans="1:16" s="497" customFormat="1" ht="17.399999999999999">
      <c r="A7663" s="664"/>
      <c r="B7663" s="1126"/>
      <c r="C7663" s="1127"/>
      <c r="D7663" s="1128"/>
      <c r="E7663" s="665"/>
      <c r="F7663" s="1126"/>
      <c r="G7663" s="1128"/>
      <c r="H7663" s="1126"/>
      <c r="I7663" s="1842"/>
      <c r="J7663" s="1127"/>
      <c r="K7663" s="1128"/>
      <c r="L7663" s="1127"/>
      <c r="M7663" s="1127"/>
      <c r="N7663" s="1127"/>
      <c r="O7663" s="1127"/>
      <c r="P7663" s="2010"/>
    </row>
    <row r="7664" spans="1:16" s="497" customFormat="1" ht="17.399999999999999">
      <c r="A7664" s="664" t="s">
        <v>58</v>
      </c>
      <c r="B7664" s="1975" t="s">
        <v>100</v>
      </c>
      <c r="C7664" s="1976"/>
      <c r="D7664" s="1977"/>
      <c r="E7664" s="665">
        <v>10.461119999999999</v>
      </c>
      <c r="F7664" s="1975">
        <v>12</v>
      </c>
      <c r="G7664" s="1977"/>
      <c r="H7664" s="1975" t="s">
        <v>447</v>
      </c>
      <c r="I7664" s="1976"/>
      <c r="J7664" s="1976"/>
      <c r="K7664" s="1977"/>
      <c r="L7664" s="1976" t="s">
        <v>436</v>
      </c>
      <c r="M7664" s="1976"/>
      <c r="N7664" s="1976"/>
      <c r="O7664" s="1976"/>
      <c r="P7664" s="2010"/>
    </row>
    <row r="7665" spans="1:16" s="497" customFormat="1" ht="17.399999999999999">
      <c r="A7665" s="664" t="s">
        <v>163</v>
      </c>
      <c r="B7665" s="1975" t="s">
        <v>101</v>
      </c>
      <c r="C7665" s="1976"/>
      <c r="D7665" s="1977"/>
      <c r="E7665" s="665">
        <v>16.870180000000001</v>
      </c>
      <c r="F7665" s="1975">
        <v>12</v>
      </c>
      <c r="G7665" s="1977"/>
      <c r="H7665" s="1975" t="s">
        <v>447</v>
      </c>
      <c r="I7665" s="1976"/>
      <c r="J7665" s="1976"/>
      <c r="K7665" s="1977"/>
      <c r="L7665" s="1976" t="s">
        <v>436</v>
      </c>
      <c r="M7665" s="1976"/>
      <c r="N7665" s="1976"/>
      <c r="O7665" s="1976"/>
      <c r="P7665" s="2010"/>
    </row>
    <row r="7666" spans="1:16" s="497" customFormat="1" ht="17.399999999999999">
      <c r="A7666" s="664" t="s">
        <v>302</v>
      </c>
      <c r="B7666" s="1975" t="s">
        <v>102</v>
      </c>
      <c r="C7666" s="1976"/>
      <c r="D7666" s="1977"/>
      <c r="E7666" s="665">
        <v>29.2546</v>
      </c>
      <c r="F7666" s="1975">
        <v>12</v>
      </c>
      <c r="G7666" s="1977"/>
      <c r="H7666" s="1975" t="s">
        <v>447</v>
      </c>
      <c r="I7666" s="1976"/>
      <c r="J7666" s="1976"/>
      <c r="K7666" s="1977"/>
      <c r="L7666" s="1976" t="s">
        <v>436</v>
      </c>
      <c r="M7666" s="1976"/>
      <c r="N7666" s="1976"/>
      <c r="O7666" s="1976"/>
      <c r="P7666" s="2010"/>
    </row>
    <row r="7667" spans="1:16" ht="17.399999999999999">
      <c r="A7667" s="664"/>
      <c r="B7667" s="1975"/>
      <c r="C7667" s="1976"/>
      <c r="D7667" s="1977"/>
      <c r="E7667" s="665"/>
      <c r="F7667" s="1975"/>
      <c r="G7667" s="1977"/>
      <c r="H7667" s="1975"/>
      <c r="I7667" s="1976"/>
      <c r="J7667" s="1976"/>
      <c r="K7667" s="1977"/>
      <c r="L7667" s="1976"/>
      <c r="M7667" s="1976"/>
      <c r="N7667" s="1976"/>
      <c r="O7667" s="1976"/>
      <c r="P7667" s="2010"/>
    </row>
    <row r="7668" spans="1:16" s="497" customFormat="1" ht="17.399999999999999">
      <c r="A7668" s="1167" t="s">
        <v>380</v>
      </c>
      <c r="B7668" s="1976" t="s">
        <v>498</v>
      </c>
      <c r="C7668" s="1976"/>
      <c r="D7668" s="1976"/>
      <c r="E7668" s="671">
        <f>+L7611-1.423+6.392</f>
        <v>31.821929999999998</v>
      </c>
      <c r="F7668" s="1975">
        <v>12</v>
      </c>
      <c r="G7668" s="1977"/>
      <c r="H7668" s="1975" t="s">
        <v>582</v>
      </c>
      <c r="I7668" s="1976"/>
      <c r="J7668" s="1976"/>
      <c r="K7668" s="1977"/>
      <c r="L7668" s="1976" t="s">
        <v>742</v>
      </c>
      <c r="M7668" s="1976"/>
      <c r="N7668" s="1976"/>
      <c r="O7668" s="1976"/>
      <c r="P7668" s="2010"/>
    </row>
    <row r="7669" spans="1:16" ht="17.399999999999999">
      <c r="A7669" s="1167" t="s">
        <v>434</v>
      </c>
      <c r="B7669" s="1976" t="s">
        <v>500</v>
      </c>
      <c r="C7669" s="1976"/>
      <c r="D7669" s="1976"/>
      <c r="E7669" s="671">
        <f>+L7624-0.734</f>
        <v>5.4676000000000009</v>
      </c>
      <c r="F7669" s="1975">
        <v>12</v>
      </c>
      <c r="G7669" s="1977"/>
      <c r="H7669" s="1975" t="s">
        <v>450</v>
      </c>
      <c r="I7669" s="1976"/>
      <c r="J7669" s="1976"/>
      <c r="K7669" s="1977"/>
      <c r="L7669" s="1976" t="s">
        <v>437</v>
      </c>
      <c r="M7669" s="1976"/>
      <c r="N7669" s="1976"/>
      <c r="O7669" s="1976"/>
      <c r="P7669" s="2010"/>
    </row>
    <row r="7670" spans="1:16" s="497" customFormat="1" ht="17.399999999999999">
      <c r="A7670" s="1155"/>
      <c r="B7670" s="1150"/>
      <c r="C7670" s="1150"/>
      <c r="D7670" s="1150"/>
      <c r="E7670" s="671"/>
      <c r="F7670" s="1149"/>
      <c r="G7670" s="1151"/>
      <c r="H7670" s="1149"/>
      <c r="I7670" s="1842"/>
      <c r="J7670" s="1150"/>
      <c r="K7670" s="1151"/>
      <c r="L7670" s="1150"/>
      <c r="M7670" s="1150"/>
      <c r="N7670" s="1150"/>
      <c r="O7670" s="1150"/>
      <c r="P7670" s="2010"/>
    </row>
    <row r="7671" spans="1:16" s="497" customFormat="1" ht="17.399999999999999">
      <c r="A7671" s="1155"/>
      <c r="B7671" s="1150"/>
      <c r="C7671" s="1150"/>
      <c r="D7671" s="1150"/>
      <c r="E7671" s="671"/>
      <c r="F7671" s="1149"/>
      <c r="G7671" s="1151"/>
      <c r="H7671" s="1149"/>
      <c r="I7671" s="1842"/>
      <c r="J7671" s="1150"/>
      <c r="K7671" s="1151"/>
      <c r="L7671" s="1150"/>
      <c r="M7671" s="1150"/>
      <c r="N7671" s="1150"/>
      <c r="O7671" s="1150"/>
      <c r="P7671" s="2010"/>
    </row>
    <row r="7672" spans="1:16" ht="18" thickBot="1">
      <c r="A7672" s="664"/>
      <c r="B7672" s="1126"/>
      <c r="C7672" s="1127"/>
      <c r="D7672" s="1127"/>
      <c r="E7672" s="665"/>
      <c r="F7672" s="1127"/>
      <c r="G7672" s="1128"/>
      <c r="H7672" s="1126"/>
      <c r="I7672" s="1842"/>
      <c r="J7672" s="1127"/>
      <c r="K7672" s="669"/>
      <c r="L7672" s="672"/>
      <c r="M7672" s="673"/>
      <c r="N7672" s="673"/>
      <c r="O7672" s="673"/>
      <c r="P7672" s="2010"/>
    </row>
    <row r="7673" spans="1:16" ht="17.399999999999999">
      <c r="A7673" s="674"/>
      <c r="B7673" s="675"/>
      <c r="C7673" s="676"/>
      <c r="D7673" s="676"/>
      <c r="E7673" s="1980">
        <f>SUM(E7657:E7672)</f>
        <v>411.94948999999991</v>
      </c>
      <c r="F7673" s="677"/>
      <c r="G7673" s="678"/>
      <c r="H7673" s="679"/>
      <c r="I7673" s="1848"/>
      <c r="J7673" s="676"/>
      <c r="K7673" s="680"/>
      <c r="L7673" s="679"/>
      <c r="M7673" s="676"/>
      <c r="N7673" s="677"/>
      <c r="O7673" s="676"/>
      <c r="P7673" s="2010"/>
    </row>
    <row r="7674" spans="1:16" ht="18" thickBot="1">
      <c r="A7674" s="681"/>
      <c r="B7674" s="682"/>
      <c r="C7674" s="683"/>
      <c r="D7674" s="683"/>
      <c r="E7674" s="1981"/>
      <c r="F7674" s="684"/>
      <c r="G7674" s="685"/>
      <c r="H7674" s="686"/>
      <c r="I7674" s="1850"/>
      <c r="J7674" s="683"/>
      <c r="K7674" s="687"/>
      <c r="L7674" s="686"/>
      <c r="M7674" s="683"/>
      <c r="N7674" s="684"/>
      <c r="O7674" s="683"/>
      <c r="P7674" s="2010"/>
    </row>
    <row r="7675" spans="1:16" ht="17.399999999999999">
      <c r="A7675" s="688" t="s">
        <v>31</v>
      </c>
      <c r="B7675" s="676"/>
      <c r="C7675" s="676"/>
      <c r="D7675" s="676"/>
      <c r="E7675" s="676"/>
      <c r="F7675" s="677"/>
      <c r="G7675" s="676"/>
      <c r="H7675" s="677"/>
      <c r="I7675" s="1848"/>
      <c r="J7675" s="676"/>
      <c r="K7675" s="689"/>
      <c r="L7675" s="677"/>
      <c r="M7675" s="676"/>
      <c r="N7675" s="677"/>
      <c r="O7675" s="676"/>
      <c r="P7675" s="2010"/>
    </row>
    <row r="7676" spans="1:16" ht="17.399999999999999">
      <c r="A7676" s="690"/>
      <c r="B7676" s="691"/>
      <c r="C7676" s="691"/>
      <c r="D7676" s="691"/>
      <c r="E7676" s="691"/>
      <c r="F7676" s="1125"/>
      <c r="G7676" s="691"/>
      <c r="H7676" s="1125"/>
      <c r="I7676" s="1849"/>
      <c r="J7676" s="691"/>
      <c r="K7676" s="693"/>
      <c r="L7676" s="1125"/>
      <c r="M7676" s="691"/>
      <c r="N7676" s="1125"/>
      <c r="O7676" s="691"/>
      <c r="P7676" s="2010"/>
    </row>
    <row r="7677" spans="1:16" ht="18" thickBot="1">
      <c r="A7677" s="1982" t="s">
        <v>32</v>
      </c>
      <c r="B7677" s="1983"/>
      <c r="C7677" s="1984" t="s">
        <v>33</v>
      </c>
      <c r="D7677" s="1985"/>
      <c r="E7677" s="694" t="s">
        <v>34</v>
      </c>
      <c r="F7677" s="694" t="s">
        <v>35</v>
      </c>
      <c r="G7677" s="1986" t="s">
        <v>36</v>
      </c>
      <c r="H7677" s="1987"/>
      <c r="I7677" s="1987"/>
      <c r="J7677" s="1987"/>
      <c r="K7677" s="1987"/>
      <c r="L7677" s="1987"/>
      <c r="M7677" s="1987"/>
      <c r="N7677" s="1987"/>
      <c r="O7677" s="1987"/>
      <c r="P7677" s="2010"/>
    </row>
    <row r="7678" spans="1:16" ht="17.399999999999999">
      <c r="A7678" s="1988"/>
      <c r="B7678" s="1989"/>
      <c r="C7678" s="1990"/>
      <c r="D7678" s="1989"/>
      <c r="E7678" s="1132"/>
      <c r="F7678" s="1129"/>
      <c r="G7678" s="1991"/>
      <c r="H7678" s="1992"/>
      <c r="I7678" s="1992"/>
      <c r="J7678" s="1992"/>
      <c r="K7678" s="1992"/>
      <c r="L7678" s="1992"/>
      <c r="M7678" s="1992"/>
      <c r="N7678" s="1992"/>
      <c r="O7678" s="1992"/>
      <c r="P7678" s="2010"/>
    </row>
    <row r="7679" spans="1:16" ht="17.399999999999999">
      <c r="A7679" s="1997" t="s">
        <v>37</v>
      </c>
      <c r="B7679" s="1998"/>
      <c r="C7679" s="1990"/>
      <c r="D7679" s="1989"/>
      <c r="E7679" s="1132"/>
      <c r="F7679" s="1129"/>
      <c r="G7679" s="1993"/>
      <c r="H7679" s="1994"/>
      <c r="I7679" s="1994"/>
      <c r="J7679" s="1994"/>
      <c r="K7679" s="1994"/>
      <c r="L7679" s="1994"/>
      <c r="M7679" s="1994"/>
      <c r="N7679" s="1994"/>
      <c r="O7679" s="1994"/>
      <c r="P7679" s="2010"/>
    </row>
    <row r="7680" spans="1:16" ht="17.399999999999999">
      <c r="A7680" s="1997" t="s">
        <v>38</v>
      </c>
      <c r="B7680" s="1998"/>
      <c r="C7680" s="1990"/>
      <c r="D7680" s="1989"/>
      <c r="E7680" s="1132"/>
      <c r="F7680" s="1129"/>
      <c r="G7680" s="1993"/>
      <c r="H7680" s="1994"/>
      <c r="I7680" s="1994"/>
      <c r="J7680" s="1994"/>
      <c r="K7680" s="1994"/>
      <c r="L7680" s="1994"/>
      <c r="M7680" s="1994"/>
      <c r="N7680" s="1994"/>
      <c r="O7680" s="1994"/>
      <c r="P7680" s="2010"/>
    </row>
    <row r="7681" spans="1:17" ht="17.399999999999999">
      <c r="A7681" s="1997" t="s">
        <v>39</v>
      </c>
      <c r="B7681" s="1998"/>
      <c r="C7681" s="1990"/>
      <c r="D7681" s="1989"/>
      <c r="E7681" s="1132"/>
      <c r="F7681" s="1129"/>
      <c r="G7681" s="1993"/>
      <c r="H7681" s="1994"/>
      <c r="I7681" s="1994"/>
      <c r="J7681" s="1994"/>
      <c r="K7681" s="1994"/>
      <c r="L7681" s="1994"/>
      <c r="M7681" s="1994"/>
      <c r="N7681" s="1994"/>
      <c r="O7681" s="1994"/>
      <c r="P7681" s="2010"/>
    </row>
    <row r="7682" spans="1:17" ht="17.399999999999999">
      <c r="A7682" s="1997" t="s">
        <v>40</v>
      </c>
      <c r="B7682" s="1998"/>
      <c r="C7682" s="1990"/>
      <c r="D7682" s="1989"/>
      <c r="E7682" s="1132"/>
      <c r="F7682" s="1129"/>
      <c r="G7682" s="1993"/>
      <c r="H7682" s="1994"/>
      <c r="I7682" s="1994"/>
      <c r="J7682" s="1994"/>
      <c r="K7682" s="1994"/>
      <c r="L7682" s="1994"/>
      <c r="M7682" s="1994"/>
      <c r="N7682" s="1994"/>
      <c r="O7682" s="1994"/>
      <c r="P7682" s="2010"/>
    </row>
    <row r="7683" spans="1:17" ht="18" thickBot="1">
      <c r="A7683" s="1999" t="s">
        <v>41</v>
      </c>
      <c r="B7683" s="2000"/>
      <c r="C7683" s="2001"/>
      <c r="D7683" s="2002"/>
      <c r="E7683" s="696"/>
      <c r="F7683" s="1130"/>
      <c r="G7683" s="1995"/>
      <c r="H7683" s="1996"/>
      <c r="I7683" s="1996"/>
      <c r="J7683" s="1996"/>
      <c r="K7683" s="1996"/>
      <c r="L7683" s="1996"/>
      <c r="M7683" s="1996"/>
      <c r="N7683" s="1996"/>
      <c r="O7683" s="1996"/>
      <c r="P7683" s="2010"/>
    </row>
    <row r="7684" spans="1:17" ht="18">
      <c r="A7684" s="690"/>
      <c r="B7684" s="691"/>
      <c r="C7684" s="691"/>
      <c r="D7684" s="691"/>
      <c r="E7684" s="691"/>
      <c r="F7684" s="1125"/>
      <c r="G7684" s="691"/>
      <c r="H7684" s="698"/>
      <c r="I7684" s="699"/>
      <c r="J7684" s="700"/>
      <c r="K7684" s="701"/>
      <c r="L7684" s="702"/>
      <c r="M7684" s="691"/>
      <c r="N7684" s="1125"/>
      <c r="O7684" s="691"/>
      <c r="P7684" s="2010"/>
    </row>
    <row r="7685" spans="1:17" ht="18">
      <c r="A7685" s="703" t="s">
        <v>42</v>
      </c>
      <c r="B7685" s="704"/>
      <c r="C7685" s="691"/>
      <c r="D7685" s="691"/>
      <c r="E7685" s="691"/>
      <c r="F7685" s="1125"/>
      <c r="G7685" s="704"/>
      <c r="H7685" s="698"/>
      <c r="I7685" s="699"/>
      <c r="J7685" s="700"/>
      <c r="K7685" s="693"/>
      <c r="L7685" s="705"/>
      <c r="M7685" s="691"/>
      <c r="N7685" s="1979" t="s">
        <v>43</v>
      </c>
      <c r="O7685" s="1979"/>
      <c r="P7685" s="2010"/>
    </row>
    <row r="7686" spans="1:17" ht="17.399999999999999">
      <c r="A7686" s="703"/>
      <c r="B7686" s="704"/>
      <c r="C7686" s="691"/>
      <c r="D7686" s="691"/>
      <c r="E7686" s="691"/>
      <c r="F7686" s="1125"/>
      <c r="G7686" s="691"/>
      <c r="H7686" s="1125"/>
      <c r="I7686" s="1849"/>
      <c r="J7686" s="691"/>
      <c r="K7686" s="693"/>
      <c r="L7686" s="1125"/>
      <c r="M7686" s="691"/>
      <c r="N7686" s="1125"/>
      <c r="O7686" s="704"/>
      <c r="P7686" s="2010"/>
    </row>
    <row r="7687" spans="1:17" ht="17.399999999999999">
      <c r="A7687" s="703" t="s">
        <v>44</v>
      </c>
      <c r="B7687" s="704"/>
      <c r="C7687" s="691"/>
      <c r="D7687" s="691"/>
      <c r="E7687" s="691"/>
      <c r="F7687" s="1125"/>
      <c r="G7687" s="691"/>
      <c r="H7687" s="1125"/>
      <c r="I7687" s="1849"/>
      <c r="J7687" s="691"/>
      <c r="K7687" s="693"/>
      <c r="L7687" s="1125"/>
      <c r="M7687" s="691"/>
      <c r="N7687" s="1979" t="s">
        <v>45</v>
      </c>
      <c r="O7687" s="1979"/>
      <c r="P7687" s="2010"/>
    </row>
    <row r="7688" spans="1:17" ht="18" thickBot="1">
      <c r="A7688" s="682"/>
      <c r="B7688" s="683"/>
      <c r="C7688" s="683"/>
      <c r="D7688" s="683"/>
      <c r="E7688" s="683"/>
      <c r="F7688" s="684"/>
      <c r="G7688" s="683"/>
      <c r="H7688" s="684"/>
      <c r="I7688" s="1850"/>
      <c r="J7688" s="683"/>
      <c r="K7688" s="706"/>
      <c r="L7688" s="684"/>
      <c r="M7688" s="683"/>
      <c r="N7688" s="684"/>
      <c r="O7688" s="683"/>
      <c r="P7688" s="2010"/>
    </row>
    <row r="7691" spans="1:17" ht="17.399999999999999">
      <c r="A7691" s="711" t="s">
        <v>48</v>
      </c>
      <c r="B7691" s="711"/>
      <c r="C7691" s="712"/>
      <c r="D7691" s="712"/>
      <c r="E7691" s="712"/>
      <c r="F7691" s="713"/>
      <c r="G7691" s="712"/>
      <c r="H7691" s="712"/>
      <c r="I7691" s="714"/>
      <c r="J7691" s="715"/>
      <c r="K7691" s="716"/>
      <c r="L7691" s="1978" t="s">
        <v>0</v>
      </c>
      <c r="M7691" s="1978"/>
      <c r="N7691" s="1978"/>
      <c r="O7691" s="1978"/>
      <c r="P7691" s="717"/>
    </row>
    <row r="7692" spans="1:17" ht="17.399999999999999">
      <c r="A7692" s="718" t="s">
        <v>1</v>
      </c>
      <c r="B7692" s="718"/>
      <c r="C7692" s="718"/>
      <c r="D7692" s="719" t="s">
        <v>2</v>
      </c>
      <c r="E7692" s="719"/>
      <c r="F7692" s="720"/>
      <c r="G7692" s="720"/>
      <c r="H7692" s="720"/>
      <c r="I7692" s="721"/>
      <c r="J7692" s="1200"/>
      <c r="K7692" s="723" t="s">
        <v>3</v>
      </c>
      <c r="L7692" s="1200"/>
      <c r="M7692" s="718"/>
      <c r="N7692" s="720"/>
      <c r="O7692" s="718"/>
      <c r="P7692" s="724"/>
    </row>
    <row r="7693" spans="1:17" ht="52.2">
      <c r="A7693" s="640" t="s">
        <v>4</v>
      </c>
      <c r="B7693" s="640" t="s">
        <v>5</v>
      </c>
      <c r="C7693" s="640" t="s">
        <v>6</v>
      </c>
      <c r="D7693" s="640" t="s">
        <v>7</v>
      </c>
      <c r="E7693" s="640" t="s">
        <v>8</v>
      </c>
      <c r="F7693" s="641" t="s">
        <v>9</v>
      </c>
      <c r="G7693" s="642" t="s">
        <v>10</v>
      </c>
      <c r="H7693" s="642" t="s">
        <v>11</v>
      </c>
      <c r="I7693" s="643" t="s">
        <v>12</v>
      </c>
      <c r="J7693" s="644" t="s">
        <v>13</v>
      </c>
      <c r="K7693" s="645" t="s">
        <v>14</v>
      </c>
      <c r="L7693" s="646" t="s">
        <v>15</v>
      </c>
      <c r="M7693" s="641" t="s">
        <v>16</v>
      </c>
      <c r="N7693" s="641" t="s">
        <v>17</v>
      </c>
      <c r="O7693" s="642" t="s">
        <v>18</v>
      </c>
      <c r="P7693" s="641" t="s">
        <v>192</v>
      </c>
    </row>
    <row r="7694" spans="1:17" ht="17.399999999999999">
      <c r="A7694" s="547" t="s">
        <v>715</v>
      </c>
      <c r="B7694" s="547" t="s">
        <v>823</v>
      </c>
      <c r="C7694" s="547" t="s">
        <v>19</v>
      </c>
      <c r="D7694" s="547" t="s">
        <v>20</v>
      </c>
      <c r="E7694" s="547" t="s">
        <v>367</v>
      </c>
      <c r="F7694" s="1202">
        <v>13</v>
      </c>
      <c r="G7694" s="549" t="s">
        <v>21</v>
      </c>
      <c r="H7694" s="599" t="s">
        <v>229</v>
      </c>
      <c r="I7694" s="558">
        <v>21.6</v>
      </c>
      <c r="J7694" s="710">
        <v>8.9</v>
      </c>
      <c r="K7694" s="648">
        <v>28</v>
      </c>
      <c r="L7694" s="552">
        <f>(I7694*J7694*K7694/1000)</f>
        <v>5.3827199999999999</v>
      </c>
      <c r="M7694" s="549"/>
      <c r="N7694" s="549"/>
      <c r="O7694" s="549"/>
      <c r="P7694" s="549"/>
      <c r="Q7694" s="497" t="s">
        <v>875</v>
      </c>
    </row>
    <row r="7695" spans="1:17" ht="17.399999999999999">
      <c r="A7695" s="549"/>
      <c r="B7695" s="549" t="s">
        <v>88</v>
      </c>
      <c r="C7695" s="549"/>
      <c r="D7695" s="549"/>
      <c r="E7695" s="549"/>
      <c r="F7695" s="549"/>
      <c r="G7695" s="549" t="s">
        <v>21</v>
      </c>
      <c r="H7695" s="549" t="s">
        <v>229</v>
      </c>
      <c r="I7695" s="558">
        <v>21.6</v>
      </c>
      <c r="J7695" s="710">
        <v>10</v>
      </c>
      <c r="K7695" s="648">
        <v>216</v>
      </c>
      <c r="L7695" s="552">
        <f>(I7695*J7695*K7695/1000)</f>
        <v>46.655999999999999</v>
      </c>
      <c r="M7695" s="549"/>
      <c r="N7695" s="549"/>
      <c r="O7695" s="549"/>
      <c r="P7695" s="549"/>
    </row>
    <row r="7696" spans="1:17" ht="17.399999999999999">
      <c r="A7696" s="549"/>
      <c r="B7696" s="549"/>
      <c r="C7696" s="549"/>
      <c r="D7696" s="549"/>
      <c r="E7696" s="549"/>
      <c r="F7696" s="549"/>
      <c r="G7696" s="549" t="s">
        <v>21</v>
      </c>
      <c r="H7696" s="549" t="s">
        <v>229</v>
      </c>
      <c r="I7696" s="558">
        <v>21.6</v>
      </c>
      <c r="J7696" s="710">
        <v>11.2</v>
      </c>
      <c r="K7696" s="648">
        <v>20</v>
      </c>
      <c r="L7696" s="552">
        <f>(I7696*J7696*K7696/1000)</f>
        <v>4.8384</v>
      </c>
      <c r="M7696" s="549"/>
      <c r="N7696" s="549"/>
      <c r="O7696" s="549"/>
      <c r="P7696" s="549"/>
    </row>
    <row r="7697" spans="1:17" ht="17.399999999999999">
      <c r="A7697" s="549"/>
      <c r="B7697" s="549"/>
      <c r="C7697" s="549"/>
      <c r="D7697" s="549"/>
      <c r="E7697" s="549"/>
      <c r="F7697" s="549"/>
      <c r="G7697" s="549"/>
      <c r="H7697" s="549"/>
      <c r="I7697" s="558"/>
      <c r="J7697" s="710"/>
      <c r="K7697" s="648">
        <f t="shared" ref="K7697:N7697" si="1617">SUM(K7694:K7696)</f>
        <v>264</v>
      </c>
      <c r="L7697" s="765">
        <f t="shared" si="1617"/>
        <v>56.877119999999998</v>
      </c>
      <c r="M7697" s="648">
        <f t="shared" si="1617"/>
        <v>0</v>
      </c>
      <c r="N7697" s="765">
        <f t="shared" si="1617"/>
        <v>0</v>
      </c>
      <c r="O7697" s="549"/>
      <c r="P7697" s="549" t="s">
        <v>824</v>
      </c>
    </row>
    <row r="7698" spans="1:17" ht="17.399999999999999">
      <c r="A7698" s="549"/>
      <c r="B7698" s="549"/>
      <c r="C7698" s="549"/>
      <c r="D7698" s="549"/>
      <c r="E7698" s="549"/>
      <c r="F7698" s="549"/>
      <c r="G7698" s="549"/>
      <c r="H7698" s="549"/>
      <c r="I7698" s="558"/>
      <c r="J7698" s="549"/>
      <c r="K7698" s="561"/>
      <c r="L7698" s="560"/>
      <c r="M7698" s="549"/>
      <c r="N7698" s="549"/>
      <c r="O7698" s="549"/>
      <c r="P7698" s="549"/>
    </row>
    <row r="7699" spans="1:17" ht="17.399999999999999">
      <c r="A7699" s="549"/>
      <c r="B7699" s="549"/>
      <c r="C7699" s="549"/>
      <c r="D7699" s="549"/>
      <c r="E7699" s="549"/>
      <c r="F7699" s="549"/>
      <c r="G7699" s="549"/>
      <c r="H7699" s="549"/>
      <c r="I7699" s="558"/>
      <c r="J7699" s="549"/>
      <c r="K7699" s="561"/>
      <c r="L7699" s="560"/>
      <c r="M7699" s="549"/>
      <c r="N7699" s="549"/>
      <c r="O7699" s="549"/>
      <c r="P7699" s="549"/>
    </row>
    <row r="7700" spans="1:17" ht="17.399999999999999">
      <c r="A7700" s="549"/>
      <c r="B7700" s="549"/>
      <c r="C7700" s="549"/>
      <c r="D7700" s="549"/>
      <c r="E7700" s="549"/>
      <c r="F7700" s="549"/>
      <c r="G7700" s="549"/>
      <c r="H7700" s="549"/>
      <c r="I7700" s="558"/>
      <c r="J7700" s="549"/>
      <c r="K7700" s="561"/>
      <c r="L7700" s="560"/>
      <c r="M7700" s="549"/>
      <c r="N7700" s="549"/>
      <c r="O7700" s="549"/>
      <c r="P7700" s="549"/>
    </row>
    <row r="7701" spans="1:17" ht="17.399999999999999">
      <c r="A7701" s="547" t="s">
        <v>445</v>
      </c>
      <c r="B7701" s="547" t="s">
        <v>712</v>
      </c>
      <c r="C7701" s="547" t="s">
        <v>19</v>
      </c>
      <c r="D7701" s="547" t="s">
        <v>20</v>
      </c>
      <c r="E7701" s="1025" t="s">
        <v>420</v>
      </c>
      <c r="F7701" s="1202">
        <v>13</v>
      </c>
      <c r="G7701" s="549" t="s">
        <v>21</v>
      </c>
      <c r="H7701" s="599" t="s">
        <v>120</v>
      </c>
      <c r="I7701" s="558">
        <v>18.2</v>
      </c>
      <c r="J7701" s="710">
        <v>9.4</v>
      </c>
      <c r="K7701" s="648">
        <v>11</v>
      </c>
      <c r="L7701" s="552">
        <f>(I7701*J7701*K7701/1000)</f>
        <v>1.8818800000000002</v>
      </c>
      <c r="M7701" s="549"/>
      <c r="N7701" s="549"/>
      <c r="O7701" s="549"/>
      <c r="P7701" s="549"/>
      <c r="Q7701" s="497" t="s">
        <v>876</v>
      </c>
    </row>
    <row r="7702" spans="1:17" ht="17.399999999999999">
      <c r="A7702" s="547"/>
      <c r="B7702" s="751" t="s">
        <v>52</v>
      </c>
      <c r="C7702" s="547"/>
      <c r="D7702" s="547"/>
      <c r="E7702" s="547"/>
      <c r="F7702" s="1202"/>
      <c r="G7702" s="549"/>
      <c r="H7702" s="549"/>
      <c r="I7702" s="558"/>
      <c r="J7702" s="710"/>
      <c r="K7702" s="648">
        <f t="shared" ref="K7702:L7702" si="1618">SUM(K7701)</f>
        <v>11</v>
      </c>
      <c r="L7702" s="765">
        <f t="shared" si="1618"/>
        <v>1.8818800000000002</v>
      </c>
      <c r="M7702" s="549"/>
      <c r="N7702" s="549"/>
      <c r="O7702" s="549"/>
      <c r="P7702" s="549" t="s">
        <v>825</v>
      </c>
    </row>
    <row r="7703" spans="1:17" ht="17.399999999999999">
      <c r="A7703" s="549"/>
      <c r="B7703" s="549"/>
      <c r="C7703" s="549"/>
      <c r="D7703" s="549"/>
      <c r="E7703" s="549"/>
      <c r="F7703" s="549"/>
      <c r="G7703" s="549"/>
      <c r="H7703" s="549"/>
      <c r="I7703" s="558"/>
      <c r="J7703" s="710"/>
      <c r="K7703" s="648"/>
      <c r="L7703" s="765"/>
      <c r="M7703" s="549"/>
      <c r="N7703" s="549"/>
      <c r="O7703" s="549"/>
      <c r="P7703" s="549"/>
    </row>
    <row r="7704" spans="1:17" ht="17.399999999999999">
      <c r="A7704" s="547" t="s">
        <v>445</v>
      </c>
      <c r="B7704" s="1169" t="s">
        <v>819</v>
      </c>
      <c r="C7704" s="547" t="s">
        <v>19</v>
      </c>
      <c r="D7704" s="547" t="s">
        <v>20</v>
      </c>
      <c r="E7704" s="1025" t="s">
        <v>420</v>
      </c>
      <c r="F7704" s="1202">
        <v>13</v>
      </c>
      <c r="G7704" s="549" t="s">
        <v>21</v>
      </c>
      <c r="H7704" s="549" t="s">
        <v>120</v>
      </c>
      <c r="I7704" s="558">
        <v>18.2</v>
      </c>
      <c r="J7704" s="567">
        <v>10.4</v>
      </c>
      <c r="K7704" s="648">
        <v>15</v>
      </c>
      <c r="L7704" s="552">
        <f t="shared" ref="L7704" si="1619">(I7704*J7704*K7704/1000)</f>
        <v>2.8391999999999999</v>
      </c>
      <c r="M7704" s="549"/>
      <c r="N7704" s="549"/>
      <c r="O7704" s="549"/>
      <c r="P7704" s="549"/>
    </row>
    <row r="7705" spans="1:17" ht="17.399999999999999">
      <c r="A7705" s="547"/>
      <c r="B7705" s="1228" t="s">
        <v>874</v>
      </c>
      <c r="C7705" s="547"/>
      <c r="D7705" s="547"/>
      <c r="E7705" s="547"/>
      <c r="F7705" s="1202"/>
      <c r="G7705" s="549" t="s">
        <v>21</v>
      </c>
      <c r="H7705" s="549" t="s">
        <v>120</v>
      </c>
      <c r="I7705" s="558">
        <v>18.2</v>
      </c>
      <c r="J7705" s="567">
        <v>11.3</v>
      </c>
      <c r="K7705" s="648">
        <v>3</v>
      </c>
      <c r="L7705" s="552">
        <f>(I7705*J7705*K7705/1000)</f>
        <v>0.61697999999999997</v>
      </c>
      <c r="M7705" s="549"/>
      <c r="N7705" s="549"/>
      <c r="O7705" s="549"/>
      <c r="P7705" s="549"/>
    </row>
    <row r="7706" spans="1:17" ht="17.399999999999999">
      <c r="A7706" s="549"/>
      <c r="B7706" s="549"/>
      <c r="C7706" s="549"/>
      <c r="D7706" s="549"/>
      <c r="E7706" s="549"/>
      <c r="F7706" s="549"/>
      <c r="G7706" s="549"/>
      <c r="H7706" s="549"/>
      <c r="I7706" s="558"/>
      <c r="J7706" s="567"/>
      <c r="K7706" s="648">
        <f>SUM(K7704:K7705)</f>
        <v>18</v>
      </c>
      <c r="L7706" s="567">
        <f>SUM(L7704:L7705)</f>
        <v>3.4561799999999998</v>
      </c>
      <c r="M7706" s="549"/>
      <c r="N7706" s="549"/>
      <c r="O7706" s="549"/>
      <c r="P7706" s="549"/>
    </row>
    <row r="7707" spans="1:17" ht="17.399999999999999">
      <c r="A7707" s="549"/>
      <c r="B7707" s="549"/>
      <c r="C7707" s="549"/>
      <c r="D7707" s="549"/>
      <c r="E7707" s="549"/>
      <c r="F7707" s="549"/>
      <c r="G7707" s="549"/>
      <c r="H7707" s="549"/>
      <c r="I7707" s="558"/>
      <c r="J7707" s="549"/>
      <c r="K7707" s="561"/>
      <c r="L7707" s="560"/>
      <c r="M7707" s="549"/>
      <c r="N7707" s="549"/>
      <c r="O7707" s="549"/>
      <c r="P7707" s="549"/>
    </row>
    <row r="7708" spans="1:17" ht="17.399999999999999">
      <c r="A7708" s="547" t="s">
        <v>541</v>
      </c>
      <c r="B7708" s="979" t="s">
        <v>820</v>
      </c>
      <c r="C7708" s="547" t="s">
        <v>19</v>
      </c>
      <c r="D7708" s="547" t="s">
        <v>20</v>
      </c>
      <c r="E7708" s="1025" t="s">
        <v>420</v>
      </c>
      <c r="F7708" s="1202">
        <v>13</v>
      </c>
      <c r="G7708" s="869" t="s">
        <v>21</v>
      </c>
      <c r="H7708" s="900" t="s">
        <v>120</v>
      </c>
      <c r="I7708" s="1881">
        <v>18.2</v>
      </c>
      <c r="J7708" s="756">
        <v>11.8</v>
      </c>
      <c r="K7708" s="757">
        <v>8</v>
      </c>
      <c r="L7708" s="552">
        <f>(I7708*J7708*K7708/1000)</f>
        <v>1.7180799999999998</v>
      </c>
      <c r="M7708" s="549"/>
      <c r="N7708" s="549"/>
      <c r="O7708" s="549"/>
      <c r="P7708" s="549"/>
      <c r="Q7708" s="497" t="s">
        <v>876</v>
      </c>
    </row>
    <row r="7709" spans="1:17" ht="17.399999999999999">
      <c r="A7709" s="547"/>
      <c r="B7709" s="549" t="s">
        <v>560</v>
      </c>
      <c r="C7709" s="547"/>
      <c r="D7709" s="547"/>
      <c r="E7709" s="547"/>
      <c r="F7709" s="1202"/>
      <c r="G7709" s="869"/>
      <c r="H7709" s="650"/>
      <c r="I7709" s="1882"/>
      <c r="J7709" s="871"/>
      <c r="K7709" s="757">
        <f t="shared" ref="K7709:L7709" si="1620">SUM(K7708)</f>
        <v>8</v>
      </c>
      <c r="L7709" s="756">
        <f t="shared" si="1620"/>
        <v>1.7180799999999998</v>
      </c>
      <c r="M7709" s="549"/>
      <c r="N7709" s="549"/>
      <c r="O7709" s="549"/>
      <c r="P7709" s="549" t="s">
        <v>825</v>
      </c>
    </row>
    <row r="7710" spans="1:17" s="497" customFormat="1" ht="17.399999999999999">
      <c r="A7710" s="547"/>
      <c r="B7710" s="549"/>
      <c r="C7710" s="547"/>
      <c r="D7710" s="547"/>
      <c r="E7710" s="547"/>
      <c r="F7710" s="1202"/>
      <c r="G7710" s="869"/>
      <c r="H7710" s="650"/>
      <c r="I7710" s="1882"/>
      <c r="J7710" s="871"/>
      <c r="K7710" s="757"/>
      <c r="L7710" s="756"/>
      <c r="M7710" s="549"/>
      <c r="N7710" s="549"/>
      <c r="O7710" s="549"/>
      <c r="P7710" s="549"/>
    </row>
    <row r="7711" spans="1:17" ht="17.399999999999999">
      <c r="A7711" s="547" t="s">
        <v>717</v>
      </c>
      <c r="B7711" s="1169" t="s">
        <v>308</v>
      </c>
      <c r="C7711" s="547" t="s">
        <v>19</v>
      </c>
      <c r="D7711" s="547" t="s">
        <v>20</v>
      </c>
      <c r="E7711" s="547" t="s">
        <v>359</v>
      </c>
      <c r="F7711" s="1202">
        <v>13</v>
      </c>
      <c r="G7711" s="549" t="s">
        <v>21</v>
      </c>
      <c r="H7711" s="549" t="s">
        <v>120</v>
      </c>
      <c r="I7711" s="558">
        <v>18.18</v>
      </c>
      <c r="J7711" s="710">
        <v>12</v>
      </c>
      <c r="K7711" s="648">
        <v>19</v>
      </c>
      <c r="L7711" s="552">
        <f>(I7711*J7711*K7711/1000)</f>
        <v>4.1450399999999998</v>
      </c>
      <c r="M7711" s="549"/>
      <c r="N7711" s="549"/>
      <c r="O7711" s="549"/>
      <c r="P7711" s="549"/>
    </row>
    <row r="7712" spans="1:17" ht="17.399999999999999">
      <c r="A7712" s="547"/>
      <c r="B7712" s="751"/>
      <c r="C7712" s="547"/>
      <c r="D7712" s="547"/>
      <c r="E7712" s="547"/>
      <c r="F7712" s="1202"/>
      <c r="G7712" s="549"/>
      <c r="H7712" s="549"/>
      <c r="I7712" s="558"/>
      <c r="J7712" s="710"/>
      <c r="K7712" s="648">
        <f t="shared" ref="K7712:L7712" si="1621">SUM(K7711)</f>
        <v>19</v>
      </c>
      <c r="L7712" s="765">
        <f t="shared" si="1621"/>
        <v>4.1450399999999998</v>
      </c>
      <c r="M7712" s="549"/>
      <c r="N7712" s="549"/>
      <c r="O7712" s="549"/>
      <c r="P7712" s="549"/>
    </row>
    <row r="7713" spans="1:17" ht="17.399999999999999">
      <c r="A7713" s="549"/>
      <c r="B7713" s="549"/>
      <c r="C7713" s="549"/>
      <c r="D7713" s="549"/>
      <c r="E7713" s="549"/>
      <c r="F7713" s="549"/>
      <c r="G7713" s="549"/>
      <c r="H7713" s="549"/>
      <c r="I7713" s="558"/>
      <c r="J7713" s="710"/>
      <c r="K7713" s="648"/>
      <c r="L7713" s="765"/>
      <c r="M7713" s="549"/>
      <c r="N7713" s="549"/>
      <c r="O7713" s="549"/>
      <c r="P7713" s="549"/>
    </row>
    <row r="7714" spans="1:17" ht="17.399999999999999">
      <c r="A7714" s="547" t="s">
        <v>717</v>
      </c>
      <c r="B7714" s="1169" t="s">
        <v>308</v>
      </c>
      <c r="C7714" s="547" t="s">
        <v>19</v>
      </c>
      <c r="D7714" s="547" t="s">
        <v>20</v>
      </c>
      <c r="E7714" s="547" t="s">
        <v>359</v>
      </c>
      <c r="F7714" s="1202">
        <v>13</v>
      </c>
      <c r="G7714" s="549" t="s">
        <v>21</v>
      </c>
      <c r="H7714" s="549" t="s">
        <v>120</v>
      </c>
      <c r="I7714" s="558">
        <v>18.18</v>
      </c>
      <c r="J7714" s="710">
        <v>3.2</v>
      </c>
      <c r="K7714" s="648">
        <f>384-148</f>
        <v>236</v>
      </c>
      <c r="L7714" s="552">
        <f>(I7714*J7714*K7714/1000)</f>
        <v>13.729536</v>
      </c>
      <c r="M7714" s="549">
        <v>14</v>
      </c>
      <c r="N7714" s="567">
        <f>J7714*M7714*I7714/1000</f>
        <v>0.81446400000000008</v>
      </c>
      <c r="O7714" s="549"/>
      <c r="P7714" s="549"/>
    </row>
    <row r="7715" spans="1:17" ht="17.399999999999999">
      <c r="A7715" s="547"/>
      <c r="B7715" s="751"/>
      <c r="C7715" s="547"/>
      <c r="D7715" s="547"/>
      <c r="E7715" s="547"/>
      <c r="F7715" s="1202"/>
      <c r="G7715" s="549"/>
      <c r="H7715" s="549"/>
      <c r="I7715" s="558"/>
      <c r="J7715" s="710"/>
      <c r="K7715" s="648">
        <f t="shared" ref="K7715:M7715" si="1622">SUM(K7714)</f>
        <v>236</v>
      </c>
      <c r="L7715" s="765">
        <f>SUM(L7714)</f>
        <v>13.729536</v>
      </c>
      <c r="M7715" s="648">
        <f t="shared" si="1622"/>
        <v>14</v>
      </c>
      <c r="N7715" s="765">
        <f>SUM(N7714)</f>
        <v>0.81446400000000008</v>
      </c>
      <c r="O7715" s="754" t="s">
        <v>822</v>
      </c>
      <c r="P7715" s="754"/>
    </row>
    <row r="7716" spans="1:17" ht="17.399999999999999">
      <c r="A7716" s="549"/>
      <c r="B7716" s="549"/>
      <c r="C7716" s="549"/>
      <c r="D7716" s="549"/>
      <c r="E7716" s="549"/>
      <c r="F7716" s="549"/>
      <c r="G7716" s="549"/>
      <c r="H7716" s="549"/>
      <c r="I7716" s="558"/>
      <c r="J7716" s="710"/>
      <c r="K7716" s="766">
        <f>SUM(K7701:K7715)/2</f>
        <v>292</v>
      </c>
      <c r="L7716" s="765">
        <f>SUM(L7701:L7715)/2</f>
        <v>24.930715999999997</v>
      </c>
      <c r="M7716" s="766">
        <f>SUM(M7701:M7715)/2</f>
        <v>14</v>
      </c>
      <c r="N7716" s="765">
        <f>SUM(N7701:N7715)/2</f>
        <v>0.81446400000000008</v>
      </c>
      <c r="O7716" s="549"/>
      <c r="P7716" s="549"/>
    </row>
    <row r="7717" spans="1:17" s="497" customFormat="1" ht="17.399999999999999">
      <c r="A7717" s="549"/>
      <c r="B7717" s="549"/>
      <c r="C7717" s="549"/>
      <c r="D7717" s="549"/>
      <c r="E7717" s="549"/>
      <c r="F7717" s="549"/>
      <c r="G7717" s="549"/>
      <c r="H7717" s="549"/>
      <c r="I7717" s="558"/>
      <c r="J7717" s="710"/>
      <c r="K7717" s="766"/>
      <c r="L7717" s="765"/>
      <c r="M7717" s="549"/>
      <c r="N7717" s="549"/>
      <c r="O7717" s="549"/>
      <c r="P7717" s="549"/>
    </row>
    <row r="7718" spans="1:17" s="497" customFormat="1" ht="17.399999999999999">
      <c r="A7718" s="547"/>
      <c r="B7718" s="549"/>
      <c r="C7718" s="547"/>
      <c r="D7718" s="547"/>
      <c r="E7718" s="547"/>
      <c r="F7718" s="1202"/>
      <c r="G7718" s="869"/>
      <c r="H7718" s="650"/>
      <c r="I7718" s="1882"/>
      <c r="J7718" s="871"/>
      <c r="K7718" s="757"/>
      <c r="L7718" s="756"/>
      <c r="M7718" s="549"/>
      <c r="N7718" s="549"/>
      <c r="O7718" s="549"/>
      <c r="P7718" s="549"/>
    </row>
    <row r="7719" spans="1:17" ht="17.399999999999999">
      <c r="A7719" s="547" t="s">
        <v>541</v>
      </c>
      <c r="B7719" s="979" t="s">
        <v>820</v>
      </c>
      <c r="C7719" s="547" t="s">
        <v>19</v>
      </c>
      <c r="D7719" s="547" t="s">
        <v>20</v>
      </c>
      <c r="E7719" s="1025" t="s">
        <v>420</v>
      </c>
      <c r="F7719" s="1202">
        <v>13</v>
      </c>
      <c r="G7719" s="869" t="s">
        <v>21</v>
      </c>
      <c r="H7719" s="900" t="s">
        <v>123</v>
      </c>
      <c r="I7719" s="1881">
        <v>16.5</v>
      </c>
      <c r="J7719" s="756">
        <v>7.1</v>
      </c>
      <c r="K7719" s="757">
        <v>24</v>
      </c>
      <c r="L7719" s="552">
        <f t="shared" ref="L7719:L7724" si="1623">(I7719*J7719*K7719/1000)</f>
        <v>2.8115999999999999</v>
      </c>
      <c r="M7719" s="549">
        <v>1</v>
      </c>
      <c r="N7719" s="567">
        <f t="shared" ref="N7719:N7720" si="1624">J7719*M7719*I7719/1000</f>
        <v>0.11714999999999999</v>
      </c>
      <c r="O7719" s="549"/>
      <c r="P7719" s="549"/>
      <c r="Q7719" s="497" t="s">
        <v>875</v>
      </c>
    </row>
    <row r="7720" spans="1:17" ht="17.399999999999999">
      <c r="A7720" s="547"/>
      <c r="B7720" s="549" t="s">
        <v>560</v>
      </c>
      <c r="C7720" s="547"/>
      <c r="D7720" s="547"/>
      <c r="E7720" s="547"/>
      <c r="F7720" s="1202"/>
      <c r="G7720" s="869" t="s">
        <v>21</v>
      </c>
      <c r="H7720" s="869" t="s">
        <v>123</v>
      </c>
      <c r="I7720" s="1881">
        <v>16.5</v>
      </c>
      <c r="J7720" s="756">
        <v>8.1</v>
      </c>
      <c r="K7720" s="757">
        <v>16</v>
      </c>
      <c r="L7720" s="552">
        <f t="shared" si="1623"/>
        <v>2.1384000000000003</v>
      </c>
      <c r="M7720" s="549">
        <v>1</v>
      </c>
      <c r="N7720" s="567">
        <f t="shared" si="1624"/>
        <v>0.13365000000000002</v>
      </c>
      <c r="O7720" s="549"/>
      <c r="P7720" s="549"/>
    </row>
    <row r="7721" spans="1:17" ht="17.399999999999999">
      <c r="A7721" s="549"/>
      <c r="B7721" s="549"/>
      <c r="C7721" s="549"/>
      <c r="D7721" s="549"/>
      <c r="E7721" s="549"/>
      <c r="F7721" s="549"/>
      <c r="G7721" s="869" t="s">
        <v>21</v>
      </c>
      <c r="H7721" s="869" t="s">
        <v>123</v>
      </c>
      <c r="I7721" s="1881">
        <v>16.5</v>
      </c>
      <c r="J7721" s="756">
        <v>9.6999999999999993</v>
      </c>
      <c r="K7721" s="757">
        <v>25</v>
      </c>
      <c r="L7721" s="552">
        <f t="shared" si="1623"/>
        <v>4.0012499999999998</v>
      </c>
      <c r="M7721" s="549"/>
      <c r="N7721" s="549"/>
      <c r="O7721" s="549"/>
      <c r="P7721" s="549"/>
    </row>
    <row r="7722" spans="1:17" ht="17.399999999999999">
      <c r="A7722" s="549"/>
      <c r="B7722" s="549"/>
      <c r="C7722" s="549"/>
      <c r="D7722" s="549"/>
      <c r="E7722" s="549"/>
      <c r="F7722" s="549"/>
      <c r="G7722" s="869" t="s">
        <v>21</v>
      </c>
      <c r="H7722" s="869" t="s">
        <v>123</v>
      </c>
      <c r="I7722" s="1881">
        <v>16.5</v>
      </c>
      <c r="J7722" s="756">
        <v>10</v>
      </c>
      <c r="K7722" s="757">
        <v>22</v>
      </c>
      <c r="L7722" s="552">
        <f t="shared" si="1623"/>
        <v>3.63</v>
      </c>
      <c r="M7722" s="549"/>
      <c r="N7722" s="549"/>
      <c r="O7722" s="549"/>
      <c r="P7722" s="549"/>
    </row>
    <row r="7723" spans="1:17" ht="17.399999999999999">
      <c r="A7723" s="549"/>
      <c r="B7723" s="549"/>
      <c r="C7723" s="549"/>
      <c r="D7723" s="549"/>
      <c r="E7723" s="549"/>
      <c r="F7723" s="549"/>
      <c r="G7723" s="869" t="s">
        <v>21</v>
      </c>
      <c r="H7723" s="869" t="s">
        <v>123</v>
      </c>
      <c r="I7723" s="1881">
        <v>16.5</v>
      </c>
      <c r="J7723" s="756">
        <v>11.4</v>
      </c>
      <c r="K7723" s="757">
        <v>8</v>
      </c>
      <c r="L7723" s="552">
        <f t="shared" si="1623"/>
        <v>1.5047999999999999</v>
      </c>
      <c r="M7723" s="549"/>
      <c r="N7723" s="549"/>
      <c r="O7723" s="549"/>
      <c r="P7723" s="549"/>
    </row>
    <row r="7724" spans="1:17" ht="17.399999999999999">
      <c r="A7724" s="549"/>
      <c r="B7724" s="549"/>
      <c r="C7724" s="549"/>
      <c r="D7724" s="549"/>
      <c r="E7724" s="549"/>
      <c r="F7724" s="549"/>
      <c r="G7724" s="869" t="s">
        <v>21</v>
      </c>
      <c r="H7724" s="869" t="s">
        <v>123</v>
      </c>
      <c r="I7724" s="1881">
        <v>16.5</v>
      </c>
      <c r="J7724" s="756">
        <v>11.5</v>
      </c>
      <c r="K7724" s="757">
        <v>204</v>
      </c>
      <c r="L7724" s="552">
        <f t="shared" si="1623"/>
        <v>38.709000000000003</v>
      </c>
      <c r="M7724" s="549">
        <v>1</v>
      </c>
      <c r="N7724" s="567">
        <f>J7724*M7724*I7724/1000</f>
        <v>0.18975</v>
      </c>
      <c r="O7724" s="549"/>
      <c r="P7724" s="549"/>
    </row>
    <row r="7725" spans="1:17" ht="17.399999999999999">
      <c r="A7725" s="549"/>
      <c r="B7725" s="549"/>
      <c r="C7725" s="549"/>
      <c r="D7725" s="549"/>
      <c r="E7725" s="549"/>
      <c r="F7725" s="549"/>
      <c r="G7725" s="869"/>
      <c r="H7725" s="650"/>
      <c r="I7725" s="1882"/>
      <c r="J7725" s="871"/>
      <c r="K7725" s="757">
        <f t="shared" ref="K7725:M7725" si="1625">SUM(K7719:K7724)</f>
        <v>299</v>
      </c>
      <c r="L7725" s="756">
        <f>SUM(L7719:L7724)</f>
        <v>52.795050000000003</v>
      </c>
      <c r="M7725" s="757">
        <f t="shared" si="1625"/>
        <v>3</v>
      </c>
      <c r="N7725" s="756">
        <f>SUM(N7719:N7724)</f>
        <v>0.44055</v>
      </c>
      <c r="O7725" s="549"/>
      <c r="P7725" s="549" t="s">
        <v>826</v>
      </c>
    </row>
    <row r="7726" spans="1:17" ht="17.399999999999999">
      <c r="A7726" s="549"/>
      <c r="B7726" s="549"/>
      <c r="C7726" s="549"/>
      <c r="D7726" s="549"/>
      <c r="E7726" s="549"/>
      <c r="F7726" s="549"/>
      <c r="G7726" s="549"/>
      <c r="H7726" s="549"/>
      <c r="I7726" s="558"/>
      <c r="J7726" s="549"/>
      <c r="K7726" s="561"/>
      <c r="L7726" s="560"/>
      <c r="M7726" s="549"/>
      <c r="N7726" s="549"/>
      <c r="O7726" s="549"/>
      <c r="P7726" s="549"/>
    </row>
    <row r="7727" spans="1:17" s="497" customFormat="1" ht="17.399999999999999">
      <c r="A7727" s="547"/>
      <c r="B7727" s="549"/>
      <c r="C7727" s="547"/>
      <c r="D7727" s="547"/>
      <c r="E7727" s="547"/>
      <c r="F7727" s="1202"/>
      <c r="G7727" s="869"/>
      <c r="H7727" s="650"/>
      <c r="I7727" s="1882"/>
      <c r="J7727" s="871"/>
      <c r="K7727" s="757"/>
      <c r="L7727" s="756"/>
      <c r="M7727" s="549"/>
      <c r="N7727" s="549"/>
      <c r="O7727" s="549"/>
      <c r="P7727" s="549"/>
    </row>
    <row r="7728" spans="1:17" ht="17.399999999999999">
      <c r="A7728" s="547" t="s">
        <v>541</v>
      </c>
      <c r="B7728" s="979" t="s">
        <v>820</v>
      </c>
      <c r="C7728" s="547" t="s">
        <v>19</v>
      </c>
      <c r="D7728" s="547" t="s">
        <v>20</v>
      </c>
      <c r="E7728" s="1025" t="s">
        <v>420</v>
      </c>
      <c r="F7728" s="1202">
        <v>13</v>
      </c>
      <c r="G7728" s="869" t="s">
        <v>21</v>
      </c>
      <c r="H7728" s="900" t="s">
        <v>122</v>
      </c>
      <c r="I7728" s="1881">
        <v>14.7</v>
      </c>
      <c r="J7728" s="756">
        <v>6.6</v>
      </c>
      <c r="K7728" s="757">
        <v>8</v>
      </c>
      <c r="L7728" s="552">
        <f t="shared" ref="L7728:L7734" si="1626">(I7728*J7728*K7728/1000)</f>
        <v>0.77615999999999996</v>
      </c>
      <c r="M7728" s="549"/>
      <c r="N7728" s="549"/>
      <c r="O7728" s="549"/>
      <c r="P7728" s="549"/>
      <c r="Q7728" s="497" t="s">
        <v>876</v>
      </c>
    </row>
    <row r="7729" spans="1:17" ht="17.399999999999999">
      <c r="A7729" s="547"/>
      <c r="B7729" s="549" t="s">
        <v>560</v>
      </c>
      <c r="C7729" s="547"/>
      <c r="D7729" s="547"/>
      <c r="E7729" s="547"/>
      <c r="F7729" s="1202"/>
      <c r="G7729" s="869" t="s">
        <v>21</v>
      </c>
      <c r="H7729" s="869" t="s">
        <v>122</v>
      </c>
      <c r="I7729" s="1881">
        <v>14.7</v>
      </c>
      <c r="J7729" s="756">
        <v>7.3</v>
      </c>
      <c r="K7729" s="757">
        <v>26</v>
      </c>
      <c r="L7729" s="552">
        <f t="shared" si="1626"/>
        <v>2.7900599999999995</v>
      </c>
      <c r="M7729" s="549"/>
      <c r="N7729" s="549"/>
      <c r="O7729" s="549"/>
      <c r="P7729" s="549"/>
    </row>
    <row r="7730" spans="1:17" ht="17.399999999999999">
      <c r="A7730" s="549"/>
      <c r="B7730" s="549"/>
      <c r="C7730" s="549"/>
      <c r="D7730" s="549"/>
      <c r="E7730" s="549"/>
      <c r="F7730" s="549"/>
      <c r="G7730" s="869" t="s">
        <v>21</v>
      </c>
      <c r="H7730" s="869" t="s">
        <v>122</v>
      </c>
      <c r="I7730" s="1881">
        <v>14.7</v>
      </c>
      <c r="J7730" s="756">
        <v>7.8</v>
      </c>
      <c r="K7730" s="757">
        <v>26</v>
      </c>
      <c r="L7730" s="552">
        <f t="shared" si="1626"/>
        <v>2.98116</v>
      </c>
      <c r="M7730" s="549"/>
      <c r="N7730" s="549"/>
      <c r="O7730" s="549"/>
      <c r="P7730" s="549"/>
    </row>
    <row r="7731" spans="1:17" ht="17.399999999999999">
      <c r="A7731" s="549"/>
      <c r="B7731" s="549"/>
      <c r="C7731" s="549"/>
      <c r="D7731" s="549"/>
      <c r="E7731" s="549"/>
      <c r="F7731" s="549"/>
      <c r="G7731" s="869" t="s">
        <v>21</v>
      </c>
      <c r="H7731" s="869" t="s">
        <v>122</v>
      </c>
      <c r="I7731" s="1881">
        <v>14.7</v>
      </c>
      <c r="J7731" s="756">
        <v>10.199999999999999</v>
      </c>
      <c r="K7731" s="757">
        <v>10</v>
      </c>
      <c r="L7731" s="552">
        <f t="shared" si="1626"/>
        <v>1.4993999999999996</v>
      </c>
      <c r="M7731" s="549">
        <v>1</v>
      </c>
      <c r="N7731" s="567">
        <f t="shared" ref="N7731:N7733" si="1627">J7731*M7731*I7731/1000</f>
        <v>0.14993999999999996</v>
      </c>
      <c r="O7731" s="549"/>
      <c r="P7731" s="549"/>
    </row>
    <row r="7732" spans="1:17" ht="17.399999999999999">
      <c r="A7732" s="549"/>
      <c r="B7732" s="549"/>
      <c r="C7732" s="549"/>
      <c r="D7732" s="549"/>
      <c r="E7732" s="549"/>
      <c r="F7732" s="549"/>
      <c r="G7732" s="869" t="s">
        <v>21</v>
      </c>
      <c r="H7732" s="869" t="s">
        <v>122</v>
      </c>
      <c r="I7732" s="1881">
        <v>14.7</v>
      </c>
      <c r="J7732" s="756">
        <v>10.7</v>
      </c>
      <c r="K7732" s="757">
        <v>52</v>
      </c>
      <c r="L7732" s="552">
        <f t="shared" si="1626"/>
        <v>8.1790800000000008</v>
      </c>
      <c r="M7732" s="549">
        <v>1</v>
      </c>
      <c r="N7732" s="567">
        <f t="shared" si="1627"/>
        <v>0.15728999999999999</v>
      </c>
      <c r="O7732" s="549"/>
      <c r="P7732" s="549"/>
    </row>
    <row r="7733" spans="1:17" ht="17.399999999999999">
      <c r="A7733" s="549"/>
      <c r="B7733" s="549"/>
      <c r="C7733" s="549"/>
      <c r="D7733" s="549"/>
      <c r="E7733" s="549"/>
      <c r="F7733" s="549"/>
      <c r="G7733" s="869" t="s">
        <v>21</v>
      </c>
      <c r="H7733" s="869" t="s">
        <v>122</v>
      </c>
      <c r="I7733" s="1881">
        <v>14.7</v>
      </c>
      <c r="J7733" s="756">
        <v>11.5</v>
      </c>
      <c r="K7733" s="757">
        <v>24</v>
      </c>
      <c r="L7733" s="552">
        <f t="shared" si="1626"/>
        <v>4.0571999999999999</v>
      </c>
      <c r="M7733" s="549">
        <v>2</v>
      </c>
      <c r="N7733" s="567">
        <f t="shared" si="1627"/>
        <v>0.33809999999999996</v>
      </c>
      <c r="O7733" s="549"/>
      <c r="P7733" s="549"/>
    </row>
    <row r="7734" spans="1:17" ht="17.399999999999999">
      <c r="A7734" s="549"/>
      <c r="B7734" s="549"/>
      <c r="C7734" s="549"/>
      <c r="D7734" s="549"/>
      <c r="E7734" s="549"/>
      <c r="F7734" s="549"/>
      <c r="G7734" s="869" t="s">
        <v>21</v>
      </c>
      <c r="H7734" s="869" t="s">
        <v>122</v>
      </c>
      <c r="I7734" s="1881">
        <v>14.7</v>
      </c>
      <c r="J7734" s="756">
        <v>11.7</v>
      </c>
      <c r="K7734" s="757">
        <v>55</v>
      </c>
      <c r="L7734" s="552">
        <f t="shared" si="1626"/>
        <v>9.4594499999999986</v>
      </c>
      <c r="M7734" s="549">
        <v>3</v>
      </c>
      <c r="N7734" s="567">
        <f>J7734*M7734*I7734/1000</f>
        <v>0.51596999999999993</v>
      </c>
      <c r="O7734" s="549"/>
      <c r="P7734" s="549"/>
    </row>
    <row r="7735" spans="1:17" ht="17.399999999999999">
      <c r="A7735" s="549"/>
      <c r="B7735" s="549"/>
      <c r="C7735" s="549"/>
      <c r="D7735" s="549"/>
      <c r="E7735" s="549"/>
      <c r="F7735" s="549"/>
      <c r="G7735" s="869"/>
      <c r="H7735" s="650"/>
      <c r="I7735" s="1882"/>
      <c r="J7735" s="871"/>
      <c r="K7735" s="757">
        <f t="shared" ref="K7735:N7735" si="1628">SUM(K7728:K7734)</f>
        <v>201</v>
      </c>
      <c r="L7735" s="756">
        <f t="shared" si="1628"/>
        <v>29.742509999999996</v>
      </c>
      <c r="M7735" s="757">
        <f t="shared" si="1628"/>
        <v>7</v>
      </c>
      <c r="N7735" s="756">
        <f t="shared" si="1628"/>
        <v>1.1612999999999998</v>
      </c>
      <c r="O7735" s="549"/>
      <c r="P7735" s="549" t="s">
        <v>827</v>
      </c>
    </row>
    <row r="7736" spans="1:17" s="497" customFormat="1" ht="17.399999999999999">
      <c r="A7736" s="549"/>
      <c r="B7736" s="549"/>
      <c r="C7736" s="549"/>
      <c r="D7736" s="549"/>
      <c r="E7736" s="549"/>
      <c r="F7736" s="549"/>
      <c r="G7736" s="869"/>
      <c r="H7736" s="650"/>
      <c r="I7736" s="1882"/>
      <c r="J7736" s="871"/>
      <c r="K7736" s="757"/>
      <c r="L7736" s="756"/>
      <c r="M7736" s="549"/>
      <c r="N7736" s="549"/>
      <c r="O7736" s="549"/>
      <c r="P7736" s="549"/>
    </row>
    <row r="7737" spans="1:17" ht="17.399999999999999">
      <c r="A7737" s="547" t="s">
        <v>717</v>
      </c>
      <c r="B7737" s="1169" t="s">
        <v>308</v>
      </c>
      <c r="C7737" s="547" t="s">
        <v>19</v>
      </c>
      <c r="D7737" s="547" t="s">
        <v>20</v>
      </c>
      <c r="E7737" s="547" t="s">
        <v>359</v>
      </c>
      <c r="F7737" s="1202">
        <v>13</v>
      </c>
      <c r="G7737" s="549" t="s">
        <v>21</v>
      </c>
      <c r="H7737" s="869" t="s">
        <v>122</v>
      </c>
      <c r="I7737" s="1881">
        <v>14.66</v>
      </c>
      <c r="J7737" s="710">
        <v>12</v>
      </c>
      <c r="K7737" s="648">
        <v>6</v>
      </c>
      <c r="L7737" s="552">
        <f>(I7737*J7737*K7737/1000)</f>
        <v>1.05552</v>
      </c>
      <c r="M7737" s="549"/>
      <c r="N7737" s="549"/>
      <c r="O7737" s="549"/>
      <c r="P7737" s="549"/>
    </row>
    <row r="7738" spans="1:17" ht="17.399999999999999">
      <c r="A7738" s="547"/>
      <c r="B7738" s="751"/>
      <c r="C7738" s="547"/>
      <c r="D7738" s="547"/>
      <c r="E7738" s="547"/>
      <c r="F7738" s="1202"/>
      <c r="G7738" s="549"/>
      <c r="H7738" s="549"/>
      <c r="I7738" s="558"/>
      <c r="J7738" s="710"/>
      <c r="K7738" s="648">
        <f t="shared" ref="K7738:M7738" si="1629">SUM(K7737)</f>
        <v>6</v>
      </c>
      <c r="L7738" s="765">
        <f>SUM(L7737)</f>
        <v>1.05552</v>
      </c>
      <c r="M7738" s="648">
        <f t="shared" si="1629"/>
        <v>0</v>
      </c>
      <c r="N7738" s="765">
        <f>SUM(N7737)</f>
        <v>0</v>
      </c>
      <c r="O7738" s="549"/>
      <c r="P7738" s="549"/>
    </row>
    <row r="7739" spans="1:17" s="497" customFormat="1" ht="17.399999999999999">
      <c r="A7739" s="547"/>
      <c r="B7739" s="751"/>
      <c r="C7739" s="547"/>
      <c r="D7739" s="547"/>
      <c r="E7739" s="547"/>
      <c r="F7739" s="1202"/>
      <c r="G7739" s="549"/>
      <c r="H7739" s="549"/>
      <c r="I7739" s="558"/>
      <c r="J7739" s="710"/>
      <c r="K7739" s="766">
        <f>SUM(K7728:K7738)/2</f>
        <v>207</v>
      </c>
      <c r="L7739" s="765">
        <f>SUM(L7728:L7738)/2</f>
        <v>30.798029999999997</v>
      </c>
      <c r="M7739" s="766">
        <f>SUM(M7728:M7738)/2</f>
        <v>7</v>
      </c>
      <c r="N7739" s="765">
        <f>SUM(N7728:N7738)/2</f>
        <v>1.1612999999999998</v>
      </c>
      <c r="O7739" s="549"/>
      <c r="P7739" s="549"/>
    </row>
    <row r="7740" spans="1:17" s="497" customFormat="1" ht="17.399999999999999">
      <c r="A7740" s="547"/>
      <c r="B7740" s="751"/>
      <c r="C7740" s="547"/>
      <c r="D7740" s="547"/>
      <c r="E7740" s="547"/>
      <c r="F7740" s="1202"/>
      <c r="G7740" s="549"/>
      <c r="H7740" s="549"/>
      <c r="I7740" s="558"/>
      <c r="J7740" s="710"/>
      <c r="K7740" s="648"/>
      <c r="L7740" s="765"/>
      <c r="M7740" s="549"/>
      <c r="N7740" s="549"/>
      <c r="O7740" s="549"/>
      <c r="P7740" s="549"/>
    </row>
    <row r="7741" spans="1:17" ht="17.399999999999999">
      <c r="A7741" s="549"/>
      <c r="B7741" s="549"/>
      <c r="C7741" s="549"/>
      <c r="D7741" s="549"/>
      <c r="E7741" s="549"/>
      <c r="F7741" s="549"/>
      <c r="G7741" s="549"/>
      <c r="H7741" s="549"/>
      <c r="I7741" s="558"/>
      <c r="J7741" s="549"/>
      <c r="K7741" s="561"/>
      <c r="L7741" s="560"/>
      <c r="M7741" s="549"/>
      <c r="N7741" s="549"/>
      <c r="O7741" s="549"/>
      <c r="P7741" s="549"/>
    </row>
    <row r="7742" spans="1:17" ht="17.399999999999999">
      <c r="A7742" s="547" t="s">
        <v>541</v>
      </c>
      <c r="B7742" s="979" t="s">
        <v>820</v>
      </c>
      <c r="C7742" s="547" t="s">
        <v>19</v>
      </c>
      <c r="D7742" s="547" t="s">
        <v>60</v>
      </c>
      <c r="E7742" s="1202" t="s">
        <v>821</v>
      </c>
      <c r="F7742" s="1202">
        <v>13</v>
      </c>
      <c r="G7742" s="869" t="s">
        <v>61</v>
      </c>
      <c r="H7742" s="900" t="s">
        <v>122</v>
      </c>
      <c r="I7742" s="1881">
        <v>14.7</v>
      </c>
      <c r="J7742" s="756">
        <v>6.1</v>
      </c>
      <c r="K7742" s="757">
        <v>24</v>
      </c>
      <c r="L7742" s="552">
        <f t="shared" ref="L7742:L7754" si="1630">(I7742*J7742*K7742/1000)</f>
        <v>2.1520799999999998</v>
      </c>
      <c r="M7742" s="549"/>
      <c r="N7742" s="549"/>
      <c r="O7742" s="549"/>
      <c r="P7742" s="549"/>
      <c r="Q7742" s="497" t="s">
        <v>875</v>
      </c>
    </row>
    <row r="7743" spans="1:17" ht="17.399999999999999">
      <c r="A7743" s="547"/>
      <c r="B7743" s="549" t="s">
        <v>560</v>
      </c>
      <c r="C7743" s="547"/>
      <c r="D7743" s="547"/>
      <c r="E7743" s="547"/>
      <c r="F7743" s="1202"/>
      <c r="G7743" s="869" t="s">
        <v>61</v>
      </c>
      <c r="H7743" s="869" t="s">
        <v>122</v>
      </c>
      <c r="I7743" s="1881">
        <v>14.7</v>
      </c>
      <c r="J7743" s="756">
        <v>7</v>
      </c>
      <c r="K7743" s="757">
        <v>8</v>
      </c>
      <c r="L7743" s="552">
        <f t="shared" si="1630"/>
        <v>0.82319999999999993</v>
      </c>
      <c r="M7743" s="549"/>
      <c r="N7743" s="549"/>
      <c r="O7743" s="549"/>
      <c r="P7743" s="549"/>
    </row>
    <row r="7744" spans="1:17" ht="17.399999999999999">
      <c r="A7744" s="549"/>
      <c r="B7744" s="549"/>
      <c r="C7744" s="549"/>
      <c r="D7744" s="549"/>
      <c r="E7744" s="549"/>
      <c r="F7744" s="549"/>
      <c r="G7744" s="869" t="s">
        <v>61</v>
      </c>
      <c r="H7744" s="869" t="s">
        <v>122</v>
      </c>
      <c r="I7744" s="1881">
        <v>14.7</v>
      </c>
      <c r="J7744" s="756">
        <v>7.2</v>
      </c>
      <c r="K7744" s="757">
        <v>16</v>
      </c>
      <c r="L7744" s="552">
        <f t="shared" si="1630"/>
        <v>1.6934400000000001</v>
      </c>
      <c r="M7744" s="549">
        <v>1</v>
      </c>
      <c r="N7744" s="567">
        <f>J7744*M7744*I7744/1000</f>
        <v>0.10584</v>
      </c>
      <c r="O7744" s="549"/>
      <c r="P7744" s="549"/>
    </row>
    <row r="7745" spans="1:16" ht="17.399999999999999">
      <c r="A7745" s="549"/>
      <c r="B7745" s="549"/>
      <c r="C7745" s="549"/>
      <c r="D7745" s="549"/>
      <c r="E7745" s="549"/>
      <c r="F7745" s="549"/>
      <c r="G7745" s="869" t="s">
        <v>61</v>
      </c>
      <c r="H7745" s="869" t="s">
        <v>122</v>
      </c>
      <c r="I7745" s="1881">
        <v>14.7</v>
      </c>
      <c r="J7745" s="756">
        <v>7.4</v>
      </c>
      <c r="K7745" s="757">
        <v>16</v>
      </c>
      <c r="L7745" s="552">
        <f t="shared" si="1630"/>
        <v>1.74048</v>
      </c>
      <c r="M7745" s="549"/>
      <c r="N7745" s="549"/>
      <c r="O7745" s="549"/>
      <c r="P7745" s="549"/>
    </row>
    <row r="7746" spans="1:16" ht="17.399999999999999">
      <c r="A7746" s="549"/>
      <c r="B7746" s="549"/>
      <c r="C7746" s="549"/>
      <c r="D7746" s="549"/>
      <c r="E7746" s="549"/>
      <c r="F7746" s="549"/>
      <c r="G7746" s="869" t="s">
        <v>61</v>
      </c>
      <c r="H7746" s="869" t="s">
        <v>122</v>
      </c>
      <c r="I7746" s="1881">
        <v>14.7</v>
      </c>
      <c r="J7746" s="756">
        <v>7.7</v>
      </c>
      <c r="K7746" s="757">
        <v>16</v>
      </c>
      <c r="L7746" s="552">
        <f t="shared" si="1630"/>
        <v>1.81104</v>
      </c>
      <c r="M7746" s="549">
        <v>1</v>
      </c>
      <c r="N7746" s="567">
        <f>J7746*M7746*I7746/1000</f>
        <v>0.11319</v>
      </c>
      <c r="O7746" s="549"/>
      <c r="P7746" s="549"/>
    </row>
    <row r="7747" spans="1:16" ht="17.399999999999999">
      <c r="A7747" s="549"/>
      <c r="B7747" s="549"/>
      <c r="C7747" s="549"/>
      <c r="D7747" s="549"/>
      <c r="E7747" s="549"/>
      <c r="F7747" s="549"/>
      <c r="G7747" s="869" t="s">
        <v>61</v>
      </c>
      <c r="H7747" s="869" t="s">
        <v>122</v>
      </c>
      <c r="I7747" s="1881">
        <v>14.7</v>
      </c>
      <c r="J7747" s="756">
        <v>8.5</v>
      </c>
      <c r="K7747" s="757">
        <v>16</v>
      </c>
      <c r="L7747" s="552">
        <f t="shared" si="1630"/>
        <v>1.9991999999999999</v>
      </c>
      <c r="M7747" s="549"/>
      <c r="N7747" s="549"/>
      <c r="O7747" s="549"/>
      <c r="P7747" s="549"/>
    </row>
    <row r="7748" spans="1:16" ht="17.399999999999999">
      <c r="A7748" s="549"/>
      <c r="B7748" s="549"/>
      <c r="C7748" s="549"/>
      <c r="D7748" s="549"/>
      <c r="E7748" s="549"/>
      <c r="F7748" s="549"/>
      <c r="G7748" s="869" t="s">
        <v>61</v>
      </c>
      <c r="H7748" s="869" t="s">
        <v>122</v>
      </c>
      <c r="I7748" s="1881">
        <v>14.7</v>
      </c>
      <c r="J7748" s="756">
        <v>9</v>
      </c>
      <c r="K7748" s="757">
        <v>112</v>
      </c>
      <c r="L7748" s="552">
        <f t="shared" si="1630"/>
        <v>14.817599999999999</v>
      </c>
      <c r="M7748" s="549">
        <v>2</v>
      </c>
      <c r="N7748" s="567">
        <f t="shared" ref="N7748:N7750" si="1631">J7748*M7748*I7748/1000</f>
        <v>0.26459999999999995</v>
      </c>
      <c r="O7748" s="549"/>
      <c r="P7748" s="549"/>
    </row>
    <row r="7749" spans="1:16" ht="17.399999999999999">
      <c r="A7749" s="549"/>
      <c r="B7749" s="549"/>
      <c r="C7749" s="549"/>
      <c r="D7749" s="549"/>
      <c r="E7749" s="549"/>
      <c r="F7749" s="549"/>
      <c r="G7749" s="869" t="s">
        <v>61</v>
      </c>
      <c r="H7749" s="869" t="s">
        <v>122</v>
      </c>
      <c r="I7749" s="1881">
        <v>14.7</v>
      </c>
      <c r="J7749" s="756">
        <v>9.4</v>
      </c>
      <c r="K7749" s="757">
        <v>66</v>
      </c>
      <c r="L7749" s="552">
        <f t="shared" si="1630"/>
        <v>9.1198800000000002</v>
      </c>
      <c r="M7749" s="549">
        <v>1</v>
      </c>
      <c r="N7749" s="567">
        <f t="shared" si="1631"/>
        <v>0.13818</v>
      </c>
      <c r="O7749" s="549"/>
      <c r="P7749" s="549"/>
    </row>
    <row r="7750" spans="1:16" ht="17.399999999999999">
      <c r="A7750" s="549"/>
      <c r="B7750" s="549"/>
      <c r="C7750" s="549"/>
      <c r="D7750" s="549"/>
      <c r="E7750" s="549"/>
      <c r="F7750" s="549"/>
      <c r="G7750" s="869" t="s">
        <v>61</v>
      </c>
      <c r="H7750" s="869" t="s">
        <v>122</v>
      </c>
      <c r="I7750" s="1881">
        <v>14.7</v>
      </c>
      <c r="J7750" s="756">
        <v>9.6</v>
      </c>
      <c r="K7750" s="757">
        <v>16</v>
      </c>
      <c r="L7750" s="552">
        <f t="shared" si="1630"/>
        <v>2.2579199999999995</v>
      </c>
      <c r="M7750" s="549">
        <v>1</v>
      </c>
      <c r="N7750" s="567">
        <f t="shared" si="1631"/>
        <v>0.14111999999999997</v>
      </c>
      <c r="O7750" s="549"/>
      <c r="P7750" s="549"/>
    </row>
    <row r="7751" spans="1:16" ht="17.399999999999999">
      <c r="A7751" s="549"/>
      <c r="B7751" s="549"/>
      <c r="C7751" s="549"/>
      <c r="D7751" s="549"/>
      <c r="E7751" s="549"/>
      <c r="F7751" s="549"/>
      <c r="G7751" s="869" t="s">
        <v>61</v>
      </c>
      <c r="H7751" s="869" t="s">
        <v>122</v>
      </c>
      <c r="I7751" s="1881">
        <v>14.7</v>
      </c>
      <c r="J7751" s="756">
        <v>10.7</v>
      </c>
      <c r="K7751" s="757">
        <v>17</v>
      </c>
      <c r="L7751" s="552">
        <f t="shared" si="1630"/>
        <v>2.6739299999999999</v>
      </c>
      <c r="M7751" s="549"/>
      <c r="N7751" s="549"/>
      <c r="O7751" s="549"/>
      <c r="P7751" s="549"/>
    </row>
    <row r="7752" spans="1:16" ht="17.399999999999999">
      <c r="A7752" s="549"/>
      <c r="B7752" s="549"/>
      <c r="C7752" s="549"/>
      <c r="D7752" s="549"/>
      <c r="E7752" s="549"/>
      <c r="F7752" s="549"/>
      <c r="G7752" s="869" t="s">
        <v>61</v>
      </c>
      <c r="H7752" s="869" t="s">
        <v>122</v>
      </c>
      <c r="I7752" s="1881">
        <v>14.7</v>
      </c>
      <c r="J7752" s="756">
        <v>10.8</v>
      </c>
      <c r="K7752" s="757">
        <v>24</v>
      </c>
      <c r="L7752" s="552">
        <f t="shared" si="1630"/>
        <v>3.8102399999999998</v>
      </c>
      <c r="M7752" s="549">
        <v>2</v>
      </c>
      <c r="N7752" s="567">
        <f t="shared" ref="N7752:N7754" si="1632">J7752*M7752*I7752/1000</f>
        <v>0.31751999999999997</v>
      </c>
      <c r="O7752" s="549"/>
      <c r="P7752" s="549"/>
    </row>
    <row r="7753" spans="1:16" ht="17.399999999999999">
      <c r="A7753" s="549"/>
      <c r="B7753" s="549"/>
      <c r="C7753" s="549"/>
      <c r="D7753" s="549"/>
      <c r="E7753" s="549"/>
      <c r="F7753" s="549"/>
      <c r="G7753" s="869" t="s">
        <v>61</v>
      </c>
      <c r="H7753" s="869" t="s">
        <v>122</v>
      </c>
      <c r="I7753" s="1881">
        <v>14.7</v>
      </c>
      <c r="J7753" s="756">
        <v>11.3</v>
      </c>
      <c r="K7753" s="757">
        <v>52</v>
      </c>
      <c r="L7753" s="552">
        <f t="shared" si="1630"/>
        <v>8.6377200000000016</v>
      </c>
      <c r="M7753" s="549">
        <v>1</v>
      </c>
      <c r="N7753" s="567">
        <f t="shared" si="1632"/>
        <v>0.16611000000000001</v>
      </c>
      <c r="O7753" s="549"/>
      <c r="P7753" s="549"/>
    </row>
    <row r="7754" spans="1:16" ht="17.399999999999999">
      <c r="A7754" s="549"/>
      <c r="B7754" s="549"/>
      <c r="C7754" s="549"/>
      <c r="D7754" s="549"/>
      <c r="E7754" s="549"/>
      <c r="F7754" s="549"/>
      <c r="G7754" s="869" t="s">
        <v>61</v>
      </c>
      <c r="H7754" s="869" t="s">
        <v>122</v>
      </c>
      <c r="I7754" s="1881">
        <v>14.7</v>
      </c>
      <c r="J7754" s="756">
        <v>11.6</v>
      </c>
      <c r="K7754" s="757">
        <v>12</v>
      </c>
      <c r="L7754" s="552">
        <f t="shared" si="1630"/>
        <v>2.0462399999999996</v>
      </c>
      <c r="M7754" s="549">
        <v>2</v>
      </c>
      <c r="N7754" s="567">
        <f t="shared" si="1632"/>
        <v>0.34103999999999995</v>
      </c>
      <c r="O7754" s="549"/>
      <c r="P7754" s="549"/>
    </row>
    <row r="7755" spans="1:16" ht="17.399999999999999">
      <c r="A7755" s="549"/>
      <c r="B7755" s="549"/>
      <c r="C7755" s="549"/>
      <c r="D7755" s="549"/>
      <c r="E7755" s="549"/>
      <c r="F7755" s="549"/>
      <c r="G7755" s="869"/>
      <c r="H7755" s="650"/>
      <c r="I7755" s="1882"/>
      <c r="J7755" s="871"/>
      <c r="K7755" s="757">
        <f>SUM(K7742:K7754)</f>
        <v>395</v>
      </c>
      <c r="L7755" s="756">
        <f>SUM(L7742:L7754)</f>
        <v>53.582969999999996</v>
      </c>
      <c r="M7755" s="757">
        <f>SUM(M7742:M7754)</f>
        <v>11</v>
      </c>
      <c r="N7755" s="756">
        <f>SUM(N7742:N7754)</f>
        <v>1.5875999999999999</v>
      </c>
      <c r="O7755" s="549"/>
      <c r="P7755" s="549" t="s">
        <v>828</v>
      </c>
    </row>
    <row r="7756" spans="1:16" s="497" customFormat="1" ht="17.399999999999999">
      <c r="A7756" s="549"/>
      <c r="B7756" s="549"/>
      <c r="C7756" s="549"/>
      <c r="D7756" s="549"/>
      <c r="E7756" s="549"/>
      <c r="F7756" s="549"/>
      <c r="G7756" s="869"/>
      <c r="H7756" s="650"/>
      <c r="I7756" s="1882"/>
      <c r="J7756" s="871"/>
      <c r="K7756" s="757"/>
      <c r="L7756" s="756"/>
      <c r="M7756" s="549"/>
      <c r="N7756" s="549"/>
      <c r="O7756" s="549"/>
      <c r="P7756" s="549"/>
    </row>
    <row r="7757" spans="1:16" ht="17.399999999999999">
      <c r="A7757" s="549"/>
      <c r="B7757" s="549"/>
      <c r="C7757" s="549"/>
      <c r="D7757" s="549"/>
      <c r="E7757" s="549"/>
      <c r="F7757" s="549"/>
      <c r="G7757" s="549"/>
      <c r="H7757" s="549"/>
      <c r="I7757" s="560"/>
      <c r="J7757" s="549"/>
      <c r="K7757" s="561"/>
      <c r="L7757" s="568">
        <f>+L7755+L7739+L7725+L7716+L7697</f>
        <v>218.98388599999998</v>
      </c>
      <c r="M7757" s="549"/>
      <c r="N7757" s="565">
        <f>+N7755+N7739+N7725+N7716+N7697</f>
        <v>4.003914</v>
      </c>
      <c r="O7757" s="549"/>
      <c r="P7757" s="549"/>
    </row>
    <row r="7758" spans="1:16" ht="17.399999999999999">
      <c r="A7758" s="653" t="s">
        <v>48</v>
      </c>
      <c r="B7758" s="653"/>
      <c r="C7758" s="654"/>
      <c r="D7758" s="654"/>
      <c r="E7758" s="654"/>
      <c r="F7758" s="1198"/>
      <c r="G7758" s="654"/>
      <c r="H7758" s="1198"/>
      <c r="I7758" s="656"/>
      <c r="J7758" s="654"/>
      <c r="K7758" s="657"/>
      <c r="L7758" s="2003" t="s">
        <v>0</v>
      </c>
      <c r="M7758" s="2003"/>
      <c r="N7758" s="2003"/>
      <c r="O7758" s="2004"/>
      <c r="P7758" s="2010"/>
    </row>
    <row r="7759" spans="1:16" ht="17.399999999999999">
      <c r="A7759" s="658" t="s">
        <v>1</v>
      </c>
      <c r="B7759" s="658"/>
      <c r="C7759" s="658"/>
      <c r="D7759" s="659" t="s">
        <v>2</v>
      </c>
      <c r="E7759" s="659"/>
      <c r="F7759" s="660"/>
      <c r="G7759" s="660"/>
      <c r="H7759" s="660"/>
      <c r="I7759" s="661"/>
      <c r="J7759" s="660"/>
      <c r="K7759" s="662" t="s">
        <v>3</v>
      </c>
      <c r="L7759" s="660"/>
      <c r="M7759" s="658"/>
      <c r="N7759" s="660"/>
      <c r="O7759" s="663"/>
      <c r="P7759" s="2010"/>
    </row>
    <row r="7760" spans="1:16" ht="17.399999999999999">
      <c r="A7760" s="1198" t="s">
        <v>22</v>
      </c>
      <c r="B7760" s="1990" t="s">
        <v>23</v>
      </c>
      <c r="C7760" s="2005"/>
      <c r="D7760" s="1989"/>
      <c r="E7760" s="1198" t="s">
        <v>24</v>
      </c>
      <c r="F7760" s="1990" t="s">
        <v>25</v>
      </c>
      <c r="G7760" s="1989"/>
      <c r="H7760" s="1990" t="s">
        <v>26</v>
      </c>
      <c r="I7760" s="2005"/>
      <c r="J7760" s="2005"/>
      <c r="K7760" s="1989"/>
      <c r="L7760" s="2006" t="s">
        <v>27</v>
      </c>
      <c r="M7760" s="2006"/>
      <c r="N7760" s="2006"/>
      <c r="O7760" s="1990"/>
      <c r="P7760" s="2010"/>
    </row>
    <row r="7761" spans="1:16" ht="17.399999999999999">
      <c r="A7761" s="664"/>
      <c r="B7761" s="1975"/>
      <c r="C7761" s="1976"/>
      <c r="D7761" s="1977"/>
      <c r="E7761" s="665"/>
      <c r="F7761" s="1975"/>
      <c r="G7761" s="1977"/>
      <c r="H7761" s="1975"/>
      <c r="I7761" s="1976"/>
      <c r="J7761" s="1976"/>
      <c r="K7761" s="1977"/>
      <c r="L7761" s="1975"/>
      <c r="M7761" s="1976"/>
      <c r="N7761" s="1976"/>
      <c r="O7761" s="1976"/>
      <c r="P7761" s="2010"/>
    </row>
    <row r="7762" spans="1:16" ht="17.399999999999999">
      <c r="A7762" s="664"/>
      <c r="B7762" s="1195"/>
      <c r="C7762" s="1194"/>
      <c r="D7762" s="1196"/>
      <c r="E7762" s="665"/>
      <c r="F7762" s="1195"/>
      <c r="G7762" s="1196"/>
      <c r="H7762" s="1195"/>
      <c r="I7762" s="1842"/>
      <c r="J7762" s="1194"/>
      <c r="K7762" s="1196"/>
      <c r="L7762" s="1194"/>
      <c r="M7762" s="1194"/>
      <c r="N7762" s="1194"/>
      <c r="O7762" s="1194"/>
      <c r="P7762" s="2010"/>
    </row>
    <row r="7763" spans="1:16" ht="17.399999999999999">
      <c r="A7763" s="664" t="s">
        <v>28</v>
      </c>
      <c r="B7763" s="1975" t="s">
        <v>405</v>
      </c>
      <c r="C7763" s="1976"/>
      <c r="D7763" s="1977"/>
      <c r="E7763" s="665">
        <f>+L7697</f>
        <v>56.877119999999998</v>
      </c>
      <c r="F7763" s="1973">
        <v>13</v>
      </c>
      <c r="G7763" s="1974"/>
      <c r="H7763" s="1975" t="s">
        <v>49</v>
      </c>
      <c r="I7763" s="1976"/>
      <c r="J7763" s="1976"/>
      <c r="K7763" s="1977"/>
      <c r="L7763" s="1976" t="s">
        <v>742</v>
      </c>
      <c r="M7763" s="1976"/>
      <c r="N7763" s="1976"/>
      <c r="O7763" s="1976"/>
      <c r="P7763" s="2010"/>
    </row>
    <row r="7764" spans="1:16" ht="17.399999999999999">
      <c r="A7764" s="664" t="s">
        <v>29</v>
      </c>
      <c r="B7764" s="1975" t="s">
        <v>144</v>
      </c>
      <c r="C7764" s="1976"/>
      <c r="D7764" s="1977"/>
      <c r="E7764" s="665">
        <f>+L7716-0.814</f>
        <v>24.116715999999997</v>
      </c>
      <c r="F7764" s="1973">
        <v>13</v>
      </c>
      <c r="G7764" s="1974"/>
      <c r="H7764" s="1975" t="s">
        <v>49</v>
      </c>
      <c r="I7764" s="1976"/>
      <c r="J7764" s="1976"/>
      <c r="K7764" s="1977"/>
      <c r="L7764" s="1976" t="s">
        <v>742</v>
      </c>
      <c r="M7764" s="1976"/>
      <c r="N7764" s="1976"/>
      <c r="O7764" s="1976"/>
      <c r="P7764" s="2010"/>
    </row>
    <row r="7765" spans="1:16" ht="17.399999999999999">
      <c r="A7765" s="664" t="s">
        <v>30</v>
      </c>
      <c r="B7765" s="1975" t="s">
        <v>145</v>
      </c>
      <c r="C7765" s="1976"/>
      <c r="D7765" s="1977"/>
      <c r="E7765" s="665">
        <f>+L7725-0.441</f>
        <v>52.354050000000001</v>
      </c>
      <c r="F7765" s="1973">
        <v>13</v>
      </c>
      <c r="G7765" s="1974"/>
      <c r="H7765" s="1975" t="s">
        <v>49</v>
      </c>
      <c r="I7765" s="1976"/>
      <c r="J7765" s="1976"/>
      <c r="K7765" s="1977"/>
      <c r="L7765" s="1976" t="s">
        <v>742</v>
      </c>
      <c r="M7765" s="1976"/>
      <c r="N7765" s="1976"/>
      <c r="O7765" s="1976"/>
      <c r="P7765" s="2010"/>
    </row>
    <row r="7766" spans="1:16" ht="17.399999999999999">
      <c r="A7766" s="664" t="s">
        <v>46</v>
      </c>
      <c r="B7766" s="1975" t="s">
        <v>146</v>
      </c>
      <c r="C7766" s="1976"/>
      <c r="D7766" s="1977"/>
      <c r="E7766" s="665">
        <f>+L7739-0.516</f>
        <v>30.282029999999999</v>
      </c>
      <c r="F7766" s="1973">
        <v>13</v>
      </c>
      <c r="G7766" s="1974"/>
      <c r="H7766" s="1975" t="s">
        <v>49</v>
      </c>
      <c r="I7766" s="1976"/>
      <c r="J7766" s="1976"/>
      <c r="K7766" s="1977"/>
      <c r="L7766" s="1976" t="s">
        <v>742</v>
      </c>
      <c r="M7766" s="1976"/>
      <c r="N7766" s="1976"/>
      <c r="O7766" s="1976"/>
      <c r="P7766" s="2010"/>
    </row>
    <row r="7767" spans="1:16" ht="17.399999999999999">
      <c r="A7767" s="664"/>
      <c r="B7767" s="1195"/>
      <c r="C7767" s="1194"/>
      <c r="D7767" s="1196"/>
      <c r="E7767" s="665"/>
      <c r="F7767" s="1195"/>
      <c r="G7767" s="1196"/>
      <c r="H7767" s="1195"/>
      <c r="I7767" s="1842"/>
      <c r="J7767" s="1194"/>
      <c r="K7767" s="1196"/>
      <c r="L7767" s="1194"/>
      <c r="M7767" s="1194"/>
      <c r="N7767" s="1194"/>
      <c r="O7767" s="1194"/>
      <c r="P7767" s="2010"/>
    </row>
    <row r="7768" spans="1:16" ht="17.399999999999999">
      <c r="A7768" s="1197" t="s">
        <v>58</v>
      </c>
      <c r="B7768" s="1976" t="s">
        <v>535</v>
      </c>
      <c r="C7768" s="1976"/>
      <c r="D7768" s="1976"/>
      <c r="E7768" s="671">
        <f>+L7755-1.588</f>
        <v>51.994969999999995</v>
      </c>
      <c r="F7768" s="1973">
        <v>13</v>
      </c>
      <c r="G7768" s="1974"/>
      <c r="H7768" s="1975" t="s">
        <v>582</v>
      </c>
      <c r="I7768" s="1976"/>
      <c r="J7768" s="1976"/>
      <c r="K7768" s="1977"/>
      <c r="L7768" s="1976" t="s">
        <v>742</v>
      </c>
      <c r="M7768" s="1976"/>
      <c r="N7768" s="1976"/>
      <c r="O7768" s="1976"/>
      <c r="P7768" s="2010"/>
    </row>
    <row r="7769" spans="1:16" ht="17.399999999999999">
      <c r="A7769" s="1197"/>
      <c r="B7769" s="1976"/>
      <c r="C7769" s="1976"/>
      <c r="D7769" s="1976"/>
      <c r="E7769" s="671"/>
      <c r="F7769" s="1975"/>
      <c r="G7769" s="1977"/>
      <c r="H7769" s="1975"/>
      <c r="I7769" s="1976"/>
      <c r="J7769" s="1976"/>
      <c r="K7769" s="1977"/>
      <c r="L7769" s="1976"/>
      <c r="M7769" s="1976"/>
      <c r="N7769" s="1976"/>
      <c r="O7769" s="1976"/>
      <c r="P7769" s="2010"/>
    </row>
    <row r="7770" spans="1:16" ht="17.399999999999999">
      <c r="A7770" s="1197"/>
      <c r="B7770" s="1194"/>
      <c r="C7770" s="1194"/>
      <c r="D7770" s="1194"/>
      <c r="E7770" s="671"/>
      <c r="F7770" s="1195"/>
      <c r="G7770" s="1196"/>
      <c r="H7770" s="1195"/>
      <c r="I7770" s="1842"/>
      <c r="J7770" s="1194"/>
      <c r="K7770" s="1196"/>
      <c r="L7770" s="1194"/>
      <c r="M7770" s="1194"/>
      <c r="N7770" s="1194"/>
      <c r="O7770" s="1194"/>
      <c r="P7770" s="2010"/>
    </row>
    <row r="7771" spans="1:16" ht="18" thickBot="1">
      <c r="A7771" s="664"/>
      <c r="B7771" s="1195"/>
      <c r="C7771" s="1194"/>
      <c r="D7771" s="1194"/>
      <c r="E7771" s="665"/>
      <c r="F7771" s="1194"/>
      <c r="G7771" s="1196"/>
      <c r="H7771" s="1195"/>
      <c r="I7771" s="1842"/>
      <c r="J7771" s="1194"/>
      <c r="K7771" s="669"/>
      <c r="L7771" s="672"/>
      <c r="M7771" s="673"/>
      <c r="N7771" s="673"/>
      <c r="O7771" s="673"/>
      <c r="P7771" s="2010"/>
    </row>
    <row r="7772" spans="1:16" ht="17.399999999999999">
      <c r="A7772" s="674"/>
      <c r="B7772" s="675"/>
      <c r="C7772" s="676"/>
      <c r="D7772" s="676"/>
      <c r="E7772" s="1980">
        <f>SUM(E7761:E7771)</f>
        <v>215.62488599999998</v>
      </c>
      <c r="F7772" s="677"/>
      <c r="G7772" s="678"/>
      <c r="H7772" s="679"/>
      <c r="I7772" s="1848"/>
      <c r="J7772" s="676"/>
      <c r="K7772" s="680"/>
      <c r="L7772" s="679"/>
      <c r="M7772" s="676"/>
      <c r="N7772" s="677"/>
      <c r="O7772" s="676"/>
      <c r="P7772" s="2010"/>
    </row>
    <row r="7773" spans="1:16" ht="18" thickBot="1">
      <c r="A7773" s="681"/>
      <c r="B7773" s="682"/>
      <c r="C7773" s="683"/>
      <c r="D7773" s="683"/>
      <c r="E7773" s="1981"/>
      <c r="F7773" s="684"/>
      <c r="G7773" s="685"/>
      <c r="H7773" s="686"/>
      <c r="I7773" s="1850"/>
      <c r="J7773" s="683"/>
      <c r="K7773" s="687"/>
      <c r="L7773" s="686"/>
      <c r="M7773" s="683"/>
      <c r="N7773" s="684"/>
      <c r="O7773" s="683"/>
      <c r="P7773" s="2010"/>
    </row>
    <row r="7774" spans="1:16" ht="17.399999999999999">
      <c r="A7774" s="688" t="s">
        <v>31</v>
      </c>
      <c r="B7774" s="676"/>
      <c r="C7774" s="676"/>
      <c r="D7774" s="676"/>
      <c r="E7774" s="676"/>
      <c r="F7774" s="677"/>
      <c r="G7774" s="676"/>
      <c r="H7774" s="677"/>
      <c r="I7774" s="1848"/>
      <c r="J7774" s="676"/>
      <c r="K7774" s="689"/>
      <c r="L7774" s="677"/>
      <c r="M7774" s="676"/>
      <c r="N7774" s="677"/>
      <c r="O7774" s="676"/>
      <c r="P7774" s="2010"/>
    </row>
    <row r="7775" spans="1:16" ht="17.399999999999999">
      <c r="A7775" s="690"/>
      <c r="B7775" s="691"/>
      <c r="C7775" s="691"/>
      <c r="D7775" s="691"/>
      <c r="E7775" s="691"/>
      <c r="F7775" s="1201"/>
      <c r="G7775" s="691"/>
      <c r="H7775" s="1201"/>
      <c r="I7775" s="1849"/>
      <c r="J7775" s="691"/>
      <c r="K7775" s="693"/>
      <c r="L7775" s="1201"/>
      <c r="M7775" s="691"/>
      <c r="N7775" s="1201"/>
      <c r="O7775" s="691"/>
      <c r="P7775" s="2010"/>
    </row>
    <row r="7776" spans="1:16" ht="18" thickBot="1">
      <c r="A7776" s="1982" t="s">
        <v>32</v>
      </c>
      <c r="B7776" s="1983"/>
      <c r="C7776" s="1984" t="s">
        <v>33</v>
      </c>
      <c r="D7776" s="1985"/>
      <c r="E7776" s="694" t="s">
        <v>34</v>
      </c>
      <c r="F7776" s="694" t="s">
        <v>35</v>
      </c>
      <c r="G7776" s="1986" t="s">
        <v>36</v>
      </c>
      <c r="H7776" s="1987"/>
      <c r="I7776" s="1987"/>
      <c r="J7776" s="1987"/>
      <c r="K7776" s="1987"/>
      <c r="L7776" s="1987"/>
      <c r="M7776" s="1987"/>
      <c r="N7776" s="1987"/>
      <c r="O7776" s="1987"/>
      <c r="P7776" s="2010"/>
    </row>
    <row r="7777" spans="1:16" ht="17.399999999999999">
      <c r="A7777" s="1988"/>
      <c r="B7777" s="1989"/>
      <c r="C7777" s="1990"/>
      <c r="D7777" s="1989"/>
      <c r="E7777" s="1198"/>
      <c r="F7777" s="1199"/>
      <c r="G7777" s="1991"/>
      <c r="H7777" s="1992"/>
      <c r="I7777" s="1992"/>
      <c r="J7777" s="1992"/>
      <c r="K7777" s="1992"/>
      <c r="L7777" s="1992"/>
      <c r="M7777" s="1992"/>
      <c r="N7777" s="1992"/>
      <c r="O7777" s="1992"/>
      <c r="P7777" s="2010"/>
    </row>
    <row r="7778" spans="1:16" ht="17.399999999999999">
      <c r="A7778" s="1997" t="s">
        <v>37</v>
      </c>
      <c r="B7778" s="1998"/>
      <c r="C7778" s="1990"/>
      <c r="D7778" s="1989"/>
      <c r="E7778" s="1198"/>
      <c r="F7778" s="1199"/>
      <c r="G7778" s="1993"/>
      <c r="H7778" s="1994"/>
      <c r="I7778" s="1994"/>
      <c r="J7778" s="1994"/>
      <c r="K7778" s="1994"/>
      <c r="L7778" s="1994"/>
      <c r="M7778" s="1994"/>
      <c r="N7778" s="1994"/>
      <c r="O7778" s="1994"/>
      <c r="P7778" s="2010"/>
    </row>
    <row r="7779" spans="1:16" ht="17.399999999999999">
      <c r="A7779" s="1997" t="s">
        <v>38</v>
      </c>
      <c r="B7779" s="1998"/>
      <c r="C7779" s="1990"/>
      <c r="D7779" s="1989"/>
      <c r="E7779" s="1198"/>
      <c r="F7779" s="1199"/>
      <c r="G7779" s="1993"/>
      <c r="H7779" s="1994"/>
      <c r="I7779" s="1994"/>
      <c r="J7779" s="1994"/>
      <c r="K7779" s="1994"/>
      <c r="L7779" s="1994"/>
      <c r="M7779" s="1994"/>
      <c r="N7779" s="1994"/>
      <c r="O7779" s="1994"/>
      <c r="P7779" s="2010"/>
    </row>
    <row r="7780" spans="1:16" ht="17.399999999999999">
      <c r="A7780" s="1997" t="s">
        <v>39</v>
      </c>
      <c r="B7780" s="1998"/>
      <c r="C7780" s="1990"/>
      <c r="D7780" s="1989"/>
      <c r="E7780" s="1198"/>
      <c r="F7780" s="1199"/>
      <c r="G7780" s="1993"/>
      <c r="H7780" s="1994"/>
      <c r="I7780" s="1994"/>
      <c r="J7780" s="1994"/>
      <c r="K7780" s="1994"/>
      <c r="L7780" s="1994"/>
      <c r="M7780" s="1994"/>
      <c r="N7780" s="1994"/>
      <c r="O7780" s="1994"/>
      <c r="P7780" s="2010"/>
    </row>
    <row r="7781" spans="1:16" ht="17.399999999999999">
      <c r="A7781" s="1997" t="s">
        <v>40</v>
      </c>
      <c r="B7781" s="1998"/>
      <c r="C7781" s="1990"/>
      <c r="D7781" s="1989"/>
      <c r="E7781" s="1198"/>
      <c r="F7781" s="1199"/>
      <c r="G7781" s="1993"/>
      <c r="H7781" s="1994"/>
      <c r="I7781" s="1994"/>
      <c r="J7781" s="1994"/>
      <c r="K7781" s="1994"/>
      <c r="L7781" s="1994"/>
      <c r="M7781" s="1994"/>
      <c r="N7781" s="1994"/>
      <c r="O7781" s="1994"/>
      <c r="P7781" s="2010"/>
    </row>
    <row r="7782" spans="1:16" ht="18" thickBot="1">
      <c r="A7782" s="1999" t="s">
        <v>41</v>
      </c>
      <c r="B7782" s="2000"/>
      <c r="C7782" s="2001"/>
      <c r="D7782" s="2002"/>
      <c r="E7782" s="696"/>
      <c r="F7782" s="1193"/>
      <c r="G7782" s="1995"/>
      <c r="H7782" s="1996"/>
      <c r="I7782" s="1996"/>
      <c r="J7782" s="1996"/>
      <c r="K7782" s="1996"/>
      <c r="L7782" s="1996"/>
      <c r="M7782" s="1996"/>
      <c r="N7782" s="1996"/>
      <c r="O7782" s="1996"/>
      <c r="P7782" s="2010"/>
    </row>
    <row r="7783" spans="1:16" ht="18">
      <c r="A7783" s="690"/>
      <c r="B7783" s="691"/>
      <c r="C7783" s="691"/>
      <c r="D7783" s="691"/>
      <c r="E7783" s="691"/>
      <c r="F7783" s="1201"/>
      <c r="G7783" s="691"/>
      <c r="H7783" s="698"/>
      <c r="I7783" s="699"/>
      <c r="J7783" s="700"/>
      <c r="K7783" s="701"/>
      <c r="L7783" s="702"/>
      <c r="M7783" s="691"/>
      <c r="N7783" s="1201"/>
      <c r="O7783" s="691"/>
      <c r="P7783" s="2010"/>
    </row>
    <row r="7784" spans="1:16" ht="18">
      <c r="A7784" s="703" t="s">
        <v>42</v>
      </c>
      <c r="B7784" s="704"/>
      <c r="C7784" s="691"/>
      <c r="D7784" s="691"/>
      <c r="E7784" s="691"/>
      <c r="F7784" s="1201"/>
      <c r="G7784" s="704"/>
      <c r="H7784" s="698"/>
      <c r="I7784" s="699"/>
      <c r="J7784" s="700"/>
      <c r="K7784" s="693"/>
      <c r="L7784" s="705"/>
      <c r="M7784" s="691"/>
      <c r="N7784" s="1979" t="s">
        <v>43</v>
      </c>
      <c r="O7784" s="1979"/>
      <c r="P7784" s="2010"/>
    </row>
    <row r="7785" spans="1:16" ht="17.399999999999999">
      <c r="A7785" s="703"/>
      <c r="B7785" s="704"/>
      <c r="C7785" s="691"/>
      <c r="D7785" s="691"/>
      <c r="E7785" s="691"/>
      <c r="F7785" s="1201"/>
      <c r="G7785" s="691"/>
      <c r="H7785" s="1201"/>
      <c r="I7785" s="1849"/>
      <c r="J7785" s="691"/>
      <c r="K7785" s="693"/>
      <c r="L7785" s="1201"/>
      <c r="M7785" s="691"/>
      <c r="N7785" s="1201"/>
      <c r="O7785" s="704"/>
      <c r="P7785" s="2010"/>
    </row>
    <row r="7786" spans="1:16" ht="17.399999999999999">
      <c r="A7786" s="703" t="s">
        <v>44</v>
      </c>
      <c r="B7786" s="704"/>
      <c r="C7786" s="691"/>
      <c r="D7786" s="691"/>
      <c r="E7786" s="691"/>
      <c r="F7786" s="1201"/>
      <c r="G7786" s="691"/>
      <c r="H7786" s="1201"/>
      <c r="I7786" s="1849"/>
      <c r="J7786" s="691"/>
      <c r="K7786" s="693"/>
      <c r="L7786" s="1201"/>
      <c r="M7786" s="691"/>
      <c r="N7786" s="1979" t="s">
        <v>45</v>
      </c>
      <c r="O7786" s="1979"/>
      <c r="P7786" s="2010"/>
    </row>
    <row r="7787" spans="1:16" ht="18" thickBot="1">
      <c r="A7787" s="682"/>
      <c r="B7787" s="683"/>
      <c r="C7787" s="683"/>
      <c r="D7787" s="683"/>
      <c r="E7787" s="683"/>
      <c r="F7787" s="684"/>
      <c r="G7787" s="683"/>
      <c r="H7787" s="684"/>
      <c r="I7787" s="1850"/>
      <c r="J7787" s="683"/>
      <c r="K7787" s="706"/>
      <c r="L7787" s="684"/>
      <c r="M7787" s="683"/>
      <c r="N7787" s="684"/>
      <c r="O7787" s="683"/>
      <c r="P7787" s="2010"/>
    </row>
    <row r="7791" spans="1:16" ht="17.399999999999999">
      <c r="A7791" s="711" t="s">
        <v>48</v>
      </c>
      <c r="B7791" s="711"/>
      <c r="C7791" s="712"/>
      <c r="D7791" s="712"/>
      <c r="E7791" s="712"/>
      <c r="F7791" s="713"/>
      <c r="G7791" s="712"/>
      <c r="H7791" s="712"/>
      <c r="I7791" s="714"/>
      <c r="J7791" s="715"/>
      <c r="K7791" s="716"/>
      <c r="L7791" s="1978" t="s">
        <v>0</v>
      </c>
      <c r="M7791" s="1978"/>
      <c r="N7791" s="1978"/>
      <c r="O7791" s="1978"/>
      <c r="P7791" s="717"/>
    </row>
    <row r="7792" spans="1:16" ht="17.399999999999999">
      <c r="A7792" s="718" t="s">
        <v>1</v>
      </c>
      <c r="B7792" s="718"/>
      <c r="C7792" s="718"/>
      <c r="D7792" s="719" t="s">
        <v>2</v>
      </c>
      <c r="E7792" s="719"/>
      <c r="F7792" s="720"/>
      <c r="G7792" s="720"/>
      <c r="H7792" s="720"/>
      <c r="I7792" s="721"/>
      <c r="J7792" s="1209"/>
      <c r="K7792" s="723" t="s">
        <v>3</v>
      </c>
      <c r="L7792" s="1209"/>
      <c r="M7792" s="718"/>
      <c r="N7792" s="720"/>
      <c r="O7792" s="718"/>
      <c r="P7792" s="724"/>
    </row>
    <row r="7793" spans="1:17" ht="52.2">
      <c r="A7793" s="640" t="s">
        <v>4</v>
      </c>
      <c r="B7793" s="640" t="s">
        <v>5</v>
      </c>
      <c r="C7793" s="640" t="s">
        <v>6</v>
      </c>
      <c r="D7793" s="640" t="s">
        <v>7</v>
      </c>
      <c r="E7793" s="640" t="s">
        <v>8</v>
      </c>
      <c r="F7793" s="641" t="s">
        <v>9</v>
      </c>
      <c r="G7793" s="642" t="s">
        <v>10</v>
      </c>
      <c r="H7793" s="642" t="s">
        <v>11</v>
      </c>
      <c r="I7793" s="643" t="s">
        <v>12</v>
      </c>
      <c r="J7793" s="644" t="s">
        <v>13</v>
      </c>
      <c r="K7793" s="645" t="s">
        <v>14</v>
      </c>
      <c r="L7793" s="646" t="s">
        <v>15</v>
      </c>
      <c r="M7793" s="641" t="s">
        <v>16</v>
      </c>
      <c r="N7793" s="641" t="s">
        <v>17</v>
      </c>
      <c r="O7793" s="642" t="s">
        <v>18</v>
      </c>
      <c r="P7793" s="641" t="s">
        <v>192</v>
      </c>
    </row>
    <row r="7794" spans="1:17" ht="17.399999999999999">
      <c r="A7794" s="547" t="s">
        <v>541</v>
      </c>
      <c r="B7794" s="979" t="s">
        <v>820</v>
      </c>
      <c r="C7794" s="547" t="s">
        <v>19</v>
      </c>
      <c r="D7794" s="547" t="s">
        <v>20</v>
      </c>
      <c r="E7794" s="1025" t="s">
        <v>420</v>
      </c>
      <c r="F7794" s="1214">
        <v>16</v>
      </c>
      <c r="G7794" s="869" t="s">
        <v>21</v>
      </c>
      <c r="H7794" s="900" t="s">
        <v>179</v>
      </c>
      <c r="I7794" s="1881">
        <v>33.799999999999997</v>
      </c>
      <c r="J7794" s="756">
        <v>8.6999999999999993</v>
      </c>
      <c r="K7794" s="757">
        <v>27</v>
      </c>
      <c r="L7794" s="552">
        <f t="shared" ref="L7794:L7798" si="1633">(I7794*J7794*K7794/1000)</f>
        <v>7.9396199999999988</v>
      </c>
      <c r="M7794" s="549"/>
      <c r="N7794" s="549"/>
      <c r="O7794" s="549"/>
      <c r="P7794" s="549"/>
      <c r="Q7794" s="497" t="s">
        <v>877</v>
      </c>
    </row>
    <row r="7795" spans="1:17" ht="17.399999999999999">
      <c r="A7795" s="547"/>
      <c r="B7795" s="549" t="s">
        <v>560</v>
      </c>
      <c r="C7795" s="547"/>
      <c r="D7795" s="547"/>
      <c r="E7795" s="547"/>
      <c r="F7795" s="1214"/>
      <c r="G7795" s="869" t="s">
        <v>21</v>
      </c>
      <c r="H7795" s="869" t="s">
        <v>179</v>
      </c>
      <c r="I7795" s="1881">
        <v>33.799999999999997</v>
      </c>
      <c r="J7795" s="756">
        <v>9</v>
      </c>
      <c r="K7795" s="757">
        <v>68</v>
      </c>
      <c r="L7795" s="552">
        <f t="shared" si="1633"/>
        <v>20.685599999999997</v>
      </c>
      <c r="M7795" s="549"/>
      <c r="N7795" s="549"/>
      <c r="O7795" s="549"/>
      <c r="P7795" s="549"/>
      <c r="Q7795" s="497" t="s">
        <v>931</v>
      </c>
    </row>
    <row r="7796" spans="1:17" ht="17.399999999999999">
      <c r="A7796" s="549"/>
      <c r="B7796" s="549"/>
      <c r="C7796" s="549"/>
      <c r="D7796" s="549"/>
      <c r="E7796" s="549"/>
      <c r="F7796" s="549"/>
      <c r="G7796" s="869" t="s">
        <v>21</v>
      </c>
      <c r="H7796" s="869" t="s">
        <v>179</v>
      </c>
      <c r="I7796" s="1881">
        <v>33.799999999999997</v>
      </c>
      <c r="J7796" s="756">
        <v>10.9</v>
      </c>
      <c r="K7796" s="757">
        <v>8</v>
      </c>
      <c r="L7796" s="552">
        <f t="shared" si="1633"/>
        <v>2.9473599999999998</v>
      </c>
      <c r="M7796" s="549">
        <v>8</v>
      </c>
      <c r="N7796" s="567">
        <f>J7796*M7796*I7796/1000</f>
        <v>2.9473599999999998</v>
      </c>
      <c r="O7796" s="549"/>
      <c r="P7796" s="549"/>
    </row>
    <row r="7797" spans="1:17" ht="17.399999999999999">
      <c r="A7797" s="549"/>
      <c r="B7797" s="549"/>
      <c r="C7797" s="549"/>
      <c r="D7797" s="549"/>
      <c r="E7797" s="549"/>
      <c r="F7797" s="549"/>
      <c r="G7797" s="869" t="s">
        <v>21</v>
      </c>
      <c r="H7797" s="869" t="s">
        <v>179</v>
      </c>
      <c r="I7797" s="1881">
        <v>33.799999999999997</v>
      </c>
      <c r="J7797" s="756">
        <v>11.5</v>
      </c>
      <c r="K7797" s="757">
        <v>192</v>
      </c>
      <c r="L7797" s="552">
        <f t="shared" si="1633"/>
        <v>74.630399999999995</v>
      </c>
      <c r="M7797" s="550"/>
      <c r="N7797" s="567">
        <f t="shared" ref="N7797:N7798" si="1634">J7797*M7797*I7797/1000</f>
        <v>0</v>
      </c>
      <c r="O7797" s="549"/>
      <c r="P7797" s="549"/>
    </row>
    <row r="7798" spans="1:17" ht="17.399999999999999">
      <c r="A7798" s="549"/>
      <c r="B7798" s="549"/>
      <c r="C7798" s="549"/>
      <c r="D7798" s="549"/>
      <c r="E7798" s="549"/>
      <c r="F7798" s="549"/>
      <c r="G7798" s="869" t="s">
        <v>21</v>
      </c>
      <c r="H7798" s="869" t="s">
        <v>179</v>
      </c>
      <c r="I7798" s="1881">
        <v>33.799999999999997</v>
      </c>
      <c r="J7798" s="756">
        <v>11.6</v>
      </c>
      <c r="K7798" s="757">
        <v>32</v>
      </c>
      <c r="L7798" s="552">
        <f t="shared" si="1633"/>
        <v>12.546559999999998</v>
      </c>
      <c r="M7798" s="549"/>
      <c r="N7798" s="549">
        <f t="shared" si="1634"/>
        <v>0</v>
      </c>
      <c r="O7798" s="549"/>
      <c r="P7798" s="549"/>
    </row>
    <row r="7799" spans="1:17" ht="17.399999999999999">
      <c r="A7799" s="549"/>
      <c r="B7799" s="549"/>
      <c r="C7799" s="549"/>
      <c r="D7799" s="549"/>
      <c r="E7799" s="549"/>
      <c r="F7799" s="549"/>
      <c r="G7799" s="869"/>
      <c r="H7799" s="650"/>
      <c r="I7799" s="1882"/>
      <c r="J7799" s="871"/>
      <c r="K7799" s="757">
        <f>SUM(K7794:K7798)</f>
        <v>327</v>
      </c>
      <c r="L7799" s="756">
        <f>SUM(L7794:L7798)</f>
        <v>118.74954</v>
      </c>
      <c r="M7799" s="757">
        <f>SUM(M7794:M7798)</f>
        <v>8</v>
      </c>
      <c r="N7799" s="756">
        <f>SUM(N7794:N7798)</f>
        <v>2.9473599999999998</v>
      </c>
      <c r="O7799" s="549"/>
      <c r="P7799" s="549" t="s">
        <v>838</v>
      </c>
    </row>
    <row r="7800" spans="1:17" ht="17.399999999999999">
      <c r="A7800" s="549"/>
      <c r="B7800" s="549"/>
      <c r="C7800" s="549"/>
      <c r="D7800" s="549"/>
      <c r="E7800" s="549"/>
      <c r="F7800" s="549"/>
      <c r="G7800" s="549"/>
      <c r="H7800" s="549"/>
      <c r="I7800" s="560"/>
      <c r="J7800" s="549"/>
      <c r="K7800" s="561"/>
      <c r="L7800" s="560"/>
      <c r="M7800" s="549"/>
      <c r="N7800" s="549"/>
      <c r="O7800" s="549"/>
      <c r="P7800" s="549"/>
    </row>
    <row r="7801" spans="1:17" ht="17.399999999999999">
      <c r="A7801" s="547" t="s">
        <v>445</v>
      </c>
      <c r="B7801" s="547" t="s">
        <v>833</v>
      </c>
      <c r="C7801" s="547" t="s">
        <v>19</v>
      </c>
      <c r="D7801" s="547" t="s">
        <v>20</v>
      </c>
      <c r="E7801" s="1094" t="s">
        <v>47</v>
      </c>
      <c r="F7801" s="1214">
        <v>16</v>
      </c>
      <c r="G7801" s="549" t="s">
        <v>21</v>
      </c>
      <c r="H7801" s="599" t="s">
        <v>179</v>
      </c>
      <c r="I7801" s="558">
        <v>33.799999999999997</v>
      </c>
      <c r="J7801" s="710">
        <v>10</v>
      </c>
      <c r="K7801" s="648">
        <v>5</v>
      </c>
      <c r="L7801" s="552">
        <f>(I7801*J7801*K7801/1000)</f>
        <v>1.69</v>
      </c>
      <c r="M7801" s="549">
        <v>5</v>
      </c>
      <c r="N7801" s="567">
        <f>J7801*M7801*I7801/1000</f>
        <v>1.6899999999999997</v>
      </c>
      <c r="O7801" s="549"/>
      <c r="P7801" s="549"/>
      <c r="Q7801" s="497" t="s">
        <v>876</v>
      </c>
    </row>
    <row r="7802" spans="1:17" ht="17.399999999999999">
      <c r="A7802" s="549"/>
      <c r="B7802" s="549" t="s">
        <v>439</v>
      </c>
      <c r="C7802" s="549"/>
      <c r="D7802" s="549"/>
      <c r="E7802" s="549"/>
      <c r="F7802" s="549"/>
      <c r="G7802" s="549"/>
      <c r="H7802" s="549"/>
      <c r="I7802" s="560"/>
      <c r="J7802" s="710"/>
      <c r="K7802" s="648">
        <f t="shared" ref="K7802:M7802" si="1635">SUM(K7801)</f>
        <v>5</v>
      </c>
      <c r="L7802" s="765">
        <f>SUM(L7801)</f>
        <v>1.69</v>
      </c>
      <c r="M7802" s="648">
        <f t="shared" si="1635"/>
        <v>5</v>
      </c>
      <c r="N7802" s="765">
        <f>SUM(N7801)</f>
        <v>1.6899999999999997</v>
      </c>
      <c r="O7802" s="549"/>
      <c r="P7802" s="549"/>
    </row>
    <row r="7803" spans="1:17" ht="17.399999999999999">
      <c r="A7803" s="549"/>
      <c r="B7803" s="549"/>
      <c r="C7803" s="549"/>
      <c r="D7803" s="549"/>
      <c r="E7803" s="549"/>
      <c r="F7803" s="549"/>
      <c r="G7803" s="549"/>
      <c r="H7803" s="549"/>
      <c r="I7803" s="560"/>
      <c r="J7803" s="710"/>
      <c r="K7803" s="648"/>
      <c r="L7803" s="765"/>
      <c r="M7803" s="648"/>
      <c r="N7803" s="765"/>
      <c r="O7803" s="549"/>
      <c r="P7803" s="549"/>
    </row>
    <row r="7804" spans="1:17" ht="17.399999999999999">
      <c r="A7804" s="547" t="s">
        <v>445</v>
      </c>
      <c r="B7804" s="547" t="s">
        <v>852</v>
      </c>
      <c r="C7804" s="547" t="s">
        <v>19</v>
      </c>
      <c r="D7804" s="547" t="s">
        <v>20</v>
      </c>
      <c r="E7804" s="1094" t="s">
        <v>47</v>
      </c>
      <c r="F7804" s="1214">
        <v>16</v>
      </c>
      <c r="G7804" s="549" t="s">
        <v>21</v>
      </c>
      <c r="H7804" s="599" t="s">
        <v>179</v>
      </c>
      <c r="I7804" s="558">
        <v>33.799999999999997</v>
      </c>
      <c r="J7804" s="710">
        <v>10</v>
      </c>
      <c r="K7804" s="648">
        <v>11</v>
      </c>
      <c r="L7804" s="552">
        <f>(I7804*J7804*K7804/1000)</f>
        <v>3.718</v>
      </c>
      <c r="M7804" s="648">
        <v>11</v>
      </c>
      <c r="N7804" s="567">
        <f>J7804*M7804*I7804/1000</f>
        <v>3.7179999999999995</v>
      </c>
      <c r="O7804" s="549"/>
      <c r="P7804" s="549"/>
      <c r="Q7804" s="497" t="s">
        <v>876</v>
      </c>
    </row>
    <row r="7805" spans="1:17" ht="17.399999999999999">
      <c r="A7805" s="549"/>
      <c r="B7805" s="549" t="s">
        <v>439</v>
      </c>
      <c r="C7805" s="549"/>
      <c r="D7805" s="549"/>
      <c r="E7805" s="549"/>
      <c r="F7805" s="549"/>
      <c r="G7805" s="549"/>
      <c r="H7805" s="549"/>
      <c r="I7805" s="558"/>
      <c r="J7805" s="710"/>
      <c r="K7805" s="648">
        <f>SUM(K7804)</f>
        <v>11</v>
      </c>
      <c r="L7805" s="567">
        <f t="shared" ref="L7805" si="1636">SUM(L7804)</f>
        <v>3.718</v>
      </c>
      <c r="M7805" s="648">
        <f>SUM(M7804)</f>
        <v>11</v>
      </c>
      <c r="N7805" s="567">
        <f>SUM(N7804)</f>
        <v>3.7179999999999995</v>
      </c>
      <c r="O7805" s="549"/>
      <c r="P7805" s="549"/>
    </row>
    <row r="7806" spans="1:17" ht="17.399999999999999">
      <c r="A7806" s="549"/>
      <c r="B7806" s="549"/>
      <c r="C7806" s="549"/>
      <c r="D7806" s="549"/>
      <c r="E7806" s="549"/>
      <c r="F7806" s="549"/>
      <c r="G7806" s="549"/>
      <c r="H7806" s="549"/>
      <c r="I7806" s="560"/>
      <c r="J7806" s="549"/>
      <c r="K7806" s="652">
        <f>SUM(K7794:K7805)/2</f>
        <v>343</v>
      </c>
      <c r="L7806" s="565">
        <f>SUM(L7794:L7805)/2</f>
        <v>124.15753999999998</v>
      </c>
      <c r="M7806" s="652">
        <f>SUM(M7794:M7805)/2</f>
        <v>24</v>
      </c>
      <c r="N7806" s="565">
        <f>SUM(N7794:N7805)/2</f>
        <v>8.3553599999999992</v>
      </c>
      <c r="O7806" s="549"/>
      <c r="P7806" s="549"/>
    </row>
    <row r="7807" spans="1:17" ht="17.399999999999999">
      <c r="A7807" s="549"/>
      <c r="B7807" s="549"/>
      <c r="C7807" s="549"/>
      <c r="D7807" s="549"/>
      <c r="E7807" s="549"/>
      <c r="F7807" s="549"/>
      <c r="G7807" s="549"/>
      <c r="H7807" s="549"/>
      <c r="I7807" s="560"/>
      <c r="J7807" s="549"/>
      <c r="K7807" s="561"/>
      <c r="L7807" s="560"/>
      <c r="M7807" s="549"/>
      <c r="N7807" s="549"/>
      <c r="O7807" s="549"/>
      <c r="P7807" s="549"/>
    </row>
    <row r="7808" spans="1:17" ht="17.399999999999999">
      <c r="A7808" s="549"/>
      <c r="B7808" s="549"/>
      <c r="C7808" s="549"/>
      <c r="D7808" s="549"/>
      <c r="E7808" s="549"/>
      <c r="F7808" s="549"/>
      <c r="G7808" s="549"/>
      <c r="H7808" s="549"/>
      <c r="I7808" s="560"/>
      <c r="J7808" s="549"/>
      <c r="K7808" s="561"/>
      <c r="L7808" s="560"/>
      <c r="M7808" s="549"/>
      <c r="N7808" s="549"/>
      <c r="O7808" s="549"/>
      <c r="P7808" s="549"/>
    </row>
    <row r="7809" spans="1:19" s="497" customFormat="1" ht="17.399999999999999">
      <c r="A7809" s="547" t="s">
        <v>445</v>
      </c>
      <c r="B7809" s="1169" t="s">
        <v>688</v>
      </c>
      <c r="C7809" s="547" t="s">
        <v>19</v>
      </c>
      <c r="D7809" s="547" t="s">
        <v>20</v>
      </c>
      <c r="E7809" s="1094" t="s">
        <v>47</v>
      </c>
      <c r="F7809" s="1214">
        <v>16</v>
      </c>
      <c r="G7809" s="549" t="s">
        <v>21</v>
      </c>
      <c r="H7809" s="549" t="s">
        <v>177</v>
      </c>
      <c r="I7809" s="558">
        <v>27.3</v>
      </c>
      <c r="J7809" s="567">
        <v>12.75</v>
      </c>
      <c r="K7809" s="648">
        <v>34</v>
      </c>
      <c r="L7809" s="552">
        <f t="shared" ref="L7809" si="1637">(I7809*J7809*K7809/1000)</f>
        <v>11.83455</v>
      </c>
      <c r="M7809" s="549"/>
      <c r="N7809" s="549"/>
      <c r="O7809" s="549"/>
      <c r="P7809" s="549"/>
      <c r="Q7809" s="497">
        <f>9+7</f>
        <v>16</v>
      </c>
      <c r="R7809" s="126">
        <f>J7809*Q7809*I7809/1000</f>
        <v>5.5691999999999995</v>
      </c>
    </row>
    <row r="7810" spans="1:19" s="497" customFormat="1" ht="17.399999999999999">
      <c r="A7810" s="547"/>
      <c r="B7810" s="751" t="s">
        <v>832</v>
      </c>
      <c r="C7810" s="547"/>
      <c r="D7810" s="547"/>
      <c r="E7810" s="547"/>
      <c r="F7810" s="1214"/>
      <c r="G7810" s="549"/>
      <c r="H7810" s="549"/>
      <c r="I7810" s="560"/>
      <c r="J7810" s="549"/>
      <c r="K7810" s="652">
        <f t="shared" ref="K7810" si="1638">SUM(K7809)</f>
        <v>34</v>
      </c>
      <c r="L7810" s="565">
        <f>SUM(L7809)</f>
        <v>11.83455</v>
      </c>
      <c r="M7810" s="549"/>
      <c r="N7810" s="549"/>
      <c r="O7810" s="549"/>
      <c r="P7810" s="549"/>
      <c r="Q7810" s="652">
        <f t="shared" ref="Q7810" si="1639">SUM(Q7809)</f>
        <v>16</v>
      </c>
      <c r="R7810" s="565">
        <f>SUM(R7809)</f>
        <v>5.5691999999999995</v>
      </c>
    </row>
    <row r="7811" spans="1:19" s="497" customFormat="1" ht="17.399999999999999">
      <c r="A7811" s="549"/>
      <c r="B7811" s="549"/>
      <c r="C7811" s="549"/>
      <c r="D7811" s="549"/>
      <c r="E7811" s="549"/>
      <c r="F7811" s="549"/>
      <c r="G7811" s="549"/>
      <c r="H7811" s="549"/>
      <c r="I7811" s="560"/>
      <c r="J7811" s="549"/>
      <c r="K7811" s="561"/>
      <c r="L7811" s="560"/>
      <c r="M7811" s="549"/>
      <c r="N7811" s="549"/>
      <c r="O7811" s="549"/>
      <c r="P7811" s="549"/>
    </row>
    <row r="7812" spans="1:19" s="497" customFormat="1" ht="17.399999999999999">
      <c r="A7812" s="547" t="s">
        <v>445</v>
      </c>
      <c r="B7812" s="547" t="s">
        <v>845</v>
      </c>
      <c r="C7812" s="547" t="s">
        <v>19</v>
      </c>
      <c r="D7812" s="547" t="s">
        <v>20</v>
      </c>
      <c r="E7812" s="1094" t="s">
        <v>367</v>
      </c>
      <c r="F7812" s="1214">
        <v>16</v>
      </c>
      <c r="G7812" s="549" t="s">
        <v>21</v>
      </c>
      <c r="H7812" s="1203" t="s">
        <v>177</v>
      </c>
      <c r="I7812" s="558">
        <v>27.3</v>
      </c>
      <c r="J7812" s="710">
        <v>10.1</v>
      </c>
      <c r="K7812" s="648">
        <v>108</v>
      </c>
      <c r="L7812" s="552">
        <f>(I7812*J7812*K7812/1000)</f>
        <v>29.778840000000002</v>
      </c>
      <c r="M7812" s="549"/>
      <c r="N7812" s="567">
        <f>J7812*M7812*I7812/1000</f>
        <v>0</v>
      </c>
      <c r="O7812" s="549"/>
      <c r="P7812" s="549"/>
      <c r="Q7812" s="497">
        <f>10+6</f>
        <v>16</v>
      </c>
      <c r="R7812" s="497">
        <f>J7812*Q7812*I7812/1000</f>
        <v>4.4116800000000005</v>
      </c>
      <c r="S7812" s="497" t="s">
        <v>920</v>
      </c>
    </row>
    <row r="7813" spans="1:19" ht="17.399999999999999">
      <c r="A7813" s="549"/>
      <c r="B7813" s="550" t="s">
        <v>88</v>
      </c>
      <c r="C7813" s="549"/>
      <c r="D7813" s="549"/>
      <c r="E7813" s="549"/>
      <c r="F7813" s="549"/>
      <c r="G7813" s="549" t="s">
        <v>21</v>
      </c>
      <c r="H7813" s="549" t="s">
        <v>177</v>
      </c>
      <c r="I7813" s="558">
        <v>27.3</v>
      </c>
      <c r="J7813" s="710">
        <v>11.6</v>
      </c>
      <c r="K7813" s="648">
        <v>72</v>
      </c>
      <c r="L7813" s="552">
        <f>(I7813*J7813*K7813/1000)</f>
        <v>22.80096</v>
      </c>
      <c r="M7813" s="549">
        <v>10</v>
      </c>
      <c r="N7813" s="567">
        <f>J7813*M7813*I7813/1000</f>
        <v>3.1668000000000003</v>
      </c>
      <c r="O7813" s="549"/>
      <c r="P7813" s="549"/>
      <c r="Q7813" s="497">
        <f>10+10</f>
        <v>20</v>
      </c>
      <c r="R7813" s="497">
        <f>J7813*Q7813*I7813/1000</f>
        <v>6.3336000000000006</v>
      </c>
      <c r="S7813" s="497" t="s">
        <v>967</v>
      </c>
    </row>
    <row r="7814" spans="1:19" ht="17.399999999999999">
      <c r="A7814" s="549"/>
      <c r="B7814" s="549"/>
      <c r="C7814" s="549"/>
      <c r="D7814" s="549"/>
      <c r="E7814" s="549"/>
      <c r="F7814" s="549"/>
      <c r="G7814" s="549"/>
      <c r="H7814" s="549"/>
      <c r="I7814" s="560"/>
      <c r="J7814" s="710"/>
      <c r="K7814" s="648">
        <f t="shared" ref="K7814:M7814" si="1640">SUM(K7812:K7813)</f>
        <v>180</v>
      </c>
      <c r="L7814" s="765">
        <f>SUM(L7812:L7813)</f>
        <v>52.579800000000006</v>
      </c>
      <c r="M7814" s="648">
        <f t="shared" si="1640"/>
        <v>10</v>
      </c>
      <c r="N7814" s="765">
        <f>SUM(N7812:N7813)</f>
        <v>3.1668000000000003</v>
      </c>
      <c r="O7814" s="549"/>
      <c r="P7814" s="549" t="s">
        <v>846</v>
      </c>
      <c r="Q7814" s="648">
        <f t="shared" ref="Q7814" si="1641">SUM(Q7812:Q7813)</f>
        <v>36</v>
      </c>
      <c r="R7814" s="765">
        <f>SUM(R7812:R7813)</f>
        <v>10.745280000000001</v>
      </c>
    </row>
    <row r="7815" spans="1:19" ht="17.399999999999999">
      <c r="A7815" s="549"/>
      <c r="B7815" s="549"/>
      <c r="C7815" s="549"/>
      <c r="D7815" s="549"/>
      <c r="E7815" s="549"/>
      <c r="F7815" s="549"/>
      <c r="G7815" s="549"/>
      <c r="H7815" s="549"/>
      <c r="I7815" s="558"/>
      <c r="J7815" s="567"/>
      <c r="K7815" s="648"/>
      <c r="L7815" s="567"/>
      <c r="M7815" s="549"/>
      <c r="N7815" s="549"/>
      <c r="O7815" s="549"/>
      <c r="P7815" s="549"/>
    </row>
    <row r="7816" spans="1:19" ht="17.399999999999999">
      <c r="A7816" s="547" t="s">
        <v>541</v>
      </c>
      <c r="B7816" s="547" t="s">
        <v>820</v>
      </c>
      <c r="C7816" s="547" t="s">
        <v>19</v>
      </c>
      <c r="D7816" s="547" t="s">
        <v>20</v>
      </c>
      <c r="E7816" s="1025" t="s">
        <v>420</v>
      </c>
      <c r="F7816" s="1214">
        <v>16</v>
      </c>
      <c r="G7816" s="869" t="s">
        <v>21</v>
      </c>
      <c r="H7816" s="900" t="s">
        <v>177</v>
      </c>
      <c r="I7816" s="1881">
        <v>27.3</v>
      </c>
      <c r="J7816" s="756">
        <v>6.6</v>
      </c>
      <c r="K7816" s="757">
        <v>55</v>
      </c>
      <c r="L7816" s="552">
        <f t="shared" ref="L7816:L7822" si="1642">(I7816*J7816*K7816/1000)</f>
        <v>9.9099000000000004</v>
      </c>
      <c r="M7816" s="549"/>
      <c r="N7816" s="567">
        <f t="shared" ref="N7816:N7822" si="1643">J7816*M7816*I7816/1000</f>
        <v>0</v>
      </c>
      <c r="O7816" s="549"/>
      <c r="P7816" s="549"/>
      <c r="Q7816" s="497">
        <v>31</v>
      </c>
      <c r="R7816" s="497">
        <f>J7816*Q7816*I7816/1000</f>
        <v>5.5855800000000002</v>
      </c>
      <c r="S7816" s="497" t="s">
        <v>919</v>
      </c>
    </row>
    <row r="7817" spans="1:19" ht="17.399999999999999">
      <c r="A7817" s="547"/>
      <c r="B7817" s="549" t="s">
        <v>560</v>
      </c>
      <c r="C7817" s="547"/>
      <c r="D7817" s="547"/>
      <c r="E7817" s="547"/>
      <c r="F7817" s="1214"/>
      <c r="G7817" s="869" t="s">
        <v>21</v>
      </c>
      <c r="H7817" s="869" t="s">
        <v>177</v>
      </c>
      <c r="I7817" s="1881">
        <v>27.3</v>
      </c>
      <c r="J7817" s="756">
        <v>6.8</v>
      </c>
      <c r="K7817" s="757">
        <v>68</v>
      </c>
      <c r="L7817" s="552">
        <f t="shared" si="1642"/>
        <v>12.623519999999999</v>
      </c>
      <c r="M7817" s="549">
        <v>1</v>
      </c>
      <c r="N7817" s="567">
        <f t="shared" si="1643"/>
        <v>0.18564</v>
      </c>
      <c r="O7817" s="549"/>
      <c r="P7817" s="549"/>
      <c r="Q7817" s="497">
        <f>14+14+13</f>
        <v>41</v>
      </c>
      <c r="R7817" s="497">
        <f>J7817*Q7817*I7817/1000</f>
        <v>7.6112400000000004</v>
      </c>
      <c r="S7817" s="497" t="s">
        <v>921</v>
      </c>
    </row>
    <row r="7818" spans="1:19" ht="17.399999999999999">
      <c r="A7818" s="549"/>
      <c r="B7818" s="549"/>
      <c r="C7818" s="549"/>
      <c r="D7818" s="549"/>
      <c r="E7818" s="549"/>
      <c r="F7818" s="549"/>
      <c r="G7818" s="869" t="s">
        <v>21</v>
      </c>
      <c r="H7818" s="869" t="s">
        <v>177</v>
      </c>
      <c r="I7818" s="1881">
        <v>27.3</v>
      </c>
      <c r="J7818" s="756">
        <v>7.3</v>
      </c>
      <c r="K7818" s="757">
        <v>16</v>
      </c>
      <c r="L7818" s="552">
        <f t="shared" si="1642"/>
        <v>3.1886399999999999</v>
      </c>
      <c r="M7818" s="549"/>
      <c r="N7818" s="567">
        <f t="shared" si="1643"/>
        <v>0</v>
      </c>
      <c r="O7818" s="549"/>
      <c r="P7818" s="549"/>
      <c r="Q7818" s="497">
        <v>10</v>
      </c>
      <c r="R7818" s="497">
        <f>J7818*Q7818*I7818/1000</f>
        <v>1.9929000000000001</v>
      </c>
    </row>
    <row r="7819" spans="1:19" ht="17.399999999999999">
      <c r="A7819" s="549"/>
      <c r="B7819" s="549"/>
      <c r="C7819" s="549"/>
      <c r="D7819" s="549"/>
      <c r="E7819" s="549"/>
      <c r="F7819" s="549"/>
      <c r="G7819" s="869" t="s">
        <v>21</v>
      </c>
      <c r="H7819" s="869" t="s">
        <v>177</v>
      </c>
      <c r="I7819" s="1881">
        <v>27.3</v>
      </c>
      <c r="J7819" s="756">
        <v>7.8</v>
      </c>
      <c r="K7819" s="757">
        <v>12</v>
      </c>
      <c r="L7819" s="552">
        <f t="shared" si="1642"/>
        <v>2.5552799999999998</v>
      </c>
      <c r="M7819" s="549">
        <v>3</v>
      </c>
      <c r="N7819" s="567">
        <f t="shared" si="1643"/>
        <v>0.63881999999999994</v>
      </c>
      <c r="O7819" s="549"/>
      <c r="P7819" s="549"/>
      <c r="Q7819" s="497">
        <v>3</v>
      </c>
      <c r="R7819" s="497">
        <f>J7819*Q7819*I7819/1000</f>
        <v>0.63881999999999994</v>
      </c>
    </row>
    <row r="7820" spans="1:19" ht="17.399999999999999">
      <c r="A7820" s="549"/>
      <c r="B7820" s="549"/>
      <c r="C7820" s="549"/>
      <c r="D7820" s="549"/>
      <c r="E7820" s="549"/>
      <c r="F7820" s="549"/>
      <c r="G7820" s="869" t="s">
        <v>21</v>
      </c>
      <c r="H7820" s="869" t="s">
        <v>177</v>
      </c>
      <c r="I7820" s="1881">
        <v>27.3</v>
      </c>
      <c r="J7820" s="756">
        <v>10.7</v>
      </c>
      <c r="K7820" s="757">
        <v>4</v>
      </c>
      <c r="L7820" s="552">
        <f t="shared" si="1642"/>
        <v>1.1684400000000001</v>
      </c>
      <c r="M7820" s="549">
        <v>4</v>
      </c>
      <c r="N7820" s="567">
        <f t="shared" si="1643"/>
        <v>1.1684400000000001</v>
      </c>
      <c r="O7820" s="549"/>
      <c r="P7820" s="549"/>
      <c r="R7820" s="497">
        <f t="shared" ref="R7820:R7822" si="1644">J7820*Q7820*I7820/1000</f>
        <v>0</v>
      </c>
    </row>
    <row r="7821" spans="1:19" s="497" customFormat="1" ht="17.399999999999999">
      <c r="A7821" s="549"/>
      <c r="B7821" s="549"/>
      <c r="C7821" s="549"/>
      <c r="D7821" s="549"/>
      <c r="E7821" s="549"/>
      <c r="F7821" s="549"/>
      <c r="G7821" s="869" t="s">
        <v>21</v>
      </c>
      <c r="H7821" s="869" t="s">
        <v>177</v>
      </c>
      <c r="I7821" s="1881">
        <v>27.3</v>
      </c>
      <c r="J7821" s="756">
        <v>11.4</v>
      </c>
      <c r="K7821" s="757">
        <v>26</v>
      </c>
      <c r="L7821" s="552">
        <f t="shared" si="1642"/>
        <v>8.0917200000000005</v>
      </c>
      <c r="M7821" s="549">
        <v>3</v>
      </c>
      <c r="N7821" s="567">
        <f t="shared" si="1643"/>
        <v>0.93366000000000005</v>
      </c>
      <c r="O7821" s="549"/>
      <c r="P7821" s="549"/>
      <c r="R7821" s="497">
        <f>J7821*Q7821*I7821/1000</f>
        <v>0</v>
      </c>
    </row>
    <row r="7822" spans="1:19" s="497" customFormat="1" ht="17.399999999999999">
      <c r="A7822" s="549"/>
      <c r="B7822" s="549"/>
      <c r="C7822" s="549"/>
      <c r="D7822" s="549"/>
      <c r="E7822" s="549"/>
      <c r="F7822" s="549"/>
      <c r="G7822" s="869" t="s">
        <v>21</v>
      </c>
      <c r="H7822" s="869" t="s">
        <v>177</v>
      </c>
      <c r="I7822" s="1881">
        <v>27.3</v>
      </c>
      <c r="J7822" s="756">
        <v>11.9</v>
      </c>
      <c r="K7822" s="757">
        <v>35</v>
      </c>
      <c r="L7822" s="552">
        <f t="shared" si="1642"/>
        <v>11.37045</v>
      </c>
      <c r="M7822" s="549">
        <v>3</v>
      </c>
      <c r="N7822" s="567">
        <f t="shared" si="1643"/>
        <v>0.97461000000000009</v>
      </c>
      <c r="O7822" s="549"/>
      <c r="P7822" s="549"/>
      <c r="R7822" s="497">
        <f t="shared" si="1644"/>
        <v>0</v>
      </c>
    </row>
    <row r="7823" spans="1:19" s="497" customFormat="1" ht="17.399999999999999">
      <c r="A7823" s="549"/>
      <c r="B7823" s="549"/>
      <c r="C7823" s="549"/>
      <c r="D7823" s="549"/>
      <c r="E7823" s="549"/>
      <c r="F7823" s="549"/>
      <c r="G7823" s="869"/>
      <c r="H7823" s="650"/>
      <c r="I7823" s="1882"/>
      <c r="J7823" s="871"/>
      <c r="K7823" s="757">
        <f>SUM(K7816:K7822)</f>
        <v>216</v>
      </c>
      <c r="L7823" s="756">
        <f>SUM(L7816:L7822)</f>
        <v>48.90795</v>
      </c>
      <c r="M7823" s="757">
        <f>SUM(M7816:M7822)</f>
        <v>14</v>
      </c>
      <c r="N7823" s="756">
        <f>SUM(N7816:N7822)</f>
        <v>3.9011700000000005</v>
      </c>
      <c r="O7823" s="549"/>
      <c r="P7823" s="549" t="s">
        <v>839</v>
      </c>
      <c r="Q7823" s="757">
        <f>SUM(Q7816:Q7822)</f>
        <v>85</v>
      </c>
      <c r="R7823" s="756">
        <f>SUM(R7816:R7822)</f>
        <v>15.82854</v>
      </c>
    </row>
    <row r="7824" spans="1:19" ht="17.399999999999999">
      <c r="A7824" s="549"/>
      <c r="B7824" s="549"/>
      <c r="C7824" s="549"/>
      <c r="D7824" s="549"/>
      <c r="E7824" s="549"/>
      <c r="F7824" s="549"/>
      <c r="G7824" s="869"/>
      <c r="H7824" s="650"/>
      <c r="I7824" s="1882"/>
      <c r="J7824" s="871"/>
      <c r="K7824" s="897">
        <f>SUM(K7809:K7823)/2</f>
        <v>430</v>
      </c>
      <c r="L7824" s="756">
        <f>SUM(L7809:L7823)/2</f>
        <v>113.32230000000001</v>
      </c>
      <c r="M7824" s="897">
        <f>SUM(M7809:M7823)/2</f>
        <v>24</v>
      </c>
      <c r="N7824" s="756">
        <f>SUM(N7809:N7823)/2</f>
        <v>7.0679700000000008</v>
      </c>
      <c r="O7824" s="549"/>
      <c r="P7824" s="549"/>
    </row>
    <row r="7825" spans="1:19" ht="17.399999999999999">
      <c r="A7825" s="549"/>
      <c r="B7825" s="549"/>
      <c r="C7825" s="549"/>
      <c r="D7825" s="549"/>
      <c r="E7825" s="549"/>
      <c r="F7825" s="549"/>
      <c r="G7825" s="869"/>
      <c r="H7825" s="650"/>
      <c r="I7825" s="1882"/>
      <c r="J7825" s="871"/>
      <c r="K7825" s="897"/>
      <c r="L7825" s="756"/>
      <c r="M7825" s="897"/>
      <c r="N7825" s="756"/>
      <c r="O7825" s="549"/>
      <c r="P7825" s="549"/>
    </row>
    <row r="7826" spans="1:19" ht="17.399999999999999">
      <c r="A7826" s="549"/>
      <c r="B7826" s="549"/>
      <c r="C7826" s="549"/>
      <c r="D7826" s="549"/>
      <c r="E7826" s="549"/>
      <c r="F7826" s="549"/>
      <c r="G7826" s="869"/>
      <c r="H7826" s="650"/>
      <c r="I7826" s="1882"/>
      <c r="J7826" s="871"/>
      <c r="K7826" s="897"/>
      <c r="L7826" s="756"/>
      <c r="M7826" s="549"/>
      <c r="N7826" s="549"/>
      <c r="O7826" s="549"/>
      <c r="P7826" s="549"/>
    </row>
    <row r="7827" spans="1:19" ht="17.399999999999999">
      <c r="A7827" s="547" t="s">
        <v>361</v>
      </c>
      <c r="B7827" s="547" t="s">
        <v>613</v>
      </c>
      <c r="C7827" s="547" t="s">
        <v>446</v>
      </c>
      <c r="D7827" s="813" t="s">
        <v>447</v>
      </c>
      <c r="E7827" s="547" t="s">
        <v>359</v>
      </c>
      <c r="F7827" s="1214">
        <v>16</v>
      </c>
      <c r="G7827" s="549" t="s">
        <v>21</v>
      </c>
      <c r="H7827" s="599" t="s">
        <v>260</v>
      </c>
      <c r="I7827" s="558">
        <v>38</v>
      </c>
      <c r="J7827" s="567">
        <v>10.15</v>
      </c>
      <c r="K7827" s="848">
        <v>157</v>
      </c>
      <c r="L7827" s="552">
        <f>(I7827*J7827*K7827/1000)</f>
        <v>60.554900000000004</v>
      </c>
      <c r="M7827" s="549"/>
      <c r="N7827" s="549"/>
      <c r="O7827" s="549"/>
      <c r="P7827" s="549"/>
      <c r="Q7827" s="497">
        <f>7+7+7+2</f>
        <v>23</v>
      </c>
      <c r="R7827" s="497">
        <f t="shared" ref="R7827" si="1645">J7827*Q7827*I7827/1000</f>
        <v>8.8711000000000002</v>
      </c>
      <c r="S7827" s="497" t="s">
        <v>965</v>
      </c>
    </row>
    <row r="7828" spans="1:19" ht="17.399999999999999">
      <c r="A7828" s="550"/>
      <c r="B7828" s="550"/>
      <c r="C7828" s="550"/>
      <c r="D7828" s="550"/>
      <c r="E7828" s="1214"/>
      <c r="F7828" s="550"/>
      <c r="G7828" s="549"/>
      <c r="H7828" s="549"/>
      <c r="I7828" s="558"/>
      <c r="J7828" s="567"/>
      <c r="K7828" s="648">
        <f t="shared" ref="K7828:L7828" si="1646">SUM(K7827)</f>
        <v>157</v>
      </c>
      <c r="L7828" s="567">
        <f t="shared" si="1646"/>
        <v>60.554900000000004</v>
      </c>
      <c r="M7828" s="549"/>
      <c r="N7828" s="549"/>
      <c r="O7828" s="549"/>
      <c r="P7828" s="549"/>
      <c r="Q7828" s="648">
        <f t="shared" ref="Q7828:R7828" si="1647">SUM(Q7827)</f>
        <v>23</v>
      </c>
      <c r="R7828" s="567">
        <f t="shared" si="1647"/>
        <v>8.8711000000000002</v>
      </c>
    </row>
    <row r="7829" spans="1:19" ht="17.399999999999999">
      <c r="A7829" s="549"/>
      <c r="B7829" s="549"/>
      <c r="C7829" s="549"/>
      <c r="D7829" s="549"/>
      <c r="E7829" s="549"/>
      <c r="F7829" s="549"/>
      <c r="G7829" s="549"/>
      <c r="H7829" s="549"/>
      <c r="I7829" s="560"/>
      <c r="J7829" s="549"/>
      <c r="K7829" s="561"/>
      <c r="L7829" s="560"/>
      <c r="M7829" s="549"/>
      <c r="N7829" s="549"/>
      <c r="O7829" s="549"/>
      <c r="P7829" s="549"/>
    </row>
    <row r="7830" spans="1:19" s="497" customFormat="1" ht="17.399999999999999">
      <c r="A7830" s="547" t="s">
        <v>361</v>
      </c>
      <c r="B7830" s="547" t="s">
        <v>831</v>
      </c>
      <c r="C7830" s="547" t="s">
        <v>446</v>
      </c>
      <c r="D7830" s="813" t="s">
        <v>447</v>
      </c>
      <c r="E7830" s="547" t="s">
        <v>359</v>
      </c>
      <c r="F7830" s="1214">
        <v>16</v>
      </c>
      <c r="G7830" s="549" t="s">
        <v>21</v>
      </c>
      <c r="H7830" s="599" t="s">
        <v>260</v>
      </c>
      <c r="I7830" s="558">
        <v>38</v>
      </c>
      <c r="J7830" s="567">
        <v>10.050000000000001</v>
      </c>
      <c r="K7830" s="648">
        <v>14</v>
      </c>
      <c r="L7830" s="552">
        <f>(I7830*J7830*K7830/1000)</f>
        <v>5.3466000000000005</v>
      </c>
      <c r="M7830" s="549"/>
      <c r="N7830" s="549"/>
      <c r="O7830" s="549"/>
      <c r="P7830" s="549"/>
      <c r="Q7830" s="497">
        <f>6+3</f>
        <v>9</v>
      </c>
      <c r="R7830" s="497">
        <f t="shared" ref="R7830" si="1648">J7830*Q7830*I7830/1000</f>
        <v>3.4371</v>
      </c>
      <c r="S7830" s="497" t="s">
        <v>965</v>
      </c>
    </row>
    <row r="7831" spans="1:19" ht="17.399999999999999">
      <c r="A7831" s="550"/>
      <c r="B7831" s="550"/>
      <c r="C7831" s="550"/>
      <c r="D7831" s="550"/>
      <c r="E7831" s="1214"/>
      <c r="F7831" s="550"/>
      <c r="G7831" s="549"/>
      <c r="H7831" s="549"/>
      <c r="I7831" s="558"/>
      <c r="J7831" s="567"/>
      <c r="K7831" s="648">
        <f t="shared" ref="K7831" si="1649">SUM(K7830)</f>
        <v>14</v>
      </c>
      <c r="L7831" s="567">
        <f>SUM(L7830)</f>
        <v>5.3466000000000005</v>
      </c>
      <c r="M7831" s="549"/>
      <c r="N7831" s="549"/>
      <c r="O7831" s="549"/>
      <c r="P7831" s="549"/>
      <c r="Q7831" s="648">
        <f t="shared" ref="Q7831" si="1650">SUM(Q7830)</f>
        <v>9</v>
      </c>
      <c r="R7831" s="567">
        <f>SUM(R7830)</f>
        <v>3.4371</v>
      </c>
    </row>
    <row r="7832" spans="1:19" ht="17.399999999999999">
      <c r="A7832" s="549"/>
      <c r="B7832" s="549"/>
      <c r="C7832" s="549"/>
      <c r="D7832" s="549"/>
      <c r="E7832" s="549"/>
      <c r="F7832" s="549"/>
      <c r="G7832" s="549"/>
      <c r="H7832" s="549"/>
      <c r="I7832" s="560"/>
      <c r="J7832" s="549"/>
      <c r="K7832" s="727">
        <f>SUM(K7827:K7831)/2</f>
        <v>171</v>
      </c>
      <c r="L7832" s="565">
        <f>SUM(L7827:L7831)/2</f>
        <v>65.901499999999999</v>
      </c>
      <c r="M7832" s="549"/>
      <c r="N7832" s="549"/>
      <c r="O7832" s="549"/>
      <c r="P7832" s="549" t="s">
        <v>840</v>
      </c>
      <c r="Q7832" s="727">
        <f>SUM(Q7827:Q7831)/2</f>
        <v>32</v>
      </c>
      <c r="R7832" s="565">
        <f>SUM(R7827:R7831)/2</f>
        <v>12.308200000000001</v>
      </c>
    </row>
    <row r="7833" spans="1:19" ht="17.399999999999999">
      <c r="A7833" s="549"/>
      <c r="B7833" s="549"/>
      <c r="C7833" s="549"/>
      <c r="D7833" s="549"/>
      <c r="E7833" s="549"/>
      <c r="F7833" s="549"/>
      <c r="G7833" s="549"/>
      <c r="H7833" s="549"/>
      <c r="I7833" s="560"/>
      <c r="J7833" s="549"/>
      <c r="K7833" s="564"/>
      <c r="L7833" s="565"/>
      <c r="M7833" s="549"/>
      <c r="N7833" s="549"/>
      <c r="O7833" s="549"/>
      <c r="P7833" s="549"/>
    </row>
    <row r="7834" spans="1:19" ht="17.399999999999999">
      <c r="A7834" s="549"/>
      <c r="B7834" s="549"/>
      <c r="C7834" s="549"/>
      <c r="D7834" s="549"/>
      <c r="E7834" s="549"/>
      <c r="F7834" s="549"/>
      <c r="G7834" s="549"/>
      <c r="H7834" s="549"/>
      <c r="I7834" s="560"/>
      <c r="J7834" s="549"/>
      <c r="K7834" s="561"/>
      <c r="L7834" s="560"/>
      <c r="M7834" s="549"/>
      <c r="N7834" s="549"/>
      <c r="O7834" s="549"/>
      <c r="P7834" s="549"/>
    </row>
    <row r="7835" spans="1:19" ht="17.399999999999999">
      <c r="A7835" s="547" t="s">
        <v>495</v>
      </c>
      <c r="B7835" s="852" t="s">
        <v>589</v>
      </c>
      <c r="C7835" s="547" t="s">
        <v>446</v>
      </c>
      <c r="D7835" s="813" t="s">
        <v>447</v>
      </c>
      <c r="E7835" s="547" t="s">
        <v>359</v>
      </c>
      <c r="F7835" s="1214">
        <v>16</v>
      </c>
      <c r="G7835" s="549" t="s">
        <v>21</v>
      </c>
      <c r="H7835" s="599" t="s">
        <v>179</v>
      </c>
      <c r="I7835" s="558">
        <v>33.72</v>
      </c>
      <c r="J7835" s="567">
        <v>9.75</v>
      </c>
      <c r="K7835" s="648">
        <v>3</v>
      </c>
      <c r="L7835" s="552">
        <f t="shared" ref="L7835:L7836" si="1651">(I7835*J7835*K7835/1000)</f>
        <v>0.98630999999999991</v>
      </c>
      <c r="M7835" s="549"/>
      <c r="N7835" s="549"/>
      <c r="O7835" s="549"/>
      <c r="P7835" s="549"/>
      <c r="Q7835" s="497" t="s">
        <v>964</v>
      </c>
    </row>
    <row r="7836" spans="1:19" ht="17.399999999999999">
      <c r="A7836" s="549"/>
      <c r="B7836" s="549"/>
      <c r="C7836" s="549"/>
      <c r="D7836" s="549"/>
      <c r="E7836" s="549"/>
      <c r="F7836" s="549"/>
      <c r="G7836" s="549" t="s">
        <v>21</v>
      </c>
      <c r="H7836" s="549" t="s">
        <v>179</v>
      </c>
      <c r="I7836" s="558">
        <v>33.72</v>
      </c>
      <c r="J7836" s="567">
        <v>9.75</v>
      </c>
      <c r="K7836" s="648">
        <v>40</v>
      </c>
      <c r="L7836" s="552">
        <f t="shared" si="1651"/>
        <v>13.150799999999998</v>
      </c>
      <c r="M7836" s="549"/>
      <c r="N7836" s="549"/>
      <c r="O7836" s="549"/>
      <c r="P7836" s="549"/>
    </row>
    <row r="7837" spans="1:19" ht="17.399999999999999">
      <c r="A7837" s="549"/>
      <c r="B7837" s="549"/>
      <c r="C7837" s="549"/>
      <c r="D7837" s="549"/>
      <c r="E7837" s="549"/>
      <c r="F7837" s="549"/>
      <c r="G7837" s="549"/>
      <c r="H7837" s="549"/>
      <c r="I7837" s="558"/>
      <c r="J7837" s="567"/>
      <c r="K7837" s="648">
        <f>SUM(K7835:K7836)</f>
        <v>43</v>
      </c>
      <c r="L7837" s="567">
        <f>SUM(L7835:L7836)</f>
        <v>14.137109999999998</v>
      </c>
      <c r="M7837" s="549"/>
      <c r="N7837" s="549"/>
      <c r="O7837" s="549"/>
      <c r="P7837" s="549"/>
    </row>
    <row r="7838" spans="1:19" s="497" customFormat="1" ht="17.399999999999999">
      <c r="A7838" s="549"/>
      <c r="B7838" s="549"/>
      <c r="C7838" s="549"/>
      <c r="D7838" s="549"/>
      <c r="E7838" s="549"/>
      <c r="F7838" s="549"/>
      <c r="G7838" s="549"/>
      <c r="H7838" s="549"/>
      <c r="I7838" s="560"/>
      <c r="J7838" s="549"/>
      <c r="K7838" s="561"/>
      <c r="L7838" s="560"/>
      <c r="M7838" s="549"/>
      <c r="N7838" s="549"/>
      <c r="O7838" s="549"/>
      <c r="P7838" s="549"/>
    </row>
    <row r="7839" spans="1:19" ht="17.399999999999999">
      <c r="A7839" s="547" t="s">
        <v>361</v>
      </c>
      <c r="B7839" s="547" t="s">
        <v>831</v>
      </c>
      <c r="C7839" s="547" t="s">
        <v>446</v>
      </c>
      <c r="D7839" s="813" t="s">
        <v>447</v>
      </c>
      <c r="E7839" s="547" t="s">
        <v>359</v>
      </c>
      <c r="F7839" s="1214">
        <v>16</v>
      </c>
      <c r="G7839" s="549" t="s">
        <v>21</v>
      </c>
      <c r="H7839" s="599" t="s">
        <v>179</v>
      </c>
      <c r="I7839" s="558">
        <v>33.72</v>
      </c>
      <c r="J7839" s="567">
        <v>12</v>
      </c>
      <c r="K7839" s="648">
        <v>6</v>
      </c>
      <c r="L7839" s="552">
        <f t="shared" ref="L7839" si="1652">(I7839*J7839*K7839/1000)</f>
        <v>2.4278400000000002</v>
      </c>
      <c r="M7839" s="549"/>
      <c r="N7839" s="549"/>
      <c r="O7839" s="549"/>
      <c r="P7839" s="549"/>
      <c r="Q7839" s="497" t="s">
        <v>964</v>
      </c>
    </row>
    <row r="7840" spans="1:19" s="497" customFormat="1" ht="17.399999999999999">
      <c r="A7840" s="549"/>
      <c r="B7840" s="549"/>
      <c r="C7840" s="549"/>
      <c r="D7840" s="549"/>
      <c r="E7840" s="549"/>
      <c r="F7840" s="549"/>
      <c r="G7840" s="549"/>
      <c r="H7840" s="549"/>
      <c r="I7840" s="558"/>
      <c r="J7840" s="567"/>
      <c r="K7840" s="648">
        <f>SUM(K7839)</f>
        <v>6</v>
      </c>
      <c r="L7840" s="567">
        <f>SUM(L7839)</f>
        <v>2.4278400000000002</v>
      </c>
      <c r="M7840" s="549"/>
      <c r="N7840" s="549"/>
      <c r="O7840" s="549"/>
      <c r="P7840" s="549"/>
    </row>
    <row r="7841" spans="1:19" ht="17.399999999999999">
      <c r="A7841" s="549"/>
      <c r="B7841" s="549"/>
      <c r="C7841" s="549"/>
      <c r="D7841" s="549"/>
      <c r="E7841" s="549"/>
      <c r="F7841" s="549"/>
      <c r="G7841" s="549"/>
      <c r="H7841" s="549"/>
      <c r="I7841" s="558"/>
      <c r="J7841" s="567"/>
      <c r="K7841" s="648">
        <f>SUM(K7835:K7840)/2</f>
        <v>49</v>
      </c>
      <c r="L7841" s="567">
        <f>SUM(L7835:L7840)/2</f>
        <v>16.56495</v>
      </c>
      <c r="M7841" s="549"/>
      <c r="N7841" s="549"/>
      <c r="O7841" s="549"/>
      <c r="P7841" s="549" t="s">
        <v>841</v>
      </c>
    </row>
    <row r="7842" spans="1:19" ht="17.399999999999999">
      <c r="A7842" s="549"/>
      <c r="B7842" s="549"/>
      <c r="C7842" s="549"/>
      <c r="D7842" s="549"/>
      <c r="E7842" s="549"/>
      <c r="F7842" s="549"/>
      <c r="G7842" s="549"/>
      <c r="H7842" s="549"/>
      <c r="I7842" s="560"/>
      <c r="J7842" s="549"/>
      <c r="K7842" s="561"/>
      <c r="L7842" s="560"/>
      <c r="M7842" s="549"/>
      <c r="N7842" s="549"/>
      <c r="O7842" s="549"/>
      <c r="P7842" s="549"/>
    </row>
    <row r="7843" spans="1:19" ht="17.399999999999999">
      <c r="A7843" s="549"/>
      <c r="B7843" s="549"/>
      <c r="C7843" s="549"/>
      <c r="D7843" s="549"/>
      <c r="E7843" s="549"/>
      <c r="F7843" s="549"/>
      <c r="G7843" s="869"/>
      <c r="H7843" s="650"/>
      <c r="I7843" s="1882"/>
      <c r="J7843" s="871"/>
      <c r="K7843" s="897"/>
      <c r="L7843" s="756"/>
      <c r="M7843" s="549"/>
      <c r="N7843" s="549"/>
      <c r="O7843" s="549"/>
      <c r="P7843" s="549"/>
    </row>
    <row r="7844" spans="1:19" ht="17.399999999999999">
      <c r="A7844" s="547" t="s">
        <v>495</v>
      </c>
      <c r="B7844" s="547" t="s">
        <v>807</v>
      </c>
      <c r="C7844" s="547" t="s">
        <v>446</v>
      </c>
      <c r="D7844" s="813" t="s">
        <v>447</v>
      </c>
      <c r="E7844" s="547" t="s">
        <v>359</v>
      </c>
      <c r="F7844" s="1214">
        <v>16</v>
      </c>
      <c r="G7844" s="549" t="s">
        <v>21</v>
      </c>
      <c r="H7844" s="599" t="s">
        <v>178</v>
      </c>
      <c r="I7844" s="558">
        <v>31.6</v>
      </c>
      <c r="J7844" s="567">
        <v>7.3</v>
      </c>
      <c r="K7844" s="848">
        <v>52</v>
      </c>
      <c r="L7844" s="552">
        <f t="shared" ref="L7844:L7845" si="1653">(I7844*J7844*K7844/1000)</f>
        <v>11.99536</v>
      </c>
      <c r="M7844" s="549"/>
      <c r="N7844" s="549"/>
      <c r="O7844" s="549"/>
      <c r="P7844" s="549"/>
      <c r="Q7844" s="497">
        <f>27+4</f>
        <v>31</v>
      </c>
      <c r="R7844" s="497">
        <f t="shared" ref="R7844:R7845" si="1654">J7844*Q7844*I7844/1000</f>
        <v>7.1510800000000003</v>
      </c>
      <c r="S7844" s="497" t="s">
        <v>918</v>
      </c>
    </row>
    <row r="7845" spans="1:19" ht="17.399999999999999">
      <c r="A7845" s="550"/>
      <c r="B7845" s="550"/>
      <c r="C7845" s="550"/>
      <c r="D7845" s="550"/>
      <c r="E7845" s="1214"/>
      <c r="F7845" s="550"/>
      <c r="G7845" s="549" t="s">
        <v>21</v>
      </c>
      <c r="H7845" s="549" t="s">
        <v>178</v>
      </c>
      <c r="I7845" s="558">
        <v>31.6</v>
      </c>
      <c r="J7845" s="567">
        <v>11.8</v>
      </c>
      <c r="K7845" s="848">
        <v>31</v>
      </c>
      <c r="L7845" s="552">
        <f t="shared" si="1653"/>
        <v>11.559280000000003</v>
      </c>
      <c r="M7845" s="549"/>
      <c r="N7845" s="549"/>
      <c r="O7845" s="549"/>
      <c r="P7845" s="549"/>
      <c r="Q7845" s="497">
        <f>7+7+2</f>
        <v>16</v>
      </c>
      <c r="R7845" s="497">
        <f t="shared" si="1654"/>
        <v>5.9660800000000007</v>
      </c>
    </row>
    <row r="7846" spans="1:19" ht="17.399999999999999">
      <c r="A7846" s="549"/>
      <c r="B7846" s="549"/>
      <c r="C7846" s="549"/>
      <c r="D7846" s="549"/>
      <c r="E7846" s="549"/>
      <c r="F7846" s="549"/>
      <c r="G7846" s="549"/>
      <c r="H7846" s="549"/>
      <c r="I7846" s="558"/>
      <c r="J7846" s="567"/>
      <c r="K7846" s="648">
        <f>SUM(K7844:K7845)</f>
        <v>83</v>
      </c>
      <c r="L7846" s="567">
        <f>SUM(L7844:L7845)</f>
        <v>23.554640000000003</v>
      </c>
      <c r="M7846" s="549"/>
      <c r="N7846" s="549"/>
      <c r="O7846" s="549"/>
      <c r="P7846" s="549" t="s">
        <v>842</v>
      </c>
      <c r="Q7846" s="648">
        <f>SUM(Q7844:Q7845)</f>
        <v>47</v>
      </c>
      <c r="R7846" s="567">
        <f>SUM(R7844:R7845)</f>
        <v>13.117160000000002</v>
      </c>
    </row>
    <row r="7847" spans="1:19" ht="17.399999999999999">
      <c r="A7847" s="549"/>
      <c r="B7847" s="549"/>
      <c r="C7847" s="549"/>
      <c r="D7847" s="549"/>
      <c r="E7847" s="549"/>
      <c r="F7847" s="549"/>
      <c r="G7847" s="549"/>
      <c r="H7847" s="549"/>
      <c r="I7847" s="560"/>
      <c r="J7847" s="549"/>
      <c r="K7847" s="561"/>
      <c r="L7847" s="560"/>
      <c r="M7847" s="549"/>
      <c r="N7847" s="549"/>
      <c r="O7847" s="549"/>
      <c r="P7847" s="549"/>
    </row>
    <row r="7848" spans="1:19" ht="17.399999999999999">
      <c r="A7848" s="547" t="s">
        <v>495</v>
      </c>
      <c r="B7848" s="547" t="s">
        <v>589</v>
      </c>
      <c r="C7848" s="547" t="s">
        <v>446</v>
      </c>
      <c r="D7848" s="813" t="s">
        <v>447</v>
      </c>
      <c r="E7848" s="547" t="s">
        <v>359</v>
      </c>
      <c r="F7848" s="1214">
        <v>16</v>
      </c>
      <c r="G7848" s="549" t="s">
        <v>21</v>
      </c>
      <c r="H7848" s="599" t="s">
        <v>178</v>
      </c>
      <c r="I7848" s="558">
        <v>31.6</v>
      </c>
      <c r="J7848" s="567">
        <v>8.4</v>
      </c>
      <c r="K7848" s="648">
        <v>2</v>
      </c>
      <c r="L7848" s="552">
        <f t="shared" ref="L7848:L7849" si="1655">(I7848*J7848*K7848/1000)</f>
        <v>0.53088000000000002</v>
      </c>
      <c r="M7848" s="549"/>
      <c r="N7848" s="549"/>
      <c r="O7848" s="549"/>
      <c r="P7848" s="549"/>
      <c r="R7848" s="497">
        <f t="shared" ref="R7848:R7849" si="1656">J7848*Q7848*I7848/1000</f>
        <v>0</v>
      </c>
      <c r="S7848" s="497" t="s">
        <v>918</v>
      </c>
    </row>
    <row r="7849" spans="1:19" ht="17.399999999999999">
      <c r="A7849" s="550"/>
      <c r="B7849" s="550"/>
      <c r="C7849" s="550"/>
      <c r="D7849" s="550"/>
      <c r="E7849" s="1214"/>
      <c r="F7849" s="550"/>
      <c r="G7849" s="549" t="s">
        <v>21</v>
      </c>
      <c r="H7849" s="549" t="s">
        <v>178</v>
      </c>
      <c r="I7849" s="558">
        <v>31.6</v>
      </c>
      <c r="J7849" s="567">
        <v>9.9</v>
      </c>
      <c r="K7849" s="648">
        <v>4</v>
      </c>
      <c r="L7849" s="552">
        <f t="shared" si="1655"/>
        <v>1.25136</v>
      </c>
      <c r="M7849" s="549"/>
      <c r="N7849" s="549"/>
      <c r="O7849" s="549"/>
      <c r="P7849" s="549"/>
      <c r="R7849" s="497">
        <f t="shared" si="1656"/>
        <v>0</v>
      </c>
    </row>
    <row r="7850" spans="1:19" ht="17.399999999999999">
      <c r="A7850" s="549"/>
      <c r="B7850" s="549"/>
      <c r="C7850" s="549"/>
      <c r="D7850" s="549"/>
      <c r="E7850" s="549"/>
      <c r="F7850" s="549"/>
      <c r="G7850" s="549"/>
      <c r="H7850" s="549"/>
      <c r="I7850" s="558"/>
      <c r="J7850" s="567"/>
      <c r="K7850" s="648">
        <f t="shared" ref="K7850" si="1657">SUM(K7848:K7849)</f>
        <v>6</v>
      </c>
      <c r="L7850" s="567">
        <f>SUM(L7848:L7849)</f>
        <v>1.78224</v>
      </c>
      <c r="M7850" s="549"/>
      <c r="N7850" s="549"/>
      <c r="O7850" s="549"/>
      <c r="P7850" s="549" t="s">
        <v>842</v>
      </c>
      <c r="Q7850" s="648">
        <f t="shared" ref="Q7850" si="1658">SUM(Q7848:Q7849)</f>
        <v>0</v>
      </c>
      <c r="R7850" s="567">
        <f>SUM(R7848:R7849)</f>
        <v>0</v>
      </c>
    </row>
    <row r="7851" spans="1:19" ht="17.399999999999999">
      <c r="A7851" s="549"/>
      <c r="B7851" s="549"/>
      <c r="C7851" s="549"/>
      <c r="D7851" s="549"/>
      <c r="E7851" s="549"/>
      <c r="F7851" s="549"/>
      <c r="G7851" s="549"/>
      <c r="H7851" s="549"/>
      <c r="I7851" s="560"/>
      <c r="J7851" s="549"/>
      <c r="K7851" s="561"/>
      <c r="L7851" s="560"/>
      <c r="M7851" s="549"/>
      <c r="N7851" s="549"/>
      <c r="O7851" s="549"/>
      <c r="P7851" s="549"/>
    </row>
    <row r="7852" spans="1:19" s="497" customFormat="1" ht="17.399999999999999">
      <c r="A7852" s="547" t="s">
        <v>361</v>
      </c>
      <c r="B7852" s="547" t="s">
        <v>613</v>
      </c>
      <c r="C7852" s="547" t="s">
        <v>446</v>
      </c>
      <c r="D7852" s="813" t="s">
        <v>447</v>
      </c>
      <c r="E7852" s="547" t="s">
        <v>359</v>
      </c>
      <c r="F7852" s="1214">
        <v>16</v>
      </c>
      <c r="G7852" s="549" t="s">
        <v>21</v>
      </c>
      <c r="H7852" s="599" t="s">
        <v>178</v>
      </c>
      <c r="I7852" s="558">
        <v>31.6</v>
      </c>
      <c r="J7852" s="567">
        <v>7</v>
      </c>
      <c r="K7852" s="848">
        <v>43</v>
      </c>
      <c r="L7852" s="552">
        <f>(I7852*J7852*K7852/1000)</f>
        <v>9.5115999999999996</v>
      </c>
      <c r="M7852" s="549"/>
      <c r="N7852" s="549"/>
      <c r="O7852" s="549"/>
      <c r="P7852" s="549"/>
      <c r="Q7852" s="497">
        <f>9+12+3</f>
        <v>24</v>
      </c>
      <c r="R7852" s="497">
        <f t="shared" ref="R7852:R7853" si="1659">J7852*Q7852*I7852/1000</f>
        <v>5.3087999999999997</v>
      </c>
      <c r="S7852" s="497" t="s">
        <v>966</v>
      </c>
    </row>
    <row r="7853" spans="1:19" ht="17.399999999999999">
      <c r="A7853" s="550"/>
      <c r="B7853" s="550"/>
      <c r="C7853" s="550"/>
      <c r="D7853" s="550"/>
      <c r="E7853" s="1214"/>
      <c r="F7853" s="550"/>
      <c r="G7853" s="549" t="s">
        <v>21</v>
      </c>
      <c r="H7853" s="549" t="s">
        <v>178</v>
      </c>
      <c r="I7853" s="558">
        <v>31.6</v>
      </c>
      <c r="J7853" s="567">
        <v>8.4</v>
      </c>
      <c r="K7853" s="848">
        <v>38</v>
      </c>
      <c r="L7853" s="552">
        <f>(I7853*J7853*K7853/1000)</f>
        <v>10.08672</v>
      </c>
      <c r="M7853" s="549"/>
      <c r="N7853" s="549"/>
      <c r="O7853" s="549"/>
      <c r="P7853" s="549"/>
      <c r="Q7853" s="497">
        <f>18+9+5</f>
        <v>32</v>
      </c>
      <c r="R7853" s="497">
        <f t="shared" si="1659"/>
        <v>8.4940800000000003</v>
      </c>
    </row>
    <row r="7854" spans="1:19" ht="17.399999999999999">
      <c r="A7854" s="549"/>
      <c r="B7854" s="549"/>
      <c r="C7854" s="549"/>
      <c r="D7854" s="549"/>
      <c r="E7854" s="549"/>
      <c r="F7854" s="549"/>
      <c r="G7854" s="549"/>
      <c r="H7854" s="549"/>
      <c r="I7854" s="558"/>
      <c r="J7854" s="567"/>
      <c r="K7854" s="648">
        <f>SUM(K7852:K7853)</f>
        <v>81</v>
      </c>
      <c r="L7854" s="567">
        <f>SUM(L7852:L7853)</f>
        <v>19.598320000000001</v>
      </c>
      <c r="M7854" s="549"/>
      <c r="N7854" s="549"/>
      <c r="O7854" s="549"/>
      <c r="P7854" s="549" t="s">
        <v>842</v>
      </c>
      <c r="Q7854" s="648">
        <f>SUM(Q7852:Q7853)</f>
        <v>56</v>
      </c>
      <c r="R7854" s="567">
        <f>SUM(R7852:R7853)</f>
        <v>13.80288</v>
      </c>
    </row>
    <row r="7855" spans="1:19" s="497" customFormat="1" ht="17.399999999999999">
      <c r="A7855" s="549"/>
      <c r="B7855" s="549"/>
      <c r="C7855" s="549"/>
      <c r="D7855" s="549"/>
      <c r="E7855" s="549"/>
      <c r="F7855" s="549"/>
      <c r="G7855" s="549"/>
      <c r="H7855" s="549"/>
      <c r="I7855" s="558"/>
      <c r="J7855" s="567"/>
      <c r="K7855" s="648"/>
      <c r="L7855" s="567"/>
      <c r="M7855" s="549"/>
      <c r="N7855" s="549"/>
      <c r="O7855" s="549"/>
      <c r="P7855" s="549"/>
    </row>
    <row r="7856" spans="1:19" s="497" customFormat="1" ht="17.399999999999999">
      <c r="A7856" s="547" t="s">
        <v>361</v>
      </c>
      <c r="B7856" s="547" t="s">
        <v>831</v>
      </c>
      <c r="C7856" s="547" t="s">
        <v>446</v>
      </c>
      <c r="D7856" s="813" t="s">
        <v>447</v>
      </c>
      <c r="E7856" s="547" t="s">
        <v>359</v>
      </c>
      <c r="F7856" s="1214">
        <v>16</v>
      </c>
      <c r="G7856" s="549" t="s">
        <v>21</v>
      </c>
      <c r="H7856" s="599" t="s">
        <v>178</v>
      </c>
      <c r="I7856" s="558">
        <v>31.6</v>
      </c>
      <c r="J7856" s="567">
        <v>9.9</v>
      </c>
      <c r="K7856" s="648">
        <v>14</v>
      </c>
      <c r="L7856" s="552">
        <f t="shared" ref="L7856" si="1660">(I7856*J7856*K7856/1000)</f>
        <v>4.3797600000000001</v>
      </c>
      <c r="M7856" s="549"/>
      <c r="N7856" s="549"/>
      <c r="O7856" s="549"/>
      <c r="P7856" s="549"/>
      <c r="Q7856" s="497">
        <f>7+6</f>
        <v>13</v>
      </c>
      <c r="R7856" s="497">
        <f>J7856*Q7856*I7856/1000</f>
        <v>4.0669200000000005</v>
      </c>
      <c r="S7856" s="497" t="s">
        <v>966</v>
      </c>
    </row>
    <row r="7857" spans="1:19" s="497" customFormat="1" ht="17.399999999999999">
      <c r="A7857" s="549"/>
      <c r="B7857" s="549"/>
      <c r="C7857" s="549"/>
      <c r="D7857" s="549"/>
      <c r="E7857" s="549"/>
      <c r="F7857" s="549"/>
      <c r="G7857" s="549"/>
      <c r="H7857" s="549"/>
      <c r="I7857" s="558"/>
      <c r="J7857" s="567"/>
      <c r="K7857" s="648">
        <f>SUM(K7856:K7856)</f>
        <v>14</v>
      </c>
      <c r="L7857" s="567">
        <f>SUM(L7856:L7856)</f>
        <v>4.3797600000000001</v>
      </c>
      <c r="M7857" s="549"/>
      <c r="N7857" s="549"/>
      <c r="O7857" s="549"/>
      <c r="P7857" s="549" t="s">
        <v>842</v>
      </c>
      <c r="Q7857" s="648">
        <f>SUM(Q7856:Q7856)</f>
        <v>13</v>
      </c>
      <c r="R7857" s="567">
        <f>SUM(R7856:R7856)</f>
        <v>4.0669200000000005</v>
      </c>
    </row>
    <row r="7858" spans="1:19" s="497" customFormat="1" ht="17.399999999999999">
      <c r="A7858" s="549"/>
      <c r="B7858" s="549"/>
      <c r="C7858" s="549"/>
      <c r="D7858" s="549"/>
      <c r="E7858" s="549"/>
      <c r="F7858" s="549"/>
      <c r="G7858" s="549"/>
      <c r="H7858" s="549"/>
      <c r="I7858" s="558"/>
      <c r="J7858" s="567"/>
      <c r="K7858" s="648"/>
      <c r="L7858" s="567"/>
      <c r="M7858" s="549"/>
      <c r="N7858" s="549"/>
      <c r="O7858" s="549"/>
      <c r="P7858" s="549"/>
    </row>
    <row r="7859" spans="1:19" s="497" customFormat="1" ht="17.399999999999999">
      <c r="A7859" s="547" t="s">
        <v>495</v>
      </c>
      <c r="B7859" s="852" t="s">
        <v>853</v>
      </c>
      <c r="C7859" s="547" t="s">
        <v>19</v>
      </c>
      <c r="D7859" s="813" t="s">
        <v>854</v>
      </c>
      <c r="E7859" s="547" t="s">
        <v>359</v>
      </c>
      <c r="F7859" s="1214">
        <v>16</v>
      </c>
      <c r="G7859" s="549" t="s">
        <v>21</v>
      </c>
      <c r="H7859" s="599" t="s">
        <v>178</v>
      </c>
      <c r="I7859" s="558">
        <v>31.6</v>
      </c>
      <c r="J7859" s="567">
        <v>12</v>
      </c>
      <c r="K7859" s="648">
        <v>4</v>
      </c>
      <c r="L7859" s="552">
        <f>(I7859*J7859*K7859/1000)</f>
        <v>1.5168000000000001</v>
      </c>
      <c r="M7859" s="549"/>
      <c r="N7859" s="549"/>
      <c r="O7859" s="549"/>
      <c r="P7859" s="549" t="s">
        <v>855</v>
      </c>
      <c r="S7859" s="497" t="s">
        <v>966</v>
      </c>
    </row>
    <row r="7860" spans="1:19" s="497" customFormat="1" ht="17.399999999999999">
      <c r="A7860" s="547"/>
      <c r="B7860" s="547"/>
      <c r="C7860" s="547"/>
      <c r="D7860" s="813"/>
      <c r="E7860" s="547"/>
      <c r="F7860" s="1229"/>
      <c r="G7860" s="549"/>
      <c r="H7860" s="549"/>
      <c r="I7860" s="558"/>
      <c r="J7860" s="567"/>
      <c r="K7860" s="648">
        <f t="shared" ref="K7860:L7860" si="1661">SUM(K7859)</f>
        <v>4</v>
      </c>
      <c r="L7860" s="552">
        <f t="shared" si="1661"/>
        <v>1.5168000000000001</v>
      </c>
      <c r="M7860" s="549"/>
      <c r="N7860" s="549"/>
      <c r="O7860" s="549"/>
      <c r="P7860" s="549"/>
      <c r="Q7860" s="648">
        <f t="shared" ref="Q7860:R7860" si="1662">SUM(Q7859)</f>
        <v>0</v>
      </c>
      <c r="R7860" s="552">
        <f t="shared" si="1662"/>
        <v>0</v>
      </c>
    </row>
    <row r="7861" spans="1:19" s="497" customFormat="1" ht="17.399999999999999">
      <c r="A7861" s="549"/>
      <c r="B7861" s="549"/>
      <c r="C7861" s="549"/>
      <c r="D7861" s="549"/>
      <c r="E7861" s="549"/>
      <c r="F7861" s="549"/>
      <c r="G7861" s="549"/>
      <c r="H7861" s="549"/>
      <c r="I7861" s="558"/>
      <c r="J7861" s="567"/>
      <c r="K7861" s="648">
        <f>SUM(K7844:K7860)/2</f>
        <v>188</v>
      </c>
      <c r="L7861" s="567">
        <f>SUM(L7844:L7860)/2</f>
        <v>50.831760000000017</v>
      </c>
      <c r="M7861" s="549"/>
      <c r="N7861" s="549"/>
      <c r="O7861" s="549"/>
      <c r="P7861" s="549"/>
      <c r="Q7861" s="648">
        <f>SUM(Q7844:Q7860)/2</f>
        <v>116</v>
      </c>
      <c r="R7861" s="567">
        <f>SUM(R7844:R7860)/2</f>
        <v>30.986960000000003</v>
      </c>
    </row>
    <row r="7862" spans="1:19" s="497" customFormat="1" ht="17.399999999999999">
      <c r="A7862" s="549"/>
      <c r="B7862" s="549"/>
      <c r="C7862" s="549"/>
      <c r="D7862" s="549"/>
      <c r="E7862" s="549"/>
      <c r="F7862" s="549"/>
      <c r="G7862" s="549"/>
      <c r="H7862" s="549"/>
      <c r="I7862" s="558"/>
      <c r="J7862" s="567"/>
      <c r="K7862" s="648"/>
      <c r="L7862" s="567"/>
      <c r="M7862" s="549"/>
      <c r="N7862" s="549"/>
      <c r="O7862" s="549"/>
      <c r="P7862" s="549"/>
    </row>
    <row r="7863" spans="1:19" ht="17.399999999999999">
      <c r="A7863" s="549"/>
      <c r="B7863" s="549"/>
      <c r="C7863" s="549"/>
      <c r="D7863" s="549"/>
      <c r="E7863" s="549"/>
      <c r="F7863" s="549"/>
      <c r="G7863" s="549"/>
      <c r="H7863" s="549"/>
      <c r="I7863" s="558"/>
      <c r="J7863" s="567"/>
      <c r="K7863" s="648"/>
      <c r="L7863" s="567"/>
      <c r="M7863" s="549"/>
      <c r="N7863" s="549"/>
      <c r="O7863" s="549"/>
      <c r="P7863" s="549"/>
    </row>
    <row r="7864" spans="1:19" ht="17.399999999999999">
      <c r="A7864" s="547" t="s">
        <v>495</v>
      </c>
      <c r="B7864" s="852" t="s">
        <v>807</v>
      </c>
      <c r="C7864" s="547" t="s">
        <v>446</v>
      </c>
      <c r="D7864" s="813" t="s">
        <v>447</v>
      </c>
      <c r="E7864" s="547" t="s">
        <v>359</v>
      </c>
      <c r="F7864" s="1214">
        <v>16</v>
      </c>
      <c r="G7864" s="549" t="s">
        <v>21</v>
      </c>
      <c r="H7864" s="599" t="s">
        <v>177</v>
      </c>
      <c r="I7864" s="558">
        <v>27.3</v>
      </c>
      <c r="J7864" s="567">
        <v>7.5</v>
      </c>
      <c r="K7864" s="848">
        <v>26</v>
      </c>
      <c r="L7864" s="552">
        <f t="shared" ref="L7864:L7865" si="1663">(I7864*J7864*K7864/1000)</f>
        <v>5.3235000000000001</v>
      </c>
      <c r="M7864" s="549"/>
      <c r="N7864" s="549"/>
      <c r="O7864" s="549"/>
      <c r="P7864" s="549"/>
      <c r="Q7864" s="497" t="s">
        <v>965</v>
      </c>
    </row>
    <row r="7865" spans="1:19" ht="17.399999999999999">
      <c r="A7865" s="550"/>
      <c r="B7865" s="550"/>
      <c r="C7865" s="550"/>
      <c r="D7865" s="550"/>
      <c r="E7865" s="1214"/>
      <c r="F7865" s="550"/>
      <c r="G7865" s="549" t="s">
        <v>21</v>
      </c>
      <c r="H7865" s="549" t="s">
        <v>177</v>
      </c>
      <c r="I7865" s="558">
        <v>27.3</v>
      </c>
      <c r="J7865" s="567">
        <v>9.3000000000000007</v>
      </c>
      <c r="K7865" s="848">
        <v>16</v>
      </c>
      <c r="L7865" s="552">
        <f t="shared" si="1663"/>
        <v>4.0622400000000001</v>
      </c>
      <c r="M7865" s="549"/>
      <c r="N7865" s="549"/>
      <c r="O7865" s="549"/>
      <c r="P7865" s="549"/>
    </row>
    <row r="7866" spans="1:19" s="497" customFormat="1" ht="17.399999999999999">
      <c r="A7866" s="549"/>
      <c r="B7866" s="549"/>
      <c r="C7866" s="549"/>
      <c r="D7866" s="549"/>
      <c r="E7866" s="549"/>
      <c r="F7866" s="549"/>
      <c r="G7866" s="549"/>
      <c r="H7866" s="549"/>
      <c r="I7866" s="558"/>
      <c r="J7866" s="567"/>
      <c r="K7866" s="648">
        <f t="shared" ref="K7866:L7866" si="1664">SUM(K7864:K7865)</f>
        <v>42</v>
      </c>
      <c r="L7866" s="567">
        <f t="shared" si="1664"/>
        <v>9.3857400000000002</v>
      </c>
      <c r="M7866" s="549"/>
      <c r="N7866" s="549"/>
      <c r="O7866" s="549"/>
      <c r="P7866" s="549"/>
    </row>
    <row r="7867" spans="1:19" ht="17.399999999999999">
      <c r="A7867" s="549"/>
      <c r="B7867" s="549"/>
      <c r="C7867" s="549"/>
      <c r="D7867" s="549"/>
      <c r="E7867" s="549"/>
      <c r="F7867" s="549"/>
      <c r="G7867" s="549"/>
      <c r="H7867" s="549"/>
      <c r="I7867" s="558"/>
      <c r="J7867" s="567"/>
      <c r="K7867" s="648"/>
      <c r="L7867" s="567"/>
      <c r="M7867" s="549"/>
      <c r="N7867" s="549"/>
      <c r="O7867" s="549"/>
      <c r="P7867" s="549"/>
    </row>
    <row r="7868" spans="1:19" ht="17.399999999999999">
      <c r="A7868" s="547" t="s">
        <v>495</v>
      </c>
      <c r="B7868" s="852" t="s">
        <v>624</v>
      </c>
      <c r="C7868" s="547" t="s">
        <v>446</v>
      </c>
      <c r="D7868" s="813" t="s">
        <v>447</v>
      </c>
      <c r="E7868" s="547" t="s">
        <v>359</v>
      </c>
      <c r="F7868" s="1214">
        <v>16</v>
      </c>
      <c r="G7868" s="549" t="s">
        <v>21</v>
      </c>
      <c r="H7868" s="599" t="s">
        <v>177</v>
      </c>
      <c r="I7868" s="558">
        <v>27.3</v>
      </c>
      <c r="J7868" s="567">
        <v>10.7</v>
      </c>
      <c r="K7868" s="648">
        <v>2</v>
      </c>
      <c r="L7868" s="552">
        <f>(I7868*J7868*K7868/1000)</f>
        <v>0.58422000000000007</v>
      </c>
      <c r="M7868" s="549"/>
      <c r="N7868" s="549"/>
      <c r="O7868" s="549"/>
      <c r="P7868" s="549"/>
      <c r="Q7868" s="497" t="s">
        <v>965</v>
      </c>
    </row>
    <row r="7869" spans="1:19" ht="17.399999999999999">
      <c r="A7869" s="550"/>
      <c r="B7869" s="550"/>
      <c r="C7869" s="550"/>
      <c r="D7869" s="550"/>
      <c r="E7869" s="1214"/>
      <c r="F7869" s="550"/>
      <c r="G7869" s="549"/>
      <c r="H7869" s="549"/>
      <c r="I7869" s="558"/>
      <c r="J7869" s="567"/>
      <c r="K7869" s="648">
        <f t="shared" ref="K7869:L7869" si="1665">SUM(K7868)</f>
        <v>2</v>
      </c>
      <c r="L7869" s="567">
        <f t="shared" si="1665"/>
        <v>0.58422000000000007</v>
      </c>
      <c r="M7869" s="549"/>
      <c r="N7869" s="549"/>
      <c r="O7869" s="549"/>
      <c r="P7869" s="549"/>
    </row>
    <row r="7870" spans="1:19" ht="17.399999999999999">
      <c r="A7870" s="549"/>
      <c r="B7870" s="549"/>
      <c r="C7870" s="549"/>
      <c r="D7870" s="549"/>
      <c r="E7870" s="549"/>
      <c r="F7870" s="549"/>
      <c r="G7870" s="549"/>
      <c r="H7870" s="549"/>
      <c r="I7870" s="560"/>
      <c r="J7870" s="549"/>
      <c r="K7870" s="561"/>
      <c r="L7870" s="560"/>
      <c r="M7870" s="549"/>
      <c r="N7870" s="549"/>
      <c r="O7870" s="549"/>
      <c r="P7870" s="549"/>
    </row>
    <row r="7871" spans="1:19" ht="17.399999999999999">
      <c r="A7871" s="547" t="s">
        <v>495</v>
      </c>
      <c r="B7871" s="852" t="s">
        <v>830</v>
      </c>
      <c r="C7871" s="547" t="s">
        <v>446</v>
      </c>
      <c r="D7871" s="813" t="s">
        <v>447</v>
      </c>
      <c r="E7871" s="547" t="s">
        <v>359</v>
      </c>
      <c r="F7871" s="1214">
        <v>16</v>
      </c>
      <c r="G7871" s="549" t="s">
        <v>444</v>
      </c>
      <c r="H7871" s="599" t="s">
        <v>177</v>
      </c>
      <c r="I7871" s="558">
        <v>27.3</v>
      </c>
      <c r="J7871" s="710">
        <v>11.2</v>
      </c>
      <c r="K7871" s="648">
        <v>2</v>
      </c>
      <c r="L7871" s="552">
        <f>(I7871*J7871*K7871/1000)</f>
        <v>0.61151999999999995</v>
      </c>
      <c r="M7871" s="549"/>
      <c r="N7871" s="549"/>
      <c r="O7871" s="549"/>
      <c r="P7871" s="549"/>
      <c r="Q7871" s="497" t="s">
        <v>965</v>
      </c>
    </row>
    <row r="7872" spans="1:19" s="497" customFormat="1" ht="17.399999999999999">
      <c r="A7872" s="550"/>
      <c r="B7872" s="550"/>
      <c r="C7872" s="550"/>
      <c r="D7872" s="550"/>
      <c r="E7872" s="1214"/>
      <c r="F7872" s="550"/>
      <c r="G7872" s="549"/>
      <c r="H7872" s="549"/>
      <c r="I7872" s="560"/>
      <c r="J7872" s="710"/>
      <c r="K7872" s="648">
        <f t="shared" ref="K7872:L7872" si="1666">SUM(K7871)</f>
        <v>2</v>
      </c>
      <c r="L7872" s="552">
        <f t="shared" si="1666"/>
        <v>0.61151999999999995</v>
      </c>
      <c r="M7872" s="549"/>
      <c r="N7872" s="549"/>
      <c r="O7872" s="549"/>
      <c r="P7872" s="549"/>
    </row>
    <row r="7873" spans="1:21" s="497" customFormat="1" ht="17.399999999999999">
      <c r="A7873" s="550"/>
      <c r="B7873" s="550"/>
      <c r="C7873" s="550"/>
      <c r="D7873" s="550"/>
      <c r="E7873" s="1214"/>
      <c r="F7873" s="550"/>
      <c r="G7873" s="549"/>
      <c r="H7873" s="549"/>
      <c r="I7873" s="560"/>
      <c r="J7873" s="710"/>
      <c r="K7873" s="848">
        <f>SUM(K7864:K7872)/2</f>
        <v>46</v>
      </c>
      <c r="L7873" s="552">
        <f>SUM(L7864:L7872)/2</f>
        <v>10.581479999999997</v>
      </c>
      <c r="M7873" s="549"/>
      <c r="N7873" s="549"/>
      <c r="O7873" s="549"/>
      <c r="P7873" s="549" t="s">
        <v>843</v>
      </c>
    </row>
    <row r="7874" spans="1:21" s="497" customFormat="1" ht="17.399999999999999">
      <c r="A7874" s="550"/>
      <c r="B7874" s="550"/>
      <c r="C7874" s="550"/>
      <c r="D7874" s="550"/>
      <c r="E7874" s="1214"/>
      <c r="F7874" s="550"/>
      <c r="G7874" s="549"/>
      <c r="H7874" s="549"/>
      <c r="I7874" s="560"/>
      <c r="J7874" s="710"/>
      <c r="K7874" s="848"/>
      <c r="L7874" s="552"/>
      <c r="M7874" s="549"/>
      <c r="N7874" s="549"/>
      <c r="O7874" s="549"/>
      <c r="P7874" s="549"/>
    </row>
    <row r="7875" spans="1:21" ht="17.399999999999999">
      <c r="A7875" s="550"/>
      <c r="B7875" s="550"/>
      <c r="C7875" s="550"/>
      <c r="D7875" s="550"/>
      <c r="E7875" s="1214"/>
      <c r="F7875" s="550"/>
      <c r="G7875" s="549"/>
      <c r="H7875" s="549"/>
      <c r="I7875" s="560"/>
      <c r="J7875" s="710"/>
      <c r="K7875" s="848"/>
      <c r="L7875" s="552"/>
      <c r="M7875" s="549"/>
      <c r="N7875" s="549"/>
      <c r="O7875" s="549"/>
      <c r="P7875" s="549"/>
    </row>
    <row r="7876" spans="1:21" ht="17.399999999999999">
      <c r="A7876" s="547" t="s">
        <v>495</v>
      </c>
      <c r="B7876" s="547" t="s">
        <v>807</v>
      </c>
      <c r="C7876" s="547" t="s">
        <v>446</v>
      </c>
      <c r="D7876" s="813" t="s">
        <v>447</v>
      </c>
      <c r="E7876" s="547" t="s">
        <v>359</v>
      </c>
      <c r="F7876" s="1214">
        <v>16</v>
      </c>
      <c r="G7876" s="549" t="s">
        <v>21</v>
      </c>
      <c r="H7876" s="599" t="s">
        <v>510</v>
      </c>
      <c r="I7876" s="558">
        <v>25.2</v>
      </c>
      <c r="J7876" s="567">
        <v>6.3</v>
      </c>
      <c r="K7876" s="848">
        <v>26</v>
      </c>
      <c r="L7876" s="552">
        <f t="shared" ref="L7876:L7877" si="1667">(I7876*J7876*K7876/1000)</f>
        <v>4.1277600000000003</v>
      </c>
      <c r="M7876" s="549"/>
      <c r="N7876" s="549"/>
      <c r="O7876" s="549"/>
      <c r="P7876" s="549"/>
      <c r="R7876" s="497">
        <f>J7876*Q7876*I7876/1000</f>
        <v>0</v>
      </c>
      <c r="S7876">
        <v>8</v>
      </c>
      <c r="T7876">
        <f>J7876*S7876*I7876/1000</f>
        <v>1.2700799999999999</v>
      </c>
      <c r="U7876" s="497" t="s">
        <v>918</v>
      </c>
    </row>
    <row r="7877" spans="1:21" ht="17.399999999999999">
      <c r="A7877" s="550"/>
      <c r="B7877" s="550"/>
      <c r="C7877" s="550"/>
      <c r="D7877" s="550"/>
      <c r="E7877" s="1214"/>
      <c r="F7877" s="550"/>
      <c r="G7877" s="549" t="s">
        <v>21</v>
      </c>
      <c r="H7877" s="549" t="s">
        <v>510</v>
      </c>
      <c r="I7877" s="558">
        <v>25.2</v>
      </c>
      <c r="J7877" s="567">
        <v>7.5</v>
      </c>
      <c r="K7877" s="848">
        <v>26</v>
      </c>
      <c r="L7877" s="552">
        <f t="shared" si="1667"/>
        <v>4.9139999999999997</v>
      </c>
      <c r="M7877" s="549"/>
      <c r="N7877" s="549"/>
      <c r="O7877" s="549"/>
      <c r="P7877" s="549"/>
      <c r="Q7877" s="497">
        <v>10</v>
      </c>
      <c r="R7877" s="497">
        <f>J7877*Q7877*I7877/1000</f>
        <v>1.89</v>
      </c>
      <c r="S7877">
        <f>6+1</f>
        <v>7</v>
      </c>
      <c r="T7877" s="497">
        <f>J7877*S7877*I7877/1000</f>
        <v>1.323</v>
      </c>
    </row>
    <row r="7878" spans="1:21" s="497" customFormat="1" ht="17.399999999999999">
      <c r="A7878" s="549"/>
      <c r="B7878" s="549"/>
      <c r="C7878" s="549"/>
      <c r="D7878" s="549"/>
      <c r="E7878" s="549"/>
      <c r="F7878" s="549"/>
      <c r="G7878" s="549"/>
      <c r="H7878" s="549"/>
      <c r="I7878" s="558"/>
      <c r="J7878" s="567"/>
      <c r="K7878" s="648">
        <f>SUM(K7876:K7877)</f>
        <v>52</v>
      </c>
      <c r="L7878" s="567">
        <f>SUM(L7876:L7877)</f>
        <v>9.04176</v>
      </c>
      <c r="M7878" s="549"/>
      <c r="N7878" s="549"/>
      <c r="O7878" s="549"/>
      <c r="P7878" s="549"/>
      <c r="Q7878" s="648">
        <f>SUM(Q7876:Q7877)</f>
        <v>10</v>
      </c>
      <c r="R7878" s="567">
        <f>SUM(R7876:R7877)</f>
        <v>1.89</v>
      </c>
      <c r="S7878" s="648">
        <f>SUM(S7876:S7877)</f>
        <v>15</v>
      </c>
      <c r="T7878" s="567">
        <f>SUM(T7876:T7877)</f>
        <v>2.5930799999999996</v>
      </c>
    </row>
    <row r="7879" spans="1:21" ht="17.399999999999999">
      <c r="A7879" s="549"/>
      <c r="B7879" s="549"/>
      <c r="C7879" s="549"/>
      <c r="D7879" s="549"/>
      <c r="E7879" s="549"/>
      <c r="F7879" s="549"/>
      <c r="G7879" s="549"/>
      <c r="H7879" s="549"/>
      <c r="I7879" s="558"/>
      <c r="J7879" s="567"/>
      <c r="K7879" s="648"/>
      <c r="L7879" s="567"/>
      <c r="M7879" s="549"/>
      <c r="N7879" s="549"/>
      <c r="O7879" s="549"/>
      <c r="P7879" s="549"/>
    </row>
    <row r="7880" spans="1:21" ht="17.399999999999999">
      <c r="A7880" s="547" t="s">
        <v>361</v>
      </c>
      <c r="B7880" s="547" t="s">
        <v>613</v>
      </c>
      <c r="C7880" s="547" t="s">
        <v>446</v>
      </c>
      <c r="D7880" s="813" t="s">
        <v>447</v>
      </c>
      <c r="E7880" s="547" t="s">
        <v>359</v>
      </c>
      <c r="F7880" s="1214">
        <v>16</v>
      </c>
      <c r="G7880" s="549" t="s">
        <v>21</v>
      </c>
      <c r="H7880" s="599" t="s">
        <v>510</v>
      </c>
      <c r="I7880" s="558">
        <v>25.2</v>
      </c>
      <c r="J7880" s="567">
        <v>6.1</v>
      </c>
      <c r="K7880" s="848">
        <v>152</v>
      </c>
      <c r="L7880" s="552">
        <f t="shared" ref="L7880:L7881" si="1668">(I7880*J7880*K7880/1000)</f>
        <v>23.36544</v>
      </c>
      <c r="M7880" s="549"/>
      <c r="N7880" s="549"/>
      <c r="O7880" s="549"/>
      <c r="P7880" s="549"/>
      <c r="Q7880" s="497">
        <f>14+13</f>
        <v>27</v>
      </c>
      <c r="R7880" s="497">
        <f>J7880*Q7880*I7880/1000</f>
        <v>4.1504399999999997</v>
      </c>
      <c r="S7880">
        <f>15+15+15+2+2+1</f>
        <v>50</v>
      </c>
      <c r="T7880" s="497">
        <f t="shared" ref="T7880" si="1669">J7880*S7880*I7880/1000</f>
        <v>7.6859999999999999</v>
      </c>
      <c r="U7880" s="497" t="s">
        <v>966</v>
      </c>
    </row>
    <row r="7881" spans="1:21" ht="17.399999999999999">
      <c r="A7881" s="550"/>
      <c r="B7881" s="550"/>
      <c r="C7881" s="550"/>
      <c r="D7881" s="550"/>
      <c r="E7881" s="1214"/>
      <c r="F7881" s="550"/>
      <c r="G7881" s="549" t="s">
        <v>21</v>
      </c>
      <c r="H7881" s="549" t="s">
        <v>510</v>
      </c>
      <c r="I7881" s="558">
        <v>25.2</v>
      </c>
      <c r="J7881" s="567">
        <v>12</v>
      </c>
      <c r="K7881" s="848">
        <v>44</v>
      </c>
      <c r="L7881" s="552">
        <f t="shared" si="1668"/>
        <v>13.305599999999998</v>
      </c>
      <c r="M7881" s="549"/>
      <c r="N7881" s="549"/>
      <c r="O7881" s="549"/>
      <c r="P7881" s="549"/>
      <c r="S7881">
        <f>10+10+3+6</f>
        <v>29</v>
      </c>
      <c r="T7881" s="497">
        <f>J7881*S7881*I7881/1000</f>
        <v>8.7696000000000005</v>
      </c>
    </row>
    <row r="7882" spans="1:21" s="497" customFormat="1" ht="17.399999999999999">
      <c r="A7882" s="549"/>
      <c r="B7882" s="549"/>
      <c r="C7882" s="549"/>
      <c r="D7882" s="549"/>
      <c r="E7882" s="549"/>
      <c r="F7882" s="549"/>
      <c r="G7882" s="549"/>
      <c r="H7882" s="549"/>
      <c r="I7882" s="558"/>
      <c r="J7882" s="567"/>
      <c r="K7882" s="648">
        <f>SUM(K7880:K7881)</f>
        <v>196</v>
      </c>
      <c r="L7882" s="567">
        <f>SUM(L7880:L7881)</f>
        <v>36.671039999999998</v>
      </c>
      <c r="M7882" s="549"/>
      <c r="N7882" s="549"/>
      <c r="O7882" s="549"/>
      <c r="P7882" s="549"/>
      <c r="Q7882" s="648">
        <f>SUM(Q7880:Q7881)</f>
        <v>27</v>
      </c>
      <c r="R7882" s="567">
        <f>SUM(R7880:R7881)</f>
        <v>4.1504399999999997</v>
      </c>
      <c r="S7882" s="648">
        <f>SUM(S7880:S7881)</f>
        <v>79</v>
      </c>
      <c r="T7882" s="567">
        <f>SUM(T7880:T7881)</f>
        <v>16.4556</v>
      </c>
    </row>
    <row r="7883" spans="1:21" s="497" customFormat="1" ht="17.399999999999999">
      <c r="A7883" s="549"/>
      <c r="B7883" s="549"/>
      <c r="C7883" s="549"/>
      <c r="D7883" s="549"/>
      <c r="E7883" s="549"/>
      <c r="F7883" s="549"/>
      <c r="G7883" s="549"/>
      <c r="H7883" s="549"/>
      <c r="I7883" s="558"/>
      <c r="J7883" s="567"/>
      <c r="K7883" s="648">
        <f>SUM(K7876:K7882)/2</f>
        <v>248</v>
      </c>
      <c r="L7883" s="567">
        <f>SUM(L7876:L7882)/2</f>
        <v>45.712800000000001</v>
      </c>
      <c r="M7883" s="549"/>
      <c r="N7883" s="549"/>
      <c r="O7883" s="549"/>
      <c r="P7883" s="549" t="s">
        <v>844</v>
      </c>
      <c r="Q7883" s="648">
        <f>SUM(Q7876:Q7882)/2</f>
        <v>37</v>
      </c>
      <c r="R7883" s="567">
        <f>SUM(R7876:R7882)/2</f>
        <v>6.0404399999999994</v>
      </c>
      <c r="S7883" s="648">
        <f>SUM(S7876:S7882)/2</f>
        <v>94</v>
      </c>
      <c r="T7883" s="567">
        <f>SUM(T7876:T7882)/2</f>
        <v>19.048679999999997</v>
      </c>
    </row>
    <row r="7884" spans="1:21" s="497" customFormat="1" ht="17.399999999999999">
      <c r="A7884" s="549"/>
      <c r="B7884" s="549"/>
      <c r="C7884" s="549"/>
      <c r="D7884" s="549"/>
      <c r="E7884" s="549"/>
      <c r="F7884" s="549"/>
      <c r="G7884" s="549"/>
      <c r="H7884" s="549"/>
      <c r="I7884" s="558"/>
      <c r="J7884" s="567"/>
      <c r="K7884" s="648"/>
      <c r="L7884" s="567"/>
      <c r="M7884" s="549"/>
      <c r="N7884" s="549"/>
      <c r="O7884" s="549"/>
      <c r="P7884" s="549"/>
    </row>
    <row r="7885" spans="1:21" s="497" customFormat="1" ht="17.399999999999999">
      <c r="A7885" s="549"/>
      <c r="B7885" s="549"/>
      <c r="C7885" s="549"/>
      <c r="D7885" s="549"/>
      <c r="E7885" s="549"/>
      <c r="F7885" s="549"/>
      <c r="G7885" s="549"/>
      <c r="H7885" s="549"/>
      <c r="I7885" s="558"/>
      <c r="J7885" s="710"/>
      <c r="K7885" s="648"/>
      <c r="L7885" s="567"/>
      <c r="M7885" s="549"/>
      <c r="N7885" s="549"/>
      <c r="O7885" s="549"/>
      <c r="P7885" s="549"/>
    </row>
    <row r="7886" spans="1:21" ht="17.399999999999999">
      <c r="A7886" s="549"/>
      <c r="B7886" s="549"/>
      <c r="C7886" s="549"/>
      <c r="D7886" s="549"/>
      <c r="E7886" s="549"/>
      <c r="F7886" s="549"/>
      <c r="G7886" s="549"/>
      <c r="H7886" s="549"/>
      <c r="I7886" s="558"/>
      <c r="J7886" s="710"/>
      <c r="K7886" s="648"/>
      <c r="L7886" s="567"/>
      <c r="M7886" s="549"/>
      <c r="N7886" s="549"/>
      <c r="O7886" s="549"/>
      <c r="P7886" s="549"/>
    </row>
    <row r="7887" spans="1:21" ht="17.399999999999999">
      <c r="A7887" s="549"/>
      <c r="B7887" s="549"/>
      <c r="C7887" s="549"/>
      <c r="D7887" s="549"/>
      <c r="E7887" s="549"/>
      <c r="F7887" s="549"/>
      <c r="G7887" s="549"/>
      <c r="H7887" s="549"/>
      <c r="I7887" s="560"/>
      <c r="J7887" s="549"/>
      <c r="K7887" s="652">
        <f>+K7806+K7824+K7832+K7841+K7861+K7873+K7883</f>
        <v>1475</v>
      </c>
      <c r="L7887" s="568">
        <f>+L7806+L7824+L7832+L7841+L7861+L7873+L7883</f>
        <v>427.07233000000008</v>
      </c>
      <c r="M7887" s="652">
        <f>+M7806+M7824+M7832+M7841+M7861+M7873+M7883</f>
        <v>48</v>
      </c>
      <c r="N7887" s="568">
        <f>+N7806+N7824+N7832+N7841+N7861+N7873+N7883</f>
        <v>15.42333</v>
      </c>
      <c r="O7887" s="549"/>
      <c r="P7887" s="549"/>
    </row>
    <row r="7888" spans="1:21" ht="17.399999999999999">
      <c r="A7888" s="549"/>
      <c r="B7888" s="549"/>
      <c r="C7888" s="549"/>
      <c r="D7888" s="549"/>
      <c r="E7888" s="549"/>
      <c r="F7888" s="549"/>
      <c r="G7888" s="549"/>
      <c r="H7888" s="549"/>
      <c r="I7888" s="560"/>
      <c r="J7888" s="549"/>
      <c r="K7888" s="561"/>
      <c r="L7888" s="568"/>
      <c r="M7888" s="549"/>
      <c r="N7888" s="565"/>
      <c r="O7888" s="549"/>
      <c r="P7888" s="549"/>
    </row>
    <row r="7889" spans="1:16" ht="17.399999999999999">
      <c r="A7889" s="653" t="s">
        <v>48</v>
      </c>
      <c r="B7889" s="653"/>
      <c r="C7889" s="654"/>
      <c r="D7889" s="654"/>
      <c r="E7889" s="654"/>
      <c r="F7889" s="1210"/>
      <c r="G7889" s="654"/>
      <c r="H7889" s="1210"/>
      <c r="I7889" s="656"/>
      <c r="J7889" s="654"/>
      <c r="K7889" s="657"/>
      <c r="L7889" s="2003" t="s">
        <v>0</v>
      </c>
      <c r="M7889" s="2003"/>
      <c r="N7889" s="2003"/>
      <c r="O7889" s="2004"/>
      <c r="P7889" s="2010"/>
    </row>
    <row r="7890" spans="1:16" ht="17.399999999999999">
      <c r="A7890" s="658" t="s">
        <v>1</v>
      </c>
      <c r="B7890" s="658"/>
      <c r="C7890" s="658"/>
      <c r="D7890" s="659" t="s">
        <v>2</v>
      </c>
      <c r="E7890" s="659"/>
      <c r="F7890" s="660"/>
      <c r="G7890" s="660"/>
      <c r="H7890" s="660"/>
      <c r="I7890" s="661"/>
      <c r="J7890" s="660"/>
      <c r="K7890" s="662" t="s">
        <v>3</v>
      </c>
      <c r="L7890" s="660"/>
      <c r="M7890" s="658"/>
      <c r="N7890" s="660"/>
      <c r="O7890" s="663"/>
      <c r="P7890" s="2010"/>
    </row>
    <row r="7891" spans="1:16" ht="17.399999999999999">
      <c r="A7891" s="1210" t="s">
        <v>22</v>
      </c>
      <c r="B7891" s="1990" t="s">
        <v>23</v>
      </c>
      <c r="C7891" s="2005"/>
      <c r="D7891" s="1989"/>
      <c r="E7891" s="1210" t="s">
        <v>24</v>
      </c>
      <c r="F7891" s="1990" t="s">
        <v>25</v>
      </c>
      <c r="G7891" s="1989"/>
      <c r="H7891" s="1990" t="s">
        <v>26</v>
      </c>
      <c r="I7891" s="2005"/>
      <c r="J7891" s="2005"/>
      <c r="K7891" s="1989"/>
      <c r="L7891" s="2006" t="s">
        <v>27</v>
      </c>
      <c r="M7891" s="2006"/>
      <c r="N7891" s="2006"/>
      <c r="O7891" s="1990"/>
      <c r="P7891" s="2010"/>
    </row>
    <row r="7892" spans="1:16" ht="17.399999999999999">
      <c r="A7892" s="664"/>
      <c r="B7892" s="1975"/>
      <c r="C7892" s="1976"/>
      <c r="D7892" s="1977"/>
      <c r="E7892" s="665"/>
      <c r="F7892" s="1975"/>
      <c r="G7892" s="1977"/>
      <c r="H7892" s="1975"/>
      <c r="I7892" s="1976"/>
      <c r="J7892" s="1976"/>
      <c r="K7892" s="1977"/>
      <c r="L7892" s="1975"/>
      <c r="M7892" s="1976"/>
      <c r="N7892" s="1976"/>
      <c r="O7892" s="1976"/>
      <c r="P7892" s="2010"/>
    </row>
    <row r="7893" spans="1:16" ht="17.399999999999999">
      <c r="A7893" s="664"/>
      <c r="B7893" s="1204"/>
      <c r="C7893" s="1206"/>
      <c r="D7893" s="1205"/>
      <c r="E7893" s="665"/>
      <c r="F7893" s="1204"/>
      <c r="G7893" s="1205"/>
      <c r="H7893" s="1204"/>
      <c r="I7893" s="1842"/>
      <c r="J7893" s="1206"/>
      <c r="K7893" s="1205"/>
      <c r="L7893" s="1206"/>
      <c r="M7893" s="1206"/>
      <c r="N7893" s="1206"/>
      <c r="O7893" s="1206"/>
      <c r="P7893" s="2010"/>
    </row>
    <row r="7894" spans="1:16" ht="17.399999999999999">
      <c r="A7894" s="664" t="s">
        <v>28</v>
      </c>
      <c r="B7894" s="1975" t="s">
        <v>185</v>
      </c>
      <c r="C7894" s="1976"/>
      <c r="D7894" s="1977"/>
      <c r="E7894" s="665">
        <f>+L7806-8.355</f>
        <v>115.80253999999998</v>
      </c>
      <c r="F7894" s="1973">
        <v>16</v>
      </c>
      <c r="G7894" s="1974"/>
      <c r="H7894" s="1975" t="s">
        <v>49</v>
      </c>
      <c r="I7894" s="1976"/>
      <c r="J7894" s="1976"/>
      <c r="K7894" s="1977"/>
      <c r="L7894" s="1976" t="s">
        <v>834</v>
      </c>
      <c r="M7894" s="1976"/>
      <c r="N7894" s="1976"/>
      <c r="O7894" s="1976"/>
      <c r="P7894" s="2010"/>
    </row>
    <row r="7895" spans="1:16" s="497" customFormat="1" ht="17.399999999999999">
      <c r="A7895" s="664" t="s">
        <v>29</v>
      </c>
      <c r="B7895" s="1975" t="s">
        <v>187</v>
      </c>
      <c r="C7895" s="1976"/>
      <c r="D7895" s="1977"/>
      <c r="E7895" s="665">
        <f>+L7824-7.068-30</f>
        <v>76.254300000000015</v>
      </c>
      <c r="F7895" s="1973">
        <v>16</v>
      </c>
      <c r="G7895" s="1974"/>
      <c r="H7895" s="1975" t="s">
        <v>49</v>
      </c>
      <c r="I7895" s="1976"/>
      <c r="J7895" s="1976"/>
      <c r="K7895" s="1977"/>
      <c r="L7895" s="1976" t="s">
        <v>836</v>
      </c>
      <c r="M7895" s="1976"/>
      <c r="N7895" s="1976"/>
      <c r="O7895" s="1976"/>
      <c r="P7895" s="2010"/>
    </row>
    <row r="7896" spans="1:16" s="497" customFormat="1" ht="17.399999999999999">
      <c r="A7896" s="664"/>
      <c r="B7896" s="1204"/>
      <c r="C7896" s="1206"/>
      <c r="D7896" s="1205"/>
      <c r="E7896" s="665"/>
      <c r="F7896" s="1212"/>
      <c r="G7896" s="1213"/>
      <c r="H7896" s="1204"/>
      <c r="I7896" s="1842"/>
      <c r="J7896" s="1206"/>
      <c r="K7896" s="1205"/>
      <c r="L7896" s="1206"/>
      <c r="M7896" s="1206"/>
      <c r="N7896" s="1206"/>
      <c r="O7896" s="1206"/>
      <c r="P7896" s="2010"/>
    </row>
    <row r="7897" spans="1:16" ht="17.399999999999999">
      <c r="A7897" s="664"/>
      <c r="B7897" s="1204"/>
      <c r="C7897" s="1206"/>
      <c r="D7897" s="1205"/>
      <c r="E7897" s="665"/>
      <c r="F7897" s="1212"/>
      <c r="G7897" s="1213"/>
      <c r="H7897" s="1204"/>
      <c r="I7897" s="1842"/>
      <c r="J7897" s="1206"/>
      <c r="K7897" s="1205"/>
      <c r="L7897" s="1206"/>
      <c r="M7897" s="1206"/>
      <c r="N7897" s="1206"/>
      <c r="O7897" s="1206"/>
      <c r="P7897" s="2010"/>
    </row>
    <row r="7898" spans="1:16" ht="17.399999999999999">
      <c r="A7898" s="664" t="s">
        <v>30</v>
      </c>
      <c r="B7898" s="1975" t="s">
        <v>835</v>
      </c>
      <c r="C7898" s="1976"/>
      <c r="D7898" s="1977"/>
      <c r="E7898" s="665">
        <f>+L7832</f>
        <v>65.901499999999999</v>
      </c>
      <c r="F7898" s="1973">
        <v>16</v>
      </c>
      <c r="G7898" s="1974"/>
      <c r="H7898" s="1975" t="s">
        <v>447</v>
      </c>
      <c r="I7898" s="1976"/>
      <c r="J7898" s="1976"/>
      <c r="K7898" s="1977"/>
      <c r="L7898" s="1976" t="s">
        <v>557</v>
      </c>
      <c r="M7898" s="1976"/>
      <c r="N7898" s="1976"/>
      <c r="O7898" s="1976"/>
      <c r="P7898" s="2010"/>
    </row>
    <row r="7899" spans="1:16" ht="17.399999999999999">
      <c r="A7899" s="664" t="s">
        <v>46</v>
      </c>
      <c r="B7899" s="1975" t="s">
        <v>185</v>
      </c>
      <c r="C7899" s="1976"/>
      <c r="D7899" s="1977"/>
      <c r="E7899" s="665">
        <f>+L7841</f>
        <v>16.56495</v>
      </c>
      <c r="F7899" s="1973">
        <v>16</v>
      </c>
      <c r="G7899" s="1974"/>
      <c r="H7899" s="1975" t="s">
        <v>447</v>
      </c>
      <c r="I7899" s="1976"/>
      <c r="J7899" s="1976"/>
      <c r="K7899" s="1977"/>
      <c r="L7899" s="1976" t="s">
        <v>557</v>
      </c>
      <c r="M7899" s="1976"/>
      <c r="N7899" s="1976"/>
      <c r="O7899" s="1976"/>
      <c r="P7899" s="2010"/>
    </row>
    <row r="7900" spans="1:16" ht="17.399999999999999">
      <c r="A7900" s="664" t="s">
        <v>58</v>
      </c>
      <c r="B7900" s="1975" t="s">
        <v>186</v>
      </c>
      <c r="C7900" s="1976"/>
      <c r="D7900" s="1977"/>
      <c r="E7900" s="665">
        <f>+L7861</f>
        <v>50.831760000000017</v>
      </c>
      <c r="F7900" s="1973">
        <v>16</v>
      </c>
      <c r="G7900" s="1974"/>
      <c r="H7900" s="1975" t="s">
        <v>447</v>
      </c>
      <c r="I7900" s="1976"/>
      <c r="J7900" s="1976"/>
      <c r="K7900" s="1977"/>
      <c r="L7900" s="1976" t="s">
        <v>557</v>
      </c>
      <c r="M7900" s="1976"/>
      <c r="N7900" s="1976"/>
      <c r="O7900" s="1976"/>
      <c r="P7900" s="2010"/>
    </row>
    <row r="7901" spans="1:16" ht="17.399999999999999">
      <c r="A7901" s="664" t="s">
        <v>163</v>
      </c>
      <c r="B7901" s="1975" t="s">
        <v>187</v>
      </c>
      <c r="C7901" s="1976"/>
      <c r="D7901" s="1977"/>
      <c r="E7901" s="665">
        <f>+L7873</f>
        <v>10.581479999999997</v>
      </c>
      <c r="F7901" s="1973">
        <v>16</v>
      </c>
      <c r="G7901" s="1974"/>
      <c r="H7901" s="1975" t="s">
        <v>447</v>
      </c>
      <c r="I7901" s="1976"/>
      <c r="J7901" s="1976"/>
      <c r="K7901" s="1977"/>
      <c r="L7901" s="1976" t="s">
        <v>557</v>
      </c>
      <c r="M7901" s="1976"/>
      <c r="N7901" s="1976"/>
      <c r="O7901" s="1976"/>
      <c r="P7901" s="2010"/>
    </row>
    <row r="7902" spans="1:16" ht="17.399999999999999">
      <c r="A7902" s="664" t="s">
        <v>302</v>
      </c>
      <c r="B7902" s="1975" t="s">
        <v>556</v>
      </c>
      <c r="C7902" s="1976"/>
      <c r="D7902" s="1977"/>
      <c r="E7902" s="665">
        <f>+L7883</f>
        <v>45.712800000000001</v>
      </c>
      <c r="F7902" s="1973">
        <v>16</v>
      </c>
      <c r="G7902" s="1974"/>
      <c r="H7902" s="1975" t="s">
        <v>447</v>
      </c>
      <c r="I7902" s="1976"/>
      <c r="J7902" s="1976"/>
      <c r="K7902" s="1977"/>
      <c r="L7902" s="1976" t="s">
        <v>557</v>
      </c>
      <c r="M7902" s="1976"/>
      <c r="N7902" s="1976"/>
      <c r="O7902" s="1976"/>
      <c r="P7902" s="2010"/>
    </row>
    <row r="7903" spans="1:16" ht="17.399999999999999">
      <c r="A7903" s="664"/>
      <c r="B7903" s="1975"/>
      <c r="C7903" s="1976"/>
      <c r="D7903" s="1977"/>
      <c r="E7903" s="665"/>
      <c r="F7903" s="1973"/>
      <c r="G7903" s="1974"/>
      <c r="H7903" s="1975"/>
      <c r="I7903" s="1976"/>
      <c r="J7903" s="1976"/>
      <c r="K7903" s="1977"/>
      <c r="L7903" s="1976"/>
      <c r="M7903" s="1976"/>
      <c r="N7903" s="1976"/>
      <c r="O7903" s="1976"/>
      <c r="P7903" s="2010"/>
    </row>
    <row r="7904" spans="1:16" ht="18" thickBot="1">
      <c r="A7904" s="664"/>
      <c r="B7904" s="1204"/>
      <c r="C7904" s="1206"/>
      <c r="D7904" s="1206"/>
      <c r="E7904" s="665"/>
      <c r="F7904" s="1206"/>
      <c r="G7904" s="1205"/>
      <c r="H7904" s="1204"/>
      <c r="I7904" s="1842"/>
      <c r="J7904" s="1206"/>
      <c r="K7904" s="669"/>
      <c r="L7904" s="672"/>
      <c r="M7904" s="673"/>
      <c r="N7904" s="673"/>
      <c r="O7904" s="673"/>
      <c r="P7904" s="2010"/>
    </row>
    <row r="7905" spans="1:16" ht="17.399999999999999">
      <c r="A7905" s="674"/>
      <c r="B7905" s="675"/>
      <c r="C7905" s="676"/>
      <c r="D7905" s="676"/>
      <c r="E7905" s="1980">
        <f>SUM(E7892:E7904)</f>
        <v>381.64933000000008</v>
      </c>
      <c r="F7905" s="677"/>
      <c r="G7905" s="678"/>
      <c r="H7905" s="679"/>
      <c r="I7905" s="1848"/>
      <c r="J7905" s="676"/>
      <c r="K7905" s="680"/>
      <c r="L7905" s="679"/>
      <c r="M7905" s="676"/>
      <c r="N7905" s="677"/>
      <c r="O7905" s="676"/>
      <c r="P7905" s="2010"/>
    </row>
    <row r="7906" spans="1:16" ht="18" thickBot="1">
      <c r="A7906" s="681"/>
      <c r="B7906" s="682"/>
      <c r="C7906" s="683"/>
      <c r="D7906" s="683"/>
      <c r="E7906" s="1981"/>
      <c r="F7906" s="684"/>
      <c r="G7906" s="685"/>
      <c r="H7906" s="686"/>
      <c r="I7906" s="1850"/>
      <c r="J7906" s="683"/>
      <c r="K7906" s="687"/>
      <c r="L7906" s="686"/>
      <c r="M7906" s="683"/>
      <c r="N7906" s="684"/>
      <c r="O7906" s="683"/>
      <c r="P7906" s="2010"/>
    </row>
    <row r="7907" spans="1:16" ht="17.399999999999999">
      <c r="A7907" s="688" t="s">
        <v>31</v>
      </c>
      <c r="B7907" s="676"/>
      <c r="C7907" s="676"/>
      <c r="D7907" s="676"/>
      <c r="E7907" s="676"/>
      <c r="F7907" s="677"/>
      <c r="G7907" s="676"/>
      <c r="H7907" s="677"/>
      <c r="I7907" s="1848"/>
      <c r="J7907" s="676"/>
      <c r="K7907" s="689"/>
      <c r="L7907" s="677"/>
      <c r="M7907" s="676"/>
      <c r="N7907" s="677"/>
      <c r="O7907" s="676"/>
      <c r="P7907" s="2010"/>
    </row>
    <row r="7908" spans="1:16" ht="17.399999999999999">
      <c r="A7908" s="690"/>
      <c r="B7908" s="691"/>
      <c r="C7908" s="691"/>
      <c r="D7908" s="691"/>
      <c r="E7908" s="691"/>
      <c r="F7908" s="1211"/>
      <c r="G7908" s="691"/>
      <c r="H7908" s="1211"/>
      <c r="I7908" s="1849"/>
      <c r="J7908" s="691"/>
      <c r="K7908" s="693"/>
      <c r="L7908" s="1211"/>
      <c r="M7908" s="691"/>
      <c r="N7908" s="1211"/>
      <c r="O7908" s="691"/>
      <c r="P7908" s="2010"/>
    </row>
    <row r="7909" spans="1:16" ht="18" thickBot="1">
      <c r="A7909" s="1982" t="s">
        <v>32</v>
      </c>
      <c r="B7909" s="1983"/>
      <c r="C7909" s="1984" t="s">
        <v>33</v>
      </c>
      <c r="D7909" s="1985"/>
      <c r="E7909" s="694" t="s">
        <v>34</v>
      </c>
      <c r="F7909" s="694" t="s">
        <v>35</v>
      </c>
      <c r="G7909" s="1986" t="s">
        <v>36</v>
      </c>
      <c r="H7909" s="1987"/>
      <c r="I7909" s="1987"/>
      <c r="J7909" s="1987"/>
      <c r="K7909" s="1987"/>
      <c r="L7909" s="1987"/>
      <c r="M7909" s="1987"/>
      <c r="N7909" s="1987"/>
      <c r="O7909" s="1987"/>
      <c r="P7909" s="2010"/>
    </row>
    <row r="7910" spans="1:16" ht="17.399999999999999">
      <c r="A7910" s="1988"/>
      <c r="B7910" s="1989"/>
      <c r="C7910" s="1990"/>
      <c r="D7910" s="1989"/>
      <c r="E7910" s="1210"/>
      <c r="F7910" s="1207"/>
      <c r="G7910" s="1991"/>
      <c r="H7910" s="1992"/>
      <c r="I7910" s="1992"/>
      <c r="J7910" s="1992"/>
      <c r="K7910" s="1992"/>
      <c r="L7910" s="1992"/>
      <c r="M7910" s="1992"/>
      <c r="N7910" s="1992"/>
      <c r="O7910" s="1992"/>
      <c r="P7910" s="2010"/>
    </row>
    <row r="7911" spans="1:16" ht="17.399999999999999">
      <c r="A7911" s="1997" t="s">
        <v>37</v>
      </c>
      <c r="B7911" s="1998"/>
      <c r="C7911" s="1990"/>
      <c r="D7911" s="1989"/>
      <c r="E7911" s="1210"/>
      <c r="F7911" s="1207"/>
      <c r="G7911" s="1993"/>
      <c r="H7911" s="1994"/>
      <c r="I7911" s="1994"/>
      <c r="J7911" s="1994"/>
      <c r="K7911" s="1994"/>
      <c r="L7911" s="1994"/>
      <c r="M7911" s="1994"/>
      <c r="N7911" s="1994"/>
      <c r="O7911" s="1994"/>
      <c r="P7911" s="2010"/>
    </row>
    <row r="7912" spans="1:16" ht="17.399999999999999">
      <c r="A7912" s="1997" t="s">
        <v>38</v>
      </c>
      <c r="B7912" s="1998"/>
      <c r="C7912" s="1990"/>
      <c r="D7912" s="1989"/>
      <c r="E7912" s="1210"/>
      <c r="F7912" s="1207"/>
      <c r="G7912" s="1993"/>
      <c r="H7912" s="1994"/>
      <c r="I7912" s="1994"/>
      <c r="J7912" s="1994"/>
      <c r="K7912" s="1994"/>
      <c r="L7912" s="1994"/>
      <c r="M7912" s="1994"/>
      <c r="N7912" s="1994"/>
      <c r="O7912" s="1994"/>
      <c r="P7912" s="2010"/>
    </row>
    <row r="7913" spans="1:16" ht="17.399999999999999">
      <c r="A7913" s="1997" t="s">
        <v>39</v>
      </c>
      <c r="B7913" s="1998"/>
      <c r="C7913" s="1990"/>
      <c r="D7913" s="1989"/>
      <c r="E7913" s="1210"/>
      <c r="F7913" s="1207"/>
      <c r="G7913" s="1993"/>
      <c r="H7913" s="1994"/>
      <c r="I7913" s="1994"/>
      <c r="J7913" s="1994"/>
      <c r="K7913" s="1994"/>
      <c r="L7913" s="1994"/>
      <c r="M7913" s="1994"/>
      <c r="N7913" s="1994"/>
      <c r="O7913" s="1994"/>
      <c r="P7913" s="2010"/>
    </row>
    <row r="7914" spans="1:16" ht="17.399999999999999">
      <c r="A7914" s="1997" t="s">
        <v>40</v>
      </c>
      <c r="B7914" s="1998"/>
      <c r="C7914" s="1990"/>
      <c r="D7914" s="1989"/>
      <c r="E7914" s="1210"/>
      <c r="F7914" s="1207"/>
      <c r="G7914" s="1993"/>
      <c r="H7914" s="1994"/>
      <c r="I7914" s="1994"/>
      <c r="J7914" s="1994"/>
      <c r="K7914" s="1994"/>
      <c r="L7914" s="1994"/>
      <c r="M7914" s="1994"/>
      <c r="N7914" s="1994"/>
      <c r="O7914" s="1994"/>
      <c r="P7914" s="2010"/>
    </row>
    <row r="7915" spans="1:16" ht="18" thickBot="1">
      <c r="A7915" s="1999" t="s">
        <v>41</v>
      </c>
      <c r="B7915" s="2000"/>
      <c r="C7915" s="2001"/>
      <c r="D7915" s="2002"/>
      <c r="E7915" s="696"/>
      <c r="F7915" s="1208"/>
      <c r="G7915" s="1995"/>
      <c r="H7915" s="1996"/>
      <c r="I7915" s="1996"/>
      <c r="J7915" s="1996"/>
      <c r="K7915" s="1996"/>
      <c r="L7915" s="1996"/>
      <c r="M7915" s="1996"/>
      <c r="N7915" s="1996"/>
      <c r="O7915" s="1996"/>
      <c r="P7915" s="2010"/>
    </row>
    <row r="7916" spans="1:16" ht="18">
      <c r="A7916" s="690"/>
      <c r="B7916" s="691"/>
      <c r="C7916" s="691"/>
      <c r="D7916" s="691"/>
      <c r="E7916" s="691"/>
      <c r="F7916" s="1211"/>
      <c r="G7916" s="691"/>
      <c r="H7916" s="698"/>
      <c r="I7916" s="699"/>
      <c r="J7916" s="700"/>
      <c r="K7916" s="701"/>
      <c r="L7916" s="702"/>
      <c r="M7916" s="691"/>
      <c r="N7916" s="1211"/>
      <c r="O7916" s="691"/>
      <c r="P7916" s="2010"/>
    </row>
    <row r="7917" spans="1:16" ht="18">
      <c r="A7917" s="703" t="s">
        <v>42</v>
      </c>
      <c r="B7917" s="704"/>
      <c r="C7917" s="691"/>
      <c r="D7917" s="691"/>
      <c r="E7917" s="691"/>
      <c r="F7917" s="1211"/>
      <c r="G7917" s="704"/>
      <c r="H7917" s="698"/>
      <c r="I7917" s="699"/>
      <c r="J7917" s="700"/>
      <c r="K7917" s="693"/>
      <c r="L7917" s="705"/>
      <c r="M7917" s="691"/>
      <c r="N7917" s="1979" t="s">
        <v>43</v>
      </c>
      <c r="O7917" s="1979"/>
      <c r="P7917" s="2010"/>
    </row>
    <row r="7918" spans="1:16" ht="17.399999999999999">
      <c r="A7918" s="703"/>
      <c r="B7918" s="704"/>
      <c r="C7918" s="691"/>
      <c r="D7918" s="691"/>
      <c r="E7918" s="691"/>
      <c r="F7918" s="1211"/>
      <c r="G7918" s="691"/>
      <c r="H7918" s="1211"/>
      <c r="I7918" s="1849"/>
      <c r="J7918" s="691"/>
      <c r="K7918" s="693"/>
      <c r="L7918" s="1211"/>
      <c r="M7918" s="691"/>
      <c r="N7918" s="1211"/>
      <c r="O7918" s="704"/>
      <c r="P7918" s="2010"/>
    </row>
    <row r="7919" spans="1:16" ht="17.399999999999999">
      <c r="A7919" s="703" t="s">
        <v>44</v>
      </c>
      <c r="B7919" s="704"/>
      <c r="C7919" s="691"/>
      <c r="D7919" s="691"/>
      <c r="E7919" s="691"/>
      <c r="F7919" s="1211"/>
      <c r="G7919" s="691"/>
      <c r="H7919" s="1211"/>
      <c r="I7919" s="1849"/>
      <c r="J7919" s="691"/>
      <c r="K7919" s="693"/>
      <c r="L7919" s="1211"/>
      <c r="M7919" s="691"/>
      <c r="N7919" s="1979" t="s">
        <v>45</v>
      </c>
      <c r="O7919" s="1979"/>
      <c r="P7919" s="2010"/>
    </row>
    <row r="7920" spans="1:16" ht="18" thickBot="1">
      <c r="A7920" s="682"/>
      <c r="B7920" s="683"/>
      <c r="C7920" s="683"/>
      <c r="D7920" s="683"/>
      <c r="E7920" s="683"/>
      <c r="F7920" s="684"/>
      <c r="G7920" s="683"/>
      <c r="H7920" s="684"/>
      <c r="I7920" s="1850"/>
      <c r="J7920" s="683"/>
      <c r="K7920" s="706"/>
      <c r="L7920" s="684"/>
      <c r="M7920" s="683"/>
      <c r="N7920" s="684"/>
      <c r="O7920" s="683"/>
      <c r="P7920" s="2010"/>
    </row>
    <row r="7924" spans="1:16" ht="17.399999999999999">
      <c r="A7924" s="653" t="s">
        <v>48</v>
      </c>
      <c r="B7924" s="653"/>
      <c r="C7924" s="654"/>
      <c r="D7924" s="654"/>
      <c r="E7924" s="654"/>
      <c r="F7924" s="1210"/>
      <c r="G7924" s="654"/>
      <c r="H7924" s="1210"/>
      <c r="I7924" s="656"/>
      <c r="J7924" s="654"/>
      <c r="K7924" s="657"/>
      <c r="L7924" s="2003" t="s">
        <v>0</v>
      </c>
      <c r="M7924" s="2003"/>
      <c r="N7924" s="2003"/>
      <c r="O7924" s="2004"/>
      <c r="P7924" s="2010"/>
    </row>
    <row r="7925" spans="1:16" ht="17.399999999999999">
      <c r="A7925" s="658" t="s">
        <v>1</v>
      </c>
      <c r="B7925" s="658"/>
      <c r="C7925" s="658"/>
      <c r="D7925" s="659" t="s">
        <v>2</v>
      </c>
      <c r="E7925" s="659"/>
      <c r="F7925" s="660"/>
      <c r="G7925" s="660"/>
      <c r="H7925" s="660"/>
      <c r="I7925" s="661"/>
      <c r="J7925" s="660"/>
      <c r="K7925" s="662" t="s">
        <v>3</v>
      </c>
      <c r="L7925" s="660"/>
      <c r="M7925" s="658"/>
      <c r="N7925" s="660"/>
      <c r="O7925" s="663"/>
      <c r="P7925" s="2010"/>
    </row>
    <row r="7926" spans="1:16" ht="17.399999999999999">
      <c r="A7926" s="1210" t="s">
        <v>22</v>
      </c>
      <c r="B7926" s="1990" t="s">
        <v>23</v>
      </c>
      <c r="C7926" s="2005"/>
      <c r="D7926" s="1989"/>
      <c r="E7926" s="1210" t="s">
        <v>24</v>
      </c>
      <c r="F7926" s="1990" t="s">
        <v>25</v>
      </c>
      <c r="G7926" s="1989"/>
      <c r="H7926" s="1990" t="s">
        <v>26</v>
      </c>
      <c r="I7926" s="2005"/>
      <c r="J7926" s="2005"/>
      <c r="K7926" s="1989"/>
      <c r="L7926" s="2006" t="s">
        <v>27</v>
      </c>
      <c r="M7926" s="2006"/>
      <c r="N7926" s="2006"/>
      <c r="O7926" s="1990"/>
      <c r="P7926" s="2010"/>
    </row>
    <row r="7927" spans="1:16" ht="17.399999999999999">
      <c r="A7927" s="664"/>
      <c r="B7927" s="1975"/>
      <c r="C7927" s="1976"/>
      <c r="D7927" s="1977"/>
      <c r="E7927" s="665"/>
      <c r="F7927" s="1975"/>
      <c r="G7927" s="1977"/>
      <c r="H7927" s="1975"/>
      <c r="I7927" s="1976"/>
      <c r="J7927" s="1976"/>
      <c r="K7927" s="1977"/>
      <c r="L7927" s="1975"/>
      <c r="M7927" s="1976"/>
      <c r="N7927" s="1976"/>
      <c r="O7927" s="1976"/>
      <c r="P7927" s="2010"/>
    </row>
    <row r="7928" spans="1:16" ht="17.399999999999999">
      <c r="A7928" s="664"/>
      <c r="B7928" s="1204"/>
      <c r="C7928" s="1206"/>
      <c r="D7928" s="1205"/>
      <c r="E7928" s="665"/>
      <c r="F7928" s="1204"/>
      <c r="G7928" s="1205"/>
      <c r="H7928" s="1204"/>
      <c r="I7928" s="1842"/>
      <c r="J7928" s="1206"/>
      <c r="K7928" s="1205"/>
      <c r="L7928" s="1206"/>
      <c r="M7928" s="1206"/>
      <c r="N7928" s="1206"/>
      <c r="O7928" s="1206"/>
      <c r="P7928" s="2010"/>
    </row>
    <row r="7929" spans="1:16" ht="17.399999999999999">
      <c r="A7929" s="664"/>
      <c r="B7929" s="1975"/>
      <c r="C7929" s="1976"/>
      <c r="D7929" s="1977"/>
      <c r="E7929" s="665"/>
      <c r="F7929" s="1973"/>
      <c r="G7929" s="1974"/>
      <c r="H7929" s="1975"/>
      <c r="I7929" s="1976"/>
      <c r="J7929" s="1976"/>
      <c r="K7929" s="1977"/>
      <c r="L7929" s="1976"/>
      <c r="M7929" s="1976"/>
      <c r="N7929" s="1976"/>
      <c r="O7929" s="1976"/>
      <c r="P7929" s="2010"/>
    </row>
    <row r="7930" spans="1:16" ht="17.399999999999999">
      <c r="A7930" s="664" t="s">
        <v>28</v>
      </c>
      <c r="B7930" s="1975" t="s">
        <v>102</v>
      </c>
      <c r="C7930" s="1976"/>
      <c r="D7930" s="1977"/>
      <c r="E7930" s="665">
        <f>115.183+10.219</f>
        <v>125.402</v>
      </c>
      <c r="F7930" s="1973">
        <v>12</v>
      </c>
      <c r="G7930" s="1974"/>
      <c r="H7930" s="1975" t="s">
        <v>447</v>
      </c>
      <c r="I7930" s="1976"/>
      <c r="J7930" s="1976"/>
      <c r="K7930" s="1977"/>
      <c r="L7930" s="1976" t="s">
        <v>436</v>
      </c>
      <c r="M7930" s="1976"/>
      <c r="N7930" s="1976"/>
      <c r="O7930" s="1976"/>
      <c r="P7930" s="2010"/>
    </row>
    <row r="7931" spans="1:16" ht="17.399999999999999">
      <c r="A7931" s="664" t="s">
        <v>29</v>
      </c>
      <c r="B7931" s="1975" t="s">
        <v>101</v>
      </c>
      <c r="C7931" s="1976"/>
      <c r="D7931" s="1977"/>
      <c r="E7931" s="665">
        <f>121.913+29.055</f>
        <v>150.96799999999999</v>
      </c>
      <c r="F7931" s="1973">
        <v>12</v>
      </c>
      <c r="G7931" s="1974"/>
      <c r="H7931" s="1975" t="s">
        <v>447</v>
      </c>
      <c r="I7931" s="1976"/>
      <c r="J7931" s="1976"/>
      <c r="K7931" s="1977"/>
      <c r="L7931" s="1976" t="s">
        <v>436</v>
      </c>
      <c r="M7931" s="1976"/>
      <c r="N7931" s="1976"/>
      <c r="O7931" s="1976"/>
      <c r="P7931" s="2010"/>
    </row>
    <row r="7932" spans="1:16" ht="17.399999999999999">
      <c r="A7932" s="664" t="s">
        <v>30</v>
      </c>
      <c r="B7932" s="1975" t="s">
        <v>100</v>
      </c>
      <c r="C7932" s="1976"/>
      <c r="D7932" s="1977"/>
      <c r="E7932" s="665">
        <f>125.85+9.657+6.599+0.889</f>
        <v>142.995</v>
      </c>
      <c r="F7932" s="1973">
        <v>12</v>
      </c>
      <c r="G7932" s="1974"/>
      <c r="H7932" s="1975" t="s">
        <v>447</v>
      </c>
      <c r="I7932" s="1976"/>
      <c r="J7932" s="1976"/>
      <c r="K7932" s="1977"/>
      <c r="L7932" s="1976" t="s">
        <v>436</v>
      </c>
      <c r="M7932" s="1976"/>
      <c r="N7932" s="1976"/>
      <c r="O7932" s="1976"/>
      <c r="P7932" s="2010"/>
    </row>
    <row r="7933" spans="1:16" ht="17.399999999999999">
      <c r="A7933" s="664" t="s">
        <v>46</v>
      </c>
      <c r="B7933" s="1975" t="s">
        <v>104</v>
      </c>
      <c r="C7933" s="1976"/>
      <c r="D7933" s="1977"/>
      <c r="E7933" s="665">
        <f>1.265+11.368+3.486+1.076</f>
        <v>17.195</v>
      </c>
      <c r="F7933" s="2011">
        <v>13</v>
      </c>
      <c r="G7933" s="2012"/>
      <c r="H7933" s="1975" t="s">
        <v>447</v>
      </c>
      <c r="I7933" s="1976"/>
      <c r="J7933" s="1976"/>
      <c r="K7933" s="1977"/>
      <c r="L7933" s="1976" t="s">
        <v>436</v>
      </c>
      <c r="M7933" s="1976"/>
      <c r="N7933" s="1976"/>
      <c r="O7933" s="1976"/>
      <c r="P7933" s="2010"/>
    </row>
    <row r="7934" spans="1:16" ht="17.399999999999999">
      <c r="A7934" s="664"/>
      <c r="B7934" s="1204"/>
      <c r="C7934" s="1206"/>
      <c r="D7934" s="1205"/>
      <c r="E7934" s="665"/>
      <c r="F7934" s="1212"/>
      <c r="G7934" s="1213"/>
      <c r="H7934" s="1204"/>
      <c r="I7934" s="1842"/>
      <c r="J7934" s="1206"/>
      <c r="K7934" s="1205"/>
      <c r="L7934" s="1206"/>
      <c r="M7934" s="1206"/>
      <c r="N7934" s="1206"/>
      <c r="O7934" s="1206"/>
      <c r="P7934" s="2010"/>
    </row>
    <row r="7935" spans="1:16" ht="17.399999999999999">
      <c r="A7935" s="664"/>
      <c r="B7935" s="1204"/>
      <c r="C7935" s="1206"/>
      <c r="D7935" s="1205"/>
      <c r="E7935" s="665"/>
      <c r="F7935" s="1212"/>
      <c r="G7935" s="1213"/>
      <c r="H7935" s="1204"/>
      <c r="I7935" s="1842"/>
      <c r="J7935" s="1206"/>
      <c r="K7935" s="1205"/>
      <c r="L7935" s="1206"/>
      <c r="M7935" s="1206"/>
      <c r="N7935" s="1206"/>
      <c r="O7935" s="1206"/>
      <c r="P7935" s="2010"/>
    </row>
    <row r="7936" spans="1:16" ht="17.399999999999999">
      <c r="A7936" s="664" t="s">
        <v>58</v>
      </c>
      <c r="B7936" s="1976" t="s">
        <v>500</v>
      </c>
      <c r="C7936" s="1976"/>
      <c r="D7936" s="1976"/>
      <c r="E7936" s="665">
        <f>52.16+8.94+6.834</f>
        <v>67.933999999999997</v>
      </c>
      <c r="F7936" s="1973">
        <v>12</v>
      </c>
      <c r="G7936" s="1974"/>
      <c r="H7936" s="1975" t="s">
        <v>450</v>
      </c>
      <c r="I7936" s="1976"/>
      <c r="J7936" s="1976"/>
      <c r="K7936" s="1977"/>
      <c r="L7936" s="1976" t="s">
        <v>437</v>
      </c>
      <c r="M7936" s="1976"/>
      <c r="N7936" s="1976"/>
      <c r="O7936" s="1976"/>
      <c r="P7936" s="2010"/>
    </row>
    <row r="7937" spans="1:16" ht="17.399999999999999">
      <c r="A7937" s="664" t="s">
        <v>163</v>
      </c>
      <c r="B7937" s="1976" t="s">
        <v>497</v>
      </c>
      <c r="C7937" s="1976"/>
      <c r="D7937" s="1976"/>
      <c r="E7937" s="665">
        <v>3</v>
      </c>
      <c r="F7937" s="1973">
        <v>12</v>
      </c>
      <c r="G7937" s="1974"/>
      <c r="H7937" s="1975" t="s">
        <v>450</v>
      </c>
      <c r="I7937" s="1976"/>
      <c r="J7937" s="1976"/>
      <c r="K7937" s="1977"/>
      <c r="L7937" s="1976" t="s">
        <v>437</v>
      </c>
      <c r="M7937" s="1976"/>
      <c r="N7937" s="1976"/>
      <c r="O7937" s="1976"/>
      <c r="P7937" s="2010"/>
    </row>
    <row r="7938" spans="1:16" ht="17.399999999999999">
      <c r="A7938" s="664" t="s">
        <v>302</v>
      </c>
      <c r="B7938" s="1976" t="s">
        <v>498</v>
      </c>
      <c r="C7938" s="1976"/>
      <c r="D7938" s="1976"/>
      <c r="E7938" s="665">
        <v>3</v>
      </c>
      <c r="F7938" s="1973">
        <v>12</v>
      </c>
      <c r="G7938" s="1974"/>
      <c r="H7938" s="1975" t="s">
        <v>450</v>
      </c>
      <c r="I7938" s="1976"/>
      <c r="J7938" s="1976"/>
      <c r="K7938" s="1977"/>
      <c r="L7938" s="1976" t="s">
        <v>437</v>
      </c>
      <c r="M7938" s="1976"/>
      <c r="N7938" s="1976"/>
      <c r="O7938" s="1976"/>
      <c r="P7938" s="2010"/>
    </row>
    <row r="7939" spans="1:16" ht="17.399999999999999">
      <c r="A7939" s="664"/>
      <c r="B7939" s="1204"/>
      <c r="C7939" s="1206"/>
      <c r="D7939" s="1205"/>
      <c r="E7939" s="665"/>
      <c r="F7939" s="1212"/>
      <c r="G7939" s="1213"/>
      <c r="H7939" s="1204"/>
      <c r="I7939" s="1842"/>
      <c r="J7939" s="1206"/>
      <c r="K7939" s="1205"/>
      <c r="L7939" s="1206"/>
      <c r="M7939" s="1206"/>
      <c r="N7939" s="1206"/>
      <c r="O7939" s="1206"/>
      <c r="P7939" s="2010"/>
    </row>
    <row r="7940" spans="1:16" ht="17.399999999999999">
      <c r="A7940" s="664"/>
      <c r="B7940" s="1975"/>
      <c r="C7940" s="1976"/>
      <c r="D7940" s="1977"/>
      <c r="E7940" s="665"/>
      <c r="F7940" s="1973"/>
      <c r="G7940" s="1974"/>
      <c r="H7940" s="1975"/>
      <c r="I7940" s="1976"/>
      <c r="J7940" s="1976"/>
      <c r="K7940" s="1977"/>
      <c r="L7940" s="1976"/>
      <c r="M7940" s="1976"/>
      <c r="N7940" s="1976"/>
      <c r="O7940" s="1976"/>
      <c r="P7940" s="2010"/>
    </row>
    <row r="7941" spans="1:16" ht="18" thickBot="1">
      <c r="A7941" s="664"/>
      <c r="B7941" s="1204"/>
      <c r="C7941" s="1206"/>
      <c r="D7941" s="1206"/>
      <c r="E7941" s="665"/>
      <c r="F7941" s="1206"/>
      <c r="G7941" s="1205"/>
      <c r="H7941" s="1204"/>
      <c r="I7941" s="1842"/>
      <c r="J7941" s="1206"/>
      <c r="K7941" s="669"/>
      <c r="L7941" s="672"/>
      <c r="M7941" s="673"/>
      <c r="N7941" s="673"/>
      <c r="O7941" s="673"/>
      <c r="P7941" s="2010"/>
    </row>
    <row r="7942" spans="1:16" ht="17.399999999999999">
      <c r="A7942" s="674"/>
      <c r="B7942" s="675"/>
      <c r="C7942" s="676"/>
      <c r="D7942" s="676"/>
      <c r="E7942" s="1980">
        <f>SUM(E7927:E7941)</f>
        <v>510.49400000000003</v>
      </c>
      <c r="F7942" s="677"/>
      <c r="G7942" s="678"/>
      <c r="H7942" s="679"/>
      <c r="I7942" s="1848"/>
      <c r="J7942" s="676"/>
      <c r="K7942" s="680"/>
      <c r="L7942" s="679"/>
      <c r="M7942" s="676"/>
      <c r="N7942" s="677"/>
      <c r="O7942" s="676"/>
      <c r="P7942" s="2010"/>
    </row>
    <row r="7943" spans="1:16" ht="18" thickBot="1">
      <c r="A7943" s="681"/>
      <c r="B7943" s="682"/>
      <c r="C7943" s="683"/>
      <c r="D7943" s="683"/>
      <c r="E7943" s="1981"/>
      <c r="F7943" s="684"/>
      <c r="G7943" s="685"/>
      <c r="H7943" s="686"/>
      <c r="I7943" s="1850"/>
      <c r="J7943" s="683"/>
      <c r="K7943" s="687"/>
      <c r="L7943" s="686"/>
      <c r="M7943" s="683"/>
      <c r="N7943" s="684"/>
      <c r="O7943" s="683"/>
      <c r="P7943" s="2010"/>
    </row>
    <row r="7944" spans="1:16" ht="17.399999999999999">
      <c r="A7944" s="688" t="s">
        <v>31</v>
      </c>
      <c r="B7944" s="676"/>
      <c r="C7944" s="676"/>
      <c r="D7944" s="676"/>
      <c r="E7944" s="676"/>
      <c r="F7944" s="677"/>
      <c r="G7944" s="676"/>
      <c r="H7944" s="677"/>
      <c r="I7944" s="1848"/>
      <c r="J7944" s="676"/>
      <c r="K7944" s="689"/>
      <c r="L7944" s="677"/>
      <c r="M7944" s="676"/>
      <c r="N7944" s="677"/>
      <c r="O7944" s="676"/>
      <c r="P7944" s="2010"/>
    </row>
    <row r="7945" spans="1:16" ht="17.399999999999999">
      <c r="A7945" s="690"/>
      <c r="B7945" s="691"/>
      <c r="C7945" s="691"/>
      <c r="D7945" s="691"/>
      <c r="E7945" s="691"/>
      <c r="F7945" s="1211"/>
      <c r="G7945" s="691"/>
      <c r="H7945" s="1211"/>
      <c r="I7945" s="1849"/>
      <c r="J7945" s="691"/>
      <c r="K7945" s="693"/>
      <c r="L7945" s="1211"/>
      <c r="M7945" s="691"/>
      <c r="N7945" s="1211"/>
      <c r="O7945" s="691"/>
      <c r="P7945" s="2010"/>
    </row>
    <row r="7946" spans="1:16" ht="18" thickBot="1">
      <c r="A7946" s="1982" t="s">
        <v>32</v>
      </c>
      <c r="B7946" s="1983"/>
      <c r="C7946" s="1984" t="s">
        <v>33</v>
      </c>
      <c r="D7946" s="1985"/>
      <c r="E7946" s="694" t="s">
        <v>34</v>
      </c>
      <c r="F7946" s="694" t="s">
        <v>35</v>
      </c>
      <c r="G7946" s="1986" t="s">
        <v>36</v>
      </c>
      <c r="H7946" s="1987"/>
      <c r="I7946" s="1987"/>
      <c r="J7946" s="1987"/>
      <c r="K7946" s="1987"/>
      <c r="L7946" s="1987"/>
      <c r="M7946" s="1987"/>
      <c r="N7946" s="1987"/>
      <c r="O7946" s="1987"/>
      <c r="P7946" s="2010"/>
    </row>
    <row r="7947" spans="1:16" ht="17.399999999999999">
      <c r="A7947" s="1988"/>
      <c r="B7947" s="1989"/>
      <c r="C7947" s="1990"/>
      <c r="D7947" s="1989"/>
      <c r="E7947" s="1210"/>
      <c r="F7947" s="1207"/>
      <c r="G7947" s="1991"/>
      <c r="H7947" s="1992"/>
      <c r="I7947" s="1992"/>
      <c r="J7947" s="1992"/>
      <c r="K7947" s="1992"/>
      <c r="L7947" s="1992"/>
      <c r="M7947" s="1992"/>
      <c r="N7947" s="1992"/>
      <c r="O7947" s="1992"/>
      <c r="P7947" s="2010"/>
    </row>
    <row r="7948" spans="1:16" ht="17.399999999999999">
      <c r="A7948" s="1997" t="s">
        <v>37</v>
      </c>
      <c r="B7948" s="1998"/>
      <c r="C7948" s="1990"/>
      <c r="D7948" s="1989"/>
      <c r="E7948" s="1210"/>
      <c r="F7948" s="1207"/>
      <c r="G7948" s="1993"/>
      <c r="H7948" s="1994"/>
      <c r="I7948" s="1994"/>
      <c r="J7948" s="1994"/>
      <c r="K7948" s="1994"/>
      <c r="L7948" s="1994"/>
      <c r="M7948" s="1994"/>
      <c r="N7948" s="1994"/>
      <c r="O7948" s="1994"/>
      <c r="P7948" s="2010"/>
    </row>
    <row r="7949" spans="1:16" ht="17.399999999999999">
      <c r="A7949" s="1997" t="s">
        <v>38</v>
      </c>
      <c r="B7949" s="1998"/>
      <c r="C7949" s="1990"/>
      <c r="D7949" s="1989"/>
      <c r="E7949" s="1210"/>
      <c r="F7949" s="1207"/>
      <c r="G7949" s="1993"/>
      <c r="H7949" s="1994"/>
      <c r="I7949" s="1994"/>
      <c r="J7949" s="1994"/>
      <c r="K7949" s="1994"/>
      <c r="L7949" s="1994"/>
      <c r="M7949" s="1994"/>
      <c r="N7949" s="1994"/>
      <c r="O7949" s="1994"/>
      <c r="P7949" s="2010"/>
    </row>
    <row r="7950" spans="1:16" ht="17.399999999999999">
      <c r="A7950" s="1997" t="s">
        <v>39</v>
      </c>
      <c r="B7950" s="1998"/>
      <c r="C7950" s="1990"/>
      <c r="D7950" s="1989"/>
      <c r="E7950" s="1210"/>
      <c r="F7950" s="1207"/>
      <c r="G7950" s="1993"/>
      <c r="H7950" s="1994"/>
      <c r="I7950" s="1994"/>
      <c r="J7950" s="1994"/>
      <c r="K7950" s="1994"/>
      <c r="L7950" s="1994"/>
      <c r="M7950" s="1994"/>
      <c r="N7950" s="1994"/>
      <c r="O7950" s="1994"/>
      <c r="P7950" s="2010"/>
    </row>
    <row r="7951" spans="1:16" ht="17.399999999999999">
      <c r="A7951" s="1997" t="s">
        <v>40</v>
      </c>
      <c r="B7951" s="1998"/>
      <c r="C7951" s="1990"/>
      <c r="D7951" s="1989"/>
      <c r="E7951" s="1210"/>
      <c r="F7951" s="1207"/>
      <c r="G7951" s="1993"/>
      <c r="H7951" s="1994"/>
      <c r="I7951" s="1994"/>
      <c r="J7951" s="1994"/>
      <c r="K7951" s="1994"/>
      <c r="L7951" s="1994"/>
      <c r="M7951" s="1994"/>
      <c r="N7951" s="1994"/>
      <c r="O7951" s="1994"/>
      <c r="P7951" s="2010"/>
    </row>
    <row r="7952" spans="1:16" ht="18" thickBot="1">
      <c r="A7952" s="1999" t="s">
        <v>41</v>
      </c>
      <c r="B7952" s="2000"/>
      <c r="C7952" s="2001"/>
      <c r="D7952" s="2002"/>
      <c r="E7952" s="696"/>
      <c r="F7952" s="1208"/>
      <c r="G7952" s="1995"/>
      <c r="H7952" s="1996"/>
      <c r="I7952" s="1996"/>
      <c r="J7952" s="1996"/>
      <c r="K7952" s="1996"/>
      <c r="L7952" s="1996"/>
      <c r="M7952" s="1996"/>
      <c r="N7952" s="1996"/>
      <c r="O7952" s="1996"/>
      <c r="P7952" s="2010"/>
    </row>
    <row r="7953" spans="1:17" ht="18">
      <c r="A7953" s="690"/>
      <c r="B7953" s="691"/>
      <c r="C7953" s="691"/>
      <c r="D7953" s="691"/>
      <c r="E7953" s="691"/>
      <c r="F7953" s="1211"/>
      <c r="G7953" s="691"/>
      <c r="H7953" s="698"/>
      <c r="I7953" s="699"/>
      <c r="J7953" s="700"/>
      <c r="K7953" s="701"/>
      <c r="L7953" s="702"/>
      <c r="M7953" s="691"/>
      <c r="N7953" s="1211"/>
      <c r="O7953" s="691"/>
      <c r="P7953" s="2010"/>
    </row>
    <row r="7954" spans="1:17" ht="18">
      <c r="A7954" s="703" t="s">
        <v>42</v>
      </c>
      <c r="B7954" s="704"/>
      <c r="C7954" s="691"/>
      <c r="D7954" s="691"/>
      <c r="E7954" s="691"/>
      <c r="F7954" s="1211"/>
      <c r="G7954" s="704"/>
      <c r="H7954" s="698"/>
      <c r="I7954" s="699"/>
      <c r="J7954" s="700"/>
      <c r="K7954" s="693"/>
      <c r="L7954" s="705"/>
      <c r="M7954" s="691"/>
      <c r="N7954" s="1979" t="s">
        <v>43</v>
      </c>
      <c r="O7954" s="1979"/>
      <c r="P7954" s="2010"/>
    </row>
    <row r="7955" spans="1:17" ht="17.399999999999999">
      <c r="A7955" s="703"/>
      <c r="B7955" s="704"/>
      <c r="C7955" s="691"/>
      <c r="D7955" s="691"/>
      <c r="E7955" s="691"/>
      <c r="F7955" s="1211"/>
      <c r="G7955" s="691"/>
      <c r="H7955" s="1211"/>
      <c r="I7955" s="1849"/>
      <c r="J7955" s="691"/>
      <c r="K7955" s="693"/>
      <c r="L7955" s="1211"/>
      <c r="M7955" s="691"/>
      <c r="N7955" s="1211"/>
      <c r="O7955" s="704"/>
      <c r="P7955" s="2010"/>
    </row>
    <row r="7956" spans="1:17" ht="17.399999999999999">
      <c r="A7956" s="703" t="s">
        <v>44</v>
      </c>
      <c r="B7956" s="704"/>
      <c r="C7956" s="691"/>
      <c r="D7956" s="691"/>
      <c r="E7956" s="691"/>
      <c r="F7956" s="1211"/>
      <c r="G7956" s="691"/>
      <c r="H7956" s="1211"/>
      <c r="I7956" s="1849"/>
      <c r="J7956" s="691"/>
      <c r="K7956" s="693"/>
      <c r="L7956" s="1211"/>
      <c r="M7956" s="691"/>
      <c r="N7956" s="1979" t="s">
        <v>45</v>
      </c>
      <c r="O7956" s="1979"/>
      <c r="P7956" s="2010"/>
    </row>
    <row r="7957" spans="1:17" ht="18" thickBot="1">
      <c r="A7957" s="682"/>
      <c r="B7957" s="683"/>
      <c r="C7957" s="683"/>
      <c r="D7957" s="683"/>
      <c r="E7957" s="683"/>
      <c r="F7957" s="684"/>
      <c r="G7957" s="683"/>
      <c r="H7957" s="684"/>
      <c r="I7957" s="1850"/>
      <c r="J7957" s="683"/>
      <c r="K7957" s="706"/>
      <c r="L7957" s="684"/>
      <c r="M7957" s="683"/>
      <c r="N7957" s="684"/>
      <c r="O7957" s="683"/>
      <c r="P7957" s="2010"/>
    </row>
    <row r="7961" spans="1:17" ht="17.399999999999999">
      <c r="A7961" s="711" t="s">
        <v>48</v>
      </c>
      <c r="B7961" s="711"/>
      <c r="C7961" s="712"/>
      <c r="D7961" s="712"/>
      <c r="E7961" s="712"/>
      <c r="F7961" s="713"/>
      <c r="G7961" s="712"/>
      <c r="H7961" s="712"/>
      <c r="I7961" s="714"/>
      <c r="J7961" s="715"/>
      <c r="K7961" s="716"/>
      <c r="L7961" s="1978" t="s">
        <v>0</v>
      </c>
      <c r="M7961" s="1978"/>
      <c r="N7961" s="1978"/>
      <c r="O7961" s="1978"/>
      <c r="P7961" s="717"/>
    </row>
    <row r="7962" spans="1:17" ht="17.399999999999999">
      <c r="A7962" s="718" t="s">
        <v>1</v>
      </c>
      <c r="B7962" s="718"/>
      <c r="C7962" s="718"/>
      <c r="D7962" s="719" t="s">
        <v>2</v>
      </c>
      <c r="E7962" s="719"/>
      <c r="F7962" s="720"/>
      <c r="G7962" s="720"/>
      <c r="H7962" s="720"/>
      <c r="I7962" s="721"/>
      <c r="J7962" s="1216"/>
      <c r="K7962" s="723" t="s">
        <v>3</v>
      </c>
      <c r="L7962" s="1216"/>
      <c r="M7962" s="718"/>
      <c r="N7962" s="720"/>
      <c r="O7962" s="718"/>
      <c r="P7962" s="724"/>
    </row>
    <row r="7963" spans="1:17" ht="52.2">
      <c r="A7963" s="640" t="s">
        <v>4</v>
      </c>
      <c r="B7963" s="640" t="s">
        <v>5</v>
      </c>
      <c r="C7963" s="640" t="s">
        <v>6</v>
      </c>
      <c r="D7963" s="640" t="s">
        <v>7</v>
      </c>
      <c r="E7963" s="640" t="s">
        <v>8</v>
      </c>
      <c r="F7963" s="641" t="s">
        <v>9</v>
      </c>
      <c r="G7963" s="642" t="s">
        <v>10</v>
      </c>
      <c r="H7963" s="642" t="s">
        <v>11</v>
      </c>
      <c r="I7963" s="643" t="s">
        <v>12</v>
      </c>
      <c r="J7963" s="644" t="s">
        <v>13</v>
      </c>
      <c r="K7963" s="645" t="s">
        <v>14</v>
      </c>
      <c r="L7963" s="646" t="s">
        <v>15</v>
      </c>
      <c r="M7963" s="641" t="s">
        <v>16</v>
      </c>
      <c r="N7963" s="641" t="s">
        <v>17</v>
      </c>
      <c r="O7963" s="642" t="s">
        <v>18</v>
      </c>
      <c r="P7963" s="641" t="s">
        <v>192</v>
      </c>
    </row>
    <row r="7964" spans="1:17" ht="17.399999999999999">
      <c r="A7964" s="549"/>
      <c r="B7964" s="549"/>
      <c r="C7964" s="549"/>
      <c r="D7964" s="549"/>
      <c r="E7964" s="549"/>
      <c r="F7964" s="549"/>
      <c r="G7964" s="549"/>
      <c r="H7964" s="549"/>
      <c r="I7964" s="560"/>
      <c r="J7964" s="549"/>
      <c r="K7964" s="561"/>
      <c r="L7964" s="560"/>
      <c r="M7964" s="549"/>
      <c r="N7964" s="549"/>
      <c r="O7964" s="549"/>
      <c r="P7964" s="549"/>
    </row>
    <row r="7965" spans="1:17" s="497" customFormat="1" ht="17.399999999999999">
      <c r="A7965" s="549"/>
      <c r="B7965" s="549"/>
      <c r="C7965" s="549"/>
      <c r="D7965" s="549"/>
      <c r="E7965" s="549"/>
      <c r="F7965" s="549"/>
      <c r="G7965" s="549"/>
      <c r="H7965" s="549"/>
      <c r="I7965" s="558"/>
      <c r="J7965" s="567"/>
      <c r="K7965" s="648"/>
      <c r="L7965" s="567"/>
      <c r="M7965" s="549"/>
      <c r="N7965" s="549"/>
      <c r="O7965" s="549"/>
      <c r="P7965" s="549"/>
    </row>
    <row r="7966" spans="1:17" ht="17.399999999999999">
      <c r="A7966" s="547" t="s">
        <v>361</v>
      </c>
      <c r="B7966" s="547" t="s">
        <v>811</v>
      </c>
      <c r="C7966" s="547" t="s">
        <v>446</v>
      </c>
      <c r="D7966" s="813" t="s">
        <v>447</v>
      </c>
      <c r="E7966" s="547" t="s">
        <v>359</v>
      </c>
      <c r="F7966" s="1225">
        <v>12</v>
      </c>
      <c r="G7966" s="792" t="s">
        <v>21</v>
      </c>
      <c r="H7966" s="1247" t="s">
        <v>95</v>
      </c>
      <c r="I7966" s="773">
        <v>13.4</v>
      </c>
      <c r="J7966" s="774">
        <v>7.5</v>
      </c>
      <c r="K7966" s="775">
        <v>24</v>
      </c>
      <c r="L7966" s="552">
        <f t="shared" ref="L7966:L7968" si="1670">(I7966*J7966*K7966/1000)</f>
        <v>2.4119999999999999</v>
      </c>
      <c r="M7966" s="549"/>
      <c r="N7966" s="549"/>
      <c r="O7966" s="549"/>
      <c r="P7966" s="549"/>
      <c r="Q7966" s="497" t="s">
        <v>922</v>
      </c>
    </row>
    <row r="7967" spans="1:17" ht="17.399999999999999">
      <c r="A7967" s="550"/>
      <c r="B7967" s="550"/>
      <c r="C7967" s="550"/>
      <c r="D7967" s="550"/>
      <c r="E7967" s="1225"/>
      <c r="F7967" s="550"/>
      <c r="G7967" s="792" t="s">
        <v>21</v>
      </c>
      <c r="H7967" s="1227" t="s">
        <v>95</v>
      </c>
      <c r="I7967" s="773">
        <v>13.4</v>
      </c>
      <c r="J7967" s="774">
        <v>10.3</v>
      </c>
      <c r="K7967" s="775">
        <v>28</v>
      </c>
      <c r="L7967" s="552">
        <f t="shared" si="1670"/>
        <v>3.8645600000000004</v>
      </c>
      <c r="M7967" s="549"/>
      <c r="N7967" s="549"/>
      <c r="O7967" s="549"/>
      <c r="P7967" s="549"/>
    </row>
    <row r="7968" spans="1:17" ht="17.399999999999999">
      <c r="A7968" s="549"/>
      <c r="B7968" s="549"/>
      <c r="C7968" s="549"/>
      <c r="D7968" s="549"/>
      <c r="E7968" s="549"/>
      <c r="F7968" s="549"/>
      <c r="G7968" s="792" t="s">
        <v>21</v>
      </c>
      <c r="H7968" s="1227" t="s">
        <v>95</v>
      </c>
      <c r="I7968" s="773">
        <v>13.4</v>
      </c>
      <c r="J7968" s="774">
        <v>10.5</v>
      </c>
      <c r="K7968" s="775">
        <v>28</v>
      </c>
      <c r="L7968" s="552">
        <f t="shared" si="1670"/>
        <v>3.9396000000000004</v>
      </c>
      <c r="M7968" s="549"/>
      <c r="N7968" s="549"/>
      <c r="O7968" s="549"/>
      <c r="P7968" s="549"/>
    </row>
    <row r="7969" spans="1:17" ht="17.399999999999999">
      <c r="A7969" s="549"/>
      <c r="B7969" s="549"/>
      <c r="C7969" s="549"/>
      <c r="D7969" s="549"/>
      <c r="E7969" s="549"/>
      <c r="F7969" s="549"/>
      <c r="G7969" s="792"/>
      <c r="H7969" s="1227"/>
      <c r="I7969" s="773"/>
      <c r="J7969" s="774"/>
      <c r="K7969" s="775">
        <f t="shared" ref="K7969:L7969" si="1671">SUM(K7966:K7968)</f>
        <v>80</v>
      </c>
      <c r="L7969" s="1226">
        <f t="shared" si="1671"/>
        <v>10.21616</v>
      </c>
      <c r="M7969" s="549"/>
      <c r="N7969" s="549"/>
      <c r="O7969" s="549"/>
      <c r="P7969" s="549"/>
    </row>
    <row r="7970" spans="1:17" ht="17.399999999999999">
      <c r="A7970" s="549"/>
      <c r="B7970" s="549"/>
      <c r="C7970" s="549"/>
      <c r="D7970" s="549"/>
      <c r="E7970" s="549"/>
      <c r="F7970" s="549"/>
      <c r="G7970" s="549"/>
      <c r="H7970" s="549"/>
      <c r="I7970" s="560"/>
      <c r="J7970" s="549"/>
      <c r="K7970" s="561"/>
      <c r="L7970" s="560"/>
      <c r="M7970" s="549"/>
      <c r="N7970" s="549"/>
      <c r="O7970" s="549"/>
      <c r="P7970" s="549"/>
    </row>
    <row r="7971" spans="1:17" ht="17.399999999999999">
      <c r="A7971" s="547" t="s">
        <v>495</v>
      </c>
      <c r="B7971" s="547" t="s">
        <v>859</v>
      </c>
      <c r="C7971" s="547" t="s">
        <v>446</v>
      </c>
      <c r="D7971" s="813" t="s">
        <v>447</v>
      </c>
      <c r="E7971" s="547" t="s">
        <v>359</v>
      </c>
      <c r="F7971" s="1225">
        <v>12</v>
      </c>
      <c r="G7971" s="549" t="s">
        <v>21</v>
      </c>
      <c r="H7971" s="599" t="s">
        <v>95</v>
      </c>
      <c r="I7971" s="558">
        <v>13.4</v>
      </c>
      <c r="J7971" s="567">
        <v>8.25</v>
      </c>
      <c r="K7971" s="648">
        <v>64</v>
      </c>
      <c r="L7971" s="552">
        <f t="shared" ref="L7971:L7975" si="1672">(I7971*J7971*K7971/1000)</f>
        <v>7.0751999999999997</v>
      </c>
      <c r="M7971" s="549"/>
      <c r="N7971" s="549"/>
      <c r="O7971" s="549"/>
      <c r="P7971" s="549"/>
      <c r="Q7971" s="497" t="s">
        <v>922</v>
      </c>
    </row>
    <row r="7972" spans="1:17" ht="17.399999999999999">
      <c r="A7972" s="550"/>
      <c r="B7972" s="550"/>
      <c r="C7972" s="550"/>
      <c r="D7972" s="550"/>
      <c r="E7972" s="1225"/>
      <c r="F7972" s="550"/>
      <c r="G7972" s="549" t="s">
        <v>21</v>
      </c>
      <c r="H7972" s="549" t="s">
        <v>95</v>
      </c>
      <c r="I7972" s="558">
        <v>13.4</v>
      </c>
      <c r="J7972" s="567">
        <v>9.8000000000000007</v>
      </c>
      <c r="K7972" s="648">
        <v>19</v>
      </c>
      <c r="L7972" s="552">
        <f t="shared" si="1672"/>
        <v>2.4950800000000002</v>
      </c>
      <c r="M7972" s="549"/>
      <c r="N7972" s="549"/>
      <c r="O7972" s="549"/>
      <c r="P7972" s="549"/>
    </row>
    <row r="7973" spans="1:17" ht="17.399999999999999">
      <c r="A7973" s="549"/>
      <c r="B7973" s="549"/>
      <c r="C7973" s="549"/>
      <c r="D7973" s="549"/>
      <c r="E7973" s="549"/>
      <c r="F7973" s="549"/>
      <c r="G7973" s="549" t="s">
        <v>21</v>
      </c>
      <c r="H7973" s="549" t="s">
        <v>95</v>
      </c>
      <c r="I7973" s="558">
        <v>13.4</v>
      </c>
      <c r="J7973" s="567">
        <v>10.3</v>
      </c>
      <c r="K7973" s="648">
        <v>6</v>
      </c>
      <c r="L7973" s="552">
        <f t="shared" si="1672"/>
        <v>0.82812000000000008</v>
      </c>
      <c r="M7973" s="549"/>
      <c r="N7973" s="549"/>
      <c r="O7973" s="549"/>
      <c r="P7973" s="549"/>
    </row>
    <row r="7974" spans="1:17" ht="17.399999999999999">
      <c r="A7974" s="549"/>
      <c r="B7974" s="549"/>
      <c r="C7974" s="549"/>
      <c r="D7974" s="549"/>
      <c r="E7974" s="549"/>
      <c r="F7974" s="549"/>
      <c r="G7974" s="549" t="s">
        <v>21</v>
      </c>
      <c r="H7974" s="549" t="s">
        <v>95</v>
      </c>
      <c r="I7974" s="558">
        <v>13.4</v>
      </c>
      <c r="J7974" s="567">
        <v>10.5</v>
      </c>
      <c r="K7974" s="648">
        <v>62</v>
      </c>
      <c r="L7974" s="552">
        <f t="shared" si="1672"/>
        <v>8.7234000000000016</v>
      </c>
      <c r="M7974" s="549"/>
      <c r="N7974" s="549"/>
      <c r="O7974" s="549"/>
      <c r="P7974" s="549"/>
    </row>
    <row r="7975" spans="1:17" ht="17.399999999999999">
      <c r="A7975" s="549"/>
      <c r="B7975" s="549"/>
      <c r="C7975" s="549"/>
      <c r="D7975" s="549"/>
      <c r="E7975" s="549"/>
      <c r="F7975" s="549"/>
      <c r="G7975" s="549" t="s">
        <v>21</v>
      </c>
      <c r="H7975" s="549" t="s">
        <v>95</v>
      </c>
      <c r="I7975" s="558">
        <v>13.4</v>
      </c>
      <c r="J7975" s="567">
        <v>12</v>
      </c>
      <c r="K7975" s="648">
        <v>263</v>
      </c>
      <c r="L7975" s="552">
        <f t="shared" si="1672"/>
        <v>42.290399999999998</v>
      </c>
      <c r="M7975" s="549"/>
      <c r="N7975" s="549"/>
      <c r="O7975" s="549"/>
      <c r="P7975" s="549"/>
    </row>
    <row r="7976" spans="1:17" ht="17.399999999999999">
      <c r="A7976" s="549"/>
      <c r="B7976" s="549"/>
      <c r="C7976" s="549"/>
      <c r="D7976" s="549"/>
      <c r="E7976" s="549"/>
      <c r="F7976" s="549"/>
      <c r="G7976" s="549"/>
      <c r="H7976" s="549"/>
      <c r="I7976" s="558"/>
      <c r="J7976" s="567"/>
      <c r="K7976" s="648">
        <f t="shared" ref="K7976:L7976" si="1673">SUM(K7971:K7975)</f>
        <v>414</v>
      </c>
      <c r="L7976" s="567">
        <f t="shared" si="1673"/>
        <v>61.412199999999999</v>
      </c>
      <c r="M7976" s="549"/>
      <c r="N7976" s="549"/>
      <c r="O7976" s="549"/>
      <c r="P7976" s="549"/>
    </row>
    <row r="7977" spans="1:17" ht="17.399999999999999">
      <c r="A7977" s="549"/>
      <c r="B7977" s="549"/>
      <c r="C7977" s="549"/>
      <c r="D7977" s="549"/>
      <c r="E7977" s="549"/>
      <c r="F7977" s="549"/>
      <c r="G7977" s="549"/>
      <c r="H7977" s="549"/>
      <c r="I7977" s="560"/>
      <c r="J7977" s="549"/>
      <c r="K7977" s="561"/>
      <c r="L7977" s="560"/>
      <c r="M7977" s="549"/>
      <c r="N7977" s="549"/>
      <c r="O7977" s="549"/>
      <c r="P7977" s="549"/>
    </row>
    <row r="7978" spans="1:17" ht="17.399999999999999">
      <c r="A7978" s="547" t="s">
        <v>495</v>
      </c>
      <c r="B7978" s="547" t="s">
        <v>862</v>
      </c>
      <c r="C7978" s="547" t="s">
        <v>446</v>
      </c>
      <c r="D7978" s="813" t="s">
        <v>447</v>
      </c>
      <c r="E7978" s="547" t="s">
        <v>359</v>
      </c>
      <c r="F7978" s="1225">
        <v>12</v>
      </c>
      <c r="G7978" s="549" t="s">
        <v>21</v>
      </c>
      <c r="H7978" s="599" t="s">
        <v>95</v>
      </c>
      <c r="I7978" s="558">
        <v>13.4</v>
      </c>
      <c r="J7978" s="567">
        <v>6.7</v>
      </c>
      <c r="K7978" s="848">
        <v>52</v>
      </c>
      <c r="L7978" s="552">
        <f t="shared" ref="L7978:L7983" si="1674">(I7978*J7978*K7978/1000)</f>
        <v>4.6685600000000003</v>
      </c>
      <c r="M7978" s="549"/>
      <c r="N7978" s="549"/>
      <c r="O7978" s="549"/>
      <c r="P7978" s="549"/>
      <c r="Q7978" s="497" t="s">
        <v>922</v>
      </c>
    </row>
    <row r="7979" spans="1:17" ht="17.399999999999999">
      <c r="A7979" s="550"/>
      <c r="B7979" s="550"/>
      <c r="C7979" s="550"/>
      <c r="D7979" s="550"/>
      <c r="E7979" s="1225"/>
      <c r="F7979" s="550"/>
      <c r="G7979" s="549" t="s">
        <v>21</v>
      </c>
      <c r="H7979" s="549" t="s">
        <v>95</v>
      </c>
      <c r="I7979" s="558">
        <v>13.4</v>
      </c>
      <c r="J7979" s="567">
        <v>7.5</v>
      </c>
      <c r="K7979" s="848">
        <v>26</v>
      </c>
      <c r="L7979" s="552">
        <f t="shared" si="1674"/>
        <v>2.613</v>
      </c>
      <c r="M7979" s="549"/>
      <c r="N7979" s="549"/>
      <c r="O7979" s="549"/>
      <c r="P7979" s="549"/>
    </row>
    <row r="7980" spans="1:17" ht="17.399999999999999">
      <c r="A7980" s="549"/>
      <c r="B7980" s="549"/>
      <c r="C7980" s="549"/>
      <c r="D7980" s="549"/>
      <c r="E7980" s="549"/>
      <c r="F7980" s="549"/>
      <c r="G7980" s="549" t="s">
        <v>21</v>
      </c>
      <c r="H7980" s="549" t="s">
        <v>95</v>
      </c>
      <c r="I7980" s="558">
        <v>13.4</v>
      </c>
      <c r="J7980" s="567">
        <v>10.85</v>
      </c>
      <c r="K7980" s="848">
        <v>65</v>
      </c>
      <c r="L7980" s="552">
        <f t="shared" si="1674"/>
        <v>9.4503499999999985</v>
      </c>
      <c r="M7980" s="549"/>
      <c r="N7980" s="549"/>
      <c r="O7980" s="549"/>
      <c r="P7980" s="549"/>
    </row>
    <row r="7981" spans="1:17" ht="17.399999999999999">
      <c r="A7981" s="549"/>
      <c r="B7981" s="549"/>
      <c r="C7981" s="549"/>
      <c r="D7981" s="549"/>
      <c r="E7981" s="549"/>
      <c r="F7981" s="549"/>
      <c r="G7981" s="549" t="s">
        <v>21</v>
      </c>
      <c r="H7981" s="549" t="s">
        <v>95</v>
      </c>
      <c r="I7981" s="558">
        <v>13.4</v>
      </c>
      <c r="J7981" s="567">
        <v>11.2</v>
      </c>
      <c r="K7981" s="848">
        <v>104</v>
      </c>
      <c r="L7981" s="552">
        <f t="shared" si="1674"/>
        <v>15.608319999999997</v>
      </c>
      <c r="M7981" s="549"/>
      <c r="N7981" s="549"/>
      <c r="O7981" s="549"/>
      <c r="P7981" s="549"/>
    </row>
    <row r="7982" spans="1:17" ht="17.399999999999999">
      <c r="A7982" s="549"/>
      <c r="B7982" s="549"/>
      <c r="C7982" s="549"/>
      <c r="D7982" s="549"/>
      <c r="E7982" s="549"/>
      <c r="F7982" s="549"/>
      <c r="G7982" s="549" t="s">
        <v>21</v>
      </c>
      <c r="H7982" s="549" t="s">
        <v>95</v>
      </c>
      <c r="I7982" s="558">
        <v>13.4</v>
      </c>
      <c r="J7982" s="567">
        <v>11.4</v>
      </c>
      <c r="K7982" s="848">
        <v>52</v>
      </c>
      <c r="L7982" s="552">
        <f t="shared" si="1674"/>
        <v>7.9435200000000012</v>
      </c>
      <c r="M7982" s="549"/>
      <c r="N7982" s="549"/>
      <c r="O7982" s="549"/>
      <c r="P7982" s="549"/>
    </row>
    <row r="7983" spans="1:17" ht="17.399999999999999">
      <c r="A7983" s="549"/>
      <c r="B7983" s="549"/>
      <c r="C7983" s="549"/>
      <c r="D7983" s="549"/>
      <c r="E7983" s="549"/>
      <c r="F7983" s="549"/>
      <c r="G7983" s="549" t="s">
        <v>21</v>
      </c>
      <c r="H7983" s="549" t="s">
        <v>95</v>
      </c>
      <c r="I7983" s="558">
        <v>13.4</v>
      </c>
      <c r="J7983" s="567">
        <v>12</v>
      </c>
      <c r="K7983" s="848">
        <v>83</v>
      </c>
      <c r="L7983" s="552">
        <f t="shared" si="1674"/>
        <v>13.346400000000001</v>
      </c>
      <c r="M7983" s="549"/>
      <c r="N7983" s="549"/>
      <c r="O7983" s="549"/>
      <c r="P7983" s="549"/>
    </row>
    <row r="7984" spans="1:17" ht="17.399999999999999">
      <c r="A7984" s="549"/>
      <c r="B7984" s="549"/>
      <c r="C7984" s="549"/>
      <c r="D7984" s="549"/>
      <c r="E7984" s="549"/>
      <c r="F7984" s="549"/>
      <c r="G7984" s="549"/>
      <c r="H7984" s="549"/>
      <c r="I7984" s="558"/>
      <c r="J7984" s="567"/>
      <c r="K7984" s="648">
        <f t="shared" ref="K7984:L7984" si="1675">SUM(K7978:K7983)</f>
        <v>382</v>
      </c>
      <c r="L7984" s="567">
        <f t="shared" si="1675"/>
        <v>53.63015</v>
      </c>
      <c r="M7984" s="549"/>
      <c r="N7984" s="549"/>
      <c r="O7984" s="549"/>
      <c r="P7984" s="549"/>
    </row>
    <row r="7985" spans="1:17" ht="17.399999999999999">
      <c r="A7985" s="549"/>
      <c r="B7985" s="549"/>
      <c r="C7985" s="549"/>
      <c r="D7985" s="549"/>
      <c r="E7985" s="549"/>
      <c r="F7985" s="549"/>
      <c r="G7985" s="549"/>
      <c r="H7985" s="549"/>
      <c r="I7985" s="560"/>
      <c r="J7985" s="549"/>
      <c r="K7985" s="561"/>
      <c r="L7985" s="560"/>
      <c r="M7985" s="549"/>
      <c r="N7985" s="549"/>
      <c r="O7985" s="549"/>
      <c r="P7985" s="549"/>
    </row>
    <row r="7986" spans="1:17" ht="17.399999999999999">
      <c r="A7986" s="547" t="s">
        <v>495</v>
      </c>
      <c r="B7986" s="547" t="s">
        <v>863</v>
      </c>
      <c r="C7986" s="547" t="s">
        <v>446</v>
      </c>
      <c r="D7986" s="813" t="s">
        <v>447</v>
      </c>
      <c r="E7986" s="547" t="s">
        <v>359</v>
      </c>
      <c r="F7986" s="1225">
        <v>12</v>
      </c>
      <c r="G7986" s="549" t="s">
        <v>21</v>
      </c>
      <c r="H7986" s="599" t="s">
        <v>95</v>
      </c>
      <c r="I7986" s="560">
        <v>13.4</v>
      </c>
      <c r="J7986" s="710">
        <v>10.5</v>
      </c>
      <c r="K7986" s="648">
        <v>1</v>
      </c>
      <c r="L7986" s="552">
        <f>(I7986*J7986*K7986/1000)</f>
        <v>0.14070000000000002</v>
      </c>
      <c r="M7986" s="549"/>
      <c r="N7986" s="549"/>
      <c r="O7986" s="549"/>
      <c r="P7986" s="549"/>
    </row>
    <row r="7987" spans="1:17" ht="17.399999999999999">
      <c r="A7987" s="550"/>
      <c r="B7987" s="550"/>
      <c r="C7987" s="550"/>
      <c r="D7987" s="550"/>
      <c r="E7987" s="1225"/>
      <c r="F7987" s="550"/>
      <c r="G7987" s="549"/>
      <c r="H7987" s="549"/>
      <c r="I7987" s="560"/>
      <c r="J7987" s="710"/>
      <c r="K7987" s="648">
        <f t="shared" ref="K7987" si="1676">SUM(K7986)</f>
        <v>1</v>
      </c>
      <c r="L7987" s="765">
        <f>SUM(L7986)</f>
        <v>0.14070000000000002</v>
      </c>
      <c r="M7987" s="549"/>
      <c r="N7987" s="549"/>
      <c r="O7987" s="549"/>
      <c r="P7987" s="549"/>
    </row>
    <row r="7988" spans="1:17" s="497" customFormat="1" ht="17.399999999999999">
      <c r="A7988" s="550"/>
      <c r="B7988" s="550"/>
      <c r="C7988" s="550"/>
      <c r="D7988" s="550"/>
      <c r="E7988" s="1225"/>
      <c r="F7988" s="550"/>
      <c r="G7988" s="549"/>
      <c r="H7988" s="549"/>
      <c r="I7988" s="560"/>
      <c r="J7988" s="710"/>
      <c r="K7988" s="766">
        <f>SUM(K7966:K7987)/2</f>
        <v>877</v>
      </c>
      <c r="L7988" s="765">
        <f>SUM(L7966:L7987)/2</f>
        <v>125.39920999999998</v>
      </c>
      <c r="M7988" s="549"/>
      <c r="N7988" s="549"/>
      <c r="O7988" s="549"/>
      <c r="P7988" s="549" t="s">
        <v>864</v>
      </c>
    </row>
    <row r="7989" spans="1:17" s="497" customFormat="1" ht="17.399999999999999">
      <c r="A7989" s="550"/>
      <c r="B7989" s="550"/>
      <c r="C7989" s="550"/>
      <c r="D7989" s="550"/>
      <c r="E7989" s="1225"/>
      <c r="F7989" s="550"/>
      <c r="G7989" s="549"/>
      <c r="H7989" s="549"/>
      <c r="I7989" s="560"/>
      <c r="J7989" s="710"/>
      <c r="K7989" s="648"/>
      <c r="L7989" s="765"/>
      <c r="M7989" s="549"/>
      <c r="N7989" s="549"/>
      <c r="O7989" s="549"/>
      <c r="P7989" s="549"/>
    </row>
    <row r="7990" spans="1:17" ht="17.399999999999999">
      <c r="A7990" s="549"/>
      <c r="B7990" s="549"/>
      <c r="C7990" s="549"/>
      <c r="D7990" s="549"/>
      <c r="E7990" s="549"/>
      <c r="F7990" s="549"/>
      <c r="G7990" s="549"/>
      <c r="H7990" s="549"/>
      <c r="I7990" s="560"/>
      <c r="J7990" s="549"/>
      <c r="K7990" s="561"/>
      <c r="L7990" s="560"/>
      <c r="M7990" s="549"/>
      <c r="N7990" s="549"/>
      <c r="O7990" s="549"/>
      <c r="P7990" s="549"/>
    </row>
    <row r="7991" spans="1:17" ht="17.399999999999999">
      <c r="A7991" s="547" t="s">
        <v>361</v>
      </c>
      <c r="B7991" s="547" t="s">
        <v>613</v>
      </c>
      <c r="C7991" s="547" t="s">
        <v>446</v>
      </c>
      <c r="D7991" s="813" t="s">
        <v>447</v>
      </c>
      <c r="E7991" s="547" t="s">
        <v>359</v>
      </c>
      <c r="F7991" s="1225">
        <v>12</v>
      </c>
      <c r="G7991" s="549" t="s">
        <v>21</v>
      </c>
      <c r="H7991" s="599" t="s">
        <v>98</v>
      </c>
      <c r="I7991" s="558">
        <v>11.8</v>
      </c>
      <c r="J7991" s="567">
        <v>7.1</v>
      </c>
      <c r="K7991" s="848">
        <v>44</v>
      </c>
      <c r="L7991" s="552">
        <f t="shared" ref="L7991:L7998" si="1677">(I7991*J7991*K7991/1000)</f>
        <v>3.6863200000000003</v>
      </c>
      <c r="M7991" s="549"/>
      <c r="N7991" s="549"/>
      <c r="O7991" s="549"/>
      <c r="P7991" s="549"/>
      <c r="Q7991" s="497" t="s">
        <v>922</v>
      </c>
    </row>
    <row r="7992" spans="1:17" ht="17.399999999999999">
      <c r="A7992" s="550"/>
      <c r="B7992" s="550"/>
      <c r="C7992" s="550"/>
      <c r="D7992" s="550"/>
      <c r="E7992" s="1225"/>
      <c r="F7992" s="550"/>
      <c r="G7992" s="549" t="s">
        <v>21</v>
      </c>
      <c r="H7992" s="549" t="s">
        <v>98</v>
      </c>
      <c r="I7992" s="558">
        <v>11.8</v>
      </c>
      <c r="J7992" s="567">
        <v>7.4</v>
      </c>
      <c r="K7992" s="848">
        <v>88</v>
      </c>
      <c r="L7992" s="552">
        <f t="shared" si="1677"/>
        <v>7.6841600000000003</v>
      </c>
      <c r="M7992" s="549"/>
      <c r="N7992" s="549"/>
      <c r="O7992" s="549"/>
      <c r="P7992" s="549"/>
    </row>
    <row r="7993" spans="1:17" ht="17.399999999999999">
      <c r="A7993" s="549"/>
      <c r="B7993" s="549"/>
      <c r="C7993" s="549"/>
      <c r="D7993" s="549"/>
      <c r="E7993" s="549"/>
      <c r="F7993" s="549"/>
      <c r="G7993" s="549" t="s">
        <v>21</v>
      </c>
      <c r="H7993" s="549" t="s">
        <v>98</v>
      </c>
      <c r="I7993" s="558">
        <v>11.8</v>
      </c>
      <c r="J7993" s="567">
        <v>7.7</v>
      </c>
      <c r="K7993" s="848">
        <v>44</v>
      </c>
      <c r="L7993" s="552">
        <f t="shared" si="1677"/>
        <v>3.9978400000000005</v>
      </c>
      <c r="M7993" s="549"/>
      <c r="N7993" s="549"/>
      <c r="O7993" s="549"/>
      <c r="P7993" s="549"/>
    </row>
    <row r="7994" spans="1:17" ht="17.399999999999999">
      <c r="A7994" s="549"/>
      <c r="B7994" s="549"/>
      <c r="C7994" s="549"/>
      <c r="D7994" s="549"/>
      <c r="E7994" s="549"/>
      <c r="F7994" s="549"/>
      <c r="G7994" s="549" t="s">
        <v>21</v>
      </c>
      <c r="H7994" s="549" t="s">
        <v>98</v>
      </c>
      <c r="I7994" s="558">
        <v>11.8</v>
      </c>
      <c r="J7994" s="567">
        <v>8.3000000000000007</v>
      </c>
      <c r="K7994" s="848">
        <v>88</v>
      </c>
      <c r="L7994" s="552">
        <f t="shared" si="1677"/>
        <v>8.6187200000000015</v>
      </c>
      <c r="M7994" s="549"/>
      <c r="N7994" s="549"/>
      <c r="O7994" s="549"/>
      <c r="P7994" s="549"/>
    </row>
    <row r="7995" spans="1:17" ht="17.399999999999999">
      <c r="A7995" s="549"/>
      <c r="B7995" s="549"/>
      <c r="C7995" s="549"/>
      <c r="D7995" s="549"/>
      <c r="E7995" s="549"/>
      <c r="F7995" s="549"/>
      <c r="G7995" s="549" t="s">
        <v>21</v>
      </c>
      <c r="H7995" s="549" t="s">
        <v>98</v>
      </c>
      <c r="I7995" s="558">
        <v>11.8</v>
      </c>
      <c r="J7995" s="567">
        <v>9.1999999999999993</v>
      </c>
      <c r="K7995" s="848">
        <v>78</v>
      </c>
      <c r="L7995" s="552">
        <f t="shared" si="1677"/>
        <v>8.4676799999999997</v>
      </c>
      <c r="M7995" s="549"/>
      <c r="N7995" s="549"/>
      <c r="O7995" s="549"/>
      <c r="P7995" s="549"/>
    </row>
    <row r="7996" spans="1:17" ht="17.399999999999999">
      <c r="A7996" s="549"/>
      <c r="B7996" s="549"/>
      <c r="C7996" s="549"/>
      <c r="D7996" s="549"/>
      <c r="E7996" s="549"/>
      <c r="F7996" s="549"/>
      <c r="G7996" s="549" t="s">
        <v>21</v>
      </c>
      <c r="H7996" s="549" t="s">
        <v>98</v>
      </c>
      <c r="I7996" s="558">
        <v>11.8</v>
      </c>
      <c r="J7996" s="567">
        <v>10.4</v>
      </c>
      <c r="K7996" s="848">
        <v>2</v>
      </c>
      <c r="L7996" s="552">
        <f t="shared" si="1677"/>
        <v>0.24544000000000002</v>
      </c>
      <c r="M7996" s="549"/>
      <c r="N7996" s="549"/>
      <c r="O7996" s="549"/>
      <c r="P7996" s="549"/>
    </row>
    <row r="7997" spans="1:17" ht="17.399999999999999">
      <c r="A7997" s="549"/>
      <c r="B7997" s="549"/>
      <c r="C7997" s="549"/>
      <c r="D7997" s="549"/>
      <c r="E7997" s="549"/>
      <c r="F7997" s="549"/>
      <c r="G7997" s="549" t="s">
        <v>21</v>
      </c>
      <c r="H7997" s="549" t="s">
        <v>98</v>
      </c>
      <c r="I7997" s="558">
        <v>11.8</v>
      </c>
      <c r="J7997" s="567">
        <v>11</v>
      </c>
      <c r="K7997" s="848">
        <v>18</v>
      </c>
      <c r="L7997" s="552">
        <f t="shared" si="1677"/>
        <v>2.3364000000000003</v>
      </c>
      <c r="M7997" s="549"/>
      <c r="N7997" s="549"/>
      <c r="O7997" s="549"/>
      <c r="P7997" s="549"/>
    </row>
    <row r="7998" spans="1:17" ht="17.399999999999999">
      <c r="A7998" s="549"/>
      <c r="B7998" s="549"/>
      <c r="C7998" s="549"/>
      <c r="D7998" s="549"/>
      <c r="E7998" s="549"/>
      <c r="F7998" s="549"/>
      <c r="G7998" s="549" t="s">
        <v>21</v>
      </c>
      <c r="H7998" s="549" t="s">
        <v>98</v>
      </c>
      <c r="I7998" s="558">
        <v>11.8</v>
      </c>
      <c r="J7998" s="567">
        <v>11.8</v>
      </c>
      <c r="K7998" s="848">
        <v>128</v>
      </c>
      <c r="L7998" s="552">
        <f t="shared" si="1677"/>
        <v>17.82272</v>
      </c>
      <c r="M7998" s="549"/>
      <c r="N7998" s="549"/>
      <c r="O7998" s="549"/>
      <c r="P7998" s="549"/>
    </row>
    <row r="7999" spans="1:17" ht="17.399999999999999">
      <c r="A7999" s="549"/>
      <c r="B7999" s="549"/>
      <c r="C7999" s="549"/>
      <c r="D7999" s="549"/>
      <c r="E7999" s="549"/>
      <c r="F7999" s="549"/>
      <c r="G7999" s="549"/>
      <c r="H7999" s="549"/>
      <c r="I7999" s="558"/>
      <c r="J7999" s="567"/>
      <c r="K7999" s="648">
        <f>SUM(K7991:K7998)</f>
        <v>490</v>
      </c>
      <c r="L7999" s="567">
        <f>SUM(L7991:L7998)</f>
        <v>52.859279999999998</v>
      </c>
      <c r="M7999" s="549"/>
      <c r="N7999" s="549"/>
      <c r="O7999" s="549"/>
      <c r="P7999" s="549"/>
    </row>
    <row r="8000" spans="1:17" ht="17.399999999999999">
      <c r="A8000" s="549"/>
      <c r="B8000" s="549"/>
      <c r="C8000" s="549"/>
      <c r="D8000" s="549"/>
      <c r="E8000" s="549"/>
      <c r="F8000" s="549"/>
      <c r="G8000" s="549"/>
      <c r="H8000" s="549"/>
      <c r="I8000" s="560"/>
      <c r="J8000" s="549"/>
      <c r="K8000" s="561"/>
      <c r="L8000" s="560"/>
      <c r="M8000" s="549"/>
      <c r="N8000" s="549"/>
      <c r="O8000" s="549"/>
      <c r="P8000" s="549"/>
    </row>
    <row r="8001" spans="1:17" ht="17.399999999999999">
      <c r="A8001" s="547" t="s">
        <v>361</v>
      </c>
      <c r="B8001" s="547" t="s">
        <v>811</v>
      </c>
      <c r="C8001" s="547" t="s">
        <v>446</v>
      </c>
      <c r="D8001" s="813" t="s">
        <v>447</v>
      </c>
      <c r="E8001" s="547" t="s">
        <v>359</v>
      </c>
      <c r="F8001" s="1225">
        <v>12</v>
      </c>
      <c r="G8001" s="792" t="s">
        <v>21</v>
      </c>
      <c r="H8001" s="1247" t="s">
        <v>98</v>
      </c>
      <c r="I8001" s="773">
        <v>11.8</v>
      </c>
      <c r="J8001" s="774">
        <v>7.1</v>
      </c>
      <c r="K8001" s="775">
        <v>101</v>
      </c>
      <c r="L8001" s="552">
        <f t="shared" ref="L8001:L8007" si="1678">(I8001*J8001*K8001/1000)</f>
        <v>8.461780000000001</v>
      </c>
      <c r="M8001" s="549"/>
      <c r="N8001" s="549"/>
      <c r="O8001" s="549"/>
      <c r="P8001" s="549"/>
      <c r="Q8001" s="497" t="s">
        <v>922</v>
      </c>
    </row>
    <row r="8002" spans="1:17" ht="17.399999999999999">
      <c r="A8002" s="550"/>
      <c r="B8002" s="550"/>
      <c r="C8002" s="550"/>
      <c r="D8002" s="550"/>
      <c r="E8002" s="1225"/>
      <c r="F8002" s="550"/>
      <c r="G8002" s="792" t="s">
        <v>21</v>
      </c>
      <c r="H8002" s="1227" t="s">
        <v>98</v>
      </c>
      <c r="I8002" s="773">
        <v>11.8</v>
      </c>
      <c r="J8002" s="774">
        <v>7.4</v>
      </c>
      <c r="K8002" s="775">
        <v>14</v>
      </c>
      <c r="L8002" s="552">
        <f t="shared" si="1678"/>
        <v>1.22248</v>
      </c>
      <c r="M8002" s="549"/>
      <c r="N8002" s="549"/>
      <c r="O8002" s="549"/>
      <c r="P8002" s="549"/>
    </row>
    <row r="8003" spans="1:17" ht="17.399999999999999">
      <c r="A8003" s="549"/>
      <c r="B8003" s="549"/>
      <c r="C8003" s="549"/>
      <c r="D8003" s="549"/>
      <c r="E8003" s="549"/>
      <c r="F8003" s="549"/>
      <c r="G8003" s="792" t="s">
        <v>21</v>
      </c>
      <c r="H8003" s="1227" t="s">
        <v>98</v>
      </c>
      <c r="I8003" s="773">
        <v>11.8</v>
      </c>
      <c r="J8003" s="774">
        <v>8.1</v>
      </c>
      <c r="K8003" s="775">
        <v>56</v>
      </c>
      <c r="L8003" s="552">
        <f t="shared" si="1678"/>
        <v>5.3524799999999999</v>
      </c>
      <c r="M8003" s="549"/>
      <c r="N8003" s="549"/>
      <c r="O8003" s="549"/>
      <c r="P8003" s="549"/>
    </row>
    <row r="8004" spans="1:17" ht="17.399999999999999">
      <c r="A8004" s="549"/>
      <c r="B8004" s="549"/>
      <c r="C8004" s="549"/>
      <c r="D8004" s="549"/>
      <c r="E8004" s="549"/>
      <c r="F8004" s="549"/>
      <c r="G8004" s="792" t="s">
        <v>21</v>
      </c>
      <c r="H8004" s="1227" t="s">
        <v>98</v>
      </c>
      <c r="I8004" s="773">
        <v>11.8</v>
      </c>
      <c r="J8004" s="774">
        <v>9.1999999999999993</v>
      </c>
      <c r="K8004" s="775">
        <v>20</v>
      </c>
      <c r="L8004" s="552">
        <f t="shared" si="1678"/>
        <v>2.1711999999999998</v>
      </c>
      <c r="M8004" s="549"/>
      <c r="N8004" s="549"/>
      <c r="O8004" s="549"/>
      <c r="P8004" s="549"/>
    </row>
    <row r="8005" spans="1:17" ht="17.399999999999999">
      <c r="A8005" s="549"/>
      <c r="B8005" s="549"/>
      <c r="C8005" s="549"/>
      <c r="D8005" s="549"/>
      <c r="E8005" s="549"/>
      <c r="F8005" s="549"/>
      <c r="G8005" s="792" t="s">
        <v>21</v>
      </c>
      <c r="H8005" s="1227" t="s">
        <v>98</v>
      </c>
      <c r="I8005" s="773">
        <v>11.8</v>
      </c>
      <c r="J8005" s="774">
        <v>10.4</v>
      </c>
      <c r="K8005" s="775">
        <v>28</v>
      </c>
      <c r="L8005" s="552">
        <f t="shared" si="1678"/>
        <v>3.4361600000000001</v>
      </c>
      <c r="M8005" s="549"/>
      <c r="N8005" s="549"/>
      <c r="O8005" s="549"/>
      <c r="P8005" s="549"/>
    </row>
    <row r="8006" spans="1:17" ht="17.399999999999999">
      <c r="A8006" s="549"/>
      <c r="B8006" s="549"/>
      <c r="C8006" s="549"/>
      <c r="D8006" s="549"/>
      <c r="E8006" s="549"/>
      <c r="F8006" s="549"/>
      <c r="G8006" s="792" t="s">
        <v>21</v>
      </c>
      <c r="H8006" s="1227" t="s">
        <v>98</v>
      </c>
      <c r="I8006" s="773">
        <v>11.8</v>
      </c>
      <c r="J8006" s="774">
        <v>11.6</v>
      </c>
      <c r="K8006" s="775">
        <v>17</v>
      </c>
      <c r="L8006" s="552">
        <f t="shared" si="1678"/>
        <v>2.3269600000000001</v>
      </c>
      <c r="M8006" s="549"/>
      <c r="N8006" s="549"/>
      <c r="O8006" s="549"/>
      <c r="P8006" s="549"/>
    </row>
    <row r="8007" spans="1:17" ht="17.399999999999999">
      <c r="A8007" s="549"/>
      <c r="B8007" s="549"/>
      <c r="C8007" s="549"/>
      <c r="D8007" s="549"/>
      <c r="E8007" s="549"/>
      <c r="F8007" s="549"/>
      <c r="G8007" s="792" t="s">
        <v>21</v>
      </c>
      <c r="H8007" s="1227" t="s">
        <v>98</v>
      </c>
      <c r="I8007" s="773">
        <v>11.8</v>
      </c>
      <c r="J8007" s="774">
        <v>12</v>
      </c>
      <c r="K8007" s="775">
        <v>43</v>
      </c>
      <c r="L8007" s="552">
        <f t="shared" si="1678"/>
        <v>6.0888000000000009</v>
      </c>
      <c r="M8007" s="549"/>
      <c r="N8007" s="549"/>
      <c r="O8007" s="549"/>
      <c r="P8007" s="549"/>
    </row>
    <row r="8008" spans="1:17" ht="17.399999999999999">
      <c r="A8008" s="549"/>
      <c r="B8008" s="549"/>
      <c r="C8008" s="549"/>
      <c r="D8008" s="549"/>
      <c r="E8008" s="549"/>
      <c r="F8008" s="549"/>
      <c r="G8008" s="792"/>
      <c r="H8008" s="1227"/>
      <c r="I8008" s="773"/>
      <c r="J8008" s="774"/>
      <c r="K8008" s="775">
        <f t="shared" ref="K8008:L8008" si="1679">SUM(K8001:K8007)</f>
        <v>279</v>
      </c>
      <c r="L8008" s="1226">
        <f t="shared" si="1679"/>
        <v>29.05986</v>
      </c>
      <c r="M8008" s="549"/>
      <c r="N8008" s="549"/>
      <c r="O8008" s="549"/>
      <c r="P8008" s="549"/>
    </row>
    <row r="8009" spans="1:17" ht="17.399999999999999">
      <c r="A8009" s="549"/>
      <c r="B8009" s="549"/>
      <c r="C8009" s="549"/>
      <c r="D8009" s="549"/>
      <c r="E8009" s="549"/>
      <c r="F8009" s="549"/>
      <c r="G8009" s="549"/>
      <c r="H8009" s="549"/>
      <c r="I8009" s="560"/>
      <c r="J8009" s="549"/>
      <c r="K8009" s="561"/>
      <c r="L8009" s="560"/>
      <c r="M8009" s="549"/>
      <c r="N8009" s="549"/>
      <c r="O8009" s="549"/>
      <c r="P8009" s="549"/>
    </row>
    <row r="8010" spans="1:17" ht="17.399999999999999">
      <c r="A8010" s="547" t="s">
        <v>495</v>
      </c>
      <c r="B8010" s="547" t="s">
        <v>859</v>
      </c>
      <c r="C8010" s="547" t="s">
        <v>446</v>
      </c>
      <c r="D8010" s="813" t="s">
        <v>447</v>
      </c>
      <c r="E8010" s="547" t="s">
        <v>359</v>
      </c>
      <c r="F8010" s="1225">
        <v>12</v>
      </c>
      <c r="G8010" s="549" t="s">
        <v>21</v>
      </c>
      <c r="H8010" s="599" t="s">
        <v>98</v>
      </c>
      <c r="I8010" s="558">
        <v>11.8</v>
      </c>
      <c r="J8010" s="567">
        <v>7.4</v>
      </c>
      <c r="K8010" s="648">
        <v>28</v>
      </c>
      <c r="L8010" s="552">
        <f t="shared" ref="L8010:L8015" si="1680">(I8010*J8010*K8010/1000)</f>
        <v>2.44496</v>
      </c>
      <c r="M8010" s="549"/>
      <c r="N8010" s="549"/>
      <c r="O8010" s="549"/>
      <c r="P8010" s="549"/>
      <c r="Q8010" s="497" t="s">
        <v>922</v>
      </c>
    </row>
    <row r="8011" spans="1:17" ht="17.399999999999999">
      <c r="A8011" s="550"/>
      <c r="B8011" s="550"/>
      <c r="C8011" s="550"/>
      <c r="D8011" s="550"/>
      <c r="E8011" s="1225"/>
      <c r="F8011" s="550"/>
      <c r="G8011" s="549" t="s">
        <v>21</v>
      </c>
      <c r="H8011" s="549" t="s">
        <v>98</v>
      </c>
      <c r="I8011" s="558">
        <v>11.8</v>
      </c>
      <c r="J8011" s="567">
        <v>8.3000000000000007</v>
      </c>
      <c r="K8011" s="648">
        <v>146</v>
      </c>
      <c r="L8011" s="552">
        <f t="shared" si="1680"/>
        <v>14.299240000000001</v>
      </c>
      <c r="M8011" s="549"/>
      <c r="N8011" s="549"/>
      <c r="O8011" s="549"/>
      <c r="P8011" s="549"/>
    </row>
    <row r="8012" spans="1:17" ht="17.399999999999999">
      <c r="A8012" s="549"/>
      <c r="B8012" s="549"/>
      <c r="C8012" s="549"/>
      <c r="D8012" s="549"/>
      <c r="E8012" s="549"/>
      <c r="F8012" s="549"/>
      <c r="G8012" s="549" t="s">
        <v>21</v>
      </c>
      <c r="H8012" s="549" t="s">
        <v>98</v>
      </c>
      <c r="I8012" s="558">
        <v>11.8</v>
      </c>
      <c r="J8012" s="567">
        <v>10</v>
      </c>
      <c r="K8012" s="648">
        <v>94</v>
      </c>
      <c r="L8012" s="552">
        <f t="shared" si="1680"/>
        <v>11.092000000000001</v>
      </c>
      <c r="M8012" s="549"/>
      <c r="N8012" s="549"/>
      <c r="O8012" s="549"/>
      <c r="P8012" s="549"/>
    </row>
    <row r="8013" spans="1:17" ht="17.399999999999999">
      <c r="A8013" s="549"/>
      <c r="B8013" s="549"/>
      <c r="C8013" s="549"/>
      <c r="D8013" s="549"/>
      <c r="E8013" s="549"/>
      <c r="F8013" s="549"/>
      <c r="G8013" s="549" t="s">
        <v>21</v>
      </c>
      <c r="H8013" s="549" t="s">
        <v>98</v>
      </c>
      <c r="I8013" s="558">
        <v>11.8</v>
      </c>
      <c r="J8013" s="567">
        <v>10.5</v>
      </c>
      <c r="K8013" s="648">
        <v>2</v>
      </c>
      <c r="L8013" s="552">
        <f t="shared" si="1680"/>
        <v>0.24780000000000002</v>
      </c>
      <c r="M8013" s="549"/>
      <c r="N8013" s="549"/>
      <c r="O8013" s="549"/>
      <c r="P8013" s="549"/>
    </row>
    <row r="8014" spans="1:17" ht="17.399999999999999">
      <c r="A8014" s="549"/>
      <c r="B8014" s="549"/>
      <c r="C8014" s="549"/>
      <c r="D8014" s="549"/>
      <c r="E8014" s="549"/>
      <c r="F8014" s="549"/>
      <c r="G8014" s="549" t="s">
        <v>21</v>
      </c>
      <c r="H8014" s="549" t="s">
        <v>98</v>
      </c>
      <c r="I8014" s="558">
        <v>11.8</v>
      </c>
      <c r="J8014" s="567">
        <v>11</v>
      </c>
      <c r="K8014" s="648">
        <v>200</v>
      </c>
      <c r="L8014" s="552">
        <f t="shared" si="1680"/>
        <v>25.960000000000004</v>
      </c>
      <c r="M8014" s="549"/>
      <c r="N8014" s="549"/>
      <c r="O8014" s="549"/>
      <c r="P8014" s="549"/>
    </row>
    <row r="8015" spans="1:17" ht="17.399999999999999">
      <c r="A8015" s="549"/>
      <c r="B8015" s="549"/>
      <c r="C8015" s="549"/>
      <c r="D8015" s="549"/>
      <c r="E8015" s="549"/>
      <c r="F8015" s="549"/>
      <c r="G8015" s="549" t="s">
        <v>21</v>
      </c>
      <c r="H8015" s="549" t="s">
        <v>98</v>
      </c>
      <c r="I8015" s="558">
        <v>11.8</v>
      </c>
      <c r="J8015" s="567">
        <v>12</v>
      </c>
      <c r="K8015" s="648">
        <v>88</v>
      </c>
      <c r="L8015" s="552">
        <f t="shared" si="1680"/>
        <v>12.460800000000003</v>
      </c>
      <c r="M8015" s="549"/>
      <c r="N8015" s="549"/>
      <c r="O8015" s="549"/>
      <c r="P8015" s="549"/>
    </row>
    <row r="8016" spans="1:17" ht="17.399999999999999">
      <c r="A8016" s="549"/>
      <c r="B8016" s="549"/>
      <c r="C8016" s="549"/>
      <c r="D8016" s="549"/>
      <c r="E8016" s="549"/>
      <c r="F8016" s="549"/>
      <c r="G8016" s="549"/>
      <c r="H8016" s="549"/>
      <c r="I8016" s="558"/>
      <c r="J8016" s="567"/>
      <c r="K8016" s="648">
        <f t="shared" ref="K8016:L8016" si="1681">SUM(K8010:K8015)</f>
        <v>558</v>
      </c>
      <c r="L8016" s="567">
        <f t="shared" si="1681"/>
        <v>66.504800000000003</v>
      </c>
      <c r="M8016" s="549"/>
      <c r="N8016" s="549"/>
      <c r="O8016" s="549"/>
      <c r="P8016" s="549"/>
    </row>
    <row r="8017" spans="1:18" ht="17.399999999999999">
      <c r="A8017" s="549"/>
      <c r="B8017" s="549"/>
      <c r="C8017" s="549"/>
      <c r="D8017" s="549"/>
      <c r="E8017" s="549"/>
      <c r="F8017" s="549"/>
      <c r="G8017" s="549"/>
      <c r="H8017" s="549"/>
      <c r="I8017" s="560"/>
      <c r="J8017" s="549"/>
      <c r="K8017" s="561"/>
      <c r="L8017" s="560"/>
      <c r="M8017" s="549"/>
      <c r="N8017" s="549"/>
      <c r="O8017" s="549"/>
      <c r="P8017" s="549"/>
    </row>
    <row r="8018" spans="1:18" ht="17.399999999999999">
      <c r="A8018" s="547" t="s">
        <v>495</v>
      </c>
      <c r="B8018" s="547" t="s">
        <v>862</v>
      </c>
      <c r="C8018" s="547" t="s">
        <v>446</v>
      </c>
      <c r="D8018" s="813" t="s">
        <v>447</v>
      </c>
      <c r="E8018" s="547" t="s">
        <v>359</v>
      </c>
      <c r="F8018" s="1225">
        <v>12</v>
      </c>
      <c r="G8018" s="549" t="s">
        <v>21</v>
      </c>
      <c r="H8018" s="599" t="s">
        <v>98</v>
      </c>
      <c r="I8018" s="558">
        <v>11.8</v>
      </c>
      <c r="J8018" s="567">
        <v>12</v>
      </c>
      <c r="K8018" s="848">
        <v>18</v>
      </c>
      <c r="L8018" s="552">
        <f t="shared" ref="L8018" si="1682">(I8018*J8018*K8018/1000)</f>
        <v>2.5488000000000004</v>
      </c>
      <c r="M8018" s="549"/>
      <c r="N8018" s="549"/>
      <c r="O8018" s="549"/>
      <c r="P8018" s="549"/>
      <c r="Q8018" s="497" t="s">
        <v>922</v>
      </c>
    </row>
    <row r="8019" spans="1:18" ht="17.399999999999999">
      <c r="A8019" s="550"/>
      <c r="B8019" s="550"/>
      <c r="C8019" s="550"/>
      <c r="D8019" s="550"/>
      <c r="E8019" s="1225"/>
      <c r="F8019" s="550"/>
      <c r="G8019" s="549"/>
      <c r="H8019" s="549"/>
      <c r="I8019" s="558"/>
      <c r="J8019" s="567"/>
      <c r="K8019" s="648">
        <f>SUM(K8018:K8018)</f>
        <v>18</v>
      </c>
      <c r="L8019" s="567">
        <f>SUM(L8018:L8018)</f>
        <v>2.5488000000000004</v>
      </c>
      <c r="M8019" s="549"/>
      <c r="N8019" s="549"/>
      <c r="O8019" s="549"/>
      <c r="P8019" s="549"/>
    </row>
    <row r="8020" spans="1:18" s="497" customFormat="1" ht="17.399999999999999">
      <c r="A8020" s="550"/>
      <c r="B8020" s="550"/>
      <c r="C8020" s="550"/>
      <c r="D8020" s="550"/>
      <c r="E8020" s="1225"/>
      <c r="F8020" s="550"/>
      <c r="G8020" s="549"/>
      <c r="H8020" s="549"/>
      <c r="I8020" s="558"/>
      <c r="J8020" s="567"/>
      <c r="K8020" s="648">
        <f>SUM(K7991:K8019)/2</f>
        <v>1345</v>
      </c>
      <c r="L8020" s="567">
        <f>SUM(L7991:L8019)/2</f>
        <v>150.97274000000004</v>
      </c>
      <c r="M8020" s="549"/>
      <c r="N8020" s="549"/>
      <c r="O8020" s="549"/>
      <c r="P8020" s="549" t="s">
        <v>865</v>
      </c>
    </row>
    <row r="8021" spans="1:18" s="497" customFormat="1" ht="17.399999999999999">
      <c r="A8021" s="550"/>
      <c r="B8021" s="550"/>
      <c r="C8021" s="550"/>
      <c r="D8021" s="550"/>
      <c r="E8021" s="1225"/>
      <c r="F8021" s="550"/>
      <c r="G8021" s="549"/>
      <c r="H8021" s="549"/>
      <c r="I8021" s="558"/>
      <c r="J8021" s="567"/>
      <c r="K8021" s="648"/>
      <c r="L8021" s="567"/>
      <c r="M8021" s="549"/>
      <c r="N8021" s="549"/>
      <c r="O8021" s="549"/>
      <c r="P8021" s="549"/>
    </row>
    <row r="8022" spans="1:18" s="497" customFormat="1" ht="17.399999999999999">
      <c r="A8022" s="550"/>
      <c r="B8022" s="550"/>
      <c r="C8022" s="550"/>
      <c r="D8022" s="550"/>
      <c r="E8022" s="1225"/>
      <c r="F8022" s="550"/>
      <c r="G8022" s="549"/>
      <c r="H8022" s="549"/>
      <c r="I8022" s="558"/>
      <c r="J8022" s="567"/>
      <c r="K8022" s="648"/>
      <c r="L8022" s="567"/>
      <c r="M8022" s="549"/>
      <c r="N8022" s="549"/>
      <c r="O8022" s="549"/>
      <c r="P8022" s="549"/>
    </row>
    <row r="8023" spans="1:18" ht="17.399999999999999">
      <c r="A8023" s="547" t="s">
        <v>445</v>
      </c>
      <c r="B8023" s="547" t="s">
        <v>845</v>
      </c>
      <c r="C8023" s="547" t="s">
        <v>19</v>
      </c>
      <c r="D8023" s="547" t="s">
        <v>20</v>
      </c>
      <c r="E8023" s="1094" t="s">
        <v>858</v>
      </c>
      <c r="F8023" s="1225">
        <v>12</v>
      </c>
      <c r="G8023" s="549" t="s">
        <v>21</v>
      </c>
      <c r="H8023" s="599" t="s">
        <v>97</v>
      </c>
      <c r="I8023" s="560">
        <v>10.199999999999999</v>
      </c>
      <c r="J8023" s="710">
        <v>10.9</v>
      </c>
      <c r="K8023" s="648">
        <v>8</v>
      </c>
      <c r="L8023" s="552">
        <f>(I8023*J8023*K8023/1000)</f>
        <v>0.8894399999999999</v>
      </c>
      <c r="M8023" s="549"/>
      <c r="N8023" s="549"/>
      <c r="O8023" s="549"/>
      <c r="P8023" s="549"/>
      <c r="Q8023" s="497" t="s">
        <v>937</v>
      </c>
    </row>
    <row r="8024" spans="1:18" ht="17.399999999999999">
      <c r="A8024" s="549"/>
      <c r="B8024" s="550" t="s">
        <v>88</v>
      </c>
      <c r="C8024" s="549"/>
      <c r="D8024" s="549"/>
      <c r="E8024" s="549"/>
      <c r="F8024" s="549"/>
      <c r="G8024" s="549"/>
      <c r="H8024" s="549"/>
      <c r="I8024" s="560"/>
      <c r="J8024" s="710"/>
      <c r="K8024" s="648">
        <f t="shared" ref="K8024" si="1683">SUM(K8023)</f>
        <v>8</v>
      </c>
      <c r="L8024" s="765">
        <f>SUM(L8023)</f>
        <v>0.8894399999999999</v>
      </c>
      <c r="M8024" s="549"/>
      <c r="N8024" s="549"/>
      <c r="O8024" s="549"/>
      <c r="P8024" s="549" t="s">
        <v>867</v>
      </c>
    </row>
    <row r="8025" spans="1:18" ht="17.399999999999999">
      <c r="A8025" s="549"/>
      <c r="B8025" s="549"/>
      <c r="C8025" s="549"/>
      <c r="D8025" s="549"/>
      <c r="E8025" s="549"/>
      <c r="F8025" s="549"/>
      <c r="G8025" s="549"/>
      <c r="H8025" s="549"/>
      <c r="I8025" s="560"/>
      <c r="J8025" s="549"/>
      <c r="K8025" s="561"/>
      <c r="L8025" s="560"/>
      <c r="M8025" s="549"/>
      <c r="N8025" s="549"/>
      <c r="O8025" s="549"/>
      <c r="P8025" s="549"/>
    </row>
    <row r="8026" spans="1:18" ht="17.399999999999999">
      <c r="A8026" s="547" t="s">
        <v>361</v>
      </c>
      <c r="B8026" s="547" t="s">
        <v>613</v>
      </c>
      <c r="C8026" s="547" t="s">
        <v>446</v>
      </c>
      <c r="D8026" s="813" t="s">
        <v>447</v>
      </c>
      <c r="E8026" s="547" t="s">
        <v>359</v>
      </c>
      <c r="F8026" s="1225">
        <v>12</v>
      </c>
      <c r="G8026" s="549" t="s">
        <v>21</v>
      </c>
      <c r="H8026" s="599" t="s">
        <v>97</v>
      </c>
      <c r="I8026" s="558">
        <v>10.199999999999999</v>
      </c>
      <c r="J8026" s="567">
        <v>6.1</v>
      </c>
      <c r="K8026" s="848">
        <v>108</v>
      </c>
      <c r="L8026" s="552">
        <f t="shared" ref="L8026:L8035" si="1684">(I8026*J8026*K8026/1000)</f>
        <v>6.7197599999999991</v>
      </c>
      <c r="M8026" s="549"/>
      <c r="N8026" s="549"/>
      <c r="O8026" s="549"/>
      <c r="P8026" s="549"/>
      <c r="Q8026" s="497">
        <f>6+36+12</f>
        <v>54</v>
      </c>
      <c r="R8026" s="497" t="s">
        <v>923</v>
      </c>
    </row>
    <row r="8027" spans="1:18" ht="17.399999999999999">
      <c r="A8027" s="550"/>
      <c r="B8027" s="550"/>
      <c r="C8027" s="550"/>
      <c r="D8027" s="550"/>
      <c r="E8027" s="1225"/>
      <c r="F8027" s="1225"/>
      <c r="G8027" s="549" t="s">
        <v>21</v>
      </c>
      <c r="H8027" s="549" t="s">
        <v>97</v>
      </c>
      <c r="I8027" s="558">
        <v>10.199999999999999</v>
      </c>
      <c r="J8027" s="567">
        <v>6.25</v>
      </c>
      <c r="K8027" s="848">
        <v>54</v>
      </c>
      <c r="L8027" s="552">
        <f t="shared" si="1684"/>
        <v>3.4424999999999994</v>
      </c>
      <c r="M8027" s="549"/>
      <c r="N8027" s="549"/>
      <c r="O8027" s="549"/>
      <c r="P8027" s="549"/>
      <c r="Q8027" s="497">
        <f>9+1+6+11</f>
        <v>27</v>
      </c>
      <c r="R8027" s="497" t="s">
        <v>924</v>
      </c>
    </row>
    <row r="8028" spans="1:18" ht="17.399999999999999">
      <c r="A8028" s="549"/>
      <c r="B8028" s="549"/>
      <c r="C8028" s="549"/>
      <c r="D8028" s="549"/>
      <c r="E8028" s="549"/>
      <c r="F8028" s="549"/>
      <c r="G8028" s="549" t="s">
        <v>21</v>
      </c>
      <c r="H8028" s="549" t="s">
        <v>97</v>
      </c>
      <c r="I8028" s="558">
        <v>10.199999999999999</v>
      </c>
      <c r="J8028" s="567">
        <v>7.5</v>
      </c>
      <c r="K8028" s="848">
        <v>20</v>
      </c>
      <c r="L8028" s="552">
        <f t="shared" si="1684"/>
        <v>1.53</v>
      </c>
      <c r="M8028" s="549"/>
      <c r="N8028" s="549"/>
      <c r="O8028" s="549"/>
      <c r="P8028" s="549"/>
      <c r="Q8028" s="497">
        <f>2+2+7</f>
        <v>11</v>
      </c>
      <c r="R8028" s="497" t="s">
        <v>932</v>
      </c>
    </row>
    <row r="8029" spans="1:18" ht="17.399999999999999">
      <c r="A8029" s="549"/>
      <c r="B8029" s="549"/>
      <c r="C8029" s="549"/>
      <c r="D8029" s="549"/>
      <c r="E8029" s="549"/>
      <c r="F8029" s="549"/>
      <c r="G8029" s="549" t="s">
        <v>21</v>
      </c>
      <c r="H8029" s="549" t="s">
        <v>97</v>
      </c>
      <c r="I8029" s="558">
        <v>10.199999999999999</v>
      </c>
      <c r="J8029" s="567">
        <v>7.7</v>
      </c>
      <c r="K8029" s="848">
        <v>54</v>
      </c>
      <c r="L8029" s="552">
        <f t="shared" si="1684"/>
        <v>4.2411599999999998</v>
      </c>
      <c r="M8029" s="549"/>
      <c r="N8029" s="549"/>
      <c r="O8029" s="549"/>
      <c r="P8029" s="549"/>
      <c r="Q8029" s="497">
        <v>4</v>
      </c>
    </row>
    <row r="8030" spans="1:18" ht="17.399999999999999">
      <c r="A8030" s="549"/>
      <c r="B8030" s="549"/>
      <c r="C8030" s="549"/>
      <c r="D8030" s="549"/>
      <c r="E8030" s="549"/>
      <c r="F8030" s="549"/>
      <c r="G8030" s="549" t="s">
        <v>21</v>
      </c>
      <c r="H8030" s="549" t="s">
        <v>97</v>
      </c>
      <c r="I8030" s="558">
        <v>10.199999999999999</v>
      </c>
      <c r="J8030" s="567">
        <v>8</v>
      </c>
      <c r="K8030" s="848">
        <v>304</v>
      </c>
      <c r="L8030" s="552">
        <f t="shared" si="1684"/>
        <v>24.806399999999996</v>
      </c>
      <c r="M8030" s="549"/>
      <c r="N8030" s="549"/>
      <c r="O8030" s="549"/>
      <c r="P8030" s="549"/>
      <c r="Q8030" s="497">
        <f>27+6+2+18+6+10</f>
        <v>69</v>
      </c>
    </row>
    <row r="8031" spans="1:18" ht="17.399999999999999">
      <c r="A8031" s="549"/>
      <c r="B8031" s="549"/>
      <c r="C8031" s="549"/>
      <c r="D8031" s="549"/>
      <c r="E8031" s="549"/>
      <c r="F8031" s="549"/>
      <c r="G8031" s="549" t="s">
        <v>21</v>
      </c>
      <c r="H8031" s="549" t="s">
        <v>97</v>
      </c>
      <c r="I8031" s="558">
        <v>10.199999999999999</v>
      </c>
      <c r="J8031" s="567">
        <v>8.35</v>
      </c>
      <c r="K8031" s="848">
        <v>210</v>
      </c>
      <c r="L8031" s="552">
        <f t="shared" si="1684"/>
        <v>17.885699999999996</v>
      </c>
      <c r="M8031" s="549"/>
      <c r="N8031" s="549"/>
      <c r="O8031" s="549"/>
      <c r="P8031" s="549"/>
      <c r="Q8031" s="497">
        <f>22+15</f>
        <v>37</v>
      </c>
    </row>
    <row r="8032" spans="1:18" ht="17.399999999999999">
      <c r="A8032" s="549"/>
      <c r="B8032" s="549"/>
      <c r="C8032" s="549"/>
      <c r="D8032" s="549"/>
      <c r="E8032" s="549"/>
      <c r="F8032" s="549"/>
      <c r="G8032" s="549" t="s">
        <v>21</v>
      </c>
      <c r="H8032" s="549" t="s">
        <v>97</v>
      </c>
      <c r="I8032" s="558">
        <v>10.199999999999999</v>
      </c>
      <c r="J8032" s="567">
        <v>9.1999999999999993</v>
      </c>
      <c r="K8032" s="848">
        <v>76</v>
      </c>
      <c r="L8032" s="552">
        <f t="shared" si="1684"/>
        <v>7.1318399999999995</v>
      </c>
      <c r="M8032" s="549"/>
      <c r="N8032" s="549"/>
      <c r="O8032" s="549"/>
      <c r="P8032" s="549"/>
      <c r="Q8032" s="497">
        <f>19+20+6+27</f>
        <v>72</v>
      </c>
    </row>
    <row r="8033" spans="1:18" ht="17.399999999999999">
      <c r="A8033" s="549"/>
      <c r="B8033" s="549"/>
      <c r="C8033" s="549"/>
      <c r="D8033" s="549"/>
      <c r="E8033" s="549"/>
      <c r="F8033" s="549"/>
      <c r="G8033" s="549" t="s">
        <v>21</v>
      </c>
      <c r="H8033" s="549" t="s">
        <v>97</v>
      </c>
      <c r="I8033" s="558">
        <v>10.199999999999999</v>
      </c>
      <c r="J8033" s="567">
        <v>11.6</v>
      </c>
      <c r="K8033" s="848">
        <v>76</v>
      </c>
      <c r="L8033" s="552">
        <f t="shared" si="1684"/>
        <v>8.9923199999999994</v>
      </c>
      <c r="M8033" s="549"/>
      <c r="N8033" s="549"/>
      <c r="O8033" s="549"/>
      <c r="P8033" s="549"/>
      <c r="Q8033" s="497">
        <v>1</v>
      </c>
    </row>
    <row r="8034" spans="1:18" ht="17.399999999999999">
      <c r="A8034" s="549"/>
      <c r="B8034" s="549"/>
      <c r="C8034" s="549"/>
      <c r="D8034" s="549"/>
      <c r="E8034" s="549"/>
      <c r="F8034" s="549"/>
      <c r="G8034" s="549" t="s">
        <v>21</v>
      </c>
      <c r="H8034" s="549" t="s">
        <v>97</v>
      </c>
      <c r="I8034" s="558">
        <v>10.199999999999999</v>
      </c>
      <c r="J8034" s="567">
        <v>11.75</v>
      </c>
      <c r="K8034" s="848">
        <v>20</v>
      </c>
      <c r="L8034" s="552">
        <f t="shared" si="1684"/>
        <v>2.3969999999999998</v>
      </c>
      <c r="M8034" s="549"/>
      <c r="N8034" s="549"/>
      <c r="O8034" s="549"/>
      <c r="P8034" s="549"/>
      <c r="Q8034" s="497">
        <v>1</v>
      </c>
    </row>
    <row r="8035" spans="1:18" ht="17.399999999999999">
      <c r="A8035" s="549"/>
      <c r="B8035" s="549"/>
      <c r="C8035" s="549"/>
      <c r="D8035" s="549"/>
      <c r="E8035" s="549"/>
      <c r="F8035" s="549"/>
      <c r="G8035" s="549" t="s">
        <v>21</v>
      </c>
      <c r="H8035" s="549" t="s">
        <v>97</v>
      </c>
      <c r="I8035" s="558">
        <v>10.199999999999999</v>
      </c>
      <c r="J8035" s="567">
        <v>11.9</v>
      </c>
      <c r="K8035" s="848">
        <v>13</v>
      </c>
      <c r="L8035" s="552">
        <f t="shared" si="1684"/>
        <v>1.5779400000000001</v>
      </c>
      <c r="M8035" s="549"/>
      <c r="N8035" s="549"/>
      <c r="O8035" s="549"/>
      <c r="P8035" s="549"/>
      <c r="Q8035" s="497">
        <v>7</v>
      </c>
    </row>
    <row r="8036" spans="1:18" ht="17.399999999999999">
      <c r="A8036" s="549"/>
      <c r="B8036" s="549"/>
      <c r="C8036" s="549"/>
      <c r="D8036" s="549"/>
      <c r="E8036" s="549"/>
      <c r="F8036" s="549"/>
      <c r="G8036" s="549"/>
      <c r="H8036" s="549"/>
      <c r="I8036" s="558"/>
      <c r="J8036" s="567"/>
      <c r="K8036" s="648">
        <f t="shared" ref="K8036:L8036" si="1685">SUM(K8026:K8035)</f>
        <v>935</v>
      </c>
      <c r="L8036" s="567">
        <f t="shared" si="1685"/>
        <v>78.724619999999987</v>
      </c>
      <c r="M8036" s="549"/>
      <c r="N8036" s="549"/>
      <c r="O8036" s="549"/>
      <c r="P8036" s="549"/>
    </row>
    <row r="8037" spans="1:18" s="497" customFormat="1" ht="17.399999999999999">
      <c r="A8037" s="549"/>
      <c r="B8037" s="549"/>
      <c r="C8037" s="549"/>
      <c r="D8037" s="549"/>
      <c r="E8037" s="549"/>
      <c r="F8037" s="549"/>
      <c r="G8037" s="549"/>
      <c r="H8037" s="549"/>
      <c r="I8037" s="558"/>
      <c r="J8037" s="567"/>
      <c r="K8037" s="648"/>
      <c r="L8037" s="567"/>
      <c r="M8037" s="549"/>
      <c r="N8037" s="549"/>
      <c r="O8037" s="549"/>
      <c r="P8037" s="549"/>
    </row>
    <row r="8038" spans="1:18" ht="17.399999999999999">
      <c r="A8038" s="547" t="s">
        <v>361</v>
      </c>
      <c r="B8038" s="547" t="s">
        <v>811</v>
      </c>
      <c r="C8038" s="547" t="s">
        <v>446</v>
      </c>
      <c r="D8038" s="813" t="s">
        <v>447</v>
      </c>
      <c r="E8038" s="547" t="s">
        <v>359</v>
      </c>
      <c r="F8038" s="1225">
        <v>12</v>
      </c>
      <c r="G8038" s="792" t="s">
        <v>21</v>
      </c>
      <c r="H8038" s="1247" t="s">
        <v>97</v>
      </c>
      <c r="I8038" s="773">
        <v>10.199999999999999</v>
      </c>
      <c r="J8038" s="774">
        <v>10.5</v>
      </c>
      <c r="K8038" s="775">
        <v>10</v>
      </c>
      <c r="L8038" s="552">
        <f t="shared" ref="L8038:L8041" si="1686">(I8038*J8038*K8038/1000)</f>
        <v>1.071</v>
      </c>
      <c r="M8038" s="549"/>
      <c r="N8038" s="549"/>
      <c r="O8038" s="549"/>
      <c r="P8038" s="549"/>
      <c r="Q8038" s="497">
        <v>5</v>
      </c>
      <c r="R8038" s="497" t="s">
        <v>925</v>
      </c>
    </row>
    <row r="8039" spans="1:18" ht="17.399999999999999">
      <c r="A8039" s="550"/>
      <c r="B8039" s="550"/>
      <c r="C8039" s="550"/>
      <c r="D8039" s="550"/>
      <c r="E8039" s="1225"/>
      <c r="F8039" s="550"/>
      <c r="G8039" s="792" t="s">
        <v>21</v>
      </c>
      <c r="H8039" s="1227" t="s">
        <v>97</v>
      </c>
      <c r="I8039" s="773">
        <v>10.199999999999999</v>
      </c>
      <c r="J8039" s="774">
        <v>11</v>
      </c>
      <c r="K8039" s="775">
        <v>22</v>
      </c>
      <c r="L8039" s="552">
        <f t="shared" si="1686"/>
        <v>2.4683999999999995</v>
      </c>
      <c r="M8039" s="549"/>
      <c r="N8039" s="549"/>
      <c r="O8039" s="549"/>
      <c r="P8039" s="549"/>
      <c r="Q8039" s="497">
        <f>8+1+2+4</f>
        <v>15</v>
      </c>
      <c r="R8039" s="497" t="s">
        <v>926</v>
      </c>
    </row>
    <row r="8040" spans="1:18" ht="17.399999999999999">
      <c r="A8040" s="549"/>
      <c r="B8040" s="549"/>
      <c r="C8040" s="549"/>
      <c r="D8040" s="549"/>
      <c r="E8040" s="549"/>
      <c r="F8040" s="549"/>
      <c r="G8040" s="792" t="s">
        <v>21</v>
      </c>
      <c r="H8040" s="1227" t="s">
        <v>97</v>
      </c>
      <c r="I8040" s="773">
        <v>10.199999999999999</v>
      </c>
      <c r="J8040" s="774">
        <v>11.2</v>
      </c>
      <c r="K8040" s="775">
        <v>37</v>
      </c>
      <c r="L8040" s="552">
        <f t="shared" si="1686"/>
        <v>4.2268799999999995</v>
      </c>
      <c r="M8040" s="549"/>
      <c r="N8040" s="549"/>
      <c r="O8040" s="549"/>
      <c r="P8040" s="549"/>
      <c r="Q8040" s="497">
        <f>20+4+10</f>
        <v>34</v>
      </c>
      <c r="R8040" s="497" t="s">
        <v>933</v>
      </c>
    </row>
    <row r="8041" spans="1:18" ht="17.399999999999999">
      <c r="A8041" s="549"/>
      <c r="B8041" s="549"/>
      <c r="C8041" s="549"/>
      <c r="D8041" s="549"/>
      <c r="E8041" s="549"/>
      <c r="F8041" s="549"/>
      <c r="G8041" s="792" t="s">
        <v>21</v>
      </c>
      <c r="H8041" s="1227" t="s">
        <v>97</v>
      </c>
      <c r="I8041" s="773">
        <v>10.199999999999999</v>
      </c>
      <c r="J8041" s="774">
        <v>11.6</v>
      </c>
      <c r="K8041" s="775">
        <v>16</v>
      </c>
      <c r="L8041" s="552">
        <f t="shared" si="1686"/>
        <v>1.8931199999999999</v>
      </c>
      <c r="M8041" s="549"/>
      <c r="N8041" s="549"/>
      <c r="O8041" s="549"/>
      <c r="P8041" s="549"/>
      <c r="Q8041" s="497">
        <f>3+9+1</f>
        <v>13</v>
      </c>
    </row>
    <row r="8042" spans="1:18" ht="17.399999999999999">
      <c r="A8042" s="549"/>
      <c r="B8042" s="549"/>
      <c r="C8042" s="549"/>
      <c r="D8042" s="549"/>
      <c r="E8042" s="549"/>
      <c r="F8042" s="549"/>
      <c r="G8042" s="792"/>
      <c r="H8042" s="1227"/>
      <c r="I8042" s="773"/>
      <c r="J8042" s="774"/>
      <c r="K8042" s="775">
        <f t="shared" ref="K8042:L8042" si="1687">SUM(K8038:K8041)</f>
        <v>85</v>
      </c>
      <c r="L8042" s="1226">
        <f t="shared" si="1687"/>
        <v>9.6593999999999998</v>
      </c>
      <c r="M8042" s="549"/>
      <c r="N8042" s="549"/>
      <c r="O8042" s="549"/>
      <c r="P8042" s="549"/>
    </row>
    <row r="8043" spans="1:18" s="497" customFormat="1" ht="17.399999999999999">
      <c r="A8043" s="549"/>
      <c r="B8043" s="549"/>
      <c r="C8043" s="549"/>
      <c r="D8043" s="549"/>
      <c r="E8043" s="549"/>
      <c r="F8043" s="549"/>
      <c r="G8043" s="792"/>
      <c r="H8043" s="1227"/>
      <c r="I8043" s="773"/>
      <c r="J8043" s="774"/>
      <c r="K8043" s="775"/>
      <c r="L8043" s="1226"/>
      <c r="M8043" s="549"/>
      <c r="N8043" s="549"/>
      <c r="O8043" s="549"/>
      <c r="P8043" s="549"/>
    </row>
    <row r="8044" spans="1:18" ht="17.399999999999999">
      <c r="A8044" s="547" t="s">
        <v>495</v>
      </c>
      <c r="B8044" s="852" t="s">
        <v>860</v>
      </c>
      <c r="C8044" s="547" t="s">
        <v>446</v>
      </c>
      <c r="D8044" s="813" t="s">
        <v>447</v>
      </c>
      <c r="E8044" s="547" t="s">
        <v>359</v>
      </c>
      <c r="F8044" s="1225">
        <v>12</v>
      </c>
      <c r="G8044" s="549" t="s">
        <v>21</v>
      </c>
      <c r="H8044" s="599" t="s">
        <v>97</v>
      </c>
      <c r="I8044" s="558">
        <v>10.199999999999999</v>
      </c>
      <c r="J8044" s="567">
        <v>10</v>
      </c>
      <c r="K8044" s="648">
        <v>32</v>
      </c>
      <c r="L8044" s="552">
        <f t="shared" ref="L8044:L8046" si="1688">(I8044*J8044*K8044/1000)</f>
        <v>3.2639999999999998</v>
      </c>
      <c r="M8044" s="549"/>
      <c r="N8044" s="549"/>
      <c r="O8044" s="549"/>
      <c r="P8044" s="549"/>
      <c r="Q8044" s="497">
        <v>15</v>
      </c>
      <c r="R8044" s="497" t="s">
        <v>927</v>
      </c>
    </row>
    <row r="8045" spans="1:18" ht="17.399999999999999">
      <c r="A8045" s="550"/>
      <c r="B8045" s="550"/>
      <c r="C8045" s="550"/>
      <c r="D8045" s="550"/>
      <c r="E8045" s="1225"/>
      <c r="F8045" s="550"/>
      <c r="G8045" s="549" t="s">
        <v>21</v>
      </c>
      <c r="H8045" s="549" t="s">
        <v>97</v>
      </c>
      <c r="I8045" s="558">
        <v>10.199999999999999</v>
      </c>
      <c r="J8045" s="567">
        <v>10.5</v>
      </c>
      <c r="K8045" s="648">
        <v>30</v>
      </c>
      <c r="L8045" s="552">
        <f t="shared" si="1688"/>
        <v>3.2130000000000001</v>
      </c>
      <c r="M8045" s="549"/>
      <c r="N8045" s="549"/>
      <c r="O8045" s="549"/>
      <c r="P8045" s="549"/>
      <c r="Q8045" s="497">
        <f>9+13</f>
        <v>22</v>
      </c>
      <c r="R8045" s="497" t="s">
        <v>934</v>
      </c>
    </row>
    <row r="8046" spans="1:18" ht="17.399999999999999">
      <c r="A8046" s="549"/>
      <c r="B8046" s="549"/>
      <c r="C8046" s="549"/>
      <c r="D8046" s="549"/>
      <c r="E8046" s="549"/>
      <c r="F8046" s="549"/>
      <c r="G8046" s="549" t="s">
        <v>21</v>
      </c>
      <c r="H8046" s="549" t="s">
        <v>97</v>
      </c>
      <c r="I8046" s="558">
        <v>10.199999999999999</v>
      </c>
      <c r="J8046" s="567">
        <v>12</v>
      </c>
      <c r="K8046" s="648">
        <v>1</v>
      </c>
      <c r="L8046" s="552">
        <f t="shared" si="1688"/>
        <v>0.12239999999999999</v>
      </c>
      <c r="M8046" s="549"/>
      <c r="N8046" s="549"/>
      <c r="O8046" s="549"/>
      <c r="P8046" s="549"/>
    </row>
    <row r="8047" spans="1:18" ht="17.399999999999999">
      <c r="A8047" s="549"/>
      <c r="B8047" s="549"/>
      <c r="C8047" s="549"/>
      <c r="D8047" s="549"/>
      <c r="E8047" s="549"/>
      <c r="F8047" s="549"/>
      <c r="G8047" s="549"/>
      <c r="H8047" s="549"/>
      <c r="I8047" s="558"/>
      <c r="J8047" s="567"/>
      <c r="K8047" s="648">
        <f t="shared" ref="K8047:L8047" si="1689">SUM(K8044:K8046)</f>
        <v>63</v>
      </c>
      <c r="L8047" s="567">
        <f t="shared" si="1689"/>
        <v>6.5994000000000002</v>
      </c>
      <c r="M8047" s="549"/>
      <c r="N8047" s="549"/>
      <c r="O8047" s="549"/>
      <c r="P8047" s="549"/>
    </row>
    <row r="8048" spans="1:18" ht="17.399999999999999">
      <c r="A8048" s="549"/>
      <c r="B8048" s="549"/>
      <c r="C8048" s="549"/>
      <c r="D8048" s="549"/>
      <c r="E8048" s="549"/>
      <c r="F8048" s="549"/>
      <c r="G8048" s="549"/>
      <c r="H8048" s="549"/>
      <c r="I8048" s="560"/>
      <c r="J8048" s="549"/>
      <c r="K8048" s="561"/>
      <c r="L8048" s="560"/>
      <c r="M8048" s="549"/>
      <c r="N8048" s="549"/>
      <c r="O8048" s="549"/>
      <c r="P8048" s="549"/>
    </row>
    <row r="8049" spans="1:18" ht="17.399999999999999">
      <c r="A8049" s="547" t="s">
        <v>495</v>
      </c>
      <c r="B8049" s="852" t="s">
        <v>859</v>
      </c>
      <c r="C8049" s="547" t="s">
        <v>446</v>
      </c>
      <c r="D8049" s="813" t="s">
        <v>447</v>
      </c>
      <c r="E8049" s="547" t="s">
        <v>359</v>
      </c>
      <c r="F8049" s="1225">
        <v>12</v>
      </c>
      <c r="G8049" s="549" t="s">
        <v>21</v>
      </c>
      <c r="H8049" s="599" t="s">
        <v>97</v>
      </c>
      <c r="I8049" s="558">
        <v>10.199999999999999</v>
      </c>
      <c r="J8049" s="567">
        <v>7.5</v>
      </c>
      <c r="K8049" s="648">
        <v>24</v>
      </c>
      <c r="L8049" s="552">
        <f t="shared" ref="L8049:L8053" si="1690">(I8049*J8049*K8049/1000)</f>
        <v>1.8360000000000001</v>
      </c>
      <c r="M8049" s="549"/>
      <c r="N8049" s="549"/>
      <c r="O8049" s="549"/>
      <c r="P8049" s="549"/>
      <c r="Q8049" s="497">
        <v>3</v>
      </c>
      <c r="R8049" s="497" t="s">
        <v>928</v>
      </c>
    </row>
    <row r="8050" spans="1:18" ht="17.399999999999999">
      <c r="A8050" s="550"/>
      <c r="B8050" s="550"/>
      <c r="C8050" s="550"/>
      <c r="D8050" s="550"/>
      <c r="E8050" s="1225"/>
      <c r="F8050" s="550"/>
      <c r="G8050" s="549" t="s">
        <v>21</v>
      </c>
      <c r="H8050" s="549" t="s">
        <v>97</v>
      </c>
      <c r="I8050" s="558">
        <v>10.199999999999999</v>
      </c>
      <c r="J8050" s="567">
        <v>8.35</v>
      </c>
      <c r="K8050" s="648">
        <v>12</v>
      </c>
      <c r="L8050" s="552">
        <f t="shared" si="1690"/>
        <v>1.0220399999999998</v>
      </c>
      <c r="M8050" s="549"/>
      <c r="N8050" s="549"/>
      <c r="O8050" s="549"/>
      <c r="P8050" s="549"/>
      <c r="Q8050" s="497">
        <f>3+4</f>
        <v>7</v>
      </c>
      <c r="R8050" s="497" t="s">
        <v>929</v>
      </c>
    </row>
    <row r="8051" spans="1:18" ht="17.399999999999999">
      <c r="A8051" s="549"/>
      <c r="B8051" s="549"/>
      <c r="C8051" s="549"/>
      <c r="D8051" s="549"/>
      <c r="E8051" s="549"/>
      <c r="F8051" s="549"/>
      <c r="G8051" s="549" t="s">
        <v>21</v>
      </c>
      <c r="H8051" s="549" t="s">
        <v>97</v>
      </c>
      <c r="I8051" s="558">
        <v>10.199999999999999</v>
      </c>
      <c r="J8051" s="567">
        <v>9.1999999999999993</v>
      </c>
      <c r="K8051" s="648">
        <v>24</v>
      </c>
      <c r="L8051" s="552">
        <f t="shared" si="1690"/>
        <v>2.2521599999999999</v>
      </c>
      <c r="M8051" s="549"/>
      <c r="N8051" s="549"/>
      <c r="O8051" s="549"/>
      <c r="P8051" s="549"/>
      <c r="Q8051" s="497">
        <v>5</v>
      </c>
      <c r="R8051" s="497" t="s">
        <v>935</v>
      </c>
    </row>
    <row r="8052" spans="1:18" ht="17.399999999999999">
      <c r="A8052" s="549"/>
      <c r="B8052" s="549"/>
      <c r="C8052" s="549"/>
      <c r="D8052" s="549"/>
      <c r="E8052" s="549"/>
      <c r="F8052" s="549"/>
      <c r="G8052" s="549" t="s">
        <v>21</v>
      </c>
      <c r="H8052" s="549" t="s">
        <v>97</v>
      </c>
      <c r="I8052" s="558">
        <v>10.199999999999999</v>
      </c>
      <c r="J8052" s="567">
        <v>10</v>
      </c>
      <c r="K8052" s="648">
        <v>186</v>
      </c>
      <c r="L8052" s="552">
        <f t="shared" si="1690"/>
        <v>18.972000000000001</v>
      </c>
      <c r="M8052" s="549"/>
      <c r="N8052" s="549"/>
      <c r="O8052" s="549"/>
      <c r="P8052" s="549"/>
      <c r="Q8052" s="497">
        <f>20+19+18</f>
        <v>57</v>
      </c>
    </row>
    <row r="8053" spans="1:18" ht="17.399999999999999">
      <c r="A8053" s="549"/>
      <c r="B8053" s="549"/>
      <c r="C8053" s="549"/>
      <c r="D8053" s="549"/>
      <c r="E8053" s="549"/>
      <c r="F8053" s="549"/>
      <c r="G8053" s="549" t="s">
        <v>21</v>
      </c>
      <c r="H8053" s="549" t="s">
        <v>97</v>
      </c>
      <c r="I8053" s="558">
        <v>10.199999999999999</v>
      </c>
      <c r="J8053" s="567">
        <v>12</v>
      </c>
      <c r="K8053" s="648">
        <v>125</v>
      </c>
      <c r="L8053" s="552">
        <f t="shared" si="1690"/>
        <v>15.299999999999999</v>
      </c>
      <c r="M8053" s="549"/>
      <c r="N8053" s="549"/>
      <c r="O8053" s="549"/>
      <c r="P8053" s="549"/>
      <c r="Q8053" s="497">
        <f>20+20+13+7+2</f>
        <v>62</v>
      </c>
    </row>
    <row r="8054" spans="1:18" ht="17.399999999999999">
      <c r="A8054" s="549"/>
      <c r="B8054" s="549"/>
      <c r="C8054" s="549"/>
      <c r="D8054" s="549"/>
      <c r="E8054" s="549"/>
      <c r="F8054" s="549"/>
      <c r="G8054" s="549"/>
      <c r="H8054" s="549"/>
      <c r="I8054" s="558"/>
      <c r="J8054" s="567"/>
      <c r="K8054" s="648">
        <f t="shared" ref="K8054:L8054" si="1691">SUM(K8049:K8053)</f>
        <v>371</v>
      </c>
      <c r="L8054" s="567">
        <f t="shared" si="1691"/>
        <v>39.382199999999997</v>
      </c>
      <c r="M8054" s="549"/>
      <c r="N8054" s="549"/>
      <c r="O8054" s="549"/>
      <c r="P8054" s="549"/>
    </row>
    <row r="8055" spans="1:18" s="497" customFormat="1" ht="17.399999999999999">
      <c r="A8055" s="549"/>
      <c r="B8055" s="549"/>
      <c r="C8055" s="549"/>
      <c r="D8055" s="549"/>
      <c r="E8055" s="549"/>
      <c r="F8055" s="549"/>
      <c r="G8055" s="549"/>
      <c r="H8055" s="549"/>
      <c r="I8055" s="558"/>
      <c r="J8055" s="567"/>
      <c r="K8055" s="648"/>
      <c r="L8055" s="567"/>
      <c r="M8055" s="549"/>
      <c r="N8055" s="549"/>
      <c r="O8055" s="549"/>
      <c r="P8055" s="549"/>
    </row>
    <row r="8056" spans="1:18" ht="17.399999999999999">
      <c r="A8056" s="547" t="s">
        <v>495</v>
      </c>
      <c r="B8056" s="852" t="s">
        <v>862</v>
      </c>
      <c r="C8056" s="547" t="s">
        <v>446</v>
      </c>
      <c r="D8056" s="813" t="s">
        <v>447</v>
      </c>
      <c r="E8056" s="547" t="s">
        <v>359</v>
      </c>
      <c r="F8056" s="1225">
        <v>12</v>
      </c>
      <c r="G8056" s="549" t="s">
        <v>21</v>
      </c>
      <c r="H8056" s="599" t="s">
        <v>97</v>
      </c>
      <c r="I8056" s="558">
        <v>10.199999999999999</v>
      </c>
      <c r="J8056" s="567">
        <v>7.7</v>
      </c>
      <c r="K8056" s="848">
        <v>26</v>
      </c>
      <c r="L8056" s="552">
        <f t="shared" ref="L8056:L8058" si="1692">(I8056*J8056*K8056/1000)</f>
        <v>2.0420399999999996</v>
      </c>
      <c r="M8056" s="549"/>
      <c r="N8056" s="549"/>
      <c r="O8056" s="549"/>
      <c r="P8056" s="549"/>
      <c r="R8056" s="497" t="s">
        <v>930</v>
      </c>
    </row>
    <row r="8057" spans="1:18" ht="17.399999999999999">
      <c r="A8057" s="550"/>
      <c r="B8057" s="550"/>
      <c r="C8057" s="550"/>
      <c r="D8057" s="550"/>
      <c r="E8057" s="1225"/>
      <c r="F8057" s="550"/>
      <c r="G8057" s="549" t="s">
        <v>21</v>
      </c>
      <c r="H8057" s="549" t="s">
        <v>97</v>
      </c>
      <c r="I8057" s="558">
        <v>10.199999999999999</v>
      </c>
      <c r="J8057" s="567">
        <v>10.5</v>
      </c>
      <c r="K8057" s="848">
        <v>26</v>
      </c>
      <c r="L8057" s="552">
        <f t="shared" si="1692"/>
        <v>2.7845999999999997</v>
      </c>
      <c r="M8057" s="549"/>
      <c r="N8057" s="549"/>
      <c r="O8057" s="549"/>
      <c r="P8057" s="549"/>
      <c r="R8057" s="497" t="s">
        <v>936</v>
      </c>
    </row>
    <row r="8058" spans="1:18" ht="17.399999999999999">
      <c r="A8058" s="549"/>
      <c r="B8058" s="549"/>
      <c r="C8058" s="549"/>
      <c r="D8058" s="549"/>
      <c r="E8058" s="549"/>
      <c r="F8058" s="549"/>
      <c r="G8058" s="549" t="s">
        <v>21</v>
      </c>
      <c r="H8058" s="549" t="s">
        <v>97</v>
      </c>
      <c r="I8058" s="558">
        <v>10.199999999999999</v>
      </c>
      <c r="J8058" s="567">
        <v>11</v>
      </c>
      <c r="K8058" s="848">
        <v>26</v>
      </c>
      <c r="L8058" s="552">
        <f t="shared" si="1692"/>
        <v>2.9171999999999998</v>
      </c>
      <c r="M8058" s="549"/>
      <c r="N8058" s="549"/>
      <c r="O8058" s="549"/>
      <c r="P8058" s="549"/>
    </row>
    <row r="8059" spans="1:18" ht="17.399999999999999">
      <c r="A8059" s="549"/>
      <c r="B8059" s="549"/>
      <c r="C8059" s="549"/>
      <c r="D8059" s="549"/>
      <c r="E8059" s="549"/>
      <c r="F8059" s="549"/>
      <c r="G8059" s="549"/>
      <c r="H8059" s="549"/>
      <c r="I8059" s="558"/>
      <c r="J8059" s="567"/>
      <c r="K8059" s="648">
        <f>SUM(K8056:K8058)</f>
        <v>78</v>
      </c>
      <c r="L8059" s="567">
        <f>SUM(L8056:L8058)</f>
        <v>7.7438399999999987</v>
      </c>
      <c r="M8059" s="549"/>
      <c r="N8059" s="549"/>
      <c r="O8059" s="549"/>
      <c r="P8059" s="549"/>
    </row>
    <row r="8060" spans="1:18" s="497" customFormat="1" ht="17.399999999999999">
      <c r="A8060" s="549"/>
      <c r="B8060" s="549"/>
      <c r="C8060" s="549"/>
      <c r="D8060" s="549"/>
      <c r="E8060" s="549"/>
      <c r="F8060" s="549"/>
      <c r="G8060" s="549"/>
      <c r="H8060" s="549"/>
      <c r="I8060" s="558"/>
      <c r="J8060" s="567"/>
      <c r="K8060" s="648">
        <f>SUM(K8023:K8059)/2</f>
        <v>1540</v>
      </c>
      <c r="L8060" s="567">
        <f>SUM(L8023:L8059)/2</f>
        <v>142.99889999999999</v>
      </c>
      <c r="M8060" s="549"/>
      <c r="N8060" s="549"/>
      <c r="O8060" s="549"/>
      <c r="P8060" s="549" t="s">
        <v>866</v>
      </c>
    </row>
    <row r="8061" spans="1:18" s="497" customFormat="1" ht="17.399999999999999">
      <c r="A8061" s="549"/>
      <c r="B8061" s="549"/>
      <c r="C8061" s="549"/>
      <c r="D8061" s="549"/>
      <c r="E8061" s="549"/>
      <c r="F8061" s="549"/>
      <c r="G8061" s="549"/>
      <c r="H8061" s="549"/>
      <c r="I8061" s="558"/>
      <c r="J8061" s="567"/>
      <c r="K8061" s="648"/>
      <c r="L8061" s="567"/>
      <c r="M8061" s="549"/>
      <c r="N8061" s="549"/>
      <c r="O8061" s="549"/>
      <c r="P8061" s="549"/>
    </row>
    <row r="8062" spans="1:18" s="497" customFormat="1" ht="17.399999999999999">
      <c r="A8062" s="549"/>
      <c r="B8062" s="549"/>
      <c r="C8062" s="549"/>
      <c r="D8062" s="549"/>
      <c r="E8062" s="549"/>
      <c r="F8062" s="549"/>
      <c r="G8062" s="549"/>
      <c r="H8062" s="549"/>
      <c r="I8062" s="558"/>
      <c r="J8062" s="567"/>
      <c r="K8062" s="648"/>
      <c r="L8062" s="567"/>
      <c r="M8062" s="549"/>
      <c r="N8062" s="549"/>
      <c r="O8062" s="549"/>
      <c r="P8062" s="549"/>
    </row>
    <row r="8063" spans="1:18" ht="17.399999999999999">
      <c r="A8063" s="547" t="s">
        <v>445</v>
      </c>
      <c r="B8063" s="547" t="s">
        <v>857</v>
      </c>
      <c r="C8063" s="547" t="s">
        <v>19</v>
      </c>
      <c r="D8063" s="547" t="s">
        <v>20</v>
      </c>
      <c r="E8063" s="1094" t="s">
        <v>264</v>
      </c>
      <c r="F8063" s="1225">
        <v>13</v>
      </c>
      <c r="G8063" s="549" t="s">
        <v>21</v>
      </c>
      <c r="H8063" s="599" t="s">
        <v>92</v>
      </c>
      <c r="I8063" s="560">
        <v>16.600000000000001</v>
      </c>
      <c r="J8063" s="710">
        <v>7.2</v>
      </c>
      <c r="K8063" s="648">
        <v>9</v>
      </c>
      <c r="L8063" s="552">
        <f>(I8063*J8063*K8063/1000)</f>
        <v>1.07568</v>
      </c>
      <c r="M8063" s="549"/>
      <c r="N8063" s="549"/>
      <c r="O8063" s="549"/>
      <c r="P8063" s="549"/>
      <c r="Q8063" s="497" t="s">
        <v>937</v>
      </c>
    </row>
    <row r="8064" spans="1:18" ht="17.399999999999999">
      <c r="A8064" s="549"/>
      <c r="B8064" s="550" t="s">
        <v>84</v>
      </c>
      <c r="C8064" s="549"/>
      <c r="D8064" s="549"/>
      <c r="E8064" s="549"/>
      <c r="F8064" s="549"/>
      <c r="G8064" s="549"/>
      <c r="H8064" s="650"/>
      <c r="I8064" s="560"/>
      <c r="J8064" s="710"/>
      <c r="K8064" s="648">
        <f t="shared" ref="K8064:L8064" si="1693">SUM(K8063)</f>
        <v>9</v>
      </c>
      <c r="L8064" s="765">
        <f t="shared" si="1693"/>
        <v>1.07568</v>
      </c>
      <c r="M8064" s="549"/>
      <c r="N8064" s="549"/>
      <c r="O8064" s="549"/>
      <c r="P8064" s="549" t="s">
        <v>869</v>
      </c>
    </row>
    <row r="8065" spans="1:17" ht="17.399999999999999">
      <c r="A8065" s="549"/>
      <c r="B8065" s="549"/>
      <c r="C8065" s="549"/>
      <c r="D8065" s="549"/>
      <c r="E8065" s="549"/>
      <c r="F8065" s="549"/>
      <c r="G8065" s="549"/>
      <c r="H8065" s="549"/>
      <c r="I8065" s="560"/>
      <c r="J8065" s="549"/>
      <c r="K8065" s="561"/>
      <c r="L8065" s="560"/>
      <c r="M8065" s="549"/>
      <c r="N8065" s="549"/>
      <c r="O8065" s="549"/>
      <c r="P8065" s="549"/>
    </row>
    <row r="8066" spans="1:17" ht="17.399999999999999">
      <c r="A8066" s="547" t="s">
        <v>495</v>
      </c>
      <c r="B8066" s="852" t="s">
        <v>859</v>
      </c>
      <c r="C8066" s="547" t="s">
        <v>446</v>
      </c>
      <c r="D8066" s="813" t="s">
        <v>447</v>
      </c>
      <c r="E8066" s="547" t="s">
        <v>359</v>
      </c>
      <c r="F8066" s="1225">
        <v>13</v>
      </c>
      <c r="G8066" s="549" t="s">
        <v>21</v>
      </c>
      <c r="H8066" s="599" t="s">
        <v>92</v>
      </c>
      <c r="I8066" s="558">
        <v>16.579999999999998</v>
      </c>
      <c r="J8066" s="567">
        <v>10.8</v>
      </c>
      <c r="K8066" s="648">
        <v>4</v>
      </c>
      <c r="L8066" s="552">
        <f>(I8066*J8066*K8066/1000)</f>
        <v>0.716256</v>
      </c>
      <c r="M8066" s="549"/>
      <c r="N8066" s="549"/>
      <c r="O8066" s="549"/>
      <c r="P8066" s="549"/>
      <c r="Q8066" s="497" t="s">
        <v>937</v>
      </c>
    </row>
    <row r="8067" spans="1:17" ht="17.399999999999999">
      <c r="A8067" s="550"/>
      <c r="B8067" s="550"/>
      <c r="C8067" s="550"/>
      <c r="D8067" s="550"/>
      <c r="E8067" s="1225"/>
      <c r="F8067" s="550"/>
      <c r="G8067" s="549"/>
      <c r="H8067" s="549"/>
      <c r="I8067" s="558"/>
      <c r="J8067" s="567"/>
      <c r="K8067" s="648">
        <f t="shared" ref="K8067:L8067" si="1694">SUM(K8066)</f>
        <v>4</v>
      </c>
      <c r="L8067" s="567">
        <f t="shared" si="1694"/>
        <v>0.716256</v>
      </c>
      <c r="M8067" s="549"/>
      <c r="N8067" s="549"/>
      <c r="O8067" s="549"/>
      <c r="P8067" s="549"/>
    </row>
    <row r="8068" spans="1:17" ht="17.399999999999999">
      <c r="A8068" s="549"/>
      <c r="B8068" s="549"/>
      <c r="C8068" s="549"/>
      <c r="D8068" s="549"/>
      <c r="E8068" s="549"/>
      <c r="F8068" s="549"/>
      <c r="G8068" s="549"/>
      <c r="H8068" s="549"/>
      <c r="I8068" s="560"/>
      <c r="J8068" s="549"/>
      <c r="K8068" s="561"/>
      <c r="L8068" s="560"/>
      <c r="M8068" s="549"/>
      <c r="N8068" s="549"/>
      <c r="O8068" s="549"/>
      <c r="P8068" s="549"/>
    </row>
    <row r="8069" spans="1:17" ht="17.399999999999999">
      <c r="A8069" s="547" t="s">
        <v>495</v>
      </c>
      <c r="B8069" s="852" t="s">
        <v>861</v>
      </c>
      <c r="C8069" s="547" t="s">
        <v>446</v>
      </c>
      <c r="D8069" s="813" t="s">
        <v>447</v>
      </c>
      <c r="E8069" s="547" t="s">
        <v>359</v>
      </c>
      <c r="F8069" s="1225">
        <v>13</v>
      </c>
      <c r="G8069" s="549" t="s">
        <v>21</v>
      </c>
      <c r="H8069" s="599" t="s">
        <v>92</v>
      </c>
      <c r="I8069" s="560">
        <v>16.579999999999998</v>
      </c>
      <c r="J8069" s="710">
        <v>8.75</v>
      </c>
      <c r="K8069" s="648">
        <v>24</v>
      </c>
      <c r="L8069" s="552">
        <f>(I8069*J8069*K8069/1000)</f>
        <v>3.4817999999999998</v>
      </c>
      <c r="M8069" s="549"/>
      <c r="N8069" s="549"/>
      <c r="O8069" s="549"/>
      <c r="P8069" s="549"/>
      <c r="Q8069" s="497" t="s">
        <v>937</v>
      </c>
    </row>
    <row r="8070" spans="1:17" ht="17.399999999999999">
      <c r="A8070" s="550"/>
      <c r="B8070" s="550"/>
      <c r="C8070" s="550"/>
      <c r="D8070" s="550"/>
      <c r="E8070" s="1225"/>
      <c r="F8070" s="550"/>
      <c r="G8070" s="549"/>
      <c r="H8070" s="549"/>
      <c r="I8070" s="560"/>
      <c r="J8070" s="710"/>
      <c r="K8070" s="648">
        <f t="shared" ref="K8070:L8070" si="1695">SUM(K8069)</f>
        <v>24</v>
      </c>
      <c r="L8070" s="552">
        <f t="shared" si="1695"/>
        <v>3.4817999999999998</v>
      </c>
      <c r="M8070" s="549"/>
      <c r="N8070" s="549"/>
      <c r="O8070" s="549"/>
      <c r="P8070" s="549"/>
    </row>
    <row r="8071" spans="1:17" ht="17.399999999999999">
      <c r="A8071" s="549"/>
      <c r="B8071" s="549"/>
      <c r="C8071" s="549"/>
      <c r="D8071" s="549"/>
      <c r="E8071" s="549"/>
      <c r="F8071" s="549"/>
      <c r="G8071" s="549"/>
      <c r="H8071" s="549"/>
      <c r="I8071" s="560"/>
      <c r="J8071" s="549"/>
      <c r="K8071" s="561"/>
      <c r="L8071" s="560"/>
      <c r="M8071" s="549"/>
      <c r="N8071" s="549"/>
      <c r="O8071" s="549"/>
      <c r="P8071" s="549"/>
    </row>
    <row r="8072" spans="1:17" ht="17.399999999999999">
      <c r="A8072" s="547" t="s">
        <v>495</v>
      </c>
      <c r="B8072" s="852" t="s">
        <v>863</v>
      </c>
      <c r="C8072" s="547" t="s">
        <v>446</v>
      </c>
      <c r="D8072" s="813" t="s">
        <v>447</v>
      </c>
      <c r="E8072" s="547" t="s">
        <v>359</v>
      </c>
      <c r="F8072" s="1225">
        <v>13</v>
      </c>
      <c r="G8072" s="549" t="s">
        <v>21</v>
      </c>
      <c r="H8072" s="599" t="s">
        <v>92</v>
      </c>
      <c r="I8072" s="558">
        <v>16.579999999999998</v>
      </c>
      <c r="J8072" s="710">
        <v>11</v>
      </c>
      <c r="K8072" s="648">
        <v>3</v>
      </c>
      <c r="L8072" s="552">
        <f>(I8072*J8072*K8072/1000)</f>
        <v>0.54713999999999996</v>
      </c>
      <c r="M8072" s="549"/>
      <c r="N8072" s="549"/>
      <c r="O8072" s="549"/>
      <c r="P8072" s="549"/>
      <c r="Q8072" s="497" t="s">
        <v>937</v>
      </c>
    </row>
    <row r="8073" spans="1:17" ht="17.399999999999999">
      <c r="A8073" s="550"/>
      <c r="B8073" s="550"/>
      <c r="C8073" s="550"/>
      <c r="D8073" s="550"/>
      <c r="E8073" s="1225"/>
      <c r="F8073" s="550"/>
      <c r="G8073" s="549"/>
      <c r="H8073" s="549"/>
      <c r="I8073" s="560"/>
      <c r="J8073" s="710"/>
      <c r="K8073" s="648">
        <f t="shared" ref="K8073:L8073" si="1696">SUM(K8072)</f>
        <v>3</v>
      </c>
      <c r="L8073" s="765">
        <f t="shared" si="1696"/>
        <v>0.54713999999999996</v>
      </c>
      <c r="M8073" s="549"/>
      <c r="N8073" s="549"/>
      <c r="O8073" s="549"/>
      <c r="P8073" s="549"/>
    </row>
    <row r="8074" spans="1:17" ht="17.399999999999999">
      <c r="A8074" s="549"/>
      <c r="B8074" s="549"/>
      <c r="C8074" s="549"/>
      <c r="D8074" s="549"/>
      <c r="E8074" s="549"/>
      <c r="F8074" s="549"/>
      <c r="G8074" s="549"/>
      <c r="H8074" s="549"/>
      <c r="I8074" s="560"/>
      <c r="J8074" s="549"/>
      <c r="K8074" s="561"/>
      <c r="L8074" s="560"/>
      <c r="M8074" s="549"/>
      <c r="N8074" s="549"/>
      <c r="O8074" s="549"/>
      <c r="P8074" s="549"/>
    </row>
    <row r="8075" spans="1:17" ht="17.399999999999999">
      <c r="A8075" s="547" t="s">
        <v>495</v>
      </c>
      <c r="B8075" s="852" t="s">
        <v>860</v>
      </c>
      <c r="C8075" s="547" t="s">
        <v>446</v>
      </c>
      <c r="D8075" s="813" t="s">
        <v>447</v>
      </c>
      <c r="E8075" s="547" t="s">
        <v>359</v>
      </c>
      <c r="F8075" s="1225">
        <v>13</v>
      </c>
      <c r="G8075" s="549" t="s">
        <v>21</v>
      </c>
      <c r="H8075" s="599" t="s">
        <v>92</v>
      </c>
      <c r="I8075" s="558">
        <v>16.579999999999998</v>
      </c>
      <c r="J8075" s="567">
        <v>6.45</v>
      </c>
      <c r="K8075" s="648">
        <v>12</v>
      </c>
      <c r="L8075" s="552">
        <f t="shared" ref="L8075:L8078" si="1697">(I8075*J8075*K8075/1000)</f>
        <v>1.2832919999999999</v>
      </c>
      <c r="M8075" s="549"/>
      <c r="N8075" s="549"/>
      <c r="O8075" s="549"/>
      <c r="P8075" s="549"/>
      <c r="Q8075" s="497" t="s">
        <v>937</v>
      </c>
    </row>
    <row r="8076" spans="1:17" ht="17.399999999999999">
      <c r="A8076" s="550"/>
      <c r="B8076" s="550"/>
      <c r="C8076" s="550"/>
      <c r="D8076" s="550"/>
      <c r="E8076" s="1225"/>
      <c r="F8076" s="550"/>
      <c r="G8076" s="549" t="s">
        <v>21</v>
      </c>
      <c r="H8076" s="549" t="s">
        <v>92</v>
      </c>
      <c r="I8076" s="558">
        <v>16.579999999999998</v>
      </c>
      <c r="J8076" s="567">
        <v>10</v>
      </c>
      <c r="K8076" s="648">
        <v>23</v>
      </c>
      <c r="L8076" s="552">
        <f t="shared" si="1697"/>
        <v>3.8133999999999997</v>
      </c>
      <c r="M8076" s="549"/>
      <c r="N8076" s="549"/>
      <c r="O8076" s="549"/>
      <c r="P8076" s="549"/>
    </row>
    <row r="8077" spans="1:17" ht="17.399999999999999">
      <c r="A8077" s="549"/>
      <c r="B8077" s="549"/>
      <c r="C8077" s="549"/>
      <c r="D8077" s="549"/>
      <c r="E8077" s="549"/>
      <c r="F8077" s="549"/>
      <c r="G8077" s="549" t="s">
        <v>21</v>
      </c>
      <c r="H8077" s="549" t="s">
        <v>92</v>
      </c>
      <c r="I8077" s="558">
        <v>16.579999999999998</v>
      </c>
      <c r="J8077" s="567">
        <v>10.3</v>
      </c>
      <c r="K8077" s="648">
        <v>18</v>
      </c>
      <c r="L8077" s="552">
        <f t="shared" si="1697"/>
        <v>3.0739319999999997</v>
      </c>
      <c r="M8077" s="549"/>
      <c r="N8077" s="549"/>
      <c r="O8077" s="549"/>
      <c r="P8077" s="549"/>
    </row>
    <row r="8078" spans="1:17" ht="17.399999999999999">
      <c r="A8078" s="549"/>
      <c r="B8078" s="549"/>
      <c r="C8078" s="549"/>
      <c r="D8078" s="549"/>
      <c r="E8078" s="549"/>
      <c r="F8078" s="549"/>
      <c r="G8078" s="549" t="s">
        <v>21</v>
      </c>
      <c r="H8078" s="549" t="s">
        <v>92</v>
      </c>
      <c r="I8078" s="558">
        <v>16.579999999999998</v>
      </c>
      <c r="J8078" s="567">
        <v>12</v>
      </c>
      <c r="K8078" s="648">
        <v>16</v>
      </c>
      <c r="L8078" s="552">
        <f t="shared" si="1697"/>
        <v>3.1833599999999995</v>
      </c>
      <c r="M8078" s="549"/>
      <c r="N8078" s="549"/>
      <c r="O8078" s="549"/>
      <c r="P8078" s="549"/>
    </row>
    <row r="8079" spans="1:17" ht="17.399999999999999">
      <c r="A8079" s="549"/>
      <c r="B8079" s="549"/>
      <c r="C8079" s="549"/>
      <c r="D8079" s="549"/>
      <c r="E8079" s="549"/>
      <c r="F8079" s="549"/>
      <c r="G8079" s="549"/>
      <c r="H8079" s="549"/>
      <c r="I8079" s="558"/>
      <c r="J8079" s="567"/>
      <c r="K8079" s="648">
        <f t="shared" ref="K8079" si="1698">SUM(K8075:K8078)</f>
        <v>69</v>
      </c>
      <c r="L8079" s="567">
        <f>SUM(L8075:L8078)</f>
        <v>11.353983999999997</v>
      </c>
      <c r="M8079" s="549"/>
      <c r="N8079" s="549"/>
      <c r="O8079" s="549"/>
      <c r="P8079" s="549"/>
    </row>
    <row r="8080" spans="1:17" s="497" customFormat="1" ht="17.399999999999999">
      <c r="A8080" s="549"/>
      <c r="B8080" s="549"/>
      <c r="C8080" s="549"/>
      <c r="D8080" s="549"/>
      <c r="E8080" s="549"/>
      <c r="F8080" s="549"/>
      <c r="G8080" s="549"/>
      <c r="H8080" s="549"/>
      <c r="I8080" s="558"/>
      <c r="J8080" s="567"/>
      <c r="K8080" s="648">
        <f>SUM(K8063:K8079)/2</f>
        <v>109</v>
      </c>
      <c r="L8080" s="567">
        <f>SUM(L8063:L8079)/2</f>
        <v>17.174859999999999</v>
      </c>
      <c r="M8080" s="549"/>
      <c r="N8080" s="549"/>
      <c r="O8080" s="549"/>
      <c r="P8080" s="549" t="s">
        <v>868</v>
      </c>
    </row>
    <row r="8081" spans="1:17" s="497" customFormat="1" ht="17.399999999999999">
      <c r="A8081" s="549"/>
      <c r="B8081" s="549"/>
      <c r="C8081" s="549"/>
      <c r="D8081" s="549"/>
      <c r="E8081" s="549"/>
      <c r="F8081" s="549"/>
      <c r="G8081" s="549"/>
      <c r="H8081" s="549"/>
      <c r="I8081" s="558"/>
      <c r="J8081" s="567"/>
      <c r="K8081" s="648"/>
      <c r="L8081" s="567"/>
      <c r="M8081" s="549"/>
      <c r="N8081" s="549"/>
      <c r="O8081" s="549"/>
      <c r="P8081" s="549"/>
    </row>
    <row r="8082" spans="1:17" s="497" customFormat="1" ht="17.399999999999999">
      <c r="A8082" s="549"/>
      <c r="B8082" s="549"/>
      <c r="C8082" s="549"/>
      <c r="D8082" s="549"/>
      <c r="E8082" s="549"/>
      <c r="F8082" s="549"/>
      <c r="G8082" s="549"/>
      <c r="H8082" s="549"/>
      <c r="I8082" s="558"/>
      <c r="J8082" s="567"/>
      <c r="K8082" s="648"/>
      <c r="L8082" s="567"/>
      <c r="M8082" s="549"/>
      <c r="N8082" s="549"/>
      <c r="O8082" s="549"/>
      <c r="P8082" s="549"/>
    </row>
    <row r="8083" spans="1:17" ht="17.399999999999999">
      <c r="A8083" s="547" t="s">
        <v>361</v>
      </c>
      <c r="B8083" s="547" t="s">
        <v>613</v>
      </c>
      <c r="C8083" s="547" t="s">
        <v>446</v>
      </c>
      <c r="D8083" s="813" t="s">
        <v>450</v>
      </c>
      <c r="E8083" s="547" t="s">
        <v>270</v>
      </c>
      <c r="F8083" s="1225">
        <v>12</v>
      </c>
      <c r="G8083" s="549" t="s">
        <v>61</v>
      </c>
      <c r="H8083" s="599" t="s">
        <v>97</v>
      </c>
      <c r="I8083" s="558">
        <v>10.199999999999999</v>
      </c>
      <c r="J8083" s="567">
        <v>7.4</v>
      </c>
      <c r="K8083" s="848">
        <v>108</v>
      </c>
      <c r="L8083" s="552">
        <f t="shared" ref="L8083:L8088" si="1699">(I8083*J8083*K8083/1000)</f>
        <v>8.15184</v>
      </c>
      <c r="M8083" s="549"/>
      <c r="N8083" s="549"/>
      <c r="O8083" s="549"/>
      <c r="P8083" s="549"/>
      <c r="Q8083" s="497" t="s">
        <v>964</v>
      </c>
    </row>
    <row r="8084" spans="1:17" ht="17.399999999999999">
      <c r="A8084" s="550"/>
      <c r="B8084" s="550"/>
      <c r="C8084" s="550"/>
      <c r="D8084" s="550"/>
      <c r="E8084" s="1225"/>
      <c r="F8084" s="550"/>
      <c r="G8084" s="549" t="s">
        <v>61</v>
      </c>
      <c r="H8084" s="549" t="s">
        <v>97</v>
      </c>
      <c r="I8084" s="558">
        <v>10.199999999999999</v>
      </c>
      <c r="J8084" s="567">
        <v>7.6</v>
      </c>
      <c r="K8084" s="848">
        <v>88</v>
      </c>
      <c r="L8084" s="552">
        <f t="shared" si="1699"/>
        <v>6.8217599999999994</v>
      </c>
      <c r="M8084" s="549"/>
      <c r="N8084" s="549"/>
      <c r="O8084" s="549"/>
      <c r="P8084" s="549"/>
    </row>
    <row r="8085" spans="1:17" ht="17.399999999999999">
      <c r="A8085" s="549"/>
      <c r="B8085" s="549"/>
      <c r="C8085" s="549"/>
      <c r="D8085" s="549"/>
      <c r="E8085" s="549"/>
      <c r="F8085" s="549"/>
      <c r="G8085" s="549" t="s">
        <v>61</v>
      </c>
      <c r="H8085" s="549" t="s">
        <v>97</v>
      </c>
      <c r="I8085" s="558">
        <v>10.199999999999999</v>
      </c>
      <c r="J8085" s="567">
        <v>8.1999999999999993</v>
      </c>
      <c r="K8085" s="848">
        <v>108</v>
      </c>
      <c r="L8085" s="552">
        <f t="shared" si="1699"/>
        <v>9.0331199999999985</v>
      </c>
      <c r="M8085" s="549"/>
      <c r="N8085" s="549"/>
      <c r="O8085" s="549"/>
      <c r="P8085" s="549"/>
    </row>
    <row r="8086" spans="1:17" ht="17.399999999999999">
      <c r="A8086" s="549"/>
      <c r="B8086" s="549"/>
      <c r="C8086" s="549"/>
      <c r="D8086" s="549"/>
      <c r="E8086" s="549"/>
      <c r="F8086" s="549"/>
      <c r="G8086" s="549" t="s">
        <v>61</v>
      </c>
      <c r="H8086" s="549" t="s">
        <v>97</v>
      </c>
      <c r="I8086" s="558">
        <v>10.199999999999999</v>
      </c>
      <c r="J8086" s="567">
        <v>10.4</v>
      </c>
      <c r="K8086" s="848">
        <v>54</v>
      </c>
      <c r="L8086" s="552">
        <f t="shared" si="1699"/>
        <v>5.7283200000000001</v>
      </c>
      <c r="M8086" s="549"/>
      <c r="N8086" s="549"/>
      <c r="O8086" s="549"/>
      <c r="P8086" s="549"/>
    </row>
    <row r="8087" spans="1:17" ht="17.399999999999999">
      <c r="A8087" s="549"/>
      <c r="B8087" s="549"/>
      <c r="C8087" s="549"/>
      <c r="D8087" s="549"/>
      <c r="E8087" s="549"/>
      <c r="F8087" s="549"/>
      <c r="G8087" s="549" t="s">
        <v>61</v>
      </c>
      <c r="H8087" s="549" t="s">
        <v>97</v>
      </c>
      <c r="I8087" s="558">
        <v>10.199999999999999</v>
      </c>
      <c r="J8087" s="567">
        <v>11.5</v>
      </c>
      <c r="K8087" s="848">
        <v>44</v>
      </c>
      <c r="L8087" s="552">
        <f t="shared" si="1699"/>
        <v>5.1612</v>
      </c>
      <c r="M8087" s="549"/>
      <c r="N8087" s="549"/>
      <c r="O8087" s="549"/>
      <c r="P8087" s="549"/>
    </row>
    <row r="8088" spans="1:17" ht="17.399999999999999">
      <c r="A8088" s="549"/>
      <c r="B8088" s="549"/>
      <c r="C8088" s="549"/>
      <c r="D8088" s="549"/>
      <c r="E8088" s="549"/>
      <c r="F8088" s="549"/>
      <c r="G8088" s="549" t="s">
        <v>61</v>
      </c>
      <c r="H8088" s="549" t="s">
        <v>97</v>
      </c>
      <c r="I8088" s="558">
        <v>10.199999999999999</v>
      </c>
      <c r="J8088" s="567">
        <v>11.9</v>
      </c>
      <c r="K8088" s="848">
        <v>113</v>
      </c>
      <c r="L8088" s="552">
        <f t="shared" si="1699"/>
        <v>13.715939999999998</v>
      </c>
      <c r="M8088" s="549"/>
      <c r="N8088" s="549"/>
      <c r="O8088" s="549"/>
      <c r="P8088" s="549"/>
    </row>
    <row r="8089" spans="1:17" ht="17.399999999999999">
      <c r="A8089" s="549"/>
      <c r="B8089" s="549"/>
      <c r="C8089" s="549"/>
      <c r="D8089" s="549"/>
      <c r="E8089" s="549"/>
      <c r="F8089" s="549"/>
      <c r="G8089" s="549"/>
      <c r="H8089" s="549"/>
      <c r="I8089" s="558"/>
      <c r="J8089" s="567"/>
      <c r="K8089" s="648">
        <f t="shared" ref="K8089:L8089" si="1700">SUM(K8083:K8088)</f>
        <v>515</v>
      </c>
      <c r="L8089" s="567">
        <f t="shared" si="1700"/>
        <v>48.612179999999995</v>
      </c>
      <c r="M8089" s="549"/>
      <c r="N8089" s="549"/>
      <c r="O8089" s="549"/>
      <c r="P8089" s="549"/>
    </row>
    <row r="8090" spans="1:17" ht="17.399999999999999">
      <c r="A8090" s="549"/>
      <c r="B8090" s="549"/>
      <c r="C8090" s="549"/>
      <c r="D8090" s="549"/>
      <c r="E8090" s="549"/>
      <c r="F8090" s="549"/>
      <c r="G8090" s="549"/>
      <c r="H8090" s="549"/>
      <c r="I8090" s="560"/>
      <c r="J8090" s="549"/>
      <c r="K8090" s="561"/>
      <c r="L8090" s="560"/>
      <c r="M8090" s="549"/>
      <c r="N8090" s="549"/>
      <c r="O8090" s="549"/>
      <c r="P8090" s="549"/>
    </row>
    <row r="8091" spans="1:17" ht="17.399999999999999">
      <c r="A8091" s="547" t="s">
        <v>361</v>
      </c>
      <c r="B8091" s="547" t="s">
        <v>811</v>
      </c>
      <c r="C8091" s="547" t="s">
        <v>446</v>
      </c>
      <c r="D8091" s="813" t="s">
        <v>450</v>
      </c>
      <c r="E8091" s="547" t="s">
        <v>270</v>
      </c>
      <c r="F8091" s="1225">
        <v>12</v>
      </c>
      <c r="G8091" s="792" t="s">
        <v>61</v>
      </c>
      <c r="H8091" s="1247" t="s">
        <v>97</v>
      </c>
      <c r="I8091" s="773">
        <v>10.199999999999999</v>
      </c>
      <c r="J8091" s="774">
        <v>9.6</v>
      </c>
      <c r="K8091" s="775">
        <v>16</v>
      </c>
      <c r="L8091" s="552">
        <f t="shared" ref="L8091:L8093" si="1701">(I8091*J8091*K8091/1000)</f>
        <v>1.5667199999999999</v>
      </c>
      <c r="M8091" s="549"/>
      <c r="N8091" s="549"/>
      <c r="O8091" s="549"/>
      <c r="P8091" s="549"/>
      <c r="Q8091" s="497" t="s">
        <v>964</v>
      </c>
    </row>
    <row r="8092" spans="1:17" ht="17.399999999999999">
      <c r="A8092" s="550"/>
      <c r="B8092" s="550"/>
      <c r="C8092" s="550"/>
      <c r="D8092" s="550"/>
      <c r="E8092" s="1225"/>
      <c r="F8092" s="550"/>
      <c r="G8092" s="792" t="s">
        <v>61</v>
      </c>
      <c r="H8092" s="1227" t="s">
        <v>97</v>
      </c>
      <c r="I8092" s="773">
        <v>10.199999999999999</v>
      </c>
      <c r="J8092" s="774">
        <v>11</v>
      </c>
      <c r="K8092" s="775">
        <v>32</v>
      </c>
      <c r="L8092" s="552">
        <f t="shared" si="1701"/>
        <v>3.5903999999999998</v>
      </c>
      <c r="M8092" s="549"/>
      <c r="N8092" s="549"/>
      <c r="O8092" s="549"/>
      <c r="P8092" s="549"/>
    </row>
    <row r="8093" spans="1:17" ht="17.399999999999999">
      <c r="A8093" s="549"/>
      <c r="B8093" s="549"/>
      <c r="C8093" s="549"/>
      <c r="D8093" s="549"/>
      <c r="E8093" s="549"/>
      <c r="F8093" s="549"/>
      <c r="G8093" s="792" t="s">
        <v>61</v>
      </c>
      <c r="H8093" s="1227" t="s">
        <v>97</v>
      </c>
      <c r="I8093" s="773">
        <v>10.199999999999999</v>
      </c>
      <c r="J8093" s="774">
        <v>11.6</v>
      </c>
      <c r="K8093" s="775">
        <v>32</v>
      </c>
      <c r="L8093" s="552">
        <f t="shared" si="1701"/>
        <v>3.7862399999999998</v>
      </c>
      <c r="M8093" s="549"/>
      <c r="N8093" s="549"/>
      <c r="O8093" s="549"/>
      <c r="P8093" s="549"/>
    </row>
    <row r="8094" spans="1:17" ht="17.399999999999999">
      <c r="A8094" s="549"/>
      <c r="B8094" s="549"/>
      <c r="C8094" s="549"/>
      <c r="D8094" s="549"/>
      <c r="E8094" s="549"/>
      <c r="F8094" s="549"/>
      <c r="G8094" s="792"/>
      <c r="H8094" s="1227"/>
      <c r="I8094" s="773"/>
      <c r="J8094" s="774"/>
      <c r="K8094" s="775">
        <f>SUM(K8091:K8093)</f>
        <v>80</v>
      </c>
      <c r="L8094" s="1226">
        <f>SUM(L8091:L8093)</f>
        <v>8.9433600000000002</v>
      </c>
      <c r="M8094" s="549"/>
      <c r="N8094" s="549"/>
      <c r="O8094" s="549"/>
      <c r="P8094" s="549"/>
    </row>
    <row r="8095" spans="1:17" ht="17.399999999999999">
      <c r="A8095" s="549"/>
      <c r="B8095" s="549"/>
      <c r="C8095" s="549"/>
      <c r="D8095" s="549"/>
      <c r="E8095" s="549"/>
      <c r="F8095" s="549"/>
      <c r="G8095" s="549"/>
      <c r="H8095" s="549"/>
      <c r="I8095" s="560"/>
      <c r="J8095" s="549"/>
      <c r="K8095" s="561"/>
      <c r="L8095" s="560"/>
      <c r="M8095" s="549"/>
      <c r="N8095" s="549"/>
      <c r="O8095" s="549"/>
      <c r="P8095" s="549"/>
    </row>
    <row r="8096" spans="1:17" ht="17.399999999999999">
      <c r="A8096" s="547" t="s">
        <v>495</v>
      </c>
      <c r="B8096" s="852" t="s">
        <v>860</v>
      </c>
      <c r="C8096" s="547" t="s">
        <v>446</v>
      </c>
      <c r="D8096" s="813" t="s">
        <v>450</v>
      </c>
      <c r="E8096" s="547" t="s">
        <v>270</v>
      </c>
      <c r="F8096" s="1225">
        <v>12</v>
      </c>
      <c r="G8096" s="549" t="s">
        <v>61</v>
      </c>
      <c r="H8096" s="599" t="s">
        <v>97</v>
      </c>
      <c r="I8096" s="558">
        <v>10.199999999999999</v>
      </c>
      <c r="J8096" s="567">
        <v>10</v>
      </c>
      <c r="K8096" s="648">
        <v>67</v>
      </c>
      <c r="L8096" s="552">
        <f>(I8096*J8096*K8096/1000)</f>
        <v>6.8339999999999996</v>
      </c>
      <c r="M8096" s="549"/>
      <c r="N8096" s="549"/>
      <c r="O8096" s="549"/>
      <c r="P8096" s="549"/>
      <c r="Q8096" s="497" t="s">
        <v>964</v>
      </c>
    </row>
    <row r="8097" spans="1:17" ht="17.399999999999999">
      <c r="A8097" s="550"/>
      <c r="B8097" s="550"/>
      <c r="C8097" s="550"/>
      <c r="D8097" s="550"/>
      <c r="E8097" s="1225"/>
      <c r="F8097" s="550"/>
      <c r="G8097" s="549"/>
      <c r="H8097" s="549"/>
      <c r="I8097" s="558"/>
      <c r="J8097" s="567"/>
      <c r="K8097" s="648">
        <f t="shared" ref="K8097:L8097" si="1702">SUM(K8096)</f>
        <v>67</v>
      </c>
      <c r="L8097" s="567">
        <f t="shared" si="1702"/>
        <v>6.8339999999999996</v>
      </c>
      <c r="M8097" s="549"/>
      <c r="N8097" s="549"/>
      <c r="O8097" s="549"/>
      <c r="P8097" s="549"/>
    </row>
    <row r="8098" spans="1:17" ht="17.399999999999999">
      <c r="A8098" s="549"/>
      <c r="B8098" s="549"/>
      <c r="C8098" s="549"/>
      <c r="D8098" s="549"/>
      <c r="E8098" s="549"/>
      <c r="F8098" s="549"/>
      <c r="G8098" s="549"/>
      <c r="H8098" s="549"/>
      <c r="I8098" s="560"/>
      <c r="J8098" s="549"/>
      <c r="K8098" s="561"/>
      <c r="L8098" s="560"/>
      <c r="M8098" s="549"/>
      <c r="N8098" s="549"/>
      <c r="O8098" s="549"/>
      <c r="P8098" s="549"/>
    </row>
    <row r="8099" spans="1:17" ht="17.399999999999999">
      <c r="A8099" s="547" t="s">
        <v>495</v>
      </c>
      <c r="B8099" s="852" t="s">
        <v>859</v>
      </c>
      <c r="C8099" s="547" t="s">
        <v>446</v>
      </c>
      <c r="D8099" s="813" t="s">
        <v>450</v>
      </c>
      <c r="E8099" s="547" t="s">
        <v>270</v>
      </c>
      <c r="F8099" s="1225">
        <v>12</v>
      </c>
      <c r="G8099" s="549" t="s">
        <v>61</v>
      </c>
      <c r="H8099" s="599" t="s">
        <v>97</v>
      </c>
      <c r="I8099" s="558">
        <v>10.199999999999999</v>
      </c>
      <c r="J8099" s="567">
        <v>6.5</v>
      </c>
      <c r="K8099" s="648">
        <v>40</v>
      </c>
      <c r="L8099" s="552">
        <f t="shared" ref="L8099:L8100" si="1703">(I8099*J8099*K8099/1000)</f>
        <v>2.6520000000000001</v>
      </c>
      <c r="M8099" s="549"/>
      <c r="N8099" s="549"/>
      <c r="O8099" s="549"/>
      <c r="P8099" s="549"/>
      <c r="Q8099" s="497" t="s">
        <v>964</v>
      </c>
    </row>
    <row r="8100" spans="1:17" ht="17.399999999999999">
      <c r="A8100" s="550"/>
      <c r="B8100" s="550"/>
      <c r="C8100" s="550"/>
      <c r="D8100" s="550"/>
      <c r="E8100" s="1225"/>
      <c r="F8100" s="550"/>
      <c r="G8100" s="549" t="s">
        <v>61</v>
      </c>
      <c r="H8100" s="549" t="s">
        <v>97</v>
      </c>
      <c r="I8100" s="558">
        <v>10.199999999999999</v>
      </c>
      <c r="J8100" s="567">
        <v>11</v>
      </c>
      <c r="K8100" s="648">
        <v>8</v>
      </c>
      <c r="L8100" s="552">
        <f t="shared" si="1703"/>
        <v>0.89759999999999995</v>
      </c>
      <c r="M8100" s="549"/>
      <c r="N8100" s="549"/>
      <c r="O8100" s="549"/>
      <c r="P8100" s="549"/>
    </row>
    <row r="8101" spans="1:17" ht="17.399999999999999">
      <c r="A8101" s="549"/>
      <c r="B8101" s="549"/>
      <c r="C8101" s="549"/>
      <c r="D8101" s="549"/>
      <c r="E8101" s="549"/>
      <c r="F8101" s="549"/>
      <c r="G8101" s="549"/>
      <c r="H8101" s="549"/>
      <c r="I8101" s="558"/>
      <c r="J8101" s="567"/>
      <c r="K8101" s="648">
        <f t="shared" ref="K8101:L8101" si="1704">SUM(K8099:K8100)</f>
        <v>48</v>
      </c>
      <c r="L8101" s="567">
        <f t="shared" si="1704"/>
        <v>3.5495999999999999</v>
      </c>
      <c r="M8101" s="549"/>
      <c r="N8101" s="549"/>
      <c r="O8101" s="549"/>
      <c r="P8101" s="549"/>
    </row>
    <row r="8102" spans="1:17" s="497" customFormat="1" ht="17.399999999999999">
      <c r="A8102" s="549"/>
      <c r="B8102" s="549"/>
      <c r="C8102" s="549"/>
      <c r="D8102" s="549"/>
      <c r="E8102" s="549"/>
      <c r="F8102" s="549"/>
      <c r="G8102" s="549"/>
      <c r="H8102" s="549"/>
      <c r="I8102" s="558"/>
      <c r="J8102" s="567"/>
      <c r="K8102" s="648">
        <f>SUM(K8083:K8101)/2</f>
        <v>710</v>
      </c>
      <c r="L8102" s="567">
        <f>SUM(L8083:L8101)/2</f>
        <v>67.939139999999995</v>
      </c>
      <c r="M8102" s="549"/>
      <c r="N8102" s="549"/>
      <c r="O8102" s="549"/>
      <c r="P8102" s="549" t="s">
        <v>870</v>
      </c>
    </row>
    <row r="8103" spans="1:17" s="497" customFormat="1" ht="17.399999999999999">
      <c r="A8103" s="549"/>
      <c r="B8103" s="549"/>
      <c r="C8103" s="549"/>
      <c r="D8103" s="549"/>
      <c r="E8103" s="549"/>
      <c r="F8103" s="549"/>
      <c r="G8103" s="549"/>
      <c r="H8103" s="549"/>
      <c r="I8103" s="558"/>
      <c r="J8103" s="567"/>
      <c r="K8103" s="648"/>
      <c r="L8103" s="567"/>
      <c r="M8103" s="549"/>
      <c r="N8103" s="549"/>
      <c r="O8103" s="549"/>
      <c r="P8103" s="549"/>
    </row>
    <row r="8104" spans="1:17" s="497" customFormat="1" ht="17.399999999999999">
      <c r="A8104" s="549"/>
      <c r="B8104" s="549"/>
      <c r="C8104" s="549"/>
      <c r="D8104" s="549"/>
      <c r="E8104" s="549"/>
      <c r="F8104" s="549"/>
      <c r="G8104" s="549"/>
      <c r="H8104" s="549"/>
      <c r="I8104" s="558"/>
      <c r="J8104" s="567"/>
      <c r="K8104" s="648"/>
      <c r="L8104" s="567"/>
      <c r="M8104" s="549"/>
      <c r="N8104" s="549"/>
      <c r="O8104" s="549"/>
      <c r="P8104" s="549"/>
    </row>
    <row r="8105" spans="1:17" ht="17.399999999999999">
      <c r="A8105" s="547" t="s">
        <v>495</v>
      </c>
      <c r="B8105" s="852" t="s">
        <v>859</v>
      </c>
      <c r="C8105" s="547" t="s">
        <v>446</v>
      </c>
      <c r="D8105" s="813" t="s">
        <v>450</v>
      </c>
      <c r="E8105" s="547" t="s">
        <v>270</v>
      </c>
      <c r="F8105" s="1225">
        <v>12</v>
      </c>
      <c r="G8105" s="549" t="s">
        <v>61</v>
      </c>
      <c r="H8105" s="599" t="s">
        <v>98</v>
      </c>
      <c r="I8105" s="558">
        <v>11.8</v>
      </c>
      <c r="J8105" s="567">
        <v>11</v>
      </c>
      <c r="K8105" s="648">
        <v>4</v>
      </c>
      <c r="L8105" s="552">
        <f>(I8105*J8105*K8105/1000)</f>
        <v>0.51919999999999999</v>
      </c>
      <c r="M8105" s="549"/>
      <c r="N8105" s="549"/>
      <c r="O8105" s="549"/>
      <c r="P8105" s="549"/>
      <c r="Q8105" s="497" t="s">
        <v>966</v>
      </c>
    </row>
    <row r="8106" spans="1:17" ht="17.399999999999999">
      <c r="A8106" s="550"/>
      <c r="B8106" s="550"/>
      <c r="C8106" s="550"/>
      <c r="D8106" s="550"/>
      <c r="E8106" s="1225"/>
      <c r="F8106" s="550"/>
      <c r="G8106" s="549"/>
      <c r="H8106" s="549"/>
      <c r="I8106" s="558"/>
      <c r="J8106" s="567"/>
      <c r="K8106" s="648">
        <f t="shared" ref="K8106:L8106" si="1705">SUM(K8105)</f>
        <v>4</v>
      </c>
      <c r="L8106" s="567">
        <f t="shared" si="1705"/>
        <v>0.51919999999999999</v>
      </c>
      <c r="M8106" s="549"/>
      <c r="N8106" s="549"/>
      <c r="O8106" s="549"/>
      <c r="P8106" s="549" t="s">
        <v>871</v>
      </c>
    </row>
    <row r="8107" spans="1:17" s="497" customFormat="1" ht="17.399999999999999">
      <c r="A8107" s="550"/>
      <c r="B8107" s="550"/>
      <c r="C8107" s="550"/>
      <c r="D8107" s="550"/>
      <c r="E8107" s="1225"/>
      <c r="F8107" s="550"/>
      <c r="G8107" s="549"/>
      <c r="H8107" s="549"/>
      <c r="I8107" s="558"/>
      <c r="J8107" s="567"/>
      <c r="K8107" s="648"/>
      <c r="L8107" s="567"/>
      <c r="M8107" s="549"/>
      <c r="N8107" s="549"/>
      <c r="O8107" s="549"/>
      <c r="P8107" s="549"/>
    </row>
    <row r="8108" spans="1:17" s="497" customFormat="1" ht="17.399999999999999">
      <c r="A8108" s="550"/>
      <c r="B8108" s="550"/>
      <c r="C8108" s="550"/>
      <c r="D8108" s="550"/>
      <c r="E8108" s="1225"/>
      <c r="F8108" s="550"/>
      <c r="G8108" s="549"/>
      <c r="H8108" s="549"/>
      <c r="I8108" s="558"/>
      <c r="J8108" s="567"/>
      <c r="K8108" s="648"/>
      <c r="L8108" s="567"/>
      <c r="M8108" s="549"/>
      <c r="N8108" s="549"/>
      <c r="O8108" s="549"/>
      <c r="P8108" s="549"/>
    </row>
    <row r="8109" spans="1:17" ht="17.399999999999999">
      <c r="A8109" s="547" t="s">
        <v>495</v>
      </c>
      <c r="B8109" s="852" t="s">
        <v>859</v>
      </c>
      <c r="C8109" s="547" t="s">
        <v>446</v>
      </c>
      <c r="D8109" s="813" t="s">
        <v>450</v>
      </c>
      <c r="E8109" s="547" t="s">
        <v>270</v>
      </c>
      <c r="F8109" s="1225">
        <v>12</v>
      </c>
      <c r="G8109" s="549" t="s">
        <v>61</v>
      </c>
      <c r="H8109" s="599" t="s">
        <v>95</v>
      </c>
      <c r="I8109" s="558">
        <v>13.4</v>
      </c>
      <c r="J8109" s="567">
        <v>6</v>
      </c>
      <c r="K8109" s="648">
        <v>3</v>
      </c>
      <c r="L8109" s="552">
        <f>(I8109*J8109*K8109/1000)</f>
        <v>0.24120000000000003</v>
      </c>
      <c r="M8109" s="549"/>
      <c r="N8109" s="549"/>
      <c r="O8109" s="549"/>
      <c r="P8109" s="549"/>
      <c r="Q8109" s="497" t="s">
        <v>966</v>
      </c>
    </row>
    <row r="8110" spans="1:17" ht="17.399999999999999">
      <c r="A8110" s="550"/>
      <c r="B8110" s="550"/>
      <c r="C8110" s="550"/>
      <c r="D8110" s="550"/>
      <c r="E8110" s="1225"/>
      <c r="F8110" s="550"/>
      <c r="G8110" s="549"/>
      <c r="H8110" s="549"/>
      <c r="I8110" s="558"/>
      <c r="J8110" s="567"/>
      <c r="K8110" s="648">
        <f t="shared" ref="K8110:L8110" si="1706">SUM(K8109)</f>
        <v>3</v>
      </c>
      <c r="L8110" s="567">
        <f t="shared" si="1706"/>
        <v>0.24120000000000003</v>
      </c>
      <c r="M8110" s="549"/>
      <c r="N8110" s="549"/>
      <c r="O8110" s="549"/>
      <c r="P8110" s="549"/>
    </row>
    <row r="8111" spans="1:17" ht="17.399999999999999">
      <c r="A8111" s="549"/>
      <c r="B8111" s="549"/>
      <c r="C8111" s="549"/>
      <c r="D8111" s="549"/>
      <c r="E8111" s="549"/>
      <c r="F8111" s="549"/>
      <c r="G8111" s="549"/>
      <c r="H8111" s="549"/>
      <c r="I8111" s="560"/>
      <c r="J8111" s="549"/>
      <c r="K8111" s="561"/>
      <c r="L8111" s="560"/>
      <c r="M8111" s="549"/>
      <c r="N8111" s="549"/>
      <c r="O8111" s="549"/>
      <c r="P8111" s="549"/>
    </row>
    <row r="8112" spans="1:17" ht="17.399999999999999">
      <c r="A8112" s="547" t="s">
        <v>495</v>
      </c>
      <c r="B8112" s="852" t="s">
        <v>863</v>
      </c>
      <c r="C8112" s="547" t="s">
        <v>446</v>
      </c>
      <c r="D8112" s="813" t="s">
        <v>450</v>
      </c>
      <c r="E8112" s="547" t="s">
        <v>270</v>
      </c>
      <c r="F8112" s="1225">
        <v>12</v>
      </c>
      <c r="G8112" s="549" t="s">
        <v>61</v>
      </c>
      <c r="H8112" s="599" t="s">
        <v>95</v>
      </c>
      <c r="I8112" s="558">
        <v>13.4</v>
      </c>
      <c r="J8112" s="710">
        <v>6</v>
      </c>
      <c r="K8112" s="648">
        <v>3</v>
      </c>
      <c r="L8112" s="552">
        <f>(I8112*J8112*K8112/1000)</f>
        <v>0.24120000000000003</v>
      </c>
      <c r="M8112" s="549"/>
      <c r="N8112" s="549"/>
      <c r="O8112" s="549"/>
      <c r="P8112" s="549"/>
      <c r="Q8112" s="497" t="s">
        <v>966</v>
      </c>
    </row>
    <row r="8113" spans="1:17" ht="17.399999999999999">
      <c r="A8113" s="550"/>
      <c r="B8113" s="550"/>
      <c r="C8113" s="550"/>
      <c r="D8113" s="550"/>
      <c r="E8113" s="1225"/>
      <c r="F8113" s="550"/>
      <c r="G8113" s="549"/>
      <c r="H8113" s="549"/>
      <c r="I8113" s="558"/>
      <c r="J8113" s="710"/>
      <c r="K8113" s="648">
        <f t="shared" ref="K8113:L8113" si="1707">SUM(K8112)</f>
        <v>3</v>
      </c>
      <c r="L8113" s="765">
        <f t="shared" si="1707"/>
        <v>0.24120000000000003</v>
      </c>
      <c r="M8113" s="549"/>
      <c r="N8113" s="549"/>
      <c r="O8113" s="549"/>
      <c r="P8113" s="549"/>
    </row>
    <row r="8114" spans="1:17" ht="17.399999999999999">
      <c r="A8114" s="549"/>
      <c r="B8114" s="549"/>
      <c r="C8114" s="549"/>
      <c r="D8114" s="549"/>
      <c r="E8114" s="549"/>
      <c r="F8114" s="549"/>
      <c r="G8114" s="549"/>
      <c r="H8114" s="549"/>
      <c r="I8114" s="558"/>
      <c r="J8114" s="549"/>
      <c r="K8114" s="564">
        <f>SUM(K8109:K8113)/2</f>
        <v>6</v>
      </c>
      <c r="L8114" s="568">
        <f>SUM(L8109:L8113)/2</f>
        <v>0.48240000000000005</v>
      </c>
      <c r="M8114" s="549"/>
      <c r="N8114" s="549"/>
      <c r="O8114" s="549"/>
      <c r="P8114" s="549" t="s">
        <v>872</v>
      </c>
    </row>
    <row r="8115" spans="1:17" ht="17.399999999999999">
      <c r="A8115" s="549"/>
      <c r="B8115" s="549"/>
      <c r="C8115" s="549"/>
      <c r="D8115" s="549"/>
      <c r="E8115" s="549"/>
      <c r="F8115" s="549"/>
      <c r="G8115" s="549"/>
      <c r="H8115" s="549"/>
      <c r="I8115" s="560"/>
      <c r="J8115" s="549"/>
      <c r="K8115" s="561"/>
      <c r="L8115" s="560"/>
      <c r="M8115" s="549"/>
      <c r="N8115" s="549"/>
      <c r="O8115" s="549"/>
      <c r="P8115" s="549"/>
    </row>
    <row r="8116" spans="1:17" ht="17.399999999999999">
      <c r="A8116" s="549"/>
      <c r="B8116" s="549"/>
      <c r="C8116" s="549"/>
      <c r="D8116" s="549"/>
      <c r="E8116" s="549"/>
      <c r="F8116" s="549"/>
      <c r="G8116" s="549"/>
      <c r="H8116" s="549"/>
      <c r="I8116" s="560"/>
      <c r="J8116" s="549"/>
      <c r="K8116" s="561"/>
      <c r="L8116" s="560"/>
      <c r="M8116" s="549"/>
      <c r="N8116" s="549"/>
      <c r="O8116" s="549"/>
      <c r="P8116" s="549"/>
    </row>
    <row r="8117" spans="1:17" ht="17.399999999999999">
      <c r="A8117" s="547" t="s">
        <v>495</v>
      </c>
      <c r="B8117" s="852" t="s">
        <v>778</v>
      </c>
      <c r="C8117" s="547" t="s">
        <v>19</v>
      </c>
      <c r="D8117" s="813" t="s">
        <v>155</v>
      </c>
      <c r="E8117" s="547" t="s">
        <v>270</v>
      </c>
      <c r="F8117" s="1225">
        <v>10</v>
      </c>
      <c r="G8117" s="549" t="s">
        <v>61</v>
      </c>
      <c r="H8117" s="599" t="s">
        <v>92</v>
      </c>
      <c r="I8117" s="558">
        <v>16.579999999999998</v>
      </c>
      <c r="J8117" s="710">
        <v>7.25</v>
      </c>
      <c r="K8117" s="648">
        <v>16</v>
      </c>
      <c r="L8117" s="552">
        <f t="shared" ref="L8117:L8118" si="1708">(I8117*J8117*K8117/1000)</f>
        <v>1.9232799999999997</v>
      </c>
      <c r="M8117" s="648">
        <v>16</v>
      </c>
      <c r="N8117" s="567">
        <f>J8117*M8117*I8117/1000</f>
        <v>1.9232799999999997</v>
      </c>
      <c r="O8117" s="549"/>
      <c r="P8117" s="549"/>
      <c r="Q8117" s="497" t="s">
        <v>964</v>
      </c>
    </row>
    <row r="8118" spans="1:17" ht="17.399999999999999">
      <c r="A8118" s="550"/>
      <c r="B8118" s="550" t="s">
        <v>333</v>
      </c>
      <c r="C8118" s="550"/>
      <c r="D8118" s="550"/>
      <c r="E8118" s="1225"/>
      <c r="F8118" s="550"/>
      <c r="G8118" s="549" t="s">
        <v>61</v>
      </c>
      <c r="H8118" s="549" t="s">
        <v>92</v>
      </c>
      <c r="I8118" s="558">
        <v>16.579999999999998</v>
      </c>
      <c r="J8118" s="710">
        <v>10.5</v>
      </c>
      <c r="K8118" s="648">
        <v>2</v>
      </c>
      <c r="L8118" s="552">
        <f t="shared" si="1708"/>
        <v>0.34817999999999993</v>
      </c>
      <c r="M8118" s="648">
        <v>2</v>
      </c>
      <c r="N8118" s="567">
        <f>J8118*M8118*I8118/1000</f>
        <v>0.34817999999999993</v>
      </c>
      <c r="O8118" s="549"/>
      <c r="P8118" s="549"/>
    </row>
    <row r="8119" spans="1:17" ht="17.399999999999999">
      <c r="A8119" s="549"/>
      <c r="B8119" s="549"/>
      <c r="C8119" s="549"/>
      <c r="D8119" s="549"/>
      <c r="E8119" s="549"/>
      <c r="F8119" s="549"/>
      <c r="G8119" s="549"/>
      <c r="H8119" s="549"/>
      <c r="I8119" s="560"/>
      <c r="J8119" s="710"/>
      <c r="K8119" s="648">
        <f t="shared" ref="K8119:M8119" si="1709">SUM(K8117:K8118)</f>
        <v>18</v>
      </c>
      <c r="L8119" s="765">
        <f>SUM(L8117:L8118)</f>
        <v>2.2714599999999994</v>
      </c>
      <c r="M8119" s="648">
        <f t="shared" si="1709"/>
        <v>18</v>
      </c>
      <c r="N8119" s="765">
        <f>SUM(N8117:N8118)</f>
        <v>2.2714599999999994</v>
      </c>
      <c r="O8119" s="549"/>
      <c r="P8119" s="549"/>
    </row>
    <row r="8120" spans="1:17" ht="17.399999999999999">
      <c r="A8120" s="549"/>
      <c r="B8120" s="549"/>
      <c r="C8120" s="549"/>
      <c r="D8120" s="549"/>
      <c r="E8120" s="549"/>
      <c r="F8120" s="549"/>
      <c r="G8120" s="549"/>
      <c r="H8120" s="549"/>
      <c r="I8120" s="560"/>
      <c r="J8120" s="549"/>
      <c r="K8120" s="561"/>
      <c r="L8120" s="560"/>
      <c r="M8120" s="549"/>
      <c r="N8120" s="549"/>
      <c r="O8120" s="549"/>
      <c r="P8120" s="549"/>
    </row>
    <row r="8121" spans="1:17" ht="17.399999999999999">
      <c r="A8121" s="549"/>
      <c r="B8121" s="549"/>
      <c r="C8121" s="549"/>
      <c r="D8121" s="549"/>
      <c r="E8121" s="549"/>
      <c r="F8121" s="549"/>
      <c r="G8121" s="549"/>
      <c r="H8121" s="549"/>
      <c r="I8121" s="560"/>
      <c r="J8121" s="549"/>
      <c r="K8121" s="561"/>
      <c r="L8121" s="560"/>
      <c r="M8121" s="549"/>
      <c r="N8121" s="549"/>
      <c r="O8121" s="549"/>
      <c r="P8121" s="549"/>
    </row>
    <row r="8122" spans="1:17" ht="17.399999999999999">
      <c r="A8122" s="549"/>
      <c r="B8122" s="549"/>
      <c r="C8122" s="549"/>
      <c r="D8122" s="549"/>
      <c r="E8122" s="549"/>
      <c r="F8122" s="549"/>
      <c r="G8122" s="549"/>
      <c r="H8122" s="549"/>
      <c r="I8122" s="560"/>
      <c r="J8122" s="549"/>
      <c r="K8122" s="561"/>
      <c r="L8122" s="568">
        <f>+L8119+L8114+L8106+L8102+L8060+L8020+L7988+L8080</f>
        <v>507.75791000000004</v>
      </c>
      <c r="M8122" s="549"/>
      <c r="N8122" s="568">
        <f>+N8119+N8114+N8106+N8102+N8060+N8020+N7988+N8080</f>
        <v>2.2714599999999994</v>
      </c>
      <c r="O8122" s="549"/>
      <c r="P8122" s="549"/>
    </row>
    <row r="8123" spans="1:17" ht="17.399999999999999">
      <c r="A8123" s="653" t="s">
        <v>48</v>
      </c>
      <c r="B8123" s="653"/>
      <c r="C8123" s="654"/>
      <c r="D8123" s="654"/>
      <c r="E8123" s="654"/>
      <c r="F8123" s="1217"/>
      <c r="G8123" s="654"/>
      <c r="H8123" s="1217"/>
      <c r="I8123" s="656"/>
      <c r="J8123" s="654"/>
      <c r="K8123" s="657"/>
      <c r="L8123" s="2003" t="s">
        <v>0</v>
      </c>
      <c r="M8123" s="2003"/>
      <c r="N8123" s="2003"/>
      <c r="O8123" s="2004"/>
      <c r="P8123" s="2010"/>
    </row>
    <row r="8124" spans="1:17" ht="17.399999999999999">
      <c r="A8124" s="658" t="s">
        <v>1</v>
      </c>
      <c r="B8124" s="658"/>
      <c r="C8124" s="658"/>
      <c r="D8124" s="659" t="s">
        <v>2</v>
      </c>
      <c r="E8124" s="659"/>
      <c r="F8124" s="660"/>
      <c r="G8124" s="660"/>
      <c r="H8124" s="660"/>
      <c r="I8124" s="661"/>
      <c r="J8124" s="660"/>
      <c r="K8124" s="662" t="s">
        <v>3</v>
      </c>
      <c r="L8124" s="660"/>
      <c r="M8124" s="658"/>
      <c r="N8124" s="660"/>
      <c r="O8124" s="663"/>
      <c r="P8124" s="2010"/>
    </row>
    <row r="8125" spans="1:17" ht="17.399999999999999">
      <c r="A8125" s="1217" t="s">
        <v>22</v>
      </c>
      <c r="B8125" s="1990" t="s">
        <v>23</v>
      </c>
      <c r="C8125" s="2005"/>
      <c r="D8125" s="1989"/>
      <c r="E8125" s="1217" t="s">
        <v>24</v>
      </c>
      <c r="F8125" s="1990" t="s">
        <v>25</v>
      </c>
      <c r="G8125" s="1989"/>
      <c r="H8125" s="1990" t="s">
        <v>26</v>
      </c>
      <c r="I8125" s="2005"/>
      <c r="J8125" s="2005"/>
      <c r="K8125" s="1989"/>
      <c r="L8125" s="2006" t="s">
        <v>27</v>
      </c>
      <c r="M8125" s="2006"/>
      <c r="N8125" s="2006"/>
      <c r="O8125" s="1990"/>
      <c r="P8125" s="2010"/>
    </row>
    <row r="8126" spans="1:17" ht="17.399999999999999">
      <c r="A8126" s="664"/>
      <c r="B8126" s="1975"/>
      <c r="C8126" s="1976"/>
      <c r="D8126" s="1977"/>
      <c r="E8126" s="665"/>
      <c r="F8126" s="1975"/>
      <c r="G8126" s="1977"/>
      <c r="H8126" s="1975"/>
      <c r="I8126" s="1976"/>
      <c r="J8126" s="1976"/>
      <c r="K8126" s="1977"/>
      <c r="L8126" s="1975"/>
      <c r="M8126" s="1976"/>
      <c r="N8126" s="1976"/>
      <c r="O8126" s="1976"/>
      <c r="P8126" s="2010"/>
    </row>
    <row r="8127" spans="1:17" s="497" customFormat="1" ht="17.399999999999999">
      <c r="A8127" s="664"/>
      <c r="B8127" s="1218"/>
      <c r="C8127" s="1219"/>
      <c r="D8127" s="1220"/>
      <c r="E8127" s="665"/>
      <c r="F8127" s="1218"/>
      <c r="G8127" s="1220"/>
      <c r="H8127" s="1218"/>
      <c r="I8127" s="1842"/>
      <c r="J8127" s="1219"/>
      <c r="K8127" s="1220"/>
      <c r="L8127" s="1219"/>
      <c r="M8127" s="1219"/>
      <c r="N8127" s="1219"/>
      <c r="O8127" s="1219"/>
      <c r="P8127" s="2010"/>
    </row>
    <row r="8128" spans="1:17" s="497" customFormat="1" ht="17.399999999999999">
      <c r="A8128" s="664" t="s">
        <v>28</v>
      </c>
      <c r="B8128" s="1975" t="s">
        <v>100</v>
      </c>
      <c r="C8128" s="1976"/>
      <c r="D8128" s="1977"/>
      <c r="E8128" s="665">
        <v>40</v>
      </c>
      <c r="F8128" s="1973">
        <v>12</v>
      </c>
      <c r="G8128" s="1974"/>
      <c r="H8128" s="1975" t="s">
        <v>447</v>
      </c>
      <c r="I8128" s="1976"/>
      <c r="J8128" s="1976"/>
      <c r="K8128" s="1977"/>
      <c r="L8128" s="1976" t="s">
        <v>873</v>
      </c>
      <c r="M8128" s="1976"/>
      <c r="N8128" s="1976"/>
      <c r="O8128" s="1976"/>
      <c r="P8128" s="2010"/>
    </row>
    <row r="8129" spans="1:16" ht="17.399999999999999">
      <c r="A8129" s="664" t="s">
        <v>29</v>
      </c>
      <c r="B8129" s="1975" t="s">
        <v>102</v>
      </c>
      <c r="C8129" s="1976"/>
      <c r="D8129" s="1977"/>
      <c r="E8129" s="665">
        <f>+L7988</f>
        <v>125.39920999999998</v>
      </c>
      <c r="F8129" s="1973">
        <v>12</v>
      </c>
      <c r="G8129" s="1974"/>
      <c r="H8129" s="1975" t="s">
        <v>447</v>
      </c>
      <c r="I8129" s="1976"/>
      <c r="J8129" s="1976"/>
      <c r="K8129" s="1977"/>
      <c r="L8129" s="1976" t="s">
        <v>436</v>
      </c>
      <c r="M8129" s="1976"/>
      <c r="N8129" s="1976"/>
      <c r="O8129" s="1976"/>
      <c r="P8129" s="2010"/>
    </row>
    <row r="8130" spans="1:16" ht="17.399999999999999">
      <c r="A8130" s="664" t="s">
        <v>30</v>
      </c>
      <c r="B8130" s="1975" t="s">
        <v>101</v>
      </c>
      <c r="C8130" s="1976"/>
      <c r="D8130" s="1977"/>
      <c r="E8130" s="665">
        <f>+L8020</f>
        <v>150.97274000000004</v>
      </c>
      <c r="F8130" s="1973">
        <v>12</v>
      </c>
      <c r="G8130" s="1974"/>
      <c r="H8130" s="1975" t="s">
        <v>447</v>
      </c>
      <c r="I8130" s="1976"/>
      <c r="J8130" s="1976"/>
      <c r="K8130" s="1977"/>
      <c r="L8130" s="1976" t="s">
        <v>436</v>
      </c>
      <c r="M8130" s="1976"/>
      <c r="N8130" s="1976"/>
      <c r="O8130" s="1976"/>
      <c r="P8130" s="2010"/>
    </row>
    <row r="8131" spans="1:16" ht="17.399999999999999">
      <c r="A8131" s="664" t="s">
        <v>46</v>
      </c>
      <c r="B8131" s="1975" t="s">
        <v>100</v>
      </c>
      <c r="C8131" s="1976"/>
      <c r="D8131" s="1977"/>
      <c r="E8131" s="665">
        <f>+L8060-40</f>
        <v>102.99889999999999</v>
      </c>
      <c r="F8131" s="1973">
        <v>12</v>
      </c>
      <c r="G8131" s="1974"/>
      <c r="H8131" s="1975" t="s">
        <v>447</v>
      </c>
      <c r="I8131" s="1976"/>
      <c r="J8131" s="1976"/>
      <c r="K8131" s="1977"/>
      <c r="L8131" s="1976" t="s">
        <v>436</v>
      </c>
      <c r="M8131" s="1976"/>
      <c r="N8131" s="1976"/>
      <c r="O8131" s="1976"/>
      <c r="P8131" s="2010"/>
    </row>
    <row r="8132" spans="1:16" ht="17.399999999999999">
      <c r="A8132" s="664" t="s">
        <v>58</v>
      </c>
      <c r="B8132" s="1975" t="s">
        <v>104</v>
      </c>
      <c r="C8132" s="1976"/>
      <c r="D8132" s="1977"/>
      <c r="E8132" s="665">
        <f>+L8080</f>
        <v>17.174859999999999</v>
      </c>
      <c r="F8132" s="2011">
        <v>13</v>
      </c>
      <c r="G8132" s="2012"/>
      <c r="H8132" s="1975" t="s">
        <v>447</v>
      </c>
      <c r="I8132" s="1976"/>
      <c r="J8132" s="1976"/>
      <c r="K8132" s="1977"/>
      <c r="L8132" s="1976" t="s">
        <v>436</v>
      </c>
      <c r="M8132" s="1976"/>
      <c r="N8132" s="1976"/>
      <c r="O8132" s="1976"/>
      <c r="P8132" s="2010"/>
    </row>
    <row r="8133" spans="1:16" ht="17.399999999999999">
      <c r="A8133" s="664"/>
      <c r="B8133" s="1218"/>
      <c r="C8133" s="1219"/>
      <c r="D8133" s="1220"/>
      <c r="E8133" s="665"/>
      <c r="F8133" s="1221"/>
      <c r="G8133" s="1222"/>
      <c r="H8133" s="1218"/>
      <c r="I8133" s="1842"/>
      <c r="J8133" s="1219"/>
      <c r="K8133" s="1220"/>
      <c r="L8133" s="1219"/>
      <c r="M8133" s="1219"/>
      <c r="N8133" s="1219"/>
      <c r="O8133" s="1219"/>
      <c r="P8133" s="2010"/>
    </row>
    <row r="8134" spans="1:16" ht="17.399999999999999">
      <c r="A8134" s="664"/>
      <c r="B8134" s="1218"/>
      <c r="C8134" s="1219"/>
      <c r="D8134" s="1220"/>
      <c r="E8134" s="665"/>
      <c r="F8134" s="1221"/>
      <c r="G8134" s="1222"/>
      <c r="H8134" s="1218"/>
      <c r="I8134" s="1842"/>
      <c r="J8134" s="1219"/>
      <c r="K8134" s="1220"/>
      <c r="L8134" s="1219"/>
      <c r="M8134" s="1219"/>
      <c r="N8134" s="1219"/>
      <c r="O8134" s="1219"/>
      <c r="P8134" s="2010"/>
    </row>
    <row r="8135" spans="1:16" ht="17.399999999999999">
      <c r="A8135" s="664" t="s">
        <v>163</v>
      </c>
      <c r="B8135" s="1976" t="s">
        <v>500</v>
      </c>
      <c r="C8135" s="1976"/>
      <c r="D8135" s="1976"/>
      <c r="E8135" s="665">
        <f>+L8102</f>
        <v>67.939139999999995</v>
      </c>
      <c r="F8135" s="1973">
        <v>12</v>
      </c>
      <c r="G8135" s="1974"/>
      <c r="H8135" s="1975" t="s">
        <v>450</v>
      </c>
      <c r="I8135" s="1976"/>
      <c r="J8135" s="1976"/>
      <c r="K8135" s="1977"/>
      <c r="L8135" s="1976" t="s">
        <v>437</v>
      </c>
      <c r="M8135" s="1976"/>
      <c r="N8135" s="1976"/>
      <c r="O8135" s="1976"/>
      <c r="P8135" s="2010"/>
    </row>
    <row r="8136" spans="1:16" ht="17.399999999999999">
      <c r="A8136" s="664" t="s">
        <v>302</v>
      </c>
      <c r="B8136" s="1976" t="s">
        <v>497</v>
      </c>
      <c r="C8136" s="1976"/>
      <c r="D8136" s="1976"/>
      <c r="E8136" s="665">
        <v>3</v>
      </c>
      <c r="F8136" s="1973">
        <v>12</v>
      </c>
      <c r="G8136" s="1974"/>
      <c r="H8136" s="1975" t="s">
        <v>450</v>
      </c>
      <c r="I8136" s="1976"/>
      <c r="J8136" s="1976"/>
      <c r="K8136" s="1977"/>
      <c r="L8136" s="1976" t="s">
        <v>437</v>
      </c>
      <c r="M8136" s="1976"/>
      <c r="N8136" s="1976"/>
      <c r="O8136" s="1976"/>
      <c r="P8136" s="2010"/>
    </row>
    <row r="8137" spans="1:16" ht="17.399999999999999">
      <c r="A8137" s="664" t="s">
        <v>380</v>
      </c>
      <c r="B8137" s="1976" t="s">
        <v>498</v>
      </c>
      <c r="C8137" s="1976"/>
      <c r="D8137" s="1976"/>
      <c r="E8137" s="665">
        <v>3</v>
      </c>
      <c r="F8137" s="1973">
        <v>12</v>
      </c>
      <c r="G8137" s="1974"/>
      <c r="H8137" s="1975" t="s">
        <v>450</v>
      </c>
      <c r="I8137" s="1976"/>
      <c r="J8137" s="1976"/>
      <c r="K8137" s="1977"/>
      <c r="L8137" s="1976" t="s">
        <v>437</v>
      </c>
      <c r="M8137" s="1976"/>
      <c r="N8137" s="1976"/>
      <c r="O8137" s="1976"/>
      <c r="P8137" s="2010"/>
    </row>
    <row r="8138" spans="1:16" ht="17.399999999999999">
      <c r="A8138" s="664"/>
      <c r="B8138" s="1218"/>
      <c r="C8138" s="1219"/>
      <c r="D8138" s="1220"/>
      <c r="E8138" s="665"/>
      <c r="F8138" s="1221"/>
      <c r="G8138" s="1222"/>
      <c r="H8138" s="1218"/>
      <c r="I8138" s="1842"/>
      <c r="J8138" s="1219"/>
      <c r="K8138" s="1220"/>
      <c r="L8138" s="1219"/>
      <c r="M8138" s="1219"/>
      <c r="N8138" s="1219"/>
      <c r="O8138" s="1219"/>
      <c r="P8138" s="2010"/>
    </row>
    <row r="8139" spans="1:16" ht="17.399999999999999">
      <c r="A8139" s="664"/>
      <c r="B8139" s="1975"/>
      <c r="C8139" s="1976"/>
      <c r="D8139" s="1977"/>
      <c r="E8139" s="665"/>
      <c r="F8139" s="1973"/>
      <c r="G8139" s="1974"/>
      <c r="H8139" s="1975"/>
      <c r="I8139" s="1976"/>
      <c r="J8139" s="1976"/>
      <c r="K8139" s="1977"/>
      <c r="L8139" s="1976"/>
      <c r="M8139" s="1976"/>
      <c r="N8139" s="1976"/>
      <c r="O8139" s="1976"/>
      <c r="P8139" s="2010"/>
    </row>
    <row r="8140" spans="1:16" ht="18" thickBot="1">
      <c r="A8140" s="664"/>
      <c r="B8140" s="1218"/>
      <c r="C8140" s="1219"/>
      <c r="D8140" s="1219"/>
      <c r="E8140" s="665"/>
      <c r="F8140" s="1219"/>
      <c r="G8140" s="1220"/>
      <c r="H8140" s="1218"/>
      <c r="I8140" s="1842"/>
      <c r="J8140" s="1219"/>
      <c r="K8140" s="669"/>
      <c r="L8140" s="672"/>
      <c r="M8140" s="673"/>
      <c r="N8140" s="673"/>
      <c r="O8140" s="673"/>
      <c r="P8140" s="2010"/>
    </row>
    <row r="8141" spans="1:16" ht="17.399999999999999">
      <c r="A8141" s="674"/>
      <c r="B8141" s="675"/>
      <c r="C8141" s="676"/>
      <c r="D8141" s="676"/>
      <c r="E8141" s="1980">
        <f>SUM(E8126:E8140)</f>
        <v>510.48485000000005</v>
      </c>
      <c r="F8141" s="677"/>
      <c r="G8141" s="678"/>
      <c r="H8141" s="679"/>
      <c r="I8141" s="1848"/>
      <c r="J8141" s="676"/>
      <c r="K8141" s="680"/>
      <c r="L8141" s="679"/>
      <c r="M8141" s="676"/>
      <c r="N8141" s="677"/>
      <c r="O8141" s="676"/>
      <c r="P8141" s="2010"/>
    </row>
    <row r="8142" spans="1:16" ht="18" thickBot="1">
      <c r="A8142" s="681"/>
      <c r="B8142" s="682"/>
      <c r="C8142" s="683"/>
      <c r="D8142" s="683"/>
      <c r="E8142" s="1981"/>
      <c r="F8142" s="684"/>
      <c r="G8142" s="685"/>
      <c r="H8142" s="686"/>
      <c r="I8142" s="1850"/>
      <c r="J8142" s="683"/>
      <c r="K8142" s="687"/>
      <c r="L8142" s="686"/>
      <c r="M8142" s="683"/>
      <c r="N8142" s="684"/>
      <c r="O8142" s="683"/>
      <c r="P8142" s="2010"/>
    </row>
    <row r="8143" spans="1:16" ht="17.399999999999999">
      <c r="A8143" s="688" t="s">
        <v>31</v>
      </c>
      <c r="B8143" s="676"/>
      <c r="C8143" s="676"/>
      <c r="D8143" s="676"/>
      <c r="E8143" s="676"/>
      <c r="F8143" s="677"/>
      <c r="G8143" s="676"/>
      <c r="H8143" s="677"/>
      <c r="I8143" s="1848"/>
      <c r="J8143" s="676"/>
      <c r="K8143" s="689"/>
      <c r="L8143" s="677"/>
      <c r="M8143" s="676"/>
      <c r="N8143" s="677"/>
      <c r="O8143" s="676"/>
      <c r="P8143" s="2010"/>
    </row>
    <row r="8144" spans="1:16" ht="17.399999999999999">
      <c r="A8144" s="690"/>
      <c r="B8144" s="691"/>
      <c r="C8144" s="691"/>
      <c r="D8144" s="691"/>
      <c r="E8144" s="691"/>
      <c r="F8144" s="1223"/>
      <c r="G8144" s="691"/>
      <c r="H8144" s="1223"/>
      <c r="I8144" s="1849"/>
      <c r="J8144" s="691"/>
      <c r="K8144" s="693"/>
      <c r="L8144" s="1223"/>
      <c r="M8144" s="691"/>
      <c r="N8144" s="1223"/>
      <c r="O8144" s="691"/>
      <c r="P8144" s="2010"/>
    </row>
    <row r="8145" spans="1:16" ht="18" thickBot="1">
      <c r="A8145" s="1982" t="s">
        <v>32</v>
      </c>
      <c r="B8145" s="1983"/>
      <c r="C8145" s="1984" t="s">
        <v>33</v>
      </c>
      <c r="D8145" s="1985"/>
      <c r="E8145" s="694" t="s">
        <v>34</v>
      </c>
      <c r="F8145" s="694" t="s">
        <v>35</v>
      </c>
      <c r="G8145" s="1986" t="s">
        <v>36</v>
      </c>
      <c r="H8145" s="1987"/>
      <c r="I8145" s="1987"/>
      <c r="J8145" s="1987"/>
      <c r="K8145" s="1987"/>
      <c r="L8145" s="1987"/>
      <c r="M8145" s="1987"/>
      <c r="N8145" s="1987"/>
      <c r="O8145" s="1987"/>
      <c r="P8145" s="2010"/>
    </row>
    <row r="8146" spans="1:16" ht="17.399999999999999">
      <c r="A8146" s="1988"/>
      <c r="B8146" s="1989"/>
      <c r="C8146" s="1990"/>
      <c r="D8146" s="1989"/>
      <c r="E8146" s="1217"/>
      <c r="F8146" s="1215"/>
      <c r="G8146" s="1991"/>
      <c r="H8146" s="1992"/>
      <c r="I8146" s="1992"/>
      <c r="J8146" s="1992"/>
      <c r="K8146" s="1992"/>
      <c r="L8146" s="1992"/>
      <c r="M8146" s="1992"/>
      <c r="N8146" s="1992"/>
      <c r="O8146" s="1992"/>
      <c r="P8146" s="2010"/>
    </row>
    <row r="8147" spans="1:16" ht="17.399999999999999">
      <c r="A8147" s="1997" t="s">
        <v>37</v>
      </c>
      <c r="B8147" s="1998"/>
      <c r="C8147" s="1990"/>
      <c r="D8147" s="1989"/>
      <c r="E8147" s="1217"/>
      <c r="F8147" s="1215"/>
      <c r="G8147" s="1993"/>
      <c r="H8147" s="1994"/>
      <c r="I8147" s="1994"/>
      <c r="J8147" s="1994"/>
      <c r="K8147" s="1994"/>
      <c r="L8147" s="1994"/>
      <c r="M8147" s="1994"/>
      <c r="N8147" s="1994"/>
      <c r="O8147" s="1994"/>
      <c r="P8147" s="2010"/>
    </row>
    <row r="8148" spans="1:16" ht="17.399999999999999">
      <c r="A8148" s="1997" t="s">
        <v>38</v>
      </c>
      <c r="B8148" s="1998"/>
      <c r="C8148" s="1990"/>
      <c r="D8148" s="1989"/>
      <c r="E8148" s="1217"/>
      <c r="F8148" s="1215"/>
      <c r="G8148" s="1993"/>
      <c r="H8148" s="1994"/>
      <c r="I8148" s="1994"/>
      <c r="J8148" s="1994"/>
      <c r="K8148" s="1994"/>
      <c r="L8148" s="1994"/>
      <c r="M8148" s="1994"/>
      <c r="N8148" s="1994"/>
      <c r="O8148" s="1994"/>
      <c r="P8148" s="2010"/>
    </row>
    <row r="8149" spans="1:16" ht="17.399999999999999">
      <c r="A8149" s="1997" t="s">
        <v>39</v>
      </c>
      <c r="B8149" s="1998"/>
      <c r="C8149" s="1990"/>
      <c r="D8149" s="1989"/>
      <c r="E8149" s="1217"/>
      <c r="F8149" s="1215"/>
      <c r="G8149" s="1993"/>
      <c r="H8149" s="1994"/>
      <c r="I8149" s="1994"/>
      <c r="J8149" s="1994"/>
      <c r="K8149" s="1994"/>
      <c r="L8149" s="1994"/>
      <c r="M8149" s="1994"/>
      <c r="N8149" s="1994"/>
      <c r="O8149" s="1994"/>
      <c r="P8149" s="2010"/>
    </row>
    <row r="8150" spans="1:16" ht="17.399999999999999">
      <c r="A8150" s="1997" t="s">
        <v>40</v>
      </c>
      <c r="B8150" s="1998"/>
      <c r="C8150" s="1990"/>
      <c r="D8150" s="1989"/>
      <c r="E8150" s="1217"/>
      <c r="F8150" s="1215"/>
      <c r="G8150" s="1993"/>
      <c r="H8150" s="1994"/>
      <c r="I8150" s="1994"/>
      <c r="J8150" s="1994"/>
      <c r="K8150" s="1994"/>
      <c r="L8150" s="1994"/>
      <c r="M8150" s="1994"/>
      <c r="N8150" s="1994"/>
      <c r="O8150" s="1994"/>
      <c r="P8150" s="2010"/>
    </row>
    <row r="8151" spans="1:16" ht="18" thickBot="1">
      <c r="A8151" s="1999" t="s">
        <v>41</v>
      </c>
      <c r="B8151" s="2000"/>
      <c r="C8151" s="2001"/>
      <c r="D8151" s="2002"/>
      <c r="E8151" s="696"/>
      <c r="F8151" s="1224"/>
      <c r="G8151" s="1995"/>
      <c r="H8151" s="1996"/>
      <c r="I8151" s="1996"/>
      <c r="J8151" s="1996"/>
      <c r="K8151" s="1996"/>
      <c r="L8151" s="1996"/>
      <c r="M8151" s="1996"/>
      <c r="N8151" s="1996"/>
      <c r="O8151" s="1996"/>
      <c r="P8151" s="2010"/>
    </row>
    <row r="8152" spans="1:16" ht="18">
      <c r="A8152" s="690"/>
      <c r="B8152" s="691"/>
      <c r="C8152" s="691"/>
      <c r="D8152" s="691"/>
      <c r="E8152" s="691"/>
      <c r="F8152" s="1223"/>
      <c r="G8152" s="691"/>
      <c r="H8152" s="698"/>
      <c r="I8152" s="699"/>
      <c r="J8152" s="700"/>
      <c r="K8152" s="701"/>
      <c r="L8152" s="702"/>
      <c r="M8152" s="691"/>
      <c r="N8152" s="1223"/>
      <c r="O8152" s="691"/>
      <c r="P8152" s="2010"/>
    </row>
    <row r="8153" spans="1:16" ht="18">
      <c r="A8153" s="703" t="s">
        <v>42</v>
      </c>
      <c r="B8153" s="704"/>
      <c r="C8153" s="691"/>
      <c r="D8153" s="691"/>
      <c r="E8153" s="691"/>
      <c r="F8153" s="1223"/>
      <c r="G8153" s="704"/>
      <c r="H8153" s="698"/>
      <c r="I8153" s="699"/>
      <c r="J8153" s="700"/>
      <c r="K8153" s="693"/>
      <c r="L8153" s="705"/>
      <c r="M8153" s="691"/>
      <c r="N8153" s="1979" t="s">
        <v>43</v>
      </c>
      <c r="O8153" s="1979"/>
      <c r="P8153" s="2010"/>
    </row>
    <row r="8154" spans="1:16" ht="17.399999999999999">
      <c r="A8154" s="703"/>
      <c r="B8154" s="704"/>
      <c r="C8154" s="691"/>
      <c r="D8154" s="691"/>
      <c r="E8154" s="691"/>
      <c r="F8154" s="1223"/>
      <c r="G8154" s="691"/>
      <c r="H8154" s="1223"/>
      <c r="I8154" s="1849"/>
      <c r="J8154" s="691"/>
      <c r="K8154" s="693"/>
      <c r="L8154" s="1223"/>
      <c r="M8154" s="691"/>
      <c r="N8154" s="1223"/>
      <c r="O8154" s="704"/>
      <c r="P8154" s="2010"/>
    </row>
    <row r="8155" spans="1:16" ht="17.399999999999999">
      <c r="A8155" s="703" t="s">
        <v>44</v>
      </c>
      <c r="B8155" s="704"/>
      <c r="C8155" s="691"/>
      <c r="D8155" s="691"/>
      <c r="E8155" s="691"/>
      <c r="F8155" s="1223"/>
      <c r="G8155" s="691"/>
      <c r="H8155" s="1223"/>
      <c r="I8155" s="1849"/>
      <c r="J8155" s="691"/>
      <c r="K8155" s="693"/>
      <c r="L8155" s="1223"/>
      <c r="M8155" s="691"/>
      <c r="N8155" s="1979" t="s">
        <v>45</v>
      </c>
      <c r="O8155" s="1979"/>
      <c r="P8155" s="2010"/>
    </row>
    <row r="8156" spans="1:16" ht="18" thickBot="1">
      <c r="A8156" s="682"/>
      <c r="B8156" s="683"/>
      <c r="C8156" s="683"/>
      <c r="D8156" s="683"/>
      <c r="E8156" s="683"/>
      <c r="F8156" s="684"/>
      <c r="G8156" s="683"/>
      <c r="H8156" s="684"/>
      <c r="I8156" s="1850"/>
      <c r="J8156" s="683"/>
      <c r="K8156" s="706"/>
      <c r="L8156" s="684"/>
      <c r="M8156" s="683"/>
      <c r="N8156" s="684"/>
      <c r="O8156" s="683"/>
      <c r="P8156" s="2010"/>
    </row>
    <row r="8161" spans="1:17" ht="17.399999999999999">
      <c r="A8161" s="711" t="s">
        <v>48</v>
      </c>
      <c r="B8161" s="711"/>
      <c r="C8161" s="712"/>
      <c r="D8161" s="712"/>
      <c r="E8161" s="712"/>
      <c r="F8161" s="713"/>
      <c r="G8161" s="712"/>
      <c r="H8161" s="712"/>
      <c r="I8161" s="714"/>
      <c r="J8161" s="715"/>
      <c r="K8161" s="716"/>
      <c r="L8161" s="1978" t="s">
        <v>0</v>
      </c>
      <c r="M8161" s="1978"/>
      <c r="N8161" s="1978"/>
      <c r="O8161" s="1978"/>
      <c r="P8161" s="717"/>
    </row>
    <row r="8162" spans="1:17" ht="17.399999999999999">
      <c r="A8162" s="718" t="s">
        <v>1</v>
      </c>
      <c r="B8162" s="718"/>
      <c r="C8162" s="718"/>
      <c r="D8162" s="719" t="s">
        <v>2</v>
      </c>
      <c r="E8162" s="719"/>
      <c r="F8162" s="720"/>
      <c r="G8162" s="720"/>
      <c r="H8162" s="720"/>
      <c r="I8162" s="721"/>
      <c r="J8162" s="1238"/>
      <c r="K8162" s="723" t="s">
        <v>3</v>
      </c>
      <c r="L8162" s="1238"/>
      <c r="M8162" s="718"/>
      <c r="N8162" s="720"/>
      <c r="O8162" s="718"/>
      <c r="P8162" s="724"/>
    </row>
    <row r="8163" spans="1:17" ht="52.2">
      <c r="A8163" s="640" t="s">
        <v>4</v>
      </c>
      <c r="B8163" s="640" t="s">
        <v>5</v>
      </c>
      <c r="C8163" s="640" t="s">
        <v>6</v>
      </c>
      <c r="D8163" s="640" t="s">
        <v>7</v>
      </c>
      <c r="E8163" s="640" t="s">
        <v>8</v>
      </c>
      <c r="F8163" s="641" t="s">
        <v>9</v>
      </c>
      <c r="G8163" s="642" t="s">
        <v>10</v>
      </c>
      <c r="H8163" s="642" t="s">
        <v>11</v>
      </c>
      <c r="I8163" s="643" t="s">
        <v>12</v>
      </c>
      <c r="J8163" s="644" t="s">
        <v>13</v>
      </c>
      <c r="K8163" s="645" t="s">
        <v>14</v>
      </c>
      <c r="L8163" s="646" t="s">
        <v>15</v>
      </c>
      <c r="M8163" s="641" t="s">
        <v>16</v>
      </c>
      <c r="N8163" s="641" t="s">
        <v>17</v>
      </c>
      <c r="O8163" s="642" t="s">
        <v>18</v>
      </c>
      <c r="P8163" s="641" t="s">
        <v>192</v>
      </c>
    </row>
    <row r="8164" spans="1:17" ht="17.399999999999999">
      <c r="A8164" s="547" t="s">
        <v>445</v>
      </c>
      <c r="B8164" s="547" t="s">
        <v>857</v>
      </c>
      <c r="C8164" s="547" t="s">
        <v>19</v>
      </c>
      <c r="D8164" s="547" t="s">
        <v>60</v>
      </c>
      <c r="E8164" s="1240" t="s">
        <v>90</v>
      </c>
      <c r="F8164" s="1240">
        <v>11</v>
      </c>
      <c r="G8164" s="549" t="s">
        <v>61</v>
      </c>
      <c r="H8164" s="599" t="s">
        <v>53</v>
      </c>
      <c r="I8164" s="558">
        <v>8.3000000000000007</v>
      </c>
      <c r="J8164" s="710">
        <v>12</v>
      </c>
      <c r="K8164" s="648">
        <v>25</v>
      </c>
      <c r="L8164" s="552">
        <f>(I8164*J8164*K8164/1000)</f>
        <v>2.4900000000000002</v>
      </c>
      <c r="M8164" s="549"/>
      <c r="N8164" s="549"/>
      <c r="O8164" s="549"/>
      <c r="P8164" s="549"/>
      <c r="Q8164" s="497" t="s">
        <v>966</v>
      </c>
    </row>
    <row r="8165" spans="1:17" ht="17.399999999999999">
      <c r="A8165" s="549"/>
      <c r="B8165" s="550" t="s">
        <v>84</v>
      </c>
      <c r="C8165" s="549"/>
      <c r="D8165" s="549"/>
      <c r="E8165" s="549"/>
      <c r="F8165" s="549"/>
      <c r="G8165" s="549"/>
      <c r="H8165" s="650"/>
      <c r="I8165" s="558"/>
      <c r="J8165" s="710"/>
      <c r="K8165" s="648">
        <f t="shared" ref="K8165:L8165" si="1710">SUM(K8164)</f>
        <v>25</v>
      </c>
      <c r="L8165" s="765">
        <f t="shared" si="1710"/>
        <v>2.4900000000000002</v>
      </c>
      <c r="M8165" s="549"/>
      <c r="N8165" s="549"/>
      <c r="O8165" s="549"/>
      <c r="P8165" s="549" t="s">
        <v>899</v>
      </c>
    </row>
    <row r="8166" spans="1:17" ht="17.399999999999999">
      <c r="A8166" s="549"/>
      <c r="B8166" s="549"/>
      <c r="C8166" s="549"/>
      <c r="D8166" s="549"/>
      <c r="E8166" s="549"/>
      <c r="F8166" s="549"/>
      <c r="G8166" s="549"/>
      <c r="H8166" s="549"/>
      <c r="I8166" s="558"/>
      <c r="J8166" s="549"/>
      <c r="K8166" s="561"/>
      <c r="L8166" s="560"/>
      <c r="M8166" s="549"/>
      <c r="N8166" s="549"/>
      <c r="O8166" s="549"/>
      <c r="P8166" s="549"/>
    </row>
    <row r="8167" spans="1:17" ht="17.399999999999999">
      <c r="A8167" s="547" t="s">
        <v>445</v>
      </c>
      <c r="B8167" s="547" t="s">
        <v>845</v>
      </c>
      <c r="C8167" s="547" t="s">
        <v>19</v>
      </c>
      <c r="D8167" s="547" t="s">
        <v>60</v>
      </c>
      <c r="E8167" s="550" t="s">
        <v>883</v>
      </c>
      <c r="F8167" s="1240">
        <v>11</v>
      </c>
      <c r="G8167" s="549" t="s">
        <v>61</v>
      </c>
      <c r="H8167" s="599" t="s">
        <v>53</v>
      </c>
      <c r="I8167" s="558">
        <v>8.3000000000000007</v>
      </c>
      <c r="J8167" s="710">
        <v>9.3000000000000007</v>
      </c>
      <c r="K8167" s="648">
        <v>162</v>
      </c>
      <c r="L8167" s="552">
        <f t="shared" ref="L8167:L8172" si="1711">(I8167*J8167*K8167/1000)</f>
        <v>12.504780000000002</v>
      </c>
      <c r="M8167" s="549"/>
      <c r="N8167" s="549"/>
      <c r="O8167" s="549"/>
      <c r="P8167" s="549"/>
      <c r="Q8167" s="497" t="s">
        <v>966</v>
      </c>
    </row>
    <row r="8168" spans="1:17" ht="17.399999999999999">
      <c r="A8168" s="549"/>
      <c r="B8168" s="549" t="s">
        <v>88</v>
      </c>
      <c r="C8168" s="549"/>
      <c r="D8168" s="549"/>
      <c r="E8168" s="549"/>
      <c r="F8168" s="549"/>
      <c r="G8168" s="549" t="s">
        <v>61</v>
      </c>
      <c r="H8168" s="549" t="s">
        <v>53</v>
      </c>
      <c r="I8168" s="558">
        <v>8.3000000000000007</v>
      </c>
      <c r="J8168" s="710">
        <v>10.3</v>
      </c>
      <c r="K8168" s="648">
        <v>270</v>
      </c>
      <c r="L8168" s="552">
        <f t="shared" si="1711"/>
        <v>23.082300000000004</v>
      </c>
      <c r="M8168" s="549"/>
      <c r="N8168" s="549"/>
      <c r="O8168" s="549"/>
      <c r="P8168" s="549"/>
    </row>
    <row r="8169" spans="1:17" ht="17.399999999999999">
      <c r="A8169" s="549"/>
      <c r="B8169" s="549"/>
      <c r="C8169" s="549"/>
      <c r="D8169" s="549"/>
      <c r="E8169" s="549"/>
      <c r="F8169" s="549"/>
      <c r="G8169" s="549" t="s">
        <v>61</v>
      </c>
      <c r="H8169" s="549" t="s">
        <v>53</v>
      </c>
      <c r="I8169" s="558">
        <v>8.3000000000000007</v>
      </c>
      <c r="J8169" s="710">
        <v>10.5</v>
      </c>
      <c r="K8169" s="648">
        <v>144</v>
      </c>
      <c r="L8169" s="552">
        <f t="shared" si="1711"/>
        <v>12.5496</v>
      </c>
      <c r="M8169" s="549"/>
      <c r="N8169" s="549"/>
      <c r="O8169" s="549"/>
      <c r="P8169" s="549"/>
    </row>
    <row r="8170" spans="1:17" ht="17.399999999999999">
      <c r="A8170" s="549"/>
      <c r="B8170" s="549"/>
      <c r="C8170" s="549"/>
      <c r="D8170" s="549"/>
      <c r="E8170" s="549"/>
      <c r="F8170" s="549"/>
      <c r="G8170" s="549" t="s">
        <v>61</v>
      </c>
      <c r="H8170" s="549" t="s">
        <v>53</v>
      </c>
      <c r="I8170" s="558">
        <v>8.3000000000000007</v>
      </c>
      <c r="J8170" s="710">
        <v>10.7</v>
      </c>
      <c r="K8170" s="648">
        <v>216</v>
      </c>
      <c r="L8170" s="552">
        <f t="shared" si="1711"/>
        <v>19.182959999999998</v>
      </c>
      <c r="M8170" s="549"/>
      <c r="N8170" s="549"/>
      <c r="O8170" s="549"/>
      <c r="P8170" s="549"/>
    </row>
    <row r="8171" spans="1:17" ht="17.399999999999999">
      <c r="A8171" s="549"/>
      <c r="B8171" s="549"/>
      <c r="C8171" s="549"/>
      <c r="D8171" s="549"/>
      <c r="E8171" s="549"/>
      <c r="F8171" s="549"/>
      <c r="G8171" s="549" t="s">
        <v>61</v>
      </c>
      <c r="H8171" s="549" t="s">
        <v>53</v>
      </c>
      <c r="I8171" s="558">
        <v>8.3000000000000007</v>
      </c>
      <c r="J8171" s="710">
        <v>11</v>
      </c>
      <c r="K8171" s="648">
        <v>72</v>
      </c>
      <c r="L8171" s="552">
        <f t="shared" si="1711"/>
        <v>6.5736000000000008</v>
      </c>
      <c r="M8171" s="549"/>
      <c r="N8171" s="549"/>
      <c r="O8171" s="549"/>
      <c r="P8171" s="549"/>
    </row>
    <row r="8172" spans="1:17" ht="17.399999999999999">
      <c r="A8172" s="549"/>
      <c r="B8172" s="549"/>
      <c r="C8172" s="549"/>
      <c r="D8172" s="549"/>
      <c r="E8172" s="549"/>
      <c r="F8172" s="549"/>
      <c r="G8172" s="549" t="s">
        <v>61</v>
      </c>
      <c r="H8172" s="549" t="s">
        <v>53</v>
      </c>
      <c r="I8172" s="558">
        <v>8.3000000000000007</v>
      </c>
      <c r="J8172" s="710">
        <v>11.5</v>
      </c>
      <c r="K8172" s="648">
        <v>216</v>
      </c>
      <c r="L8172" s="552">
        <f t="shared" si="1711"/>
        <v>20.6172</v>
      </c>
      <c r="M8172" s="549"/>
      <c r="N8172" s="549"/>
      <c r="O8172" s="549"/>
      <c r="P8172" s="549"/>
    </row>
    <row r="8173" spans="1:17" ht="17.399999999999999">
      <c r="A8173" s="549"/>
      <c r="B8173" s="549"/>
      <c r="C8173" s="549"/>
      <c r="D8173" s="549"/>
      <c r="E8173" s="549"/>
      <c r="F8173" s="549"/>
      <c r="G8173" s="549"/>
      <c r="H8173" s="549"/>
      <c r="I8173" s="558"/>
      <c r="J8173" s="710"/>
      <c r="K8173" s="648">
        <f>SUM(K8167:K8172)</f>
        <v>1080</v>
      </c>
      <c r="L8173" s="765">
        <f>SUM(L8167:L8172)</f>
        <v>94.510440000000003</v>
      </c>
      <c r="M8173" s="549"/>
      <c r="N8173" s="549"/>
      <c r="O8173" s="549"/>
      <c r="P8173" s="549" t="s">
        <v>900</v>
      </c>
    </row>
    <row r="8174" spans="1:17" s="497" customFormat="1" ht="17.399999999999999">
      <c r="A8174" s="549"/>
      <c r="B8174" s="549"/>
      <c r="C8174" s="549"/>
      <c r="D8174" s="549"/>
      <c r="E8174" s="549"/>
      <c r="F8174" s="549"/>
      <c r="G8174" s="549"/>
      <c r="H8174" s="549"/>
      <c r="I8174" s="560"/>
      <c r="J8174" s="710"/>
      <c r="K8174" s="766">
        <f>SUM(K8164:K8173)/2</f>
        <v>1105</v>
      </c>
      <c r="L8174" s="765">
        <f>SUM(L8164:L8173)/2</f>
        <v>97.000439999999998</v>
      </c>
      <c r="M8174" s="549"/>
      <c r="N8174" s="549"/>
      <c r="O8174" s="549"/>
      <c r="P8174" s="549"/>
    </row>
    <row r="8175" spans="1:17" s="497" customFormat="1" ht="17.399999999999999">
      <c r="A8175" s="549"/>
      <c r="B8175" s="549"/>
      <c r="C8175" s="549"/>
      <c r="D8175" s="549"/>
      <c r="E8175" s="549"/>
      <c r="F8175" s="549"/>
      <c r="G8175" s="549"/>
      <c r="H8175" s="549"/>
      <c r="I8175" s="560"/>
      <c r="J8175" s="710"/>
      <c r="K8175" s="766"/>
      <c r="L8175" s="765"/>
      <c r="M8175" s="549"/>
      <c r="N8175" s="549"/>
      <c r="O8175" s="549"/>
      <c r="P8175" s="549"/>
    </row>
    <row r="8176" spans="1:17" s="497" customFormat="1" ht="17.399999999999999">
      <c r="A8176" s="549"/>
      <c r="B8176" s="549"/>
      <c r="C8176" s="549"/>
      <c r="D8176" s="549"/>
      <c r="E8176" s="549"/>
      <c r="F8176" s="549"/>
      <c r="G8176" s="549"/>
      <c r="H8176" s="549"/>
      <c r="I8176" s="560"/>
      <c r="J8176" s="710"/>
      <c r="K8176" s="766"/>
      <c r="L8176" s="765"/>
      <c r="M8176" s="549"/>
      <c r="N8176" s="549"/>
      <c r="O8176" s="549"/>
      <c r="P8176" s="549"/>
    </row>
    <row r="8177" spans="1:17" ht="17.399999999999999">
      <c r="A8177" s="547" t="s">
        <v>445</v>
      </c>
      <c r="B8177" s="1169" t="s">
        <v>611</v>
      </c>
      <c r="C8177" s="547" t="s">
        <v>19</v>
      </c>
      <c r="D8177" s="547" t="s">
        <v>20</v>
      </c>
      <c r="E8177" s="560" t="s">
        <v>464</v>
      </c>
      <c r="F8177" s="1240">
        <v>11</v>
      </c>
      <c r="G8177" s="549" t="s">
        <v>21</v>
      </c>
      <c r="H8177" s="549" t="s">
        <v>366</v>
      </c>
      <c r="I8177" s="558">
        <v>10.9</v>
      </c>
      <c r="J8177" s="567">
        <v>11.4</v>
      </c>
      <c r="K8177" s="648">
        <v>19</v>
      </c>
      <c r="L8177" s="552">
        <f t="shared" ref="L8177" si="1712">(I8177*J8177*K8177/1000)</f>
        <v>2.3609400000000003</v>
      </c>
      <c r="M8177" s="549"/>
      <c r="N8177" s="549"/>
      <c r="O8177" s="549"/>
      <c r="P8177" s="549"/>
    </row>
    <row r="8178" spans="1:17" ht="17.399999999999999">
      <c r="A8178" s="547"/>
      <c r="B8178" s="872" t="s">
        <v>884</v>
      </c>
      <c r="C8178" s="780"/>
      <c r="D8178" s="547"/>
      <c r="E8178" s="547"/>
      <c r="F8178" s="1240"/>
      <c r="G8178" s="549"/>
      <c r="H8178" s="549"/>
      <c r="I8178" s="560"/>
      <c r="J8178" s="549"/>
      <c r="K8178" s="652">
        <f>SUM(K8177)</f>
        <v>19</v>
      </c>
      <c r="L8178" s="565">
        <f>SUM(L8177)</f>
        <v>2.3609400000000003</v>
      </c>
      <c r="M8178" s="549"/>
      <c r="N8178" s="549"/>
      <c r="O8178" s="549"/>
      <c r="P8178" s="549"/>
    </row>
    <row r="8179" spans="1:17" ht="17.399999999999999">
      <c r="A8179" s="549"/>
      <c r="B8179" s="549"/>
      <c r="C8179" s="549"/>
      <c r="D8179" s="549"/>
      <c r="E8179" s="549"/>
      <c r="F8179" s="549"/>
      <c r="G8179" s="549"/>
      <c r="H8179" s="549"/>
      <c r="I8179" s="560"/>
      <c r="J8179" s="549"/>
      <c r="K8179" s="561"/>
      <c r="L8179" s="560"/>
      <c r="M8179" s="549"/>
      <c r="N8179" s="549"/>
      <c r="O8179" s="549"/>
      <c r="P8179" s="549"/>
    </row>
    <row r="8180" spans="1:17" s="497" customFormat="1" ht="17.399999999999999">
      <c r="A8180" s="547" t="s">
        <v>717</v>
      </c>
      <c r="B8180" s="1169" t="s">
        <v>308</v>
      </c>
      <c r="C8180" s="547" t="s">
        <v>19</v>
      </c>
      <c r="D8180" s="547" t="s">
        <v>20</v>
      </c>
      <c r="E8180" s="547" t="s">
        <v>359</v>
      </c>
      <c r="F8180" s="1246">
        <v>11</v>
      </c>
      <c r="G8180" s="792" t="s">
        <v>21</v>
      </c>
      <c r="H8180" s="549" t="s">
        <v>366</v>
      </c>
      <c r="I8180" s="773">
        <v>10.92</v>
      </c>
      <c r="J8180" s="774">
        <v>9.5</v>
      </c>
      <c r="K8180" s="775">
        <v>17</v>
      </c>
      <c r="L8180" s="552">
        <f>(I8180*J8180*K8180/1000)</f>
        <v>1.7635799999999999</v>
      </c>
      <c r="M8180" s="549">
        <v>2</v>
      </c>
      <c r="N8180" s="567">
        <f>J8180*M8180*I8180/1000</f>
        <v>0.20748</v>
      </c>
      <c r="O8180" s="549"/>
      <c r="P8180" s="549"/>
    </row>
    <row r="8181" spans="1:17" s="497" customFormat="1" ht="17.399999999999999">
      <c r="A8181" s="547"/>
      <c r="B8181" s="547"/>
      <c r="C8181" s="547"/>
      <c r="D8181" s="547"/>
      <c r="E8181" s="547"/>
      <c r="F8181" s="1246"/>
      <c r="G8181" s="792" t="s">
        <v>21</v>
      </c>
      <c r="H8181" s="549" t="s">
        <v>366</v>
      </c>
      <c r="I8181" s="773">
        <v>10.92</v>
      </c>
      <c r="J8181" s="774">
        <v>11.5</v>
      </c>
      <c r="K8181" s="775">
        <v>30</v>
      </c>
      <c r="L8181" s="552">
        <f>(I8181*J8181*K8181/1000)</f>
        <v>3.7674000000000003</v>
      </c>
      <c r="M8181" s="549">
        <v>1</v>
      </c>
      <c r="N8181" s="567">
        <f>J8181*M8181*I8181/1000</f>
        <v>0.12558</v>
      </c>
      <c r="O8181" s="549"/>
      <c r="P8181" s="549"/>
    </row>
    <row r="8182" spans="1:17" s="497" customFormat="1" ht="17.399999999999999">
      <c r="A8182" s="549"/>
      <c r="B8182" s="550"/>
      <c r="C8182" s="549"/>
      <c r="D8182" s="549"/>
      <c r="E8182" s="549"/>
      <c r="F8182" s="549"/>
      <c r="G8182" s="549"/>
      <c r="H8182" s="549"/>
      <c r="I8182" s="558"/>
      <c r="J8182" s="549"/>
      <c r="K8182" s="652">
        <f>SUM(K8180:K8181)</f>
        <v>47</v>
      </c>
      <c r="L8182" s="565">
        <f>SUM(L8180:L8181)</f>
        <v>5.5309800000000005</v>
      </c>
      <c r="M8182" s="652">
        <f>SUM(M8180:M8181)</f>
        <v>3</v>
      </c>
      <c r="N8182" s="565">
        <f>SUM(N8180:N8181)</f>
        <v>0.33306000000000002</v>
      </c>
      <c r="O8182" s="549"/>
      <c r="P8182" s="549"/>
    </row>
    <row r="8183" spans="1:17" s="497" customFormat="1" ht="17.399999999999999">
      <c r="A8183" s="549"/>
      <c r="B8183" s="549"/>
      <c r="C8183" s="549"/>
      <c r="D8183" s="549"/>
      <c r="E8183" s="549"/>
      <c r="F8183" s="549"/>
      <c r="G8183" s="549"/>
      <c r="H8183" s="549"/>
      <c r="I8183" s="560"/>
      <c r="J8183" s="549"/>
      <c r="K8183" s="652">
        <f>+K8182+K8178</f>
        <v>66</v>
      </c>
      <c r="L8183" s="565">
        <f>+L8182+L8178</f>
        <v>7.8919200000000007</v>
      </c>
      <c r="M8183" s="652">
        <f>+M8182+M8178</f>
        <v>3</v>
      </c>
      <c r="N8183" s="565">
        <f>+N8182+N8178</f>
        <v>0.33306000000000002</v>
      </c>
      <c r="O8183" s="549"/>
      <c r="P8183" s="549"/>
    </row>
    <row r="8184" spans="1:17" s="497" customFormat="1" ht="17.399999999999999">
      <c r="A8184" s="549"/>
      <c r="B8184" s="549"/>
      <c r="C8184" s="549"/>
      <c r="D8184" s="549"/>
      <c r="E8184" s="549"/>
      <c r="F8184" s="549"/>
      <c r="G8184" s="549"/>
      <c r="H8184" s="549"/>
      <c r="I8184" s="560"/>
      <c r="J8184" s="549"/>
      <c r="K8184" s="561"/>
      <c r="L8184" s="565"/>
      <c r="M8184" s="549"/>
      <c r="N8184" s="549"/>
      <c r="O8184" s="549"/>
      <c r="P8184" s="549"/>
    </row>
    <row r="8185" spans="1:17" s="497" customFormat="1" ht="17.399999999999999">
      <c r="A8185" s="549"/>
      <c r="B8185" s="549"/>
      <c r="C8185" s="549"/>
      <c r="D8185" s="549"/>
      <c r="E8185" s="549"/>
      <c r="F8185" s="549"/>
      <c r="G8185" s="549"/>
      <c r="H8185" s="549"/>
      <c r="I8185" s="560"/>
      <c r="J8185" s="549"/>
      <c r="K8185" s="561"/>
      <c r="L8185" s="560"/>
      <c r="M8185" s="549"/>
      <c r="N8185" s="549"/>
      <c r="O8185" s="549"/>
      <c r="P8185" s="549"/>
    </row>
    <row r="8186" spans="1:17" ht="17.399999999999999">
      <c r="A8186" s="547" t="s">
        <v>445</v>
      </c>
      <c r="B8186" s="547" t="s">
        <v>857</v>
      </c>
      <c r="C8186" s="547" t="s">
        <v>19</v>
      </c>
      <c r="D8186" s="547" t="s">
        <v>20</v>
      </c>
      <c r="E8186" s="1094" t="s">
        <v>264</v>
      </c>
      <c r="F8186" s="1240">
        <v>11</v>
      </c>
      <c r="G8186" s="549" t="s">
        <v>21</v>
      </c>
      <c r="H8186" s="599" t="s">
        <v>54</v>
      </c>
      <c r="I8186" s="558">
        <v>9.61</v>
      </c>
      <c r="J8186" s="710">
        <v>10.5</v>
      </c>
      <c r="K8186" s="648">
        <v>12</v>
      </c>
      <c r="L8186" s="552">
        <f>(I8186*J8186*K8186/1000)</f>
        <v>1.21086</v>
      </c>
      <c r="M8186" s="549"/>
      <c r="N8186" s="549"/>
      <c r="O8186" s="549"/>
      <c r="P8186" s="549"/>
      <c r="Q8186" s="497" t="s">
        <v>966</v>
      </c>
    </row>
    <row r="8187" spans="1:17" ht="17.399999999999999">
      <c r="A8187" s="549"/>
      <c r="B8187" s="550" t="s">
        <v>84</v>
      </c>
      <c r="C8187" s="549"/>
      <c r="D8187" s="549"/>
      <c r="E8187" s="549"/>
      <c r="F8187" s="549"/>
      <c r="G8187" s="549" t="s">
        <v>21</v>
      </c>
      <c r="H8187" s="549" t="s">
        <v>54</v>
      </c>
      <c r="I8187" s="558">
        <v>9.61</v>
      </c>
      <c r="J8187" s="710">
        <v>11.3</v>
      </c>
      <c r="K8187" s="648">
        <v>10</v>
      </c>
      <c r="L8187" s="552">
        <f>(I8187*J8187*K8187/1000)</f>
        <v>1.0859300000000001</v>
      </c>
      <c r="M8187" s="549"/>
      <c r="N8187" s="549"/>
      <c r="O8187" s="549"/>
      <c r="P8187" s="549"/>
    </row>
    <row r="8188" spans="1:17" ht="17.399999999999999">
      <c r="A8188" s="549"/>
      <c r="B8188" s="549"/>
      <c r="C8188" s="549"/>
      <c r="D8188" s="549"/>
      <c r="E8188" s="549"/>
      <c r="F8188" s="549"/>
      <c r="G8188" s="549"/>
      <c r="H8188" s="650"/>
      <c r="I8188" s="558"/>
      <c r="J8188" s="710"/>
      <c r="K8188" s="648">
        <f>SUM(K8186:K8187)</f>
        <v>22</v>
      </c>
      <c r="L8188" s="765">
        <f>SUM(L8186:L8187)</f>
        <v>2.2967900000000001</v>
      </c>
      <c r="M8188" s="549"/>
      <c r="N8188" s="549"/>
      <c r="O8188" s="549"/>
      <c r="P8188" s="549" t="s">
        <v>901</v>
      </c>
    </row>
    <row r="8189" spans="1:17" s="497" customFormat="1" ht="17.399999999999999">
      <c r="A8189" s="549"/>
      <c r="B8189" s="549"/>
      <c r="C8189" s="549"/>
      <c r="D8189" s="549"/>
      <c r="E8189" s="549"/>
      <c r="F8189" s="549"/>
      <c r="G8189" s="549"/>
      <c r="H8189" s="650"/>
      <c r="I8189" s="558"/>
      <c r="J8189" s="710"/>
      <c r="K8189" s="648"/>
      <c r="L8189" s="765"/>
      <c r="M8189" s="549"/>
      <c r="N8189" s="549"/>
      <c r="O8189" s="549"/>
      <c r="P8189" s="549"/>
    </row>
    <row r="8190" spans="1:17" s="497" customFormat="1" ht="17.399999999999999">
      <c r="A8190" s="549"/>
      <c r="B8190" s="549"/>
      <c r="C8190" s="549"/>
      <c r="D8190" s="549"/>
      <c r="E8190" s="549"/>
      <c r="F8190" s="549"/>
      <c r="G8190" s="549"/>
      <c r="H8190" s="650"/>
      <c r="I8190" s="558"/>
      <c r="J8190" s="710"/>
      <c r="K8190" s="648"/>
      <c r="L8190" s="765"/>
      <c r="M8190" s="549"/>
      <c r="N8190" s="549"/>
      <c r="O8190" s="549"/>
      <c r="P8190" s="549"/>
    </row>
    <row r="8191" spans="1:17" s="497" customFormat="1" ht="17.399999999999999">
      <c r="A8191" s="547" t="s">
        <v>717</v>
      </c>
      <c r="B8191" s="1169" t="s">
        <v>308</v>
      </c>
      <c r="C8191" s="547" t="s">
        <v>19</v>
      </c>
      <c r="D8191" s="547" t="s">
        <v>20</v>
      </c>
      <c r="E8191" s="547" t="s">
        <v>359</v>
      </c>
      <c r="F8191" s="1246">
        <v>11</v>
      </c>
      <c r="G8191" s="792" t="s">
        <v>21</v>
      </c>
      <c r="H8191" s="549" t="s">
        <v>54</v>
      </c>
      <c r="I8191" s="558">
        <v>9.61</v>
      </c>
      <c r="J8191" s="774">
        <v>9.1</v>
      </c>
      <c r="K8191" s="775">
        <v>15</v>
      </c>
      <c r="L8191" s="709">
        <f>(I8191*J8191*K8191/1000)</f>
        <v>1.3117649999999998</v>
      </c>
      <c r="M8191" s="549"/>
      <c r="N8191" s="549"/>
      <c r="O8191" s="549"/>
      <c r="P8191" s="549"/>
    </row>
    <row r="8192" spans="1:17" s="497" customFormat="1" ht="17.399999999999999">
      <c r="A8192" s="549"/>
      <c r="B8192" s="549"/>
      <c r="C8192" s="549"/>
      <c r="D8192" s="549"/>
      <c r="E8192" s="549"/>
      <c r="F8192" s="549"/>
      <c r="G8192" s="549"/>
      <c r="H8192" s="650"/>
      <c r="I8192" s="558"/>
      <c r="J8192" s="710"/>
      <c r="K8192" s="648">
        <f t="shared" ref="K8192:L8192" si="1713">SUM(K8191)</f>
        <v>15</v>
      </c>
      <c r="L8192" s="765">
        <f t="shared" si="1713"/>
        <v>1.3117649999999998</v>
      </c>
      <c r="M8192" s="549"/>
      <c r="N8192" s="549"/>
      <c r="O8192" s="549"/>
      <c r="P8192" s="549"/>
    </row>
    <row r="8193" spans="1:17" s="497" customFormat="1" ht="17.399999999999999">
      <c r="A8193" s="549"/>
      <c r="B8193" s="549"/>
      <c r="C8193" s="549"/>
      <c r="D8193" s="549"/>
      <c r="E8193" s="549"/>
      <c r="F8193" s="549"/>
      <c r="G8193" s="549"/>
      <c r="H8193" s="650"/>
      <c r="I8193" s="558"/>
      <c r="J8193" s="710"/>
      <c r="K8193" s="648"/>
      <c r="L8193" s="765"/>
      <c r="M8193" s="549"/>
      <c r="N8193" s="549"/>
      <c r="O8193" s="549"/>
      <c r="P8193" s="549"/>
    </row>
    <row r="8194" spans="1:17" ht="17.399999999999999">
      <c r="A8194" s="547" t="s">
        <v>445</v>
      </c>
      <c r="B8194" s="547" t="s">
        <v>881</v>
      </c>
      <c r="C8194" s="547" t="s">
        <v>19</v>
      </c>
      <c r="D8194" s="547" t="s">
        <v>20</v>
      </c>
      <c r="E8194" s="1025" t="s">
        <v>879</v>
      </c>
      <c r="F8194" s="1240">
        <v>11</v>
      </c>
      <c r="G8194" s="549" t="s">
        <v>21</v>
      </c>
      <c r="H8194" s="599" t="s">
        <v>54</v>
      </c>
      <c r="I8194" s="558">
        <v>9.61</v>
      </c>
      <c r="J8194" s="710">
        <v>10.5</v>
      </c>
      <c r="K8194" s="648">
        <v>1</v>
      </c>
      <c r="L8194" s="709">
        <f>(I8194*J8194*K8194/1000)</f>
        <v>0.10090499999999999</v>
      </c>
      <c r="M8194" s="549"/>
      <c r="N8194" s="549"/>
      <c r="O8194" s="549"/>
      <c r="P8194" s="549"/>
      <c r="Q8194" s="497" t="s">
        <v>966</v>
      </c>
    </row>
    <row r="8195" spans="1:17" ht="17.399999999999999">
      <c r="A8195" s="549"/>
      <c r="B8195" s="550" t="s">
        <v>52</v>
      </c>
      <c r="C8195" s="549"/>
      <c r="D8195" s="549"/>
      <c r="E8195" s="549"/>
      <c r="F8195" s="549"/>
      <c r="G8195" s="549"/>
      <c r="H8195" s="549"/>
      <c r="I8195" s="558"/>
      <c r="J8195" s="710"/>
      <c r="K8195" s="648">
        <f t="shared" ref="K8195:L8195" si="1714">SUM(K8194)</f>
        <v>1</v>
      </c>
      <c r="L8195" s="765">
        <f t="shared" si="1714"/>
        <v>0.10090499999999999</v>
      </c>
      <c r="M8195" s="549"/>
      <c r="N8195" s="549"/>
      <c r="O8195" s="549"/>
      <c r="P8195" s="549" t="s">
        <v>914</v>
      </c>
    </row>
    <row r="8196" spans="1:17" ht="17.399999999999999">
      <c r="A8196" s="549"/>
      <c r="B8196" s="549"/>
      <c r="C8196" s="549"/>
      <c r="D8196" s="549"/>
      <c r="E8196" s="549"/>
      <c r="F8196" s="549"/>
      <c r="G8196" s="549"/>
      <c r="H8196" s="549"/>
      <c r="I8196" s="558"/>
      <c r="J8196" s="549"/>
      <c r="K8196" s="561"/>
      <c r="L8196" s="560"/>
      <c r="M8196" s="549"/>
      <c r="N8196" s="549"/>
      <c r="O8196" s="549"/>
      <c r="P8196" s="549"/>
    </row>
    <row r="8197" spans="1:17" ht="17.399999999999999">
      <c r="A8197" s="547" t="s">
        <v>445</v>
      </c>
      <c r="B8197" s="547" t="s">
        <v>857</v>
      </c>
      <c r="C8197" s="547" t="s">
        <v>19</v>
      </c>
      <c r="D8197" s="547" t="s">
        <v>20</v>
      </c>
      <c r="E8197" s="1025" t="s">
        <v>879</v>
      </c>
      <c r="F8197" s="1240">
        <v>11</v>
      </c>
      <c r="G8197" s="549" t="s">
        <v>21</v>
      </c>
      <c r="H8197" s="599" t="s">
        <v>54</v>
      </c>
      <c r="I8197" s="558">
        <v>9.61</v>
      </c>
      <c r="J8197" s="710">
        <v>10.5</v>
      </c>
      <c r="K8197" s="648">
        <v>8</v>
      </c>
      <c r="L8197" s="552">
        <f>(I8197*J8197*K8197/1000)</f>
        <v>0.80723999999999996</v>
      </c>
      <c r="M8197" s="549"/>
      <c r="N8197" s="549"/>
      <c r="O8197" s="549"/>
      <c r="P8197" s="549"/>
      <c r="Q8197" s="497" t="s">
        <v>966</v>
      </c>
    </row>
    <row r="8198" spans="1:17" ht="17.399999999999999">
      <c r="A8198" s="549"/>
      <c r="B8198" s="550" t="s">
        <v>84</v>
      </c>
      <c r="C8198" s="549"/>
      <c r="D8198" s="549"/>
      <c r="E8198" s="549"/>
      <c r="F8198" s="549"/>
      <c r="G8198" s="549"/>
      <c r="H8198" s="650"/>
      <c r="I8198" s="558"/>
      <c r="J8198" s="710"/>
      <c r="K8198" s="648">
        <f t="shared" ref="K8198:L8198" si="1715">SUM(K8197)</f>
        <v>8</v>
      </c>
      <c r="L8198" s="765">
        <f t="shared" si="1715"/>
        <v>0.80723999999999996</v>
      </c>
      <c r="M8198" s="549"/>
      <c r="N8198" s="549"/>
      <c r="O8198" s="549"/>
      <c r="P8198" s="549" t="s">
        <v>914</v>
      </c>
    </row>
    <row r="8199" spans="1:17" ht="17.399999999999999">
      <c r="A8199" s="549"/>
      <c r="B8199" s="549"/>
      <c r="C8199" s="549"/>
      <c r="D8199" s="549"/>
      <c r="E8199" s="549"/>
      <c r="F8199" s="549"/>
      <c r="G8199" s="549"/>
      <c r="H8199" s="549"/>
      <c r="I8199" s="558"/>
      <c r="J8199" s="549"/>
      <c r="K8199" s="561"/>
      <c r="L8199" s="560"/>
      <c r="M8199" s="549"/>
      <c r="N8199" s="549"/>
      <c r="O8199" s="549"/>
      <c r="P8199" s="549"/>
    </row>
    <row r="8200" spans="1:17" ht="17.399999999999999">
      <c r="A8200" s="547" t="s">
        <v>445</v>
      </c>
      <c r="B8200" s="547" t="s">
        <v>880</v>
      </c>
      <c r="C8200" s="547" t="s">
        <v>19</v>
      </c>
      <c r="D8200" s="547" t="s">
        <v>20</v>
      </c>
      <c r="E8200" s="1025" t="s">
        <v>879</v>
      </c>
      <c r="F8200" s="1240">
        <v>11</v>
      </c>
      <c r="G8200" s="549" t="s">
        <v>21</v>
      </c>
      <c r="H8200" s="599" t="s">
        <v>54</v>
      </c>
      <c r="I8200" s="558">
        <v>9.61</v>
      </c>
      <c r="J8200" s="710">
        <v>10.5</v>
      </c>
      <c r="K8200" s="648">
        <v>1</v>
      </c>
      <c r="L8200" s="552">
        <f>(I8200*J8200*K8200/1000)</f>
        <v>0.10090499999999999</v>
      </c>
      <c r="M8200" s="549"/>
      <c r="N8200" s="549"/>
      <c r="O8200" s="549"/>
      <c r="P8200" s="549"/>
      <c r="Q8200" s="497" t="s">
        <v>966</v>
      </c>
    </row>
    <row r="8201" spans="1:17" ht="17.399999999999999">
      <c r="A8201" s="549"/>
      <c r="B8201" s="550" t="s">
        <v>52</v>
      </c>
      <c r="C8201" s="549"/>
      <c r="D8201" s="549"/>
      <c r="E8201" s="549"/>
      <c r="F8201" s="549"/>
      <c r="G8201" s="549"/>
      <c r="H8201" s="549"/>
      <c r="I8201" s="558"/>
      <c r="J8201" s="710"/>
      <c r="K8201" s="648">
        <f t="shared" ref="K8201" si="1716">SUM(K8200)</f>
        <v>1</v>
      </c>
      <c r="L8201" s="765">
        <f>SUM(L8200)</f>
        <v>0.10090499999999999</v>
      </c>
      <c r="M8201" s="549"/>
      <c r="N8201" s="549"/>
      <c r="O8201" s="549"/>
      <c r="P8201" s="549" t="s">
        <v>914</v>
      </c>
    </row>
    <row r="8202" spans="1:17" s="497" customFormat="1" ht="17.399999999999999">
      <c r="A8202" s="549"/>
      <c r="B8202" s="550"/>
      <c r="C8202" s="549"/>
      <c r="D8202" s="549"/>
      <c r="E8202" s="549"/>
      <c r="F8202" s="549"/>
      <c r="G8202" s="549"/>
      <c r="H8202" s="549"/>
      <c r="I8202" s="558"/>
      <c r="J8202" s="710"/>
      <c r="K8202" s="766">
        <f>SUM(K8186:K8201)/2</f>
        <v>47</v>
      </c>
      <c r="L8202" s="765">
        <f>SUM(L8186:L8201)/2</f>
        <v>4.6176049999999993</v>
      </c>
      <c r="M8202" s="549"/>
      <c r="N8202" s="549"/>
      <c r="O8202" s="549"/>
      <c r="P8202" s="549"/>
    </row>
    <row r="8203" spans="1:17" s="497" customFormat="1" ht="17.399999999999999">
      <c r="A8203" s="549"/>
      <c r="B8203" s="550"/>
      <c r="C8203" s="549"/>
      <c r="D8203" s="549"/>
      <c r="E8203" s="549"/>
      <c r="F8203" s="549"/>
      <c r="G8203" s="549"/>
      <c r="H8203" s="549"/>
      <c r="I8203" s="558"/>
      <c r="J8203" s="710"/>
      <c r="K8203" s="766"/>
      <c r="L8203" s="765"/>
      <c r="M8203" s="549"/>
      <c r="N8203" s="549"/>
      <c r="O8203" s="549"/>
      <c r="P8203" s="549"/>
    </row>
    <row r="8204" spans="1:17" s="497" customFormat="1" ht="17.399999999999999">
      <c r="A8204" s="549"/>
      <c r="B8204" s="550"/>
      <c r="C8204" s="549"/>
      <c r="D8204" s="549"/>
      <c r="E8204" s="549"/>
      <c r="F8204" s="549"/>
      <c r="G8204" s="549"/>
      <c r="H8204" s="549"/>
      <c r="I8204" s="558"/>
      <c r="J8204" s="710"/>
      <c r="K8204" s="648"/>
      <c r="L8204" s="765"/>
      <c r="M8204" s="549"/>
      <c r="N8204" s="549"/>
      <c r="O8204" s="549"/>
      <c r="P8204" s="549"/>
    </row>
    <row r="8205" spans="1:17" ht="17.399999999999999">
      <c r="A8205" s="547" t="s">
        <v>445</v>
      </c>
      <c r="B8205" s="547" t="s">
        <v>880</v>
      </c>
      <c r="C8205" s="547" t="s">
        <v>19</v>
      </c>
      <c r="D8205" s="547" t="s">
        <v>20</v>
      </c>
      <c r="E8205" s="1025" t="s">
        <v>879</v>
      </c>
      <c r="F8205" s="1240">
        <v>11</v>
      </c>
      <c r="G8205" s="549" t="s">
        <v>21</v>
      </c>
      <c r="H8205" s="599" t="s">
        <v>53</v>
      </c>
      <c r="I8205" s="558">
        <v>8.3000000000000007</v>
      </c>
      <c r="J8205" s="710">
        <v>11.2</v>
      </c>
      <c r="K8205" s="648">
        <v>2</v>
      </c>
      <c r="L8205" s="552">
        <f>(I8205*J8205*K8205/1000)</f>
        <v>0.18592000000000003</v>
      </c>
      <c r="M8205" s="549"/>
      <c r="N8205" s="549"/>
      <c r="O8205" s="549"/>
      <c r="P8205" s="549"/>
      <c r="Q8205" s="497" t="s">
        <v>966</v>
      </c>
    </row>
    <row r="8206" spans="1:17" ht="17.399999999999999">
      <c r="A8206" s="549"/>
      <c r="B8206" s="550" t="s">
        <v>52</v>
      </c>
      <c r="C8206" s="549"/>
      <c r="D8206" s="549"/>
      <c r="E8206" s="549"/>
      <c r="F8206" s="549"/>
      <c r="G8206" s="549"/>
      <c r="H8206" s="549"/>
      <c r="I8206" s="558"/>
      <c r="J8206" s="710"/>
      <c r="K8206" s="648">
        <f t="shared" ref="K8206:L8206" si="1717">SUM(K8205)</f>
        <v>2</v>
      </c>
      <c r="L8206" s="765">
        <f t="shared" si="1717"/>
        <v>0.18592000000000003</v>
      </c>
      <c r="M8206" s="549"/>
      <c r="N8206" s="549"/>
      <c r="O8206" s="549"/>
      <c r="P8206" s="549" t="s">
        <v>902</v>
      </c>
    </row>
    <row r="8207" spans="1:17" ht="17.399999999999999">
      <c r="A8207" s="549"/>
      <c r="B8207" s="549"/>
      <c r="C8207" s="549"/>
      <c r="D8207" s="549"/>
      <c r="E8207" s="549"/>
      <c r="F8207" s="549"/>
      <c r="G8207" s="549"/>
      <c r="H8207" s="549"/>
      <c r="I8207" s="558"/>
      <c r="J8207" s="549"/>
      <c r="K8207" s="561"/>
      <c r="L8207" s="560"/>
      <c r="M8207" s="549"/>
      <c r="N8207" s="549"/>
      <c r="O8207" s="549"/>
      <c r="P8207" s="549"/>
    </row>
    <row r="8208" spans="1:17" ht="17.399999999999999">
      <c r="A8208" s="547" t="s">
        <v>445</v>
      </c>
      <c r="B8208" s="547" t="s">
        <v>857</v>
      </c>
      <c r="C8208" s="547" t="s">
        <v>19</v>
      </c>
      <c r="D8208" s="547" t="s">
        <v>20</v>
      </c>
      <c r="E8208" s="1025" t="s">
        <v>879</v>
      </c>
      <c r="F8208" s="1240">
        <v>11</v>
      </c>
      <c r="G8208" s="549" t="s">
        <v>21</v>
      </c>
      <c r="H8208" s="599" t="s">
        <v>53</v>
      </c>
      <c r="I8208" s="558">
        <v>8.3000000000000007</v>
      </c>
      <c r="J8208" s="710">
        <v>11.2</v>
      </c>
      <c r="K8208" s="648">
        <v>17</v>
      </c>
      <c r="L8208" s="552">
        <f>(I8208*J8208*K8208/1000)</f>
        <v>1.5803200000000002</v>
      </c>
      <c r="M8208" s="549"/>
      <c r="N8208" s="549"/>
      <c r="O8208" s="549"/>
      <c r="P8208" s="549"/>
      <c r="Q8208" s="497" t="s">
        <v>966</v>
      </c>
    </row>
    <row r="8209" spans="1:17" ht="17.399999999999999">
      <c r="A8209" s="549"/>
      <c r="B8209" s="550" t="s">
        <v>84</v>
      </c>
      <c r="C8209" s="549"/>
      <c r="D8209" s="549"/>
      <c r="E8209" s="549"/>
      <c r="F8209" s="549"/>
      <c r="G8209" s="549"/>
      <c r="H8209" s="650"/>
      <c r="I8209" s="558"/>
      <c r="J8209" s="710"/>
      <c r="K8209" s="648">
        <f t="shared" ref="K8209:L8209" si="1718">SUM(K8208)</f>
        <v>17</v>
      </c>
      <c r="L8209" s="765">
        <f t="shared" si="1718"/>
        <v>1.5803200000000002</v>
      </c>
      <c r="M8209" s="549"/>
      <c r="N8209" s="549"/>
      <c r="O8209" s="549"/>
      <c r="P8209" s="549" t="s">
        <v>902</v>
      </c>
    </row>
    <row r="8210" spans="1:17" ht="17.399999999999999">
      <c r="A8210" s="549"/>
      <c r="B8210" s="549"/>
      <c r="C8210" s="549"/>
      <c r="D8210" s="549"/>
      <c r="E8210" s="549"/>
      <c r="F8210" s="549"/>
      <c r="G8210" s="549"/>
      <c r="H8210" s="549"/>
      <c r="I8210" s="558"/>
      <c r="J8210" s="549"/>
      <c r="K8210" s="561"/>
      <c r="L8210" s="560"/>
      <c r="M8210" s="549"/>
      <c r="N8210" s="549"/>
      <c r="O8210" s="549"/>
      <c r="P8210" s="549"/>
    </row>
    <row r="8211" spans="1:17" ht="17.399999999999999">
      <c r="A8211" s="547" t="s">
        <v>445</v>
      </c>
      <c r="B8211" s="547" t="s">
        <v>881</v>
      </c>
      <c r="C8211" s="547" t="s">
        <v>19</v>
      </c>
      <c r="D8211" s="547" t="s">
        <v>20</v>
      </c>
      <c r="E8211" s="1025" t="s">
        <v>879</v>
      </c>
      <c r="F8211" s="1240">
        <v>11</v>
      </c>
      <c r="G8211" s="549" t="s">
        <v>21</v>
      </c>
      <c r="H8211" s="599" t="s">
        <v>53</v>
      </c>
      <c r="I8211" s="558">
        <v>8.3000000000000007</v>
      </c>
      <c r="J8211" s="710">
        <v>11.2</v>
      </c>
      <c r="K8211" s="648">
        <v>5</v>
      </c>
      <c r="L8211" s="709">
        <f>(I8211*J8211*K8211/1000)</f>
        <v>0.46480000000000005</v>
      </c>
      <c r="M8211" s="549"/>
      <c r="N8211" s="549"/>
      <c r="O8211" s="549"/>
      <c r="P8211" s="549"/>
      <c r="Q8211" s="497" t="s">
        <v>966</v>
      </c>
    </row>
    <row r="8212" spans="1:17" ht="17.399999999999999">
      <c r="A8212" s="549"/>
      <c r="B8212" s="550" t="s">
        <v>52</v>
      </c>
      <c r="C8212" s="549"/>
      <c r="D8212" s="549"/>
      <c r="E8212" s="549"/>
      <c r="F8212" s="549"/>
      <c r="G8212" s="549"/>
      <c r="H8212" s="549"/>
      <c r="I8212" s="558"/>
      <c r="J8212" s="710"/>
      <c r="K8212" s="648">
        <f t="shared" ref="K8212:L8212" si="1719">SUM(K8211)</f>
        <v>5</v>
      </c>
      <c r="L8212" s="765">
        <f t="shared" si="1719"/>
        <v>0.46480000000000005</v>
      </c>
      <c r="M8212" s="549"/>
      <c r="N8212" s="549"/>
      <c r="O8212" s="549"/>
      <c r="P8212" s="549" t="s">
        <v>902</v>
      </c>
    </row>
    <row r="8213" spans="1:17" ht="17.399999999999999">
      <c r="A8213" s="549"/>
      <c r="B8213" s="549"/>
      <c r="C8213" s="549"/>
      <c r="D8213" s="549"/>
      <c r="E8213" s="549"/>
      <c r="F8213" s="549"/>
      <c r="G8213" s="549"/>
      <c r="H8213" s="549"/>
      <c r="I8213" s="558"/>
      <c r="J8213" s="549"/>
      <c r="K8213" s="561"/>
      <c r="L8213" s="560"/>
      <c r="M8213" s="549"/>
      <c r="N8213" s="549"/>
      <c r="O8213" s="549"/>
      <c r="P8213" s="549"/>
    </row>
    <row r="8214" spans="1:17" ht="17.399999999999999">
      <c r="A8214" s="547" t="s">
        <v>445</v>
      </c>
      <c r="B8214" s="547" t="s">
        <v>882</v>
      </c>
      <c r="C8214" s="547" t="s">
        <v>19</v>
      </c>
      <c r="D8214" s="547" t="s">
        <v>20</v>
      </c>
      <c r="E8214" s="1025" t="s">
        <v>879</v>
      </c>
      <c r="F8214" s="1240">
        <v>11</v>
      </c>
      <c r="G8214" s="549" t="s">
        <v>21</v>
      </c>
      <c r="H8214" s="599" t="s">
        <v>53</v>
      </c>
      <c r="I8214" s="558">
        <v>8.3000000000000007</v>
      </c>
      <c r="J8214" s="567">
        <v>12</v>
      </c>
      <c r="K8214" s="648">
        <v>3</v>
      </c>
      <c r="L8214" s="709">
        <f t="shared" ref="L8214" si="1720">(I8214*J8214*K8214/1000)</f>
        <v>0.29880000000000001</v>
      </c>
      <c r="M8214" s="549"/>
      <c r="N8214" s="549"/>
      <c r="O8214" s="549"/>
      <c r="P8214" s="549"/>
      <c r="Q8214" s="497" t="s">
        <v>966</v>
      </c>
    </row>
    <row r="8215" spans="1:17" ht="17.399999999999999">
      <c r="A8215" s="549"/>
      <c r="B8215" s="550" t="s">
        <v>52</v>
      </c>
      <c r="C8215" s="549"/>
      <c r="D8215" s="549"/>
      <c r="E8215" s="549"/>
      <c r="F8215" s="549"/>
      <c r="G8215" s="549"/>
      <c r="H8215" s="549"/>
      <c r="I8215" s="558"/>
      <c r="J8215" s="549"/>
      <c r="K8215" s="652">
        <f t="shared" ref="K8215:L8215" si="1721">SUM(K8214)</f>
        <v>3</v>
      </c>
      <c r="L8215" s="565">
        <f t="shared" si="1721"/>
        <v>0.29880000000000001</v>
      </c>
      <c r="M8215" s="549"/>
      <c r="N8215" s="549"/>
      <c r="O8215" s="549"/>
      <c r="P8215" s="549" t="s">
        <v>902</v>
      </c>
    </row>
    <row r="8216" spans="1:17" s="497" customFormat="1" ht="17.399999999999999">
      <c r="A8216" s="549"/>
      <c r="B8216" s="550"/>
      <c r="C8216" s="549"/>
      <c r="D8216" s="549"/>
      <c r="E8216" s="549"/>
      <c r="F8216" s="549"/>
      <c r="G8216" s="549"/>
      <c r="H8216" s="549"/>
      <c r="I8216" s="558"/>
      <c r="J8216" s="549"/>
      <c r="K8216" s="652"/>
      <c r="L8216" s="565"/>
      <c r="M8216" s="549"/>
      <c r="N8216" s="549"/>
      <c r="O8216" s="549"/>
      <c r="P8216" s="549"/>
    </row>
    <row r="8217" spans="1:17" s="497" customFormat="1" ht="17.399999999999999">
      <c r="A8217" s="549"/>
      <c r="B8217" s="550"/>
      <c r="C8217" s="549"/>
      <c r="D8217" s="549"/>
      <c r="E8217" s="549"/>
      <c r="F8217" s="549"/>
      <c r="G8217" s="549"/>
      <c r="H8217" s="549"/>
      <c r="I8217" s="558"/>
      <c r="J8217" s="549"/>
      <c r="K8217" s="652"/>
      <c r="L8217" s="565"/>
      <c r="M8217" s="549"/>
      <c r="N8217" s="549"/>
      <c r="O8217" s="549"/>
      <c r="P8217" s="549"/>
    </row>
    <row r="8218" spans="1:17" s="497" customFormat="1" ht="17.399999999999999">
      <c r="A8218" s="547" t="s">
        <v>717</v>
      </c>
      <c r="B8218" s="1169" t="s">
        <v>308</v>
      </c>
      <c r="C8218" s="547" t="s">
        <v>19</v>
      </c>
      <c r="D8218" s="547" t="s">
        <v>20</v>
      </c>
      <c r="E8218" s="547" t="s">
        <v>359</v>
      </c>
      <c r="F8218" s="1246">
        <v>11</v>
      </c>
      <c r="G8218" s="792" t="s">
        <v>21</v>
      </c>
      <c r="H8218" s="1227" t="s">
        <v>53</v>
      </c>
      <c r="I8218" s="773">
        <v>8.32</v>
      </c>
      <c r="J8218" s="774">
        <v>8.8000000000000007</v>
      </c>
      <c r="K8218" s="775">
        <v>72</v>
      </c>
      <c r="L8218" s="709">
        <f>(I8218*J8218*K8218/1000)</f>
        <v>5.2715520000000007</v>
      </c>
      <c r="M8218" s="549">
        <v>8</v>
      </c>
      <c r="N8218" s="567">
        <f t="shared" ref="N8218:N8219" si="1722">J8218*M8218*I8218/1000</f>
        <v>0.58572800000000003</v>
      </c>
      <c r="O8218" s="549"/>
      <c r="P8218" s="549"/>
    </row>
    <row r="8219" spans="1:17" s="497" customFormat="1" ht="17.399999999999999">
      <c r="A8219" s="547"/>
      <c r="B8219" s="547"/>
      <c r="C8219" s="547"/>
      <c r="D8219" s="547"/>
      <c r="E8219" s="547"/>
      <c r="F8219" s="1246"/>
      <c r="G8219" s="792" t="s">
        <v>21</v>
      </c>
      <c r="H8219" s="1227" t="s">
        <v>53</v>
      </c>
      <c r="I8219" s="773">
        <v>8.32</v>
      </c>
      <c r="J8219" s="774">
        <v>12</v>
      </c>
      <c r="K8219" s="775">
        <v>104</v>
      </c>
      <c r="L8219" s="709">
        <f>(I8219*J8219*K8219/1000)</f>
        <v>10.38336</v>
      </c>
      <c r="M8219" s="549">
        <f>3+3</f>
        <v>6</v>
      </c>
      <c r="N8219" s="567">
        <f t="shared" si="1722"/>
        <v>0.59904000000000002</v>
      </c>
      <c r="O8219" s="549"/>
      <c r="P8219" s="549"/>
    </row>
    <row r="8220" spans="1:17" s="497" customFormat="1" ht="17.399999999999999">
      <c r="A8220" s="547"/>
      <c r="B8220" s="547"/>
      <c r="C8220" s="547"/>
      <c r="D8220" s="547"/>
      <c r="E8220" s="547"/>
      <c r="F8220" s="1246"/>
      <c r="G8220" s="792" t="s">
        <v>21</v>
      </c>
      <c r="H8220" s="1227" t="s">
        <v>53</v>
      </c>
      <c r="I8220" s="773">
        <v>8.32</v>
      </c>
      <c r="J8220" s="774">
        <v>12</v>
      </c>
      <c r="K8220" s="775">
        <v>62</v>
      </c>
      <c r="L8220" s="709">
        <f>(I8220*J8220*K8220/1000)</f>
        <v>6.19008</v>
      </c>
      <c r="M8220" s="549"/>
      <c r="N8220" s="567"/>
      <c r="O8220" s="549"/>
      <c r="P8220" s="549"/>
    </row>
    <row r="8221" spans="1:17" s="497" customFormat="1" ht="17.399999999999999">
      <c r="A8221" s="550"/>
      <c r="B8221" s="550"/>
      <c r="C8221" s="550"/>
      <c r="D8221" s="550"/>
      <c r="E8221" s="550"/>
      <c r="F8221" s="550"/>
      <c r="G8221" s="550"/>
      <c r="H8221" s="550"/>
      <c r="I8221" s="551"/>
      <c r="J8221" s="550"/>
      <c r="K8221" s="708">
        <f>SUM(K8218:K8220)</f>
        <v>238</v>
      </c>
      <c r="L8221" s="709">
        <f>SUM(L8218:L8220)</f>
        <v>21.844991999999998</v>
      </c>
      <c r="M8221" s="708">
        <f>SUM(M8218:M8219)</f>
        <v>14</v>
      </c>
      <c r="N8221" s="709">
        <f>SUM(N8218:N8219)</f>
        <v>1.184768</v>
      </c>
      <c r="O8221" s="549"/>
      <c r="P8221" s="549"/>
    </row>
    <row r="8222" spans="1:17" s="497" customFormat="1" ht="17.399999999999999">
      <c r="A8222" s="550"/>
      <c r="B8222" s="550"/>
      <c r="C8222" s="550"/>
      <c r="D8222" s="550"/>
      <c r="E8222" s="550"/>
      <c r="F8222" s="550"/>
      <c r="G8222" s="550"/>
      <c r="H8222" s="550"/>
      <c r="I8222" s="551"/>
      <c r="J8222" s="550"/>
      <c r="K8222" s="708"/>
      <c r="L8222" s="709"/>
      <c r="M8222" s="549"/>
      <c r="N8222" s="549"/>
      <c r="O8222" s="549"/>
      <c r="P8222" s="549"/>
    </row>
    <row r="8223" spans="1:17" s="497" customFormat="1" ht="17.399999999999999">
      <c r="A8223" s="547" t="s">
        <v>445</v>
      </c>
      <c r="B8223" s="547" t="s">
        <v>857</v>
      </c>
      <c r="C8223" s="547" t="s">
        <v>19</v>
      </c>
      <c r="D8223" s="547" t="s">
        <v>20</v>
      </c>
      <c r="E8223" s="1246" t="s">
        <v>264</v>
      </c>
      <c r="F8223" s="1246">
        <v>11</v>
      </c>
      <c r="G8223" s="550" t="s">
        <v>21</v>
      </c>
      <c r="H8223" s="599" t="s">
        <v>53</v>
      </c>
      <c r="I8223" s="551">
        <v>8.3000000000000007</v>
      </c>
      <c r="J8223" s="763">
        <v>10.5</v>
      </c>
      <c r="K8223" s="766">
        <v>15</v>
      </c>
      <c r="L8223" s="552">
        <f>(I8223*J8223*K8223/1000)</f>
        <v>1.30725</v>
      </c>
      <c r="M8223" s="549"/>
      <c r="N8223" s="549"/>
      <c r="O8223" s="549"/>
      <c r="P8223" s="549"/>
      <c r="Q8223" s="497" t="s">
        <v>966</v>
      </c>
    </row>
    <row r="8224" spans="1:17" s="497" customFormat="1" ht="17.399999999999999">
      <c r="A8224" s="550"/>
      <c r="B8224" s="550" t="s">
        <v>84</v>
      </c>
      <c r="C8224" s="550"/>
      <c r="D8224" s="550"/>
      <c r="E8224" s="550"/>
      <c r="F8224" s="550"/>
      <c r="G8224" s="550" t="s">
        <v>21</v>
      </c>
      <c r="H8224" s="550" t="s">
        <v>53</v>
      </c>
      <c r="I8224" s="551">
        <v>8.3000000000000007</v>
      </c>
      <c r="J8224" s="763">
        <v>11.5</v>
      </c>
      <c r="K8224" s="766">
        <v>29</v>
      </c>
      <c r="L8224" s="552">
        <f>(I8224*J8224*K8224/1000)</f>
        <v>2.7680500000000001</v>
      </c>
      <c r="M8224" s="549"/>
      <c r="N8224" s="549"/>
      <c r="O8224" s="549"/>
      <c r="P8224" s="549"/>
    </row>
    <row r="8225" spans="1:17" s="497" customFormat="1" ht="17.399999999999999">
      <c r="A8225" s="550"/>
      <c r="B8225" s="550"/>
      <c r="C8225" s="550"/>
      <c r="D8225" s="550"/>
      <c r="E8225" s="550"/>
      <c r="F8225" s="550"/>
      <c r="G8225" s="550" t="s">
        <v>21</v>
      </c>
      <c r="H8225" s="550" t="s">
        <v>53</v>
      </c>
      <c r="I8225" s="551">
        <v>8.3000000000000007</v>
      </c>
      <c r="J8225" s="763">
        <v>12</v>
      </c>
      <c r="K8225" s="766">
        <v>26</v>
      </c>
      <c r="L8225" s="552">
        <f>(I8225*J8225*K8225/1000)</f>
        <v>2.5896000000000003</v>
      </c>
      <c r="M8225" s="549"/>
      <c r="N8225" s="549"/>
      <c r="O8225" s="549"/>
      <c r="P8225" s="549"/>
    </row>
    <row r="8226" spans="1:17" s="497" customFormat="1" ht="17.399999999999999">
      <c r="A8226" s="550"/>
      <c r="B8226" s="550"/>
      <c r="C8226" s="550"/>
      <c r="D8226" s="550"/>
      <c r="E8226" s="550"/>
      <c r="F8226" s="550"/>
      <c r="G8226" s="550"/>
      <c r="H8226" s="768"/>
      <c r="I8226" s="551"/>
      <c r="J8226" s="763"/>
      <c r="K8226" s="766">
        <f>SUM(K8223:K8225)</f>
        <v>70</v>
      </c>
      <c r="L8226" s="765">
        <f>SUM(L8223:L8225)</f>
        <v>6.6649000000000012</v>
      </c>
      <c r="M8226" s="549"/>
      <c r="N8226" s="549"/>
      <c r="O8226" s="549"/>
      <c r="P8226" s="549" t="s">
        <v>903</v>
      </c>
    </row>
    <row r="8227" spans="1:17" s="497" customFormat="1" ht="17.399999999999999">
      <c r="A8227" s="549"/>
      <c r="B8227" s="550"/>
      <c r="C8227" s="549"/>
      <c r="D8227" s="549"/>
      <c r="E8227" s="549"/>
      <c r="F8227" s="549"/>
      <c r="G8227" s="549"/>
      <c r="H8227" s="549"/>
      <c r="I8227" s="558"/>
      <c r="J8227" s="549"/>
      <c r="K8227" s="652">
        <f>SUM(K8205:K8226)/2</f>
        <v>335</v>
      </c>
      <c r="L8227" s="565">
        <f>SUM(L8205:L8226)/2</f>
        <v>31.039732000000001</v>
      </c>
      <c r="M8227" s="652">
        <f>SUM(M8205:M8226)/2</f>
        <v>14</v>
      </c>
      <c r="N8227" s="565">
        <f>SUM(N8205:N8226)/2</f>
        <v>1.184768</v>
      </c>
      <c r="O8227" s="549"/>
      <c r="P8227" s="549"/>
    </row>
    <row r="8228" spans="1:17" s="497" customFormat="1" ht="17.399999999999999">
      <c r="A8228" s="549"/>
      <c r="B8228" s="550"/>
      <c r="C8228" s="549"/>
      <c r="D8228" s="549"/>
      <c r="E8228" s="549"/>
      <c r="F8228" s="549"/>
      <c r="G8228" s="549"/>
      <c r="H8228" s="549"/>
      <c r="I8228" s="558"/>
      <c r="J8228" s="549"/>
      <c r="K8228" s="652"/>
      <c r="L8228" s="565"/>
      <c r="M8228" s="549"/>
      <c r="N8228" s="549"/>
      <c r="O8228" s="549"/>
      <c r="P8228" s="549"/>
    </row>
    <row r="8229" spans="1:17" ht="17.399999999999999">
      <c r="A8229" s="549"/>
      <c r="B8229" s="549"/>
      <c r="C8229" s="549"/>
      <c r="D8229" s="549"/>
      <c r="E8229" s="549"/>
      <c r="F8229" s="549"/>
      <c r="G8229" s="549"/>
      <c r="H8229" s="549"/>
      <c r="I8229" s="558"/>
      <c r="J8229" s="549"/>
      <c r="K8229" s="561"/>
      <c r="L8229" s="560"/>
      <c r="M8229" s="549"/>
      <c r="N8229" s="549"/>
      <c r="O8229" s="549"/>
      <c r="P8229" s="549"/>
    </row>
    <row r="8230" spans="1:17" ht="17.399999999999999">
      <c r="A8230" s="549"/>
      <c r="B8230" s="549"/>
      <c r="C8230" s="549"/>
      <c r="D8230" s="549"/>
      <c r="E8230" s="549"/>
      <c r="F8230" s="549"/>
      <c r="G8230" s="549"/>
      <c r="H8230" s="549"/>
      <c r="I8230" s="558"/>
      <c r="J8230" s="549"/>
      <c r="K8230" s="561"/>
      <c r="L8230" s="560"/>
      <c r="M8230" s="549"/>
      <c r="N8230" s="549"/>
      <c r="O8230" s="549"/>
      <c r="P8230" s="549"/>
    </row>
    <row r="8231" spans="1:17" s="497" customFormat="1" ht="17.399999999999999">
      <c r="A8231" s="547" t="s">
        <v>361</v>
      </c>
      <c r="B8231" s="1169" t="s">
        <v>885</v>
      </c>
      <c r="C8231" s="547" t="s">
        <v>446</v>
      </c>
      <c r="D8231" s="813" t="s">
        <v>447</v>
      </c>
      <c r="E8231" s="547" t="s">
        <v>359</v>
      </c>
      <c r="F8231" s="1240">
        <v>11</v>
      </c>
      <c r="G8231" s="792" t="s">
        <v>21</v>
      </c>
      <c r="H8231" s="1227" t="s">
        <v>53</v>
      </c>
      <c r="I8231" s="773">
        <v>8.32</v>
      </c>
      <c r="J8231" s="774">
        <v>8.6999999999999993</v>
      </c>
      <c r="K8231" s="775">
        <v>5</v>
      </c>
      <c r="L8231" s="552">
        <f t="shared" ref="L8231:L8234" si="1723">(I8231*J8231*K8231/1000)</f>
        <v>0.36192000000000002</v>
      </c>
      <c r="M8231" s="549"/>
      <c r="N8231" s="549"/>
      <c r="O8231" s="549"/>
      <c r="P8231" s="549"/>
    </row>
    <row r="8232" spans="1:17" s="497" customFormat="1" ht="17.399999999999999">
      <c r="A8232" s="550"/>
      <c r="B8232" s="964" t="s">
        <v>240</v>
      </c>
      <c r="C8232" s="550"/>
      <c r="D8232" s="550"/>
      <c r="E8232" s="1240"/>
      <c r="F8232" s="550"/>
      <c r="G8232" s="792" t="s">
        <v>21</v>
      </c>
      <c r="H8232" s="1227" t="s">
        <v>53</v>
      </c>
      <c r="I8232" s="773">
        <v>8.32</v>
      </c>
      <c r="J8232" s="774">
        <v>9.6</v>
      </c>
      <c r="K8232" s="775">
        <v>5</v>
      </c>
      <c r="L8232" s="552">
        <f t="shared" si="1723"/>
        <v>0.39935999999999999</v>
      </c>
      <c r="M8232" s="549"/>
      <c r="N8232" s="549"/>
      <c r="O8232" s="549"/>
      <c r="P8232" s="549"/>
    </row>
    <row r="8233" spans="1:17" s="497" customFormat="1" ht="17.399999999999999">
      <c r="A8233" s="549"/>
      <c r="B8233" s="549"/>
      <c r="C8233" s="549"/>
      <c r="D8233" s="549"/>
      <c r="E8233" s="549"/>
      <c r="F8233" s="549"/>
      <c r="G8233" s="792" t="s">
        <v>21</v>
      </c>
      <c r="H8233" s="1227" t="s">
        <v>53</v>
      </c>
      <c r="I8233" s="773">
        <v>8.32</v>
      </c>
      <c r="J8233" s="774">
        <v>10</v>
      </c>
      <c r="K8233" s="775">
        <v>5</v>
      </c>
      <c r="L8233" s="552">
        <f t="shared" si="1723"/>
        <v>0.41599999999999998</v>
      </c>
      <c r="M8233" s="549"/>
      <c r="N8233" s="549"/>
      <c r="O8233" s="549"/>
      <c r="P8233" s="549"/>
    </row>
    <row r="8234" spans="1:17" s="497" customFormat="1" ht="17.399999999999999">
      <c r="A8234" s="549"/>
      <c r="B8234" s="549"/>
      <c r="C8234" s="549"/>
      <c r="D8234" s="549"/>
      <c r="E8234" s="549"/>
      <c r="F8234" s="549"/>
      <c r="G8234" s="792" t="s">
        <v>21</v>
      </c>
      <c r="H8234" s="1227" t="s">
        <v>53</v>
      </c>
      <c r="I8234" s="773">
        <v>8.32</v>
      </c>
      <c r="J8234" s="774">
        <v>10.5</v>
      </c>
      <c r="K8234" s="775">
        <v>6</v>
      </c>
      <c r="L8234" s="552">
        <f t="shared" si="1723"/>
        <v>0.52415999999999996</v>
      </c>
      <c r="M8234" s="549"/>
      <c r="N8234" s="549"/>
      <c r="O8234" s="549"/>
      <c r="P8234" s="549"/>
    </row>
    <row r="8235" spans="1:17" s="497" customFormat="1" ht="17.399999999999999">
      <c r="A8235" s="549"/>
      <c r="B8235" s="549"/>
      <c r="C8235" s="549"/>
      <c r="D8235" s="549"/>
      <c r="E8235" s="549"/>
      <c r="F8235" s="549"/>
      <c r="G8235" s="792" t="s">
        <v>21</v>
      </c>
      <c r="H8235" s="1227" t="s">
        <v>53</v>
      </c>
      <c r="I8235" s="773">
        <v>8.32</v>
      </c>
      <c r="J8235" s="774">
        <v>12</v>
      </c>
      <c r="K8235" s="775">
        <v>4</v>
      </c>
      <c r="L8235" s="552">
        <f t="shared" ref="L8235" si="1724">(I8235*J8235*K8235/1000)</f>
        <v>0.39935999999999999</v>
      </c>
      <c r="M8235" s="549"/>
      <c r="N8235" s="549"/>
      <c r="O8235" s="549"/>
      <c r="P8235" s="549"/>
    </row>
    <row r="8236" spans="1:17" s="497" customFormat="1" ht="17.399999999999999">
      <c r="A8236" s="549"/>
      <c r="B8236" s="549"/>
      <c r="C8236" s="549"/>
      <c r="D8236" s="549"/>
      <c r="E8236" s="549"/>
      <c r="F8236" s="549"/>
      <c r="G8236" s="549"/>
      <c r="H8236" s="549"/>
      <c r="I8236" s="558"/>
      <c r="J8236" s="549"/>
      <c r="K8236" s="652">
        <f>SUM(K8231:K8235)</f>
        <v>25</v>
      </c>
      <c r="L8236" s="565">
        <f>SUM(L8231:L8235)</f>
        <v>2.1008</v>
      </c>
      <c r="M8236" s="549"/>
      <c r="N8236" s="549"/>
      <c r="O8236" s="549"/>
      <c r="P8236" s="549"/>
    </row>
    <row r="8237" spans="1:17" s="497" customFormat="1" ht="17.399999999999999">
      <c r="A8237" s="549"/>
      <c r="B8237" s="549"/>
      <c r="C8237" s="549"/>
      <c r="D8237" s="549"/>
      <c r="E8237" s="549"/>
      <c r="F8237" s="549"/>
      <c r="G8237" s="549"/>
      <c r="H8237" s="549"/>
      <c r="I8237" s="558"/>
      <c r="J8237" s="549"/>
      <c r="K8237" s="652"/>
      <c r="L8237" s="565"/>
      <c r="M8237" s="549"/>
      <c r="N8237" s="549"/>
      <c r="O8237" s="549"/>
      <c r="P8237" s="549"/>
    </row>
    <row r="8238" spans="1:17" s="497" customFormat="1" ht="17.399999999999999">
      <c r="A8238" s="549"/>
      <c r="B8238" s="549"/>
      <c r="C8238" s="549"/>
      <c r="D8238" s="549"/>
      <c r="E8238" s="549"/>
      <c r="F8238" s="549"/>
      <c r="G8238" s="549"/>
      <c r="H8238" s="549"/>
      <c r="I8238" s="558"/>
      <c r="J8238" s="549"/>
      <c r="K8238" s="652"/>
      <c r="L8238" s="565"/>
      <c r="M8238" s="549"/>
      <c r="N8238" s="549"/>
      <c r="O8238" s="549"/>
      <c r="P8238" s="549"/>
    </row>
    <row r="8239" spans="1:17" s="497" customFormat="1" ht="17.399999999999999">
      <c r="A8239" s="549"/>
      <c r="B8239" s="549"/>
      <c r="C8239" s="549"/>
      <c r="D8239" s="549"/>
      <c r="E8239" s="549"/>
      <c r="F8239" s="549"/>
      <c r="G8239" s="549"/>
      <c r="H8239" s="549"/>
      <c r="I8239" s="558"/>
      <c r="J8239" s="549"/>
      <c r="K8239" s="652"/>
      <c r="L8239" s="565"/>
      <c r="M8239" s="549"/>
      <c r="N8239" s="549"/>
      <c r="O8239" s="549"/>
      <c r="P8239" s="549"/>
    </row>
    <row r="8240" spans="1:17" ht="17.399999999999999">
      <c r="A8240" s="547" t="s">
        <v>361</v>
      </c>
      <c r="B8240" s="547" t="s">
        <v>811</v>
      </c>
      <c r="C8240" s="547" t="s">
        <v>446</v>
      </c>
      <c r="D8240" s="813" t="s">
        <v>447</v>
      </c>
      <c r="E8240" s="547" t="s">
        <v>359</v>
      </c>
      <c r="F8240" s="1240">
        <v>11</v>
      </c>
      <c r="G8240" s="792" t="s">
        <v>21</v>
      </c>
      <c r="H8240" s="1247" t="s">
        <v>91</v>
      </c>
      <c r="I8240" s="773">
        <v>6.97</v>
      </c>
      <c r="J8240" s="774">
        <v>9</v>
      </c>
      <c r="K8240" s="775">
        <v>8</v>
      </c>
      <c r="L8240" s="552">
        <f t="shared" ref="L8240:L8246" si="1725">(I8240*J8240*K8240/1000)</f>
        <v>0.50183999999999995</v>
      </c>
      <c r="M8240" s="549"/>
      <c r="N8240" s="549"/>
      <c r="O8240" s="549"/>
      <c r="P8240" s="549"/>
      <c r="Q8240" s="497" t="s">
        <v>965</v>
      </c>
    </row>
    <row r="8241" spans="1:17" ht="17.399999999999999">
      <c r="A8241" s="550"/>
      <c r="B8241" s="550"/>
      <c r="C8241" s="550"/>
      <c r="D8241" s="550"/>
      <c r="E8241" s="1240"/>
      <c r="F8241" s="550"/>
      <c r="G8241" s="792" t="s">
        <v>21</v>
      </c>
      <c r="H8241" s="1227" t="s">
        <v>91</v>
      </c>
      <c r="I8241" s="773">
        <v>6.97</v>
      </c>
      <c r="J8241" s="774">
        <v>10</v>
      </c>
      <c r="K8241" s="775">
        <v>6</v>
      </c>
      <c r="L8241" s="552">
        <f t="shared" si="1725"/>
        <v>0.41820000000000007</v>
      </c>
      <c r="M8241" s="549"/>
      <c r="N8241" s="549"/>
      <c r="O8241" s="549"/>
      <c r="P8241" s="549"/>
    </row>
    <row r="8242" spans="1:17" ht="17.399999999999999">
      <c r="A8242" s="549"/>
      <c r="B8242" s="549"/>
      <c r="C8242" s="549"/>
      <c r="D8242" s="549"/>
      <c r="E8242" s="549"/>
      <c r="F8242" s="549"/>
      <c r="G8242" s="792" t="s">
        <v>21</v>
      </c>
      <c r="H8242" s="1227" t="s">
        <v>91</v>
      </c>
      <c r="I8242" s="773">
        <v>6.97</v>
      </c>
      <c r="J8242" s="774">
        <v>10.5</v>
      </c>
      <c r="K8242" s="775">
        <v>16</v>
      </c>
      <c r="L8242" s="552">
        <f t="shared" si="1725"/>
        <v>1.17096</v>
      </c>
      <c r="M8242" s="549"/>
      <c r="N8242" s="549"/>
      <c r="O8242" s="549"/>
      <c r="P8242" s="549"/>
    </row>
    <row r="8243" spans="1:17" ht="17.399999999999999">
      <c r="A8243" s="549"/>
      <c r="B8243" s="549"/>
      <c r="C8243" s="549"/>
      <c r="D8243" s="549"/>
      <c r="E8243" s="549"/>
      <c r="F8243" s="549"/>
      <c r="G8243" s="792" t="s">
        <v>21</v>
      </c>
      <c r="H8243" s="1227" t="s">
        <v>91</v>
      </c>
      <c r="I8243" s="773">
        <v>6.97</v>
      </c>
      <c r="J8243" s="774">
        <v>11.2</v>
      </c>
      <c r="K8243" s="775">
        <v>17</v>
      </c>
      <c r="L8243" s="552">
        <f t="shared" si="1725"/>
        <v>1.327088</v>
      </c>
      <c r="M8243" s="549"/>
      <c r="N8243" s="549"/>
      <c r="O8243" s="549"/>
      <c r="P8243" s="549"/>
    </row>
    <row r="8244" spans="1:17" ht="17.399999999999999">
      <c r="A8244" s="549"/>
      <c r="B8244" s="549"/>
      <c r="C8244" s="549"/>
      <c r="D8244" s="549"/>
      <c r="E8244" s="549"/>
      <c r="F8244" s="549"/>
      <c r="G8244" s="792" t="s">
        <v>21</v>
      </c>
      <c r="H8244" s="1227" t="s">
        <v>91</v>
      </c>
      <c r="I8244" s="773">
        <v>6.97</v>
      </c>
      <c r="J8244" s="774">
        <v>11.5</v>
      </c>
      <c r="K8244" s="775">
        <v>7</v>
      </c>
      <c r="L8244" s="552">
        <f t="shared" si="1725"/>
        <v>0.56108500000000006</v>
      </c>
      <c r="M8244" s="549"/>
      <c r="N8244" s="549"/>
      <c r="O8244" s="549"/>
      <c r="P8244" s="549"/>
    </row>
    <row r="8245" spans="1:17" ht="17.399999999999999">
      <c r="A8245" s="549"/>
      <c r="B8245" s="549"/>
      <c r="C8245" s="549"/>
      <c r="D8245" s="549"/>
      <c r="E8245" s="549"/>
      <c r="F8245" s="549"/>
      <c r="G8245" s="792" t="s">
        <v>21</v>
      </c>
      <c r="H8245" s="1227" t="s">
        <v>91</v>
      </c>
      <c r="I8245" s="773">
        <v>6.97</v>
      </c>
      <c r="J8245" s="774">
        <v>11.8</v>
      </c>
      <c r="K8245" s="775">
        <v>18</v>
      </c>
      <c r="L8245" s="552">
        <f t="shared" si="1725"/>
        <v>1.4804279999999999</v>
      </c>
      <c r="M8245" s="549"/>
      <c r="N8245" s="549"/>
      <c r="O8245" s="549"/>
      <c r="P8245" s="549"/>
    </row>
    <row r="8246" spans="1:17" ht="17.399999999999999">
      <c r="A8246" s="549"/>
      <c r="B8246" s="549"/>
      <c r="C8246" s="549"/>
      <c r="D8246" s="549"/>
      <c r="E8246" s="549"/>
      <c r="F8246" s="549"/>
      <c r="G8246" s="792" t="s">
        <v>21</v>
      </c>
      <c r="H8246" s="1227" t="s">
        <v>91</v>
      </c>
      <c r="I8246" s="773">
        <v>6.97</v>
      </c>
      <c r="J8246" s="774">
        <v>12</v>
      </c>
      <c r="K8246" s="775">
        <v>11</v>
      </c>
      <c r="L8246" s="552">
        <f t="shared" si="1725"/>
        <v>0.92003999999999997</v>
      </c>
      <c r="M8246" s="549"/>
      <c r="N8246" s="549"/>
      <c r="O8246" s="549"/>
      <c r="P8246" s="549"/>
    </row>
    <row r="8247" spans="1:17" ht="17.399999999999999">
      <c r="A8247" s="549"/>
      <c r="B8247" s="549"/>
      <c r="C8247" s="549"/>
      <c r="D8247" s="549"/>
      <c r="E8247" s="549"/>
      <c r="F8247" s="549"/>
      <c r="G8247" s="792"/>
      <c r="H8247" s="1227"/>
      <c r="I8247" s="773"/>
      <c r="J8247" s="774"/>
      <c r="K8247" s="775">
        <f>SUM(K8240:K8246)</f>
        <v>83</v>
      </c>
      <c r="L8247" s="1226">
        <f t="shared" ref="L8247" si="1726">SUM(L8240:L8246)</f>
        <v>6.3796410000000003</v>
      </c>
      <c r="M8247" s="549"/>
      <c r="N8247" s="549"/>
      <c r="O8247" s="549"/>
      <c r="P8247" s="549" t="s">
        <v>904</v>
      </c>
    </row>
    <row r="8248" spans="1:17" s="497" customFormat="1" ht="17.399999999999999">
      <c r="A8248" s="549"/>
      <c r="B8248" s="549"/>
      <c r="C8248" s="549"/>
      <c r="D8248" s="549"/>
      <c r="E8248" s="549"/>
      <c r="F8248" s="549"/>
      <c r="G8248" s="792"/>
      <c r="H8248" s="1227"/>
      <c r="I8248" s="773"/>
      <c r="J8248" s="774"/>
      <c r="K8248" s="775"/>
      <c r="L8248" s="1226"/>
      <c r="M8248" s="549"/>
      <c r="N8248" s="549"/>
      <c r="O8248" s="549"/>
      <c r="P8248" s="549"/>
    </row>
    <row r="8249" spans="1:17" ht="17.399999999999999">
      <c r="A8249" s="547" t="s">
        <v>445</v>
      </c>
      <c r="B8249" s="547" t="s">
        <v>857</v>
      </c>
      <c r="C8249" s="547" t="s">
        <v>19</v>
      </c>
      <c r="D8249" s="547" t="s">
        <v>20</v>
      </c>
      <c r="E8249" s="1025" t="s">
        <v>879</v>
      </c>
      <c r="F8249" s="1240">
        <v>11</v>
      </c>
      <c r="G8249" s="549" t="s">
        <v>21</v>
      </c>
      <c r="H8249" s="599" t="s">
        <v>91</v>
      </c>
      <c r="I8249" s="558">
        <v>6.97</v>
      </c>
      <c r="J8249" s="710">
        <v>12</v>
      </c>
      <c r="K8249" s="648">
        <v>7</v>
      </c>
      <c r="L8249" s="552">
        <f>(I8249*J8249*K8249/1000)</f>
        <v>0.58548</v>
      </c>
      <c r="M8249" s="549"/>
      <c r="N8249" s="549"/>
      <c r="O8249" s="549"/>
      <c r="P8249" s="549"/>
      <c r="Q8249" s="497" t="s">
        <v>965</v>
      </c>
    </row>
    <row r="8250" spans="1:17" ht="17.399999999999999">
      <c r="A8250" s="549"/>
      <c r="B8250" s="550" t="s">
        <v>84</v>
      </c>
      <c r="C8250" s="549"/>
      <c r="D8250" s="549"/>
      <c r="E8250" s="549"/>
      <c r="F8250" s="549"/>
      <c r="G8250" s="549"/>
      <c r="H8250" s="650"/>
      <c r="I8250" s="558"/>
      <c r="J8250" s="710"/>
      <c r="K8250" s="648">
        <f t="shared" ref="K8250" si="1727">SUM(K8249)</f>
        <v>7</v>
      </c>
      <c r="L8250" s="765">
        <f>SUM(L8249)</f>
        <v>0.58548</v>
      </c>
      <c r="M8250" s="549"/>
      <c r="N8250" s="549"/>
      <c r="O8250" s="549"/>
      <c r="P8250" s="549" t="s">
        <v>968</v>
      </c>
    </row>
    <row r="8251" spans="1:17" s="497" customFormat="1" ht="17.399999999999999">
      <c r="A8251" s="549"/>
      <c r="B8251" s="549"/>
      <c r="C8251" s="549"/>
      <c r="D8251" s="549"/>
      <c r="E8251" s="549"/>
      <c r="F8251" s="549"/>
      <c r="G8251" s="792"/>
      <c r="H8251" s="1227"/>
      <c r="I8251" s="773"/>
      <c r="J8251" s="774"/>
      <c r="K8251" s="775"/>
      <c r="L8251" s="1226">
        <f>+L8247+L8250</f>
        <v>6.9651209999999999</v>
      </c>
      <c r="M8251" s="549"/>
      <c r="N8251" s="549"/>
      <c r="O8251" s="549"/>
      <c r="P8251" s="549"/>
    </row>
    <row r="8252" spans="1:17" s="497" customFormat="1" ht="17.399999999999999">
      <c r="A8252" s="549"/>
      <c r="B8252" s="549"/>
      <c r="C8252" s="549"/>
      <c r="D8252" s="549"/>
      <c r="E8252" s="549"/>
      <c r="F8252" s="549"/>
      <c r="G8252" s="792"/>
      <c r="H8252" s="1227"/>
      <c r="I8252" s="773"/>
      <c r="J8252" s="774"/>
      <c r="K8252" s="775"/>
      <c r="L8252" s="1226"/>
      <c r="M8252" s="549"/>
      <c r="N8252" s="549"/>
      <c r="O8252" s="549"/>
      <c r="P8252" s="549"/>
    </row>
    <row r="8253" spans="1:17" s="497" customFormat="1" ht="17.399999999999999">
      <c r="A8253" s="549"/>
      <c r="B8253" s="549"/>
      <c r="C8253" s="549"/>
      <c r="D8253" s="549"/>
      <c r="E8253" s="549"/>
      <c r="F8253" s="549"/>
      <c r="G8253" s="792"/>
      <c r="H8253" s="1227"/>
      <c r="I8253" s="773"/>
      <c r="J8253" s="774"/>
      <c r="K8253" s="775"/>
      <c r="L8253" s="1226"/>
      <c r="M8253" s="549"/>
      <c r="N8253" s="549"/>
      <c r="O8253" s="549"/>
      <c r="P8253" s="549"/>
    </row>
    <row r="8254" spans="1:17" s="497" customFormat="1" ht="17.399999999999999">
      <c r="A8254" s="549"/>
      <c r="B8254" s="550"/>
      <c r="C8254" s="549"/>
      <c r="D8254" s="549"/>
      <c r="E8254" s="549"/>
      <c r="F8254" s="549"/>
      <c r="G8254" s="549"/>
      <c r="H8254" s="549"/>
      <c r="I8254" s="558"/>
      <c r="J8254" s="549"/>
      <c r="K8254" s="652"/>
      <c r="L8254" s="565"/>
      <c r="M8254" s="549"/>
      <c r="N8254" s="549"/>
      <c r="O8254" s="549"/>
      <c r="P8254" s="549"/>
    </row>
    <row r="8255" spans="1:17" s="497" customFormat="1" ht="17.399999999999999">
      <c r="A8255" s="547" t="s">
        <v>523</v>
      </c>
      <c r="B8255" s="547" t="s">
        <v>886</v>
      </c>
      <c r="C8255" s="547" t="s">
        <v>19</v>
      </c>
      <c r="D8255" s="547" t="s">
        <v>60</v>
      </c>
      <c r="E8255" s="547" t="s">
        <v>270</v>
      </c>
      <c r="F8255" s="1240">
        <v>8.5</v>
      </c>
      <c r="G8255" s="549" t="s">
        <v>61</v>
      </c>
      <c r="H8255" s="599" t="s">
        <v>53</v>
      </c>
      <c r="I8255" s="560">
        <v>8.32</v>
      </c>
      <c r="J8255" s="710">
        <v>10</v>
      </c>
      <c r="K8255" s="648">
        <v>2</v>
      </c>
      <c r="L8255" s="552">
        <f>(I8255*J8255*K8255/1000)</f>
        <v>0.16639999999999999</v>
      </c>
      <c r="M8255" s="549">
        <v>2</v>
      </c>
      <c r="N8255" s="567">
        <f>J8255*M8255*I8255/1000</f>
        <v>0.16639999999999999</v>
      </c>
      <c r="O8255" s="549"/>
      <c r="P8255" s="549"/>
      <c r="Q8255" s="497" t="s">
        <v>966</v>
      </c>
    </row>
    <row r="8256" spans="1:17" s="497" customFormat="1" ht="17.399999999999999">
      <c r="A8256" s="547"/>
      <c r="B8256" s="550" t="s">
        <v>809</v>
      </c>
      <c r="C8256" s="547"/>
      <c r="D8256" s="547"/>
      <c r="E8256" s="547"/>
      <c r="F8256" s="1240"/>
      <c r="G8256" s="549"/>
      <c r="H8256" s="549"/>
      <c r="I8256" s="560"/>
      <c r="J8256" s="710"/>
      <c r="K8256" s="648">
        <f>SUM(K8255)</f>
        <v>2</v>
      </c>
      <c r="L8256" s="765">
        <f>SUM(L8255)</f>
        <v>0.16639999999999999</v>
      </c>
      <c r="M8256" s="648">
        <f>SUM(M8255)</f>
        <v>2</v>
      </c>
      <c r="N8256" s="765">
        <f>SUM(N8255)</f>
        <v>0.16639999999999999</v>
      </c>
      <c r="O8256" s="549"/>
      <c r="P8256" s="549"/>
    </row>
    <row r="8257" spans="1:17" s="497" customFormat="1" ht="17.399999999999999">
      <c r="A8257" s="547"/>
      <c r="B8257" s="550"/>
      <c r="C8257" s="547"/>
      <c r="D8257" s="547"/>
      <c r="E8257" s="547"/>
      <c r="F8257" s="1240"/>
      <c r="G8257" s="549"/>
      <c r="H8257" s="549"/>
      <c r="I8257" s="560"/>
      <c r="J8257" s="710"/>
      <c r="K8257" s="648"/>
      <c r="L8257" s="765"/>
      <c r="M8257" s="549"/>
      <c r="N8257" s="549"/>
      <c r="O8257" s="549"/>
      <c r="P8257" s="549"/>
    </row>
    <row r="8258" spans="1:17" s="497" customFormat="1" ht="17.399999999999999">
      <c r="A8258" s="547" t="s">
        <v>523</v>
      </c>
      <c r="B8258" s="547" t="s">
        <v>886</v>
      </c>
      <c r="C8258" s="547" t="s">
        <v>19</v>
      </c>
      <c r="D8258" s="547" t="s">
        <v>60</v>
      </c>
      <c r="E8258" s="547" t="s">
        <v>270</v>
      </c>
      <c r="F8258" s="1240">
        <v>8.5</v>
      </c>
      <c r="G8258" s="549" t="s">
        <v>61</v>
      </c>
      <c r="H8258" s="599" t="s">
        <v>366</v>
      </c>
      <c r="I8258" s="560">
        <v>10.92</v>
      </c>
      <c r="J8258" s="710">
        <v>10.5</v>
      </c>
      <c r="K8258" s="648">
        <v>6</v>
      </c>
      <c r="L8258" s="552">
        <f>(I8258*J8258*K8258/1000)</f>
        <v>0.68796000000000002</v>
      </c>
      <c r="M8258" s="549">
        <v>6</v>
      </c>
      <c r="N8258" s="567">
        <f>J8258*M8258*I8258/1000</f>
        <v>0.68796000000000002</v>
      </c>
      <c r="O8258" s="549"/>
      <c r="P8258" s="549"/>
      <c r="Q8258" s="497" t="s">
        <v>966</v>
      </c>
    </row>
    <row r="8259" spans="1:17" s="497" customFormat="1" ht="17.399999999999999">
      <c r="A8259" s="547"/>
      <c r="B8259" s="550" t="s">
        <v>809</v>
      </c>
      <c r="C8259" s="547"/>
      <c r="D8259" s="547"/>
      <c r="E8259" s="547"/>
      <c r="F8259" s="1240"/>
      <c r="G8259" s="549"/>
      <c r="H8259" s="549"/>
      <c r="I8259" s="560"/>
      <c r="J8259" s="710"/>
      <c r="K8259" s="648">
        <f>SUM(K8258)</f>
        <v>6</v>
      </c>
      <c r="L8259" s="765">
        <f>SUM(L8258)</f>
        <v>0.68796000000000002</v>
      </c>
      <c r="M8259" s="648">
        <f>SUM(M8258)</f>
        <v>6</v>
      </c>
      <c r="N8259" s="765">
        <f>SUM(N8258)</f>
        <v>0.68796000000000002</v>
      </c>
      <c r="O8259" s="549"/>
      <c r="P8259" s="549"/>
    </row>
    <row r="8260" spans="1:17" s="497" customFormat="1" ht="17.399999999999999">
      <c r="A8260" s="549"/>
      <c r="B8260" s="550"/>
      <c r="C8260" s="549"/>
      <c r="D8260" s="549"/>
      <c r="E8260" s="549"/>
      <c r="F8260" s="549"/>
      <c r="G8260" s="549"/>
      <c r="H8260" s="549"/>
      <c r="I8260" s="558"/>
      <c r="J8260" s="549"/>
      <c r="K8260" s="652"/>
      <c r="L8260" s="565"/>
      <c r="M8260" s="549"/>
      <c r="N8260" s="549"/>
      <c r="O8260" s="549"/>
      <c r="P8260" s="549"/>
    </row>
    <row r="8261" spans="1:17" s="497" customFormat="1" ht="17.399999999999999">
      <c r="A8261" s="549"/>
      <c r="B8261" s="549"/>
      <c r="C8261" s="549"/>
      <c r="D8261" s="549"/>
      <c r="E8261" s="549"/>
      <c r="F8261" s="549"/>
      <c r="G8261" s="549"/>
      <c r="H8261" s="549"/>
      <c r="I8261" s="560"/>
      <c r="J8261" s="710"/>
      <c r="K8261" s="648"/>
      <c r="L8261" s="765"/>
      <c r="M8261" s="549"/>
      <c r="N8261" s="549"/>
      <c r="O8261" s="549"/>
      <c r="P8261" s="549"/>
    </row>
    <row r="8262" spans="1:17" ht="17.399999999999999">
      <c r="A8262" s="549"/>
      <c r="B8262" s="549"/>
      <c r="C8262" s="549"/>
      <c r="D8262" s="549"/>
      <c r="E8262" s="549"/>
      <c r="F8262" s="549"/>
      <c r="G8262" s="549"/>
      <c r="H8262" s="549"/>
      <c r="I8262" s="560"/>
      <c r="J8262" s="549"/>
      <c r="K8262" s="561"/>
      <c r="L8262" s="565">
        <f>+L8259+L8256+L8178+L8202+L8227+L8237+L8251+L8174+L8182</f>
        <v>148.36917799999998</v>
      </c>
      <c r="M8262" s="549"/>
      <c r="N8262" s="565">
        <f>+N8259+N8256+N8178+N8202+N8227+N8237+N8251+N8174+N8182</f>
        <v>2.372188</v>
      </c>
      <c r="O8262" s="549"/>
      <c r="P8262" s="549"/>
    </row>
    <row r="8263" spans="1:17" ht="17.399999999999999">
      <c r="A8263" s="653" t="s">
        <v>48</v>
      </c>
      <c r="B8263" s="653"/>
      <c r="C8263" s="654"/>
      <c r="D8263" s="654"/>
      <c r="E8263" s="654"/>
      <c r="F8263" s="1239"/>
      <c r="G8263" s="654"/>
      <c r="H8263" s="1239"/>
      <c r="I8263" s="656"/>
      <c r="J8263" s="654"/>
      <c r="K8263" s="657"/>
      <c r="L8263" s="2003" t="s">
        <v>0</v>
      </c>
      <c r="M8263" s="2003"/>
      <c r="N8263" s="2003"/>
      <c r="O8263" s="2004"/>
      <c r="P8263" s="2010"/>
    </row>
    <row r="8264" spans="1:17" ht="17.399999999999999">
      <c r="A8264" s="658" t="s">
        <v>1</v>
      </c>
      <c r="B8264" s="658"/>
      <c r="C8264" s="658"/>
      <c r="D8264" s="659" t="s">
        <v>2</v>
      </c>
      <c r="E8264" s="659"/>
      <c r="F8264" s="660"/>
      <c r="G8264" s="660"/>
      <c r="H8264" s="660"/>
      <c r="I8264" s="661"/>
      <c r="J8264" s="660"/>
      <c r="K8264" s="662" t="s">
        <v>3</v>
      </c>
      <c r="L8264" s="660"/>
      <c r="M8264" s="658"/>
      <c r="N8264" s="660"/>
      <c r="O8264" s="663"/>
      <c r="P8264" s="2010"/>
    </row>
    <row r="8265" spans="1:17" ht="17.399999999999999">
      <c r="A8265" s="1239" t="s">
        <v>22</v>
      </c>
      <c r="B8265" s="1990" t="s">
        <v>23</v>
      </c>
      <c r="C8265" s="2005"/>
      <c r="D8265" s="1989"/>
      <c r="E8265" s="1239" t="s">
        <v>24</v>
      </c>
      <c r="F8265" s="1990" t="s">
        <v>25</v>
      </c>
      <c r="G8265" s="1989"/>
      <c r="H8265" s="1990" t="s">
        <v>26</v>
      </c>
      <c r="I8265" s="2005"/>
      <c r="J8265" s="2005"/>
      <c r="K8265" s="1989"/>
      <c r="L8265" s="2006" t="s">
        <v>27</v>
      </c>
      <c r="M8265" s="2006"/>
      <c r="N8265" s="2006"/>
      <c r="O8265" s="1990"/>
      <c r="P8265" s="2010"/>
    </row>
    <row r="8266" spans="1:17" ht="17.399999999999999">
      <c r="A8266" s="664"/>
      <c r="B8266" s="1975"/>
      <c r="C8266" s="1976"/>
      <c r="D8266" s="1977"/>
      <c r="E8266" s="665"/>
      <c r="F8266" s="1975"/>
      <c r="G8266" s="1977"/>
      <c r="H8266" s="1975"/>
      <c r="I8266" s="1976"/>
      <c r="J8266" s="1976"/>
      <c r="K8266" s="1977"/>
      <c r="L8266" s="1975"/>
      <c r="M8266" s="1976"/>
      <c r="N8266" s="1976"/>
      <c r="O8266" s="1976"/>
      <c r="P8266" s="2010"/>
    </row>
    <row r="8267" spans="1:17" s="497" customFormat="1" ht="17.399999999999999">
      <c r="A8267" s="664" t="s">
        <v>28</v>
      </c>
      <c r="B8267" s="1976" t="s">
        <v>348</v>
      </c>
      <c r="C8267" s="1976"/>
      <c r="D8267" s="1976"/>
      <c r="E8267" s="665">
        <f>+L8174</f>
        <v>97.000439999999998</v>
      </c>
      <c r="F8267" s="1973">
        <v>11</v>
      </c>
      <c r="G8267" s="1974"/>
      <c r="H8267" s="1975" t="s">
        <v>582</v>
      </c>
      <c r="I8267" s="1976"/>
      <c r="J8267" s="1976"/>
      <c r="K8267" s="1977"/>
      <c r="L8267" s="1976" t="s">
        <v>887</v>
      </c>
      <c r="M8267" s="1976"/>
      <c r="N8267" s="1976"/>
      <c r="O8267" s="1976"/>
      <c r="P8267" s="2010"/>
    </row>
    <row r="8268" spans="1:17" s="497" customFormat="1" ht="17.399999999999999">
      <c r="A8268" s="664"/>
      <c r="B8268" s="1234"/>
      <c r="C8268" s="1234"/>
      <c r="D8268" s="1234"/>
      <c r="E8268" s="665"/>
      <c r="F8268" s="1236"/>
      <c r="G8268" s="1237"/>
      <c r="H8268" s="1233"/>
      <c r="I8268" s="1842"/>
      <c r="J8268" s="1234"/>
      <c r="K8268" s="1235"/>
      <c r="L8268" s="1234"/>
      <c r="M8268" s="1234"/>
      <c r="N8268" s="1234"/>
      <c r="O8268" s="1234"/>
      <c r="P8268" s="2010"/>
    </row>
    <row r="8269" spans="1:17" s="497" customFormat="1" ht="17.399999999999999">
      <c r="A8269" s="664"/>
      <c r="B8269" s="1975"/>
      <c r="C8269" s="1976"/>
      <c r="D8269" s="1977"/>
      <c r="E8269" s="665"/>
      <c r="F8269" s="1973"/>
      <c r="G8269" s="1974"/>
      <c r="H8269" s="1975"/>
      <c r="I8269" s="1976"/>
      <c r="J8269" s="1976"/>
      <c r="K8269" s="1977"/>
      <c r="L8269" s="1976"/>
      <c r="M8269" s="1976"/>
      <c r="N8269" s="1976"/>
      <c r="O8269" s="1976"/>
      <c r="P8269" s="2010"/>
    </row>
    <row r="8270" spans="1:17" s="497" customFormat="1" ht="17.399999999999999">
      <c r="A8270" s="664" t="s">
        <v>29</v>
      </c>
      <c r="B8270" s="1975" t="s">
        <v>413</v>
      </c>
      <c r="C8270" s="1976"/>
      <c r="D8270" s="1977"/>
      <c r="E8270" s="665">
        <f>+L8183-0.333</f>
        <v>7.5589200000000005</v>
      </c>
      <c r="F8270" s="1973">
        <v>11</v>
      </c>
      <c r="G8270" s="1974"/>
      <c r="H8270" s="1975" t="s">
        <v>49</v>
      </c>
      <c r="I8270" s="1976"/>
      <c r="J8270" s="1976"/>
      <c r="K8270" s="1977"/>
      <c r="L8270" s="1976" t="s">
        <v>404</v>
      </c>
      <c r="M8270" s="1976"/>
      <c r="N8270" s="1976"/>
      <c r="O8270" s="1976"/>
      <c r="P8270" s="2010"/>
    </row>
    <row r="8271" spans="1:17" s="497" customFormat="1" ht="17.399999999999999">
      <c r="A8271" s="664" t="s">
        <v>30</v>
      </c>
      <c r="B8271" s="1975" t="s">
        <v>56</v>
      </c>
      <c r="C8271" s="1976"/>
      <c r="D8271" s="1977"/>
      <c r="E8271" s="665">
        <f>+L8202</f>
        <v>4.6176049999999993</v>
      </c>
      <c r="F8271" s="1973">
        <v>11</v>
      </c>
      <c r="G8271" s="1974"/>
      <c r="H8271" s="1975" t="s">
        <v>49</v>
      </c>
      <c r="I8271" s="1976"/>
      <c r="J8271" s="1976"/>
      <c r="K8271" s="1977"/>
      <c r="L8271" s="1976" t="s">
        <v>404</v>
      </c>
      <c r="M8271" s="1976"/>
      <c r="N8271" s="1976"/>
      <c r="O8271" s="1976"/>
      <c r="P8271" s="2010"/>
    </row>
    <row r="8272" spans="1:17" ht="17.399999999999999">
      <c r="A8272" s="664" t="s">
        <v>46</v>
      </c>
      <c r="B8272" s="1975" t="s">
        <v>55</v>
      </c>
      <c r="C8272" s="1976"/>
      <c r="D8272" s="1977"/>
      <c r="E8272" s="665">
        <f>+L8227-1.185</f>
        <v>29.854732000000002</v>
      </c>
      <c r="F8272" s="1973">
        <v>11</v>
      </c>
      <c r="G8272" s="1974"/>
      <c r="H8272" s="1975" t="s">
        <v>49</v>
      </c>
      <c r="I8272" s="1976"/>
      <c r="J8272" s="1976"/>
      <c r="K8272" s="1977"/>
      <c r="L8272" s="1976" t="s">
        <v>913</v>
      </c>
      <c r="M8272" s="1976"/>
      <c r="N8272" s="1976"/>
      <c r="O8272" s="1976"/>
      <c r="P8272" s="2010"/>
    </row>
    <row r="8273" spans="1:16" ht="17.399999999999999">
      <c r="A8273" s="664"/>
      <c r="B8273" s="1975"/>
      <c r="C8273" s="1976"/>
      <c r="D8273" s="1977"/>
      <c r="E8273" s="665"/>
      <c r="F8273" s="1973"/>
      <c r="G8273" s="1974"/>
      <c r="H8273" s="1975"/>
      <c r="I8273" s="1976"/>
      <c r="J8273" s="1976"/>
      <c r="K8273" s="1977"/>
      <c r="L8273" s="1976"/>
      <c r="M8273" s="1976"/>
      <c r="N8273" s="1976"/>
      <c r="O8273" s="1976"/>
      <c r="P8273" s="2010"/>
    </row>
    <row r="8274" spans="1:16" ht="17.399999999999999">
      <c r="A8274" s="664"/>
      <c r="B8274" s="1976"/>
      <c r="C8274" s="1976"/>
      <c r="D8274" s="1976"/>
      <c r="E8274" s="665"/>
      <c r="F8274" s="1973"/>
      <c r="G8274" s="1974"/>
      <c r="H8274" s="1975"/>
      <c r="I8274" s="1976"/>
      <c r="J8274" s="1976"/>
      <c r="K8274" s="1977"/>
      <c r="L8274" s="1976"/>
      <c r="M8274" s="1976"/>
      <c r="N8274" s="1976"/>
      <c r="O8274" s="1976"/>
      <c r="P8274" s="2010"/>
    </row>
    <row r="8275" spans="1:16" s="497" customFormat="1" ht="17.399999999999999">
      <c r="A8275" s="664" t="s">
        <v>58</v>
      </c>
      <c r="B8275" s="1975" t="s">
        <v>55</v>
      </c>
      <c r="C8275" s="1976"/>
      <c r="D8275" s="1977"/>
      <c r="E8275" s="665">
        <v>5</v>
      </c>
      <c r="F8275" s="1973">
        <v>11</v>
      </c>
      <c r="G8275" s="1974"/>
      <c r="H8275" s="1975" t="s">
        <v>447</v>
      </c>
      <c r="I8275" s="1976"/>
      <c r="J8275" s="1976"/>
      <c r="K8275" s="1977"/>
      <c r="L8275" s="1976" t="s">
        <v>65</v>
      </c>
      <c r="M8275" s="1976"/>
      <c r="N8275" s="1976"/>
      <c r="O8275" s="1976"/>
      <c r="P8275" s="2010"/>
    </row>
    <row r="8276" spans="1:16" s="497" customFormat="1" ht="17.399999999999999">
      <c r="A8276" s="664" t="s">
        <v>163</v>
      </c>
      <c r="B8276" s="1975" t="s">
        <v>79</v>
      </c>
      <c r="C8276" s="1976"/>
      <c r="D8276" s="1977"/>
      <c r="E8276" s="665">
        <f>+L8251</f>
        <v>6.9651209999999999</v>
      </c>
      <c r="F8276" s="1973">
        <v>11</v>
      </c>
      <c r="G8276" s="1974"/>
      <c r="H8276" s="1975" t="s">
        <v>447</v>
      </c>
      <c r="I8276" s="1976"/>
      <c r="J8276" s="1976"/>
      <c r="K8276" s="1977"/>
      <c r="L8276" s="1976" t="s">
        <v>65</v>
      </c>
      <c r="M8276" s="1976"/>
      <c r="N8276" s="1976"/>
      <c r="O8276" s="1976"/>
      <c r="P8276" s="2010"/>
    </row>
    <row r="8277" spans="1:16" s="497" customFormat="1" ht="17.399999999999999">
      <c r="A8277" s="664"/>
      <c r="B8277" s="1241"/>
      <c r="C8277" s="1242"/>
      <c r="D8277" s="1243"/>
      <c r="E8277" s="665"/>
      <c r="F8277" s="1244"/>
      <c r="G8277" s="1245"/>
      <c r="H8277" s="1241"/>
      <c r="I8277" s="1842"/>
      <c r="J8277" s="1242"/>
      <c r="K8277" s="1243"/>
      <c r="L8277" s="1242"/>
      <c r="M8277" s="1242"/>
      <c r="N8277" s="1242"/>
      <c r="O8277" s="1242"/>
      <c r="P8277" s="2010"/>
    </row>
    <row r="8278" spans="1:16" ht="18" thickBot="1">
      <c r="A8278" s="664"/>
      <c r="B8278" s="1233"/>
      <c r="C8278" s="1234"/>
      <c r="D8278" s="1234"/>
      <c r="E8278" s="665"/>
      <c r="F8278" s="1234"/>
      <c r="G8278" s="1235"/>
      <c r="H8278" s="1233"/>
      <c r="I8278" s="1842"/>
      <c r="J8278" s="1234"/>
      <c r="K8278" s="669"/>
      <c r="L8278" s="672"/>
      <c r="M8278" s="673"/>
      <c r="N8278" s="673"/>
      <c r="O8278" s="673"/>
      <c r="P8278" s="2010"/>
    </row>
    <row r="8279" spans="1:16" ht="17.399999999999999">
      <c r="A8279" s="674"/>
      <c r="B8279" s="675"/>
      <c r="C8279" s="676"/>
      <c r="D8279" s="676"/>
      <c r="E8279" s="1980">
        <f>SUM(E8266:E8278)</f>
        <v>150.99681800000002</v>
      </c>
      <c r="F8279" s="677"/>
      <c r="G8279" s="678"/>
      <c r="H8279" s="679"/>
      <c r="I8279" s="1848"/>
      <c r="J8279" s="676"/>
      <c r="K8279" s="680"/>
      <c r="L8279" s="679"/>
      <c r="M8279" s="676"/>
      <c r="N8279" s="677"/>
      <c r="O8279" s="676"/>
      <c r="P8279" s="2010"/>
    </row>
    <row r="8280" spans="1:16" ht="18" thickBot="1">
      <c r="A8280" s="681"/>
      <c r="B8280" s="682"/>
      <c r="C8280" s="683"/>
      <c r="D8280" s="683"/>
      <c r="E8280" s="1981"/>
      <c r="F8280" s="684"/>
      <c r="G8280" s="685"/>
      <c r="H8280" s="686"/>
      <c r="I8280" s="1850"/>
      <c r="J8280" s="683"/>
      <c r="K8280" s="687"/>
      <c r="L8280" s="686"/>
      <c r="M8280" s="683"/>
      <c r="N8280" s="684"/>
      <c r="O8280" s="683"/>
      <c r="P8280" s="2010"/>
    </row>
    <row r="8281" spans="1:16" ht="17.399999999999999">
      <c r="A8281" s="688" t="s">
        <v>31</v>
      </c>
      <c r="B8281" s="676"/>
      <c r="C8281" s="676"/>
      <c r="D8281" s="676"/>
      <c r="E8281" s="676"/>
      <c r="F8281" s="677"/>
      <c r="G8281" s="676"/>
      <c r="H8281" s="677"/>
      <c r="I8281" s="1848"/>
      <c r="J8281" s="676"/>
      <c r="K8281" s="689"/>
      <c r="L8281" s="677"/>
      <c r="M8281" s="676"/>
      <c r="N8281" s="677"/>
      <c r="O8281" s="676"/>
      <c r="P8281" s="2010"/>
    </row>
    <row r="8282" spans="1:16" ht="17.399999999999999">
      <c r="A8282" s="690"/>
      <c r="B8282" s="691"/>
      <c r="C8282" s="691"/>
      <c r="D8282" s="691"/>
      <c r="E8282" s="691"/>
      <c r="F8282" s="1232"/>
      <c r="G8282" s="691"/>
      <c r="H8282" s="1232"/>
      <c r="I8282" s="1849"/>
      <c r="J8282" s="691"/>
      <c r="K8282" s="693"/>
      <c r="L8282" s="1232"/>
      <c r="M8282" s="691"/>
      <c r="N8282" s="1232"/>
      <c r="O8282" s="691"/>
      <c r="P8282" s="2010"/>
    </row>
    <row r="8283" spans="1:16" ht="18" thickBot="1">
      <c r="A8283" s="1982" t="s">
        <v>32</v>
      </c>
      <c r="B8283" s="1983"/>
      <c r="C8283" s="1984" t="s">
        <v>33</v>
      </c>
      <c r="D8283" s="1985"/>
      <c r="E8283" s="694" t="s">
        <v>34</v>
      </c>
      <c r="F8283" s="694" t="s">
        <v>35</v>
      </c>
      <c r="G8283" s="1986" t="s">
        <v>36</v>
      </c>
      <c r="H8283" s="1987"/>
      <c r="I8283" s="1987"/>
      <c r="J8283" s="1987"/>
      <c r="K8283" s="1987"/>
      <c r="L8283" s="1987"/>
      <c r="M8283" s="1987"/>
      <c r="N8283" s="1987"/>
      <c r="O8283" s="1987"/>
      <c r="P8283" s="2010"/>
    </row>
    <row r="8284" spans="1:16" ht="17.399999999999999">
      <c r="A8284" s="1988"/>
      <c r="B8284" s="1989"/>
      <c r="C8284" s="1990"/>
      <c r="D8284" s="1989"/>
      <c r="E8284" s="1239"/>
      <c r="F8284" s="1230"/>
      <c r="G8284" s="1991"/>
      <c r="H8284" s="1992"/>
      <c r="I8284" s="1992"/>
      <c r="J8284" s="1992"/>
      <c r="K8284" s="1992"/>
      <c r="L8284" s="1992"/>
      <c r="M8284" s="1992"/>
      <c r="N8284" s="1992"/>
      <c r="O8284" s="1992"/>
      <c r="P8284" s="2010"/>
    </row>
    <row r="8285" spans="1:16" ht="17.399999999999999">
      <c r="A8285" s="1997" t="s">
        <v>37</v>
      </c>
      <c r="B8285" s="1998"/>
      <c r="C8285" s="1990"/>
      <c r="D8285" s="1989"/>
      <c r="E8285" s="1239"/>
      <c r="F8285" s="1230"/>
      <c r="G8285" s="1993"/>
      <c r="H8285" s="1994"/>
      <c r="I8285" s="1994"/>
      <c r="J8285" s="1994"/>
      <c r="K8285" s="1994"/>
      <c r="L8285" s="1994"/>
      <c r="M8285" s="1994"/>
      <c r="N8285" s="1994"/>
      <c r="O8285" s="1994"/>
      <c r="P8285" s="2010"/>
    </row>
    <row r="8286" spans="1:16" ht="17.399999999999999">
      <c r="A8286" s="1997" t="s">
        <v>38</v>
      </c>
      <c r="B8286" s="1998"/>
      <c r="C8286" s="1990"/>
      <c r="D8286" s="1989"/>
      <c r="E8286" s="1239"/>
      <c r="F8286" s="1230"/>
      <c r="G8286" s="1993"/>
      <c r="H8286" s="1994"/>
      <c r="I8286" s="1994"/>
      <c r="J8286" s="1994"/>
      <c r="K8286" s="1994"/>
      <c r="L8286" s="1994"/>
      <c r="M8286" s="1994"/>
      <c r="N8286" s="1994"/>
      <c r="O8286" s="1994"/>
      <c r="P8286" s="2010"/>
    </row>
    <row r="8287" spans="1:16" ht="17.399999999999999">
      <c r="A8287" s="1997" t="s">
        <v>39</v>
      </c>
      <c r="B8287" s="1998"/>
      <c r="C8287" s="1990"/>
      <c r="D8287" s="1989"/>
      <c r="E8287" s="1239"/>
      <c r="F8287" s="1230"/>
      <c r="G8287" s="1993"/>
      <c r="H8287" s="1994"/>
      <c r="I8287" s="1994"/>
      <c r="J8287" s="1994"/>
      <c r="K8287" s="1994"/>
      <c r="L8287" s="1994"/>
      <c r="M8287" s="1994"/>
      <c r="N8287" s="1994"/>
      <c r="O8287" s="1994"/>
      <c r="P8287" s="2010"/>
    </row>
    <row r="8288" spans="1:16" ht="17.399999999999999">
      <c r="A8288" s="1997" t="s">
        <v>40</v>
      </c>
      <c r="B8288" s="1998"/>
      <c r="C8288" s="1990"/>
      <c r="D8288" s="1989"/>
      <c r="E8288" s="1239"/>
      <c r="F8288" s="1230"/>
      <c r="G8288" s="1993"/>
      <c r="H8288" s="1994"/>
      <c r="I8288" s="1994"/>
      <c r="J8288" s="1994"/>
      <c r="K8288" s="1994"/>
      <c r="L8288" s="1994"/>
      <c r="M8288" s="1994"/>
      <c r="N8288" s="1994"/>
      <c r="O8288" s="1994"/>
      <c r="P8288" s="2010"/>
    </row>
    <row r="8289" spans="1:17" ht="18" thickBot="1">
      <c r="A8289" s="1999" t="s">
        <v>41</v>
      </c>
      <c r="B8289" s="2000"/>
      <c r="C8289" s="2001"/>
      <c r="D8289" s="2002"/>
      <c r="E8289" s="696"/>
      <c r="F8289" s="1231"/>
      <c r="G8289" s="1995"/>
      <c r="H8289" s="1996"/>
      <c r="I8289" s="1996"/>
      <c r="J8289" s="1996"/>
      <c r="K8289" s="1996"/>
      <c r="L8289" s="1996"/>
      <c r="M8289" s="1996"/>
      <c r="N8289" s="1996"/>
      <c r="O8289" s="1996"/>
      <c r="P8289" s="2010"/>
    </row>
    <row r="8290" spans="1:17" ht="18">
      <c r="A8290" s="690"/>
      <c r="B8290" s="691"/>
      <c r="C8290" s="691"/>
      <c r="D8290" s="691"/>
      <c r="E8290" s="691"/>
      <c r="F8290" s="1232"/>
      <c r="G8290" s="691"/>
      <c r="H8290" s="698"/>
      <c r="I8290" s="699"/>
      <c r="J8290" s="700"/>
      <c r="K8290" s="701"/>
      <c r="L8290" s="702"/>
      <c r="M8290" s="691"/>
      <c r="N8290" s="1232"/>
      <c r="O8290" s="691"/>
      <c r="P8290" s="2010"/>
    </row>
    <row r="8291" spans="1:17" ht="18">
      <c r="A8291" s="703" t="s">
        <v>42</v>
      </c>
      <c r="B8291" s="704"/>
      <c r="C8291" s="691"/>
      <c r="D8291" s="691"/>
      <c r="E8291" s="691"/>
      <c r="F8291" s="1232"/>
      <c r="G8291" s="704"/>
      <c r="H8291" s="698"/>
      <c r="I8291" s="699"/>
      <c r="J8291" s="700"/>
      <c r="K8291" s="693"/>
      <c r="L8291" s="705"/>
      <c r="M8291" s="691"/>
      <c r="N8291" s="1979" t="s">
        <v>43</v>
      </c>
      <c r="O8291" s="1979"/>
      <c r="P8291" s="2010"/>
    </row>
    <row r="8292" spans="1:17" ht="17.399999999999999">
      <c r="A8292" s="703"/>
      <c r="B8292" s="704"/>
      <c r="C8292" s="691"/>
      <c r="D8292" s="691"/>
      <c r="E8292" s="691"/>
      <c r="F8292" s="1232"/>
      <c r="G8292" s="691"/>
      <c r="H8292" s="1232"/>
      <c r="I8292" s="1849"/>
      <c r="J8292" s="691"/>
      <c r="K8292" s="693"/>
      <c r="L8292" s="1232"/>
      <c r="M8292" s="691"/>
      <c r="N8292" s="1232"/>
      <c r="O8292" s="704"/>
      <c r="P8292" s="2010"/>
    </row>
    <row r="8293" spans="1:17" ht="17.399999999999999">
      <c r="A8293" s="703" t="s">
        <v>44</v>
      </c>
      <c r="B8293" s="704"/>
      <c r="C8293" s="691"/>
      <c r="D8293" s="691"/>
      <c r="E8293" s="691"/>
      <c r="F8293" s="1232"/>
      <c r="G8293" s="691"/>
      <c r="H8293" s="1232"/>
      <c r="I8293" s="1849"/>
      <c r="J8293" s="691"/>
      <c r="K8293" s="693"/>
      <c r="L8293" s="1232"/>
      <c r="M8293" s="691"/>
      <c r="N8293" s="1979" t="s">
        <v>45</v>
      </c>
      <c r="O8293" s="1979"/>
      <c r="P8293" s="2010"/>
    </row>
    <row r="8294" spans="1:17" ht="18" thickBot="1">
      <c r="A8294" s="682"/>
      <c r="B8294" s="683"/>
      <c r="C8294" s="683"/>
      <c r="D8294" s="683"/>
      <c r="E8294" s="683"/>
      <c r="F8294" s="684"/>
      <c r="G8294" s="683"/>
      <c r="H8294" s="684"/>
      <c r="I8294" s="1850"/>
      <c r="J8294" s="683"/>
      <c r="K8294" s="706"/>
      <c r="L8294" s="684"/>
      <c r="M8294" s="683"/>
      <c r="N8294" s="684"/>
      <c r="O8294" s="683"/>
      <c r="P8294" s="2010"/>
    </row>
    <row r="8297" spans="1:17" ht="17.399999999999999">
      <c r="A8297" s="711" t="s">
        <v>48</v>
      </c>
      <c r="B8297" s="711"/>
      <c r="C8297" s="712"/>
      <c r="D8297" s="712"/>
      <c r="E8297" s="712"/>
      <c r="F8297" s="713"/>
      <c r="G8297" s="712"/>
      <c r="H8297" s="712"/>
      <c r="I8297" s="714"/>
      <c r="J8297" s="715"/>
      <c r="K8297" s="716"/>
      <c r="L8297" s="1978" t="s">
        <v>0</v>
      </c>
      <c r="M8297" s="1978"/>
      <c r="N8297" s="1978"/>
      <c r="O8297" s="1978"/>
      <c r="P8297" s="717"/>
    </row>
    <row r="8298" spans="1:17" ht="17.399999999999999">
      <c r="A8298" s="718" t="s">
        <v>1</v>
      </c>
      <c r="B8298" s="718"/>
      <c r="C8298" s="718"/>
      <c r="D8298" s="719" t="s">
        <v>2</v>
      </c>
      <c r="E8298" s="719"/>
      <c r="F8298" s="720"/>
      <c r="G8298" s="720"/>
      <c r="H8298" s="720"/>
      <c r="I8298" s="721"/>
      <c r="J8298" s="1238"/>
      <c r="K8298" s="723" t="s">
        <v>3</v>
      </c>
      <c r="L8298" s="1238"/>
      <c r="M8298" s="718"/>
      <c r="N8298" s="720"/>
      <c r="O8298" s="718"/>
      <c r="P8298" s="724"/>
    </row>
    <row r="8299" spans="1:17" ht="52.2">
      <c r="A8299" s="640" t="s">
        <v>4</v>
      </c>
      <c r="B8299" s="640" t="s">
        <v>5</v>
      </c>
      <c r="C8299" s="640" t="s">
        <v>6</v>
      </c>
      <c r="D8299" s="640" t="s">
        <v>7</v>
      </c>
      <c r="E8299" s="640" t="s">
        <v>8</v>
      </c>
      <c r="F8299" s="641" t="s">
        <v>9</v>
      </c>
      <c r="G8299" s="642" t="s">
        <v>10</v>
      </c>
      <c r="H8299" s="642" t="s">
        <v>11</v>
      </c>
      <c r="I8299" s="643" t="s">
        <v>12</v>
      </c>
      <c r="J8299" s="644" t="s">
        <v>13</v>
      </c>
      <c r="K8299" s="645" t="s">
        <v>14</v>
      </c>
      <c r="L8299" s="646" t="s">
        <v>15</v>
      </c>
      <c r="M8299" s="641" t="s">
        <v>16</v>
      </c>
      <c r="N8299" s="641" t="s">
        <v>17</v>
      </c>
      <c r="O8299" s="642" t="s">
        <v>18</v>
      </c>
      <c r="P8299" s="641" t="s">
        <v>192</v>
      </c>
    </row>
    <row r="8300" spans="1:17" ht="17.399999999999999">
      <c r="A8300" s="547" t="s">
        <v>445</v>
      </c>
      <c r="B8300" s="547" t="s">
        <v>890</v>
      </c>
      <c r="C8300" s="547" t="s">
        <v>19</v>
      </c>
      <c r="D8300" s="547" t="s">
        <v>60</v>
      </c>
      <c r="E8300" s="547" t="s">
        <v>62</v>
      </c>
      <c r="F8300" s="1240">
        <v>10</v>
      </c>
      <c r="G8300" s="549" t="s">
        <v>61</v>
      </c>
      <c r="H8300" s="599" t="s">
        <v>131</v>
      </c>
      <c r="I8300" s="558">
        <v>7.34</v>
      </c>
      <c r="J8300" s="568">
        <v>10.3</v>
      </c>
      <c r="K8300" s="648">
        <v>67</v>
      </c>
      <c r="L8300" s="552">
        <f t="shared" ref="L8300:L8304" si="1728">(I8300*J8300*K8300/1000)</f>
        <v>5.065334</v>
      </c>
      <c r="M8300" s="549"/>
      <c r="N8300" s="549"/>
      <c r="O8300" s="549"/>
      <c r="P8300" s="549"/>
      <c r="Q8300" s="497" t="s">
        <v>992</v>
      </c>
    </row>
    <row r="8301" spans="1:17" ht="17.399999999999999">
      <c r="A8301" s="547"/>
      <c r="B8301" s="549" t="s">
        <v>88</v>
      </c>
      <c r="C8301" s="547"/>
      <c r="D8301" s="547"/>
      <c r="E8301" s="547"/>
      <c r="F8301" s="1240"/>
      <c r="G8301" s="549" t="s">
        <v>61</v>
      </c>
      <c r="H8301" s="549" t="s">
        <v>131</v>
      </c>
      <c r="I8301" s="558">
        <v>7.34</v>
      </c>
      <c r="J8301" s="568">
        <v>10.5</v>
      </c>
      <c r="K8301" s="648">
        <v>59</v>
      </c>
      <c r="L8301" s="552">
        <f t="shared" si="1728"/>
        <v>4.5471299999999992</v>
      </c>
      <c r="M8301" s="549"/>
      <c r="N8301" s="549"/>
      <c r="O8301" s="549"/>
      <c r="P8301" s="549"/>
    </row>
    <row r="8302" spans="1:17" ht="17.399999999999999">
      <c r="A8302" s="549"/>
      <c r="B8302" s="549"/>
      <c r="C8302" s="549"/>
      <c r="D8302" s="549"/>
      <c r="E8302" s="549"/>
      <c r="F8302" s="549"/>
      <c r="G8302" s="549" t="s">
        <v>61</v>
      </c>
      <c r="H8302" s="549" t="s">
        <v>131</v>
      </c>
      <c r="I8302" s="558">
        <v>7.34</v>
      </c>
      <c r="J8302" s="568">
        <v>11</v>
      </c>
      <c r="K8302" s="648">
        <v>36</v>
      </c>
      <c r="L8302" s="552">
        <f t="shared" si="1728"/>
        <v>2.9066399999999999</v>
      </c>
      <c r="M8302" s="549"/>
      <c r="N8302" s="549"/>
      <c r="O8302" s="549"/>
      <c r="P8302" s="549"/>
    </row>
    <row r="8303" spans="1:17" ht="17.399999999999999">
      <c r="A8303" s="549"/>
      <c r="B8303" s="549"/>
      <c r="C8303" s="549"/>
      <c r="D8303" s="549"/>
      <c r="E8303" s="549"/>
      <c r="F8303" s="549"/>
      <c r="G8303" s="549" t="s">
        <v>61</v>
      </c>
      <c r="H8303" s="549" t="s">
        <v>131</v>
      </c>
      <c r="I8303" s="558">
        <v>7.34</v>
      </c>
      <c r="J8303" s="568">
        <v>11.5</v>
      </c>
      <c r="K8303" s="648">
        <v>148</v>
      </c>
      <c r="L8303" s="552">
        <f t="shared" si="1728"/>
        <v>12.49268</v>
      </c>
      <c r="M8303" s="549"/>
      <c r="N8303" s="549"/>
      <c r="O8303" s="549"/>
      <c r="P8303" s="549"/>
    </row>
    <row r="8304" spans="1:17" ht="17.399999999999999">
      <c r="A8304" s="549"/>
      <c r="B8304" s="549"/>
      <c r="C8304" s="549"/>
      <c r="D8304" s="549"/>
      <c r="E8304" s="549"/>
      <c r="F8304" s="549"/>
      <c r="G8304" s="549" t="s">
        <v>61</v>
      </c>
      <c r="H8304" s="549" t="s">
        <v>131</v>
      </c>
      <c r="I8304" s="558">
        <v>7.34</v>
      </c>
      <c r="J8304" s="568">
        <v>12</v>
      </c>
      <c r="K8304" s="648">
        <v>67</v>
      </c>
      <c r="L8304" s="552">
        <f t="shared" si="1728"/>
        <v>5.9013599999999995</v>
      </c>
      <c r="M8304" s="549"/>
      <c r="N8304" s="549"/>
      <c r="O8304" s="549"/>
      <c r="P8304" s="549"/>
    </row>
    <row r="8305" spans="1:17" ht="17.399999999999999">
      <c r="A8305" s="549"/>
      <c r="B8305" s="549"/>
      <c r="C8305" s="549"/>
      <c r="D8305" s="549"/>
      <c r="E8305" s="549"/>
      <c r="F8305" s="549"/>
      <c r="G8305" s="549"/>
      <c r="H8305" s="549"/>
      <c r="I8305" s="558"/>
      <c r="J8305" s="568"/>
      <c r="K8305" s="648">
        <f t="shared" ref="K8305:L8305" si="1729">SUM(K8300:K8304)</f>
        <v>377</v>
      </c>
      <c r="L8305" s="565">
        <f t="shared" si="1729"/>
        <v>30.913143999999999</v>
      </c>
      <c r="M8305" s="549"/>
      <c r="N8305" s="549"/>
      <c r="O8305" s="549"/>
      <c r="P8305" s="549" t="s">
        <v>905</v>
      </c>
    </row>
    <row r="8306" spans="1:17" ht="17.399999999999999">
      <c r="A8306" s="549"/>
      <c r="B8306" s="549"/>
      <c r="C8306" s="549"/>
      <c r="D8306" s="549"/>
      <c r="E8306" s="549"/>
      <c r="F8306" s="549"/>
      <c r="G8306" s="549"/>
      <c r="H8306" s="549"/>
      <c r="I8306" s="560"/>
      <c r="J8306" s="560"/>
      <c r="K8306" s="561"/>
      <c r="L8306" s="561"/>
      <c r="M8306" s="549"/>
      <c r="N8306" s="549"/>
      <c r="O8306" s="549"/>
      <c r="P8306" s="549"/>
    </row>
    <row r="8307" spans="1:17" ht="17.399999999999999">
      <c r="A8307" s="547" t="s">
        <v>445</v>
      </c>
      <c r="B8307" s="547" t="s">
        <v>857</v>
      </c>
      <c r="C8307" s="547" t="s">
        <v>19</v>
      </c>
      <c r="D8307" s="547" t="s">
        <v>60</v>
      </c>
      <c r="E8307" s="560" t="s">
        <v>90</v>
      </c>
      <c r="F8307" s="1240">
        <v>10</v>
      </c>
      <c r="G8307" s="549" t="s">
        <v>61</v>
      </c>
      <c r="H8307" s="599" t="s">
        <v>131</v>
      </c>
      <c r="I8307" s="560">
        <v>7.34</v>
      </c>
      <c r="J8307" s="568">
        <v>12</v>
      </c>
      <c r="K8307" s="648">
        <v>27</v>
      </c>
      <c r="L8307" s="552">
        <f>(I8307*J8307*K8307/1000)</f>
        <v>2.3781599999999998</v>
      </c>
      <c r="M8307" s="549"/>
      <c r="N8307" s="549"/>
      <c r="O8307" s="549"/>
      <c r="P8307" s="549"/>
      <c r="Q8307" s="497" t="s">
        <v>992</v>
      </c>
    </row>
    <row r="8308" spans="1:17" ht="17.399999999999999">
      <c r="A8308" s="549"/>
      <c r="B8308" s="550" t="s">
        <v>84</v>
      </c>
      <c r="C8308" s="549"/>
      <c r="D8308" s="549"/>
      <c r="E8308" s="549"/>
      <c r="F8308" s="549"/>
      <c r="G8308" s="549"/>
      <c r="H8308" s="650"/>
      <c r="I8308" s="560"/>
      <c r="J8308" s="568"/>
      <c r="K8308" s="648">
        <f t="shared" ref="K8308" si="1730">SUM(K8307)</f>
        <v>27</v>
      </c>
      <c r="L8308" s="709">
        <f>SUM(L8307)</f>
        <v>2.3781599999999998</v>
      </c>
      <c r="M8308" s="549"/>
      <c r="N8308" s="549"/>
      <c r="O8308" s="549"/>
      <c r="P8308" s="549" t="s">
        <v>906</v>
      </c>
    </row>
    <row r="8309" spans="1:17" ht="17.399999999999999">
      <c r="A8309" s="549"/>
      <c r="B8309" s="549"/>
      <c r="C8309" s="549"/>
      <c r="D8309" s="549"/>
      <c r="E8309" s="549"/>
      <c r="F8309" s="549"/>
      <c r="G8309" s="549"/>
      <c r="H8309" s="549"/>
      <c r="I8309" s="560"/>
      <c r="J8309" s="560"/>
      <c r="K8309" s="652">
        <f>SUM(K8300:K8308)/2</f>
        <v>404</v>
      </c>
      <c r="L8309" s="565">
        <f>SUM(L8300:L8308)/2</f>
        <v>33.291303999999997</v>
      </c>
      <c r="M8309" s="549"/>
      <c r="N8309" s="549"/>
      <c r="O8309" s="549"/>
      <c r="P8309" s="549"/>
    </row>
    <row r="8310" spans="1:17" ht="17.399999999999999">
      <c r="A8310" s="549"/>
      <c r="B8310" s="549"/>
      <c r="C8310" s="549"/>
      <c r="D8310" s="549"/>
      <c r="E8310" s="549"/>
      <c r="F8310" s="549"/>
      <c r="G8310" s="549"/>
      <c r="H8310" s="549"/>
      <c r="I8310" s="560"/>
      <c r="J8310" s="560"/>
      <c r="K8310" s="561"/>
      <c r="L8310" s="560"/>
      <c r="M8310" s="549"/>
      <c r="N8310" s="549"/>
      <c r="O8310" s="549"/>
      <c r="P8310" s="549"/>
    </row>
    <row r="8311" spans="1:17" ht="17.399999999999999">
      <c r="A8311" s="549"/>
      <c r="B8311" s="549"/>
      <c r="C8311" s="549"/>
      <c r="D8311" s="549"/>
      <c r="E8311" s="549"/>
      <c r="F8311" s="549"/>
      <c r="G8311" s="549"/>
      <c r="H8311" s="549"/>
      <c r="I8311" s="560"/>
      <c r="J8311" s="560"/>
      <c r="K8311" s="561"/>
      <c r="L8311" s="560"/>
      <c r="M8311" s="549"/>
      <c r="N8311" s="549"/>
      <c r="O8311" s="549"/>
      <c r="P8311" s="549"/>
    </row>
    <row r="8312" spans="1:17" ht="17.399999999999999">
      <c r="A8312" s="547" t="s">
        <v>495</v>
      </c>
      <c r="B8312" s="547" t="s">
        <v>860</v>
      </c>
      <c r="C8312" s="547" t="s">
        <v>446</v>
      </c>
      <c r="D8312" s="813" t="s">
        <v>450</v>
      </c>
      <c r="E8312" s="547" t="s">
        <v>270</v>
      </c>
      <c r="F8312" s="1240">
        <v>10</v>
      </c>
      <c r="G8312" s="549" t="s">
        <v>61</v>
      </c>
      <c r="H8312" s="599" t="s">
        <v>131</v>
      </c>
      <c r="I8312" s="558">
        <v>7.36</v>
      </c>
      <c r="J8312" s="568">
        <v>6</v>
      </c>
      <c r="K8312" s="648">
        <v>3</v>
      </c>
      <c r="L8312" s="552">
        <f>(I8312*J8312*K8312/1000)</f>
        <v>0.13248000000000001</v>
      </c>
      <c r="M8312" s="549"/>
      <c r="N8312" s="549"/>
      <c r="O8312" s="549"/>
      <c r="P8312" s="549"/>
      <c r="Q8312" s="497" t="s">
        <v>992</v>
      </c>
    </row>
    <row r="8313" spans="1:17" ht="17.399999999999999">
      <c r="A8313" s="550"/>
      <c r="B8313" s="550"/>
      <c r="C8313" s="550"/>
      <c r="D8313" s="550"/>
      <c r="E8313" s="1240"/>
      <c r="F8313" s="550"/>
      <c r="G8313" s="549" t="s">
        <v>61</v>
      </c>
      <c r="H8313" s="549" t="s">
        <v>131</v>
      </c>
      <c r="I8313" s="558">
        <v>7.36</v>
      </c>
      <c r="J8313" s="568">
        <v>10</v>
      </c>
      <c r="K8313" s="648">
        <v>59</v>
      </c>
      <c r="L8313" s="552">
        <f>(I8313*J8313*K8313/1000)</f>
        <v>4.3424000000000005</v>
      </c>
      <c r="M8313" s="549"/>
      <c r="N8313" s="549"/>
      <c r="O8313" s="549"/>
      <c r="P8313" s="549"/>
    </row>
    <row r="8314" spans="1:17" ht="17.399999999999999">
      <c r="A8314" s="549"/>
      <c r="B8314" s="549"/>
      <c r="C8314" s="549"/>
      <c r="D8314" s="549"/>
      <c r="E8314" s="549"/>
      <c r="F8314" s="549"/>
      <c r="G8314" s="549" t="s">
        <v>61</v>
      </c>
      <c r="H8314" s="549" t="s">
        <v>131</v>
      </c>
      <c r="I8314" s="558">
        <v>7.36</v>
      </c>
      <c r="J8314" s="568">
        <v>12</v>
      </c>
      <c r="K8314" s="648">
        <v>140</v>
      </c>
      <c r="L8314" s="552">
        <f>(I8314*J8314*K8314/1000)</f>
        <v>12.364800000000001</v>
      </c>
      <c r="M8314" s="549"/>
      <c r="N8314" s="549"/>
      <c r="O8314" s="549"/>
      <c r="P8314" s="549"/>
    </row>
    <row r="8315" spans="1:17" ht="17.399999999999999">
      <c r="A8315" s="549"/>
      <c r="B8315" s="549"/>
      <c r="C8315" s="549"/>
      <c r="D8315" s="549"/>
      <c r="E8315" s="549"/>
      <c r="F8315" s="549"/>
      <c r="G8315" s="549"/>
      <c r="H8315" s="549"/>
      <c r="I8315" s="558"/>
      <c r="J8315" s="568"/>
      <c r="K8315" s="648">
        <f t="shared" ref="K8315" si="1731">SUM(K8312:K8314)</f>
        <v>202</v>
      </c>
      <c r="L8315" s="567">
        <f>SUM(L8312:L8314)</f>
        <v>16.839680000000001</v>
      </c>
      <c r="M8315" s="549"/>
      <c r="N8315" s="549"/>
      <c r="O8315" s="549"/>
      <c r="P8315" s="549"/>
    </row>
    <row r="8316" spans="1:17" ht="17.399999999999999">
      <c r="A8316" s="549"/>
      <c r="B8316" s="549"/>
      <c r="C8316" s="549"/>
      <c r="D8316" s="549"/>
      <c r="E8316" s="549"/>
      <c r="F8316" s="549"/>
      <c r="G8316" s="549"/>
      <c r="H8316" s="549"/>
      <c r="I8316" s="560"/>
      <c r="J8316" s="560"/>
      <c r="K8316" s="561"/>
      <c r="L8316" s="560"/>
      <c r="M8316" s="549"/>
      <c r="N8316" s="549"/>
      <c r="O8316" s="549"/>
      <c r="P8316" s="549"/>
    </row>
    <row r="8317" spans="1:17" ht="17.399999999999999">
      <c r="A8317" s="547" t="s">
        <v>495</v>
      </c>
      <c r="B8317" s="547" t="s">
        <v>861</v>
      </c>
      <c r="C8317" s="547" t="s">
        <v>446</v>
      </c>
      <c r="D8317" s="813" t="s">
        <v>450</v>
      </c>
      <c r="E8317" s="547" t="s">
        <v>270</v>
      </c>
      <c r="F8317" s="1240">
        <v>10</v>
      </c>
      <c r="G8317" s="549" t="s">
        <v>61</v>
      </c>
      <c r="H8317" s="599" t="s">
        <v>131</v>
      </c>
      <c r="I8317" s="560">
        <v>7.36</v>
      </c>
      <c r="J8317" s="568">
        <v>10.5</v>
      </c>
      <c r="K8317" s="648">
        <v>5</v>
      </c>
      <c r="L8317" s="552">
        <f>(I8317*J8317*K8317/1000)</f>
        <v>0.38639999999999997</v>
      </c>
      <c r="M8317" s="549"/>
      <c r="N8317" s="549"/>
      <c r="O8317" s="549"/>
      <c r="P8317" s="549"/>
      <c r="Q8317" s="497" t="s">
        <v>992</v>
      </c>
    </row>
    <row r="8318" spans="1:17" ht="17.399999999999999">
      <c r="A8318" s="550"/>
      <c r="B8318" s="550"/>
      <c r="C8318" s="550"/>
      <c r="D8318" s="550"/>
      <c r="E8318" s="1240"/>
      <c r="F8318" s="550"/>
      <c r="G8318" s="549"/>
      <c r="H8318" s="549"/>
      <c r="I8318" s="560"/>
      <c r="J8318" s="568"/>
      <c r="K8318" s="648">
        <f t="shared" ref="K8318" si="1732">SUM(K8317)</f>
        <v>5</v>
      </c>
      <c r="L8318" s="552">
        <f>SUM(L8317)</f>
        <v>0.38639999999999997</v>
      </c>
      <c r="M8318" s="549"/>
      <c r="N8318" s="549"/>
      <c r="O8318" s="549"/>
      <c r="P8318" s="549"/>
    </row>
    <row r="8319" spans="1:17" ht="17.399999999999999">
      <c r="A8319" s="549"/>
      <c r="B8319" s="549"/>
      <c r="C8319" s="549"/>
      <c r="D8319" s="549"/>
      <c r="E8319" s="549"/>
      <c r="F8319" s="549"/>
      <c r="G8319" s="549"/>
      <c r="H8319" s="549"/>
      <c r="I8319" s="560"/>
      <c r="J8319" s="560"/>
      <c r="K8319" s="652">
        <f>SUM(K8312:K8318)/2</f>
        <v>207</v>
      </c>
      <c r="L8319" s="565">
        <f>SUM(L8312:L8318)/2</f>
        <v>17.226080000000003</v>
      </c>
      <c r="M8319" s="549"/>
      <c r="N8319" s="549"/>
      <c r="O8319" s="549"/>
      <c r="P8319" s="549" t="s">
        <v>915</v>
      </c>
    </row>
    <row r="8320" spans="1:17" s="497" customFormat="1" ht="17.399999999999999">
      <c r="A8320" s="549"/>
      <c r="B8320" s="549"/>
      <c r="C8320" s="549"/>
      <c r="D8320" s="549"/>
      <c r="E8320" s="549"/>
      <c r="F8320" s="549"/>
      <c r="G8320" s="549"/>
      <c r="H8320" s="549"/>
      <c r="I8320" s="560"/>
      <c r="J8320" s="560"/>
      <c r="K8320" s="652"/>
      <c r="L8320" s="565"/>
      <c r="M8320" s="549"/>
      <c r="N8320" s="549"/>
      <c r="O8320" s="549"/>
      <c r="P8320" s="549"/>
    </row>
    <row r="8321" spans="1:17" ht="17.399999999999999">
      <c r="A8321" s="549"/>
      <c r="B8321" s="549"/>
      <c r="C8321" s="549"/>
      <c r="D8321" s="549"/>
      <c r="E8321" s="549"/>
      <c r="F8321" s="549"/>
      <c r="G8321" s="549"/>
      <c r="H8321" s="549"/>
      <c r="I8321" s="560"/>
      <c r="J8321" s="560"/>
      <c r="K8321" s="561"/>
      <c r="L8321" s="560"/>
      <c r="M8321" s="549"/>
      <c r="N8321" s="549"/>
      <c r="O8321" s="549"/>
      <c r="P8321" s="549"/>
    </row>
    <row r="8322" spans="1:17" ht="17.399999999999999">
      <c r="A8322" s="547" t="s">
        <v>495</v>
      </c>
      <c r="B8322" s="547" t="s">
        <v>860</v>
      </c>
      <c r="C8322" s="547" t="s">
        <v>446</v>
      </c>
      <c r="D8322" s="813" t="s">
        <v>450</v>
      </c>
      <c r="E8322" s="547" t="s">
        <v>270</v>
      </c>
      <c r="F8322" s="1240">
        <v>10</v>
      </c>
      <c r="G8322" s="549" t="s">
        <v>61</v>
      </c>
      <c r="H8322" s="599" t="s">
        <v>130</v>
      </c>
      <c r="I8322" s="558">
        <v>6.17</v>
      </c>
      <c r="J8322" s="568">
        <v>8</v>
      </c>
      <c r="K8322" s="648">
        <v>71</v>
      </c>
      <c r="L8322" s="552">
        <f>(I8322*J8322*K8322/1000)</f>
        <v>3.5045600000000001</v>
      </c>
      <c r="M8322" s="549"/>
      <c r="N8322" s="549"/>
      <c r="O8322" s="549"/>
      <c r="P8322" s="549"/>
      <c r="Q8322" s="497" t="s">
        <v>992</v>
      </c>
    </row>
    <row r="8323" spans="1:17" ht="17.399999999999999">
      <c r="A8323" s="550"/>
      <c r="B8323" s="550"/>
      <c r="C8323" s="550"/>
      <c r="D8323" s="550"/>
      <c r="E8323" s="1240"/>
      <c r="F8323" s="550"/>
      <c r="G8323" s="549" t="s">
        <v>61</v>
      </c>
      <c r="H8323" s="549" t="s">
        <v>130</v>
      </c>
      <c r="I8323" s="558">
        <v>6.17</v>
      </c>
      <c r="J8323" s="568">
        <v>10.5</v>
      </c>
      <c r="K8323" s="648">
        <v>120</v>
      </c>
      <c r="L8323" s="552">
        <f>(I8323*J8323*K8323/1000)</f>
        <v>7.7741999999999996</v>
      </c>
      <c r="M8323" s="549"/>
      <c r="N8323" s="549"/>
      <c r="O8323" s="549"/>
      <c r="P8323" s="549"/>
    </row>
    <row r="8324" spans="1:17" ht="17.399999999999999">
      <c r="A8324" s="549"/>
      <c r="B8324" s="549"/>
      <c r="C8324" s="549"/>
      <c r="D8324" s="549"/>
      <c r="E8324" s="549"/>
      <c r="F8324" s="549"/>
      <c r="G8324" s="549"/>
      <c r="H8324" s="549"/>
      <c r="I8324" s="558"/>
      <c r="J8324" s="568"/>
      <c r="K8324" s="648">
        <f t="shared" ref="K8324" si="1733">SUM(K8322:K8323)</f>
        <v>191</v>
      </c>
      <c r="L8324" s="567">
        <f>SUM(L8322:L8323)</f>
        <v>11.27876</v>
      </c>
      <c r="M8324" s="549"/>
      <c r="N8324" s="549"/>
      <c r="O8324" s="549"/>
      <c r="P8324" s="549" t="s">
        <v>907</v>
      </c>
    </row>
    <row r="8325" spans="1:17" s="497" customFormat="1" ht="17.399999999999999">
      <c r="A8325" s="549"/>
      <c r="B8325" s="549"/>
      <c r="C8325" s="549"/>
      <c r="D8325" s="549"/>
      <c r="E8325" s="549"/>
      <c r="F8325" s="549"/>
      <c r="G8325" s="549"/>
      <c r="H8325" s="549"/>
      <c r="I8325" s="558"/>
      <c r="J8325" s="568"/>
      <c r="K8325" s="648"/>
      <c r="L8325" s="567"/>
      <c r="M8325" s="549"/>
      <c r="N8325" s="549"/>
      <c r="O8325" s="549"/>
      <c r="P8325" s="549"/>
    </row>
    <row r="8326" spans="1:17" s="497" customFormat="1" ht="17.399999999999999">
      <c r="A8326" s="549"/>
      <c r="B8326" s="549"/>
      <c r="C8326" s="549"/>
      <c r="D8326" s="549"/>
      <c r="E8326" s="549"/>
      <c r="F8326" s="549"/>
      <c r="G8326" s="549"/>
      <c r="H8326" s="549"/>
      <c r="I8326" s="558"/>
      <c r="J8326" s="568"/>
      <c r="K8326" s="648"/>
      <c r="L8326" s="567"/>
      <c r="M8326" s="549"/>
      <c r="N8326" s="549"/>
      <c r="O8326" s="549"/>
      <c r="P8326" s="549"/>
    </row>
    <row r="8327" spans="1:17" ht="17.399999999999999">
      <c r="A8327" s="547" t="s">
        <v>445</v>
      </c>
      <c r="B8327" s="547" t="s">
        <v>857</v>
      </c>
      <c r="C8327" s="547" t="s">
        <v>19</v>
      </c>
      <c r="D8327" s="547" t="s">
        <v>20</v>
      </c>
      <c r="E8327" s="1025" t="s">
        <v>879</v>
      </c>
      <c r="F8327" s="1240">
        <v>10</v>
      </c>
      <c r="G8327" s="549" t="s">
        <v>21</v>
      </c>
      <c r="H8327" s="599" t="s">
        <v>131</v>
      </c>
      <c r="I8327" s="560">
        <v>7.34</v>
      </c>
      <c r="J8327" s="568">
        <v>12</v>
      </c>
      <c r="K8327" s="648">
        <v>1</v>
      </c>
      <c r="L8327" s="552">
        <f>(I8327*J8327*K8327/1000)</f>
        <v>8.8079999999999992E-2</v>
      </c>
      <c r="M8327" s="549"/>
      <c r="N8327" s="549"/>
      <c r="O8327" s="549"/>
      <c r="P8327" s="549"/>
      <c r="Q8327" s="497" t="s">
        <v>992</v>
      </c>
    </row>
    <row r="8328" spans="1:17" ht="17.399999999999999">
      <c r="A8328" s="549"/>
      <c r="B8328" s="550" t="s">
        <v>84</v>
      </c>
      <c r="C8328" s="549"/>
      <c r="D8328" s="549"/>
      <c r="E8328" s="549"/>
      <c r="F8328" s="549"/>
      <c r="G8328" s="549"/>
      <c r="H8328" s="650"/>
      <c r="I8328" s="560"/>
      <c r="J8328" s="568"/>
      <c r="K8328" s="648">
        <f t="shared" ref="K8328" si="1734">SUM(K8327)</f>
        <v>1</v>
      </c>
      <c r="L8328" s="765">
        <f>SUM(L8327)</f>
        <v>8.8079999999999992E-2</v>
      </c>
      <c r="M8328" s="549"/>
      <c r="N8328" s="549"/>
      <c r="O8328" s="549"/>
      <c r="P8328" s="549" t="s">
        <v>908</v>
      </c>
    </row>
    <row r="8329" spans="1:17" ht="17.399999999999999">
      <c r="A8329" s="549"/>
      <c r="B8329" s="549"/>
      <c r="C8329" s="549"/>
      <c r="D8329" s="549"/>
      <c r="E8329" s="549"/>
      <c r="F8329" s="549"/>
      <c r="G8329" s="549"/>
      <c r="H8329" s="549"/>
      <c r="I8329" s="560"/>
      <c r="J8329" s="560"/>
      <c r="K8329" s="561"/>
      <c r="L8329" s="560"/>
      <c r="M8329" s="549"/>
      <c r="N8329" s="549"/>
      <c r="O8329" s="549"/>
      <c r="P8329" s="549"/>
    </row>
    <row r="8330" spans="1:17" ht="17.399999999999999">
      <c r="A8330" s="547" t="s">
        <v>445</v>
      </c>
      <c r="B8330" s="547" t="s">
        <v>891</v>
      </c>
      <c r="C8330" s="547" t="s">
        <v>19</v>
      </c>
      <c r="D8330" s="547" t="s">
        <v>20</v>
      </c>
      <c r="E8330" s="1025" t="s">
        <v>879</v>
      </c>
      <c r="F8330" s="1240">
        <v>10</v>
      </c>
      <c r="G8330" s="549" t="s">
        <v>21</v>
      </c>
      <c r="H8330" s="599" t="s">
        <v>131</v>
      </c>
      <c r="I8330" s="558">
        <v>7.34</v>
      </c>
      <c r="J8330" s="568">
        <v>12</v>
      </c>
      <c r="K8330" s="648">
        <v>3</v>
      </c>
      <c r="L8330" s="709">
        <f>(I8330*J8330*K8330/1000)</f>
        <v>0.26424000000000003</v>
      </c>
      <c r="M8330" s="549"/>
      <c r="N8330" s="549"/>
      <c r="O8330" s="549"/>
      <c r="P8330" s="549"/>
      <c r="Q8330" s="497" t="s">
        <v>992</v>
      </c>
    </row>
    <row r="8331" spans="1:17" ht="17.399999999999999">
      <c r="A8331" s="549"/>
      <c r="B8331" s="549" t="s">
        <v>52</v>
      </c>
      <c r="C8331" s="549"/>
      <c r="D8331" s="549"/>
      <c r="E8331" s="549"/>
      <c r="F8331" s="549"/>
      <c r="G8331" s="549"/>
      <c r="H8331" s="549"/>
      <c r="I8331" s="560"/>
      <c r="J8331" s="560"/>
      <c r="K8331" s="652">
        <f t="shared" ref="K8331" si="1735">SUM(K8330)</f>
        <v>3</v>
      </c>
      <c r="L8331" s="565">
        <f>SUM(L8330)</f>
        <v>0.26424000000000003</v>
      </c>
      <c r="M8331" s="549"/>
      <c r="N8331" s="549"/>
      <c r="O8331" s="549"/>
      <c r="P8331" s="549" t="s">
        <v>908</v>
      </c>
    </row>
    <row r="8332" spans="1:17" ht="17.399999999999999">
      <c r="A8332" s="549"/>
      <c r="B8332" s="549"/>
      <c r="C8332" s="549"/>
      <c r="D8332" s="549"/>
      <c r="E8332" s="549"/>
      <c r="F8332" s="549"/>
      <c r="G8332" s="549"/>
      <c r="H8332" s="549"/>
      <c r="I8332" s="560"/>
      <c r="J8332" s="560"/>
      <c r="K8332" s="561"/>
      <c r="L8332" s="560"/>
      <c r="M8332" s="549"/>
      <c r="N8332" s="549"/>
      <c r="O8332" s="549"/>
      <c r="P8332" s="549"/>
    </row>
    <row r="8333" spans="1:17" ht="17.399999999999999">
      <c r="A8333" s="547" t="s">
        <v>445</v>
      </c>
      <c r="B8333" s="547" t="s">
        <v>892</v>
      </c>
      <c r="C8333" s="547" t="s">
        <v>19</v>
      </c>
      <c r="D8333" s="547" t="s">
        <v>20</v>
      </c>
      <c r="E8333" s="1025" t="s">
        <v>879</v>
      </c>
      <c r="F8333" s="1240">
        <v>10</v>
      </c>
      <c r="G8333" s="549" t="s">
        <v>21</v>
      </c>
      <c r="H8333" s="599" t="s">
        <v>131</v>
      </c>
      <c r="I8333" s="560">
        <v>7.34</v>
      </c>
      <c r="J8333" s="568">
        <v>12</v>
      </c>
      <c r="K8333" s="648">
        <v>4</v>
      </c>
      <c r="L8333" s="552">
        <f>(I8333*J8333*K8333/1000)</f>
        <v>0.35231999999999997</v>
      </c>
      <c r="M8333" s="549"/>
      <c r="N8333" s="549"/>
      <c r="O8333" s="549"/>
      <c r="P8333" s="549"/>
      <c r="Q8333" s="497" t="s">
        <v>992</v>
      </c>
    </row>
    <row r="8334" spans="1:17" ht="17.399999999999999">
      <c r="A8334" s="549"/>
      <c r="B8334" s="549" t="s">
        <v>52</v>
      </c>
      <c r="C8334" s="549"/>
      <c r="D8334" s="549"/>
      <c r="E8334" s="549"/>
      <c r="F8334" s="549"/>
      <c r="G8334" s="549"/>
      <c r="H8334" s="549"/>
      <c r="I8334" s="560"/>
      <c r="J8334" s="568"/>
      <c r="K8334" s="648">
        <f t="shared" ref="K8334:L8334" si="1736">SUM(K8333)</f>
        <v>4</v>
      </c>
      <c r="L8334" s="765">
        <f t="shared" si="1736"/>
        <v>0.35231999999999997</v>
      </c>
      <c r="M8334" s="549"/>
      <c r="N8334" s="549"/>
      <c r="O8334" s="549"/>
      <c r="P8334" s="549" t="s">
        <v>908</v>
      </c>
    </row>
    <row r="8335" spans="1:17" s="497" customFormat="1" ht="17.399999999999999">
      <c r="A8335" s="549"/>
      <c r="B8335" s="549"/>
      <c r="C8335" s="549"/>
      <c r="D8335" s="549"/>
      <c r="E8335" s="549"/>
      <c r="F8335" s="549"/>
      <c r="G8335" s="549"/>
      <c r="H8335" s="549"/>
      <c r="I8335" s="560"/>
      <c r="J8335" s="568"/>
      <c r="K8335" s="648"/>
      <c r="L8335" s="765"/>
      <c r="M8335" s="549"/>
      <c r="N8335" s="549"/>
      <c r="O8335" s="549"/>
      <c r="P8335" s="549"/>
    </row>
    <row r="8336" spans="1:17" ht="17.399999999999999">
      <c r="A8336" s="547" t="s">
        <v>445</v>
      </c>
      <c r="B8336" s="547" t="s">
        <v>857</v>
      </c>
      <c r="C8336" s="547" t="s">
        <v>19</v>
      </c>
      <c r="D8336" s="547" t="s">
        <v>20</v>
      </c>
      <c r="E8336" s="560" t="s">
        <v>878</v>
      </c>
      <c r="F8336" s="1240">
        <v>10</v>
      </c>
      <c r="G8336" s="549" t="s">
        <v>21</v>
      </c>
      <c r="H8336" s="599" t="s">
        <v>131</v>
      </c>
      <c r="I8336" s="560">
        <v>7.34</v>
      </c>
      <c r="J8336" s="568">
        <v>10.5</v>
      </c>
      <c r="K8336" s="648">
        <v>26</v>
      </c>
      <c r="L8336" s="552">
        <f>(I8336*J8336*K8336/1000)</f>
        <v>2.0038199999999997</v>
      </c>
      <c r="M8336" s="549"/>
      <c r="N8336" s="549"/>
      <c r="O8336" s="549"/>
      <c r="P8336" s="549"/>
      <c r="Q8336" s="497" t="s">
        <v>992</v>
      </c>
    </row>
    <row r="8337" spans="1:17" ht="17.399999999999999">
      <c r="A8337" s="549"/>
      <c r="B8337" s="550" t="s">
        <v>84</v>
      </c>
      <c r="C8337" s="549"/>
      <c r="D8337" s="549"/>
      <c r="E8337" s="549"/>
      <c r="F8337" s="549"/>
      <c r="G8337" s="549" t="s">
        <v>21</v>
      </c>
      <c r="H8337" s="549" t="s">
        <v>131</v>
      </c>
      <c r="I8337" s="560">
        <v>7.34</v>
      </c>
      <c r="J8337" s="568">
        <v>12</v>
      </c>
      <c r="K8337" s="648">
        <v>36</v>
      </c>
      <c r="L8337" s="552">
        <f>(I8337*J8337*K8337/1000)</f>
        <v>3.1708799999999999</v>
      </c>
      <c r="M8337" s="549"/>
      <c r="N8337" s="549"/>
      <c r="O8337" s="549"/>
      <c r="P8337" s="549"/>
    </row>
    <row r="8338" spans="1:17" ht="17.399999999999999">
      <c r="A8338" s="549"/>
      <c r="B8338" s="549"/>
      <c r="C8338" s="549"/>
      <c r="D8338" s="549"/>
      <c r="E8338" s="549"/>
      <c r="F8338" s="549"/>
      <c r="G8338" s="549"/>
      <c r="H8338" s="650"/>
      <c r="I8338" s="560"/>
      <c r="J8338" s="568"/>
      <c r="K8338" s="648">
        <f t="shared" ref="K8338" si="1737">SUM(K8336:K8337)</f>
        <v>62</v>
      </c>
      <c r="L8338" s="765">
        <f>SUM(L8336:L8337)</f>
        <v>5.1746999999999996</v>
      </c>
      <c r="M8338" s="549"/>
      <c r="N8338" s="549"/>
      <c r="O8338" s="549"/>
      <c r="P8338" s="549" t="s">
        <v>916</v>
      </c>
    </row>
    <row r="8339" spans="1:17" ht="17.399999999999999">
      <c r="A8339" s="549"/>
      <c r="B8339" s="549"/>
      <c r="C8339" s="549"/>
      <c r="D8339" s="549"/>
      <c r="E8339" s="549"/>
      <c r="F8339" s="549"/>
      <c r="G8339" s="549"/>
      <c r="H8339" s="549"/>
      <c r="I8339" s="560"/>
      <c r="J8339" s="560"/>
      <c r="K8339" s="652">
        <f>SUM(K8327:K8338)/2</f>
        <v>70</v>
      </c>
      <c r="L8339" s="565">
        <f>SUM(L8327:L8338)/2</f>
        <v>5.87934</v>
      </c>
      <c r="M8339" s="549"/>
      <c r="N8339" s="549"/>
      <c r="O8339" s="549"/>
      <c r="P8339" s="549"/>
    </row>
    <row r="8340" spans="1:17" ht="17.399999999999999">
      <c r="A8340" s="549"/>
      <c r="B8340" s="549"/>
      <c r="C8340" s="549"/>
      <c r="D8340" s="549"/>
      <c r="E8340" s="549"/>
      <c r="F8340" s="549"/>
      <c r="G8340" s="549"/>
      <c r="H8340" s="549"/>
      <c r="I8340" s="560"/>
      <c r="J8340" s="560"/>
      <c r="K8340" s="561"/>
      <c r="L8340" s="560"/>
      <c r="M8340" s="549"/>
      <c r="N8340" s="549"/>
      <c r="O8340" s="549"/>
      <c r="P8340" s="549"/>
    </row>
    <row r="8341" spans="1:17" ht="17.399999999999999">
      <c r="A8341" s="549"/>
      <c r="B8341" s="549"/>
      <c r="C8341" s="549"/>
      <c r="D8341" s="549"/>
      <c r="E8341" s="549"/>
      <c r="F8341" s="549"/>
      <c r="G8341" s="549"/>
      <c r="H8341" s="549"/>
      <c r="I8341" s="560"/>
      <c r="J8341" s="560"/>
      <c r="K8341" s="561"/>
      <c r="L8341" s="560"/>
      <c r="M8341" s="549"/>
      <c r="N8341" s="549"/>
      <c r="O8341" s="549"/>
      <c r="P8341" s="549"/>
    </row>
    <row r="8342" spans="1:17" ht="17.399999999999999">
      <c r="A8342" s="547" t="s">
        <v>445</v>
      </c>
      <c r="B8342" s="547" t="s">
        <v>889</v>
      </c>
      <c r="C8342" s="547" t="s">
        <v>19</v>
      </c>
      <c r="D8342" s="547" t="s">
        <v>20</v>
      </c>
      <c r="E8342" s="560" t="s">
        <v>464</v>
      </c>
      <c r="F8342" s="1240">
        <v>10</v>
      </c>
      <c r="G8342" s="549" t="s">
        <v>21</v>
      </c>
      <c r="H8342" s="549" t="s">
        <v>131</v>
      </c>
      <c r="I8342" s="558">
        <v>7.34</v>
      </c>
      <c r="J8342" s="568">
        <v>10</v>
      </c>
      <c r="K8342" s="648">
        <v>14</v>
      </c>
      <c r="L8342" s="552">
        <f t="shared" ref="L8342:L8343" si="1738">(I8342*J8342*K8342/1000)</f>
        <v>1.0276000000000001</v>
      </c>
      <c r="M8342" s="549"/>
      <c r="N8342" s="549"/>
      <c r="O8342" s="549"/>
      <c r="P8342" s="549"/>
    </row>
    <row r="8343" spans="1:17" ht="17.399999999999999">
      <c r="A8343" s="549"/>
      <c r="B8343" s="754" t="s">
        <v>888</v>
      </c>
      <c r="C8343" s="549"/>
      <c r="D8343" s="549"/>
      <c r="E8343" s="549"/>
      <c r="F8343" s="549"/>
      <c r="G8343" s="549" t="s">
        <v>21</v>
      </c>
      <c r="H8343" s="549" t="s">
        <v>131</v>
      </c>
      <c r="I8343" s="558">
        <v>7.34</v>
      </c>
      <c r="J8343" s="568">
        <v>11.7</v>
      </c>
      <c r="K8343" s="648">
        <v>36</v>
      </c>
      <c r="L8343" s="552">
        <f t="shared" si="1738"/>
        <v>3.0916080000000004</v>
      </c>
      <c r="M8343" s="549"/>
      <c r="N8343" s="549"/>
      <c r="O8343" s="549"/>
      <c r="P8343" s="549"/>
    </row>
    <row r="8344" spans="1:17" ht="17.399999999999999">
      <c r="A8344" s="549"/>
      <c r="B8344" s="549"/>
      <c r="C8344" s="549"/>
      <c r="D8344" s="549"/>
      <c r="E8344" s="549"/>
      <c r="F8344" s="549"/>
      <c r="G8344" s="549"/>
      <c r="H8344" s="549"/>
      <c r="I8344" s="560"/>
      <c r="J8344" s="560"/>
      <c r="K8344" s="652">
        <f>SUM(K8342:K8343)</f>
        <v>50</v>
      </c>
      <c r="L8344" s="565">
        <f>SUM(L8342:L8343)</f>
        <v>4.1192080000000004</v>
      </c>
      <c r="M8344" s="549"/>
      <c r="N8344" s="549"/>
      <c r="O8344" s="549"/>
      <c r="P8344" s="549"/>
    </row>
    <row r="8345" spans="1:17" s="497" customFormat="1" ht="17.399999999999999">
      <c r="A8345" s="549"/>
      <c r="B8345" s="549"/>
      <c r="C8345" s="549"/>
      <c r="D8345" s="549"/>
      <c r="E8345" s="549"/>
      <c r="F8345" s="549"/>
      <c r="G8345" s="549"/>
      <c r="H8345" s="549"/>
      <c r="I8345" s="560"/>
      <c r="J8345" s="560"/>
      <c r="K8345" s="652"/>
      <c r="L8345" s="565"/>
      <c r="M8345" s="549"/>
      <c r="N8345" s="549"/>
      <c r="O8345" s="549"/>
      <c r="P8345" s="549"/>
    </row>
    <row r="8346" spans="1:17" s="497" customFormat="1" ht="17.399999999999999">
      <c r="A8346" s="549"/>
      <c r="B8346" s="549"/>
      <c r="C8346" s="549"/>
      <c r="D8346" s="549"/>
      <c r="E8346" s="549"/>
      <c r="F8346" s="549"/>
      <c r="G8346" s="549"/>
      <c r="H8346" s="549"/>
      <c r="I8346" s="560"/>
      <c r="J8346" s="560"/>
      <c r="K8346" s="652"/>
      <c r="L8346" s="565"/>
      <c r="M8346" s="549"/>
      <c r="N8346" s="549"/>
      <c r="O8346" s="549"/>
      <c r="P8346" s="549"/>
    </row>
    <row r="8347" spans="1:17" ht="17.399999999999999">
      <c r="A8347" s="547" t="s">
        <v>445</v>
      </c>
      <c r="B8347" s="547" t="s">
        <v>786</v>
      </c>
      <c r="C8347" s="547" t="s">
        <v>19</v>
      </c>
      <c r="D8347" s="547" t="s">
        <v>20</v>
      </c>
      <c r="E8347" s="560" t="s">
        <v>464</v>
      </c>
      <c r="F8347" s="1240">
        <v>10</v>
      </c>
      <c r="G8347" s="549" t="s">
        <v>21</v>
      </c>
      <c r="H8347" s="599" t="s">
        <v>130</v>
      </c>
      <c r="I8347" s="558">
        <v>6.17</v>
      </c>
      <c r="J8347" s="568">
        <v>6.15</v>
      </c>
      <c r="K8347" s="648">
        <v>95</v>
      </c>
      <c r="L8347" s="552">
        <f t="shared" ref="L8347:L8356" si="1739">(I8347*J8347*K8347/1000)</f>
        <v>3.6048225</v>
      </c>
      <c r="M8347" s="549"/>
      <c r="N8347" s="549"/>
      <c r="O8347" s="549"/>
      <c r="P8347" s="549"/>
      <c r="Q8347" s="497" t="s">
        <v>992</v>
      </c>
    </row>
    <row r="8348" spans="1:17" ht="17.399999999999999">
      <c r="A8348" s="547"/>
      <c r="B8348" s="754" t="s">
        <v>621</v>
      </c>
      <c r="C8348" s="780"/>
      <c r="D8348" s="547"/>
      <c r="E8348" s="547"/>
      <c r="F8348" s="1240"/>
      <c r="G8348" s="549" t="s">
        <v>21</v>
      </c>
      <c r="H8348" s="549" t="s">
        <v>130</v>
      </c>
      <c r="I8348" s="558">
        <v>6.17</v>
      </c>
      <c r="J8348" s="568">
        <v>7</v>
      </c>
      <c r="K8348" s="648">
        <v>94</v>
      </c>
      <c r="L8348" s="552">
        <f t="shared" si="1739"/>
        <v>4.0598599999999996</v>
      </c>
      <c r="M8348" s="549"/>
      <c r="N8348" s="549"/>
      <c r="O8348" s="549"/>
      <c r="P8348" s="549"/>
    </row>
    <row r="8349" spans="1:17" ht="17.399999999999999">
      <c r="A8349" s="549"/>
      <c r="B8349" s="549"/>
      <c r="C8349" s="549"/>
      <c r="D8349" s="549"/>
      <c r="E8349" s="549"/>
      <c r="F8349" s="549"/>
      <c r="G8349" s="549" t="s">
        <v>21</v>
      </c>
      <c r="H8349" s="549" t="s">
        <v>130</v>
      </c>
      <c r="I8349" s="558">
        <v>6.17</v>
      </c>
      <c r="J8349" s="568">
        <v>9.8000000000000007</v>
      </c>
      <c r="K8349" s="648">
        <v>24</v>
      </c>
      <c r="L8349" s="552">
        <f t="shared" si="1739"/>
        <v>1.451184</v>
      </c>
      <c r="M8349" s="549"/>
      <c r="N8349" s="549"/>
      <c r="O8349" s="549"/>
      <c r="P8349" s="549"/>
    </row>
    <row r="8350" spans="1:17" ht="17.399999999999999">
      <c r="A8350" s="549"/>
      <c r="B8350" s="549"/>
      <c r="C8350" s="549"/>
      <c r="D8350" s="549"/>
      <c r="E8350" s="549"/>
      <c r="F8350" s="549"/>
      <c r="G8350" s="549" t="s">
        <v>21</v>
      </c>
      <c r="H8350" s="549" t="s">
        <v>130</v>
      </c>
      <c r="I8350" s="558">
        <v>6.17</v>
      </c>
      <c r="J8350" s="568">
        <v>10</v>
      </c>
      <c r="K8350" s="648">
        <v>1</v>
      </c>
      <c r="L8350" s="552">
        <f t="shared" si="1739"/>
        <v>6.1700000000000005E-2</v>
      </c>
      <c r="M8350" s="549"/>
      <c r="N8350" s="549"/>
      <c r="O8350" s="549"/>
      <c r="P8350" s="549"/>
    </row>
    <row r="8351" spans="1:17" ht="17.399999999999999">
      <c r="A8351" s="549"/>
      <c r="B8351" s="549"/>
      <c r="C8351" s="549"/>
      <c r="D8351" s="549"/>
      <c r="E8351" s="549"/>
      <c r="F8351" s="549"/>
      <c r="G8351" s="549" t="s">
        <v>21</v>
      </c>
      <c r="H8351" s="549" t="s">
        <v>130</v>
      </c>
      <c r="I8351" s="558">
        <v>6.17</v>
      </c>
      <c r="J8351" s="568">
        <v>10.5</v>
      </c>
      <c r="K8351" s="648">
        <v>36</v>
      </c>
      <c r="L8351" s="552">
        <f t="shared" si="1739"/>
        <v>2.3322599999999998</v>
      </c>
      <c r="M8351" s="549"/>
      <c r="N8351" s="549"/>
      <c r="O8351" s="549"/>
      <c r="P8351" s="549"/>
    </row>
    <row r="8352" spans="1:17" ht="17.399999999999999">
      <c r="A8352" s="549"/>
      <c r="B8352" s="549"/>
      <c r="C8352" s="549"/>
      <c r="D8352" s="549"/>
      <c r="E8352" s="549"/>
      <c r="F8352" s="549"/>
      <c r="G8352" s="549" t="s">
        <v>21</v>
      </c>
      <c r="H8352" s="549" t="s">
        <v>130</v>
      </c>
      <c r="I8352" s="558">
        <v>6.17</v>
      </c>
      <c r="J8352" s="568">
        <v>11</v>
      </c>
      <c r="K8352" s="648">
        <v>5</v>
      </c>
      <c r="L8352" s="552">
        <f t="shared" si="1739"/>
        <v>0.33935000000000004</v>
      </c>
      <c r="M8352" s="549"/>
      <c r="N8352" s="549"/>
      <c r="O8352" s="549"/>
      <c r="P8352" s="549"/>
    </row>
    <row r="8353" spans="1:17" ht="17.399999999999999">
      <c r="A8353" s="549"/>
      <c r="B8353" s="549"/>
      <c r="C8353" s="549"/>
      <c r="D8353" s="549"/>
      <c r="E8353" s="549"/>
      <c r="F8353" s="549"/>
      <c r="G8353" s="549" t="s">
        <v>21</v>
      </c>
      <c r="H8353" s="549" t="s">
        <v>130</v>
      </c>
      <c r="I8353" s="558">
        <v>6.17</v>
      </c>
      <c r="J8353" s="568">
        <v>11.2</v>
      </c>
      <c r="K8353" s="648">
        <v>1</v>
      </c>
      <c r="L8353" s="552">
        <f t="shared" si="1739"/>
        <v>6.9103999999999999E-2</v>
      </c>
      <c r="M8353" s="549"/>
      <c r="N8353" s="549"/>
      <c r="O8353" s="549"/>
      <c r="P8353" s="549"/>
    </row>
    <row r="8354" spans="1:17" ht="17.399999999999999">
      <c r="A8354" s="549"/>
      <c r="B8354" s="549"/>
      <c r="C8354" s="549"/>
      <c r="D8354" s="549"/>
      <c r="E8354" s="549"/>
      <c r="F8354" s="549"/>
      <c r="G8354" s="549" t="s">
        <v>21</v>
      </c>
      <c r="H8354" s="549" t="s">
        <v>130</v>
      </c>
      <c r="I8354" s="558">
        <v>6.17</v>
      </c>
      <c r="J8354" s="568">
        <v>11.5</v>
      </c>
      <c r="K8354" s="648">
        <v>38</v>
      </c>
      <c r="L8354" s="552">
        <f t="shared" si="1739"/>
        <v>2.6962899999999999</v>
      </c>
      <c r="M8354" s="549"/>
      <c r="N8354" s="549"/>
      <c r="O8354" s="549"/>
      <c r="P8354" s="549"/>
    </row>
    <row r="8355" spans="1:17" ht="17.399999999999999">
      <c r="A8355" s="549"/>
      <c r="B8355" s="549"/>
      <c r="C8355" s="549"/>
      <c r="D8355" s="549"/>
      <c r="E8355" s="549"/>
      <c r="F8355" s="549"/>
      <c r="G8355" s="549" t="s">
        <v>21</v>
      </c>
      <c r="H8355" s="549" t="s">
        <v>130</v>
      </c>
      <c r="I8355" s="558">
        <v>6.17</v>
      </c>
      <c r="J8355" s="568">
        <v>11.7</v>
      </c>
      <c r="K8355" s="648">
        <v>14</v>
      </c>
      <c r="L8355" s="552">
        <f t="shared" si="1739"/>
        <v>1.0106459999999999</v>
      </c>
      <c r="M8355" s="549"/>
      <c r="N8355" s="549"/>
      <c r="O8355" s="549"/>
      <c r="P8355" s="549"/>
    </row>
    <row r="8356" spans="1:17" ht="17.399999999999999">
      <c r="A8356" s="549"/>
      <c r="B8356" s="549"/>
      <c r="C8356" s="549"/>
      <c r="D8356" s="549"/>
      <c r="E8356" s="549"/>
      <c r="F8356" s="549"/>
      <c r="G8356" s="549" t="s">
        <v>21</v>
      </c>
      <c r="H8356" s="549" t="s">
        <v>130</v>
      </c>
      <c r="I8356" s="558">
        <v>6.17</v>
      </c>
      <c r="J8356" s="568">
        <v>12</v>
      </c>
      <c r="K8356" s="648">
        <v>79</v>
      </c>
      <c r="L8356" s="552">
        <f t="shared" si="1739"/>
        <v>5.8491599999999986</v>
      </c>
      <c r="M8356" s="549"/>
      <c r="N8356" s="549"/>
      <c r="O8356" s="549"/>
      <c r="P8356" s="549"/>
    </row>
    <row r="8357" spans="1:17" ht="17.399999999999999">
      <c r="A8357" s="549"/>
      <c r="B8357" s="549"/>
      <c r="C8357" s="549"/>
      <c r="D8357" s="549"/>
      <c r="E8357" s="549"/>
      <c r="F8357" s="549"/>
      <c r="G8357" s="549"/>
      <c r="H8357" s="549"/>
      <c r="I8357" s="558"/>
      <c r="J8357" s="568"/>
      <c r="K8357" s="648">
        <f t="shared" ref="K8357:L8357" si="1740">SUM(K8347:K8356)</f>
        <v>387</v>
      </c>
      <c r="L8357" s="567">
        <f t="shared" si="1740"/>
        <v>21.474376499999995</v>
      </c>
      <c r="M8357" s="549"/>
      <c r="N8357" s="549"/>
      <c r="O8357" s="549"/>
      <c r="P8357" s="549" t="s">
        <v>909</v>
      </c>
    </row>
    <row r="8358" spans="1:17" ht="17.399999999999999">
      <c r="A8358" s="549"/>
      <c r="B8358" s="549"/>
      <c r="C8358" s="549"/>
      <c r="D8358" s="549"/>
      <c r="E8358" s="549"/>
      <c r="F8358" s="549"/>
      <c r="G8358" s="549"/>
      <c r="H8358" s="549"/>
      <c r="I8358" s="560"/>
      <c r="J8358" s="560"/>
      <c r="K8358" s="561"/>
      <c r="L8358" s="560"/>
      <c r="M8358" s="549"/>
      <c r="N8358" s="549"/>
      <c r="O8358" s="549"/>
      <c r="P8358" s="549"/>
    </row>
    <row r="8359" spans="1:17" ht="17.399999999999999">
      <c r="A8359" s="547" t="s">
        <v>445</v>
      </c>
      <c r="B8359" s="547" t="s">
        <v>889</v>
      </c>
      <c r="C8359" s="547" t="s">
        <v>19</v>
      </c>
      <c r="D8359" s="547" t="s">
        <v>20</v>
      </c>
      <c r="E8359" s="560" t="s">
        <v>464</v>
      </c>
      <c r="F8359" s="1240">
        <v>10</v>
      </c>
      <c r="G8359" s="549" t="s">
        <v>21</v>
      </c>
      <c r="H8359" s="549" t="s">
        <v>130</v>
      </c>
      <c r="I8359" s="558">
        <v>6.17</v>
      </c>
      <c r="J8359" s="568">
        <v>6.15</v>
      </c>
      <c r="K8359" s="648">
        <v>11</v>
      </c>
      <c r="L8359" s="552">
        <f>(I8359*J8359*K8359/1000)</f>
        <v>0.41740050000000001</v>
      </c>
      <c r="M8359" s="549"/>
      <c r="N8359" s="549"/>
      <c r="O8359" s="549"/>
      <c r="P8359" s="549"/>
    </row>
    <row r="8360" spans="1:17" ht="17.399999999999999">
      <c r="A8360" s="547"/>
      <c r="B8360" s="754" t="s">
        <v>888</v>
      </c>
      <c r="C8360" s="780"/>
      <c r="D8360" s="547"/>
      <c r="E8360" s="547"/>
      <c r="F8360" s="1240"/>
      <c r="G8360" s="549"/>
      <c r="H8360" s="549"/>
      <c r="I8360" s="560"/>
      <c r="J8360" s="560"/>
      <c r="K8360" s="652">
        <f t="shared" ref="K8360" si="1741">SUM(K8359)</f>
        <v>11</v>
      </c>
      <c r="L8360" s="565">
        <f>SUM(L8359)</f>
        <v>0.41740050000000001</v>
      </c>
      <c r="M8360" s="549"/>
      <c r="N8360" s="549"/>
      <c r="O8360" s="549"/>
      <c r="P8360" s="549"/>
    </row>
    <row r="8361" spans="1:17" s="497" customFormat="1" ht="17.399999999999999">
      <c r="A8361" s="547"/>
      <c r="B8361" s="550"/>
      <c r="C8361" s="547"/>
      <c r="D8361" s="547"/>
      <c r="E8361" s="547"/>
      <c r="F8361" s="1240"/>
      <c r="G8361" s="549"/>
      <c r="H8361" s="549"/>
      <c r="I8361" s="560"/>
      <c r="J8361" s="560"/>
      <c r="K8361" s="652">
        <f>SUM(K8347:K8360)/2</f>
        <v>398</v>
      </c>
      <c r="L8361" s="565">
        <f>SUM(L8347:L8360)/2</f>
        <v>21.891776999999994</v>
      </c>
      <c r="M8361" s="549"/>
      <c r="N8361" s="549"/>
      <c r="O8361" s="549"/>
      <c r="P8361" s="549"/>
    </row>
    <row r="8362" spans="1:17" s="497" customFormat="1" ht="17.399999999999999">
      <c r="A8362" s="547"/>
      <c r="B8362" s="550"/>
      <c r="C8362" s="547"/>
      <c r="D8362" s="547"/>
      <c r="E8362" s="547"/>
      <c r="F8362" s="1240"/>
      <c r="G8362" s="549"/>
      <c r="H8362" s="549"/>
      <c r="I8362" s="560"/>
      <c r="J8362" s="560"/>
      <c r="K8362" s="652"/>
      <c r="L8362" s="565"/>
      <c r="M8362" s="549"/>
      <c r="N8362" s="549"/>
      <c r="O8362" s="549"/>
      <c r="P8362" s="549"/>
    </row>
    <row r="8363" spans="1:17" s="497" customFormat="1" ht="17.399999999999999">
      <c r="A8363" s="547"/>
      <c r="B8363" s="550"/>
      <c r="C8363" s="547"/>
      <c r="D8363" s="547"/>
      <c r="E8363" s="547"/>
      <c r="F8363" s="1240"/>
      <c r="G8363" s="549"/>
      <c r="H8363" s="549"/>
      <c r="I8363" s="560"/>
      <c r="J8363" s="560"/>
      <c r="K8363" s="652"/>
      <c r="L8363" s="565"/>
      <c r="M8363" s="549"/>
      <c r="N8363" s="549"/>
      <c r="O8363" s="549"/>
      <c r="P8363" s="549"/>
    </row>
    <row r="8364" spans="1:17" ht="17.399999999999999">
      <c r="A8364" s="549"/>
      <c r="B8364" s="549"/>
      <c r="C8364" s="549"/>
      <c r="D8364" s="549"/>
      <c r="E8364" s="549"/>
      <c r="F8364" s="549"/>
      <c r="G8364" s="549"/>
      <c r="H8364" s="549"/>
      <c r="I8364" s="560"/>
      <c r="J8364" s="560"/>
      <c r="K8364" s="561"/>
      <c r="L8364" s="560"/>
      <c r="M8364" s="549"/>
      <c r="N8364" s="549"/>
      <c r="O8364" s="549"/>
      <c r="P8364" s="549"/>
    </row>
    <row r="8365" spans="1:17" ht="17.399999999999999">
      <c r="A8365" s="547" t="s">
        <v>445</v>
      </c>
      <c r="B8365" s="547" t="s">
        <v>857</v>
      </c>
      <c r="C8365" s="547" t="s">
        <v>19</v>
      </c>
      <c r="D8365" s="547" t="s">
        <v>20</v>
      </c>
      <c r="E8365" s="1025" t="s">
        <v>879</v>
      </c>
      <c r="F8365" s="1240">
        <v>10</v>
      </c>
      <c r="G8365" s="549" t="s">
        <v>21</v>
      </c>
      <c r="H8365" s="599" t="s">
        <v>130</v>
      </c>
      <c r="I8365" s="560">
        <v>6.17</v>
      </c>
      <c r="J8365" s="568">
        <v>12</v>
      </c>
      <c r="K8365" s="648">
        <v>10</v>
      </c>
      <c r="L8365" s="552">
        <f>(I8365*J8365*K8365/1000)</f>
        <v>0.74039999999999984</v>
      </c>
      <c r="M8365" s="549">
        <v>10</v>
      </c>
      <c r="N8365" s="567">
        <f>J8365*M8365*I8365/1000</f>
        <v>0.74039999999999995</v>
      </c>
      <c r="O8365" s="549"/>
      <c r="P8365" s="549"/>
      <c r="Q8365" s="497" t="s">
        <v>992</v>
      </c>
    </row>
    <row r="8366" spans="1:17" ht="17.399999999999999">
      <c r="A8366" s="549"/>
      <c r="B8366" s="1240" t="s">
        <v>84</v>
      </c>
      <c r="C8366" s="549"/>
      <c r="D8366" s="549"/>
      <c r="E8366" s="549"/>
      <c r="F8366" s="549"/>
      <c r="G8366" s="549"/>
      <c r="H8366" s="650"/>
      <c r="I8366" s="560"/>
      <c r="J8366" s="568"/>
      <c r="K8366" s="648">
        <f t="shared" ref="K8366:M8366" si="1742">SUM(K8365)</f>
        <v>10</v>
      </c>
      <c r="L8366" s="765">
        <f>SUM(L8365)</f>
        <v>0.74039999999999984</v>
      </c>
      <c r="M8366" s="648">
        <f t="shared" si="1742"/>
        <v>10</v>
      </c>
      <c r="N8366" s="765">
        <f>SUM(N8365)</f>
        <v>0.74039999999999995</v>
      </c>
      <c r="O8366" s="549"/>
      <c r="P8366" s="549"/>
    </row>
    <row r="8367" spans="1:17" s="497" customFormat="1" ht="17.399999999999999">
      <c r="A8367" s="549"/>
      <c r="B8367" s="1240"/>
      <c r="C8367" s="549"/>
      <c r="D8367" s="549"/>
      <c r="E8367" s="549"/>
      <c r="F8367" s="549"/>
      <c r="G8367" s="549"/>
      <c r="H8367" s="650"/>
      <c r="I8367" s="560"/>
      <c r="J8367" s="568"/>
      <c r="K8367" s="648"/>
      <c r="L8367" s="765"/>
      <c r="M8367" s="648"/>
      <c r="N8367" s="765"/>
      <c r="O8367" s="549"/>
      <c r="P8367" s="549"/>
    </row>
    <row r="8368" spans="1:17" ht="17.399999999999999">
      <c r="A8368" s="549"/>
      <c r="B8368" s="549"/>
      <c r="C8368" s="549"/>
      <c r="D8368" s="549"/>
      <c r="E8368" s="549"/>
      <c r="F8368" s="549"/>
      <c r="G8368" s="549"/>
      <c r="H8368" s="549"/>
      <c r="I8368" s="560"/>
      <c r="J8368" s="560"/>
      <c r="K8368" s="564"/>
      <c r="L8368" s="568"/>
      <c r="M8368" s="549"/>
      <c r="N8368" s="549"/>
      <c r="O8368" s="549"/>
      <c r="P8368" s="549"/>
    </row>
    <row r="8369" spans="1:17" ht="17.399999999999999">
      <c r="A8369" s="547" t="s">
        <v>361</v>
      </c>
      <c r="B8369" s="547" t="s">
        <v>811</v>
      </c>
      <c r="C8369" s="547" t="s">
        <v>446</v>
      </c>
      <c r="D8369" s="813" t="s">
        <v>447</v>
      </c>
      <c r="E8369" s="547" t="s">
        <v>359</v>
      </c>
      <c r="F8369" s="1240">
        <v>10</v>
      </c>
      <c r="G8369" s="792" t="s">
        <v>21</v>
      </c>
      <c r="H8369" s="1247" t="s">
        <v>130</v>
      </c>
      <c r="I8369" s="773">
        <v>6.17</v>
      </c>
      <c r="J8369" s="774">
        <v>10.3</v>
      </c>
      <c r="K8369" s="775">
        <v>27</v>
      </c>
      <c r="L8369" s="552">
        <f>(I8369*J8369*K8369/1000)</f>
        <v>1.7158769999999999</v>
      </c>
      <c r="M8369" s="549"/>
      <c r="N8369" s="549"/>
      <c r="O8369" s="549"/>
      <c r="P8369" s="549"/>
      <c r="Q8369" s="497" t="s">
        <v>992</v>
      </c>
    </row>
    <row r="8370" spans="1:17" ht="17.399999999999999">
      <c r="A8370" s="550"/>
      <c r="B8370" s="550"/>
      <c r="C8370" s="550"/>
      <c r="D8370" s="550"/>
      <c r="E8370" s="1240"/>
      <c r="F8370" s="550"/>
      <c r="G8370" s="792" t="s">
        <v>21</v>
      </c>
      <c r="H8370" s="1227" t="s">
        <v>130</v>
      </c>
      <c r="I8370" s="773">
        <v>6.17</v>
      </c>
      <c r="J8370" s="774">
        <v>11</v>
      </c>
      <c r="K8370" s="775">
        <v>37</v>
      </c>
      <c r="L8370" s="552">
        <f>(I8370*J8370*K8370/1000)</f>
        <v>2.51119</v>
      </c>
      <c r="M8370" s="549"/>
      <c r="N8370" s="549"/>
      <c r="O8370" s="549"/>
      <c r="P8370" s="549"/>
    </row>
    <row r="8371" spans="1:17" ht="17.399999999999999">
      <c r="A8371" s="549"/>
      <c r="B8371" s="549"/>
      <c r="C8371" s="549"/>
      <c r="D8371" s="549"/>
      <c r="E8371" s="549"/>
      <c r="F8371" s="549"/>
      <c r="G8371" s="792" t="s">
        <v>21</v>
      </c>
      <c r="H8371" s="1227" t="s">
        <v>130</v>
      </c>
      <c r="I8371" s="773">
        <v>6.17</v>
      </c>
      <c r="J8371" s="774">
        <v>11.3</v>
      </c>
      <c r="K8371" s="775">
        <v>6</v>
      </c>
      <c r="L8371" s="552">
        <f>(I8371*J8371*K8371/1000)</f>
        <v>0.41832600000000003</v>
      </c>
      <c r="M8371" s="549"/>
      <c r="N8371" s="549"/>
      <c r="O8371" s="549"/>
      <c r="P8371" s="549"/>
    </row>
    <row r="8372" spans="1:17" ht="17.399999999999999">
      <c r="A8372" s="549"/>
      <c r="B8372" s="549"/>
      <c r="C8372" s="549"/>
      <c r="D8372" s="549"/>
      <c r="E8372" s="549"/>
      <c r="F8372" s="549"/>
      <c r="G8372" s="792" t="s">
        <v>21</v>
      </c>
      <c r="H8372" s="1227" t="s">
        <v>130</v>
      </c>
      <c r="I8372" s="773">
        <v>6.17</v>
      </c>
      <c r="J8372" s="774">
        <v>11.8</v>
      </c>
      <c r="K8372" s="775">
        <v>33</v>
      </c>
      <c r="L8372" s="552">
        <f>(I8372*J8372*K8372/1000)</f>
        <v>2.4025979999999998</v>
      </c>
      <c r="M8372" s="549"/>
      <c r="N8372" s="549"/>
      <c r="O8372" s="549"/>
      <c r="P8372" s="549"/>
    </row>
    <row r="8373" spans="1:17" ht="17.399999999999999">
      <c r="A8373" s="549"/>
      <c r="B8373" s="549"/>
      <c r="C8373" s="549"/>
      <c r="D8373" s="549"/>
      <c r="E8373" s="549"/>
      <c r="F8373" s="549"/>
      <c r="G8373" s="792"/>
      <c r="H8373" s="1227"/>
      <c r="I8373" s="773"/>
      <c r="J8373" s="774"/>
      <c r="K8373" s="775">
        <f t="shared" ref="K8373" si="1743">SUM(K8369:K8372)</f>
        <v>103</v>
      </c>
      <c r="L8373" s="1226">
        <f>SUM(L8369:L8372)</f>
        <v>7.0479909999999997</v>
      </c>
      <c r="M8373" s="549"/>
      <c r="N8373" s="549"/>
      <c r="O8373" s="549"/>
      <c r="P8373" s="549"/>
    </row>
    <row r="8374" spans="1:17" s="497" customFormat="1" ht="17.399999999999999">
      <c r="A8374" s="549"/>
      <c r="B8374" s="549"/>
      <c r="C8374" s="549"/>
      <c r="D8374" s="549"/>
      <c r="E8374" s="549"/>
      <c r="F8374" s="549"/>
      <c r="G8374" s="792"/>
      <c r="H8374" s="1227"/>
      <c r="I8374" s="773"/>
      <c r="J8374" s="774"/>
      <c r="K8374" s="775"/>
      <c r="L8374" s="1226"/>
      <c r="M8374" s="549"/>
      <c r="N8374" s="549"/>
      <c r="O8374" s="549"/>
      <c r="P8374" s="549"/>
    </row>
    <row r="8375" spans="1:17" ht="17.399999999999999">
      <c r="A8375" s="547" t="s">
        <v>495</v>
      </c>
      <c r="B8375" s="547" t="s">
        <v>860</v>
      </c>
      <c r="C8375" s="547" t="s">
        <v>446</v>
      </c>
      <c r="D8375" s="813" t="s">
        <v>447</v>
      </c>
      <c r="E8375" s="547" t="s">
        <v>359</v>
      </c>
      <c r="F8375" s="1240">
        <v>10</v>
      </c>
      <c r="G8375" s="549" t="s">
        <v>21</v>
      </c>
      <c r="H8375" s="599" t="s">
        <v>130</v>
      </c>
      <c r="I8375" s="558">
        <v>6.17</v>
      </c>
      <c r="J8375" s="568">
        <v>8</v>
      </c>
      <c r="K8375" s="648">
        <v>28</v>
      </c>
      <c r="L8375" s="552">
        <f>(I8375*J8375*K8375/1000)</f>
        <v>1.38208</v>
      </c>
      <c r="M8375" s="549"/>
      <c r="N8375" s="549"/>
      <c r="O8375" s="549"/>
      <c r="P8375" s="549"/>
      <c r="Q8375" s="497" t="s">
        <v>992</v>
      </c>
    </row>
    <row r="8376" spans="1:17" ht="17.399999999999999">
      <c r="A8376" s="550"/>
      <c r="B8376" s="550"/>
      <c r="C8376" s="550"/>
      <c r="D8376" s="550"/>
      <c r="E8376" s="1240"/>
      <c r="F8376" s="550"/>
      <c r="G8376" s="549" t="s">
        <v>21</v>
      </c>
      <c r="H8376" s="549" t="s">
        <v>130</v>
      </c>
      <c r="I8376" s="558">
        <v>6.17</v>
      </c>
      <c r="J8376" s="568">
        <v>10</v>
      </c>
      <c r="K8376" s="648">
        <v>21</v>
      </c>
      <c r="L8376" s="552">
        <f>(I8376*J8376*K8376/1000)</f>
        <v>1.2957000000000001</v>
      </c>
      <c r="M8376" s="549"/>
      <c r="N8376" s="549"/>
      <c r="O8376" s="549"/>
      <c r="P8376" s="549"/>
    </row>
    <row r="8377" spans="1:17" ht="17.399999999999999">
      <c r="A8377" s="549"/>
      <c r="B8377" s="549"/>
      <c r="C8377" s="549"/>
      <c r="D8377" s="549"/>
      <c r="E8377" s="549"/>
      <c r="F8377" s="549"/>
      <c r="G8377" s="549" t="s">
        <v>21</v>
      </c>
      <c r="H8377" s="549" t="s">
        <v>130</v>
      </c>
      <c r="I8377" s="558">
        <v>6.17</v>
      </c>
      <c r="J8377" s="568">
        <v>12</v>
      </c>
      <c r="K8377" s="648">
        <v>87</v>
      </c>
      <c r="L8377" s="552">
        <f>(I8377*J8377*K8377/1000)</f>
        <v>6.4414799999999994</v>
      </c>
      <c r="M8377" s="549"/>
      <c r="N8377" s="549"/>
      <c r="O8377" s="549"/>
      <c r="P8377" s="549"/>
    </row>
    <row r="8378" spans="1:17" ht="17.399999999999999">
      <c r="A8378" s="549"/>
      <c r="B8378" s="549"/>
      <c r="C8378" s="549"/>
      <c r="D8378" s="549"/>
      <c r="E8378" s="549"/>
      <c r="F8378" s="549"/>
      <c r="G8378" s="549"/>
      <c r="H8378" s="549"/>
      <c r="I8378" s="558"/>
      <c r="J8378" s="568"/>
      <c r="K8378" s="648">
        <f>SUM(K8375:K8377)</f>
        <v>136</v>
      </c>
      <c r="L8378" s="567">
        <f>SUM(L8375:L8377)</f>
        <v>9.1192600000000006</v>
      </c>
      <c r="M8378" s="549"/>
      <c r="N8378" s="549"/>
      <c r="O8378" s="549"/>
      <c r="P8378" s="549"/>
    </row>
    <row r="8379" spans="1:17" s="497" customFormat="1" ht="17.399999999999999">
      <c r="A8379" s="549"/>
      <c r="B8379" s="549"/>
      <c r="C8379" s="549"/>
      <c r="D8379" s="549"/>
      <c r="E8379" s="549"/>
      <c r="F8379" s="549"/>
      <c r="G8379" s="549"/>
      <c r="H8379" s="549"/>
      <c r="I8379" s="558"/>
      <c r="J8379" s="568"/>
      <c r="K8379" s="648">
        <f>SUM(K8369:K8378)/2</f>
        <v>239</v>
      </c>
      <c r="L8379" s="567">
        <f>SUM(L8369:L8378)/2</f>
        <v>16.167251</v>
      </c>
      <c r="M8379" s="549"/>
      <c r="N8379" s="549"/>
      <c r="O8379" s="549"/>
      <c r="P8379" s="549" t="s">
        <v>910</v>
      </c>
    </row>
    <row r="8380" spans="1:17" s="497" customFormat="1" ht="17.399999999999999">
      <c r="A8380" s="549"/>
      <c r="B8380" s="549"/>
      <c r="C8380" s="549"/>
      <c r="D8380" s="549"/>
      <c r="E8380" s="549"/>
      <c r="F8380" s="549"/>
      <c r="G8380" s="549"/>
      <c r="H8380" s="549"/>
      <c r="I8380" s="558"/>
      <c r="J8380" s="568"/>
      <c r="K8380" s="648"/>
      <c r="L8380" s="567"/>
      <c r="M8380" s="549"/>
      <c r="N8380" s="549"/>
      <c r="O8380" s="549"/>
      <c r="P8380" s="549"/>
    </row>
    <row r="8381" spans="1:17" ht="17.399999999999999">
      <c r="A8381" s="549"/>
      <c r="B8381" s="549"/>
      <c r="C8381" s="549"/>
      <c r="D8381" s="549"/>
      <c r="E8381" s="549"/>
      <c r="F8381" s="549"/>
      <c r="G8381" s="549"/>
      <c r="H8381" s="549"/>
      <c r="I8381" s="560"/>
      <c r="J8381" s="549"/>
      <c r="K8381" s="561"/>
      <c r="L8381" s="560"/>
      <c r="M8381" s="549"/>
      <c r="N8381" s="549"/>
      <c r="O8381" s="549"/>
      <c r="P8381" s="549"/>
    </row>
    <row r="8382" spans="1:17" ht="17.399999999999999">
      <c r="A8382" s="547" t="s">
        <v>495</v>
      </c>
      <c r="B8382" s="547" t="s">
        <v>860</v>
      </c>
      <c r="C8382" s="547" t="s">
        <v>446</v>
      </c>
      <c r="D8382" s="813" t="s">
        <v>447</v>
      </c>
      <c r="E8382" s="547" t="s">
        <v>359</v>
      </c>
      <c r="F8382" s="1240">
        <v>10</v>
      </c>
      <c r="G8382" s="549" t="s">
        <v>21</v>
      </c>
      <c r="H8382" s="599" t="s">
        <v>131</v>
      </c>
      <c r="I8382" s="558">
        <v>7.36</v>
      </c>
      <c r="J8382" s="568">
        <v>7.5</v>
      </c>
      <c r="K8382" s="648">
        <v>50</v>
      </c>
      <c r="L8382" s="552">
        <f t="shared" ref="L8382:L8384" si="1744">(I8382*J8382*K8382/1000)</f>
        <v>2.76</v>
      </c>
      <c r="M8382" s="549"/>
      <c r="N8382" s="549"/>
      <c r="O8382" s="549"/>
      <c r="P8382" s="549"/>
      <c r="Q8382" s="497" t="s">
        <v>992</v>
      </c>
    </row>
    <row r="8383" spans="1:17" ht="17.399999999999999">
      <c r="A8383" s="550"/>
      <c r="B8383" s="550"/>
      <c r="C8383" s="550"/>
      <c r="D8383" s="550"/>
      <c r="E8383" s="1240"/>
      <c r="F8383" s="550"/>
      <c r="G8383" s="549" t="s">
        <v>21</v>
      </c>
      <c r="H8383" s="549" t="s">
        <v>131</v>
      </c>
      <c r="I8383" s="558">
        <v>7.36</v>
      </c>
      <c r="J8383" s="568">
        <v>10</v>
      </c>
      <c r="K8383" s="648">
        <v>7</v>
      </c>
      <c r="L8383" s="552">
        <f t="shared" si="1744"/>
        <v>0.51519999999999999</v>
      </c>
      <c r="M8383" s="549"/>
      <c r="N8383" s="549"/>
      <c r="O8383" s="549"/>
      <c r="P8383" s="549"/>
    </row>
    <row r="8384" spans="1:17" ht="17.399999999999999">
      <c r="A8384" s="549"/>
      <c r="B8384" s="549"/>
      <c r="C8384" s="549"/>
      <c r="D8384" s="549"/>
      <c r="E8384" s="549"/>
      <c r="F8384" s="549"/>
      <c r="G8384" s="549" t="s">
        <v>21</v>
      </c>
      <c r="H8384" s="549" t="s">
        <v>131</v>
      </c>
      <c r="I8384" s="558">
        <v>7.36</v>
      </c>
      <c r="J8384" s="568">
        <v>11.5</v>
      </c>
      <c r="K8384" s="648">
        <v>11</v>
      </c>
      <c r="L8384" s="552">
        <f t="shared" si="1744"/>
        <v>0.93103999999999998</v>
      </c>
      <c r="M8384" s="549"/>
      <c r="N8384" s="549"/>
      <c r="O8384" s="549"/>
      <c r="P8384" s="549"/>
    </row>
    <row r="8385" spans="1:17" ht="17.399999999999999">
      <c r="A8385" s="549"/>
      <c r="B8385" s="549"/>
      <c r="C8385" s="549"/>
      <c r="D8385" s="549"/>
      <c r="E8385" s="549"/>
      <c r="F8385" s="549"/>
      <c r="G8385" s="549"/>
      <c r="H8385" s="549"/>
      <c r="I8385" s="558"/>
      <c r="J8385" s="568"/>
      <c r="K8385" s="648">
        <f t="shared" ref="K8385:L8385" si="1745">SUM(K8382:K8384)</f>
        <v>68</v>
      </c>
      <c r="L8385" s="567">
        <f t="shared" si="1745"/>
        <v>4.2062400000000002</v>
      </c>
      <c r="M8385" s="549"/>
      <c r="N8385" s="549"/>
      <c r="O8385" s="549"/>
      <c r="P8385" s="549"/>
    </row>
    <row r="8386" spans="1:17" s="497" customFormat="1" ht="17.399999999999999">
      <c r="A8386" s="549"/>
      <c r="B8386" s="549"/>
      <c r="C8386" s="549"/>
      <c r="D8386" s="549"/>
      <c r="E8386" s="549"/>
      <c r="F8386" s="549"/>
      <c r="G8386" s="792"/>
      <c r="H8386" s="1227"/>
      <c r="I8386" s="773"/>
      <c r="J8386" s="774"/>
      <c r="K8386" s="775"/>
      <c r="L8386" s="1226"/>
      <c r="M8386" s="549"/>
      <c r="N8386" s="549"/>
      <c r="O8386" s="549"/>
      <c r="P8386" s="549"/>
    </row>
    <row r="8387" spans="1:17" ht="17.399999999999999">
      <c r="A8387" s="547" t="s">
        <v>495</v>
      </c>
      <c r="B8387" s="547" t="s">
        <v>861</v>
      </c>
      <c r="C8387" s="547" t="s">
        <v>446</v>
      </c>
      <c r="D8387" s="813" t="s">
        <v>447</v>
      </c>
      <c r="E8387" s="547" t="s">
        <v>359</v>
      </c>
      <c r="F8387" s="1240">
        <v>10</v>
      </c>
      <c r="G8387" s="549" t="s">
        <v>21</v>
      </c>
      <c r="H8387" s="599" t="s">
        <v>131</v>
      </c>
      <c r="I8387" s="560">
        <v>7.36</v>
      </c>
      <c r="J8387" s="568">
        <v>7.25</v>
      </c>
      <c r="K8387" s="648">
        <v>28</v>
      </c>
      <c r="L8387" s="552">
        <f>(I8387*J8387*K8387/1000)</f>
        <v>1.4940799999999999</v>
      </c>
      <c r="M8387" s="549"/>
      <c r="N8387" s="549"/>
      <c r="O8387" s="549"/>
      <c r="P8387" s="549"/>
      <c r="Q8387" s="497" t="s">
        <v>992</v>
      </c>
    </row>
    <row r="8388" spans="1:17" ht="17.399999999999999">
      <c r="A8388" s="550"/>
      <c r="B8388" s="550"/>
      <c r="C8388" s="550"/>
      <c r="D8388" s="550"/>
      <c r="E8388" s="1240"/>
      <c r="F8388" s="550"/>
      <c r="G8388" s="549"/>
      <c r="H8388" s="549"/>
      <c r="I8388" s="560"/>
      <c r="J8388" s="568"/>
      <c r="K8388" s="648">
        <f t="shared" ref="K8388:L8388" si="1746">SUM(K8387)</f>
        <v>28</v>
      </c>
      <c r="L8388" s="552">
        <f t="shared" si="1746"/>
        <v>1.4940799999999999</v>
      </c>
      <c r="M8388" s="549"/>
      <c r="N8388" s="549"/>
      <c r="O8388" s="549"/>
      <c r="P8388" s="549"/>
    </row>
    <row r="8389" spans="1:17" ht="17.399999999999999">
      <c r="A8389" s="549"/>
      <c r="B8389" s="549"/>
      <c r="C8389" s="549"/>
      <c r="D8389" s="549"/>
      <c r="E8389" s="549"/>
      <c r="F8389" s="549"/>
      <c r="G8389" s="549"/>
      <c r="H8389" s="549"/>
      <c r="I8389" s="560"/>
      <c r="J8389" s="560"/>
      <c r="K8389" s="561"/>
      <c r="L8389" s="560"/>
      <c r="M8389" s="549"/>
      <c r="N8389" s="549"/>
      <c r="O8389" s="549"/>
      <c r="P8389" s="549"/>
    </row>
    <row r="8390" spans="1:17" ht="17.399999999999999">
      <c r="A8390" s="547" t="s">
        <v>361</v>
      </c>
      <c r="B8390" s="547" t="s">
        <v>811</v>
      </c>
      <c r="C8390" s="547" t="s">
        <v>446</v>
      </c>
      <c r="D8390" s="813" t="s">
        <v>447</v>
      </c>
      <c r="E8390" s="547" t="s">
        <v>359</v>
      </c>
      <c r="F8390" s="1240">
        <v>10</v>
      </c>
      <c r="G8390" s="792" t="s">
        <v>21</v>
      </c>
      <c r="H8390" s="1247" t="s">
        <v>131</v>
      </c>
      <c r="I8390" s="773">
        <v>7.36</v>
      </c>
      <c r="J8390" s="774">
        <v>8</v>
      </c>
      <c r="K8390" s="775">
        <v>29</v>
      </c>
      <c r="L8390" s="552">
        <f t="shared" ref="L8390:L8391" si="1747">(I8390*J8390*K8390/1000)</f>
        <v>1.7075199999999999</v>
      </c>
      <c r="M8390" s="549"/>
      <c r="N8390" s="549"/>
      <c r="O8390" s="549"/>
      <c r="P8390" s="549"/>
      <c r="Q8390" s="497" t="s">
        <v>992</v>
      </c>
    </row>
    <row r="8391" spans="1:17" ht="17.399999999999999">
      <c r="A8391" s="550"/>
      <c r="B8391" s="550"/>
      <c r="C8391" s="550"/>
      <c r="D8391" s="550"/>
      <c r="E8391" s="1240"/>
      <c r="F8391" s="550"/>
      <c r="G8391" s="792" t="s">
        <v>21</v>
      </c>
      <c r="H8391" s="1227" t="s">
        <v>131</v>
      </c>
      <c r="I8391" s="773">
        <v>7.36</v>
      </c>
      <c r="J8391" s="774">
        <v>9.4</v>
      </c>
      <c r="K8391" s="775">
        <v>14</v>
      </c>
      <c r="L8391" s="552">
        <f t="shared" si="1747"/>
        <v>0.9685760000000001</v>
      </c>
      <c r="M8391" s="549"/>
      <c r="N8391" s="549"/>
      <c r="O8391" s="549"/>
      <c r="P8391" s="549"/>
    </row>
    <row r="8392" spans="1:17" ht="17.399999999999999">
      <c r="A8392" s="549"/>
      <c r="B8392" s="549"/>
      <c r="C8392" s="549"/>
      <c r="D8392" s="549"/>
      <c r="E8392" s="549"/>
      <c r="F8392" s="549"/>
      <c r="G8392" s="792" t="s">
        <v>21</v>
      </c>
      <c r="H8392" s="1227" t="s">
        <v>131</v>
      </c>
      <c r="I8392" s="773">
        <v>7.36</v>
      </c>
      <c r="J8392" s="774">
        <v>10.5</v>
      </c>
      <c r="K8392" s="775">
        <v>31</v>
      </c>
      <c r="L8392" s="552">
        <f>(I8392*J8392*K8392/1000)</f>
        <v>2.39568</v>
      </c>
      <c r="M8392" s="549"/>
      <c r="N8392" s="549"/>
      <c r="O8392" s="549"/>
      <c r="P8392" s="549"/>
    </row>
    <row r="8393" spans="1:17" ht="17.399999999999999">
      <c r="A8393" s="549"/>
      <c r="B8393" s="549"/>
      <c r="C8393" s="549"/>
      <c r="D8393" s="549"/>
      <c r="E8393" s="549"/>
      <c r="F8393" s="549"/>
      <c r="G8393" s="792" t="s">
        <v>21</v>
      </c>
      <c r="H8393" s="1227" t="s">
        <v>131</v>
      </c>
      <c r="I8393" s="773">
        <v>7.36</v>
      </c>
      <c r="J8393" s="774">
        <v>11</v>
      </c>
      <c r="K8393" s="775">
        <v>30</v>
      </c>
      <c r="L8393" s="552">
        <f>(I8393*J8393*K8393/1000)</f>
        <v>2.4288000000000003</v>
      </c>
      <c r="M8393" s="549"/>
      <c r="N8393" s="549"/>
      <c r="O8393" s="549"/>
      <c r="P8393" s="549"/>
    </row>
    <row r="8394" spans="1:17" ht="17.399999999999999">
      <c r="A8394" s="549"/>
      <c r="B8394" s="549"/>
      <c r="C8394" s="549"/>
      <c r="D8394" s="549"/>
      <c r="E8394" s="549"/>
      <c r="F8394" s="549"/>
      <c r="G8394" s="792" t="s">
        <v>21</v>
      </c>
      <c r="H8394" s="1227" t="s">
        <v>131</v>
      </c>
      <c r="I8394" s="773">
        <v>7.36</v>
      </c>
      <c r="J8394" s="774">
        <v>12</v>
      </c>
      <c r="K8394" s="775">
        <v>31</v>
      </c>
      <c r="L8394" s="552">
        <f>(I8394*J8394*K8394/1000)</f>
        <v>2.7379199999999999</v>
      </c>
      <c r="M8394" s="549"/>
      <c r="N8394" s="549"/>
      <c r="O8394" s="549"/>
      <c r="P8394" s="549"/>
    </row>
    <row r="8395" spans="1:17" ht="17.399999999999999">
      <c r="A8395" s="549"/>
      <c r="B8395" s="549"/>
      <c r="C8395" s="549"/>
      <c r="D8395" s="549"/>
      <c r="E8395" s="549"/>
      <c r="F8395" s="549"/>
      <c r="G8395" s="792"/>
      <c r="H8395" s="1227"/>
      <c r="I8395" s="773"/>
      <c r="J8395" s="774"/>
      <c r="K8395" s="775">
        <f>SUM(K8390:K8394)</f>
        <v>135</v>
      </c>
      <c r="L8395" s="1226">
        <f>SUM(L8390:L8394)</f>
        <v>10.238496000000001</v>
      </c>
      <c r="M8395" s="549"/>
      <c r="N8395" s="549"/>
      <c r="O8395" s="549"/>
      <c r="P8395" s="549"/>
    </row>
    <row r="8396" spans="1:17" ht="17.399999999999999">
      <c r="A8396" s="549"/>
      <c r="B8396" s="549"/>
      <c r="C8396" s="549"/>
      <c r="D8396" s="549"/>
      <c r="E8396" s="549"/>
      <c r="F8396" s="549"/>
      <c r="G8396" s="549"/>
      <c r="H8396" s="549"/>
      <c r="I8396" s="560"/>
      <c r="J8396" s="560"/>
      <c r="K8396" s="652">
        <f>SUM(K8382:K8395)/2</f>
        <v>231</v>
      </c>
      <c r="L8396" s="565">
        <f>SUM(L8382:L8395)/2</f>
        <v>15.938816000000001</v>
      </c>
      <c r="M8396" s="549"/>
      <c r="N8396" s="549"/>
      <c r="O8396" s="549"/>
      <c r="P8396" s="549" t="s">
        <v>911</v>
      </c>
    </row>
    <row r="8397" spans="1:17" s="497" customFormat="1" ht="17.399999999999999">
      <c r="A8397" s="549"/>
      <c r="B8397" s="549"/>
      <c r="C8397" s="549"/>
      <c r="D8397" s="549"/>
      <c r="E8397" s="549"/>
      <c r="F8397" s="549"/>
      <c r="G8397" s="549"/>
      <c r="H8397" s="549"/>
      <c r="I8397" s="560"/>
      <c r="J8397" s="560"/>
      <c r="K8397" s="564"/>
      <c r="L8397" s="568"/>
      <c r="M8397" s="549"/>
      <c r="N8397" s="549"/>
      <c r="O8397" s="549"/>
      <c r="P8397" s="549"/>
    </row>
    <row r="8398" spans="1:17" ht="17.399999999999999">
      <c r="A8398" s="549"/>
      <c r="B8398" s="549"/>
      <c r="C8398" s="549"/>
      <c r="D8398" s="549"/>
      <c r="E8398" s="549"/>
      <c r="F8398" s="549"/>
      <c r="G8398" s="549"/>
      <c r="H8398" s="549"/>
      <c r="I8398" s="560"/>
      <c r="J8398" s="560"/>
      <c r="K8398" s="561"/>
      <c r="L8398" s="560"/>
      <c r="M8398" s="549"/>
      <c r="N8398" s="549"/>
      <c r="O8398" s="549"/>
      <c r="P8398" s="549"/>
    </row>
    <row r="8399" spans="1:17" s="497" customFormat="1" ht="17.399999999999999">
      <c r="A8399" s="549"/>
      <c r="B8399" s="549"/>
      <c r="C8399" s="549"/>
      <c r="D8399" s="549"/>
      <c r="E8399" s="549"/>
      <c r="F8399" s="549"/>
      <c r="G8399" s="549"/>
      <c r="H8399" s="549"/>
      <c r="I8399" s="558"/>
      <c r="J8399" s="568"/>
      <c r="K8399" s="648"/>
      <c r="L8399" s="567"/>
      <c r="M8399" s="549"/>
      <c r="N8399" s="549"/>
      <c r="O8399" s="549"/>
      <c r="P8399" s="549"/>
    </row>
    <row r="8400" spans="1:17" ht="17.399999999999999">
      <c r="A8400" s="549"/>
      <c r="B8400" s="549"/>
      <c r="C8400" s="549"/>
      <c r="D8400" s="549"/>
      <c r="E8400" s="549"/>
      <c r="F8400" s="549"/>
      <c r="G8400" s="549"/>
      <c r="H8400" s="549"/>
      <c r="I8400" s="560"/>
      <c r="J8400" s="560"/>
      <c r="K8400" s="561"/>
      <c r="L8400" s="560"/>
      <c r="M8400" s="549"/>
      <c r="N8400" s="549"/>
      <c r="O8400" s="549"/>
      <c r="P8400" s="549"/>
    </row>
    <row r="8401" spans="1:17" ht="17.399999999999999">
      <c r="A8401" s="547" t="s">
        <v>495</v>
      </c>
      <c r="B8401" s="547" t="s">
        <v>893</v>
      </c>
      <c r="C8401" s="547" t="s">
        <v>19</v>
      </c>
      <c r="D8401" s="547" t="s">
        <v>60</v>
      </c>
      <c r="E8401" s="547" t="s">
        <v>270</v>
      </c>
      <c r="F8401" s="1240">
        <v>8</v>
      </c>
      <c r="G8401" s="549" t="s">
        <v>61</v>
      </c>
      <c r="H8401" s="599" t="s">
        <v>322</v>
      </c>
      <c r="I8401" s="560">
        <v>9.65</v>
      </c>
      <c r="J8401" s="568">
        <v>12</v>
      </c>
      <c r="K8401" s="648">
        <v>22</v>
      </c>
      <c r="L8401" s="552">
        <f>(I8401*J8401*K8401/1000)</f>
        <v>2.5476000000000005</v>
      </c>
      <c r="M8401" s="549"/>
      <c r="N8401" s="549"/>
      <c r="O8401" s="549"/>
      <c r="P8401" s="549"/>
      <c r="Q8401" s="497" t="s">
        <v>992</v>
      </c>
    </row>
    <row r="8402" spans="1:17" ht="17.399999999999999">
      <c r="A8402" s="549"/>
      <c r="B8402" s="550" t="s">
        <v>271</v>
      </c>
      <c r="C8402" s="549"/>
      <c r="D8402" s="549"/>
      <c r="E8402" s="549"/>
      <c r="F8402" s="549"/>
      <c r="G8402" s="549" t="s">
        <v>61</v>
      </c>
      <c r="H8402" s="549" t="s">
        <v>322</v>
      </c>
      <c r="I8402" s="560">
        <v>9.65</v>
      </c>
      <c r="J8402" s="568">
        <v>12.25</v>
      </c>
      <c r="K8402" s="648">
        <v>46</v>
      </c>
      <c r="L8402" s="552">
        <f>(I8402*J8402*K8402/1000)</f>
        <v>5.4377750000000002</v>
      </c>
      <c r="M8402" s="549"/>
      <c r="N8402" s="549"/>
      <c r="O8402" s="549"/>
      <c r="P8402" s="549"/>
    </row>
    <row r="8403" spans="1:17" ht="17.399999999999999">
      <c r="A8403" s="549"/>
      <c r="B8403" s="549"/>
      <c r="C8403" s="549"/>
      <c r="D8403" s="549"/>
      <c r="E8403" s="549"/>
      <c r="F8403" s="549"/>
      <c r="G8403" s="549" t="s">
        <v>61</v>
      </c>
      <c r="H8403" s="549" t="s">
        <v>322</v>
      </c>
      <c r="I8403" s="560">
        <v>9.65</v>
      </c>
      <c r="J8403" s="568">
        <v>13.1</v>
      </c>
      <c r="K8403" s="648">
        <v>40</v>
      </c>
      <c r="L8403" s="552">
        <f>(I8403*J8403*K8403/1000)</f>
        <v>5.0566000000000004</v>
      </c>
      <c r="M8403" s="549"/>
      <c r="N8403" s="549"/>
      <c r="O8403" s="549"/>
      <c r="P8403" s="549"/>
    </row>
    <row r="8404" spans="1:17" ht="17.399999999999999">
      <c r="A8404" s="549"/>
      <c r="B8404" s="549"/>
      <c r="C8404" s="549"/>
      <c r="D8404" s="549"/>
      <c r="E8404" s="549"/>
      <c r="F8404" s="549"/>
      <c r="G8404" s="549"/>
      <c r="H8404" s="549"/>
      <c r="I8404" s="560"/>
      <c r="J8404" s="568"/>
      <c r="K8404" s="648">
        <f>SUM(K8401:K8403)</f>
        <v>108</v>
      </c>
      <c r="L8404" s="765">
        <f>SUM(L8401:L8403)</f>
        <v>13.041975000000001</v>
      </c>
      <c r="M8404" s="549"/>
      <c r="N8404" s="549"/>
      <c r="O8404" s="549"/>
      <c r="P8404" s="549" t="s">
        <v>912</v>
      </c>
    </row>
    <row r="8405" spans="1:17" s="497" customFormat="1" ht="17.399999999999999">
      <c r="A8405" s="549"/>
      <c r="B8405" s="549"/>
      <c r="C8405" s="549"/>
      <c r="D8405" s="549"/>
      <c r="E8405" s="549"/>
      <c r="F8405" s="549"/>
      <c r="G8405" s="549"/>
      <c r="H8405" s="549"/>
      <c r="I8405" s="560"/>
      <c r="J8405" s="568"/>
      <c r="K8405" s="648"/>
      <c r="L8405" s="765"/>
      <c r="M8405" s="549"/>
      <c r="N8405" s="549"/>
      <c r="O8405" s="549"/>
      <c r="P8405" s="549"/>
    </row>
    <row r="8406" spans="1:17" ht="17.399999999999999">
      <c r="A8406" s="549"/>
      <c r="B8406" s="549"/>
      <c r="C8406" s="549"/>
      <c r="D8406" s="549"/>
      <c r="E8406" s="549"/>
      <c r="F8406" s="549"/>
      <c r="G8406" s="549"/>
      <c r="H8406" s="549"/>
      <c r="I8406" s="560"/>
      <c r="J8406" s="560"/>
      <c r="K8406" s="561"/>
      <c r="L8406" s="560"/>
      <c r="M8406" s="549"/>
      <c r="N8406" s="549"/>
      <c r="O8406" s="549"/>
      <c r="P8406" s="549"/>
    </row>
    <row r="8407" spans="1:17" ht="17.399999999999999">
      <c r="A8407" s="549"/>
      <c r="B8407" s="549"/>
      <c r="C8407" s="549"/>
      <c r="D8407" s="549"/>
      <c r="E8407" s="549"/>
      <c r="F8407" s="549"/>
      <c r="G8407" s="549"/>
      <c r="H8407" s="549"/>
      <c r="I8407" s="560"/>
      <c r="J8407" s="549"/>
      <c r="K8407" s="561"/>
      <c r="L8407" s="568">
        <f>+L8404+L8379+L8396+L8344+L8339+L8366+L8361+L8324+L8319+L8309</f>
        <v>139.57491100000001</v>
      </c>
      <c r="M8407" s="549"/>
      <c r="N8407" s="568">
        <f>+N8404+N8379+N8396+N8344+N8339+N8366+N8361+N8324+N8319+N8309</f>
        <v>0.74039999999999995</v>
      </c>
      <c r="O8407" s="549"/>
      <c r="P8407" s="549"/>
    </row>
    <row r="8408" spans="1:17" ht="17.399999999999999">
      <c r="A8408" s="653" t="s">
        <v>48</v>
      </c>
      <c r="B8408" s="653"/>
      <c r="C8408" s="654"/>
      <c r="D8408" s="654"/>
      <c r="E8408" s="654"/>
      <c r="F8408" s="1239"/>
      <c r="G8408" s="654"/>
      <c r="H8408" s="1239"/>
      <c r="I8408" s="656"/>
      <c r="J8408" s="654"/>
      <c r="K8408" s="657"/>
      <c r="L8408" s="2003" t="s">
        <v>0</v>
      </c>
      <c r="M8408" s="2003"/>
      <c r="N8408" s="2003"/>
      <c r="O8408" s="2004"/>
      <c r="P8408" s="2010"/>
    </row>
    <row r="8409" spans="1:17" ht="17.399999999999999">
      <c r="A8409" s="658" t="s">
        <v>1</v>
      </c>
      <c r="B8409" s="658"/>
      <c r="C8409" s="658"/>
      <c r="D8409" s="659" t="s">
        <v>2</v>
      </c>
      <c r="E8409" s="659"/>
      <c r="F8409" s="660"/>
      <c r="G8409" s="660"/>
      <c r="H8409" s="660"/>
      <c r="I8409" s="661"/>
      <c r="J8409" s="660"/>
      <c r="K8409" s="662" t="s">
        <v>3</v>
      </c>
      <c r="L8409" s="660"/>
      <c r="M8409" s="658"/>
      <c r="N8409" s="660"/>
      <c r="O8409" s="663"/>
      <c r="P8409" s="2010"/>
    </row>
    <row r="8410" spans="1:17" ht="17.399999999999999">
      <c r="A8410" s="1239" t="s">
        <v>22</v>
      </c>
      <c r="B8410" s="1990" t="s">
        <v>23</v>
      </c>
      <c r="C8410" s="2005"/>
      <c r="D8410" s="1989"/>
      <c r="E8410" s="1239" t="s">
        <v>24</v>
      </c>
      <c r="F8410" s="1990" t="s">
        <v>25</v>
      </c>
      <c r="G8410" s="1989"/>
      <c r="H8410" s="1990" t="s">
        <v>26</v>
      </c>
      <c r="I8410" s="2005"/>
      <c r="J8410" s="2005"/>
      <c r="K8410" s="1989"/>
      <c r="L8410" s="2006" t="s">
        <v>27</v>
      </c>
      <c r="M8410" s="2006"/>
      <c r="N8410" s="2006"/>
      <c r="O8410" s="1990"/>
      <c r="P8410" s="2010"/>
    </row>
    <row r="8411" spans="1:17" ht="17.399999999999999">
      <c r="A8411" s="664"/>
      <c r="B8411" s="1975"/>
      <c r="C8411" s="1976"/>
      <c r="D8411" s="1977"/>
      <c r="E8411" s="665"/>
      <c r="F8411" s="1975"/>
      <c r="G8411" s="1977"/>
      <c r="H8411" s="1975"/>
      <c r="I8411" s="1976"/>
      <c r="J8411" s="1976"/>
      <c r="K8411" s="1977"/>
      <c r="L8411" s="1975"/>
      <c r="M8411" s="1976"/>
      <c r="N8411" s="1976"/>
      <c r="O8411" s="1976"/>
      <c r="P8411" s="2010"/>
    </row>
    <row r="8412" spans="1:17" s="497" customFormat="1" ht="17.399999999999999">
      <c r="A8412" s="664"/>
      <c r="B8412" s="1234"/>
      <c r="C8412" s="1234"/>
      <c r="D8412" s="1234"/>
      <c r="E8412" s="665"/>
      <c r="F8412" s="1233"/>
      <c r="G8412" s="1235"/>
      <c r="H8412" s="1233"/>
      <c r="I8412" s="1842"/>
      <c r="J8412" s="1234"/>
      <c r="K8412" s="1235"/>
      <c r="L8412" s="1234"/>
      <c r="M8412" s="1234"/>
      <c r="N8412" s="1234"/>
      <c r="O8412" s="1234"/>
      <c r="P8412" s="2010"/>
    </row>
    <row r="8413" spans="1:17" ht="17.399999999999999">
      <c r="A8413" s="664" t="s">
        <v>28</v>
      </c>
      <c r="B8413" s="1976" t="s">
        <v>318</v>
      </c>
      <c r="C8413" s="1976"/>
      <c r="D8413" s="1976"/>
      <c r="E8413" s="665">
        <f>+L8309</f>
        <v>33.291303999999997</v>
      </c>
      <c r="F8413" s="1973">
        <v>10</v>
      </c>
      <c r="G8413" s="1974"/>
      <c r="H8413" s="1975" t="s">
        <v>582</v>
      </c>
      <c r="I8413" s="1976"/>
      <c r="J8413" s="1976"/>
      <c r="K8413" s="1977"/>
      <c r="L8413" s="1976" t="s">
        <v>437</v>
      </c>
      <c r="M8413" s="1976"/>
      <c r="N8413" s="1976"/>
      <c r="O8413" s="1976"/>
      <c r="P8413" s="2010"/>
    </row>
    <row r="8414" spans="1:17" ht="17.399999999999999">
      <c r="A8414" s="664"/>
      <c r="B8414" s="1234"/>
      <c r="C8414" s="1234"/>
      <c r="D8414" s="1234"/>
      <c r="E8414" s="665"/>
      <c r="F8414" s="1236"/>
      <c r="G8414" s="1237"/>
      <c r="H8414" s="1233"/>
      <c r="I8414" s="1842"/>
      <c r="J8414" s="1234"/>
      <c r="K8414" s="1235"/>
      <c r="L8414" s="1234"/>
      <c r="M8414" s="1234"/>
      <c r="N8414" s="1234"/>
      <c r="O8414" s="1234"/>
      <c r="P8414" s="2010"/>
    </row>
    <row r="8415" spans="1:17" ht="17.399999999999999">
      <c r="A8415" s="664" t="s">
        <v>29</v>
      </c>
      <c r="B8415" s="1976" t="s">
        <v>318</v>
      </c>
      <c r="C8415" s="1976"/>
      <c r="D8415" s="1976"/>
      <c r="E8415" s="665">
        <f>+L8319</f>
        <v>17.226080000000003</v>
      </c>
      <c r="F8415" s="1973">
        <v>10</v>
      </c>
      <c r="G8415" s="1974"/>
      <c r="H8415" s="1975" t="s">
        <v>450</v>
      </c>
      <c r="I8415" s="1976"/>
      <c r="J8415" s="1976"/>
      <c r="K8415" s="1977"/>
      <c r="L8415" s="1976" t="s">
        <v>437</v>
      </c>
      <c r="M8415" s="1976"/>
      <c r="N8415" s="1976"/>
      <c r="O8415" s="1976"/>
      <c r="P8415" s="2010"/>
    </row>
    <row r="8416" spans="1:17" ht="17.399999999999999">
      <c r="A8416" s="664" t="s">
        <v>30</v>
      </c>
      <c r="B8416" s="1976" t="s">
        <v>894</v>
      </c>
      <c r="C8416" s="1976"/>
      <c r="D8416" s="1976"/>
      <c r="E8416" s="665">
        <f>+L8324</f>
        <v>11.27876</v>
      </c>
      <c r="F8416" s="1973">
        <v>10</v>
      </c>
      <c r="G8416" s="1974"/>
      <c r="H8416" s="1975" t="s">
        <v>450</v>
      </c>
      <c r="I8416" s="1976"/>
      <c r="J8416" s="1976"/>
      <c r="K8416" s="1977"/>
      <c r="L8416" s="1976" t="s">
        <v>437</v>
      </c>
      <c r="M8416" s="1976"/>
      <c r="N8416" s="1976"/>
      <c r="O8416" s="1976"/>
      <c r="P8416" s="2010"/>
    </row>
    <row r="8417" spans="1:16" s="497" customFormat="1" ht="17.399999999999999">
      <c r="A8417" s="664"/>
      <c r="B8417" s="1234"/>
      <c r="C8417" s="1234"/>
      <c r="D8417" s="1234"/>
      <c r="E8417" s="665"/>
      <c r="F8417" s="1236"/>
      <c r="G8417" s="1237"/>
      <c r="H8417" s="1233"/>
      <c r="I8417" s="1842"/>
      <c r="J8417" s="1234"/>
      <c r="K8417" s="1235"/>
      <c r="L8417" s="1234"/>
      <c r="M8417" s="1234"/>
      <c r="N8417" s="1234"/>
      <c r="O8417" s="1234"/>
      <c r="P8417" s="2010"/>
    </row>
    <row r="8418" spans="1:16" ht="17.399999999999999">
      <c r="A8418" s="664"/>
      <c r="B8418" s="1975"/>
      <c r="C8418" s="1976"/>
      <c r="D8418" s="1977"/>
      <c r="E8418" s="665"/>
      <c r="F8418" s="1973"/>
      <c r="G8418" s="1974"/>
      <c r="H8418" s="1975"/>
      <c r="I8418" s="1976"/>
      <c r="J8418" s="1976"/>
      <c r="K8418" s="1977"/>
      <c r="L8418" s="1976"/>
      <c r="M8418" s="1976"/>
      <c r="N8418" s="1976"/>
      <c r="O8418" s="1976"/>
      <c r="P8418" s="2010"/>
    </row>
    <row r="8419" spans="1:16" s="497" customFormat="1" ht="17.399999999999999">
      <c r="A8419" s="664" t="s">
        <v>46</v>
      </c>
      <c r="B8419" s="1975" t="s">
        <v>198</v>
      </c>
      <c r="C8419" s="1976"/>
      <c r="D8419" s="1977"/>
      <c r="E8419" s="665">
        <f>+L8339+L8344</f>
        <v>9.9985479999999995</v>
      </c>
      <c r="F8419" s="1973">
        <v>10</v>
      </c>
      <c r="G8419" s="1974"/>
      <c r="H8419" s="1975" t="s">
        <v>49</v>
      </c>
      <c r="I8419" s="1976"/>
      <c r="J8419" s="1976"/>
      <c r="K8419" s="1977"/>
      <c r="L8419" s="1976" t="s">
        <v>898</v>
      </c>
      <c r="M8419" s="1976"/>
      <c r="N8419" s="1976"/>
      <c r="O8419" s="1976"/>
      <c r="P8419" s="2010"/>
    </row>
    <row r="8420" spans="1:16" s="497" customFormat="1" ht="17.399999999999999">
      <c r="A8420" s="664" t="s">
        <v>58</v>
      </c>
      <c r="B8420" s="1975" t="s">
        <v>199</v>
      </c>
      <c r="C8420" s="1976"/>
      <c r="D8420" s="1977"/>
      <c r="E8420" s="665">
        <f>+L8361</f>
        <v>21.891776999999994</v>
      </c>
      <c r="F8420" s="1973">
        <v>10</v>
      </c>
      <c r="G8420" s="1974"/>
      <c r="H8420" s="1975" t="s">
        <v>49</v>
      </c>
      <c r="I8420" s="1976"/>
      <c r="J8420" s="1976"/>
      <c r="K8420" s="1977"/>
      <c r="L8420" s="1976" t="s">
        <v>897</v>
      </c>
      <c r="M8420" s="1976"/>
      <c r="N8420" s="1976"/>
      <c r="O8420" s="1976"/>
      <c r="P8420" s="2010"/>
    </row>
    <row r="8421" spans="1:16" ht="17.399999999999999">
      <c r="A8421" s="664"/>
      <c r="B8421" s="1975"/>
      <c r="C8421" s="1976"/>
      <c r="D8421" s="1977"/>
      <c r="E8421" s="665"/>
      <c r="F8421" s="1973"/>
      <c r="G8421" s="1974"/>
      <c r="H8421" s="1975"/>
      <c r="I8421" s="1976"/>
      <c r="J8421" s="1976"/>
      <c r="K8421" s="1977"/>
      <c r="L8421" s="1976"/>
      <c r="M8421" s="1976"/>
      <c r="N8421" s="1976"/>
      <c r="O8421" s="1976"/>
      <c r="P8421" s="2010"/>
    </row>
    <row r="8422" spans="1:16" ht="17.399999999999999">
      <c r="A8422" s="664"/>
      <c r="B8422" s="1975"/>
      <c r="C8422" s="1976"/>
      <c r="D8422" s="1977"/>
      <c r="E8422" s="665"/>
      <c r="F8422" s="1973"/>
      <c r="G8422" s="1974"/>
      <c r="H8422" s="1975"/>
      <c r="I8422" s="1976"/>
      <c r="J8422" s="1976"/>
      <c r="K8422" s="1977"/>
      <c r="L8422" s="1976"/>
      <c r="M8422" s="1976"/>
      <c r="N8422" s="1976"/>
      <c r="O8422" s="1976"/>
      <c r="P8422" s="2010"/>
    </row>
    <row r="8423" spans="1:16" s="497" customFormat="1" ht="17.399999999999999">
      <c r="A8423" s="664" t="s">
        <v>163</v>
      </c>
      <c r="B8423" s="1975" t="s">
        <v>199</v>
      </c>
      <c r="C8423" s="1976"/>
      <c r="D8423" s="1977"/>
      <c r="E8423" s="665">
        <f>+L8379</f>
        <v>16.167251</v>
      </c>
      <c r="F8423" s="1973">
        <v>10</v>
      </c>
      <c r="G8423" s="1974"/>
      <c r="H8423" s="1975" t="s">
        <v>447</v>
      </c>
      <c r="I8423" s="1976"/>
      <c r="J8423" s="1976"/>
      <c r="K8423" s="1977"/>
      <c r="L8423" s="1976" t="s">
        <v>65</v>
      </c>
      <c r="M8423" s="1976"/>
      <c r="N8423" s="1976"/>
      <c r="O8423" s="1976"/>
      <c r="P8423" s="2010"/>
    </row>
    <row r="8424" spans="1:16" s="497" customFormat="1" ht="17.399999999999999">
      <c r="A8424" s="664" t="s">
        <v>302</v>
      </c>
      <c r="B8424" s="1975" t="s">
        <v>198</v>
      </c>
      <c r="C8424" s="1976"/>
      <c r="D8424" s="1977"/>
      <c r="E8424" s="665">
        <f>+L8396</f>
        <v>15.938816000000001</v>
      </c>
      <c r="F8424" s="1973">
        <v>10</v>
      </c>
      <c r="G8424" s="1974"/>
      <c r="H8424" s="1975" t="s">
        <v>447</v>
      </c>
      <c r="I8424" s="1976"/>
      <c r="J8424" s="1976"/>
      <c r="K8424" s="1977"/>
      <c r="L8424" s="1976" t="s">
        <v>65</v>
      </c>
      <c r="M8424" s="1976"/>
      <c r="N8424" s="1976"/>
      <c r="O8424" s="1976"/>
      <c r="P8424" s="2010"/>
    </row>
    <row r="8425" spans="1:16" ht="17.399999999999999">
      <c r="A8425" s="664"/>
      <c r="B8425" s="1975"/>
      <c r="C8425" s="1976"/>
      <c r="D8425" s="1977"/>
      <c r="E8425" s="665"/>
      <c r="F8425" s="1973"/>
      <c r="G8425" s="1974"/>
      <c r="H8425" s="1975"/>
      <c r="I8425" s="1976"/>
      <c r="J8425" s="1976"/>
      <c r="K8425" s="1977"/>
      <c r="L8425" s="1976"/>
      <c r="M8425" s="1976"/>
      <c r="N8425" s="1976"/>
      <c r="O8425" s="1976"/>
      <c r="P8425" s="2010"/>
    </row>
    <row r="8426" spans="1:16" s="497" customFormat="1" ht="17.399999999999999">
      <c r="A8426" s="664"/>
      <c r="B8426" s="1233"/>
      <c r="C8426" s="1234"/>
      <c r="D8426" s="1235"/>
      <c r="E8426" s="665"/>
      <c r="F8426" s="1236"/>
      <c r="G8426" s="1237"/>
      <c r="H8426" s="1233"/>
      <c r="I8426" s="1842"/>
      <c r="J8426" s="1234"/>
      <c r="K8426" s="1235"/>
      <c r="L8426" s="1234"/>
      <c r="M8426" s="1234"/>
      <c r="N8426" s="1234"/>
      <c r="O8426" s="1234"/>
      <c r="P8426" s="2010"/>
    </row>
    <row r="8427" spans="1:16" s="497" customFormat="1" ht="17.399999999999999">
      <c r="A8427" s="664" t="s">
        <v>380</v>
      </c>
      <c r="B8427" s="1975" t="s">
        <v>895</v>
      </c>
      <c r="C8427" s="1976"/>
      <c r="D8427" s="1977"/>
      <c r="E8427" s="665">
        <f>+L8404</f>
        <v>13.041975000000001</v>
      </c>
      <c r="F8427" s="1975">
        <v>8</v>
      </c>
      <c r="G8427" s="1977"/>
      <c r="H8427" s="2007" t="s">
        <v>896</v>
      </c>
      <c r="I8427" s="2007"/>
      <c r="J8427" s="2007"/>
      <c r="K8427" s="2007"/>
      <c r="L8427" s="1976" t="s">
        <v>733</v>
      </c>
      <c r="M8427" s="1976"/>
      <c r="N8427" s="1976"/>
      <c r="O8427" s="1976"/>
      <c r="P8427" s="2010"/>
    </row>
    <row r="8428" spans="1:16" s="497" customFormat="1" ht="17.399999999999999">
      <c r="A8428" s="664"/>
      <c r="B8428" s="1233"/>
      <c r="C8428" s="1234"/>
      <c r="D8428" s="1235"/>
      <c r="E8428" s="665"/>
      <c r="F8428" s="1236"/>
      <c r="G8428" s="1237"/>
      <c r="H8428" s="1233"/>
      <c r="I8428" s="1842"/>
      <c r="J8428" s="1234"/>
      <c r="K8428" s="1235"/>
      <c r="L8428" s="1234"/>
      <c r="M8428" s="1234"/>
      <c r="N8428" s="1234"/>
      <c r="O8428" s="1234"/>
      <c r="P8428" s="2010"/>
    </row>
    <row r="8429" spans="1:16" ht="18" thickBot="1">
      <c r="A8429" s="664"/>
      <c r="B8429" s="1233"/>
      <c r="C8429" s="1234"/>
      <c r="D8429" s="1234"/>
      <c r="E8429" s="665"/>
      <c r="F8429" s="1234"/>
      <c r="G8429" s="1235"/>
      <c r="H8429" s="1233"/>
      <c r="I8429" s="1842"/>
      <c r="J8429" s="1234"/>
      <c r="K8429" s="669"/>
      <c r="L8429" s="672"/>
      <c r="M8429" s="673"/>
      <c r="N8429" s="673"/>
      <c r="O8429" s="673"/>
      <c r="P8429" s="2010"/>
    </row>
    <row r="8430" spans="1:16" ht="17.399999999999999">
      <c r="A8430" s="674"/>
      <c r="B8430" s="675"/>
      <c r="C8430" s="676"/>
      <c r="D8430" s="676"/>
      <c r="E8430" s="1980">
        <f>SUM(E8411:E8429)</f>
        <v>138.83451099999999</v>
      </c>
      <c r="F8430" s="677"/>
      <c r="G8430" s="678"/>
      <c r="H8430" s="679"/>
      <c r="I8430" s="1848"/>
      <c r="J8430" s="676"/>
      <c r="K8430" s="680"/>
      <c r="L8430" s="679"/>
      <c r="M8430" s="676"/>
      <c r="N8430" s="677"/>
      <c r="O8430" s="676"/>
      <c r="P8430" s="2010"/>
    </row>
    <row r="8431" spans="1:16" ht="18" thickBot="1">
      <c r="A8431" s="681"/>
      <c r="B8431" s="682"/>
      <c r="C8431" s="683"/>
      <c r="D8431" s="683"/>
      <c r="E8431" s="1981"/>
      <c r="F8431" s="684"/>
      <c r="G8431" s="685"/>
      <c r="H8431" s="686"/>
      <c r="I8431" s="1850"/>
      <c r="J8431" s="683"/>
      <c r="K8431" s="687"/>
      <c r="L8431" s="686"/>
      <c r="M8431" s="683"/>
      <c r="N8431" s="684"/>
      <c r="O8431" s="683"/>
      <c r="P8431" s="2010"/>
    </row>
    <row r="8432" spans="1:16" ht="17.399999999999999">
      <c r="A8432" s="688" t="s">
        <v>31</v>
      </c>
      <c r="B8432" s="676"/>
      <c r="C8432" s="676"/>
      <c r="D8432" s="676"/>
      <c r="E8432" s="676"/>
      <c r="F8432" s="677"/>
      <c r="G8432" s="676"/>
      <c r="H8432" s="677"/>
      <c r="I8432" s="1848"/>
      <c r="J8432" s="676"/>
      <c r="K8432" s="689"/>
      <c r="L8432" s="677"/>
      <c r="M8432" s="676"/>
      <c r="N8432" s="677"/>
      <c r="O8432" s="676"/>
      <c r="P8432" s="2010"/>
    </row>
    <row r="8433" spans="1:16" ht="17.399999999999999">
      <c r="A8433" s="690"/>
      <c r="B8433" s="691"/>
      <c r="C8433" s="691"/>
      <c r="D8433" s="691"/>
      <c r="E8433" s="691"/>
      <c r="F8433" s="1232"/>
      <c r="G8433" s="691"/>
      <c r="H8433" s="1232"/>
      <c r="I8433" s="1849"/>
      <c r="J8433" s="691"/>
      <c r="K8433" s="693"/>
      <c r="L8433" s="1232"/>
      <c r="M8433" s="691"/>
      <c r="N8433" s="1232"/>
      <c r="O8433" s="691"/>
      <c r="P8433" s="2010"/>
    </row>
    <row r="8434" spans="1:16" ht="18" thickBot="1">
      <c r="A8434" s="1982" t="s">
        <v>32</v>
      </c>
      <c r="B8434" s="1983"/>
      <c r="C8434" s="1984" t="s">
        <v>33</v>
      </c>
      <c r="D8434" s="1985"/>
      <c r="E8434" s="694" t="s">
        <v>34</v>
      </c>
      <c r="F8434" s="694" t="s">
        <v>35</v>
      </c>
      <c r="G8434" s="1986" t="s">
        <v>36</v>
      </c>
      <c r="H8434" s="1987"/>
      <c r="I8434" s="1987"/>
      <c r="J8434" s="1987"/>
      <c r="K8434" s="1987"/>
      <c r="L8434" s="1987"/>
      <c r="M8434" s="1987"/>
      <c r="N8434" s="1987"/>
      <c r="O8434" s="1987"/>
      <c r="P8434" s="2010"/>
    </row>
    <row r="8435" spans="1:16" ht="17.399999999999999">
      <c r="A8435" s="1988"/>
      <c r="B8435" s="1989"/>
      <c r="C8435" s="1990"/>
      <c r="D8435" s="1989"/>
      <c r="E8435" s="1239"/>
      <c r="F8435" s="1230"/>
      <c r="G8435" s="1991"/>
      <c r="H8435" s="1992"/>
      <c r="I8435" s="1992"/>
      <c r="J8435" s="1992"/>
      <c r="K8435" s="1992"/>
      <c r="L8435" s="1992"/>
      <c r="M8435" s="1992"/>
      <c r="N8435" s="1992"/>
      <c r="O8435" s="1992"/>
      <c r="P8435" s="2010"/>
    </row>
    <row r="8436" spans="1:16" ht="17.399999999999999">
      <c r="A8436" s="1997" t="s">
        <v>37</v>
      </c>
      <c r="B8436" s="1998"/>
      <c r="C8436" s="1990"/>
      <c r="D8436" s="1989"/>
      <c r="E8436" s="1239"/>
      <c r="F8436" s="1230"/>
      <c r="G8436" s="1993"/>
      <c r="H8436" s="1994"/>
      <c r="I8436" s="1994"/>
      <c r="J8436" s="1994"/>
      <c r="K8436" s="1994"/>
      <c r="L8436" s="1994"/>
      <c r="M8436" s="1994"/>
      <c r="N8436" s="1994"/>
      <c r="O8436" s="1994"/>
      <c r="P8436" s="2010"/>
    </row>
    <row r="8437" spans="1:16" ht="17.399999999999999">
      <c r="A8437" s="1997" t="s">
        <v>38</v>
      </c>
      <c r="B8437" s="1998"/>
      <c r="C8437" s="1990"/>
      <c r="D8437" s="1989"/>
      <c r="E8437" s="1239"/>
      <c r="F8437" s="1230"/>
      <c r="G8437" s="1993"/>
      <c r="H8437" s="1994"/>
      <c r="I8437" s="1994"/>
      <c r="J8437" s="1994"/>
      <c r="K8437" s="1994"/>
      <c r="L8437" s="1994"/>
      <c r="M8437" s="1994"/>
      <c r="N8437" s="1994"/>
      <c r="O8437" s="1994"/>
      <c r="P8437" s="2010"/>
    </row>
    <row r="8438" spans="1:16" ht="17.399999999999999">
      <c r="A8438" s="1997" t="s">
        <v>39</v>
      </c>
      <c r="B8438" s="1998"/>
      <c r="C8438" s="1990"/>
      <c r="D8438" s="1989"/>
      <c r="E8438" s="1239"/>
      <c r="F8438" s="1230"/>
      <c r="G8438" s="1993"/>
      <c r="H8438" s="1994"/>
      <c r="I8438" s="1994"/>
      <c r="J8438" s="1994"/>
      <c r="K8438" s="1994"/>
      <c r="L8438" s="1994"/>
      <c r="M8438" s="1994"/>
      <c r="N8438" s="1994"/>
      <c r="O8438" s="1994"/>
      <c r="P8438" s="2010"/>
    </row>
    <row r="8439" spans="1:16" ht="17.399999999999999">
      <c r="A8439" s="1997" t="s">
        <v>40</v>
      </c>
      <c r="B8439" s="1998"/>
      <c r="C8439" s="1990"/>
      <c r="D8439" s="1989"/>
      <c r="E8439" s="1239"/>
      <c r="F8439" s="1230"/>
      <c r="G8439" s="1993"/>
      <c r="H8439" s="1994"/>
      <c r="I8439" s="1994"/>
      <c r="J8439" s="1994"/>
      <c r="K8439" s="1994"/>
      <c r="L8439" s="1994"/>
      <c r="M8439" s="1994"/>
      <c r="N8439" s="1994"/>
      <c r="O8439" s="1994"/>
      <c r="P8439" s="2010"/>
    </row>
    <row r="8440" spans="1:16" ht="18" thickBot="1">
      <c r="A8440" s="1999" t="s">
        <v>41</v>
      </c>
      <c r="B8440" s="2000"/>
      <c r="C8440" s="2001"/>
      <c r="D8440" s="2002"/>
      <c r="E8440" s="696"/>
      <c r="F8440" s="1231"/>
      <c r="G8440" s="1995"/>
      <c r="H8440" s="1996"/>
      <c r="I8440" s="1996"/>
      <c r="J8440" s="1996"/>
      <c r="K8440" s="1996"/>
      <c r="L8440" s="1996"/>
      <c r="M8440" s="1996"/>
      <c r="N8440" s="1996"/>
      <c r="O8440" s="1996"/>
      <c r="P8440" s="2010"/>
    </row>
    <row r="8441" spans="1:16" ht="18">
      <c r="A8441" s="690"/>
      <c r="B8441" s="691"/>
      <c r="C8441" s="691"/>
      <c r="D8441" s="691"/>
      <c r="E8441" s="691"/>
      <c r="F8441" s="1232"/>
      <c r="G8441" s="691"/>
      <c r="H8441" s="698"/>
      <c r="I8441" s="699"/>
      <c r="J8441" s="700"/>
      <c r="K8441" s="701"/>
      <c r="L8441" s="702"/>
      <c r="M8441" s="691"/>
      <c r="N8441" s="1232"/>
      <c r="O8441" s="691"/>
      <c r="P8441" s="2010"/>
    </row>
    <row r="8442" spans="1:16" ht="18">
      <c r="A8442" s="703" t="s">
        <v>42</v>
      </c>
      <c r="B8442" s="704"/>
      <c r="C8442" s="691"/>
      <c r="D8442" s="691"/>
      <c r="E8442" s="691"/>
      <c r="F8442" s="1232"/>
      <c r="G8442" s="704"/>
      <c r="H8442" s="698"/>
      <c r="I8442" s="699"/>
      <c r="J8442" s="700"/>
      <c r="K8442" s="693"/>
      <c r="L8442" s="705"/>
      <c r="M8442" s="691"/>
      <c r="N8442" s="1979" t="s">
        <v>43</v>
      </c>
      <c r="O8442" s="1979"/>
      <c r="P8442" s="2010"/>
    </row>
    <row r="8443" spans="1:16" ht="17.399999999999999">
      <c r="A8443" s="703"/>
      <c r="B8443" s="704"/>
      <c r="C8443" s="691"/>
      <c r="D8443" s="691"/>
      <c r="E8443" s="691"/>
      <c r="F8443" s="1232"/>
      <c r="G8443" s="691"/>
      <c r="H8443" s="1232"/>
      <c r="I8443" s="1849"/>
      <c r="J8443" s="691"/>
      <c r="K8443" s="693"/>
      <c r="L8443" s="1232"/>
      <c r="M8443" s="691"/>
      <c r="N8443" s="1232"/>
      <c r="O8443" s="704"/>
      <c r="P8443" s="2010"/>
    </row>
    <row r="8444" spans="1:16" ht="17.399999999999999">
      <c r="A8444" s="703" t="s">
        <v>44</v>
      </c>
      <c r="B8444" s="704"/>
      <c r="C8444" s="691"/>
      <c r="D8444" s="691"/>
      <c r="E8444" s="691"/>
      <c r="F8444" s="1232"/>
      <c r="G8444" s="691"/>
      <c r="H8444" s="1232"/>
      <c r="I8444" s="1849"/>
      <c r="J8444" s="691"/>
      <c r="K8444" s="693"/>
      <c r="L8444" s="1232"/>
      <c r="M8444" s="691"/>
      <c r="N8444" s="1979" t="s">
        <v>45</v>
      </c>
      <c r="O8444" s="1979"/>
      <c r="P8444" s="2010"/>
    </row>
    <row r="8445" spans="1:16" ht="18" thickBot="1">
      <c r="A8445" s="682"/>
      <c r="B8445" s="683"/>
      <c r="C8445" s="683"/>
      <c r="D8445" s="683"/>
      <c r="E8445" s="683"/>
      <c r="F8445" s="684"/>
      <c r="G8445" s="683"/>
      <c r="H8445" s="684"/>
      <c r="I8445" s="1850"/>
      <c r="J8445" s="683"/>
      <c r="K8445" s="706"/>
      <c r="L8445" s="684"/>
      <c r="M8445" s="683"/>
      <c r="N8445" s="684"/>
      <c r="O8445" s="683"/>
      <c r="P8445" s="2010"/>
    </row>
    <row r="8450" spans="1:17" ht="17.399999999999999">
      <c r="A8450" s="711" t="s">
        <v>48</v>
      </c>
      <c r="B8450" s="711"/>
      <c r="C8450" s="712"/>
      <c r="D8450" s="712"/>
      <c r="E8450" s="712"/>
      <c r="F8450" s="713"/>
      <c r="G8450" s="712"/>
      <c r="H8450" s="712"/>
      <c r="I8450" s="714"/>
      <c r="J8450" s="715"/>
      <c r="K8450" s="716"/>
      <c r="L8450" s="1978" t="s">
        <v>0</v>
      </c>
      <c r="M8450" s="1978"/>
      <c r="N8450" s="1978"/>
      <c r="O8450" s="1978"/>
      <c r="P8450" s="717"/>
    </row>
    <row r="8451" spans="1:17" ht="17.399999999999999">
      <c r="A8451" s="718" t="s">
        <v>1</v>
      </c>
      <c r="B8451" s="718"/>
      <c r="C8451" s="718"/>
      <c r="D8451" s="719" t="s">
        <v>2</v>
      </c>
      <c r="E8451" s="719"/>
      <c r="F8451" s="720"/>
      <c r="G8451" s="720"/>
      <c r="H8451" s="720"/>
      <c r="I8451" s="721"/>
      <c r="J8451" s="1257"/>
      <c r="K8451" s="723" t="s">
        <v>3</v>
      </c>
      <c r="L8451" s="1257"/>
      <c r="M8451" s="718"/>
      <c r="N8451" s="720"/>
      <c r="O8451" s="718"/>
      <c r="P8451" s="724"/>
    </row>
    <row r="8452" spans="1:17" ht="52.2">
      <c r="A8452" s="640" t="s">
        <v>4</v>
      </c>
      <c r="B8452" s="640" t="s">
        <v>5</v>
      </c>
      <c r="C8452" s="640" t="s">
        <v>6</v>
      </c>
      <c r="D8452" s="640" t="s">
        <v>7</v>
      </c>
      <c r="E8452" s="640" t="s">
        <v>8</v>
      </c>
      <c r="F8452" s="641" t="s">
        <v>9</v>
      </c>
      <c r="G8452" s="642" t="s">
        <v>10</v>
      </c>
      <c r="H8452" s="642" t="s">
        <v>11</v>
      </c>
      <c r="I8452" s="643" t="s">
        <v>12</v>
      </c>
      <c r="J8452" s="644" t="s">
        <v>13</v>
      </c>
      <c r="K8452" s="645" t="s">
        <v>14</v>
      </c>
      <c r="L8452" s="646" t="s">
        <v>15</v>
      </c>
      <c r="M8452" s="641" t="s">
        <v>16</v>
      </c>
      <c r="N8452" s="641" t="s">
        <v>17</v>
      </c>
      <c r="O8452" s="642" t="s">
        <v>18</v>
      </c>
      <c r="P8452" s="641" t="s">
        <v>192</v>
      </c>
    </row>
    <row r="8453" spans="1:17" ht="17.399999999999999">
      <c r="A8453" s="547" t="s">
        <v>445</v>
      </c>
      <c r="B8453" s="547" t="s">
        <v>845</v>
      </c>
      <c r="C8453" s="547" t="s">
        <v>19</v>
      </c>
      <c r="D8453" s="547" t="s">
        <v>60</v>
      </c>
      <c r="E8453" s="550" t="s">
        <v>821</v>
      </c>
      <c r="F8453" s="1258">
        <v>12</v>
      </c>
      <c r="G8453" s="549" t="s">
        <v>61</v>
      </c>
      <c r="H8453" s="599" t="s">
        <v>134</v>
      </c>
      <c r="I8453" s="558">
        <v>12.2</v>
      </c>
      <c r="J8453" s="710">
        <v>9.1</v>
      </c>
      <c r="K8453" s="648">
        <v>432</v>
      </c>
      <c r="L8453" s="552">
        <f>(I8453*J8453*K8453/1000)</f>
        <v>47.960639999999998</v>
      </c>
      <c r="M8453" s="549"/>
      <c r="N8453" s="549"/>
      <c r="O8453" s="549"/>
      <c r="P8453" s="549"/>
      <c r="Q8453" s="497" t="s">
        <v>994</v>
      </c>
    </row>
    <row r="8454" spans="1:17" ht="17.399999999999999">
      <c r="A8454" s="549"/>
      <c r="B8454" s="549" t="s">
        <v>88</v>
      </c>
      <c r="C8454" s="549"/>
      <c r="D8454" s="549"/>
      <c r="E8454" s="549"/>
      <c r="F8454" s="549"/>
      <c r="G8454" s="549"/>
      <c r="H8454" s="549"/>
      <c r="I8454" s="558"/>
      <c r="J8454" s="710"/>
      <c r="K8454" s="648">
        <f t="shared" ref="K8454" si="1748">SUM(K8453)</f>
        <v>432</v>
      </c>
      <c r="L8454" s="765">
        <f>SUM(L8453)</f>
        <v>47.960639999999998</v>
      </c>
      <c r="M8454" s="549"/>
      <c r="N8454" s="549"/>
      <c r="O8454" s="549"/>
      <c r="P8454" s="549" t="s">
        <v>941</v>
      </c>
    </row>
    <row r="8455" spans="1:17" ht="17.399999999999999">
      <c r="A8455" s="549"/>
      <c r="B8455" s="549"/>
      <c r="C8455" s="549"/>
      <c r="D8455" s="549"/>
      <c r="E8455" s="549"/>
      <c r="F8455" s="549"/>
      <c r="G8455" s="549"/>
      <c r="H8455" s="549"/>
      <c r="I8455" s="558"/>
      <c r="J8455" s="549"/>
      <c r="K8455" s="561"/>
      <c r="L8455" s="560"/>
      <c r="M8455" s="549"/>
      <c r="N8455" s="549"/>
      <c r="O8455" s="549"/>
      <c r="P8455" s="549"/>
    </row>
    <row r="8456" spans="1:17" ht="17.399999999999999">
      <c r="A8456" s="547" t="s">
        <v>445</v>
      </c>
      <c r="B8456" s="547" t="s">
        <v>857</v>
      </c>
      <c r="C8456" s="547" t="s">
        <v>19</v>
      </c>
      <c r="D8456" s="547" t="s">
        <v>60</v>
      </c>
      <c r="E8456" s="650" t="s">
        <v>284</v>
      </c>
      <c r="F8456" s="1258">
        <v>12</v>
      </c>
      <c r="G8456" s="549" t="s">
        <v>61</v>
      </c>
      <c r="H8456" s="599" t="s">
        <v>134</v>
      </c>
      <c r="I8456" s="558">
        <v>12.2</v>
      </c>
      <c r="J8456" s="710">
        <v>9.3000000000000007</v>
      </c>
      <c r="K8456" s="648">
        <v>10</v>
      </c>
      <c r="L8456" s="552">
        <f>(I8456*J8456*K8456/1000)</f>
        <v>1.1346000000000001</v>
      </c>
      <c r="M8456" s="549"/>
      <c r="N8456" s="549"/>
      <c r="O8456" s="549"/>
      <c r="P8456" s="549"/>
      <c r="Q8456" s="497" t="s">
        <v>994</v>
      </c>
    </row>
    <row r="8457" spans="1:17" ht="17.399999999999999">
      <c r="A8457" s="549"/>
      <c r="B8457" s="549" t="s">
        <v>84</v>
      </c>
      <c r="C8457" s="549"/>
      <c r="D8457" s="549"/>
      <c r="E8457" s="549"/>
      <c r="F8457" s="549"/>
      <c r="G8457" s="549" t="s">
        <v>61</v>
      </c>
      <c r="H8457" s="549" t="s">
        <v>134</v>
      </c>
      <c r="I8457" s="558">
        <v>12.2</v>
      </c>
      <c r="J8457" s="710">
        <v>10.9</v>
      </c>
      <c r="K8457" s="648">
        <v>9</v>
      </c>
      <c r="L8457" s="552">
        <f>(I8457*J8457*K8457/1000)</f>
        <v>1.19682</v>
      </c>
      <c r="M8457" s="549"/>
      <c r="N8457" s="549"/>
      <c r="O8457" s="549"/>
      <c r="P8457" s="549"/>
    </row>
    <row r="8458" spans="1:17" ht="17.399999999999999">
      <c r="A8458" s="549"/>
      <c r="B8458" s="549"/>
      <c r="C8458" s="549"/>
      <c r="D8458" s="549"/>
      <c r="E8458" s="549"/>
      <c r="F8458" s="549"/>
      <c r="G8458" s="549"/>
      <c r="H8458" s="650"/>
      <c r="I8458" s="558"/>
      <c r="J8458" s="710"/>
      <c r="K8458" s="648">
        <f>SUM(K8456:K8457)</f>
        <v>19</v>
      </c>
      <c r="L8458" s="765">
        <f>SUM(L8456:L8457)</f>
        <v>2.33142</v>
      </c>
      <c r="M8458" s="549"/>
      <c r="N8458" s="549"/>
      <c r="O8458" s="549"/>
      <c r="P8458" s="549" t="s">
        <v>942</v>
      </c>
    </row>
    <row r="8459" spans="1:17" s="497" customFormat="1" ht="17.399999999999999">
      <c r="A8459" s="549"/>
      <c r="B8459" s="549"/>
      <c r="C8459" s="549"/>
      <c r="D8459" s="549"/>
      <c r="E8459" s="549"/>
      <c r="F8459" s="549"/>
      <c r="G8459" s="549"/>
      <c r="H8459" s="650"/>
      <c r="I8459" s="558"/>
      <c r="J8459" s="710"/>
      <c r="K8459" s="766">
        <f>SUM(K8453:K8458)/2</f>
        <v>451</v>
      </c>
      <c r="L8459" s="765">
        <f>SUM(L8453:L8458)/2</f>
        <v>50.292059999999999</v>
      </c>
      <c r="M8459" s="549"/>
      <c r="N8459" s="549"/>
      <c r="O8459" s="549"/>
      <c r="P8459" s="549"/>
    </row>
    <row r="8460" spans="1:17" s="497" customFormat="1" ht="17.399999999999999">
      <c r="A8460" s="549"/>
      <c r="B8460" s="549"/>
      <c r="C8460" s="549"/>
      <c r="D8460" s="549"/>
      <c r="E8460" s="549"/>
      <c r="F8460" s="549"/>
      <c r="G8460" s="549"/>
      <c r="H8460" s="650"/>
      <c r="I8460" s="558"/>
      <c r="J8460" s="710"/>
      <c r="K8460" s="766"/>
      <c r="L8460" s="765"/>
      <c r="M8460" s="549"/>
      <c r="N8460" s="549"/>
      <c r="O8460" s="549"/>
      <c r="P8460" s="549"/>
    </row>
    <row r="8461" spans="1:17" s="497" customFormat="1" ht="17.399999999999999">
      <c r="A8461" s="549"/>
      <c r="B8461" s="549"/>
      <c r="C8461" s="549"/>
      <c r="D8461" s="549"/>
      <c r="E8461" s="549"/>
      <c r="F8461" s="549"/>
      <c r="G8461" s="549"/>
      <c r="H8461" s="650"/>
      <c r="I8461" s="558"/>
      <c r="J8461" s="710"/>
      <c r="K8461" s="648"/>
      <c r="L8461" s="765"/>
      <c r="M8461" s="549"/>
      <c r="N8461" s="549"/>
      <c r="O8461" s="549"/>
      <c r="P8461" s="549"/>
    </row>
    <row r="8462" spans="1:17" ht="17.399999999999999">
      <c r="A8462" s="547" t="s">
        <v>445</v>
      </c>
      <c r="B8462" s="547" t="s">
        <v>845</v>
      </c>
      <c r="C8462" s="547" t="s">
        <v>19</v>
      </c>
      <c r="D8462" s="547" t="s">
        <v>60</v>
      </c>
      <c r="E8462" s="550" t="s">
        <v>821</v>
      </c>
      <c r="F8462" s="1258">
        <v>12</v>
      </c>
      <c r="G8462" s="549" t="s">
        <v>61</v>
      </c>
      <c r="H8462" s="599" t="s">
        <v>118</v>
      </c>
      <c r="I8462" s="558">
        <v>9.26</v>
      </c>
      <c r="J8462" s="710">
        <v>9.1999999999999993</v>
      </c>
      <c r="K8462" s="648">
        <v>222</v>
      </c>
      <c r="L8462" s="552">
        <f t="shared" ref="L8462:L8464" si="1749">(I8462*J8462*K8462/1000)</f>
        <v>18.912624000000001</v>
      </c>
      <c r="M8462" s="549"/>
      <c r="N8462" s="549"/>
      <c r="O8462" s="549"/>
      <c r="P8462" s="549"/>
      <c r="Q8462" s="497" t="s">
        <v>994</v>
      </c>
    </row>
    <row r="8463" spans="1:17" ht="17.399999999999999">
      <c r="A8463" s="549"/>
      <c r="B8463" s="549" t="s">
        <v>88</v>
      </c>
      <c r="C8463" s="549"/>
      <c r="D8463" s="549"/>
      <c r="E8463" s="549"/>
      <c r="F8463" s="549"/>
      <c r="G8463" s="549" t="s">
        <v>61</v>
      </c>
      <c r="H8463" s="549" t="s">
        <v>118</v>
      </c>
      <c r="I8463" s="558">
        <v>9.26</v>
      </c>
      <c r="J8463" s="710">
        <v>10.3</v>
      </c>
      <c r="K8463" s="648">
        <v>216</v>
      </c>
      <c r="L8463" s="552">
        <f t="shared" si="1749"/>
        <v>20.601648000000001</v>
      </c>
      <c r="M8463" s="549"/>
      <c r="N8463" s="549"/>
      <c r="O8463" s="549"/>
      <c r="P8463" s="549"/>
    </row>
    <row r="8464" spans="1:17" ht="17.399999999999999">
      <c r="A8464" s="549"/>
      <c r="B8464" s="549"/>
      <c r="C8464" s="549"/>
      <c r="D8464" s="549"/>
      <c r="E8464" s="549"/>
      <c r="F8464" s="549"/>
      <c r="G8464" s="549" t="s">
        <v>61</v>
      </c>
      <c r="H8464" s="549" t="s">
        <v>118</v>
      </c>
      <c r="I8464" s="558">
        <v>9.26</v>
      </c>
      <c r="J8464" s="710">
        <v>10.4</v>
      </c>
      <c r="K8464" s="648">
        <v>8</v>
      </c>
      <c r="L8464" s="552">
        <f t="shared" si="1749"/>
        <v>0.77043200000000001</v>
      </c>
      <c r="M8464" s="549"/>
      <c r="N8464" s="549"/>
      <c r="O8464" s="549"/>
      <c r="P8464" s="549"/>
    </row>
    <row r="8465" spans="1:17" ht="17.399999999999999">
      <c r="A8465" s="549"/>
      <c r="B8465" s="549"/>
      <c r="C8465" s="549"/>
      <c r="D8465" s="549"/>
      <c r="E8465" s="549"/>
      <c r="F8465" s="549"/>
      <c r="G8465" s="549"/>
      <c r="H8465" s="549"/>
      <c r="I8465" s="558"/>
      <c r="J8465" s="710"/>
      <c r="K8465" s="648">
        <f t="shared" ref="K8465:L8465" si="1750">SUM(K8462:K8464)</f>
        <v>446</v>
      </c>
      <c r="L8465" s="765">
        <f t="shared" si="1750"/>
        <v>40.284704000000005</v>
      </c>
      <c r="M8465" s="549"/>
      <c r="N8465" s="549"/>
      <c r="O8465" s="549"/>
      <c r="P8465" s="549" t="s">
        <v>943</v>
      </c>
    </row>
    <row r="8466" spans="1:17" ht="17.399999999999999">
      <c r="A8466" s="549"/>
      <c r="B8466" s="549"/>
      <c r="C8466" s="549"/>
      <c r="D8466" s="549"/>
      <c r="E8466" s="549"/>
      <c r="F8466" s="549"/>
      <c r="G8466" s="549"/>
      <c r="H8466" s="549"/>
      <c r="I8466" s="558"/>
      <c r="J8466" s="549"/>
      <c r="K8466" s="561"/>
      <c r="L8466" s="560"/>
      <c r="M8466" s="549"/>
      <c r="N8466" s="549"/>
      <c r="O8466" s="549"/>
      <c r="P8466" s="549"/>
    </row>
    <row r="8467" spans="1:17" ht="17.399999999999999">
      <c r="A8467" s="549"/>
      <c r="B8467" s="549"/>
      <c r="C8467" s="549"/>
      <c r="D8467" s="549"/>
      <c r="E8467" s="549"/>
      <c r="F8467" s="549"/>
      <c r="G8467" s="549"/>
      <c r="H8467" s="549"/>
      <c r="I8467" s="558"/>
      <c r="J8467" s="549"/>
      <c r="K8467" s="561"/>
      <c r="L8467" s="560"/>
      <c r="M8467" s="549"/>
      <c r="N8467" s="549"/>
      <c r="O8467" s="549"/>
      <c r="P8467" s="549"/>
    </row>
    <row r="8468" spans="1:17" ht="17.399999999999999">
      <c r="A8468" s="547" t="s">
        <v>495</v>
      </c>
      <c r="B8468" s="852" t="s">
        <v>593</v>
      </c>
      <c r="C8468" s="547" t="s">
        <v>19</v>
      </c>
      <c r="D8468" s="547" t="s">
        <v>60</v>
      </c>
      <c r="E8468" s="547" t="s">
        <v>270</v>
      </c>
      <c r="F8468" s="1258">
        <v>12</v>
      </c>
      <c r="G8468" s="549" t="s">
        <v>61</v>
      </c>
      <c r="H8468" s="599" t="s">
        <v>118</v>
      </c>
      <c r="I8468" s="558">
        <v>9.26</v>
      </c>
      <c r="J8468" s="567">
        <v>12</v>
      </c>
      <c r="K8468" s="648">
        <v>102</v>
      </c>
      <c r="L8468" s="552">
        <f>(I8468*J8468*K8468/1000)</f>
        <v>11.334239999999999</v>
      </c>
      <c r="M8468" s="549">
        <v>45</v>
      </c>
      <c r="N8468" s="567">
        <f>J8468*M8468*I8468/1000</f>
        <v>5.0004</v>
      </c>
      <c r="O8468" s="549" t="s">
        <v>938</v>
      </c>
      <c r="P8468" s="549"/>
      <c r="Q8468" s="497" t="s">
        <v>994</v>
      </c>
    </row>
    <row r="8469" spans="1:17" ht="17.399999999999999">
      <c r="A8469" s="549"/>
      <c r="B8469" s="1259" t="s">
        <v>277</v>
      </c>
      <c r="C8469" s="549"/>
      <c r="D8469" s="549"/>
      <c r="E8469" s="549"/>
      <c r="F8469" s="549"/>
      <c r="G8469" s="549"/>
      <c r="H8469" s="549"/>
      <c r="I8469" s="558"/>
      <c r="J8469" s="567"/>
      <c r="K8469" s="648">
        <f t="shared" ref="K8469:N8469" si="1751">SUM(K8468)</f>
        <v>102</v>
      </c>
      <c r="L8469" s="567">
        <f t="shared" si="1751"/>
        <v>11.334239999999999</v>
      </c>
      <c r="M8469" s="648">
        <f t="shared" si="1751"/>
        <v>45</v>
      </c>
      <c r="N8469" s="567">
        <f t="shared" si="1751"/>
        <v>5.0004</v>
      </c>
      <c r="O8469" s="549"/>
      <c r="P8469" s="549" t="s">
        <v>944</v>
      </c>
    </row>
    <row r="8470" spans="1:17" s="497" customFormat="1" ht="17.399999999999999">
      <c r="A8470" s="549"/>
      <c r="B8470" s="549"/>
      <c r="C8470" s="549"/>
      <c r="D8470" s="549"/>
      <c r="E8470" s="549"/>
      <c r="F8470" s="549"/>
      <c r="G8470" s="549"/>
      <c r="H8470" s="549"/>
      <c r="I8470" s="558"/>
      <c r="J8470" s="567"/>
      <c r="K8470" s="648"/>
      <c r="L8470" s="567"/>
      <c r="M8470" s="648"/>
      <c r="N8470" s="567"/>
      <c r="O8470" s="549"/>
      <c r="P8470" s="549"/>
    </row>
    <row r="8471" spans="1:17" ht="17.399999999999999">
      <c r="A8471" s="547" t="s">
        <v>445</v>
      </c>
      <c r="B8471" s="547" t="s">
        <v>857</v>
      </c>
      <c r="C8471" s="547" t="s">
        <v>19</v>
      </c>
      <c r="D8471" s="547" t="s">
        <v>60</v>
      </c>
      <c r="E8471" s="650" t="s">
        <v>284</v>
      </c>
      <c r="F8471" s="1258">
        <v>12</v>
      </c>
      <c r="G8471" s="549" t="s">
        <v>61</v>
      </c>
      <c r="H8471" s="599" t="s">
        <v>118</v>
      </c>
      <c r="I8471" s="558">
        <v>9.26</v>
      </c>
      <c r="J8471" s="710">
        <v>11.7</v>
      </c>
      <c r="K8471" s="648">
        <v>8</v>
      </c>
      <c r="L8471" s="552">
        <f>(I8471*J8471*K8471/1000)</f>
        <v>0.86673599999999984</v>
      </c>
      <c r="M8471" s="549"/>
      <c r="N8471" s="549"/>
      <c r="O8471" s="549"/>
      <c r="P8471" s="549"/>
      <c r="Q8471" s="497" t="s">
        <v>994</v>
      </c>
    </row>
    <row r="8472" spans="1:17" ht="17.399999999999999">
      <c r="A8472" s="549"/>
      <c r="B8472" s="549" t="s">
        <v>84</v>
      </c>
      <c r="C8472" s="549"/>
      <c r="D8472" s="549"/>
      <c r="E8472" s="549"/>
      <c r="F8472" s="549"/>
      <c r="G8472" s="549"/>
      <c r="H8472" s="650"/>
      <c r="I8472" s="558"/>
      <c r="J8472" s="710"/>
      <c r="K8472" s="648">
        <f t="shared" ref="K8472" si="1752">SUM(K8471)</f>
        <v>8</v>
      </c>
      <c r="L8472" s="765">
        <f>SUM(L8471)</f>
        <v>0.86673599999999984</v>
      </c>
      <c r="M8472" s="549"/>
      <c r="N8472" s="549"/>
      <c r="O8472" s="549"/>
      <c r="P8472" s="549" t="s">
        <v>945</v>
      </c>
    </row>
    <row r="8473" spans="1:17" ht="17.399999999999999">
      <c r="A8473" s="549"/>
      <c r="B8473" s="549"/>
      <c r="C8473" s="549"/>
      <c r="D8473" s="549"/>
      <c r="E8473" s="549"/>
      <c r="F8473" s="549"/>
      <c r="G8473" s="549"/>
      <c r="H8473" s="549"/>
      <c r="I8473" s="558"/>
      <c r="J8473" s="549"/>
      <c r="K8473" s="652">
        <f>SUM(K8462:K8472)/2</f>
        <v>556</v>
      </c>
      <c r="L8473" s="565">
        <f>SUM(L8462:L8472)/2</f>
        <v>52.485680000000002</v>
      </c>
      <c r="M8473" s="564">
        <f>SUM(M8462:M8472)/2</f>
        <v>45</v>
      </c>
      <c r="N8473" s="568">
        <f>SUM(N8462:N8472)/2</f>
        <v>5.0004</v>
      </c>
      <c r="O8473" s="549"/>
      <c r="P8473" s="549"/>
    </row>
    <row r="8474" spans="1:17" s="497" customFormat="1" ht="17.399999999999999">
      <c r="A8474" s="549"/>
      <c r="B8474" s="549"/>
      <c r="C8474" s="549"/>
      <c r="D8474" s="549"/>
      <c r="E8474" s="549"/>
      <c r="F8474" s="549"/>
      <c r="G8474" s="549"/>
      <c r="H8474" s="549"/>
      <c r="I8474" s="558"/>
      <c r="J8474" s="567"/>
      <c r="K8474" s="648"/>
      <c r="L8474" s="567"/>
      <c r="M8474" s="648"/>
      <c r="N8474" s="567"/>
      <c r="O8474" s="549"/>
      <c r="P8474" s="549"/>
    </row>
    <row r="8475" spans="1:17" s="497" customFormat="1" ht="17.399999999999999">
      <c r="A8475" s="549"/>
      <c r="B8475" s="549"/>
      <c r="C8475" s="549"/>
      <c r="D8475" s="549"/>
      <c r="E8475" s="549"/>
      <c r="F8475" s="549"/>
      <c r="G8475" s="549"/>
      <c r="H8475" s="549"/>
      <c r="I8475" s="558"/>
      <c r="J8475" s="567"/>
      <c r="K8475" s="648"/>
      <c r="L8475" s="567"/>
      <c r="M8475" s="648"/>
      <c r="N8475" s="567"/>
      <c r="O8475" s="549"/>
      <c r="P8475" s="549"/>
    </row>
    <row r="8476" spans="1:17" s="497" customFormat="1" ht="17.399999999999999">
      <c r="A8476" s="549"/>
      <c r="B8476" s="549"/>
      <c r="C8476" s="549"/>
      <c r="D8476" s="549"/>
      <c r="E8476" s="549"/>
      <c r="F8476" s="549"/>
      <c r="G8476" s="549"/>
      <c r="H8476" s="650"/>
      <c r="I8476" s="558"/>
      <c r="J8476" s="710"/>
      <c r="K8476" s="648"/>
      <c r="L8476" s="765"/>
      <c r="M8476" s="549"/>
      <c r="N8476" s="549"/>
      <c r="O8476" s="549"/>
      <c r="P8476" s="549"/>
    </row>
    <row r="8477" spans="1:17" ht="17.399999999999999">
      <c r="A8477" s="547" t="s">
        <v>445</v>
      </c>
      <c r="B8477" s="547" t="s">
        <v>857</v>
      </c>
      <c r="C8477" s="547" t="s">
        <v>19</v>
      </c>
      <c r="D8477" s="547" t="s">
        <v>60</v>
      </c>
      <c r="E8477" s="650" t="s">
        <v>284</v>
      </c>
      <c r="F8477" s="1258">
        <v>12</v>
      </c>
      <c r="G8477" s="549" t="s">
        <v>61</v>
      </c>
      <c r="H8477" s="599" t="s">
        <v>119</v>
      </c>
      <c r="I8477" s="558">
        <v>10.7</v>
      </c>
      <c r="J8477" s="710">
        <v>11.4</v>
      </c>
      <c r="K8477" s="648">
        <v>3</v>
      </c>
      <c r="L8477" s="552">
        <f>(I8477*J8477*K8477/1000)</f>
        <v>0.36593999999999993</v>
      </c>
      <c r="M8477" s="549">
        <v>3</v>
      </c>
      <c r="N8477" s="567">
        <f>J8477*M8477*I8477/1000</f>
        <v>0.36593999999999999</v>
      </c>
      <c r="O8477" s="549"/>
      <c r="P8477" s="549"/>
      <c r="Q8477" s="497" t="s">
        <v>994</v>
      </c>
    </row>
    <row r="8478" spans="1:17" ht="17.399999999999999">
      <c r="A8478" s="549"/>
      <c r="B8478" s="549" t="s">
        <v>84</v>
      </c>
      <c r="C8478" s="549"/>
      <c r="D8478" s="549"/>
      <c r="E8478" s="549"/>
      <c r="F8478" s="549"/>
      <c r="G8478" s="549"/>
      <c r="H8478" s="650"/>
      <c r="I8478" s="558"/>
      <c r="J8478" s="710"/>
      <c r="K8478" s="648">
        <f t="shared" ref="K8478:N8478" si="1753">SUM(K8477)</f>
        <v>3</v>
      </c>
      <c r="L8478" s="765">
        <f t="shared" si="1753"/>
        <v>0.36593999999999993</v>
      </c>
      <c r="M8478" s="648">
        <f t="shared" si="1753"/>
        <v>3</v>
      </c>
      <c r="N8478" s="765">
        <f t="shared" si="1753"/>
        <v>0.36593999999999999</v>
      </c>
      <c r="O8478" s="549"/>
      <c r="P8478" s="549"/>
    </row>
    <row r="8479" spans="1:17" s="497" customFormat="1" ht="17.399999999999999">
      <c r="A8479" s="549"/>
      <c r="B8479" s="549"/>
      <c r="C8479" s="549"/>
      <c r="D8479" s="549"/>
      <c r="E8479" s="549"/>
      <c r="F8479" s="549"/>
      <c r="G8479" s="549"/>
      <c r="H8479" s="650"/>
      <c r="I8479" s="558"/>
      <c r="J8479" s="710"/>
      <c r="K8479" s="648"/>
      <c r="L8479" s="765"/>
      <c r="M8479" s="648"/>
      <c r="N8479" s="765"/>
      <c r="O8479" s="549"/>
      <c r="P8479" s="549"/>
    </row>
    <row r="8480" spans="1:17" ht="17.399999999999999">
      <c r="A8480" s="549"/>
      <c r="B8480" s="549"/>
      <c r="C8480" s="549"/>
      <c r="D8480" s="549"/>
      <c r="E8480" s="549"/>
      <c r="F8480" s="549"/>
      <c r="G8480" s="549"/>
      <c r="H8480" s="549"/>
      <c r="I8480" s="558"/>
      <c r="J8480" s="549"/>
      <c r="K8480" s="561"/>
      <c r="L8480" s="560"/>
      <c r="M8480" s="549"/>
      <c r="N8480" s="549"/>
      <c r="O8480" s="549"/>
      <c r="P8480" s="549"/>
    </row>
    <row r="8481" spans="1:17" ht="17.399999999999999">
      <c r="A8481" s="547" t="s">
        <v>445</v>
      </c>
      <c r="B8481" s="547" t="s">
        <v>939</v>
      </c>
      <c r="C8481" s="547" t="s">
        <v>446</v>
      </c>
      <c r="D8481" s="813" t="s">
        <v>450</v>
      </c>
      <c r="E8481" s="547" t="s">
        <v>270</v>
      </c>
      <c r="F8481" s="1258">
        <v>8.5</v>
      </c>
      <c r="G8481" s="549" t="s">
        <v>61</v>
      </c>
      <c r="H8481" s="599" t="s">
        <v>118</v>
      </c>
      <c r="I8481" s="558">
        <v>9.26</v>
      </c>
      <c r="J8481" s="567">
        <v>9.1999999999999993</v>
      </c>
      <c r="K8481" s="848">
        <v>76</v>
      </c>
      <c r="L8481" s="552">
        <f t="shared" ref="L8481:L8482" si="1754">(I8481*J8481*K8481/1000)</f>
        <v>6.4745919999999995</v>
      </c>
      <c r="M8481" s="549"/>
      <c r="N8481" s="549"/>
      <c r="O8481" s="549"/>
      <c r="P8481" s="549"/>
      <c r="Q8481" s="497" t="s">
        <v>994</v>
      </c>
    </row>
    <row r="8482" spans="1:17" ht="17.399999999999999">
      <c r="A8482" s="550"/>
      <c r="B8482" s="550"/>
      <c r="C8482" s="550"/>
      <c r="D8482" s="550"/>
      <c r="E8482" s="1258"/>
      <c r="F8482" s="550"/>
      <c r="G8482" s="549" t="s">
        <v>61</v>
      </c>
      <c r="H8482" s="549" t="s">
        <v>118</v>
      </c>
      <c r="I8482" s="558">
        <v>9.26</v>
      </c>
      <c r="J8482" s="567">
        <v>10.9</v>
      </c>
      <c r="K8482" s="848">
        <v>76</v>
      </c>
      <c r="L8482" s="552">
        <f t="shared" si="1754"/>
        <v>7.6709839999999998</v>
      </c>
      <c r="M8482" s="549"/>
      <c r="N8482" s="549"/>
      <c r="O8482" s="549"/>
      <c r="P8482" s="549"/>
    </row>
    <row r="8483" spans="1:17" ht="17.399999999999999">
      <c r="A8483" s="549"/>
      <c r="B8483" s="549"/>
      <c r="C8483" s="549"/>
      <c r="D8483" s="549"/>
      <c r="E8483" s="549"/>
      <c r="F8483" s="549"/>
      <c r="G8483" s="549"/>
      <c r="H8483" s="549"/>
      <c r="I8483" s="558"/>
      <c r="J8483" s="567"/>
      <c r="K8483" s="648">
        <f>SUM(K8481:K8482)</f>
        <v>152</v>
      </c>
      <c r="L8483" s="567">
        <f>SUM(L8481:L8482)</f>
        <v>14.145575999999998</v>
      </c>
      <c r="M8483" s="549"/>
      <c r="N8483" s="549"/>
      <c r="O8483" s="549"/>
      <c r="P8483" s="549"/>
    </row>
    <row r="8484" spans="1:17" ht="17.399999999999999">
      <c r="A8484" s="549"/>
      <c r="B8484" s="549"/>
      <c r="C8484" s="549"/>
      <c r="D8484" s="549"/>
      <c r="E8484" s="549"/>
      <c r="F8484" s="549"/>
      <c r="G8484" s="549"/>
      <c r="H8484" s="549"/>
      <c r="I8484" s="558"/>
      <c r="J8484" s="549"/>
      <c r="K8484" s="561"/>
      <c r="L8484" s="560"/>
      <c r="M8484" s="549"/>
      <c r="N8484" s="549"/>
      <c r="O8484" s="549"/>
      <c r="P8484" s="549"/>
    </row>
    <row r="8485" spans="1:17" ht="17.399999999999999">
      <c r="A8485" s="549"/>
      <c r="B8485" s="549"/>
      <c r="C8485" s="549"/>
      <c r="D8485" s="549"/>
      <c r="E8485" s="549"/>
      <c r="F8485" s="549"/>
      <c r="G8485" s="549"/>
      <c r="H8485" s="549"/>
      <c r="I8485" s="558"/>
      <c r="J8485" s="549"/>
      <c r="K8485" s="561"/>
      <c r="L8485" s="560"/>
      <c r="M8485" s="549"/>
      <c r="N8485" s="549"/>
      <c r="O8485" s="549"/>
      <c r="P8485" s="549"/>
    </row>
    <row r="8486" spans="1:17" ht="17.399999999999999">
      <c r="A8486" s="547" t="s">
        <v>495</v>
      </c>
      <c r="B8486" s="852" t="s">
        <v>940</v>
      </c>
      <c r="C8486" s="547" t="s">
        <v>446</v>
      </c>
      <c r="D8486" s="813" t="s">
        <v>450</v>
      </c>
      <c r="E8486" s="547" t="s">
        <v>270</v>
      </c>
      <c r="F8486" s="1258">
        <v>8.5</v>
      </c>
      <c r="G8486" s="549" t="s">
        <v>61</v>
      </c>
      <c r="H8486" s="599" t="s">
        <v>118</v>
      </c>
      <c r="I8486" s="558">
        <v>9.26</v>
      </c>
      <c r="J8486" s="567">
        <v>6</v>
      </c>
      <c r="K8486" s="648">
        <v>3</v>
      </c>
      <c r="L8486" s="552">
        <f>(I8486*J8486*K8486/1000)</f>
        <v>0.16667999999999999</v>
      </c>
      <c r="M8486" s="549"/>
      <c r="N8486" s="549"/>
      <c r="O8486" s="549"/>
      <c r="P8486" s="549"/>
      <c r="Q8486" s="497" t="s">
        <v>994</v>
      </c>
    </row>
    <row r="8487" spans="1:17" ht="17.399999999999999">
      <c r="A8487" s="550"/>
      <c r="B8487" s="550"/>
      <c r="C8487" s="550"/>
      <c r="D8487" s="550"/>
      <c r="E8487" s="1258"/>
      <c r="F8487" s="550"/>
      <c r="G8487" s="549" t="s">
        <v>61</v>
      </c>
      <c r="H8487" s="549" t="s">
        <v>118</v>
      </c>
      <c r="I8487" s="558">
        <v>9.26</v>
      </c>
      <c r="J8487" s="567">
        <v>0</v>
      </c>
      <c r="K8487" s="648">
        <v>3</v>
      </c>
      <c r="L8487" s="552">
        <f>(I8487*J8487*K8487/1000)</f>
        <v>0</v>
      </c>
      <c r="M8487" s="549"/>
      <c r="N8487" s="549"/>
      <c r="O8487" s="549"/>
      <c r="P8487" s="549"/>
    </row>
    <row r="8488" spans="1:17" ht="17.399999999999999">
      <c r="A8488" s="549"/>
      <c r="B8488" s="549"/>
      <c r="C8488" s="549"/>
      <c r="D8488" s="549"/>
      <c r="E8488" s="549"/>
      <c r="F8488" s="549"/>
      <c r="G8488" s="549" t="s">
        <v>61</v>
      </c>
      <c r="H8488" s="549" t="s">
        <v>118</v>
      </c>
      <c r="I8488" s="558">
        <v>9.26</v>
      </c>
      <c r="J8488" s="567">
        <v>9.75</v>
      </c>
      <c r="K8488" s="648">
        <v>7</v>
      </c>
      <c r="L8488" s="552">
        <f>(I8488*J8488*K8488/1000)</f>
        <v>0.63199499999999997</v>
      </c>
      <c r="M8488" s="549"/>
      <c r="N8488" s="549"/>
      <c r="O8488" s="549"/>
      <c r="P8488" s="549"/>
    </row>
    <row r="8489" spans="1:17" ht="17.399999999999999">
      <c r="A8489" s="549"/>
      <c r="B8489" s="549"/>
      <c r="C8489" s="549"/>
      <c r="D8489" s="549"/>
      <c r="E8489" s="549"/>
      <c r="F8489" s="549"/>
      <c r="G8489" s="549" t="s">
        <v>61</v>
      </c>
      <c r="H8489" s="549" t="s">
        <v>118</v>
      </c>
      <c r="I8489" s="558">
        <v>9.26</v>
      </c>
      <c r="J8489" s="567">
        <v>12</v>
      </c>
      <c r="K8489" s="648">
        <v>28</v>
      </c>
      <c r="L8489" s="552">
        <f>(I8489*J8489*K8489/1000)</f>
        <v>3.1113600000000003</v>
      </c>
      <c r="M8489" s="549"/>
      <c r="N8489" s="549"/>
      <c r="O8489" s="549"/>
      <c r="P8489" s="549"/>
    </row>
    <row r="8490" spans="1:17" ht="17.399999999999999">
      <c r="A8490" s="549"/>
      <c r="B8490" s="549"/>
      <c r="C8490" s="549"/>
      <c r="D8490" s="549"/>
      <c r="E8490" s="549"/>
      <c r="F8490" s="549"/>
      <c r="G8490" s="549"/>
      <c r="H8490" s="549"/>
      <c r="I8490" s="558"/>
      <c r="J8490" s="567"/>
      <c r="K8490" s="648">
        <f t="shared" ref="K8490:L8490" si="1755">SUM(K8486:K8489)</f>
        <v>41</v>
      </c>
      <c r="L8490" s="567">
        <f t="shared" si="1755"/>
        <v>3.9100350000000006</v>
      </c>
      <c r="M8490" s="549"/>
      <c r="N8490" s="549"/>
      <c r="O8490" s="549"/>
      <c r="P8490" s="549"/>
    </row>
    <row r="8491" spans="1:17" ht="17.399999999999999">
      <c r="A8491" s="549"/>
      <c r="B8491" s="549"/>
      <c r="C8491" s="549"/>
      <c r="D8491" s="549"/>
      <c r="E8491" s="549"/>
      <c r="F8491" s="549"/>
      <c r="G8491" s="549"/>
      <c r="H8491" s="549"/>
      <c r="I8491" s="558"/>
      <c r="J8491" s="549"/>
      <c r="K8491" s="561"/>
      <c r="L8491" s="560"/>
      <c r="M8491" s="549"/>
      <c r="N8491" s="549"/>
      <c r="O8491" s="549"/>
      <c r="P8491" s="549"/>
    </row>
    <row r="8492" spans="1:17" ht="17.399999999999999">
      <c r="A8492" s="549"/>
      <c r="B8492" s="549"/>
      <c r="C8492" s="549"/>
      <c r="D8492" s="549"/>
      <c r="E8492" s="549"/>
      <c r="F8492" s="549"/>
      <c r="G8492" s="549"/>
      <c r="H8492" s="549"/>
      <c r="I8492" s="558"/>
      <c r="J8492" s="549"/>
      <c r="K8492" s="561"/>
      <c r="L8492" s="560"/>
      <c r="M8492" s="549"/>
      <c r="N8492" s="549"/>
      <c r="O8492" s="549"/>
      <c r="P8492" s="549"/>
    </row>
    <row r="8493" spans="1:17" ht="17.399999999999999">
      <c r="A8493" s="547" t="s">
        <v>495</v>
      </c>
      <c r="B8493" s="852" t="s">
        <v>859</v>
      </c>
      <c r="C8493" s="547" t="s">
        <v>446</v>
      </c>
      <c r="D8493" s="813" t="s">
        <v>450</v>
      </c>
      <c r="E8493" s="547" t="s">
        <v>270</v>
      </c>
      <c r="F8493" s="1258">
        <v>8.5</v>
      </c>
      <c r="G8493" s="549" t="s">
        <v>61</v>
      </c>
      <c r="H8493" s="599" t="s">
        <v>118</v>
      </c>
      <c r="I8493" s="558">
        <v>9.26</v>
      </c>
      <c r="J8493" s="567">
        <v>7.6</v>
      </c>
      <c r="K8493" s="648">
        <v>10</v>
      </c>
      <c r="L8493" s="552">
        <f t="shared" ref="L8493:L8496" si="1756">(I8493*J8493*K8493/1000)</f>
        <v>0.70375999999999983</v>
      </c>
      <c r="M8493" s="549"/>
      <c r="N8493" s="549"/>
      <c r="O8493" s="549"/>
      <c r="P8493" s="549"/>
      <c r="Q8493" s="497" t="s">
        <v>994</v>
      </c>
    </row>
    <row r="8494" spans="1:17" ht="17.399999999999999">
      <c r="A8494" s="550"/>
      <c r="B8494" s="550"/>
      <c r="C8494" s="550"/>
      <c r="D8494" s="550"/>
      <c r="E8494" s="1258"/>
      <c r="F8494" s="550"/>
      <c r="G8494" s="549" t="s">
        <v>61</v>
      </c>
      <c r="H8494" s="549" t="s">
        <v>118</v>
      </c>
      <c r="I8494" s="558">
        <v>9.26</v>
      </c>
      <c r="J8494" s="567">
        <v>9.1999999999999993</v>
      </c>
      <c r="K8494" s="648">
        <v>1</v>
      </c>
      <c r="L8494" s="552">
        <f t="shared" si="1756"/>
        <v>8.519199999999999E-2</v>
      </c>
      <c r="M8494" s="549"/>
      <c r="N8494" s="549"/>
      <c r="O8494" s="549"/>
      <c r="P8494" s="549"/>
    </row>
    <row r="8495" spans="1:17" ht="17.399999999999999">
      <c r="A8495" s="549"/>
      <c r="B8495" s="549"/>
      <c r="C8495" s="549"/>
      <c r="D8495" s="549"/>
      <c r="E8495" s="549"/>
      <c r="F8495" s="549"/>
      <c r="G8495" s="549" t="s">
        <v>61</v>
      </c>
      <c r="H8495" s="549" t="s">
        <v>118</v>
      </c>
      <c r="I8495" s="558">
        <v>9.26</v>
      </c>
      <c r="J8495" s="567">
        <v>9.75</v>
      </c>
      <c r="K8495" s="648">
        <v>59</v>
      </c>
      <c r="L8495" s="552">
        <f t="shared" si="1756"/>
        <v>5.3268149999999999</v>
      </c>
      <c r="M8495" s="549"/>
      <c r="N8495" s="549"/>
      <c r="O8495" s="549"/>
      <c r="P8495" s="549"/>
    </row>
    <row r="8496" spans="1:17" ht="17.399999999999999">
      <c r="A8496" s="549"/>
      <c r="B8496" s="549"/>
      <c r="C8496" s="549"/>
      <c r="D8496" s="549"/>
      <c r="E8496" s="549"/>
      <c r="F8496" s="549"/>
      <c r="G8496" s="549" t="s">
        <v>61</v>
      </c>
      <c r="H8496" s="549" t="s">
        <v>118</v>
      </c>
      <c r="I8496" s="558">
        <v>9.26</v>
      </c>
      <c r="J8496" s="567">
        <v>12</v>
      </c>
      <c r="K8496" s="648">
        <v>28</v>
      </c>
      <c r="L8496" s="552">
        <f t="shared" si="1756"/>
        <v>3.1113600000000003</v>
      </c>
      <c r="M8496" s="549"/>
      <c r="N8496" s="549"/>
      <c r="O8496" s="549"/>
      <c r="P8496" s="549"/>
    </row>
    <row r="8497" spans="1:17" ht="17.399999999999999">
      <c r="A8497" s="549"/>
      <c r="B8497" s="549"/>
      <c r="C8497" s="549"/>
      <c r="D8497" s="549"/>
      <c r="E8497" s="549"/>
      <c r="F8497" s="549"/>
      <c r="G8497" s="549"/>
      <c r="H8497" s="549"/>
      <c r="I8497" s="558"/>
      <c r="J8497" s="567"/>
      <c r="K8497" s="648">
        <f t="shared" ref="K8497:L8497" si="1757">SUM(K8493:K8496)</f>
        <v>98</v>
      </c>
      <c r="L8497" s="567">
        <f t="shared" si="1757"/>
        <v>9.2271269999999994</v>
      </c>
      <c r="M8497" s="549"/>
      <c r="N8497" s="549"/>
      <c r="O8497" s="549"/>
      <c r="P8497" s="549"/>
    </row>
    <row r="8498" spans="1:17" ht="17.399999999999999">
      <c r="A8498" s="549"/>
      <c r="B8498" s="549"/>
      <c r="C8498" s="549"/>
      <c r="D8498" s="549"/>
      <c r="E8498" s="549"/>
      <c r="F8498" s="549"/>
      <c r="G8498" s="549"/>
      <c r="H8498" s="549"/>
      <c r="I8498" s="558"/>
      <c r="J8498" s="549"/>
      <c r="K8498" s="561"/>
      <c r="L8498" s="560"/>
      <c r="M8498" s="549"/>
      <c r="N8498" s="549"/>
      <c r="O8498" s="549"/>
      <c r="P8498" s="549"/>
    </row>
    <row r="8499" spans="1:17" ht="17.399999999999999">
      <c r="A8499" s="549"/>
      <c r="B8499" s="549"/>
      <c r="C8499" s="549"/>
      <c r="D8499" s="549"/>
      <c r="E8499" s="549"/>
      <c r="F8499" s="549"/>
      <c r="G8499" s="549"/>
      <c r="H8499" s="549"/>
      <c r="I8499" s="558"/>
      <c r="J8499" s="549"/>
      <c r="K8499" s="561"/>
      <c r="L8499" s="560"/>
      <c r="M8499" s="549"/>
      <c r="N8499" s="549"/>
      <c r="O8499" s="549"/>
      <c r="P8499" s="549"/>
    </row>
    <row r="8500" spans="1:17" ht="17.399999999999999">
      <c r="A8500" s="547" t="s">
        <v>495</v>
      </c>
      <c r="B8500" s="852" t="s">
        <v>862</v>
      </c>
      <c r="C8500" s="547" t="s">
        <v>446</v>
      </c>
      <c r="D8500" s="813" t="s">
        <v>450</v>
      </c>
      <c r="E8500" s="547" t="s">
        <v>270</v>
      </c>
      <c r="F8500" s="1258">
        <v>8.5</v>
      </c>
      <c r="G8500" s="549" t="s">
        <v>61</v>
      </c>
      <c r="H8500" s="599" t="s">
        <v>118</v>
      </c>
      <c r="I8500" s="558">
        <v>9.26</v>
      </c>
      <c r="J8500" s="567">
        <v>9.1999999999999993</v>
      </c>
      <c r="K8500" s="848">
        <v>1</v>
      </c>
      <c r="L8500" s="552">
        <f t="shared" ref="L8500:L8504" si="1758">(I8500*J8500*K8500/1000)</f>
        <v>8.519199999999999E-2</v>
      </c>
      <c r="M8500" s="549"/>
      <c r="N8500" s="549"/>
      <c r="O8500" s="549"/>
      <c r="P8500" s="549"/>
      <c r="Q8500" s="497" t="s">
        <v>994</v>
      </c>
    </row>
    <row r="8501" spans="1:17" ht="17.399999999999999">
      <c r="A8501" s="550"/>
      <c r="B8501" s="550"/>
      <c r="C8501" s="550"/>
      <c r="D8501" s="550"/>
      <c r="E8501" s="1258"/>
      <c r="F8501" s="550"/>
      <c r="G8501" s="549" t="s">
        <v>61</v>
      </c>
      <c r="H8501" s="549" t="s">
        <v>118</v>
      </c>
      <c r="I8501" s="558">
        <v>9.26</v>
      </c>
      <c r="J8501" s="567">
        <v>9.75</v>
      </c>
      <c r="K8501" s="848">
        <v>26</v>
      </c>
      <c r="L8501" s="552">
        <f t="shared" si="1758"/>
        <v>2.34741</v>
      </c>
      <c r="M8501" s="549"/>
      <c r="N8501" s="549"/>
      <c r="O8501" s="549"/>
      <c r="P8501" s="549"/>
    </row>
    <row r="8502" spans="1:17" ht="17.399999999999999">
      <c r="A8502" s="549"/>
      <c r="B8502" s="549"/>
      <c r="C8502" s="549"/>
      <c r="D8502" s="549"/>
      <c r="E8502" s="549"/>
      <c r="F8502" s="549"/>
      <c r="G8502" s="549" t="s">
        <v>61</v>
      </c>
      <c r="H8502" s="549" t="s">
        <v>118</v>
      </c>
      <c r="I8502" s="558">
        <v>9.26</v>
      </c>
      <c r="J8502" s="567">
        <v>10.9</v>
      </c>
      <c r="K8502" s="848">
        <v>26</v>
      </c>
      <c r="L8502" s="552">
        <f t="shared" si="1758"/>
        <v>2.6242840000000003</v>
      </c>
      <c r="M8502" s="549"/>
      <c r="N8502" s="549"/>
      <c r="O8502" s="549"/>
      <c r="P8502" s="549"/>
    </row>
    <row r="8503" spans="1:17" ht="17.399999999999999">
      <c r="A8503" s="549"/>
      <c r="B8503" s="549"/>
      <c r="C8503" s="549"/>
      <c r="D8503" s="549"/>
      <c r="E8503" s="549"/>
      <c r="F8503" s="549"/>
      <c r="G8503" s="549" t="s">
        <v>61</v>
      </c>
      <c r="H8503" s="549" t="s">
        <v>118</v>
      </c>
      <c r="I8503" s="558">
        <v>9.26</v>
      </c>
      <c r="J8503" s="567">
        <v>11.5</v>
      </c>
      <c r="K8503" s="848">
        <v>13</v>
      </c>
      <c r="L8503" s="552">
        <f t="shared" si="1758"/>
        <v>1.3843699999999999</v>
      </c>
      <c r="M8503" s="549"/>
      <c r="N8503" s="549"/>
      <c r="O8503" s="549"/>
      <c r="P8503" s="549"/>
    </row>
    <row r="8504" spans="1:17" ht="17.399999999999999">
      <c r="A8504" s="549"/>
      <c r="B8504" s="549"/>
      <c r="C8504" s="549"/>
      <c r="D8504" s="549"/>
      <c r="E8504" s="549"/>
      <c r="F8504" s="549"/>
      <c r="G8504" s="549" t="s">
        <v>61</v>
      </c>
      <c r="H8504" s="549" t="s">
        <v>118</v>
      </c>
      <c r="I8504" s="558">
        <v>9.26</v>
      </c>
      <c r="J8504" s="567">
        <v>12</v>
      </c>
      <c r="K8504" s="848">
        <v>12</v>
      </c>
      <c r="L8504" s="552">
        <f t="shared" si="1758"/>
        <v>1.33344</v>
      </c>
      <c r="M8504" s="549"/>
      <c r="N8504" s="549"/>
      <c r="O8504" s="549"/>
      <c r="P8504" s="549"/>
    </row>
    <row r="8505" spans="1:17" ht="17.399999999999999">
      <c r="A8505" s="549"/>
      <c r="B8505" s="549"/>
      <c r="C8505" s="549"/>
      <c r="D8505" s="549"/>
      <c r="E8505" s="549"/>
      <c r="F8505" s="549"/>
      <c r="G8505" s="549"/>
      <c r="H8505" s="549"/>
      <c r="I8505" s="558"/>
      <c r="J8505" s="567"/>
      <c r="K8505" s="648">
        <f t="shared" ref="K8505:L8505" si="1759">SUM(K8500:K8504)</f>
        <v>78</v>
      </c>
      <c r="L8505" s="567">
        <f t="shared" si="1759"/>
        <v>7.7746960000000005</v>
      </c>
      <c r="M8505" s="549"/>
      <c r="N8505" s="549"/>
      <c r="O8505" s="549"/>
      <c r="P8505" s="549"/>
    </row>
    <row r="8506" spans="1:17" ht="17.399999999999999">
      <c r="A8506" s="549"/>
      <c r="B8506" s="549"/>
      <c r="C8506" s="549"/>
      <c r="D8506" s="549"/>
      <c r="E8506" s="549"/>
      <c r="F8506" s="549"/>
      <c r="G8506" s="549"/>
      <c r="H8506" s="549"/>
      <c r="I8506" s="558"/>
      <c r="J8506" s="549"/>
      <c r="K8506" s="652">
        <f>SUM(K8481:K8505)/2</f>
        <v>369</v>
      </c>
      <c r="L8506" s="565">
        <f>SUM(L8481:L8505)/2</f>
        <v>35.057434000000008</v>
      </c>
      <c r="M8506" s="549"/>
      <c r="N8506" s="549"/>
      <c r="O8506" s="549"/>
      <c r="P8506" s="549" t="s">
        <v>946</v>
      </c>
    </row>
    <row r="8507" spans="1:17" s="497" customFormat="1" ht="17.399999999999999">
      <c r="A8507" s="549"/>
      <c r="B8507" s="549"/>
      <c r="C8507" s="549"/>
      <c r="D8507" s="549"/>
      <c r="E8507" s="549"/>
      <c r="F8507" s="549"/>
      <c r="G8507" s="549"/>
      <c r="H8507" s="549"/>
      <c r="I8507" s="558"/>
      <c r="J8507" s="549"/>
      <c r="K8507" s="561"/>
      <c r="L8507" s="560"/>
      <c r="M8507" s="549"/>
      <c r="N8507" s="549"/>
      <c r="O8507" s="549"/>
      <c r="P8507" s="549"/>
    </row>
    <row r="8508" spans="1:17" ht="17.399999999999999">
      <c r="A8508" s="549"/>
      <c r="B8508" s="549"/>
      <c r="C8508" s="549"/>
      <c r="D8508" s="549"/>
      <c r="E8508" s="549"/>
      <c r="F8508" s="549"/>
      <c r="G8508" s="549"/>
      <c r="H8508" s="549"/>
      <c r="I8508" s="558"/>
      <c r="J8508" s="549"/>
      <c r="K8508" s="561"/>
      <c r="L8508" s="560"/>
      <c r="M8508" s="549"/>
      <c r="N8508" s="549"/>
      <c r="O8508" s="549"/>
      <c r="P8508" s="549"/>
    </row>
    <row r="8509" spans="1:17" ht="17.399999999999999">
      <c r="A8509" s="547" t="s">
        <v>445</v>
      </c>
      <c r="B8509" s="547" t="s">
        <v>845</v>
      </c>
      <c r="C8509" s="547" t="s">
        <v>19</v>
      </c>
      <c r="D8509" s="547" t="s">
        <v>20</v>
      </c>
      <c r="E8509" s="550" t="s">
        <v>367</v>
      </c>
      <c r="F8509" s="1258">
        <v>12</v>
      </c>
      <c r="G8509" s="549" t="s">
        <v>21</v>
      </c>
      <c r="H8509" s="599" t="s">
        <v>118</v>
      </c>
      <c r="I8509" s="558">
        <v>9.26</v>
      </c>
      <c r="J8509" s="710">
        <v>10.9</v>
      </c>
      <c r="K8509" s="648">
        <v>8</v>
      </c>
      <c r="L8509" s="552">
        <f>(I8509*J8509*K8509/1000)</f>
        <v>0.80747199999999997</v>
      </c>
      <c r="M8509" s="549"/>
      <c r="N8509" s="549"/>
      <c r="O8509" s="549"/>
      <c r="P8509" s="549"/>
      <c r="Q8509" s="497" t="s">
        <v>994</v>
      </c>
    </row>
    <row r="8510" spans="1:17" ht="17.399999999999999">
      <c r="A8510" s="549"/>
      <c r="B8510" s="549" t="s">
        <v>88</v>
      </c>
      <c r="C8510" s="549"/>
      <c r="D8510" s="549"/>
      <c r="E8510" s="549"/>
      <c r="F8510" s="549"/>
      <c r="G8510" s="549"/>
      <c r="H8510" s="549"/>
      <c r="I8510" s="558"/>
      <c r="J8510" s="710"/>
      <c r="K8510" s="648">
        <f t="shared" ref="K8510:L8510" si="1760">SUM(K8509)</f>
        <v>8</v>
      </c>
      <c r="L8510" s="765">
        <f t="shared" si="1760"/>
        <v>0.80747199999999997</v>
      </c>
      <c r="M8510" s="549"/>
      <c r="N8510" s="549"/>
      <c r="O8510" s="549"/>
      <c r="P8510" s="549" t="s">
        <v>947</v>
      </c>
    </row>
    <row r="8511" spans="1:17" ht="17.399999999999999">
      <c r="A8511" s="549"/>
      <c r="B8511" s="549"/>
      <c r="C8511" s="549"/>
      <c r="D8511" s="549"/>
      <c r="E8511" s="549"/>
      <c r="F8511" s="549"/>
      <c r="G8511" s="549"/>
      <c r="H8511" s="549"/>
      <c r="I8511" s="558"/>
      <c r="J8511" s="549"/>
      <c r="K8511" s="561"/>
      <c r="L8511" s="560"/>
      <c r="M8511" s="549"/>
      <c r="N8511" s="549"/>
      <c r="O8511" s="549"/>
      <c r="P8511" s="549"/>
    </row>
    <row r="8512" spans="1:17" ht="17.399999999999999">
      <c r="A8512" s="547" t="s">
        <v>445</v>
      </c>
      <c r="B8512" s="547" t="s">
        <v>857</v>
      </c>
      <c r="C8512" s="547" t="s">
        <v>19</v>
      </c>
      <c r="D8512" s="547" t="s">
        <v>20</v>
      </c>
      <c r="E8512" s="650" t="s">
        <v>878</v>
      </c>
      <c r="F8512" s="1258">
        <v>12</v>
      </c>
      <c r="G8512" s="549" t="s">
        <v>21</v>
      </c>
      <c r="H8512" s="599" t="s">
        <v>118</v>
      </c>
      <c r="I8512" s="558">
        <v>9.26</v>
      </c>
      <c r="J8512" s="710">
        <v>11.2</v>
      </c>
      <c r="K8512" s="648">
        <v>22</v>
      </c>
      <c r="L8512" s="552">
        <f>(I8512*J8512*K8512/1000)</f>
        <v>2.2816639999999997</v>
      </c>
      <c r="M8512" s="549"/>
      <c r="N8512" s="549"/>
      <c r="O8512" s="549"/>
      <c r="P8512" s="549"/>
      <c r="Q8512" s="497" t="s">
        <v>994</v>
      </c>
    </row>
    <row r="8513" spans="1:17" ht="17.399999999999999">
      <c r="A8513" s="549"/>
      <c r="B8513" s="549" t="s">
        <v>84</v>
      </c>
      <c r="C8513" s="549"/>
      <c r="D8513" s="549"/>
      <c r="E8513" s="549"/>
      <c r="F8513" s="549"/>
      <c r="G8513" s="549" t="s">
        <v>21</v>
      </c>
      <c r="H8513" s="549" t="s">
        <v>118</v>
      </c>
      <c r="I8513" s="558">
        <v>9.26</v>
      </c>
      <c r="J8513" s="710">
        <v>12</v>
      </c>
      <c r="K8513" s="648">
        <v>12</v>
      </c>
      <c r="L8513" s="552">
        <f>(I8513*J8513*K8513/1000)</f>
        <v>1.33344</v>
      </c>
      <c r="M8513" s="549"/>
      <c r="N8513" s="549"/>
      <c r="O8513" s="549"/>
      <c r="P8513" s="549"/>
    </row>
    <row r="8514" spans="1:17" ht="17.399999999999999">
      <c r="A8514" s="549"/>
      <c r="B8514" s="549"/>
      <c r="C8514" s="549"/>
      <c r="D8514" s="549"/>
      <c r="E8514" s="549"/>
      <c r="F8514" s="549"/>
      <c r="G8514" s="549"/>
      <c r="H8514" s="650"/>
      <c r="I8514" s="558"/>
      <c r="J8514" s="710"/>
      <c r="K8514" s="648">
        <f t="shared" ref="K8514" si="1761">SUM(K8512:K8513)</f>
        <v>34</v>
      </c>
      <c r="L8514" s="765">
        <f>SUM(L8512:L8513)</f>
        <v>3.6151039999999997</v>
      </c>
      <c r="M8514" s="549"/>
      <c r="N8514" s="549"/>
      <c r="O8514" s="549"/>
      <c r="P8514" s="549" t="s">
        <v>948</v>
      </c>
    </row>
    <row r="8515" spans="1:17" s="497" customFormat="1" ht="17.399999999999999">
      <c r="A8515" s="549"/>
      <c r="B8515" s="549"/>
      <c r="C8515" s="549"/>
      <c r="D8515" s="549"/>
      <c r="E8515" s="549"/>
      <c r="F8515" s="549"/>
      <c r="G8515" s="549"/>
      <c r="H8515" s="650"/>
      <c r="I8515" s="558"/>
      <c r="J8515" s="710"/>
      <c r="K8515" s="648"/>
      <c r="L8515" s="765">
        <f>+L8514+L8510</f>
        <v>4.4225759999999994</v>
      </c>
      <c r="M8515" s="549"/>
      <c r="N8515" s="549"/>
      <c r="O8515" s="549"/>
      <c r="P8515" s="549"/>
    </row>
    <row r="8516" spans="1:17" s="497" customFormat="1" ht="17.399999999999999">
      <c r="A8516" s="549"/>
      <c r="B8516" s="549"/>
      <c r="C8516" s="549"/>
      <c r="D8516" s="549"/>
      <c r="E8516" s="549"/>
      <c r="F8516" s="549"/>
      <c r="G8516" s="549"/>
      <c r="H8516" s="650"/>
      <c r="I8516" s="558"/>
      <c r="J8516" s="710"/>
      <c r="K8516" s="648"/>
      <c r="L8516" s="765"/>
      <c r="M8516" s="549"/>
      <c r="N8516" s="549"/>
      <c r="O8516" s="549"/>
      <c r="P8516" s="549"/>
    </row>
    <row r="8517" spans="1:17" ht="17.399999999999999">
      <c r="A8517" s="549"/>
      <c r="B8517" s="549"/>
      <c r="C8517" s="549"/>
      <c r="D8517" s="549"/>
      <c r="E8517" s="549"/>
      <c r="F8517" s="549"/>
      <c r="G8517" s="549"/>
      <c r="H8517" s="549"/>
      <c r="I8517" s="558"/>
      <c r="J8517" s="549"/>
      <c r="K8517" s="561"/>
      <c r="L8517" s="560"/>
      <c r="M8517" s="549"/>
      <c r="N8517" s="549"/>
      <c r="O8517" s="549"/>
      <c r="P8517" s="549"/>
    </row>
    <row r="8518" spans="1:17" ht="17.399999999999999">
      <c r="A8518" s="547" t="s">
        <v>445</v>
      </c>
      <c r="B8518" s="547" t="s">
        <v>857</v>
      </c>
      <c r="C8518" s="547" t="s">
        <v>19</v>
      </c>
      <c r="D8518" s="547" t="s">
        <v>20</v>
      </c>
      <c r="E8518" s="650" t="s">
        <v>878</v>
      </c>
      <c r="F8518" s="1258">
        <v>12</v>
      </c>
      <c r="G8518" s="549" t="s">
        <v>21</v>
      </c>
      <c r="H8518" s="599" t="s">
        <v>119</v>
      </c>
      <c r="I8518" s="558">
        <v>10.7</v>
      </c>
      <c r="J8518" s="710">
        <v>11.1</v>
      </c>
      <c r="K8518" s="648">
        <v>19</v>
      </c>
      <c r="L8518" s="552">
        <f>(I8518*J8518*K8518/1000)</f>
        <v>2.2566299999999995</v>
      </c>
      <c r="M8518" s="549"/>
      <c r="N8518" s="549"/>
      <c r="O8518" s="549"/>
      <c r="P8518" s="549"/>
      <c r="Q8518" s="497" t="s">
        <v>994</v>
      </c>
    </row>
    <row r="8519" spans="1:17" ht="17.399999999999999">
      <c r="A8519" s="549"/>
      <c r="B8519" s="549" t="s">
        <v>84</v>
      </c>
      <c r="C8519" s="549"/>
      <c r="D8519" s="549"/>
      <c r="E8519" s="549"/>
      <c r="F8519" s="549"/>
      <c r="G8519" s="549" t="s">
        <v>21</v>
      </c>
      <c r="H8519" s="549" t="s">
        <v>119</v>
      </c>
      <c r="I8519" s="558">
        <v>10.7</v>
      </c>
      <c r="J8519" s="710">
        <v>12</v>
      </c>
      <c r="K8519" s="648">
        <v>18</v>
      </c>
      <c r="L8519" s="552">
        <f>(I8519*J8519*K8519/1000)</f>
        <v>2.3111999999999999</v>
      </c>
      <c r="M8519" s="549"/>
      <c r="N8519" s="549"/>
      <c r="O8519" s="549"/>
      <c r="P8519" s="549"/>
    </row>
    <row r="8520" spans="1:17" ht="17.399999999999999">
      <c r="A8520" s="549"/>
      <c r="B8520" s="549"/>
      <c r="C8520" s="549"/>
      <c r="D8520" s="549"/>
      <c r="E8520" s="549"/>
      <c r="F8520" s="549"/>
      <c r="G8520" s="549"/>
      <c r="H8520" s="650"/>
      <c r="I8520" s="558"/>
      <c r="J8520" s="710"/>
      <c r="K8520" s="648">
        <f t="shared" ref="K8520:L8520" si="1762">SUM(K8518:K8519)</f>
        <v>37</v>
      </c>
      <c r="L8520" s="765">
        <f t="shared" si="1762"/>
        <v>4.5678299999999989</v>
      </c>
      <c r="M8520" s="549"/>
      <c r="N8520" s="549"/>
      <c r="O8520" s="549"/>
      <c r="P8520" s="549" t="s">
        <v>949</v>
      </c>
    </row>
    <row r="8521" spans="1:17" ht="17.399999999999999">
      <c r="A8521" s="549"/>
      <c r="B8521" s="549"/>
      <c r="C8521" s="549"/>
      <c r="D8521" s="549"/>
      <c r="E8521" s="549"/>
      <c r="F8521" s="549"/>
      <c r="G8521" s="549"/>
      <c r="H8521" s="549"/>
      <c r="I8521" s="558"/>
      <c r="J8521" s="549"/>
      <c r="K8521" s="561"/>
      <c r="L8521" s="560"/>
      <c r="M8521" s="549"/>
      <c r="N8521" s="549"/>
      <c r="O8521" s="549"/>
      <c r="P8521" s="549"/>
    </row>
    <row r="8522" spans="1:17" s="497" customFormat="1" ht="17.399999999999999">
      <c r="A8522" s="549"/>
      <c r="B8522" s="549"/>
      <c r="C8522" s="549"/>
      <c r="D8522" s="549"/>
      <c r="E8522" s="549"/>
      <c r="F8522" s="549"/>
      <c r="G8522" s="549"/>
      <c r="H8522" s="549"/>
      <c r="I8522" s="558"/>
      <c r="J8522" s="549"/>
      <c r="K8522" s="561"/>
      <c r="L8522" s="560"/>
      <c r="M8522" s="549"/>
      <c r="N8522" s="549"/>
      <c r="O8522" s="549"/>
      <c r="P8522" s="549"/>
    </row>
    <row r="8523" spans="1:17" ht="17.399999999999999">
      <c r="A8523" s="549"/>
      <c r="B8523" s="549"/>
      <c r="C8523" s="549"/>
      <c r="D8523" s="549"/>
      <c r="E8523" s="549"/>
      <c r="F8523" s="549"/>
      <c r="G8523" s="549"/>
      <c r="H8523" s="549"/>
      <c r="I8523" s="558"/>
      <c r="J8523" s="549"/>
      <c r="K8523" s="561"/>
      <c r="L8523" s="560"/>
      <c r="M8523" s="549"/>
      <c r="N8523" s="549"/>
      <c r="O8523" s="549"/>
      <c r="P8523" s="549"/>
    </row>
    <row r="8524" spans="1:17" ht="17.399999999999999">
      <c r="A8524" s="547" t="s">
        <v>445</v>
      </c>
      <c r="B8524" s="547" t="s">
        <v>857</v>
      </c>
      <c r="C8524" s="547" t="s">
        <v>19</v>
      </c>
      <c r="D8524" s="547" t="s">
        <v>20</v>
      </c>
      <c r="E8524" s="650" t="s">
        <v>878</v>
      </c>
      <c r="F8524" s="1258">
        <v>12</v>
      </c>
      <c r="G8524" s="549" t="s">
        <v>21</v>
      </c>
      <c r="H8524" s="599" t="s">
        <v>134</v>
      </c>
      <c r="I8524" s="558">
        <v>12.2</v>
      </c>
      <c r="J8524" s="710">
        <v>11</v>
      </c>
      <c r="K8524" s="648">
        <v>30</v>
      </c>
      <c r="L8524" s="552">
        <f>(I8524*J8524*K8524/1000)</f>
        <v>4.0259999999999998</v>
      </c>
      <c r="M8524" s="549"/>
      <c r="N8524" s="549"/>
      <c r="O8524" s="549"/>
      <c r="P8524" s="549"/>
      <c r="Q8524" s="497" t="s">
        <v>994</v>
      </c>
    </row>
    <row r="8525" spans="1:17" ht="17.399999999999999">
      <c r="A8525" s="549"/>
      <c r="B8525" s="549" t="s">
        <v>84</v>
      </c>
      <c r="C8525" s="549"/>
      <c r="D8525" s="549"/>
      <c r="E8525" s="549"/>
      <c r="F8525" s="549"/>
      <c r="G8525" s="549" t="s">
        <v>21</v>
      </c>
      <c r="H8525" s="549" t="s">
        <v>134</v>
      </c>
      <c r="I8525" s="558">
        <v>12.2</v>
      </c>
      <c r="J8525" s="710">
        <v>12</v>
      </c>
      <c r="K8525" s="648">
        <v>10</v>
      </c>
      <c r="L8525" s="552">
        <f>(I8525*J8525*K8525/1000)</f>
        <v>1.4639999999999997</v>
      </c>
      <c r="M8525" s="549"/>
      <c r="N8525" s="549"/>
      <c r="O8525" s="549"/>
      <c r="P8525" s="549"/>
    </row>
    <row r="8526" spans="1:17" ht="17.399999999999999">
      <c r="A8526" s="549"/>
      <c r="B8526" s="549"/>
      <c r="C8526" s="549"/>
      <c r="D8526" s="549"/>
      <c r="E8526" s="549"/>
      <c r="F8526" s="549"/>
      <c r="G8526" s="549"/>
      <c r="H8526" s="650"/>
      <c r="I8526" s="558"/>
      <c r="J8526" s="710"/>
      <c r="K8526" s="648">
        <f t="shared" ref="K8526:L8526" si="1763">SUM(K8524:K8525)</f>
        <v>40</v>
      </c>
      <c r="L8526" s="765">
        <f t="shared" si="1763"/>
        <v>5.4899999999999993</v>
      </c>
      <c r="M8526" s="549"/>
      <c r="N8526" s="549"/>
      <c r="O8526" s="549"/>
      <c r="P8526" s="549" t="s">
        <v>950</v>
      </c>
    </row>
    <row r="8527" spans="1:17" s="497" customFormat="1" ht="17.399999999999999">
      <c r="A8527" s="549"/>
      <c r="B8527" s="549"/>
      <c r="C8527" s="549"/>
      <c r="D8527" s="549"/>
      <c r="E8527" s="549"/>
      <c r="F8527" s="549"/>
      <c r="G8527" s="549"/>
      <c r="H8527" s="650"/>
      <c r="I8527" s="558"/>
      <c r="J8527" s="710"/>
      <c r="K8527" s="648"/>
      <c r="L8527" s="765"/>
      <c r="M8527" s="549"/>
      <c r="N8527" s="549"/>
      <c r="O8527" s="549"/>
      <c r="P8527" s="549"/>
    </row>
    <row r="8528" spans="1:17" ht="17.399999999999999">
      <c r="A8528" s="549"/>
      <c r="B8528" s="549"/>
      <c r="C8528" s="549"/>
      <c r="D8528" s="549"/>
      <c r="E8528" s="549"/>
      <c r="F8528" s="549"/>
      <c r="G8528" s="549"/>
      <c r="H8528" s="549"/>
      <c r="I8528" s="558"/>
      <c r="J8528" s="549"/>
      <c r="K8528" s="561"/>
      <c r="L8528" s="560"/>
      <c r="M8528" s="549"/>
      <c r="N8528" s="549"/>
      <c r="O8528" s="549"/>
      <c r="P8528" s="549"/>
    </row>
    <row r="8529" spans="1:17" ht="21">
      <c r="A8529" s="1260" t="s">
        <v>495</v>
      </c>
      <c r="B8529" s="1306" t="s">
        <v>940</v>
      </c>
      <c r="C8529" s="1260" t="s">
        <v>446</v>
      </c>
      <c r="D8529" s="1261" t="s">
        <v>447</v>
      </c>
      <c r="E8529" s="1260" t="s">
        <v>359</v>
      </c>
      <c r="F8529" s="1262">
        <v>12</v>
      </c>
      <c r="G8529" s="1263" t="s">
        <v>21</v>
      </c>
      <c r="H8529" s="1308" t="s">
        <v>118</v>
      </c>
      <c r="I8529" s="1264">
        <v>9.26</v>
      </c>
      <c r="J8529" s="1265">
        <v>6.75</v>
      </c>
      <c r="K8529" s="1266">
        <v>273</v>
      </c>
      <c r="L8529" s="1096">
        <f>(I8529*J8529*K8529/1000)</f>
        <v>17.063864999999996</v>
      </c>
      <c r="M8529" s="549"/>
      <c r="N8529" s="549"/>
      <c r="O8529" s="549"/>
      <c r="P8529" s="549"/>
      <c r="Q8529" s="497" t="s">
        <v>994</v>
      </c>
    </row>
    <row r="8530" spans="1:17" ht="21">
      <c r="A8530" s="1267"/>
      <c r="B8530" s="1267"/>
      <c r="C8530" s="1267"/>
      <c r="D8530" s="1267"/>
      <c r="E8530" s="1262"/>
      <c r="F8530" s="1267"/>
      <c r="G8530" s="1263" t="s">
        <v>21</v>
      </c>
      <c r="H8530" s="1263" t="s">
        <v>118</v>
      </c>
      <c r="I8530" s="1264">
        <v>9.26</v>
      </c>
      <c r="J8530" s="1265">
        <v>6</v>
      </c>
      <c r="K8530" s="1266">
        <v>1</v>
      </c>
      <c r="L8530" s="1096">
        <f>(I8530*J8530*K8530/1000)</f>
        <v>5.5560000000000005E-2</v>
      </c>
      <c r="M8530" s="549"/>
      <c r="N8530" s="549"/>
      <c r="O8530" s="549"/>
      <c r="P8530" s="549"/>
    </row>
    <row r="8531" spans="1:17" ht="21">
      <c r="A8531" s="1268"/>
      <c r="B8531" s="1268"/>
      <c r="C8531" s="1268"/>
      <c r="D8531" s="1268"/>
      <c r="E8531" s="1268"/>
      <c r="F8531" s="1268"/>
      <c r="G8531" s="1263" t="s">
        <v>21</v>
      </c>
      <c r="H8531" s="1263" t="s">
        <v>118</v>
      </c>
      <c r="I8531" s="1264">
        <v>9.26</v>
      </c>
      <c r="J8531" s="1265">
        <v>10</v>
      </c>
      <c r="K8531" s="1266">
        <v>49</v>
      </c>
      <c r="L8531" s="1096">
        <f>(I8531*J8531*K8531/1000)</f>
        <v>4.5373999999999999</v>
      </c>
      <c r="M8531" s="549"/>
      <c r="N8531" s="549"/>
      <c r="O8531" s="549"/>
      <c r="P8531" s="549"/>
    </row>
    <row r="8532" spans="1:17" ht="21">
      <c r="A8532" s="1268"/>
      <c r="B8532" s="1268"/>
      <c r="C8532" s="1268"/>
      <c r="D8532" s="1268"/>
      <c r="E8532" s="1268"/>
      <c r="F8532" s="1268"/>
      <c r="G8532" s="1263" t="s">
        <v>21</v>
      </c>
      <c r="H8532" s="1263" t="s">
        <v>118</v>
      </c>
      <c r="I8532" s="1264">
        <v>9.26</v>
      </c>
      <c r="J8532" s="1265">
        <v>12</v>
      </c>
      <c r="K8532" s="1266">
        <v>245</v>
      </c>
      <c r="L8532" s="1096">
        <f>(I8532*J8532*K8532/1000)</f>
        <v>27.224400000000003</v>
      </c>
      <c r="M8532" s="549"/>
      <c r="N8532" s="549"/>
      <c r="O8532" s="549"/>
      <c r="P8532" s="549"/>
    </row>
    <row r="8533" spans="1:17" ht="21">
      <c r="A8533" s="1268"/>
      <c r="B8533" s="1268"/>
      <c r="C8533" s="1268"/>
      <c r="D8533" s="1268"/>
      <c r="E8533" s="1268"/>
      <c r="F8533" s="1268"/>
      <c r="G8533" s="1263"/>
      <c r="H8533" s="1263"/>
      <c r="I8533" s="1264"/>
      <c r="J8533" s="1265"/>
      <c r="K8533" s="1266">
        <f>SUM(K8529:K8532)</f>
        <v>568</v>
      </c>
      <c r="L8533" s="1265">
        <f>SUM(L8529:L8532)</f>
        <v>48.881225000000001</v>
      </c>
      <c r="M8533" s="549"/>
      <c r="N8533" s="549"/>
      <c r="O8533" s="549"/>
      <c r="P8533" s="549" t="s">
        <v>951</v>
      </c>
    </row>
    <row r="8534" spans="1:17" s="497" customFormat="1" ht="21">
      <c r="A8534" s="1268"/>
      <c r="B8534" s="1268"/>
      <c r="C8534" s="1268"/>
      <c r="D8534" s="1268"/>
      <c r="E8534" s="1268"/>
      <c r="F8534" s="1268"/>
      <c r="G8534" s="1263"/>
      <c r="H8534" s="1263"/>
      <c r="I8534" s="1264"/>
      <c r="J8534" s="1265"/>
      <c r="K8534" s="1266"/>
      <c r="L8534" s="1265"/>
      <c r="M8534" s="549"/>
      <c r="N8534" s="549"/>
      <c r="O8534" s="549"/>
      <c r="P8534" s="549"/>
    </row>
    <row r="8535" spans="1:17" ht="17.399999999999999">
      <c r="A8535" s="549"/>
      <c r="B8535" s="549"/>
      <c r="C8535" s="549"/>
      <c r="D8535" s="549"/>
      <c r="E8535" s="549"/>
      <c r="F8535" s="549"/>
      <c r="G8535" s="549"/>
      <c r="H8535" s="549"/>
      <c r="I8535" s="558"/>
      <c r="J8535" s="549"/>
      <c r="K8535" s="561"/>
      <c r="L8535" s="560"/>
      <c r="M8535" s="549"/>
      <c r="N8535" s="549"/>
      <c r="O8535" s="549"/>
      <c r="P8535" s="549"/>
    </row>
    <row r="8536" spans="1:17" ht="17.399999999999999">
      <c r="A8536" s="549"/>
      <c r="B8536" s="549"/>
      <c r="C8536" s="549"/>
      <c r="D8536" s="549"/>
      <c r="E8536" s="549"/>
      <c r="F8536" s="549"/>
      <c r="G8536" s="549"/>
      <c r="H8536" s="549"/>
      <c r="I8536" s="560"/>
      <c r="J8536" s="549"/>
      <c r="K8536" s="561"/>
      <c r="L8536" s="560"/>
      <c r="M8536" s="549"/>
      <c r="N8536" s="549"/>
      <c r="O8536" s="549"/>
      <c r="P8536" s="549"/>
    </row>
    <row r="8537" spans="1:17" ht="17.399999999999999">
      <c r="A8537" s="549"/>
      <c r="B8537" s="549"/>
      <c r="C8537" s="549"/>
      <c r="D8537" s="549"/>
      <c r="E8537" s="549"/>
      <c r="F8537" s="549"/>
      <c r="G8537" s="549"/>
      <c r="H8537" s="549"/>
      <c r="I8537" s="560"/>
      <c r="J8537" s="549"/>
      <c r="K8537" s="561"/>
      <c r="L8537" s="568">
        <f>+L8506+L8478+L8459+L8473+L8526+L8520+L8515</f>
        <v>152.68152000000001</v>
      </c>
      <c r="M8537" s="549"/>
      <c r="N8537" s="568">
        <f>+N8506+N8478+N8459+N8473+N8526+N8520+N8515</f>
        <v>5.3663400000000001</v>
      </c>
      <c r="O8537" s="549"/>
      <c r="P8537" s="549"/>
    </row>
    <row r="8538" spans="1:17" ht="17.399999999999999">
      <c r="A8538" s="653" t="s">
        <v>48</v>
      </c>
      <c r="B8538" s="653"/>
      <c r="C8538" s="654"/>
      <c r="D8538" s="654"/>
      <c r="E8538" s="654"/>
      <c r="F8538" s="1256"/>
      <c r="G8538" s="654"/>
      <c r="H8538" s="1256"/>
      <c r="I8538" s="656"/>
      <c r="J8538" s="654"/>
      <c r="K8538" s="657"/>
      <c r="L8538" s="2003" t="s">
        <v>0</v>
      </c>
      <c r="M8538" s="2003"/>
      <c r="N8538" s="2003"/>
      <c r="O8538" s="2004"/>
      <c r="P8538" s="2010"/>
    </row>
    <row r="8539" spans="1:17" ht="17.399999999999999">
      <c r="A8539" s="658" t="s">
        <v>1</v>
      </c>
      <c r="B8539" s="658"/>
      <c r="C8539" s="658"/>
      <c r="D8539" s="659" t="s">
        <v>2</v>
      </c>
      <c r="E8539" s="659"/>
      <c r="F8539" s="660"/>
      <c r="G8539" s="660"/>
      <c r="H8539" s="660"/>
      <c r="I8539" s="661"/>
      <c r="J8539" s="660"/>
      <c r="K8539" s="662" t="s">
        <v>3</v>
      </c>
      <c r="L8539" s="660"/>
      <c r="M8539" s="658"/>
      <c r="N8539" s="660"/>
      <c r="O8539" s="663"/>
      <c r="P8539" s="2010"/>
    </row>
    <row r="8540" spans="1:17" ht="17.399999999999999">
      <c r="A8540" s="1256" t="s">
        <v>22</v>
      </c>
      <c r="B8540" s="1990" t="s">
        <v>23</v>
      </c>
      <c r="C8540" s="2005"/>
      <c r="D8540" s="1989"/>
      <c r="E8540" s="1256" t="s">
        <v>24</v>
      </c>
      <c r="F8540" s="1990" t="s">
        <v>25</v>
      </c>
      <c r="G8540" s="1989"/>
      <c r="H8540" s="1990" t="s">
        <v>26</v>
      </c>
      <c r="I8540" s="2005"/>
      <c r="J8540" s="2005"/>
      <c r="K8540" s="1989"/>
      <c r="L8540" s="2006" t="s">
        <v>27</v>
      </c>
      <c r="M8540" s="2006"/>
      <c r="N8540" s="2006"/>
      <c r="O8540" s="1990"/>
      <c r="P8540" s="2010"/>
    </row>
    <row r="8541" spans="1:17" ht="17.399999999999999">
      <c r="A8541" s="664"/>
      <c r="B8541" s="1975"/>
      <c r="C8541" s="1976"/>
      <c r="D8541" s="1977"/>
      <c r="E8541" s="665"/>
      <c r="F8541" s="1975"/>
      <c r="G8541" s="1977"/>
      <c r="H8541" s="1975"/>
      <c r="I8541" s="1976"/>
      <c r="J8541" s="1976"/>
      <c r="K8541" s="1977"/>
      <c r="L8541" s="1975"/>
      <c r="M8541" s="1976"/>
      <c r="N8541" s="1976"/>
      <c r="O8541" s="1976"/>
      <c r="P8541" s="2010"/>
    </row>
    <row r="8542" spans="1:17" ht="17.399999999999999">
      <c r="A8542" s="664"/>
      <c r="B8542" s="1252"/>
      <c r="C8542" s="1252"/>
      <c r="D8542" s="1252"/>
      <c r="E8542" s="665"/>
      <c r="F8542" s="1251"/>
      <c r="G8542" s="1253"/>
      <c r="H8542" s="1251"/>
      <c r="I8542" s="1842"/>
      <c r="J8542" s="1252"/>
      <c r="K8542" s="1253"/>
      <c r="L8542" s="1252"/>
      <c r="M8542" s="1252"/>
      <c r="N8542" s="1252"/>
      <c r="O8542" s="1252"/>
      <c r="P8542" s="2010"/>
    </row>
    <row r="8543" spans="1:17" ht="17.399999999999999">
      <c r="A8543" s="664" t="s">
        <v>28</v>
      </c>
      <c r="B8543" s="1976" t="s">
        <v>399</v>
      </c>
      <c r="C8543" s="1976"/>
      <c r="D8543" s="1976"/>
      <c r="E8543" s="665">
        <f>+L8459</f>
        <v>50.292059999999999</v>
      </c>
      <c r="F8543" s="1973">
        <v>12</v>
      </c>
      <c r="G8543" s="1974"/>
      <c r="H8543" s="1975" t="s">
        <v>582</v>
      </c>
      <c r="I8543" s="1976"/>
      <c r="J8543" s="1976"/>
      <c r="K8543" s="1977"/>
      <c r="L8543" s="1976" t="s">
        <v>742</v>
      </c>
      <c r="M8543" s="1976"/>
      <c r="N8543" s="1976"/>
      <c r="O8543" s="1976"/>
      <c r="P8543" s="2010"/>
    </row>
    <row r="8544" spans="1:17" s="497" customFormat="1" ht="17.399999999999999">
      <c r="A8544" s="664" t="s">
        <v>29</v>
      </c>
      <c r="B8544" s="1976" t="s">
        <v>397</v>
      </c>
      <c r="C8544" s="1976"/>
      <c r="D8544" s="1976"/>
      <c r="E8544" s="665">
        <f>+L8473-5</f>
        <v>47.485680000000002</v>
      </c>
      <c r="F8544" s="1973">
        <v>12</v>
      </c>
      <c r="G8544" s="1974"/>
      <c r="H8544" s="1975" t="s">
        <v>582</v>
      </c>
      <c r="I8544" s="1976"/>
      <c r="J8544" s="1976"/>
      <c r="K8544" s="1977"/>
      <c r="L8544" s="1976" t="s">
        <v>742</v>
      </c>
      <c r="M8544" s="1976"/>
      <c r="N8544" s="1976"/>
      <c r="O8544" s="1976"/>
      <c r="P8544" s="2010"/>
    </row>
    <row r="8545" spans="1:16" ht="17.399999999999999">
      <c r="A8545" s="664"/>
      <c r="B8545" s="1252"/>
      <c r="C8545" s="1252"/>
      <c r="D8545" s="1252"/>
      <c r="E8545" s="665"/>
      <c r="F8545" s="1254"/>
      <c r="G8545" s="1255"/>
      <c r="H8545" s="1251"/>
      <c r="I8545" s="1842"/>
      <c r="J8545" s="1252"/>
      <c r="K8545" s="1253"/>
      <c r="L8545" s="1252"/>
      <c r="M8545" s="1252"/>
      <c r="N8545" s="1252"/>
      <c r="O8545" s="1252"/>
      <c r="P8545" s="2010"/>
    </row>
    <row r="8546" spans="1:16" ht="17.399999999999999">
      <c r="A8546" s="664" t="s">
        <v>30</v>
      </c>
      <c r="B8546" s="1976" t="s">
        <v>397</v>
      </c>
      <c r="C8546" s="1976"/>
      <c r="D8546" s="1976"/>
      <c r="E8546" s="665">
        <f>+L8506</f>
        <v>35.057434000000008</v>
      </c>
      <c r="F8546" s="1973">
        <v>8.5</v>
      </c>
      <c r="G8546" s="1974"/>
      <c r="H8546" s="1975" t="s">
        <v>450</v>
      </c>
      <c r="I8546" s="1976"/>
      <c r="J8546" s="1976"/>
      <c r="K8546" s="1977"/>
      <c r="L8546" s="1976" t="s">
        <v>437</v>
      </c>
      <c r="M8546" s="1976"/>
      <c r="N8546" s="1976"/>
      <c r="O8546" s="1976"/>
      <c r="P8546" s="2010"/>
    </row>
    <row r="8547" spans="1:16" ht="17.399999999999999">
      <c r="A8547" s="664"/>
      <c r="B8547" s="1976"/>
      <c r="C8547" s="1976"/>
      <c r="D8547" s="1976"/>
      <c r="E8547" s="665"/>
      <c r="F8547" s="1973"/>
      <c r="G8547" s="1974"/>
      <c r="H8547" s="1975"/>
      <c r="I8547" s="1976"/>
      <c r="J8547" s="1976"/>
      <c r="K8547" s="1977"/>
      <c r="L8547" s="1976"/>
      <c r="M8547" s="1976"/>
      <c r="N8547" s="1976"/>
      <c r="O8547" s="1976"/>
      <c r="P8547" s="2010"/>
    </row>
    <row r="8548" spans="1:16" ht="17.399999999999999">
      <c r="A8548" s="664"/>
      <c r="B8548" s="1975"/>
      <c r="C8548" s="1976"/>
      <c r="D8548" s="1977"/>
      <c r="E8548" s="665"/>
      <c r="F8548" s="1973"/>
      <c r="G8548" s="1974"/>
      <c r="H8548" s="1975"/>
      <c r="I8548" s="1976"/>
      <c r="J8548" s="1976"/>
      <c r="K8548" s="1977"/>
      <c r="L8548" s="1976"/>
      <c r="M8548" s="1976"/>
      <c r="N8548" s="1976"/>
      <c r="O8548" s="1976"/>
      <c r="P8548" s="2010"/>
    </row>
    <row r="8549" spans="1:16" ht="17.399999999999999">
      <c r="A8549" s="664" t="s">
        <v>46</v>
      </c>
      <c r="B8549" s="1975" t="s">
        <v>136</v>
      </c>
      <c r="C8549" s="1976"/>
      <c r="D8549" s="1977"/>
      <c r="E8549" s="665">
        <v>5</v>
      </c>
      <c r="F8549" s="1973">
        <v>12</v>
      </c>
      <c r="G8549" s="1974"/>
      <c r="H8549" s="1975" t="s">
        <v>49</v>
      </c>
      <c r="I8549" s="1976"/>
      <c r="J8549" s="1976"/>
      <c r="K8549" s="1977"/>
      <c r="L8549" s="1976" t="s">
        <v>65</v>
      </c>
      <c r="M8549" s="1976"/>
      <c r="N8549" s="1976"/>
      <c r="O8549" s="1976"/>
      <c r="P8549" s="2010"/>
    </row>
    <row r="8550" spans="1:16" s="497" customFormat="1" ht="17.399999999999999">
      <c r="A8550" s="664" t="s">
        <v>58</v>
      </c>
      <c r="B8550" s="1975" t="s">
        <v>137</v>
      </c>
      <c r="C8550" s="1976"/>
      <c r="D8550" s="1977"/>
      <c r="E8550" s="665">
        <v>5</v>
      </c>
      <c r="F8550" s="1973">
        <v>12</v>
      </c>
      <c r="G8550" s="1974"/>
      <c r="H8550" s="1975" t="s">
        <v>49</v>
      </c>
      <c r="I8550" s="1976"/>
      <c r="J8550" s="1976"/>
      <c r="K8550" s="1977"/>
      <c r="L8550" s="1976" t="s">
        <v>65</v>
      </c>
      <c r="M8550" s="1976"/>
      <c r="N8550" s="1976"/>
      <c r="O8550" s="1976"/>
      <c r="P8550" s="2010"/>
    </row>
    <row r="8551" spans="1:16" ht="17.399999999999999">
      <c r="A8551" s="664" t="s">
        <v>163</v>
      </c>
      <c r="B8551" s="1975" t="s">
        <v>138</v>
      </c>
      <c r="C8551" s="1976"/>
      <c r="D8551" s="1977"/>
      <c r="E8551" s="665">
        <v>6</v>
      </c>
      <c r="F8551" s="1973">
        <v>12</v>
      </c>
      <c r="G8551" s="1974"/>
      <c r="H8551" s="1975" t="s">
        <v>49</v>
      </c>
      <c r="I8551" s="1976"/>
      <c r="J8551" s="1976"/>
      <c r="K8551" s="1977"/>
      <c r="L8551" s="1976" t="s">
        <v>65</v>
      </c>
      <c r="M8551" s="1976"/>
      <c r="N8551" s="1976"/>
      <c r="O8551" s="1976"/>
      <c r="P8551" s="2010"/>
    </row>
    <row r="8552" spans="1:16" ht="17.399999999999999">
      <c r="A8552" s="664"/>
      <c r="B8552" s="1975"/>
      <c r="C8552" s="1976"/>
      <c r="D8552" s="1977"/>
      <c r="E8552" s="665"/>
      <c r="F8552" s="1973"/>
      <c r="G8552" s="1974"/>
      <c r="H8552" s="1975"/>
      <c r="I8552" s="1976"/>
      <c r="J8552" s="1976"/>
      <c r="K8552" s="1977"/>
      <c r="L8552" s="1976"/>
      <c r="M8552" s="1976"/>
      <c r="N8552" s="1976"/>
      <c r="O8552" s="1976"/>
      <c r="P8552" s="2010"/>
    </row>
    <row r="8553" spans="1:16" ht="17.399999999999999">
      <c r="A8553" s="664" t="s">
        <v>302</v>
      </c>
      <c r="B8553" s="1975" t="s">
        <v>136</v>
      </c>
      <c r="C8553" s="1976"/>
      <c r="D8553" s="1977"/>
      <c r="E8553" s="665">
        <v>30</v>
      </c>
      <c r="F8553" s="1973">
        <v>12</v>
      </c>
      <c r="G8553" s="1974"/>
      <c r="H8553" s="1975" t="s">
        <v>447</v>
      </c>
      <c r="I8553" s="1976"/>
      <c r="J8553" s="1976"/>
      <c r="K8553" s="1977"/>
      <c r="L8553" s="1976" t="s">
        <v>65</v>
      </c>
      <c r="M8553" s="1976"/>
      <c r="N8553" s="1976"/>
      <c r="O8553" s="1976"/>
      <c r="P8553" s="2010"/>
    </row>
    <row r="8554" spans="1:16" ht="17.399999999999999">
      <c r="A8554" s="664"/>
      <c r="B8554" s="1975"/>
      <c r="C8554" s="1976"/>
      <c r="D8554" s="1977"/>
      <c r="E8554" s="665"/>
      <c r="F8554" s="1973"/>
      <c r="G8554" s="1974"/>
      <c r="H8554" s="1975"/>
      <c r="I8554" s="1976"/>
      <c r="J8554" s="1976"/>
      <c r="K8554" s="1977"/>
      <c r="L8554" s="1976"/>
      <c r="M8554" s="1976"/>
      <c r="N8554" s="1976"/>
      <c r="O8554" s="1976"/>
      <c r="P8554" s="2010"/>
    </row>
    <row r="8555" spans="1:16" ht="18" thickBot="1">
      <c r="A8555" s="664"/>
      <c r="B8555" s="1251"/>
      <c r="C8555" s="1252"/>
      <c r="D8555" s="1252"/>
      <c r="E8555" s="665"/>
      <c r="F8555" s="1252"/>
      <c r="G8555" s="1253"/>
      <c r="H8555" s="1251"/>
      <c r="I8555" s="1842"/>
      <c r="J8555" s="1252"/>
      <c r="K8555" s="669"/>
      <c r="L8555" s="672"/>
      <c r="M8555" s="673"/>
      <c r="N8555" s="673"/>
      <c r="O8555" s="673"/>
      <c r="P8555" s="2010"/>
    </row>
    <row r="8556" spans="1:16" ht="17.399999999999999">
      <c r="A8556" s="674"/>
      <c r="B8556" s="675"/>
      <c r="C8556" s="676"/>
      <c r="D8556" s="676"/>
      <c r="E8556" s="1980">
        <f>SUM(E8541:E8555)</f>
        <v>178.83517399999999</v>
      </c>
      <c r="F8556" s="677"/>
      <c r="G8556" s="678"/>
      <c r="H8556" s="679"/>
      <c r="I8556" s="1848"/>
      <c r="J8556" s="676"/>
      <c r="K8556" s="680"/>
      <c r="L8556" s="679"/>
      <c r="M8556" s="676"/>
      <c r="N8556" s="677"/>
      <c r="O8556" s="676"/>
      <c r="P8556" s="2010"/>
    </row>
    <row r="8557" spans="1:16" ht="18" thickBot="1">
      <c r="A8557" s="681"/>
      <c r="B8557" s="682"/>
      <c r="C8557" s="683"/>
      <c r="D8557" s="683"/>
      <c r="E8557" s="1981"/>
      <c r="F8557" s="684"/>
      <c r="G8557" s="685"/>
      <c r="H8557" s="686"/>
      <c r="I8557" s="1850"/>
      <c r="J8557" s="683"/>
      <c r="K8557" s="687"/>
      <c r="L8557" s="686"/>
      <c r="M8557" s="683"/>
      <c r="N8557" s="684"/>
      <c r="O8557" s="683"/>
      <c r="P8557" s="2010"/>
    </row>
    <row r="8558" spans="1:16" ht="17.399999999999999">
      <c r="A8558" s="688" t="s">
        <v>31</v>
      </c>
      <c r="B8558" s="676"/>
      <c r="C8558" s="676"/>
      <c r="D8558" s="676"/>
      <c r="E8558" s="676"/>
      <c r="F8558" s="677"/>
      <c r="G8558" s="676"/>
      <c r="H8558" s="677"/>
      <c r="I8558" s="1848"/>
      <c r="J8558" s="676"/>
      <c r="K8558" s="689"/>
      <c r="L8558" s="677"/>
      <c r="M8558" s="676"/>
      <c r="N8558" s="677"/>
      <c r="O8558" s="676"/>
      <c r="P8558" s="2010"/>
    </row>
    <row r="8559" spans="1:16" ht="17.399999999999999">
      <c r="A8559" s="690"/>
      <c r="B8559" s="691"/>
      <c r="C8559" s="691"/>
      <c r="D8559" s="691"/>
      <c r="E8559" s="691"/>
      <c r="F8559" s="1250"/>
      <c r="G8559" s="691"/>
      <c r="H8559" s="1250"/>
      <c r="I8559" s="1849"/>
      <c r="J8559" s="691"/>
      <c r="K8559" s="693"/>
      <c r="L8559" s="1250"/>
      <c r="M8559" s="691"/>
      <c r="N8559" s="1250"/>
      <c r="O8559" s="691"/>
      <c r="P8559" s="2010"/>
    </row>
    <row r="8560" spans="1:16" ht="18" thickBot="1">
      <c r="A8560" s="1982" t="s">
        <v>32</v>
      </c>
      <c r="B8560" s="1983"/>
      <c r="C8560" s="1984" t="s">
        <v>33</v>
      </c>
      <c r="D8560" s="1985"/>
      <c r="E8560" s="694" t="s">
        <v>34</v>
      </c>
      <c r="F8560" s="694" t="s">
        <v>35</v>
      </c>
      <c r="G8560" s="1986" t="s">
        <v>36</v>
      </c>
      <c r="H8560" s="1987"/>
      <c r="I8560" s="1987"/>
      <c r="J8560" s="1987"/>
      <c r="K8560" s="1987"/>
      <c r="L8560" s="1987"/>
      <c r="M8560" s="1987"/>
      <c r="N8560" s="1987"/>
      <c r="O8560" s="1987"/>
      <c r="P8560" s="2010"/>
    </row>
    <row r="8561" spans="1:16" ht="17.399999999999999">
      <c r="A8561" s="1988"/>
      <c r="B8561" s="1989"/>
      <c r="C8561" s="1990"/>
      <c r="D8561" s="1989"/>
      <c r="E8561" s="1256"/>
      <c r="F8561" s="1248"/>
      <c r="G8561" s="1991"/>
      <c r="H8561" s="1992"/>
      <c r="I8561" s="1992"/>
      <c r="J8561" s="1992"/>
      <c r="K8561" s="1992"/>
      <c r="L8561" s="1992"/>
      <c r="M8561" s="1992"/>
      <c r="N8561" s="1992"/>
      <c r="O8561" s="1992"/>
      <c r="P8561" s="2010"/>
    </row>
    <row r="8562" spans="1:16" ht="17.399999999999999">
      <c r="A8562" s="1997" t="s">
        <v>37</v>
      </c>
      <c r="B8562" s="1998"/>
      <c r="C8562" s="1990"/>
      <c r="D8562" s="1989"/>
      <c r="E8562" s="1256"/>
      <c r="F8562" s="1248"/>
      <c r="G8562" s="1993"/>
      <c r="H8562" s="1994"/>
      <c r="I8562" s="1994"/>
      <c r="J8562" s="1994"/>
      <c r="K8562" s="1994"/>
      <c r="L8562" s="1994"/>
      <c r="M8562" s="1994"/>
      <c r="N8562" s="1994"/>
      <c r="O8562" s="1994"/>
      <c r="P8562" s="2010"/>
    </row>
    <row r="8563" spans="1:16" ht="17.399999999999999">
      <c r="A8563" s="1997" t="s">
        <v>38</v>
      </c>
      <c r="B8563" s="1998"/>
      <c r="C8563" s="1990"/>
      <c r="D8563" s="1989"/>
      <c r="E8563" s="1256"/>
      <c r="F8563" s="1248"/>
      <c r="G8563" s="1993"/>
      <c r="H8563" s="1994"/>
      <c r="I8563" s="1994"/>
      <c r="J8563" s="1994"/>
      <c r="K8563" s="1994"/>
      <c r="L8563" s="1994"/>
      <c r="M8563" s="1994"/>
      <c r="N8563" s="1994"/>
      <c r="O8563" s="1994"/>
      <c r="P8563" s="2010"/>
    </row>
    <row r="8564" spans="1:16" ht="17.399999999999999">
      <c r="A8564" s="1997" t="s">
        <v>39</v>
      </c>
      <c r="B8564" s="1998"/>
      <c r="C8564" s="1990"/>
      <c r="D8564" s="1989"/>
      <c r="E8564" s="1256"/>
      <c r="F8564" s="1248"/>
      <c r="G8564" s="1993"/>
      <c r="H8564" s="1994"/>
      <c r="I8564" s="1994"/>
      <c r="J8564" s="1994"/>
      <c r="K8564" s="1994"/>
      <c r="L8564" s="1994"/>
      <c r="M8564" s="1994"/>
      <c r="N8564" s="1994"/>
      <c r="O8564" s="1994"/>
      <c r="P8564" s="2010"/>
    </row>
    <row r="8565" spans="1:16" ht="17.399999999999999">
      <c r="A8565" s="1997" t="s">
        <v>40</v>
      </c>
      <c r="B8565" s="1998"/>
      <c r="C8565" s="1990"/>
      <c r="D8565" s="1989"/>
      <c r="E8565" s="1256"/>
      <c r="F8565" s="1248"/>
      <c r="G8565" s="1993"/>
      <c r="H8565" s="1994"/>
      <c r="I8565" s="1994"/>
      <c r="J8565" s="1994"/>
      <c r="K8565" s="1994"/>
      <c r="L8565" s="1994"/>
      <c r="M8565" s="1994"/>
      <c r="N8565" s="1994"/>
      <c r="O8565" s="1994"/>
      <c r="P8565" s="2010"/>
    </row>
    <row r="8566" spans="1:16" ht="18" thickBot="1">
      <c r="A8566" s="1999" t="s">
        <v>41</v>
      </c>
      <c r="B8566" s="2000"/>
      <c r="C8566" s="2001"/>
      <c r="D8566" s="2002"/>
      <c r="E8566" s="696"/>
      <c r="F8566" s="1249"/>
      <c r="G8566" s="1995"/>
      <c r="H8566" s="1996"/>
      <c r="I8566" s="1996"/>
      <c r="J8566" s="1996"/>
      <c r="K8566" s="1996"/>
      <c r="L8566" s="1996"/>
      <c r="M8566" s="1996"/>
      <c r="N8566" s="1996"/>
      <c r="O8566" s="1996"/>
      <c r="P8566" s="2010"/>
    </row>
    <row r="8567" spans="1:16" ht="18">
      <c r="A8567" s="690"/>
      <c r="B8567" s="691"/>
      <c r="C8567" s="691"/>
      <c r="D8567" s="691"/>
      <c r="E8567" s="691"/>
      <c r="F8567" s="1250"/>
      <c r="G8567" s="691"/>
      <c r="H8567" s="698"/>
      <c r="I8567" s="699"/>
      <c r="J8567" s="700"/>
      <c r="K8567" s="701"/>
      <c r="L8567" s="702"/>
      <c r="M8567" s="691"/>
      <c r="N8567" s="1250"/>
      <c r="O8567" s="691"/>
      <c r="P8567" s="2010"/>
    </row>
    <row r="8568" spans="1:16" ht="18">
      <c r="A8568" s="703" t="s">
        <v>42</v>
      </c>
      <c r="B8568" s="704"/>
      <c r="C8568" s="691"/>
      <c r="D8568" s="691"/>
      <c r="E8568" s="691"/>
      <c r="F8568" s="1250"/>
      <c r="G8568" s="704"/>
      <c r="H8568" s="698"/>
      <c r="I8568" s="699"/>
      <c r="J8568" s="700"/>
      <c r="K8568" s="693"/>
      <c r="L8568" s="705"/>
      <c r="M8568" s="691"/>
      <c r="N8568" s="1979" t="s">
        <v>43</v>
      </c>
      <c r="O8568" s="1979"/>
      <c r="P8568" s="2010"/>
    </row>
    <row r="8569" spans="1:16" ht="17.399999999999999">
      <c r="A8569" s="703"/>
      <c r="B8569" s="704"/>
      <c r="C8569" s="691"/>
      <c r="D8569" s="691"/>
      <c r="E8569" s="691"/>
      <c r="F8569" s="1250"/>
      <c r="G8569" s="691"/>
      <c r="H8569" s="1250"/>
      <c r="I8569" s="1849"/>
      <c r="J8569" s="691"/>
      <c r="K8569" s="693"/>
      <c r="L8569" s="1250"/>
      <c r="M8569" s="691"/>
      <c r="N8569" s="1250"/>
      <c r="O8569" s="704"/>
      <c r="P8569" s="2010"/>
    </row>
    <row r="8570" spans="1:16" ht="17.399999999999999">
      <c r="A8570" s="703" t="s">
        <v>44</v>
      </c>
      <c r="B8570" s="704"/>
      <c r="C8570" s="691"/>
      <c r="D8570" s="691"/>
      <c r="E8570" s="691"/>
      <c r="F8570" s="1250"/>
      <c r="G8570" s="691"/>
      <c r="H8570" s="1250"/>
      <c r="I8570" s="1849"/>
      <c r="J8570" s="691"/>
      <c r="K8570" s="693"/>
      <c r="L8570" s="1250"/>
      <c r="M8570" s="691"/>
      <c r="N8570" s="1979" t="s">
        <v>45</v>
      </c>
      <c r="O8570" s="1979"/>
      <c r="P8570" s="2010"/>
    </row>
    <row r="8571" spans="1:16" ht="18" thickBot="1">
      <c r="A8571" s="682"/>
      <c r="B8571" s="683"/>
      <c r="C8571" s="683"/>
      <c r="D8571" s="683"/>
      <c r="E8571" s="683"/>
      <c r="F8571" s="684"/>
      <c r="G8571" s="683"/>
      <c r="H8571" s="684"/>
      <c r="I8571" s="1850"/>
      <c r="J8571" s="683"/>
      <c r="K8571" s="706"/>
      <c r="L8571" s="684"/>
      <c r="M8571" s="683"/>
      <c r="N8571" s="684"/>
      <c r="O8571" s="683"/>
      <c r="P8571" s="2010"/>
    </row>
    <row r="8574" spans="1:16" ht="17.399999999999999">
      <c r="A8574" s="653" t="s">
        <v>48</v>
      </c>
      <c r="B8574" s="653"/>
      <c r="C8574" s="654"/>
      <c r="D8574" s="654"/>
      <c r="E8574" s="654"/>
      <c r="F8574" s="1278"/>
      <c r="G8574" s="654"/>
      <c r="H8574" s="1278"/>
      <c r="I8574" s="656"/>
      <c r="J8574" s="654"/>
      <c r="K8574" s="657"/>
      <c r="L8574" s="2003" t="s">
        <v>0</v>
      </c>
      <c r="M8574" s="2003"/>
      <c r="N8574" s="2003"/>
      <c r="O8574" s="2004"/>
      <c r="P8574" s="2010"/>
    </row>
    <row r="8575" spans="1:16" ht="17.399999999999999">
      <c r="A8575" s="658" t="s">
        <v>1</v>
      </c>
      <c r="B8575" s="658"/>
      <c r="C8575" s="658"/>
      <c r="D8575" s="659" t="s">
        <v>2</v>
      </c>
      <c r="E8575" s="659"/>
      <c r="F8575" s="660"/>
      <c r="G8575" s="660"/>
      <c r="H8575" s="660"/>
      <c r="I8575" s="661"/>
      <c r="J8575" s="660"/>
      <c r="K8575" s="662" t="s">
        <v>3</v>
      </c>
      <c r="L8575" s="660"/>
      <c r="M8575" s="658"/>
      <c r="N8575" s="660"/>
      <c r="O8575" s="663"/>
      <c r="P8575" s="2010"/>
    </row>
    <row r="8576" spans="1:16" ht="17.399999999999999">
      <c r="A8576" s="1278" t="s">
        <v>22</v>
      </c>
      <c r="B8576" s="1990" t="s">
        <v>23</v>
      </c>
      <c r="C8576" s="2005"/>
      <c r="D8576" s="1989"/>
      <c r="E8576" s="1278" t="s">
        <v>24</v>
      </c>
      <c r="F8576" s="1990" t="s">
        <v>25</v>
      </c>
      <c r="G8576" s="1989"/>
      <c r="H8576" s="1990" t="s">
        <v>26</v>
      </c>
      <c r="I8576" s="2005"/>
      <c r="J8576" s="2005"/>
      <c r="K8576" s="1989"/>
      <c r="L8576" s="2006" t="s">
        <v>27</v>
      </c>
      <c r="M8576" s="2006"/>
      <c r="N8576" s="2006"/>
      <c r="O8576" s="1990"/>
      <c r="P8576" s="2010"/>
    </row>
    <row r="8577" spans="1:21" ht="17.399999999999999">
      <c r="A8577" s="664"/>
      <c r="B8577" s="1975"/>
      <c r="C8577" s="1976"/>
      <c r="D8577" s="1977"/>
      <c r="E8577" s="665"/>
      <c r="F8577" s="1975"/>
      <c r="G8577" s="1977"/>
      <c r="H8577" s="1975"/>
      <c r="I8577" s="1976"/>
      <c r="J8577" s="1976"/>
      <c r="K8577" s="1977"/>
      <c r="L8577" s="1975"/>
      <c r="M8577" s="1976"/>
      <c r="N8577" s="1976"/>
      <c r="O8577" s="1976"/>
      <c r="P8577" s="2010"/>
    </row>
    <row r="8578" spans="1:21" ht="17.399999999999999">
      <c r="A8578" s="664"/>
      <c r="B8578" s="1270"/>
      <c r="C8578" s="1270"/>
      <c r="D8578" s="1270"/>
      <c r="E8578" s="665"/>
      <c r="F8578" s="1273"/>
      <c r="G8578" s="1274"/>
      <c r="H8578" s="1273"/>
      <c r="I8578" s="1842"/>
      <c r="J8578" s="1270"/>
      <c r="K8578" s="1274"/>
      <c r="L8578" s="1270"/>
      <c r="M8578" s="1270"/>
      <c r="N8578" s="1270"/>
      <c r="O8578" s="1270"/>
      <c r="P8578" s="2010"/>
    </row>
    <row r="8579" spans="1:21" s="497" customFormat="1" ht="17.399999999999999">
      <c r="A8579" s="664" t="s">
        <v>28</v>
      </c>
      <c r="B8579" s="1975" t="s">
        <v>144</v>
      </c>
      <c r="C8579" s="1976"/>
      <c r="D8579" s="1977"/>
      <c r="E8579" s="665">
        <v>80.92</v>
      </c>
      <c r="F8579" s="1973">
        <v>13</v>
      </c>
      <c r="G8579" s="1974"/>
      <c r="H8579" s="1975" t="s">
        <v>49</v>
      </c>
      <c r="I8579" s="1976"/>
      <c r="J8579" s="1976"/>
      <c r="K8579" s="1977"/>
      <c r="L8579" s="1976" t="s">
        <v>953</v>
      </c>
      <c r="M8579" s="1976"/>
      <c r="N8579" s="1976"/>
      <c r="O8579" s="1976"/>
      <c r="P8579" s="2010"/>
    </row>
    <row r="8580" spans="1:21" s="497" customFormat="1" ht="18.75" customHeight="1">
      <c r="A8580" s="664" t="s">
        <v>29</v>
      </c>
      <c r="B8580" s="1975" t="s">
        <v>145</v>
      </c>
      <c r="C8580" s="1976"/>
      <c r="D8580" s="1977"/>
      <c r="E8580" s="665">
        <v>39.244999999999997</v>
      </c>
      <c r="F8580" s="1973">
        <v>13</v>
      </c>
      <c r="G8580" s="1974"/>
      <c r="H8580" s="1975" t="s">
        <v>49</v>
      </c>
      <c r="I8580" s="1976"/>
      <c r="J8580" s="1976"/>
      <c r="K8580" s="1977"/>
      <c r="L8580" s="1976" t="s">
        <v>953</v>
      </c>
      <c r="M8580" s="1976"/>
      <c r="N8580" s="1976"/>
      <c r="O8580" s="1976"/>
      <c r="P8580" s="2010"/>
    </row>
    <row r="8581" spans="1:21" s="497" customFormat="1" ht="17.399999999999999">
      <c r="A8581" s="664" t="s">
        <v>30</v>
      </c>
      <c r="B8581" s="1975" t="s">
        <v>146</v>
      </c>
      <c r="C8581" s="1976"/>
      <c r="D8581" s="1977"/>
      <c r="E8581" s="665">
        <v>111.599</v>
      </c>
      <c r="F8581" s="1973">
        <v>13</v>
      </c>
      <c r="G8581" s="1974"/>
      <c r="H8581" s="1975" t="s">
        <v>49</v>
      </c>
      <c r="I8581" s="1976"/>
      <c r="J8581" s="1976"/>
      <c r="K8581" s="1977"/>
      <c r="L8581" s="1976" t="s">
        <v>953</v>
      </c>
      <c r="M8581" s="1976"/>
      <c r="N8581" s="1976"/>
      <c r="O8581" s="1976"/>
      <c r="P8581" s="2010"/>
    </row>
    <row r="8582" spans="1:21" s="497" customFormat="1" ht="17.399999999999999">
      <c r="A8582" s="664"/>
      <c r="B8582" s="1975"/>
      <c r="C8582" s="1976"/>
      <c r="D8582" s="1977"/>
      <c r="E8582" s="665"/>
      <c r="F8582" s="1973"/>
      <c r="G8582" s="1974"/>
      <c r="H8582" s="1975"/>
      <c r="I8582" s="1976"/>
      <c r="J8582" s="1976"/>
      <c r="K8582" s="1977"/>
      <c r="L8582" s="1976"/>
      <c r="M8582" s="1976"/>
      <c r="N8582" s="1976"/>
      <c r="O8582" s="1976"/>
      <c r="P8582" s="2010"/>
    </row>
    <row r="8583" spans="1:21" s="497" customFormat="1" ht="17.399999999999999">
      <c r="A8583" s="664"/>
      <c r="B8583" s="1270"/>
      <c r="C8583" s="1270"/>
      <c r="D8583" s="1270"/>
      <c r="E8583" s="665"/>
      <c r="F8583" s="1271"/>
      <c r="G8583" s="1272"/>
      <c r="H8583" s="1273"/>
      <c r="I8583" s="1842"/>
      <c r="J8583" s="1270"/>
      <c r="K8583" s="1274"/>
      <c r="L8583" s="1270"/>
      <c r="M8583" s="1270"/>
      <c r="N8583" s="1270"/>
      <c r="O8583" s="1270"/>
      <c r="P8583" s="2010"/>
    </row>
    <row r="8584" spans="1:21" ht="17.399999999999999">
      <c r="A8584" s="664" t="s">
        <v>46</v>
      </c>
      <c r="B8584" s="1976" t="s">
        <v>535</v>
      </c>
      <c r="C8584" s="1976"/>
      <c r="D8584" s="1976"/>
      <c r="E8584" s="665">
        <v>148.316</v>
      </c>
      <c r="F8584" s="1973">
        <v>13</v>
      </c>
      <c r="G8584" s="1974"/>
      <c r="H8584" s="1975" t="s">
        <v>582</v>
      </c>
      <c r="I8584" s="1976"/>
      <c r="J8584" s="1976"/>
      <c r="K8584" s="1977"/>
      <c r="L8584" s="1976" t="s">
        <v>742</v>
      </c>
      <c r="M8584" s="1976"/>
      <c r="N8584" s="1976"/>
      <c r="O8584" s="1976"/>
      <c r="P8584" s="2010"/>
    </row>
    <row r="8585" spans="1:21" ht="17.399999999999999">
      <c r="A8585" s="664" t="s">
        <v>58</v>
      </c>
      <c r="B8585" s="1976" t="s">
        <v>537</v>
      </c>
      <c r="C8585" s="1976"/>
      <c r="D8585" s="1976"/>
      <c r="E8585" s="665">
        <v>2.5339999999999998</v>
      </c>
      <c r="F8585" s="1973">
        <v>13</v>
      </c>
      <c r="G8585" s="1974"/>
      <c r="H8585" s="1975" t="s">
        <v>582</v>
      </c>
      <c r="I8585" s="1976"/>
      <c r="J8585" s="1976"/>
      <c r="K8585" s="1977"/>
      <c r="L8585" s="1976" t="s">
        <v>742</v>
      </c>
      <c r="M8585" s="1976"/>
      <c r="N8585" s="1976"/>
      <c r="O8585" s="1976"/>
      <c r="P8585" s="2010"/>
    </row>
    <row r="8586" spans="1:21" s="497" customFormat="1" ht="17.399999999999999">
      <c r="A8586" s="664"/>
      <c r="B8586" s="1270"/>
      <c r="C8586" s="1270"/>
      <c r="D8586" s="1270"/>
      <c r="E8586" s="665"/>
      <c r="F8586" s="1271"/>
      <c r="G8586" s="1272"/>
      <c r="H8586" s="1273"/>
      <c r="I8586" s="1842"/>
      <c r="J8586" s="1270"/>
      <c r="K8586" s="1274"/>
      <c r="L8586" s="1270"/>
      <c r="M8586" s="1270"/>
      <c r="N8586" s="1270"/>
      <c r="O8586" s="1270"/>
      <c r="P8586" s="2010"/>
    </row>
    <row r="8587" spans="1:21" ht="17.399999999999999">
      <c r="A8587" s="664"/>
      <c r="B8587" s="1270"/>
      <c r="C8587" s="1270"/>
      <c r="D8587" s="1270"/>
      <c r="E8587" s="665"/>
      <c r="F8587" s="1271"/>
      <c r="G8587" s="1272"/>
      <c r="H8587" s="1273"/>
      <c r="I8587" s="1842"/>
      <c r="J8587" s="1270"/>
      <c r="K8587" s="1274"/>
      <c r="L8587" s="1270"/>
      <c r="M8587" s="1270"/>
      <c r="N8587" s="1270"/>
      <c r="O8587" s="1270"/>
      <c r="P8587" s="2010"/>
    </row>
    <row r="8588" spans="1:21" ht="17.399999999999999">
      <c r="A8588" s="664" t="s">
        <v>163</v>
      </c>
      <c r="B8588" s="1976" t="s">
        <v>536</v>
      </c>
      <c r="C8588" s="1976"/>
      <c r="D8588" s="1976"/>
      <c r="E8588" s="665">
        <v>8.1660000000000004</v>
      </c>
      <c r="F8588" s="1973">
        <v>13</v>
      </c>
      <c r="G8588" s="1974"/>
      <c r="H8588" s="1975" t="s">
        <v>450</v>
      </c>
      <c r="I8588" s="1976"/>
      <c r="J8588" s="1976"/>
      <c r="K8588" s="1977"/>
      <c r="L8588" s="1976" t="s">
        <v>437</v>
      </c>
      <c r="M8588" s="1976"/>
      <c r="N8588" s="1976"/>
      <c r="O8588" s="1976"/>
      <c r="P8588" s="2010"/>
      <c r="R8588" s="497">
        <v>24</v>
      </c>
      <c r="S8588">
        <v>18.2</v>
      </c>
      <c r="T8588">
        <f>11.4+11.7</f>
        <v>23.1</v>
      </c>
      <c r="U8588">
        <f>+R8588*S8588*T8588/1000</f>
        <v>10.09008</v>
      </c>
    </row>
    <row r="8589" spans="1:21" ht="17.399999999999999">
      <c r="A8589" s="664" t="s">
        <v>302</v>
      </c>
      <c r="B8589" s="1976" t="s">
        <v>535</v>
      </c>
      <c r="C8589" s="1976"/>
      <c r="D8589" s="1976"/>
      <c r="E8589" s="665">
        <v>4.88</v>
      </c>
      <c r="F8589" s="1973">
        <v>13</v>
      </c>
      <c r="G8589" s="1974"/>
      <c r="H8589" s="1975" t="s">
        <v>450</v>
      </c>
      <c r="I8589" s="1976"/>
      <c r="J8589" s="1976"/>
      <c r="K8589" s="1977"/>
      <c r="L8589" s="1976" t="s">
        <v>437</v>
      </c>
      <c r="M8589" s="1976"/>
      <c r="N8589" s="1976"/>
      <c r="O8589" s="1976"/>
      <c r="P8589" s="2010"/>
      <c r="R8589" s="497">
        <v>12</v>
      </c>
      <c r="S8589" s="497">
        <v>18.2</v>
      </c>
      <c r="T8589">
        <f>9.2*4</f>
        <v>36.799999999999997</v>
      </c>
      <c r="U8589" s="497">
        <f t="shared" ref="U8589:U8592" si="1764">+R8589*S8589*T8589/1000</f>
        <v>8.0371199999999998</v>
      </c>
    </row>
    <row r="8590" spans="1:21" ht="17.399999999999999">
      <c r="A8590" s="664"/>
      <c r="B8590" s="1975"/>
      <c r="C8590" s="1976"/>
      <c r="D8590" s="1977"/>
      <c r="E8590" s="665"/>
      <c r="F8590" s="1973"/>
      <c r="G8590" s="1974"/>
      <c r="H8590" s="1975"/>
      <c r="I8590" s="1976"/>
      <c r="J8590" s="1976"/>
      <c r="K8590" s="1977"/>
      <c r="L8590" s="1976"/>
      <c r="M8590" s="1976"/>
      <c r="N8590" s="1976"/>
      <c r="O8590" s="1976"/>
      <c r="P8590" s="2010"/>
      <c r="R8590" s="497">
        <v>12</v>
      </c>
      <c r="S8590" s="497">
        <v>18.2</v>
      </c>
      <c r="T8590">
        <f>9.2*3</f>
        <v>27.599999999999998</v>
      </c>
      <c r="U8590" s="497">
        <f t="shared" si="1764"/>
        <v>6.0278399999999994</v>
      </c>
    </row>
    <row r="8591" spans="1:21" ht="18.75" customHeight="1" thickBot="1">
      <c r="A8591" s="664"/>
      <c r="B8591" s="1273"/>
      <c r="C8591" s="1270"/>
      <c r="D8591" s="1270"/>
      <c r="E8591" s="665"/>
      <c r="F8591" s="1270"/>
      <c r="G8591" s="1274"/>
      <c r="H8591" s="1273"/>
      <c r="I8591" s="1842"/>
      <c r="J8591" s="1270"/>
      <c r="K8591" s="669"/>
      <c r="L8591" s="672"/>
      <c r="M8591" s="673"/>
      <c r="N8591" s="673"/>
      <c r="O8591" s="673"/>
      <c r="P8591" s="2010"/>
      <c r="R8591" s="497">
        <v>112</v>
      </c>
      <c r="S8591" s="497">
        <v>18.2</v>
      </c>
      <c r="T8591" s="497">
        <f>9.2*3</f>
        <v>27.599999999999998</v>
      </c>
      <c r="U8591" s="497">
        <f t="shared" si="1764"/>
        <v>56.25983999999999</v>
      </c>
    </row>
    <row r="8592" spans="1:21" ht="17.399999999999999">
      <c r="A8592" s="674"/>
      <c r="B8592" s="675"/>
      <c r="C8592" s="676"/>
      <c r="D8592" s="676"/>
      <c r="E8592" s="1980">
        <f>SUM(E8577:E8591)</f>
        <v>395.66</v>
      </c>
      <c r="F8592" s="677"/>
      <c r="G8592" s="678"/>
      <c r="H8592" s="679"/>
      <c r="I8592" s="1848"/>
      <c r="J8592" s="676"/>
      <c r="K8592" s="680"/>
      <c r="L8592" s="679"/>
      <c r="M8592" s="676"/>
      <c r="N8592" s="677"/>
      <c r="O8592" s="676"/>
      <c r="P8592" s="2010"/>
      <c r="R8592" s="497">
        <v>4</v>
      </c>
      <c r="S8592" s="497">
        <v>18.2</v>
      </c>
      <c r="T8592">
        <f>10.8*3</f>
        <v>32.400000000000006</v>
      </c>
      <c r="U8592" s="497">
        <f t="shared" si="1764"/>
        <v>2.3587200000000004</v>
      </c>
    </row>
    <row r="8593" spans="1:16" ht="18" thickBot="1">
      <c r="A8593" s="681"/>
      <c r="B8593" s="682"/>
      <c r="C8593" s="683"/>
      <c r="D8593" s="683"/>
      <c r="E8593" s="1981"/>
      <c r="F8593" s="684"/>
      <c r="G8593" s="685"/>
      <c r="H8593" s="686"/>
      <c r="I8593" s="1850"/>
      <c r="J8593" s="683"/>
      <c r="K8593" s="687"/>
      <c r="L8593" s="686"/>
      <c r="M8593" s="683"/>
      <c r="N8593" s="684"/>
      <c r="O8593" s="683"/>
      <c r="P8593" s="2010"/>
    </row>
    <row r="8594" spans="1:16" ht="17.399999999999999">
      <c r="A8594" s="688" t="s">
        <v>31</v>
      </c>
      <c r="B8594" s="676"/>
      <c r="C8594" s="676"/>
      <c r="D8594" s="676"/>
      <c r="E8594" s="676"/>
      <c r="F8594" s="677"/>
      <c r="G8594" s="676"/>
      <c r="H8594" s="677"/>
      <c r="I8594" s="1848"/>
      <c r="J8594" s="676"/>
      <c r="K8594" s="689"/>
      <c r="L8594" s="677"/>
      <c r="M8594" s="676"/>
      <c r="N8594" s="677"/>
      <c r="O8594" s="676"/>
      <c r="P8594" s="2010"/>
    </row>
    <row r="8595" spans="1:16" ht="18.75" customHeight="1">
      <c r="A8595" s="690"/>
      <c r="B8595" s="691"/>
      <c r="C8595" s="691"/>
      <c r="D8595" s="691"/>
      <c r="E8595" s="691"/>
      <c r="F8595" s="1269"/>
      <c r="G8595" s="691"/>
      <c r="H8595" s="1269"/>
      <c r="I8595" s="1849"/>
      <c r="J8595" s="691"/>
      <c r="K8595" s="693"/>
      <c r="L8595" s="1269"/>
      <c r="M8595" s="691"/>
      <c r="N8595" s="1269"/>
      <c r="O8595" s="691"/>
      <c r="P8595" s="2010"/>
    </row>
    <row r="8596" spans="1:16" ht="18" thickBot="1">
      <c r="A8596" s="1982" t="s">
        <v>32</v>
      </c>
      <c r="B8596" s="1983"/>
      <c r="C8596" s="1984" t="s">
        <v>33</v>
      </c>
      <c r="D8596" s="1985"/>
      <c r="E8596" s="694" t="s">
        <v>34</v>
      </c>
      <c r="F8596" s="694" t="s">
        <v>35</v>
      </c>
      <c r="G8596" s="1986" t="s">
        <v>36</v>
      </c>
      <c r="H8596" s="1987"/>
      <c r="I8596" s="1987"/>
      <c r="J8596" s="1987"/>
      <c r="K8596" s="1987"/>
      <c r="L8596" s="1987"/>
      <c r="M8596" s="1987"/>
      <c r="N8596" s="1987"/>
      <c r="O8596" s="1987"/>
      <c r="P8596" s="2010"/>
    </row>
    <row r="8597" spans="1:16" ht="17.399999999999999">
      <c r="A8597" s="1988"/>
      <c r="B8597" s="1989"/>
      <c r="C8597" s="1990"/>
      <c r="D8597" s="1989"/>
      <c r="E8597" s="1278"/>
      <c r="F8597" s="1275"/>
      <c r="G8597" s="1991"/>
      <c r="H8597" s="1992"/>
      <c r="I8597" s="1992"/>
      <c r="J8597" s="1992"/>
      <c r="K8597" s="1992"/>
      <c r="L8597" s="1992"/>
      <c r="M8597" s="1992"/>
      <c r="N8597" s="1992"/>
      <c r="O8597" s="1992"/>
      <c r="P8597" s="2010"/>
    </row>
    <row r="8598" spans="1:16" ht="17.399999999999999">
      <c r="A8598" s="1997" t="s">
        <v>37</v>
      </c>
      <c r="B8598" s="1998"/>
      <c r="C8598" s="1990"/>
      <c r="D8598" s="1989"/>
      <c r="E8598" s="1278"/>
      <c r="F8598" s="1275"/>
      <c r="G8598" s="1993"/>
      <c r="H8598" s="1994"/>
      <c r="I8598" s="1994"/>
      <c r="J8598" s="1994"/>
      <c r="K8598" s="1994"/>
      <c r="L8598" s="1994"/>
      <c r="M8598" s="1994"/>
      <c r="N8598" s="1994"/>
      <c r="O8598" s="1994"/>
      <c r="P8598" s="2010"/>
    </row>
    <row r="8599" spans="1:16" ht="17.399999999999999">
      <c r="A8599" s="1997" t="s">
        <v>38</v>
      </c>
      <c r="B8599" s="1998"/>
      <c r="C8599" s="1990"/>
      <c r="D8599" s="1989"/>
      <c r="E8599" s="1278"/>
      <c r="F8599" s="1275"/>
      <c r="G8599" s="1993"/>
      <c r="H8599" s="1994"/>
      <c r="I8599" s="1994"/>
      <c r="J8599" s="1994"/>
      <c r="K8599" s="1994"/>
      <c r="L8599" s="1994"/>
      <c r="M8599" s="1994"/>
      <c r="N8599" s="1994"/>
      <c r="O8599" s="1994"/>
      <c r="P8599" s="2010"/>
    </row>
    <row r="8600" spans="1:16" ht="17.399999999999999">
      <c r="A8600" s="1997" t="s">
        <v>39</v>
      </c>
      <c r="B8600" s="1998"/>
      <c r="C8600" s="1990"/>
      <c r="D8600" s="1989"/>
      <c r="E8600" s="1278"/>
      <c r="F8600" s="1275"/>
      <c r="G8600" s="1993"/>
      <c r="H8600" s="1994"/>
      <c r="I8600" s="1994"/>
      <c r="J8600" s="1994"/>
      <c r="K8600" s="1994"/>
      <c r="L8600" s="1994"/>
      <c r="M8600" s="1994"/>
      <c r="N8600" s="1994"/>
      <c r="O8600" s="1994"/>
      <c r="P8600" s="2010"/>
    </row>
    <row r="8601" spans="1:16" ht="17.399999999999999">
      <c r="A8601" s="1997" t="s">
        <v>40</v>
      </c>
      <c r="B8601" s="1998"/>
      <c r="C8601" s="1990"/>
      <c r="D8601" s="1989"/>
      <c r="E8601" s="1278"/>
      <c r="F8601" s="1275"/>
      <c r="G8601" s="1993"/>
      <c r="H8601" s="1994"/>
      <c r="I8601" s="1994"/>
      <c r="J8601" s="1994"/>
      <c r="K8601" s="1994"/>
      <c r="L8601" s="1994"/>
      <c r="M8601" s="1994"/>
      <c r="N8601" s="1994"/>
      <c r="O8601" s="1994"/>
      <c r="P8601" s="2010"/>
    </row>
    <row r="8602" spans="1:16" ht="18" thickBot="1">
      <c r="A8602" s="1999" t="s">
        <v>41</v>
      </c>
      <c r="B8602" s="2000"/>
      <c r="C8602" s="2001"/>
      <c r="D8602" s="2002"/>
      <c r="E8602" s="696"/>
      <c r="F8602" s="1276"/>
      <c r="G8602" s="1995"/>
      <c r="H8602" s="1996"/>
      <c r="I8602" s="1996"/>
      <c r="J8602" s="1996"/>
      <c r="K8602" s="1996"/>
      <c r="L8602" s="1996"/>
      <c r="M8602" s="1996"/>
      <c r="N8602" s="1996"/>
      <c r="O8602" s="1996"/>
      <c r="P8602" s="2010"/>
    </row>
    <row r="8603" spans="1:16" ht="18">
      <c r="A8603" s="690"/>
      <c r="B8603" s="691"/>
      <c r="C8603" s="691"/>
      <c r="D8603" s="691"/>
      <c r="E8603" s="691"/>
      <c r="F8603" s="1269"/>
      <c r="G8603" s="691"/>
      <c r="H8603" s="698"/>
      <c r="I8603" s="699"/>
      <c r="J8603" s="700"/>
      <c r="K8603" s="701"/>
      <c r="L8603" s="702"/>
      <c r="M8603" s="691"/>
      <c r="N8603" s="1269"/>
      <c r="O8603" s="691"/>
      <c r="P8603" s="2010"/>
    </row>
    <row r="8604" spans="1:16" ht="18">
      <c r="A8604" s="703" t="s">
        <v>42</v>
      </c>
      <c r="B8604" s="704"/>
      <c r="C8604" s="691"/>
      <c r="D8604" s="691"/>
      <c r="E8604" s="691"/>
      <c r="F8604" s="1269"/>
      <c r="G8604" s="704"/>
      <c r="H8604" s="698"/>
      <c r="I8604" s="699"/>
      <c r="J8604" s="700"/>
      <c r="K8604" s="693"/>
      <c r="L8604" s="705"/>
      <c r="M8604" s="691"/>
      <c r="N8604" s="1979" t="s">
        <v>43</v>
      </c>
      <c r="O8604" s="1979"/>
      <c r="P8604" s="2010"/>
    </row>
    <row r="8605" spans="1:16" ht="17.399999999999999">
      <c r="A8605" s="703"/>
      <c r="B8605" s="704"/>
      <c r="C8605" s="691"/>
      <c r="D8605" s="691"/>
      <c r="E8605" s="691"/>
      <c r="F8605" s="1269"/>
      <c r="G8605" s="691"/>
      <c r="H8605" s="1269"/>
      <c r="I8605" s="1849"/>
      <c r="J8605" s="691"/>
      <c r="K8605" s="693"/>
      <c r="L8605" s="1269"/>
      <c r="M8605" s="691"/>
      <c r="N8605" s="1269"/>
      <c r="O8605" s="704"/>
      <c r="P8605" s="2010"/>
    </row>
    <row r="8606" spans="1:16" ht="17.399999999999999">
      <c r="A8606" s="703" t="s">
        <v>44</v>
      </c>
      <c r="B8606" s="704"/>
      <c r="C8606" s="691"/>
      <c r="D8606" s="691"/>
      <c r="E8606" s="691"/>
      <c r="F8606" s="1269"/>
      <c r="G8606" s="691"/>
      <c r="H8606" s="1269"/>
      <c r="I8606" s="1849"/>
      <c r="J8606" s="691"/>
      <c r="K8606" s="693"/>
      <c r="L8606" s="1269"/>
      <c r="M8606" s="691"/>
      <c r="N8606" s="1979" t="s">
        <v>45</v>
      </c>
      <c r="O8606" s="1979"/>
      <c r="P8606" s="2010"/>
    </row>
    <row r="8607" spans="1:16" ht="18" thickBot="1">
      <c r="A8607" s="682"/>
      <c r="B8607" s="683"/>
      <c r="C8607" s="683"/>
      <c r="D8607" s="683"/>
      <c r="E8607" s="683"/>
      <c r="F8607" s="684"/>
      <c r="G8607" s="683"/>
      <c r="H8607" s="684"/>
      <c r="I8607" s="1850"/>
      <c r="J8607" s="683"/>
      <c r="K8607" s="706"/>
      <c r="L8607" s="684"/>
      <c r="M8607" s="683"/>
      <c r="N8607" s="684"/>
      <c r="O8607" s="683"/>
      <c r="P8607" s="2010"/>
    </row>
    <row r="8610" spans="1:16" ht="17.399999999999999">
      <c r="A8610" s="653" t="s">
        <v>48</v>
      </c>
      <c r="B8610" s="653"/>
      <c r="C8610" s="654"/>
      <c r="D8610" s="654"/>
      <c r="E8610" s="654"/>
      <c r="F8610" s="1278"/>
      <c r="G8610" s="654"/>
      <c r="H8610" s="1278"/>
      <c r="I8610" s="656"/>
      <c r="J8610" s="654"/>
      <c r="K8610" s="657"/>
      <c r="L8610" s="2003" t="s">
        <v>0</v>
      </c>
      <c r="M8610" s="2003"/>
      <c r="N8610" s="2003"/>
      <c r="O8610" s="2004"/>
      <c r="P8610" s="2010"/>
    </row>
    <row r="8611" spans="1:16" ht="17.399999999999999">
      <c r="A8611" s="658" t="s">
        <v>1</v>
      </c>
      <c r="B8611" s="658"/>
      <c r="C8611" s="658"/>
      <c r="D8611" s="659" t="s">
        <v>2</v>
      </c>
      <c r="E8611" s="659"/>
      <c r="F8611" s="660"/>
      <c r="G8611" s="660"/>
      <c r="H8611" s="660"/>
      <c r="I8611" s="661"/>
      <c r="J8611" s="660"/>
      <c r="K8611" s="662" t="s">
        <v>3</v>
      </c>
      <c r="L8611" s="660"/>
      <c r="M8611" s="658"/>
      <c r="N8611" s="660"/>
      <c r="O8611" s="663"/>
      <c r="P8611" s="2010"/>
    </row>
    <row r="8612" spans="1:16" ht="17.399999999999999">
      <c r="A8612" s="1278" t="s">
        <v>22</v>
      </c>
      <c r="B8612" s="1990" t="s">
        <v>23</v>
      </c>
      <c r="C8612" s="2005"/>
      <c r="D8612" s="1989"/>
      <c r="E8612" s="1278" t="s">
        <v>24</v>
      </c>
      <c r="F8612" s="1990" t="s">
        <v>25</v>
      </c>
      <c r="G8612" s="1989"/>
      <c r="H8612" s="1990" t="s">
        <v>26</v>
      </c>
      <c r="I8612" s="2005"/>
      <c r="J8612" s="2005"/>
      <c r="K8612" s="1989"/>
      <c r="L8612" s="2006" t="s">
        <v>27</v>
      </c>
      <c r="M8612" s="2006"/>
      <c r="N8612" s="2006"/>
      <c r="O8612" s="1990"/>
      <c r="P8612" s="2010"/>
    </row>
    <row r="8613" spans="1:16" ht="17.399999999999999">
      <c r="A8613" s="664"/>
      <c r="B8613" s="1975"/>
      <c r="C8613" s="1976"/>
      <c r="D8613" s="1977"/>
      <c r="E8613" s="665"/>
      <c r="F8613" s="1975"/>
      <c r="G8613" s="1977"/>
      <c r="H8613" s="1975"/>
      <c r="I8613" s="1976"/>
      <c r="J8613" s="1976"/>
      <c r="K8613" s="1977"/>
      <c r="L8613" s="1975"/>
      <c r="M8613" s="1976"/>
      <c r="N8613" s="1976"/>
      <c r="O8613" s="1976"/>
      <c r="P8613" s="2010"/>
    </row>
    <row r="8614" spans="1:16" s="497" customFormat="1" ht="17.399999999999999">
      <c r="A8614" s="664" t="s">
        <v>28</v>
      </c>
      <c r="B8614" s="1975" t="s">
        <v>141</v>
      </c>
      <c r="C8614" s="1976"/>
      <c r="D8614" s="1977"/>
      <c r="E8614" s="665">
        <v>221.70599999999999</v>
      </c>
      <c r="F8614" s="1973">
        <v>14</v>
      </c>
      <c r="G8614" s="1974"/>
      <c r="H8614" s="1975" t="s">
        <v>49</v>
      </c>
      <c r="I8614" s="1976"/>
      <c r="J8614" s="1976"/>
      <c r="K8614" s="1977"/>
      <c r="L8614" s="1976" t="s">
        <v>953</v>
      </c>
      <c r="M8614" s="1976"/>
      <c r="N8614" s="1976"/>
      <c r="O8614" s="1976"/>
      <c r="P8614" s="2010"/>
    </row>
    <row r="8615" spans="1:16" s="497" customFormat="1" ht="17.399999999999999">
      <c r="A8615" s="664" t="s">
        <v>29</v>
      </c>
      <c r="B8615" s="1975" t="s">
        <v>142</v>
      </c>
      <c r="C8615" s="1976"/>
      <c r="D8615" s="1977"/>
      <c r="E8615" s="665">
        <v>25.41</v>
      </c>
      <c r="F8615" s="1973">
        <v>14</v>
      </c>
      <c r="G8615" s="1974"/>
      <c r="H8615" s="1975" t="s">
        <v>49</v>
      </c>
      <c r="I8615" s="1976"/>
      <c r="J8615" s="1976"/>
      <c r="K8615" s="1977"/>
      <c r="L8615" s="1976" t="s">
        <v>955</v>
      </c>
      <c r="M8615" s="1976"/>
      <c r="N8615" s="1976"/>
      <c r="O8615" s="1976"/>
      <c r="P8615" s="2010"/>
    </row>
    <row r="8616" spans="1:16" s="497" customFormat="1" ht="17.399999999999999">
      <c r="A8616" s="664" t="s">
        <v>30</v>
      </c>
      <c r="B8616" s="1975" t="s">
        <v>143</v>
      </c>
      <c r="C8616" s="1976"/>
      <c r="D8616" s="1977"/>
      <c r="E8616" s="665">
        <v>3.669</v>
      </c>
      <c r="F8616" s="1973">
        <v>14</v>
      </c>
      <c r="G8616" s="1974"/>
      <c r="H8616" s="1975" t="s">
        <v>49</v>
      </c>
      <c r="I8616" s="1976"/>
      <c r="J8616" s="1976"/>
      <c r="K8616" s="1977"/>
      <c r="L8616" s="1976" t="s">
        <v>955</v>
      </c>
      <c r="M8616" s="1976"/>
      <c r="N8616" s="1976"/>
      <c r="O8616" s="1976"/>
      <c r="P8616" s="2010"/>
    </row>
    <row r="8617" spans="1:16" ht="17.399999999999999">
      <c r="A8617" s="664" t="s">
        <v>46</v>
      </c>
      <c r="B8617" s="1975" t="s">
        <v>140</v>
      </c>
      <c r="C8617" s="1976"/>
      <c r="D8617" s="1977"/>
      <c r="E8617" s="665">
        <v>8.5340000000000007</v>
      </c>
      <c r="F8617" s="1973">
        <v>14</v>
      </c>
      <c r="G8617" s="1974"/>
      <c r="H8617" s="1975" t="s">
        <v>49</v>
      </c>
      <c r="I8617" s="1976"/>
      <c r="J8617" s="1976"/>
      <c r="K8617" s="1977"/>
      <c r="L8617" s="1976" t="s">
        <v>955</v>
      </c>
      <c r="M8617" s="1976"/>
      <c r="N8617" s="1976"/>
      <c r="O8617" s="1976"/>
      <c r="P8617" s="2010"/>
    </row>
    <row r="8618" spans="1:16" s="497" customFormat="1" ht="17.399999999999999">
      <c r="A8618" s="664" t="s">
        <v>58</v>
      </c>
      <c r="B8618" s="1975" t="s">
        <v>139</v>
      </c>
      <c r="C8618" s="1976"/>
      <c r="D8618" s="1977"/>
      <c r="E8618" s="665">
        <v>3.2879999999999998</v>
      </c>
      <c r="F8618" s="1973">
        <v>14</v>
      </c>
      <c r="G8618" s="1974"/>
      <c r="H8618" s="1975" t="s">
        <v>49</v>
      </c>
      <c r="I8618" s="1976"/>
      <c r="J8618" s="1976"/>
      <c r="K8618" s="1977"/>
      <c r="L8618" s="1976" t="s">
        <v>955</v>
      </c>
      <c r="M8618" s="1976"/>
      <c r="N8618" s="1976"/>
      <c r="O8618" s="1976"/>
      <c r="P8618" s="2010"/>
    </row>
    <row r="8619" spans="1:16" ht="17.399999999999999">
      <c r="A8619" s="664"/>
      <c r="B8619" s="1975"/>
      <c r="C8619" s="1976"/>
      <c r="D8619" s="1977"/>
      <c r="E8619" s="665"/>
      <c r="F8619" s="1973"/>
      <c r="G8619" s="1974"/>
      <c r="H8619" s="1975"/>
      <c r="I8619" s="1976"/>
      <c r="J8619" s="1976"/>
      <c r="K8619" s="1977"/>
      <c r="L8619" s="1976"/>
      <c r="M8619" s="1976"/>
      <c r="N8619" s="1976"/>
      <c r="O8619" s="1976"/>
      <c r="P8619" s="2010"/>
    </row>
    <row r="8620" spans="1:16" ht="17.399999999999999">
      <c r="A8620" s="664" t="s">
        <v>163</v>
      </c>
      <c r="B8620" s="1976" t="s">
        <v>542</v>
      </c>
      <c r="C8620" s="1976"/>
      <c r="D8620" s="1976"/>
      <c r="E8620" s="665">
        <v>11.843</v>
      </c>
      <c r="F8620" s="1973">
        <v>14</v>
      </c>
      <c r="G8620" s="1974"/>
      <c r="H8620" s="1975" t="s">
        <v>582</v>
      </c>
      <c r="I8620" s="1976"/>
      <c r="J8620" s="1976"/>
      <c r="K8620" s="1977"/>
      <c r="L8620" s="1976" t="s">
        <v>742</v>
      </c>
      <c r="M8620" s="1976"/>
      <c r="N8620" s="1976"/>
      <c r="O8620" s="1976"/>
      <c r="P8620" s="2010"/>
    </row>
    <row r="8621" spans="1:16" ht="17.399999999999999">
      <c r="A8621" s="664"/>
      <c r="B8621" s="1976"/>
      <c r="C8621" s="1976"/>
      <c r="D8621" s="1976"/>
      <c r="E8621" s="665"/>
      <c r="F8621" s="1973"/>
      <c r="G8621" s="1974"/>
      <c r="H8621" s="1975"/>
      <c r="I8621" s="1976"/>
      <c r="J8621" s="1976"/>
      <c r="K8621" s="1977"/>
      <c r="L8621" s="1976"/>
      <c r="M8621" s="1976"/>
      <c r="N8621" s="1976"/>
      <c r="O8621" s="1976"/>
      <c r="P8621" s="2010"/>
    </row>
    <row r="8622" spans="1:16" ht="17.399999999999999">
      <c r="A8622" s="664" t="s">
        <v>302</v>
      </c>
      <c r="B8622" s="1976" t="s">
        <v>542</v>
      </c>
      <c r="C8622" s="1976"/>
      <c r="D8622" s="1976"/>
      <c r="E8622" s="665">
        <v>13.898</v>
      </c>
      <c r="F8622" s="1973">
        <v>14</v>
      </c>
      <c r="G8622" s="1974"/>
      <c r="H8622" s="1975" t="s">
        <v>450</v>
      </c>
      <c r="I8622" s="1976"/>
      <c r="J8622" s="1976"/>
      <c r="K8622" s="1977"/>
      <c r="L8622" s="1976" t="s">
        <v>437</v>
      </c>
      <c r="M8622" s="1976"/>
      <c r="N8622" s="1976"/>
      <c r="O8622" s="1976"/>
      <c r="P8622" s="2010"/>
    </row>
    <row r="8623" spans="1:16" ht="17.399999999999999">
      <c r="A8623" s="664" t="s">
        <v>380</v>
      </c>
      <c r="B8623" s="1976" t="s">
        <v>954</v>
      </c>
      <c r="C8623" s="1976"/>
      <c r="D8623" s="1976"/>
      <c r="E8623" s="665">
        <v>3</v>
      </c>
      <c r="F8623" s="1973">
        <v>14</v>
      </c>
      <c r="G8623" s="1974"/>
      <c r="H8623" s="1975" t="s">
        <v>450</v>
      </c>
      <c r="I8623" s="1976"/>
      <c r="J8623" s="1976"/>
      <c r="K8623" s="1977"/>
      <c r="L8623" s="1976" t="s">
        <v>437</v>
      </c>
      <c r="M8623" s="1976"/>
      <c r="N8623" s="1976"/>
      <c r="O8623" s="1976"/>
      <c r="P8623" s="2010"/>
    </row>
    <row r="8624" spans="1:16" ht="17.399999999999999">
      <c r="A8624" s="664"/>
      <c r="B8624" s="1975"/>
      <c r="C8624" s="1976"/>
      <c r="D8624" s="1977"/>
      <c r="E8624" s="665"/>
      <c r="F8624" s="1973"/>
      <c r="G8624" s="1974"/>
      <c r="H8624" s="1975"/>
      <c r="I8624" s="1976"/>
      <c r="J8624" s="1976"/>
      <c r="K8624" s="1977"/>
      <c r="L8624" s="1976"/>
      <c r="M8624" s="1976"/>
      <c r="N8624" s="1976"/>
      <c r="O8624" s="1976"/>
      <c r="P8624" s="2010"/>
    </row>
    <row r="8625" spans="1:16" ht="18" thickBot="1">
      <c r="A8625" s="664"/>
      <c r="B8625" s="1273"/>
      <c r="C8625" s="1270"/>
      <c r="D8625" s="1270"/>
      <c r="E8625" s="665"/>
      <c r="F8625" s="1270"/>
      <c r="G8625" s="1274"/>
      <c r="H8625" s="1273"/>
      <c r="I8625" s="1842"/>
      <c r="J8625" s="1270"/>
      <c r="K8625" s="669"/>
      <c r="L8625" s="672"/>
      <c r="M8625" s="673"/>
      <c r="N8625" s="673"/>
      <c r="O8625" s="673"/>
      <c r="P8625" s="2010"/>
    </row>
    <row r="8626" spans="1:16" ht="17.399999999999999">
      <c r="A8626" s="674"/>
      <c r="B8626" s="675"/>
      <c r="C8626" s="676"/>
      <c r="D8626" s="676"/>
      <c r="E8626" s="1980">
        <f>SUM(E8613:E8625)</f>
        <v>291.34800000000007</v>
      </c>
      <c r="F8626" s="677"/>
      <c r="G8626" s="678"/>
      <c r="H8626" s="679"/>
      <c r="I8626" s="1848"/>
      <c r="J8626" s="676"/>
      <c r="K8626" s="680"/>
      <c r="L8626" s="679"/>
      <c r="M8626" s="676"/>
      <c r="N8626" s="677"/>
      <c r="O8626" s="676"/>
      <c r="P8626" s="2010"/>
    </row>
    <row r="8627" spans="1:16" ht="18" thickBot="1">
      <c r="A8627" s="681"/>
      <c r="B8627" s="682"/>
      <c r="C8627" s="683"/>
      <c r="D8627" s="683"/>
      <c r="E8627" s="1981"/>
      <c r="F8627" s="684"/>
      <c r="G8627" s="685"/>
      <c r="H8627" s="686"/>
      <c r="I8627" s="1850"/>
      <c r="J8627" s="683"/>
      <c r="K8627" s="687"/>
      <c r="L8627" s="686"/>
      <c r="M8627" s="683"/>
      <c r="N8627" s="684"/>
      <c r="O8627" s="683"/>
      <c r="P8627" s="2010"/>
    </row>
    <row r="8628" spans="1:16" ht="17.399999999999999">
      <c r="A8628" s="688" t="s">
        <v>31</v>
      </c>
      <c r="B8628" s="676"/>
      <c r="C8628" s="676"/>
      <c r="D8628" s="676"/>
      <c r="E8628" s="676"/>
      <c r="F8628" s="677"/>
      <c r="G8628" s="676"/>
      <c r="H8628" s="677"/>
      <c r="I8628" s="1848"/>
      <c r="J8628" s="676"/>
      <c r="K8628" s="689"/>
      <c r="L8628" s="677"/>
      <c r="M8628" s="676"/>
      <c r="N8628" s="677"/>
      <c r="O8628" s="676"/>
      <c r="P8628" s="2010"/>
    </row>
    <row r="8629" spans="1:16" ht="17.399999999999999">
      <c r="A8629" s="690"/>
      <c r="B8629" s="691"/>
      <c r="C8629" s="691"/>
      <c r="D8629" s="691"/>
      <c r="E8629" s="691"/>
      <c r="F8629" s="1269"/>
      <c r="G8629" s="691"/>
      <c r="H8629" s="1269"/>
      <c r="I8629" s="1849"/>
      <c r="J8629" s="691"/>
      <c r="K8629" s="693"/>
      <c r="L8629" s="1269"/>
      <c r="M8629" s="691"/>
      <c r="N8629" s="1269"/>
      <c r="O8629" s="691"/>
      <c r="P8629" s="2010"/>
    </row>
    <row r="8630" spans="1:16" ht="18" thickBot="1">
      <c r="A8630" s="1982" t="s">
        <v>32</v>
      </c>
      <c r="B8630" s="1983"/>
      <c r="C8630" s="1984" t="s">
        <v>33</v>
      </c>
      <c r="D8630" s="1985"/>
      <c r="E8630" s="694" t="s">
        <v>34</v>
      </c>
      <c r="F8630" s="694" t="s">
        <v>35</v>
      </c>
      <c r="G8630" s="1986" t="s">
        <v>36</v>
      </c>
      <c r="H8630" s="1987"/>
      <c r="I8630" s="1987"/>
      <c r="J8630" s="1987"/>
      <c r="K8630" s="1987"/>
      <c r="L8630" s="1987"/>
      <c r="M8630" s="1987"/>
      <c r="N8630" s="1987"/>
      <c r="O8630" s="1987"/>
      <c r="P8630" s="2010"/>
    </row>
    <row r="8631" spans="1:16" ht="17.399999999999999">
      <c r="A8631" s="1988"/>
      <c r="B8631" s="1989"/>
      <c r="C8631" s="1990"/>
      <c r="D8631" s="1989"/>
      <c r="E8631" s="1278"/>
      <c r="F8631" s="1275"/>
      <c r="G8631" s="1991"/>
      <c r="H8631" s="1992"/>
      <c r="I8631" s="1992"/>
      <c r="J8631" s="1992"/>
      <c r="K8631" s="1992"/>
      <c r="L8631" s="1992"/>
      <c r="M8631" s="1992"/>
      <c r="N8631" s="1992"/>
      <c r="O8631" s="1992"/>
      <c r="P8631" s="2010"/>
    </row>
    <row r="8632" spans="1:16" ht="17.399999999999999">
      <c r="A8632" s="1997" t="s">
        <v>37</v>
      </c>
      <c r="B8632" s="1998"/>
      <c r="C8632" s="1990"/>
      <c r="D8632" s="1989"/>
      <c r="E8632" s="1278"/>
      <c r="F8632" s="1275"/>
      <c r="G8632" s="1993"/>
      <c r="H8632" s="1994"/>
      <c r="I8632" s="1994"/>
      <c r="J8632" s="1994"/>
      <c r="K8632" s="1994"/>
      <c r="L8632" s="1994"/>
      <c r="M8632" s="1994"/>
      <c r="N8632" s="1994"/>
      <c r="O8632" s="1994"/>
      <c r="P8632" s="2010"/>
    </row>
    <row r="8633" spans="1:16" ht="17.399999999999999">
      <c r="A8633" s="1997" t="s">
        <v>38</v>
      </c>
      <c r="B8633" s="1998"/>
      <c r="C8633" s="1990"/>
      <c r="D8633" s="1989"/>
      <c r="E8633" s="1278"/>
      <c r="F8633" s="1275"/>
      <c r="G8633" s="1993"/>
      <c r="H8633" s="1994"/>
      <c r="I8633" s="1994"/>
      <c r="J8633" s="1994"/>
      <c r="K8633" s="1994"/>
      <c r="L8633" s="1994"/>
      <c r="M8633" s="1994"/>
      <c r="N8633" s="1994"/>
      <c r="O8633" s="1994"/>
      <c r="P8633" s="2010"/>
    </row>
    <row r="8634" spans="1:16" ht="17.399999999999999">
      <c r="A8634" s="1997" t="s">
        <v>39</v>
      </c>
      <c r="B8634" s="1998"/>
      <c r="C8634" s="1990"/>
      <c r="D8634" s="1989"/>
      <c r="E8634" s="1278"/>
      <c r="F8634" s="1275"/>
      <c r="G8634" s="1993"/>
      <c r="H8634" s="1994"/>
      <c r="I8634" s="1994"/>
      <c r="J8634" s="1994"/>
      <c r="K8634" s="1994"/>
      <c r="L8634" s="1994"/>
      <c r="M8634" s="1994"/>
      <c r="N8634" s="1994"/>
      <c r="O8634" s="1994"/>
      <c r="P8634" s="2010"/>
    </row>
    <row r="8635" spans="1:16" ht="17.399999999999999">
      <c r="A8635" s="1997" t="s">
        <v>40</v>
      </c>
      <c r="B8635" s="1998"/>
      <c r="C8635" s="1990"/>
      <c r="D8635" s="1989"/>
      <c r="E8635" s="1278"/>
      <c r="F8635" s="1275"/>
      <c r="G8635" s="1993"/>
      <c r="H8635" s="1994"/>
      <c r="I8635" s="1994"/>
      <c r="J8635" s="1994"/>
      <c r="K8635" s="1994"/>
      <c r="L8635" s="1994"/>
      <c r="M8635" s="1994"/>
      <c r="N8635" s="1994"/>
      <c r="O8635" s="1994"/>
      <c r="P8635" s="2010"/>
    </row>
    <row r="8636" spans="1:16" ht="18" thickBot="1">
      <c r="A8636" s="1999" t="s">
        <v>41</v>
      </c>
      <c r="B8636" s="2000"/>
      <c r="C8636" s="2001"/>
      <c r="D8636" s="2002"/>
      <c r="E8636" s="696"/>
      <c r="F8636" s="1276"/>
      <c r="G8636" s="1995"/>
      <c r="H8636" s="1996"/>
      <c r="I8636" s="1996"/>
      <c r="J8636" s="1996"/>
      <c r="K8636" s="1996"/>
      <c r="L8636" s="1996"/>
      <c r="M8636" s="1996"/>
      <c r="N8636" s="1996"/>
      <c r="O8636" s="1996"/>
      <c r="P8636" s="2010"/>
    </row>
    <row r="8637" spans="1:16" ht="18">
      <c r="A8637" s="690"/>
      <c r="B8637" s="691"/>
      <c r="C8637" s="691"/>
      <c r="D8637" s="691"/>
      <c r="E8637" s="691"/>
      <c r="F8637" s="1269"/>
      <c r="G8637" s="691"/>
      <c r="H8637" s="698"/>
      <c r="I8637" s="699"/>
      <c r="J8637" s="700"/>
      <c r="K8637" s="701"/>
      <c r="L8637" s="702"/>
      <c r="M8637" s="691"/>
      <c r="N8637" s="1269"/>
      <c r="O8637" s="691"/>
      <c r="P8637" s="2010"/>
    </row>
    <row r="8638" spans="1:16" ht="18">
      <c r="A8638" s="703" t="s">
        <v>42</v>
      </c>
      <c r="B8638" s="704"/>
      <c r="C8638" s="691"/>
      <c r="D8638" s="691"/>
      <c r="E8638" s="691"/>
      <c r="F8638" s="1269"/>
      <c r="G8638" s="704"/>
      <c r="H8638" s="698"/>
      <c r="I8638" s="699"/>
      <c r="J8638" s="700"/>
      <c r="K8638" s="693"/>
      <c r="L8638" s="705"/>
      <c r="M8638" s="691"/>
      <c r="N8638" s="1979" t="s">
        <v>43</v>
      </c>
      <c r="O8638" s="1979"/>
      <c r="P8638" s="2010"/>
    </row>
    <row r="8639" spans="1:16" ht="17.399999999999999">
      <c r="A8639" s="703"/>
      <c r="B8639" s="704"/>
      <c r="C8639" s="691"/>
      <c r="D8639" s="691"/>
      <c r="E8639" s="691"/>
      <c r="F8639" s="1269"/>
      <c r="G8639" s="691"/>
      <c r="H8639" s="1269"/>
      <c r="I8639" s="1849"/>
      <c r="J8639" s="691"/>
      <c r="K8639" s="693"/>
      <c r="L8639" s="1269"/>
      <c r="M8639" s="691"/>
      <c r="N8639" s="1269"/>
      <c r="O8639" s="704"/>
      <c r="P8639" s="2010"/>
    </row>
    <row r="8640" spans="1:16" ht="17.399999999999999">
      <c r="A8640" s="703" t="s">
        <v>44</v>
      </c>
      <c r="B8640" s="704"/>
      <c r="C8640" s="691"/>
      <c r="D8640" s="691"/>
      <c r="E8640" s="691"/>
      <c r="F8640" s="1269"/>
      <c r="G8640" s="691"/>
      <c r="H8640" s="1269"/>
      <c r="I8640" s="1849"/>
      <c r="J8640" s="691"/>
      <c r="K8640" s="693"/>
      <c r="L8640" s="1269"/>
      <c r="M8640" s="691"/>
      <c r="N8640" s="1979" t="s">
        <v>45</v>
      </c>
      <c r="O8640" s="1979"/>
      <c r="P8640" s="2010"/>
    </row>
    <row r="8641" spans="1:16" ht="18" thickBot="1">
      <c r="A8641" s="682"/>
      <c r="B8641" s="683"/>
      <c r="C8641" s="683"/>
      <c r="D8641" s="683"/>
      <c r="E8641" s="683"/>
      <c r="F8641" s="684"/>
      <c r="G8641" s="683"/>
      <c r="H8641" s="684"/>
      <c r="I8641" s="1850"/>
      <c r="J8641" s="683"/>
      <c r="K8641" s="706"/>
      <c r="L8641" s="684"/>
      <c r="M8641" s="683"/>
      <c r="N8641" s="684"/>
      <c r="O8641" s="683"/>
      <c r="P8641" s="2010"/>
    </row>
    <row r="8645" spans="1:16" ht="17.399999999999999">
      <c r="A8645" s="653" t="s">
        <v>48</v>
      </c>
      <c r="B8645" s="653"/>
      <c r="C8645" s="654"/>
      <c r="D8645" s="654"/>
      <c r="E8645" s="654"/>
      <c r="F8645" s="1278"/>
      <c r="G8645" s="654"/>
      <c r="H8645" s="1278"/>
      <c r="I8645" s="656"/>
      <c r="J8645" s="654"/>
      <c r="K8645" s="657"/>
      <c r="L8645" s="2003" t="s">
        <v>0</v>
      </c>
      <c r="M8645" s="2003"/>
      <c r="N8645" s="2003"/>
      <c r="O8645" s="2004"/>
      <c r="P8645" s="2010"/>
    </row>
    <row r="8646" spans="1:16" ht="17.399999999999999">
      <c r="A8646" s="658" t="s">
        <v>1</v>
      </c>
      <c r="B8646" s="658"/>
      <c r="C8646" s="658"/>
      <c r="D8646" s="659" t="s">
        <v>2</v>
      </c>
      <c r="E8646" s="659"/>
      <c r="F8646" s="660"/>
      <c r="G8646" s="660"/>
      <c r="H8646" s="660"/>
      <c r="I8646" s="661"/>
      <c r="J8646" s="660"/>
      <c r="K8646" s="662" t="s">
        <v>3</v>
      </c>
      <c r="L8646" s="660"/>
      <c r="M8646" s="658"/>
      <c r="N8646" s="660"/>
      <c r="O8646" s="663"/>
      <c r="P8646" s="2010"/>
    </row>
    <row r="8647" spans="1:16" ht="17.399999999999999">
      <c r="A8647" s="1278" t="s">
        <v>22</v>
      </c>
      <c r="B8647" s="1990" t="s">
        <v>23</v>
      </c>
      <c r="C8647" s="2005"/>
      <c r="D8647" s="1989"/>
      <c r="E8647" s="1278" t="s">
        <v>24</v>
      </c>
      <c r="F8647" s="1990" t="s">
        <v>25</v>
      </c>
      <c r="G8647" s="1989"/>
      <c r="H8647" s="1990" t="s">
        <v>26</v>
      </c>
      <c r="I8647" s="2005"/>
      <c r="J8647" s="2005"/>
      <c r="K8647" s="1989"/>
      <c r="L8647" s="2006" t="s">
        <v>27</v>
      </c>
      <c r="M8647" s="2006"/>
      <c r="N8647" s="2006"/>
      <c r="O8647" s="1990"/>
      <c r="P8647" s="2010"/>
    </row>
    <row r="8648" spans="1:16" ht="17.399999999999999">
      <c r="A8648" s="664"/>
      <c r="B8648" s="1975"/>
      <c r="C8648" s="1976"/>
      <c r="D8648" s="1977"/>
      <c r="E8648" s="665"/>
      <c r="F8648" s="1975"/>
      <c r="G8648" s="1977"/>
      <c r="H8648" s="1975"/>
      <c r="I8648" s="1976"/>
      <c r="J8648" s="1976"/>
      <c r="K8648" s="1977"/>
      <c r="L8648" s="1975"/>
      <c r="M8648" s="1976"/>
      <c r="N8648" s="1976"/>
      <c r="O8648" s="1976"/>
      <c r="P8648" s="2010"/>
    </row>
    <row r="8649" spans="1:16" s="497" customFormat="1" ht="17.399999999999999">
      <c r="A8649" s="664"/>
      <c r="B8649" s="1273"/>
      <c r="C8649" s="1270"/>
      <c r="D8649" s="1274"/>
      <c r="E8649" s="665"/>
      <c r="F8649" s="1273"/>
      <c r="G8649" s="1274"/>
      <c r="H8649" s="1273"/>
      <c r="I8649" s="1842"/>
      <c r="J8649" s="1270"/>
      <c r="K8649" s="1274"/>
      <c r="L8649" s="1270"/>
      <c r="M8649" s="1270"/>
      <c r="N8649" s="1270"/>
      <c r="O8649" s="1270"/>
      <c r="P8649" s="2010"/>
    </row>
    <row r="8650" spans="1:16" ht="17.399999999999999">
      <c r="A8650" s="664" t="s">
        <v>28</v>
      </c>
      <c r="B8650" s="1975" t="s">
        <v>301</v>
      </c>
      <c r="C8650" s="1976"/>
      <c r="D8650" s="1977"/>
      <c r="E8650" s="665">
        <v>22.062999999999999</v>
      </c>
      <c r="F8650" s="1973">
        <v>16</v>
      </c>
      <c r="G8650" s="1974"/>
      <c r="H8650" s="1975" t="s">
        <v>49</v>
      </c>
      <c r="I8650" s="1976"/>
      <c r="J8650" s="1976"/>
      <c r="K8650" s="1977"/>
      <c r="L8650" s="1976" t="s">
        <v>956</v>
      </c>
      <c r="M8650" s="1976"/>
      <c r="N8650" s="1976"/>
      <c r="O8650" s="1976"/>
      <c r="P8650" s="2010"/>
    </row>
    <row r="8651" spans="1:16" ht="17.399999999999999">
      <c r="A8651" s="664" t="s">
        <v>29</v>
      </c>
      <c r="B8651" s="1975" t="s">
        <v>183</v>
      </c>
      <c r="C8651" s="1976"/>
      <c r="D8651" s="1977"/>
      <c r="E8651" s="665">
        <v>10.523999999999999</v>
      </c>
      <c r="F8651" s="1973">
        <v>16</v>
      </c>
      <c r="G8651" s="1974"/>
      <c r="H8651" s="1975" t="s">
        <v>49</v>
      </c>
      <c r="I8651" s="1976"/>
      <c r="J8651" s="1976"/>
      <c r="K8651" s="1977"/>
      <c r="L8651" s="1976" t="s">
        <v>956</v>
      </c>
      <c r="M8651" s="1976"/>
      <c r="N8651" s="1976"/>
      <c r="O8651" s="1976"/>
      <c r="P8651" s="2010"/>
    </row>
    <row r="8652" spans="1:16" ht="17.399999999999999">
      <c r="A8652" s="664" t="s">
        <v>30</v>
      </c>
      <c r="B8652" s="1975" t="s">
        <v>184</v>
      </c>
      <c r="C8652" s="1976"/>
      <c r="D8652" s="1977"/>
      <c r="E8652" s="665">
        <v>12.87</v>
      </c>
      <c r="F8652" s="1973">
        <v>16</v>
      </c>
      <c r="G8652" s="1974"/>
      <c r="H8652" s="1975" t="s">
        <v>49</v>
      </c>
      <c r="I8652" s="1976"/>
      <c r="J8652" s="1976"/>
      <c r="K8652" s="1977"/>
      <c r="L8652" s="1976" t="s">
        <v>956</v>
      </c>
      <c r="M8652" s="1976"/>
      <c r="N8652" s="1976"/>
      <c r="O8652" s="1976"/>
      <c r="P8652" s="2010"/>
    </row>
    <row r="8653" spans="1:16" ht="17.399999999999999">
      <c r="A8653" s="664" t="s">
        <v>46</v>
      </c>
      <c r="B8653" s="1975" t="s">
        <v>185</v>
      </c>
      <c r="C8653" s="1976"/>
      <c r="D8653" s="1977"/>
      <c r="E8653" s="665">
        <v>384.90100000000001</v>
      </c>
      <c r="F8653" s="1973">
        <v>16</v>
      </c>
      <c r="G8653" s="1974"/>
      <c r="H8653" s="1975" t="s">
        <v>49</v>
      </c>
      <c r="I8653" s="1976"/>
      <c r="J8653" s="1976"/>
      <c r="K8653" s="1977"/>
      <c r="L8653" s="1976" t="s">
        <v>957</v>
      </c>
      <c r="M8653" s="1976"/>
      <c r="N8653" s="1976"/>
      <c r="O8653" s="1976"/>
      <c r="P8653" s="2010"/>
    </row>
    <row r="8654" spans="1:16" ht="17.399999999999999">
      <c r="A8654" s="664" t="s">
        <v>58</v>
      </c>
      <c r="B8654" s="1975" t="s">
        <v>186</v>
      </c>
      <c r="C8654" s="1976"/>
      <c r="D8654" s="1977"/>
      <c r="E8654" s="665">
        <v>5.5359999999999996</v>
      </c>
      <c r="F8654" s="1973">
        <v>16</v>
      </c>
      <c r="G8654" s="1974"/>
      <c r="H8654" s="1975" t="s">
        <v>49</v>
      </c>
      <c r="I8654" s="1976"/>
      <c r="J8654" s="1976"/>
      <c r="K8654" s="1977"/>
      <c r="L8654" s="1976" t="s">
        <v>958</v>
      </c>
      <c r="M8654" s="1976"/>
      <c r="N8654" s="1976"/>
      <c r="O8654" s="1976"/>
      <c r="P8654" s="2010"/>
    </row>
    <row r="8655" spans="1:16" ht="17.399999999999999">
      <c r="A8655" s="664" t="s">
        <v>163</v>
      </c>
      <c r="B8655" s="1975" t="s">
        <v>555</v>
      </c>
      <c r="C8655" s="1976"/>
      <c r="D8655" s="1977"/>
      <c r="E8655" s="665">
        <v>18.786000000000001</v>
      </c>
      <c r="F8655" s="1973">
        <v>16</v>
      </c>
      <c r="G8655" s="1974"/>
      <c r="H8655" s="1975" t="s">
        <v>49</v>
      </c>
      <c r="I8655" s="1976"/>
      <c r="J8655" s="1976"/>
      <c r="K8655" s="1977"/>
      <c r="L8655" s="1976" t="s">
        <v>958</v>
      </c>
      <c r="M8655" s="1976"/>
      <c r="N8655" s="1976"/>
      <c r="O8655" s="1976"/>
      <c r="P8655" s="2010"/>
    </row>
    <row r="8656" spans="1:16" ht="17.399999999999999">
      <c r="A8656" s="664" t="s">
        <v>302</v>
      </c>
      <c r="B8656" s="1975" t="s">
        <v>187</v>
      </c>
      <c r="C8656" s="1976"/>
      <c r="D8656" s="1977"/>
      <c r="E8656" s="665">
        <v>55.664999999999999</v>
      </c>
      <c r="F8656" s="1973">
        <v>16</v>
      </c>
      <c r="G8656" s="1974"/>
      <c r="H8656" s="1975" t="s">
        <v>49</v>
      </c>
      <c r="I8656" s="1976"/>
      <c r="J8656" s="1976"/>
      <c r="K8656" s="1977"/>
      <c r="L8656" s="1976" t="s">
        <v>958</v>
      </c>
      <c r="M8656" s="1976"/>
      <c r="N8656" s="1976"/>
      <c r="O8656" s="1976"/>
      <c r="P8656" s="2010"/>
    </row>
    <row r="8657" spans="1:16" ht="17.399999999999999">
      <c r="A8657" s="664" t="s">
        <v>380</v>
      </c>
      <c r="B8657" s="1975" t="s">
        <v>556</v>
      </c>
      <c r="C8657" s="1976"/>
      <c r="D8657" s="1977"/>
      <c r="E8657" s="665">
        <v>3.9</v>
      </c>
      <c r="F8657" s="1973">
        <v>16</v>
      </c>
      <c r="G8657" s="1974"/>
      <c r="H8657" s="1975" t="s">
        <v>49</v>
      </c>
      <c r="I8657" s="1976"/>
      <c r="J8657" s="1976"/>
      <c r="K8657" s="1977"/>
      <c r="L8657" s="1976" t="s">
        <v>958</v>
      </c>
      <c r="M8657" s="1976"/>
      <c r="N8657" s="1976"/>
      <c r="O8657" s="1976"/>
      <c r="P8657" s="2010"/>
    </row>
    <row r="8658" spans="1:16" ht="17.399999999999999">
      <c r="A8658" s="664" t="s">
        <v>434</v>
      </c>
      <c r="B8658" s="1975" t="s">
        <v>188</v>
      </c>
      <c r="C8658" s="1976"/>
      <c r="D8658" s="1977"/>
      <c r="E8658" s="665">
        <v>13.414999999999999</v>
      </c>
      <c r="F8658" s="1973">
        <v>16</v>
      </c>
      <c r="G8658" s="1974"/>
      <c r="H8658" s="1975" t="s">
        <v>49</v>
      </c>
      <c r="I8658" s="1976"/>
      <c r="J8658" s="1976"/>
      <c r="K8658" s="1977"/>
      <c r="L8658" s="1976" t="s">
        <v>958</v>
      </c>
      <c r="M8658" s="1976"/>
      <c r="N8658" s="1976"/>
      <c r="O8658" s="1976"/>
      <c r="P8658" s="2010"/>
    </row>
    <row r="8659" spans="1:16" ht="17.399999999999999">
      <c r="A8659" s="664"/>
      <c r="B8659" s="1976"/>
      <c r="C8659" s="1976"/>
      <c r="D8659" s="1976"/>
      <c r="E8659" s="665"/>
      <c r="F8659" s="1973"/>
      <c r="G8659" s="1974"/>
      <c r="H8659" s="1975"/>
      <c r="I8659" s="1976"/>
      <c r="J8659" s="1976"/>
      <c r="K8659" s="1977"/>
      <c r="L8659" s="1976"/>
      <c r="M8659" s="1976"/>
      <c r="N8659" s="1976"/>
      <c r="O8659" s="1976"/>
      <c r="P8659" s="2010"/>
    </row>
    <row r="8660" spans="1:16" ht="18" thickBot="1">
      <c r="A8660" s="664"/>
      <c r="B8660" s="1273"/>
      <c r="C8660" s="1270"/>
      <c r="D8660" s="1270"/>
      <c r="E8660" s="665"/>
      <c r="F8660" s="1270"/>
      <c r="G8660" s="1274"/>
      <c r="H8660" s="1273"/>
      <c r="I8660" s="1842"/>
      <c r="J8660" s="1270"/>
      <c r="K8660" s="669"/>
      <c r="L8660" s="672"/>
      <c r="M8660" s="673"/>
      <c r="N8660" s="673"/>
      <c r="O8660" s="673"/>
      <c r="P8660" s="2010"/>
    </row>
    <row r="8661" spans="1:16" ht="17.399999999999999">
      <c r="A8661" s="674"/>
      <c r="B8661" s="675"/>
      <c r="C8661" s="676"/>
      <c r="D8661" s="676"/>
      <c r="E8661" s="1980">
        <f>SUM(E8648:E8660)</f>
        <v>527.66</v>
      </c>
      <c r="F8661" s="677"/>
      <c r="G8661" s="678"/>
      <c r="H8661" s="679"/>
      <c r="I8661" s="1848"/>
      <c r="J8661" s="676"/>
      <c r="K8661" s="680"/>
      <c r="L8661" s="679"/>
      <c r="M8661" s="676"/>
      <c r="N8661" s="677"/>
      <c r="O8661" s="676"/>
      <c r="P8661" s="2010"/>
    </row>
    <row r="8662" spans="1:16" ht="18" thickBot="1">
      <c r="A8662" s="681"/>
      <c r="B8662" s="682"/>
      <c r="C8662" s="683"/>
      <c r="D8662" s="683"/>
      <c r="E8662" s="1981"/>
      <c r="F8662" s="684"/>
      <c r="G8662" s="685"/>
      <c r="H8662" s="686"/>
      <c r="I8662" s="1850"/>
      <c r="J8662" s="683"/>
      <c r="K8662" s="687"/>
      <c r="L8662" s="686"/>
      <c r="M8662" s="683"/>
      <c r="N8662" s="684"/>
      <c r="O8662" s="683"/>
      <c r="P8662" s="2010"/>
    </row>
    <row r="8663" spans="1:16" ht="17.399999999999999">
      <c r="A8663" s="688" t="s">
        <v>31</v>
      </c>
      <c r="B8663" s="676"/>
      <c r="C8663" s="676"/>
      <c r="D8663" s="676"/>
      <c r="E8663" s="676"/>
      <c r="F8663" s="677"/>
      <c r="G8663" s="676"/>
      <c r="H8663" s="677"/>
      <c r="I8663" s="1848"/>
      <c r="J8663" s="676"/>
      <c r="K8663" s="689"/>
      <c r="L8663" s="677"/>
      <c r="M8663" s="676"/>
      <c r="N8663" s="677"/>
      <c r="O8663" s="676"/>
      <c r="P8663" s="2010"/>
    </row>
    <row r="8664" spans="1:16" ht="17.399999999999999">
      <c r="A8664" s="690"/>
      <c r="B8664" s="691"/>
      <c r="C8664" s="691"/>
      <c r="D8664" s="691"/>
      <c r="E8664" s="691"/>
      <c r="F8664" s="1269"/>
      <c r="G8664" s="691"/>
      <c r="H8664" s="1269"/>
      <c r="I8664" s="1849"/>
      <c r="J8664" s="691"/>
      <c r="K8664" s="693"/>
      <c r="L8664" s="1269"/>
      <c r="M8664" s="691"/>
      <c r="N8664" s="1269"/>
      <c r="O8664" s="691"/>
      <c r="P8664" s="2010"/>
    </row>
    <row r="8665" spans="1:16" ht="18" thickBot="1">
      <c r="A8665" s="1982" t="s">
        <v>32</v>
      </c>
      <c r="B8665" s="1983"/>
      <c r="C8665" s="1984" t="s">
        <v>33</v>
      </c>
      <c r="D8665" s="1985"/>
      <c r="E8665" s="694" t="s">
        <v>34</v>
      </c>
      <c r="F8665" s="694" t="s">
        <v>35</v>
      </c>
      <c r="G8665" s="1986" t="s">
        <v>36</v>
      </c>
      <c r="H8665" s="1987"/>
      <c r="I8665" s="1987"/>
      <c r="J8665" s="1987"/>
      <c r="K8665" s="1987"/>
      <c r="L8665" s="1987"/>
      <c r="M8665" s="1987"/>
      <c r="N8665" s="1987"/>
      <c r="O8665" s="1987"/>
      <c r="P8665" s="2010"/>
    </row>
    <row r="8666" spans="1:16" ht="17.399999999999999">
      <c r="A8666" s="1988"/>
      <c r="B8666" s="1989"/>
      <c r="C8666" s="1990"/>
      <c r="D8666" s="1989"/>
      <c r="E8666" s="1278"/>
      <c r="F8666" s="1275"/>
      <c r="G8666" s="1991"/>
      <c r="H8666" s="1992"/>
      <c r="I8666" s="1992"/>
      <c r="J8666" s="1992"/>
      <c r="K8666" s="1992"/>
      <c r="L8666" s="1992"/>
      <c r="M8666" s="1992"/>
      <c r="N8666" s="1992"/>
      <c r="O8666" s="1992"/>
      <c r="P8666" s="2010"/>
    </row>
    <row r="8667" spans="1:16" ht="17.399999999999999">
      <c r="A8667" s="1997" t="s">
        <v>37</v>
      </c>
      <c r="B8667" s="1998"/>
      <c r="C8667" s="1990"/>
      <c r="D8667" s="1989"/>
      <c r="E8667" s="1278"/>
      <c r="F8667" s="1275"/>
      <c r="G8667" s="1993"/>
      <c r="H8667" s="1994"/>
      <c r="I8667" s="1994"/>
      <c r="J8667" s="1994"/>
      <c r="K8667" s="1994"/>
      <c r="L8667" s="1994"/>
      <c r="M8667" s="1994"/>
      <c r="N8667" s="1994"/>
      <c r="O8667" s="1994"/>
      <c r="P8667" s="2010"/>
    </row>
    <row r="8668" spans="1:16" ht="17.399999999999999">
      <c r="A8668" s="1997" t="s">
        <v>38</v>
      </c>
      <c r="B8668" s="1998"/>
      <c r="C8668" s="1990"/>
      <c r="D8668" s="1989"/>
      <c r="E8668" s="1278"/>
      <c r="F8668" s="1275"/>
      <c r="G8668" s="1993"/>
      <c r="H8668" s="1994"/>
      <c r="I8668" s="1994"/>
      <c r="J8668" s="1994"/>
      <c r="K8668" s="1994"/>
      <c r="L8668" s="1994"/>
      <c r="M8668" s="1994"/>
      <c r="N8668" s="1994"/>
      <c r="O8668" s="1994"/>
      <c r="P8668" s="2010"/>
    </row>
    <row r="8669" spans="1:16" ht="17.399999999999999">
      <c r="A8669" s="1997" t="s">
        <v>39</v>
      </c>
      <c r="B8669" s="1998"/>
      <c r="C8669" s="1990"/>
      <c r="D8669" s="1989"/>
      <c r="E8669" s="1278"/>
      <c r="F8669" s="1275"/>
      <c r="G8669" s="1993"/>
      <c r="H8669" s="1994"/>
      <c r="I8669" s="1994"/>
      <c r="J8669" s="1994"/>
      <c r="K8669" s="1994"/>
      <c r="L8669" s="1994"/>
      <c r="M8669" s="1994"/>
      <c r="N8669" s="1994"/>
      <c r="O8669" s="1994"/>
      <c r="P8669" s="2010"/>
    </row>
    <row r="8670" spans="1:16" ht="17.399999999999999">
      <c r="A8670" s="1997" t="s">
        <v>40</v>
      </c>
      <c r="B8670" s="1998"/>
      <c r="C8670" s="1990"/>
      <c r="D8670" s="1989"/>
      <c r="E8670" s="1278"/>
      <c r="F8670" s="1275"/>
      <c r="G8670" s="1993"/>
      <c r="H8670" s="1994"/>
      <c r="I8670" s="1994"/>
      <c r="J8670" s="1994"/>
      <c r="K8670" s="1994"/>
      <c r="L8670" s="1994"/>
      <c r="M8670" s="1994"/>
      <c r="N8670" s="1994"/>
      <c r="O8670" s="1994"/>
      <c r="P8670" s="2010"/>
    </row>
    <row r="8671" spans="1:16" ht="18" thickBot="1">
      <c r="A8671" s="1999" t="s">
        <v>41</v>
      </c>
      <c r="B8671" s="2000"/>
      <c r="C8671" s="2001"/>
      <c r="D8671" s="2002"/>
      <c r="E8671" s="696"/>
      <c r="F8671" s="1276"/>
      <c r="G8671" s="1995"/>
      <c r="H8671" s="1996"/>
      <c r="I8671" s="1996"/>
      <c r="J8671" s="1996"/>
      <c r="K8671" s="1996"/>
      <c r="L8671" s="1996"/>
      <c r="M8671" s="1996"/>
      <c r="N8671" s="1996"/>
      <c r="O8671" s="1996"/>
      <c r="P8671" s="2010"/>
    </row>
    <row r="8672" spans="1:16" ht="18">
      <c r="A8672" s="690"/>
      <c r="B8672" s="691"/>
      <c r="C8672" s="691"/>
      <c r="D8672" s="691"/>
      <c r="E8672" s="691"/>
      <c r="F8672" s="1269"/>
      <c r="G8672" s="691"/>
      <c r="H8672" s="698"/>
      <c r="I8672" s="699"/>
      <c r="J8672" s="700"/>
      <c r="K8672" s="701"/>
      <c r="L8672" s="702"/>
      <c r="M8672" s="691"/>
      <c r="N8672" s="1269"/>
      <c r="O8672" s="691"/>
      <c r="P8672" s="2010"/>
    </row>
    <row r="8673" spans="1:16" ht="18">
      <c r="A8673" s="703" t="s">
        <v>42</v>
      </c>
      <c r="B8673" s="704"/>
      <c r="C8673" s="691"/>
      <c r="D8673" s="691"/>
      <c r="E8673" s="691"/>
      <c r="F8673" s="1269"/>
      <c r="G8673" s="704"/>
      <c r="H8673" s="698"/>
      <c r="I8673" s="699"/>
      <c r="J8673" s="700"/>
      <c r="K8673" s="693"/>
      <c r="L8673" s="705"/>
      <c r="M8673" s="691"/>
      <c r="N8673" s="1979" t="s">
        <v>43</v>
      </c>
      <c r="O8673" s="1979"/>
      <c r="P8673" s="2010"/>
    </row>
    <row r="8674" spans="1:16" ht="17.399999999999999">
      <c r="A8674" s="703"/>
      <c r="B8674" s="704"/>
      <c r="C8674" s="691"/>
      <c r="D8674" s="691"/>
      <c r="E8674" s="691"/>
      <c r="F8674" s="1269"/>
      <c r="G8674" s="691"/>
      <c r="H8674" s="1269"/>
      <c r="I8674" s="1849"/>
      <c r="J8674" s="691"/>
      <c r="K8674" s="693"/>
      <c r="L8674" s="1269"/>
      <c r="M8674" s="691"/>
      <c r="N8674" s="1269"/>
      <c r="O8674" s="704"/>
      <c r="P8674" s="2010"/>
    </row>
    <row r="8675" spans="1:16" ht="17.399999999999999">
      <c r="A8675" s="703" t="s">
        <v>44</v>
      </c>
      <c r="B8675" s="704"/>
      <c r="C8675" s="691"/>
      <c r="D8675" s="691"/>
      <c r="E8675" s="691"/>
      <c r="F8675" s="1269"/>
      <c r="G8675" s="691"/>
      <c r="H8675" s="1269"/>
      <c r="I8675" s="1849"/>
      <c r="J8675" s="691"/>
      <c r="K8675" s="693"/>
      <c r="L8675" s="1269"/>
      <c r="M8675" s="691"/>
      <c r="N8675" s="1979" t="s">
        <v>45</v>
      </c>
      <c r="O8675" s="1979"/>
      <c r="P8675" s="2010"/>
    </row>
    <row r="8676" spans="1:16" ht="18" thickBot="1">
      <c r="A8676" s="682"/>
      <c r="B8676" s="683"/>
      <c r="C8676" s="683"/>
      <c r="D8676" s="683"/>
      <c r="E8676" s="683"/>
      <c r="F8676" s="684"/>
      <c r="G8676" s="683"/>
      <c r="H8676" s="684"/>
      <c r="I8676" s="1850"/>
      <c r="J8676" s="683"/>
      <c r="K8676" s="706"/>
      <c r="L8676" s="684"/>
      <c r="M8676" s="683"/>
      <c r="N8676" s="684"/>
      <c r="O8676" s="683"/>
      <c r="P8676" s="2010"/>
    </row>
    <row r="8680" spans="1:16" ht="17.399999999999999">
      <c r="A8680" s="711" t="s">
        <v>48</v>
      </c>
      <c r="B8680" s="711"/>
      <c r="C8680" s="712"/>
      <c r="D8680" s="712"/>
      <c r="E8680" s="712"/>
      <c r="F8680" s="713"/>
      <c r="G8680" s="712"/>
      <c r="H8680" s="712"/>
      <c r="I8680" s="714"/>
      <c r="J8680" s="715"/>
      <c r="K8680" s="716"/>
      <c r="L8680" s="1978" t="s">
        <v>0</v>
      </c>
      <c r="M8680" s="1978"/>
      <c r="N8680" s="1978"/>
      <c r="O8680" s="1978"/>
      <c r="P8680" s="717"/>
    </row>
    <row r="8681" spans="1:16" ht="17.399999999999999">
      <c r="A8681" s="718" t="s">
        <v>1</v>
      </c>
      <c r="B8681" s="718"/>
      <c r="C8681" s="718"/>
      <c r="D8681" s="719" t="s">
        <v>2</v>
      </c>
      <c r="E8681" s="719"/>
      <c r="F8681" s="720"/>
      <c r="G8681" s="720"/>
      <c r="H8681" s="720"/>
      <c r="I8681" s="721"/>
      <c r="J8681" s="1277"/>
      <c r="K8681" s="723" t="s">
        <v>3</v>
      </c>
      <c r="L8681" s="1277"/>
      <c r="M8681" s="718"/>
      <c r="N8681" s="720"/>
      <c r="O8681" s="718"/>
      <c r="P8681" s="724"/>
    </row>
    <row r="8682" spans="1:16" ht="52.2">
      <c r="A8682" s="640" t="s">
        <v>4</v>
      </c>
      <c r="B8682" s="640" t="s">
        <v>5</v>
      </c>
      <c r="C8682" s="640" t="s">
        <v>6</v>
      </c>
      <c r="D8682" s="640" t="s">
        <v>7</v>
      </c>
      <c r="E8682" s="640" t="s">
        <v>8</v>
      </c>
      <c r="F8682" s="641" t="s">
        <v>9</v>
      </c>
      <c r="G8682" s="642" t="s">
        <v>10</v>
      </c>
      <c r="H8682" s="642" t="s">
        <v>11</v>
      </c>
      <c r="I8682" s="643" t="s">
        <v>12</v>
      </c>
      <c r="J8682" s="644" t="s">
        <v>13</v>
      </c>
      <c r="K8682" s="645" t="s">
        <v>14</v>
      </c>
      <c r="L8682" s="646" t="s">
        <v>15</v>
      </c>
      <c r="M8682" s="641" t="s">
        <v>16</v>
      </c>
      <c r="N8682" s="641" t="s">
        <v>17</v>
      </c>
      <c r="O8682" s="642" t="s">
        <v>18</v>
      </c>
      <c r="P8682" s="641" t="s">
        <v>192</v>
      </c>
    </row>
    <row r="8683" spans="1:16" ht="17.399999999999999">
      <c r="A8683" s="549"/>
      <c r="B8683" s="549"/>
      <c r="C8683" s="549"/>
      <c r="D8683" s="549"/>
      <c r="E8683" s="549"/>
      <c r="F8683" s="549"/>
      <c r="G8683" s="549"/>
      <c r="H8683" s="549"/>
      <c r="I8683" s="560"/>
      <c r="J8683" s="549"/>
      <c r="K8683" s="561"/>
      <c r="L8683" s="560"/>
      <c r="M8683" s="549"/>
      <c r="N8683" s="549"/>
      <c r="O8683" s="549"/>
      <c r="P8683" s="549"/>
    </row>
    <row r="8684" spans="1:16" ht="17.399999999999999">
      <c r="A8684" s="547" t="s">
        <v>361</v>
      </c>
      <c r="B8684" s="547" t="s">
        <v>811</v>
      </c>
      <c r="C8684" s="547" t="s">
        <v>446</v>
      </c>
      <c r="D8684" s="813" t="s">
        <v>447</v>
      </c>
      <c r="E8684" s="547" t="s">
        <v>359</v>
      </c>
      <c r="F8684" s="1279">
        <v>14</v>
      </c>
      <c r="G8684" s="792" t="s">
        <v>21</v>
      </c>
      <c r="H8684" s="1227" t="s">
        <v>128</v>
      </c>
      <c r="I8684" s="773">
        <v>15.92</v>
      </c>
      <c r="J8684" s="774">
        <v>6.5</v>
      </c>
      <c r="K8684" s="775">
        <v>28</v>
      </c>
      <c r="L8684" s="552">
        <f t="shared" ref="L8684:L8687" si="1765">(I8684*J8684*K8684/1000)</f>
        <v>2.89744</v>
      </c>
      <c r="M8684" s="549"/>
      <c r="N8684" s="549"/>
      <c r="O8684" s="549"/>
      <c r="P8684" s="549"/>
    </row>
    <row r="8685" spans="1:16" ht="17.399999999999999">
      <c r="A8685" s="550"/>
      <c r="B8685" s="550"/>
      <c r="C8685" s="550"/>
      <c r="D8685" s="550"/>
      <c r="E8685" s="1279"/>
      <c r="F8685" s="550"/>
      <c r="G8685" s="792" t="s">
        <v>21</v>
      </c>
      <c r="H8685" s="1227" t="s">
        <v>128</v>
      </c>
      <c r="I8685" s="773">
        <v>15.92</v>
      </c>
      <c r="J8685" s="774">
        <v>7</v>
      </c>
      <c r="K8685" s="775">
        <v>10</v>
      </c>
      <c r="L8685" s="552">
        <f t="shared" si="1765"/>
        <v>1.1144000000000001</v>
      </c>
      <c r="M8685" s="549"/>
      <c r="N8685" s="549"/>
      <c r="O8685" s="549"/>
      <c r="P8685" s="549"/>
    </row>
    <row r="8686" spans="1:16" ht="17.399999999999999">
      <c r="A8686" s="549"/>
      <c r="B8686" s="549"/>
      <c r="C8686" s="549"/>
      <c r="D8686" s="549"/>
      <c r="E8686" s="549"/>
      <c r="F8686" s="549"/>
      <c r="G8686" s="792" t="s">
        <v>21</v>
      </c>
      <c r="H8686" s="1227" t="s">
        <v>128</v>
      </c>
      <c r="I8686" s="773">
        <v>15.92</v>
      </c>
      <c r="J8686" s="774">
        <v>11.4</v>
      </c>
      <c r="K8686" s="775">
        <v>19</v>
      </c>
      <c r="L8686" s="552">
        <f t="shared" si="1765"/>
        <v>3.4482719999999998</v>
      </c>
      <c r="M8686" s="549"/>
      <c r="N8686" s="549"/>
      <c r="O8686" s="549"/>
      <c r="P8686" s="549"/>
    </row>
    <row r="8687" spans="1:16" ht="17.399999999999999">
      <c r="A8687" s="549"/>
      <c r="B8687" s="549"/>
      <c r="C8687" s="549"/>
      <c r="D8687" s="549"/>
      <c r="E8687" s="549"/>
      <c r="F8687" s="549"/>
      <c r="G8687" s="792" t="s">
        <v>21</v>
      </c>
      <c r="H8687" s="1227" t="s">
        <v>128</v>
      </c>
      <c r="I8687" s="773">
        <v>15.92</v>
      </c>
      <c r="J8687" s="774">
        <v>11.9</v>
      </c>
      <c r="K8687" s="775">
        <v>20</v>
      </c>
      <c r="L8687" s="552">
        <f t="shared" si="1765"/>
        <v>3.7889599999999999</v>
      </c>
      <c r="M8687" s="549"/>
      <c r="N8687" s="549"/>
      <c r="O8687" s="549"/>
      <c r="P8687" s="549"/>
    </row>
    <row r="8688" spans="1:16" ht="17.399999999999999">
      <c r="A8688" s="549"/>
      <c r="B8688" s="549"/>
      <c r="C8688" s="549"/>
      <c r="D8688" s="549"/>
      <c r="E8688" s="549"/>
      <c r="F8688" s="549"/>
      <c r="G8688" s="792"/>
      <c r="H8688" s="1227"/>
      <c r="I8688" s="773"/>
      <c r="J8688" s="774"/>
      <c r="K8688" s="775">
        <f t="shared" ref="K8688:L8688" si="1766">SUM(K8684:K8687)</f>
        <v>77</v>
      </c>
      <c r="L8688" s="1226">
        <f t="shared" si="1766"/>
        <v>11.249072</v>
      </c>
      <c r="M8688" s="549"/>
      <c r="N8688" s="549"/>
      <c r="O8688" s="549"/>
      <c r="P8688" s="549"/>
    </row>
    <row r="8689" spans="1:16" s="497" customFormat="1" ht="17.399999999999999">
      <c r="A8689" s="549"/>
      <c r="B8689" s="549"/>
      <c r="C8689" s="549"/>
      <c r="D8689" s="549"/>
      <c r="E8689" s="549"/>
      <c r="F8689" s="549"/>
      <c r="G8689" s="792"/>
      <c r="H8689" s="1227"/>
      <c r="I8689" s="773"/>
      <c r="J8689" s="774"/>
      <c r="K8689" s="775"/>
      <c r="L8689" s="1226"/>
      <c r="M8689" s="549"/>
      <c r="N8689" s="549"/>
      <c r="O8689" s="549"/>
      <c r="P8689" s="549"/>
    </row>
    <row r="8690" spans="1:16" ht="17.399999999999999">
      <c r="A8690" s="547" t="s">
        <v>361</v>
      </c>
      <c r="B8690" s="547" t="s">
        <v>811</v>
      </c>
      <c r="C8690" s="547" t="s">
        <v>446</v>
      </c>
      <c r="D8690" s="813" t="s">
        <v>447</v>
      </c>
      <c r="E8690" s="547" t="s">
        <v>359</v>
      </c>
      <c r="F8690" s="1279">
        <v>14</v>
      </c>
      <c r="G8690" s="792" t="s">
        <v>21</v>
      </c>
      <c r="H8690" s="1227" t="s">
        <v>129</v>
      </c>
      <c r="I8690" s="773">
        <v>17.82</v>
      </c>
      <c r="J8690" s="774">
        <v>11</v>
      </c>
      <c r="K8690" s="775">
        <v>14</v>
      </c>
      <c r="L8690" s="552">
        <f t="shared" ref="L8690:L8692" si="1767">(I8690*J8690*K8690/1000)</f>
        <v>2.7442800000000003</v>
      </c>
      <c r="M8690" s="549"/>
      <c r="N8690" s="549"/>
      <c r="O8690" s="549"/>
      <c r="P8690" s="549"/>
    </row>
    <row r="8691" spans="1:16" ht="17.399999999999999">
      <c r="A8691" s="550"/>
      <c r="B8691" s="550"/>
      <c r="C8691" s="550"/>
      <c r="D8691" s="550"/>
      <c r="E8691" s="1279"/>
      <c r="F8691" s="550"/>
      <c r="G8691" s="792" t="s">
        <v>21</v>
      </c>
      <c r="H8691" s="1227" t="s">
        <v>129</v>
      </c>
      <c r="I8691" s="773">
        <v>17.82</v>
      </c>
      <c r="J8691" s="774">
        <v>11.3</v>
      </c>
      <c r="K8691" s="775">
        <v>28</v>
      </c>
      <c r="L8691" s="552">
        <f t="shared" si="1767"/>
        <v>5.6382480000000008</v>
      </c>
      <c r="M8691" s="549"/>
      <c r="N8691" s="549"/>
      <c r="O8691" s="549"/>
      <c r="P8691" s="549"/>
    </row>
    <row r="8692" spans="1:16" ht="17.399999999999999">
      <c r="A8692" s="549"/>
      <c r="B8692" s="549"/>
      <c r="C8692" s="549"/>
      <c r="D8692" s="549"/>
      <c r="E8692" s="549"/>
      <c r="F8692" s="549"/>
      <c r="G8692" s="792" t="s">
        <v>21</v>
      </c>
      <c r="H8692" s="1227" t="s">
        <v>129</v>
      </c>
      <c r="I8692" s="773">
        <v>17.82</v>
      </c>
      <c r="J8692" s="774">
        <v>12</v>
      </c>
      <c r="K8692" s="775">
        <v>30</v>
      </c>
      <c r="L8692" s="552">
        <f t="shared" si="1767"/>
        <v>6.4151999999999996</v>
      </c>
      <c r="M8692" s="549"/>
      <c r="N8692" s="549"/>
      <c r="O8692" s="549"/>
      <c r="P8692" s="549"/>
    </row>
    <row r="8693" spans="1:16" ht="17.399999999999999">
      <c r="A8693" s="549"/>
      <c r="B8693" s="549"/>
      <c r="C8693" s="549"/>
      <c r="D8693" s="549"/>
      <c r="E8693" s="549"/>
      <c r="F8693" s="549"/>
      <c r="G8693" s="792"/>
      <c r="H8693" s="1227"/>
      <c r="I8693" s="773"/>
      <c r="J8693" s="774"/>
      <c r="K8693" s="775">
        <f t="shared" ref="K8693:L8693" si="1768">SUM(K8690:K8692)</f>
        <v>72</v>
      </c>
      <c r="L8693" s="1226">
        <f t="shared" si="1768"/>
        <v>14.797727999999999</v>
      </c>
      <c r="M8693" s="549"/>
      <c r="N8693" s="549"/>
      <c r="O8693" s="549"/>
      <c r="P8693" s="549"/>
    </row>
    <row r="8694" spans="1:16" ht="17.399999999999999">
      <c r="A8694" s="549"/>
      <c r="B8694" s="549"/>
      <c r="C8694" s="549"/>
      <c r="D8694" s="549"/>
      <c r="E8694" s="549"/>
      <c r="F8694" s="549"/>
      <c r="G8694" s="549"/>
      <c r="H8694" s="549"/>
      <c r="I8694" s="560"/>
      <c r="J8694" s="549"/>
      <c r="K8694" s="561"/>
      <c r="L8694" s="560"/>
      <c r="M8694" s="549"/>
      <c r="N8694" s="549"/>
      <c r="O8694" s="549"/>
      <c r="P8694" s="549"/>
    </row>
    <row r="8695" spans="1:16" ht="17.399999999999999">
      <c r="A8695" s="549"/>
      <c r="B8695" s="549"/>
      <c r="C8695" s="549"/>
      <c r="D8695" s="549"/>
      <c r="E8695" s="549"/>
      <c r="F8695" s="549"/>
      <c r="G8695" s="549"/>
      <c r="H8695" s="549"/>
      <c r="I8695" s="560"/>
      <c r="J8695" s="549"/>
      <c r="K8695" s="561"/>
      <c r="L8695" s="560"/>
      <c r="M8695" s="549"/>
      <c r="N8695" s="549"/>
      <c r="O8695" s="549"/>
      <c r="P8695" s="549"/>
    </row>
    <row r="8696" spans="1:16" ht="17.399999999999999">
      <c r="A8696" s="547" t="s">
        <v>395</v>
      </c>
      <c r="B8696" s="547" t="s">
        <v>959</v>
      </c>
      <c r="C8696" s="547" t="s">
        <v>446</v>
      </c>
      <c r="D8696" s="813" t="s">
        <v>447</v>
      </c>
      <c r="E8696" s="547" t="s">
        <v>359</v>
      </c>
      <c r="F8696" s="1279">
        <v>14</v>
      </c>
      <c r="G8696" s="549" t="s">
        <v>21</v>
      </c>
      <c r="H8696" s="549" t="s">
        <v>124</v>
      </c>
      <c r="I8696" s="558">
        <v>19.72</v>
      </c>
      <c r="J8696" s="567">
        <v>6</v>
      </c>
      <c r="K8696" s="648">
        <v>1</v>
      </c>
      <c r="L8696" s="552">
        <f t="shared" ref="L8696:L8703" si="1769">(I8696*J8696*K8696/1000)</f>
        <v>0.11831999999999999</v>
      </c>
      <c r="M8696" s="549"/>
      <c r="N8696" s="549"/>
      <c r="O8696" s="549"/>
      <c r="P8696" s="549"/>
    </row>
    <row r="8697" spans="1:16" ht="17.399999999999999">
      <c r="A8697" s="550"/>
      <c r="B8697" s="550"/>
      <c r="C8697" s="550"/>
      <c r="D8697" s="550"/>
      <c r="E8697" s="1279"/>
      <c r="F8697" s="550"/>
      <c r="G8697" s="549" t="s">
        <v>21</v>
      </c>
      <c r="H8697" s="549" t="s">
        <v>124</v>
      </c>
      <c r="I8697" s="558">
        <v>19.72</v>
      </c>
      <c r="J8697" s="567">
        <v>6.65</v>
      </c>
      <c r="K8697" s="648">
        <v>10</v>
      </c>
      <c r="L8697" s="552">
        <f t="shared" si="1769"/>
        <v>1.3113800000000002</v>
      </c>
      <c r="M8697" s="549"/>
      <c r="N8697" s="549"/>
      <c r="O8697" s="549"/>
      <c r="P8697" s="549"/>
    </row>
    <row r="8698" spans="1:16" ht="17.399999999999999">
      <c r="A8698" s="549"/>
      <c r="B8698" s="549"/>
      <c r="C8698" s="549"/>
      <c r="D8698" s="549"/>
      <c r="E8698" s="549"/>
      <c r="F8698" s="549"/>
      <c r="G8698" s="549" t="s">
        <v>21</v>
      </c>
      <c r="H8698" s="549" t="s">
        <v>124</v>
      </c>
      <c r="I8698" s="558">
        <v>19.72</v>
      </c>
      <c r="J8698" s="567">
        <v>7.85</v>
      </c>
      <c r="K8698" s="648">
        <v>14</v>
      </c>
      <c r="L8698" s="552">
        <f t="shared" si="1769"/>
        <v>2.1672280000000002</v>
      </c>
      <c r="M8698" s="549"/>
      <c r="N8698" s="549"/>
      <c r="O8698" s="549"/>
      <c r="P8698" s="549"/>
    </row>
    <row r="8699" spans="1:16" ht="17.399999999999999">
      <c r="A8699" s="549"/>
      <c r="B8699" s="549"/>
      <c r="C8699" s="549"/>
      <c r="D8699" s="549"/>
      <c r="E8699" s="549"/>
      <c r="F8699" s="549"/>
      <c r="G8699" s="549" t="s">
        <v>21</v>
      </c>
      <c r="H8699" s="549" t="s">
        <v>124</v>
      </c>
      <c r="I8699" s="558">
        <v>19.72</v>
      </c>
      <c r="J8699" s="567">
        <v>9.5</v>
      </c>
      <c r="K8699" s="648">
        <v>11</v>
      </c>
      <c r="L8699" s="552">
        <f t="shared" si="1769"/>
        <v>2.0607399999999996</v>
      </c>
      <c r="M8699" s="549"/>
      <c r="N8699" s="549"/>
      <c r="O8699" s="549"/>
      <c r="P8699" s="549"/>
    </row>
    <row r="8700" spans="1:16" ht="17.399999999999999">
      <c r="A8700" s="549"/>
      <c r="B8700" s="549"/>
      <c r="C8700" s="549"/>
      <c r="D8700" s="549"/>
      <c r="E8700" s="549"/>
      <c r="F8700" s="549"/>
      <c r="G8700" s="549" t="s">
        <v>21</v>
      </c>
      <c r="H8700" s="549" t="s">
        <v>124</v>
      </c>
      <c r="I8700" s="558">
        <v>19.72</v>
      </c>
      <c r="J8700" s="567">
        <v>10.4</v>
      </c>
      <c r="K8700" s="648">
        <v>16</v>
      </c>
      <c r="L8700" s="552">
        <f t="shared" si="1769"/>
        <v>3.2814079999999999</v>
      </c>
      <c r="M8700" s="549"/>
      <c r="N8700" s="549"/>
      <c r="O8700" s="549"/>
      <c r="P8700" s="549"/>
    </row>
    <row r="8701" spans="1:16" ht="17.399999999999999">
      <c r="A8701" s="549"/>
      <c r="B8701" s="549"/>
      <c r="C8701" s="549"/>
      <c r="D8701" s="549"/>
      <c r="E8701" s="549"/>
      <c r="F8701" s="549"/>
      <c r="G8701" s="549" t="s">
        <v>21</v>
      </c>
      <c r="H8701" s="549" t="s">
        <v>124</v>
      </c>
      <c r="I8701" s="558">
        <v>19.72</v>
      </c>
      <c r="J8701" s="567">
        <v>10.9</v>
      </c>
      <c r="K8701" s="648">
        <v>16</v>
      </c>
      <c r="L8701" s="552">
        <f t="shared" si="1769"/>
        <v>3.439168</v>
      </c>
      <c r="M8701" s="549"/>
      <c r="N8701" s="549"/>
      <c r="O8701" s="549"/>
      <c r="P8701" s="549"/>
    </row>
    <row r="8702" spans="1:16" ht="17.399999999999999">
      <c r="A8702" s="549"/>
      <c r="B8702" s="549"/>
      <c r="C8702" s="549"/>
      <c r="D8702" s="549"/>
      <c r="E8702" s="549"/>
      <c r="F8702" s="549"/>
      <c r="G8702" s="549" t="s">
        <v>21</v>
      </c>
      <c r="H8702" s="549" t="s">
        <v>124</v>
      </c>
      <c r="I8702" s="558">
        <v>19.72</v>
      </c>
      <c r="J8702" s="567">
        <v>11</v>
      </c>
      <c r="K8702" s="648">
        <v>2</v>
      </c>
      <c r="L8702" s="552">
        <f t="shared" si="1769"/>
        <v>0.43383999999999995</v>
      </c>
      <c r="M8702" s="549"/>
      <c r="N8702" s="549"/>
      <c r="O8702" s="549"/>
      <c r="P8702" s="549"/>
    </row>
    <row r="8703" spans="1:16" ht="17.399999999999999">
      <c r="A8703" s="549"/>
      <c r="B8703" s="549"/>
      <c r="C8703" s="549"/>
      <c r="D8703" s="549"/>
      <c r="E8703" s="549"/>
      <c r="F8703" s="549"/>
      <c r="G8703" s="549" t="s">
        <v>21</v>
      </c>
      <c r="H8703" s="549" t="s">
        <v>124</v>
      </c>
      <c r="I8703" s="558">
        <v>19.72</v>
      </c>
      <c r="J8703" s="567">
        <v>11.2</v>
      </c>
      <c r="K8703" s="648">
        <v>29</v>
      </c>
      <c r="L8703" s="552">
        <f t="shared" si="1769"/>
        <v>6.4050559999999992</v>
      </c>
      <c r="M8703" s="549"/>
      <c r="N8703" s="549"/>
      <c r="O8703" s="549"/>
      <c r="P8703" s="549"/>
    </row>
    <row r="8704" spans="1:16" ht="17.399999999999999">
      <c r="A8704" s="549"/>
      <c r="B8704" s="549"/>
      <c r="C8704" s="549"/>
      <c r="D8704" s="549"/>
      <c r="E8704" s="549"/>
      <c r="F8704" s="549"/>
      <c r="G8704" s="549"/>
      <c r="H8704" s="549"/>
      <c r="I8704" s="558"/>
      <c r="J8704" s="567"/>
      <c r="K8704" s="648">
        <f t="shared" ref="K8704:L8704" si="1770">SUM(K8696:K8703)</f>
        <v>99</v>
      </c>
      <c r="L8704" s="567">
        <f t="shared" si="1770"/>
        <v>19.217140000000001</v>
      </c>
      <c r="M8704" s="549"/>
      <c r="N8704" s="549"/>
      <c r="O8704" s="549"/>
      <c r="P8704" s="549"/>
    </row>
    <row r="8705" spans="1:16" s="497" customFormat="1" ht="17.399999999999999">
      <c r="A8705" s="549"/>
      <c r="B8705" s="549"/>
      <c r="C8705" s="549"/>
      <c r="D8705" s="549"/>
      <c r="E8705" s="549"/>
      <c r="F8705" s="549"/>
      <c r="G8705" s="549"/>
      <c r="H8705" s="549"/>
      <c r="I8705" s="558"/>
      <c r="J8705" s="567"/>
      <c r="K8705" s="648"/>
      <c r="L8705" s="567"/>
      <c r="M8705" s="549"/>
      <c r="N8705" s="549"/>
      <c r="O8705" s="549"/>
      <c r="P8705" s="549"/>
    </row>
    <row r="8706" spans="1:16" ht="17.399999999999999">
      <c r="A8706" s="547" t="s">
        <v>395</v>
      </c>
      <c r="B8706" s="547" t="s">
        <v>960</v>
      </c>
      <c r="C8706" s="547" t="s">
        <v>446</v>
      </c>
      <c r="D8706" s="813" t="s">
        <v>447</v>
      </c>
      <c r="E8706" s="547" t="s">
        <v>359</v>
      </c>
      <c r="F8706" s="1279">
        <v>14</v>
      </c>
      <c r="G8706" s="549" t="s">
        <v>21</v>
      </c>
      <c r="H8706" s="549" t="s">
        <v>124</v>
      </c>
      <c r="I8706" s="560">
        <v>19.72</v>
      </c>
      <c r="J8706" s="710">
        <v>9.5</v>
      </c>
      <c r="K8706" s="648">
        <v>14</v>
      </c>
      <c r="L8706" s="552">
        <f>(I8706*J8706*K8706/1000)</f>
        <v>2.62276</v>
      </c>
      <c r="M8706" s="549"/>
      <c r="N8706" s="549"/>
      <c r="O8706" s="549"/>
      <c r="P8706" s="549"/>
    </row>
    <row r="8707" spans="1:16" ht="17.399999999999999">
      <c r="A8707" s="550"/>
      <c r="B8707" s="550"/>
      <c r="C8707" s="550"/>
      <c r="D8707" s="550"/>
      <c r="E8707" s="1279"/>
      <c r="F8707" s="550"/>
      <c r="G8707" s="549" t="s">
        <v>21</v>
      </c>
      <c r="H8707" s="549" t="s">
        <v>124</v>
      </c>
      <c r="I8707" s="560">
        <v>19.72</v>
      </c>
      <c r="J8707" s="710">
        <v>11</v>
      </c>
      <c r="K8707" s="648">
        <v>4</v>
      </c>
      <c r="L8707" s="552">
        <f>(I8707*J8707*K8707/1000)</f>
        <v>0.8676799999999999</v>
      </c>
      <c r="M8707" s="549"/>
      <c r="N8707" s="549"/>
      <c r="O8707" s="549"/>
      <c r="P8707" s="549"/>
    </row>
    <row r="8708" spans="1:16" ht="17.399999999999999">
      <c r="A8708" s="549"/>
      <c r="B8708" s="549"/>
      <c r="C8708" s="549"/>
      <c r="D8708" s="549"/>
      <c r="E8708" s="549"/>
      <c r="F8708" s="549"/>
      <c r="G8708" s="549"/>
      <c r="H8708" s="549"/>
      <c r="I8708" s="560"/>
      <c r="J8708" s="710"/>
      <c r="K8708" s="648">
        <f t="shared" ref="K8708" si="1771">SUM(K8706:K8707)</f>
        <v>18</v>
      </c>
      <c r="L8708" s="552">
        <f t="shared" ref="L8708" si="1772">SUM(L8706:L8707)</f>
        <v>3.49044</v>
      </c>
      <c r="M8708" s="549"/>
      <c r="N8708" s="549"/>
      <c r="O8708" s="549"/>
      <c r="P8708" s="549"/>
    </row>
    <row r="8709" spans="1:16" s="497" customFormat="1" ht="17.399999999999999">
      <c r="A8709" s="549"/>
      <c r="B8709" s="549"/>
      <c r="C8709" s="549"/>
      <c r="D8709" s="549"/>
      <c r="E8709" s="549"/>
      <c r="F8709" s="549"/>
      <c r="G8709" s="549"/>
      <c r="H8709" s="549"/>
      <c r="I8709" s="560"/>
      <c r="J8709" s="710"/>
      <c r="K8709" s="648"/>
      <c r="L8709" s="552">
        <f>+L8708+L8704</f>
        <v>22.70758</v>
      </c>
      <c r="M8709" s="549"/>
      <c r="N8709" s="549"/>
      <c r="O8709" s="549"/>
      <c r="P8709" s="549"/>
    </row>
    <row r="8710" spans="1:16" s="497" customFormat="1" ht="17.399999999999999">
      <c r="A8710" s="549"/>
      <c r="B8710" s="549"/>
      <c r="C8710" s="549"/>
      <c r="D8710" s="549"/>
      <c r="E8710" s="549"/>
      <c r="F8710" s="549"/>
      <c r="G8710" s="549"/>
      <c r="H8710" s="549"/>
      <c r="I8710" s="560"/>
      <c r="J8710" s="710"/>
      <c r="K8710" s="648"/>
      <c r="L8710" s="552"/>
      <c r="M8710" s="549"/>
      <c r="N8710" s="549"/>
      <c r="O8710" s="549"/>
      <c r="P8710" s="549"/>
    </row>
    <row r="8711" spans="1:16" ht="17.399999999999999">
      <c r="A8711" s="547" t="s">
        <v>395</v>
      </c>
      <c r="B8711" s="547" t="s">
        <v>959</v>
      </c>
      <c r="C8711" s="547" t="s">
        <v>446</v>
      </c>
      <c r="D8711" s="813" t="s">
        <v>447</v>
      </c>
      <c r="E8711" s="547" t="s">
        <v>359</v>
      </c>
      <c r="F8711" s="1279">
        <v>14</v>
      </c>
      <c r="G8711" s="549" t="s">
        <v>21</v>
      </c>
      <c r="H8711" s="549" t="s">
        <v>126</v>
      </c>
      <c r="I8711" s="558">
        <v>23.45</v>
      </c>
      <c r="J8711" s="567">
        <v>7</v>
      </c>
      <c r="K8711" s="648">
        <v>19</v>
      </c>
      <c r="L8711" s="552">
        <f t="shared" ref="L8711:L8713" si="1773">(I8711*J8711*K8711/1000)</f>
        <v>3.1188500000000001</v>
      </c>
      <c r="M8711" s="549"/>
      <c r="N8711" s="549"/>
      <c r="O8711" s="549"/>
      <c r="P8711" s="549"/>
    </row>
    <row r="8712" spans="1:16" ht="17.399999999999999">
      <c r="A8712" s="550"/>
      <c r="B8712" s="550"/>
      <c r="C8712" s="550"/>
      <c r="D8712" s="550"/>
      <c r="E8712" s="1279"/>
      <c r="F8712" s="550"/>
      <c r="G8712" s="549" t="s">
        <v>21</v>
      </c>
      <c r="H8712" s="549" t="s">
        <v>126</v>
      </c>
      <c r="I8712" s="558">
        <v>23.45</v>
      </c>
      <c r="J8712" s="567">
        <v>9.5</v>
      </c>
      <c r="K8712" s="648">
        <v>20</v>
      </c>
      <c r="L8712" s="552">
        <f t="shared" si="1773"/>
        <v>4.4554999999999998</v>
      </c>
      <c r="M8712" s="549"/>
      <c r="N8712" s="549"/>
      <c r="O8712" s="549"/>
      <c r="P8712" s="549"/>
    </row>
    <row r="8713" spans="1:16" ht="17.399999999999999">
      <c r="A8713" s="549"/>
      <c r="B8713" s="549"/>
      <c r="C8713" s="549"/>
      <c r="D8713" s="549"/>
      <c r="E8713" s="549"/>
      <c r="F8713" s="549"/>
      <c r="G8713" s="549" t="s">
        <v>21</v>
      </c>
      <c r="H8713" s="549" t="s">
        <v>126</v>
      </c>
      <c r="I8713" s="558">
        <v>23.45</v>
      </c>
      <c r="J8713" s="567">
        <v>9.6999999999999993</v>
      </c>
      <c r="K8713" s="648">
        <v>16</v>
      </c>
      <c r="L8713" s="552">
        <f t="shared" si="1773"/>
        <v>3.6394399999999996</v>
      </c>
      <c r="M8713" s="549"/>
      <c r="N8713" s="549"/>
      <c r="O8713" s="549"/>
      <c r="P8713" s="549"/>
    </row>
    <row r="8714" spans="1:16" ht="17.399999999999999">
      <c r="A8714" s="549"/>
      <c r="B8714" s="549"/>
      <c r="C8714" s="549"/>
      <c r="D8714" s="549"/>
      <c r="E8714" s="549"/>
      <c r="F8714" s="549"/>
      <c r="G8714" s="549"/>
      <c r="H8714" s="549"/>
      <c r="I8714" s="558"/>
      <c r="J8714" s="567"/>
      <c r="K8714" s="648">
        <f t="shared" ref="K8714:L8714" si="1774">SUM(K8711:K8713)</f>
        <v>55</v>
      </c>
      <c r="L8714" s="567">
        <f t="shared" si="1774"/>
        <v>11.213789999999999</v>
      </c>
      <c r="M8714" s="549"/>
      <c r="N8714" s="549"/>
      <c r="O8714" s="549"/>
      <c r="P8714" s="549"/>
    </row>
    <row r="8715" spans="1:16" ht="17.399999999999999">
      <c r="A8715" s="549"/>
      <c r="B8715" s="549"/>
      <c r="C8715" s="549"/>
      <c r="D8715" s="549"/>
      <c r="E8715" s="549"/>
      <c r="F8715" s="549"/>
      <c r="G8715" s="549"/>
      <c r="H8715" s="549"/>
      <c r="I8715" s="560"/>
      <c r="J8715" s="549"/>
      <c r="K8715" s="561"/>
      <c r="L8715" s="560"/>
      <c r="M8715" s="549"/>
      <c r="N8715" s="549"/>
      <c r="O8715" s="549"/>
      <c r="P8715" s="549"/>
    </row>
    <row r="8716" spans="1:16" ht="17.399999999999999">
      <c r="A8716" s="547" t="s">
        <v>395</v>
      </c>
      <c r="B8716" s="547" t="s">
        <v>960</v>
      </c>
      <c r="C8716" s="547" t="s">
        <v>446</v>
      </c>
      <c r="D8716" s="813" t="s">
        <v>447</v>
      </c>
      <c r="E8716" s="547" t="s">
        <v>359</v>
      </c>
      <c r="F8716" s="1279">
        <v>14</v>
      </c>
      <c r="G8716" s="549" t="s">
        <v>21</v>
      </c>
      <c r="H8716" s="549" t="s">
        <v>126</v>
      </c>
      <c r="I8716" s="560">
        <v>23.45</v>
      </c>
      <c r="J8716" s="710">
        <v>10</v>
      </c>
      <c r="K8716" s="648">
        <v>8</v>
      </c>
      <c r="L8716" s="552">
        <f>(I8716*J8716*K8716/1000)</f>
        <v>1.8759999999999999</v>
      </c>
      <c r="M8716" s="549"/>
      <c r="N8716" s="549"/>
      <c r="O8716" s="549"/>
      <c r="P8716" s="549"/>
    </row>
    <row r="8717" spans="1:16" ht="17.399999999999999">
      <c r="A8717" s="550"/>
      <c r="B8717" s="550"/>
      <c r="C8717" s="550"/>
      <c r="D8717" s="550"/>
      <c r="E8717" s="1279"/>
      <c r="F8717" s="550"/>
      <c r="G8717" s="549"/>
      <c r="H8717" s="549"/>
      <c r="I8717" s="560"/>
      <c r="J8717" s="710"/>
      <c r="K8717" s="648">
        <f t="shared" ref="K8717:L8717" si="1775">SUM(K8716)</f>
        <v>8</v>
      </c>
      <c r="L8717" s="552">
        <f t="shared" si="1775"/>
        <v>1.8759999999999999</v>
      </c>
      <c r="M8717" s="549"/>
      <c r="N8717" s="549"/>
      <c r="O8717" s="549"/>
      <c r="P8717" s="549"/>
    </row>
    <row r="8718" spans="1:16" ht="17.399999999999999">
      <c r="A8718" s="549"/>
      <c r="B8718" s="549"/>
      <c r="C8718" s="549"/>
      <c r="D8718" s="549"/>
      <c r="E8718" s="549"/>
      <c r="F8718" s="549"/>
      <c r="G8718" s="549"/>
      <c r="H8718" s="549"/>
      <c r="I8718" s="560"/>
      <c r="J8718" s="549"/>
      <c r="K8718" s="561"/>
      <c r="L8718" s="568">
        <f>+L8717+L8714</f>
        <v>13.089789999999999</v>
      </c>
      <c r="M8718" s="549"/>
      <c r="N8718" s="549"/>
      <c r="O8718" s="549"/>
      <c r="P8718" s="549"/>
    </row>
    <row r="8719" spans="1:16" ht="17.399999999999999">
      <c r="A8719" s="549"/>
      <c r="B8719" s="549"/>
      <c r="C8719" s="549"/>
      <c r="D8719" s="549"/>
      <c r="E8719" s="549"/>
      <c r="F8719" s="549"/>
      <c r="G8719" s="549"/>
      <c r="H8719" s="549"/>
      <c r="I8719" s="560"/>
      <c r="J8719" s="549"/>
      <c r="K8719" s="561"/>
      <c r="L8719" s="560"/>
      <c r="M8719" s="549"/>
      <c r="N8719" s="549"/>
      <c r="O8719" s="549"/>
      <c r="P8719" s="549"/>
    </row>
    <row r="8720" spans="1:16" ht="17.399999999999999">
      <c r="A8720" s="549"/>
      <c r="B8720" s="549"/>
      <c r="C8720" s="549"/>
      <c r="D8720" s="549"/>
      <c r="E8720" s="549"/>
      <c r="F8720" s="549"/>
      <c r="G8720" s="549"/>
      <c r="H8720" s="549"/>
      <c r="I8720" s="560"/>
      <c r="J8720" s="549"/>
      <c r="K8720" s="561"/>
      <c r="L8720" s="568">
        <f>+L8718+L8709+L8693+L8688</f>
        <v>61.844169999999998</v>
      </c>
      <c r="M8720" s="549"/>
      <c r="N8720" s="549"/>
      <c r="O8720" s="549"/>
      <c r="P8720" s="549"/>
    </row>
    <row r="8724" spans="1:23" ht="17.399999999999999">
      <c r="A8724" s="711" t="s">
        <v>48</v>
      </c>
      <c r="B8724" s="711"/>
      <c r="C8724" s="712"/>
      <c r="D8724" s="712"/>
      <c r="E8724" s="712"/>
      <c r="F8724" s="713"/>
      <c r="G8724" s="712"/>
      <c r="H8724" s="712"/>
      <c r="I8724" s="714"/>
      <c r="J8724" s="715"/>
      <c r="K8724" s="716"/>
      <c r="L8724" s="1978" t="s">
        <v>0</v>
      </c>
      <c r="M8724" s="1978"/>
      <c r="N8724" s="1978"/>
      <c r="O8724" s="1978"/>
      <c r="P8724" s="717"/>
    </row>
    <row r="8725" spans="1:23" ht="17.399999999999999">
      <c r="A8725" s="718" t="s">
        <v>1</v>
      </c>
      <c r="B8725" s="718"/>
      <c r="C8725" s="718"/>
      <c r="D8725" s="719" t="s">
        <v>2</v>
      </c>
      <c r="E8725" s="719"/>
      <c r="F8725" s="720"/>
      <c r="G8725" s="720"/>
      <c r="H8725" s="720"/>
      <c r="I8725" s="721"/>
      <c r="J8725" s="1293"/>
      <c r="K8725" s="723" t="s">
        <v>3</v>
      </c>
      <c r="L8725" s="1293"/>
      <c r="M8725" s="718"/>
      <c r="N8725" s="720"/>
      <c r="O8725" s="718"/>
      <c r="P8725" s="724"/>
    </row>
    <row r="8726" spans="1:23" ht="52.2">
      <c r="A8726" s="640" t="s">
        <v>4</v>
      </c>
      <c r="B8726" s="640" t="s">
        <v>5</v>
      </c>
      <c r="C8726" s="640" t="s">
        <v>6</v>
      </c>
      <c r="D8726" s="640" t="s">
        <v>7</v>
      </c>
      <c r="E8726" s="640" t="s">
        <v>8</v>
      </c>
      <c r="F8726" s="641" t="s">
        <v>9</v>
      </c>
      <c r="G8726" s="642" t="s">
        <v>10</v>
      </c>
      <c r="H8726" s="642" t="s">
        <v>11</v>
      </c>
      <c r="I8726" s="643" t="s">
        <v>12</v>
      </c>
      <c r="J8726" s="644" t="s">
        <v>13</v>
      </c>
      <c r="K8726" s="645" t="s">
        <v>14</v>
      </c>
      <c r="L8726" s="646" t="s">
        <v>15</v>
      </c>
      <c r="M8726" s="641" t="s">
        <v>16</v>
      </c>
      <c r="N8726" s="641" t="s">
        <v>17</v>
      </c>
      <c r="O8726" s="642" t="s">
        <v>18</v>
      </c>
      <c r="P8726" s="641" t="s">
        <v>1018</v>
      </c>
    </row>
    <row r="8727" spans="1:23" ht="17.399999999999999">
      <c r="A8727" s="549"/>
      <c r="B8727" s="549"/>
      <c r="C8727" s="549"/>
      <c r="D8727" s="549"/>
      <c r="E8727" s="549"/>
      <c r="F8727" s="549"/>
      <c r="G8727" s="549"/>
      <c r="H8727" s="549"/>
      <c r="I8727" s="560"/>
      <c r="J8727" s="549"/>
      <c r="K8727" s="561"/>
      <c r="L8727" s="560"/>
      <c r="M8727" s="549"/>
      <c r="N8727" s="549"/>
      <c r="O8727" s="549"/>
      <c r="P8727" s="549"/>
    </row>
    <row r="8728" spans="1:23" ht="17.399999999999999">
      <c r="A8728" s="547" t="s">
        <v>445</v>
      </c>
      <c r="B8728" s="547" t="s">
        <v>857</v>
      </c>
      <c r="C8728" s="547" t="s">
        <v>19</v>
      </c>
      <c r="D8728" s="547" t="s">
        <v>20</v>
      </c>
      <c r="E8728" s="1283" t="s">
        <v>51</v>
      </c>
      <c r="F8728" s="1295">
        <v>14</v>
      </c>
      <c r="G8728" s="549" t="s">
        <v>21</v>
      </c>
      <c r="H8728" s="599" t="s">
        <v>124</v>
      </c>
      <c r="I8728" s="558">
        <v>19.8</v>
      </c>
      <c r="J8728" s="710">
        <v>10.504</v>
      </c>
      <c r="K8728" s="648">
        <v>16</v>
      </c>
      <c r="L8728" s="552">
        <f>(I8728*J8728*K8728/1000)</f>
        <v>3.3276672</v>
      </c>
      <c r="M8728" s="549"/>
      <c r="N8728" s="549"/>
      <c r="O8728" s="549"/>
      <c r="P8728" s="549"/>
      <c r="Q8728" s="497">
        <f>8+1+7</f>
        <v>16</v>
      </c>
      <c r="R8728" s="126">
        <f>J8728*Q8728*I8728/1000</f>
        <v>3.3276672</v>
      </c>
      <c r="V8728" s="497"/>
      <c r="W8728" s="497" t="s">
        <v>995</v>
      </c>
    </row>
    <row r="8729" spans="1:23" ht="17.399999999999999">
      <c r="A8729" s="549"/>
      <c r="B8729" s="549" t="s">
        <v>84</v>
      </c>
      <c r="C8729" s="549"/>
      <c r="D8729" s="549"/>
      <c r="E8729" s="832"/>
      <c r="F8729" s="549"/>
      <c r="G8729" s="549"/>
      <c r="H8729" s="650"/>
      <c r="I8729" s="558"/>
      <c r="J8729" s="710"/>
      <c r="K8729" s="648">
        <f t="shared" ref="K8729:L8729" si="1776">SUM(K8728)</f>
        <v>16</v>
      </c>
      <c r="L8729" s="765">
        <f t="shared" si="1776"/>
        <v>3.3276672</v>
      </c>
      <c r="M8729" s="549"/>
      <c r="N8729" s="549"/>
      <c r="O8729" s="549"/>
      <c r="P8729" s="549"/>
      <c r="Q8729" s="648">
        <f t="shared" ref="Q8729" si="1777">SUM(Q8728)</f>
        <v>16</v>
      </c>
      <c r="R8729" s="765">
        <f>SUM(R8728)</f>
        <v>3.3276672</v>
      </c>
      <c r="U8729" s="648">
        <f t="shared" ref="U8729:V8729" si="1778">SUM(U8728)</f>
        <v>0</v>
      </c>
      <c r="V8729" s="765">
        <f t="shared" si="1778"/>
        <v>0</v>
      </c>
      <c r="W8729" s="497"/>
    </row>
    <row r="8730" spans="1:23" ht="17.399999999999999">
      <c r="A8730" s="549"/>
      <c r="B8730" s="549"/>
      <c r="C8730" s="549"/>
      <c r="D8730" s="549"/>
      <c r="E8730" s="832"/>
      <c r="F8730" s="549"/>
      <c r="G8730" s="549"/>
      <c r="H8730" s="549"/>
      <c r="I8730" s="558"/>
      <c r="J8730" s="710"/>
      <c r="K8730" s="648"/>
      <c r="L8730" s="552"/>
      <c r="M8730" s="549"/>
      <c r="N8730" s="549"/>
      <c r="O8730" s="549"/>
      <c r="P8730" s="549"/>
      <c r="V8730" s="497"/>
      <c r="W8730" s="497"/>
    </row>
    <row r="8731" spans="1:23" ht="17.399999999999999">
      <c r="A8731" s="547" t="s">
        <v>541</v>
      </c>
      <c r="B8731" s="979" t="s">
        <v>952</v>
      </c>
      <c r="C8731" s="547" t="s">
        <v>19</v>
      </c>
      <c r="D8731" s="547" t="s">
        <v>20</v>
      </c>
      <c r="E8731" s="1283" t="s">
        <v>51</v>
      </c>
      <c r="F8731" s="1295">
        <v>14</v>
      </c>
      <c r="G8731" s="549" t="s">
        <v>21</v>
      </c>
      <c r="H8731" s="599" t="s">
        <v>124</v>
      </c>
      <c r="I8731" s="558">
        <v>19.8</v>
      </c>
      <c r="J8731" s="567">
        <v>7.4</v>
      </c>
      <c r="K8731" s="648">
        <v>21</v>
      </c>
      <c r="L8731" s="552">
        <f t="shared" ref="L8731:L8739" si="1779">(I8731*J8731*K8731/1000)</f>
        <v>3.0769199999999999</v>
      </c>
      <c r="M8731" s="549">
        <v>4</v>
      </c>
      <c r="N8731" s="567">
        <f>J8731*M8731*I8731/1000</f>
        <v>0.58608000000000005</v>
      </c>
      <c r="O8731" s="549"/>
      <c r="P8731" s="549"/>
      <c r="Q8731" s="497">
        <f>3+14</f>
        <v>17</v>
      </c>
      <c r="R8731" s="126">
        <f t="shared" ref="R8731:R8739" si="1780">J8731*Q8731*I8731/1000</f>
        <v>2.4908399999999999</v>
      </c>
      <c r="V8731" s="497"/>
      <c r="W8731" s="497" t="s">
        <v>995</v>
      </c>
    </row>
    <row r="8732" spans="1:23" ht="17.399999999999999">
      <c r="A8732" s="549"/>
      <c r="B8732" s="549"/>
      <c r="C8732" s="549"/>
      <c r="D8732" s="549"/>
      <c r="E8732" s="832"/>
      <c r="F8732" s="549"/>
      <c r="G8732" s="549" t="s">
        <v>21</v>
      </c>
      <c r="H8732" s="549" t="s">
        <v>124</v>
      </c>
      <c r="I8732" s="558">
        <v>19.8</v>
      </c>
      <c r="J8732" s="567">
        <v>7.7</v>
      </c>
      <c r="K8732" s="648">
        <v>5</v>
      </c>
      <c r="L8732" s="552">
        <f t="shared" si="1779"/>
        <v>0.76230000000000009</v>
      </c>
      <c r="M8732" s="549"/>
      <c r="N8732" s="549"/>
      <c r="O8732" s="549"/>
      <c r="P8732" s="549"/>
      <c r="Q8732" s="497">
        <f>3+2</f>
        <v>5</v>
      </c>
      <c r="R8732" s="126">
        <f t="shared" si="1780"/>
        <v>0.76230000000000009</v>
      </c>
    </row>
    <row r="8733" spans="1:23" ht="17.399999999999999">
      <c r="A8733" s="549"/>
      <c r="B8733" s="549"/>
      <c r="C8733" s="549"/>
      <c r="D8733" s="549"/>
      <c r="E8733" s="549"/>
      <c r="F8733" s="549"/>
      <c r="G8733" s="549" t="s">
        <v>21</v>
      </c>
      <c r="H8733" s="549" t="s">
        <v>124</v>
      </c>
      <c r="I8733" s="558">
        <v>19.8</v>
      </c>
      <c r="J8733" s="567">
        <v>8.1</v>
      </c>
      <c r="K8733" s="648">
        <v>27</v>
      </c>
      <c r="L8733" s="552">
        <f t="shared" si="1779"/>
        <v>4.33026</v>
      </c>
      <c r="M8733" s="549"/>
      <c r="N8733" s="549"/>
      <c r="O8733" s="549"/>
      <c r="P8733" s="549"/>
      <c r="Q8733" s="497">
        <f>7+18+2</f>
        <v>27</v>
      </c>
      <c r="R8733" s="126">
        <f t="shared" si="1780"/>
        <v>4.33026</v>
      </c>
      <c r="U8733">
        <v>2</v>
      </c>
      <c r="V8733" s="1309">
        <f>J8733*U8733*I8733/1000</f>
        <v>0.32075999999999999</v>
      </c>
    </row>
    <row r="8734" spans="1:23" ht="17.399999999999999">
      <c r="A8734" s="549"/>
      <c r="B8734" s="549"/>
      <c r="C8734" s="549"/>
      <c r="D8734" s="549"/>
      <c r="E8734" s="549"/>
      <c r="F8734" s="549"/>
      <c r="G8734" s="549" t="s">
        <v>21</v>
      </c>
      <c r="H8734" s="549" t="s">
        <v>124</v>
      </c>
      <c r="I8734" s="558">
        <v>19.8</v>
      </c>
      <c r="J8734" s="567">
        <v>8.5</v>
      </c>
      <c r="K8734" s="648">
        <v>4</v>
      </c>
      <c r="L8734" s="552">
        <f t="shared" si="1779"/>
        <v>0.67320000000000002</v>
      </c>
      <c r="M8734" s="549"/>
      <c r="N8734" s="549"/>
      <c r="O8734" s="549"/>
      <c r="P8734" s="549"/>
      <c r="Q8734" s="497">
        <f>1+3</f>
        <v>4</v>
      </c>
      <c r="R8734" s="126">
        <f t="shared" si="1780"/>
        <v>0.67320000000000002</v>
      </c>
    </row>
    <row r="8735" spans="1:23" ht="17.399999999999999">
      <c r="A8735" s="549"/>
      <c r="B8735" s="549"/>
      <c r="C8735" s="549"/>
      <c r="D8735" s="549"/>
      <c r="E8735" s="549"/>
      <c r="F8735" s="549"/>
      <c r="G8735" s="549" t="s">
        <v>21</v>
      </c>
      <c r="H8735" s="549" t="s">
        <v>124</v>
      </c>
      <c r="I8735" s="558">
        <v>19.8</v>
      </c>
      <c r="J8735" s="567">
        <v>8.8000000000000007</v>
      </c>
      <c r="K8735" s="648">
        <v>12</v>
      </c>
      <c r="L8735" s="552">
        <f t="shared" si="1779"/>
        <v>2.0908800000000003</v>
      </c>
      <c r="M8735" s="549"/>
      <c r="N8735" s="549"/>
      <c r="O8735" s="549"/>
      <c r="P8735" s="549"/>
      <c r="Q8735" s="497">
        <f>5+7+3-3</f>
        <v>12</v>
      </c>
      <c r="R8735" s="126">
        <f t="shared" si="1780"/>
        <v>2.0908800000000003</v>
      </c>
      <c r="S8735">
        <v>3</v>
      </c>
      <c r="T8735" s="126">
        <f>J8735*S8735*I8735/1000</f>
        <v>0.52272000000000007</v>
      </c>
    </row>
    <row r="8736" spans="1:23" ht="17.399999999999999">
      <c r="A8736" s="549"/>
      <c r="B8736" s="549"/>
      <c r="C8736" s="549"/>
      <c r="D8736" s="549"/>
      <c r="E8736" s="549"/>
      <c r="F8736" s="549"/>
      <c r="G8736" s="549" t="s">
        <v>21</v>
      </c>
      <c r="H8736" s="549" t="s">
        <v>124</v>
      </c>
      <c r="I8736" s="558">
        <v>19.8</v>
      </c>
      <c r="J8736" s="567">
        <v>8.9</v>
      </c>
      <c r="K8736" s="648">
        <v>6</v>
      </c>
      <c r="L8736" s="552">
        <f t="shared" si="1779"/>
        <v>1.0573200000000003</v>
      </c>
      <c r="M8736" s="549"/>
      <c r="N8736" s="549"/>
      <c r="O8736" s="549"/>
      <c r="P8736" s="549"/>
      <c r="Q8736" s="497">
        <f>2+4+2-2</f>
        <v>6</v>
      </c>
      <c r="R8736" s="126">
        <f t="shared" si="1780"/>
        <v>1.0573200000000003</v>
      </c>
      <c r="S8736">
        <v>2</v>
      </c>
      <c r="T8736" s="126">
        <f t="shared" ref="T8736:T8738" si="1781">J8736*S8736*I8736/1000</f>
        <v>0.35244000000000003</v>
      </c>
    </row>
    <row r="8737" spans="1:22" ht="17.399999999999999">
      <c r="A8737" s="549"/>
      <c r="B8737" s="549"/>
      <c r="C8737" s="549"/>
      <c r="D8737" s="549"/>
      <c r="E8737" s="549"/>
      <c r="F8737" s="549"/>
      <c r="G8737" s="549" t="s">
        <v>21</v>
      </c>
      <c r="H8737" s="549" t="s">
        <v>124</v>
      </c>
      <c r="I8737" s="558">
        <v>19.8</v>
      </c>
      <c r="J8737" s="567">
        <v>9.6</v>
      </c>
      <c r="K8737" s="648">
        <v>8</v>
      </c>
      <c r="L8737" s="552">
        <f t="shared" si="1779"/>
        <v>1.52064</v>
      </c>
      <c r="M8737" s="549">
        <v>1</v>
      </c>
      <c r="N8737" s="567">
        <f t="shared" ref="N8737:N8739" si="1782">J8737*M8737*I8737/1000</f>
        <v>0.19008</v>
      </c>
      <c r="O8737" s="549"/>
      <c r="P8737" s="549"/>
      <c r="Q8737" s="497">
        <f>6+1+5-5</f>
        <v>7</v>
      </c>
      <c r="R8737" s="126">
        <f t="shared" si="1780"/>
        <v>1.3305600000000002</v>
      </c>
      <c r="S8737">
        <v>5</v>
      </c>
      <c r="T8737" s="126">
        <f t="shared" si="1781"/>
        <v>0.95040000000000013</v>
      </c>
    </row>
    <row r="8738" spans="1:22" ht="17.399999999999999">
      <c r="A8738" s="549"/>
      <c r="B8738" s="549"/>
      <c r="C8738" s="549"/>
      <c r="D8738" s="549"/>
      <c r="E8738" s="549"/>
      <c r="F8738" s="549"/>
      <c r="G8738" s="549" t="s">
        <v>21</v>
      </c>
      <c r="H8738" s="549" t="s">
        <v>124</v>
      </c>
      <c r="I8738" s="558">
        <v>19.8</v>
      </c>
      <c r="J8738" s="567">
        <v>10.5</v>
      </c>
      <c r="K8738" s="648">
        <v>16</v>
      </c>
      <c r="L8738" s="552">
        <f t="shared" si="1779"/>
        <v>3.3264</v>
      </c>
      <c r="M8738" s="549">
        <f>1+1</f>
        <v>2</v>
      </c>
      <c r="N8738" s="567">
        <f t="shared" si="1782"/>
        <v>0.4158</v>
      </c>
      <c r="O8738" s="549"/>
      <c r="P8738" s="549"/>
      <c r="Q8738" s="497">
        <f>7+3+5+16+10+11+1+1-40</f>
        <v>14</v>
      </c>
      <c r="R8738" s="126">
        <f t="shared" si="1780"/>
        <v>2.9106000000000001</v>
      </c>
      <c r="S8738">
        <f>40-7</f>
        <v>33</v>
      </c>
      <c r="T8738" s="126">
        <f t="shared" si="1781"/>
        <v>6.8606999999999996</v>
      </c>
      <c r="U8738">
        <v>7</v>
      </c>
      <c r="V8738" s="126">
        <f>J8738*U8738*I8738/1000</f>
        <v>1.4553</v>
      </c>
    </row>
    <row r="8739" spans="1:22" ht="17.399999999999999">
      <c r="A8739" s="549"/>
      <c r="B8739" s="549"/>
      <c r="C8739" s="549"/>
      <c r="D8739" s="549"/>
      <c r="E8739" s="549"/>
      <c r="F8739" s="549"/>
      <c r="G8739" s="549" t="s">
        <v>21</v>
      </c>
      <c r="H8739" s="549" t="s">
        <v>124</v>
      </c>
      <c r="I8739" s="558">
        <v>19.8</v>
      </c>
      <c r="J8739" s="567">
        <v>11.1</v>
      </c>
      <c r="K8739" s="648">
        <v>917</v>
      </c>
      <c r="L8739" s="552">
        <f t="shared" si="1779"/>
        <v>201.53826000000001</v>
      </c>
      <c r="M8739" s="549"/>
      <c r="N8739" s="567">
        <f t="shared" si="1782"/>
        <v>0</v>
      </c>
      <c r="O8739" s="549"/>
      <c r="P8739" s="549"/>
      <c r="Q8739" s="497">
        <f>19+14+14+15+14+14+14+14+14+14+14+14+14+4+7+14+14+14+14+14+14+11+14+14+14+14+9+14+14+14+14+14+12+14+15+14+14+14+14+14+14+14+10+14+14+14+9+16+14+14+14+14+14+14+14+14+14+14+13+3+14+14+14+28</f>
        <v>871</v>
      </c>
      <c r="R8739" s="126">
        <f t="shared" si="1780"/>
        <v>191.42838</v>
      </c>
      <c r="U8739">
        <f>3+13+9+14+12+10+7</f>
        <v>68</v>
      </c>
      <c r="V8739" s="1309">
        <f>J8739*U8739*I8739/1000</f>
        <v>14.945039999999999</v>
      </c>
    </row>
    <row r="8740" spans="1:22" ht="17.399999999999999">
      <c r="A8740" s="549"/>
      <c r="B8740" s="549"/>
      <c r="C8740" s="549"/>
      <c r="D8740" s="549"/>
      <c r="E8740" s="549"/>
      <c r="F8740" s="549"/>
      <c r="G8740" s="549"/>
      <c r="H8740" s="549"/>
      <c r="I8740" s="558"/>
      <c r="J8740" s="567"/>
      <c r="K8740" s="648">
        <f>SUM(K8731:K8739)</f>
        <v>1016</v>
      </c>
      <c r="L8740" s="567">
        <f>SUM(L8731:L8739)</f>
        <v>218.37618000000001</v>
      </c>
      <c r="M8740" s="648">
        <f>SUM(M8731:M8739)</f>
        <v>7</v>
      </c>
      <c r="N8740" s="567">
        <f>SUM(N8731:N8739)</f>
        <v>1.1919600000000001</v>
      </c>
      <c r="O8740" s="549"/>
      <c r="P8740" s="549"/>
      <c r="Q8740" s="648">
        <f t="shared" ref="Q8740:V8740" si="1783">SUM(Q8731:Q8739)</f>
        <v>963</v>
      </c>
      <c r="R8740" s="567">
        <f t="shared" si="1783"/>
        <v>207.07434000000001</v>
      </c>
      <c r="S8740" s="648">
        <f t="shared" si="1783"/>
        <v>43</v>
      </c>
      <c r="T8740" s="567">
        <f t="shared" si="1783"/>
        <v>8.6862600000000008</v>
      </c>
      <c r="U8740" s="648">
        <f t="shared" si="1783"/>
        <v>77</v>
      </c>
      <c r="V8740" s="567">
        <f t="shared" si="1783"/>
        <v>16.7211</v>
      </c>
    </row>
    <row r="8741" spans="1:22" s="497" customFormat="1" ht="17.399999999999999">
      <c r="A8741" s="549"/>
      <c r="B8741" s="549"/>
      <c r="C8741" s="549"/>
      <c r="D8741" s="549"/>
      <c r="E8741" s="549"/>
      <c r="F8741" s="549"/>
      <c r="G8741" s="549"/>
      <c r="H8741" s="549"/>
      <c r="I8741" s="558"/>
      <c r="J8741" s="567"/>
      <c r="K8741" s="648">
        <f>SUM(K8728:K8740)/2</f>
        <v>1032</v>
      </c>
      <c r="L8741" s="567">
        <f>SUM(L8728:L8740)/2</f>
        <v>221.70384720000001</v>
      </c>
      <c r="M8741" s="648">
        <f>SUM(M8728:M8740)/2</f>
        <v>7</v>
      </c>
      <c r="N8741" s="567">
        <f>SUM(N8728:N8740)/2</f>
        <v>1.1919600000000001</v>
      </c>
      <c r="O8741" s="549"/>
      <c r="P8741" s="549" t="s">
        <v>970</v>
      </c>
      <c r="Q8741" s="648">
        <f>SUM(Q8728:Q8740)/2</f>
        <v>979</v>
      </c>
      <c r="R8741" s="567">
        <f>SUM(R8728:R8740)/2</f>
        <v>210.40200720000001</v>
      </c>
    </row>
    <row r="8742" spans="1:22" s="497" customFormat="1" ht="17.399999999999999">
      <c r="A8742" s="549"/>
      <c r="B8742" s="549"/>
      <c r="C8742" s="549"/>
      <c r="D8742" s="549"/>
      <c r="E8742" s="549"/>
      <c r="F8742" s="549"/>
      <c r="G8742" s="549"/>
      <c r="H8742" s="549"/>
      <c r="I8742" s="558"/>
      <c r="J8742" s="567"/>
      <c r="K8742" s="648"/>
      <c r="L8742" s="567"/>
      <c r="M8742" s="549"/>
      <c r="N8742" s="549"/>
      <c r="O8742" s="549"/>
      <c r="P8742" s="549"/>
    </row>
    <row r="8743" spans="1:22" s="497" customFormat="1" ht="17.399999999999999">
      <c r="A8743" s="549"/>
      <c r="B8743" s="549"/>
      <c r="C8743" s="549"/>
      <c r="D8743" s="549"/>
      <c r="E8743" s="549"/>
      <c r="F8743" s="549"/>
      <c r="G8743" s="549"/>
      <c r="H8743" s="549"/>
      <c r="I8743" s="558"/>
      <c r="J8743" s="567"/>
      <c r="K8743" s="648"/>
      <c r="L8743" s="567"/>
      <c r="M8743" s="549"/>
      <c r="N8743" s="549"/>
      <c r="O8743" s="549"/>
      <c r="P8743" s="549"/>
    </row>
    <row r="8744" spans="1:22" ht="17.399999999999999">
      <c r="A8744" s="547" t="s">
        <v>541</v>
      </c>
      <c r="B8744" s="547" t="s">
        <v>952</v>
      </c>
      <c r="C8744" s="547" t="s">
        <v>19</v>
      </c>
      <c r="D8744" s="547" t="s">
        <v>20</v>
      </c>
      <c r="E8744" s="1283" t="s">
        <v>51</v>
      </c>
      <c r="F8744" s="1295">
        <v>14</v>
      </c>
      <c r="G8744" s="549" t="s">
        <v>21</v>
      </c>
      <c r="H8744" s="599" t="s">
        <v>129</v>
      </c>
      <c r="I8744" s="558">
        <v>17.899999999999999</v>
      </c>
      <c r="J8744" s="567">
        <v>6.6</v>
      </c>
      <c r="K8744" s="648">
        <v>28</v>
      </c>
      <c r="L8744" s="552">
        <f t="shared" ref="L8744:L8752" si="1784">(I8744*J8744*K8744/1000)</f>
        <v>3.3079199999999997</v>
      </c>
      <c r="M8744" s="549"/>
      <c r="N8744" s="549"/>
      <c r="O8744" s="549"/>
      <c r="P8744" s="549"/>
      <c r="Q8744" s="497" t="s">
        <v>1019</v>
      </c>
    </row>
    <row r="8745" spans="1:22" ht="17.399999999999999">
      <c r="A8745" s="549"/>
      <c r="B8745" s="549"/>
      <c r="C8745" s="549"/>
      <c r="D8745" s="549"/>
      <c r="E8745" s="832"/>
      <c r="F8745" s="549"/>
      <c r="G8745" s="549" t="s">
        <v>21</v>
      </c>
      <c r="H8745" s="549" t="s">
        <v>129</v>
      </c>
      <c r="I8745" s="558">
        <v>17.899999999999999</v>
      </c>
      <c r="J8745" s="567">
        <v>7.7</v>
      </c>
      <c r="K8745" s="648">
        <v>25</v>
      </c>
      <c r="L8745" s="552">
        <f t="shared" si="1784"/>
        <v>3.4457499999999994</v>
      </c>
      <c r="M8745" s="549"/>
      <c r="N8745" s="549"/>
      <c r="O8745" s="549"/>
      <c r="P8745" s="549"/>
    </row>
    <row r="8746" spans="1:22" ht="17.399999999999999">
      <c r="A8746" s="549"/>
      <c r="B8746" s="549"/>
      <c r="C8746" s="549"/>
      <c r="D8746" s="549"/>
      <c r="E8746" s="549"/>
      <c r="F8746" s="549"/>
      <c r="G8746" s="549" t="s">
        <v>21</v>
      </c>
      <c r="H8746" s="549" t="s">
        <v>129</v>
      </c>
      <c r="I8746" s="558">
        <v>17.899999999999999</v>
      </c>
      <c r="J8746" s="567">
        <v>8</v>
      </c>
      <c r="K8746" s="648">
        <v>12</v>
      </c>
      <c r="L8746" s="552">
        <f t="shared" si="1784"/>
        <v>1.7183999999999999</v>
      </c>
      <c r="M8746" s="549"/>
      <c r="N8746" s="549"/>
      <c r="O8746" s="549"/>
      <c r="P8746" s="549"/>
    </row>
    <row r="8747" spans="1:22" ht="17.399999999999999">
      <c r="A8747" s="549"/>
      <c r="B8747" s="549"/>
      <c r="C8747" s="549"/>
      <c r="D8747" s="549"/>
      <c r="E8747" s="549"/>
      <c r="F8747" s="549"/>
      <c r="G8747" s="549" t="s">
        <v>21</v>
      </c>
      <c r="H8747" s="549" t="s">
        <v>129</v>
      </c>
      <c r="I8747" s="558">
        <v>17.899999999999999</v>
      </c>
      <c r="J8747" s="567">
        <v>9.1</v>
      </c>
      <c r="K8747" s="648">
        <v>2</v>
      </c>
      <c r="L8747" s="552">
        <f t="shared" si="1784"/>
        <v>0.32577999999999996</v>
      </c>
      <c r="M8747" s="549"/>
      <c r="N8747" s="549"/>
      <c r="O8747" s="549"/>
      <c r="P8747" s="549"/>
    </row>
    <row r="8748" spans="1:22" ht="17.399999999999999">
      <c r="A8748" s="549"/>
      <c r="B8748" s="549"/>
      <c r="C8748" s="549"/>
      <c r="D8748" s="549"/>
      <c r="E8748" s="549"/>
      <c r="F8748" s="549"/>
      <c r="G8748" s="549" t="s">
        <v>21</v>
      </c>
      <c r="H8748" s="549" t="s">
        <v>129</v>
      </c>
      <c r="I8748" s="558">
        <v>17.899999999999999</v>
      </c>
      <c r="J8748" s="567">
        <v>9.3000000000000007</v>
      </c>
      <c r="K8748" s="648">
        <v>40</v>
      </c>
      <c r="L8748" s="552">
        <f t="shared" si="1784"/>
        <v>6.6588000000000003</v>
      </c>
      <c r="M8748" s="549"/>
      <c r="N8748" s="549"/>
      <c r="O8748" s="549"/>
      <c r="P8748" s="549"/>
    </row>
    <row r="8749" spans="1:22" ht="17.399999999999999">
      <c r="A8749" s="549"/>
      <c r="B8749" s="549"/>
      <c r="C8749" s="549"/>
      <c r="D8749" s="549"/>
      <c r="E8749" s="549"/>
      <c r="F8749" s="549"/>
      <c r="G8749" s="549" t="s">
        <v>21</v>
      </c>
      <c r="H8749" s="549" t="s">
        <v>129</v>
      </c>
      <c r="I8749" s="558">
        <v>17.899999999999999</v>
      </c>
      <c r="J8749" s="567">
        <v>9.6999999999999993</v>
      </c>
      <c r="K8749" s="648">
        <v>18</v>
      </c>
      <c r="L8749" s="552">
        <f t="shared" si="1784"/>
        <v>3.1253399999999991</v>
      </c>
      <c r="M8749" s="549"/>
      <c r="N8749" s="549"/>
      <c r="O8749" s="549"/>
      <c r="P8749" s="549"/>
    </row>
    <row r="8750" spans="1:22" ht="17.399999999999999">
      <c r="A8750" s="549"/>
      <c r="B8750" s="549"/>
      <c r="C8750" s="549"/>
      <c r="D8750" s="549"/>
      <c r="E8750" s="549"/>
      <c r="F8750" s="549"/>
      <c r="G8750" s="549" t="s">
        <v>21</v>
      </c>
      <c r="H8750" s="549" t="s">
        <v>129</v>
      </c>
      <c r="I8750" s="558">
        <v>17.899999999999999</v>
      </c>
      <c r="J8750" s="567">
        <v>10.1</v>
      </c>
      <c r="K8750" s="648">
        <v>20</v>
      </c>
      <c r="L8750" s="552">
        <f t="shared" si="1784"/>
        <v>3.6157999999999997</v>
      </c>
      <c r="M8750" s="549"/>
      <c r="N8750" s="549"/>
      <c r="O8750" s="549"/>
      <c r="P8750" s="549"/>
    </row>
    <row r="8751" spans="1:22" ht="17.399999999999999">
      <c r="A8751" s="549"/>
      <c r="B8751" s="549"/>
      <c r="C8751" s="549"/>
      <c r="D8751" s="549"/>
      <c r="E8751" s="549"/>
      <c r="F8751" s="549"/>
      <c r="G8751" s="549" t="s">
        <v>21</v>
      </c>
      <c r="H8751" s="549" t="s">
        <v>129</v>
      </c>
      <c r="I8751" s="558">
        <v>17.899999999999999</v>
      </c>
      <c r="J8751" s="567">
        <v>11</v>
      </c>
      <c r="K8751" s="648">
        <v>12</v>
      </c>
      <c r="L8751" s="552">
        <f t="shared" si="1784"/>
        <v>2.3627999999999996</v>
      </c>
      <c r="M8751" s="549"/>
      <c r="N8751" s="549"/>
      <c r="O8751" s="549"/>
      <c r="P8751" s="549"/>
    </row>
    <row r="8752" spans="1:22" ht="17.399999999999999">
      <c r="A8752" s="549"/>
      <c r="B8752" s="549"/>
      <c r="C8752" s="549"/>
      <c r="D8752" s="549"/>
      <c r="E8752" s="549"/>
      <c r="F8752" s="549"/>
      <c r="G8752" s="549" t="s">
        <v>21</v>
      </c>
      <c r="H8752" s="549" t="s">
        <v>129</v>
      </c>
      <c r="I8752" s="558">
        <v>17.899999999999999</v>
      </c>
      <c r="J8752" s="567">
        <v>11.7</v>
      </c>
      <c r="K8752" s="648">
        <v>4</v>
      </c>
      <c r="L8752" s="552">
        <f t="shared" si="1784"/>
        <v>0.83771999999999991</v>
      </c>
      <c r="M8752" s="549"/>
      <c r="N8752" s="549"/>
      <c r="O8752" s="549"/>
      <c r="P8752" s="549"/>
    </row>
    <row r="8753" spans="1:19" ht="17.399999999999999">
      <c r="A8753" s="549"/>
      <c r="B8753" s="549"/>
      <c r="C8753" s="549"/>
      <c r="D8753" s="549"/>
      <c r="E8753" s="549"/>
      <c r="F8753" s="549"/>
      <c r="G8753" s="549"/>
      <c r="H8753" s="549"/>
      <c r="I8753" s="558"/>
      <c r="J8753" s="567"/>
      <c r="K8753" s="648">
        <f>SUM(K8744:K8752)</f>
        <v>161</v>
      </c>
      <c r="L8753" s="567">
        <f t="shared" ref="L8753" si="1785">SUM(L8744:L8752)</f>
        <v>25.398309999999999</v>
      </c>
      <c r="M8753" s="549"/>
      <c r="N8753" s="549"/>
      <c r="O8753" s="549"/>
      <c r="P8753" s="549" t="s">
        <v>971</v>
      </c>
    </row>
    <row r="8754" spans="1:19" ht="17.399999999999999">
      <c r="A8754" s="549"/>
      <c r="B8754" s="549"/>
      <c r="C8754" s="549"/>
      <c r="D8754" s="549"/>
      <c r="E8754" s="549"/>
      <c r="F8754" s="549"/>
      <c r="G8754" s="549"/>
      <c r="H8754" s="549"/>
      <c r="I8754" s="558"/>
      <c r="J8754" s="549"/>
      <c r="K8754" s="561"/>
      <c r="L8754" s="560"/>
      <c r="M8754" s="549"/>
      <c r="N8754" s="549"/>
      <c r="O8754" s="549"/>
      <c r="P8754" s="549"/>
    </row>
    <row r="8755" spans="1:19" ht="17.399999999999999">
      <c r="A8755" s="549"/>
      <c r="B8755" s="549"/>
      <c r="C8755" s="549"/>
      <c r="D8755" s="549"/>
      <c r="E8755" s="832"/>
      <c r="F8755" s="549"/>
      <c r="G8755" s="549"/>
      <c r="H8755" s="650"/>
      <c r="I8755" s="558"/>
      <c r="J8755" s="710"/>
      <c r="K8755" s="648"/>
      <c r="L8755" s="765"/>
      <c r="M8755" s="549"/>
      <c r="N8755" s="549"/>
      <c r="O8755" s="549"/>
      <c r="P8755" s="549"/>
    </row>
    <row r="8756" spans="1:19" ht="17.399999999999999">
      <c r="A8756" s="547" t="s">
        <v>541</v>
      </c>
      <c r="B8756" s="547" t="s">
        <v>952</v>
      </c>
      <c r="C8756" s="547" t="s">
        <v>19</v>
      </c>
      <c r="D8756" s="547" t="s">
        <v>20</v>
      </c>
      <c r="E8756" s="1283" t="s">
        <v>51</v>
      </c>
      <c r="F8756" s="1295">
        <v>14</v>
      </c>
      <c r="G8756" s="549" t="s">
        <v>21</v>
      </c>
      <c r="H8756" s="599" t="s">
        <v>128</v>
      </c>
      <c r="I8756" s="558">
        <v>16</v>
      </c>
      <c r="J8756" s="567">
        <v>7.2</v>
      </c>
      <c r="K8756" s="648">
        <v>7</v>
      </c>
      <c r="L8756" s="552">
        <f t="shared" ref="L8756:L8759" si="1786">(I8756*J8756*K8756/1000)</f>
        <v>0.80640000000000001</v>
      </c>
      <c r="M8756" s="549"/>
      <c r="N8756" s="549"/>
      <c r="O8756" s="549"/>
      <c r="P8756" s="549"/>
      <c r="Q8756" s="497">
        <v>6</v>
      </c>
      <c r="R8756" s="126">
        <f t="shared" ref="R8756:R8759" si="1787">J8756*Q8756*I8756/1000</f>
        <v>0.69120000000000004</v>
      </c>
      <c r="S8756" s="497" t="s">
        <v>1019</v>
      </c>
    </row>
    <row r="8757" spans="1:19" ht="17.399999999999999">
      <c r="A8757" s="549"/>
      <c r="B8757" s="549"/>
      <c r="C8757" s="549"/>
      <c r="D8757" s="549"/>
      <c r="E8757" s="832"/>
      <c r="F8757" s="549"/>
      <c r="G8757" s="549" t="s">
        <v>21</v>
      </c>
      <c r="H8757" s="549" t="s">
        <v>128</v>
      </c>
      <c r="I8757" s="558">
        <v>16</v>
      </c>
      <c r="J8757" s="567">
        <v>7.5</v>
      </c>
      <c r="K8757" s="648">
        <v>4</v>
      </c>
      <c r="L8757" s="552">
        <f t="shared" si="1786"/>
        <v>0.48</v>
      </c>
      <c r="M8757" s="549"/>
      <c r="N8757" s="549"/>
      <c r="O8757" s="549"/>
      <c r="P8757" s="549"/>
      <c r="Q8757" s="497">
        <v>4</v>
      </c>
      <c r="R8757" s="126">
        <f t="shared" si="1787"/>
        <v>0.48</v>
      </c>
    </row>
    <row r="8758" spans="1:19" ht="17.399999999999999">
      <c r="A8758" s="549"/>
      <c r="B8758" s="549"/>
      <c r="C8758" s="549"/>
      <c r="D8758" s="549"/>
      <c r="E8758" s="549"/>
      <c r="F8758" s="549"/>
      <c r="G8758" s="549" t="s">
        <v>21</v>
      </c>
      <c r="H8758" s="549" t="s">
        <v>128</v>
      </c>
      <c r="I8758" s="558">
        <v>16</v>
      </c>
      <c r="J8758" s="567">
        <v>11.3</v>
      </c>
      <c r="K8758" s="648">
        <v>9</v>
      </c>
      <c r="L8758" s="552">
        <f t="shared" si="1786"/>
        <v>1.6272</v>
      </c>
      <c r="M8758" s="549"/>
      <c r="N8758" s="549"/>
      <c r="O8758" s="549"/>
      <c r="P8758" s="549"/>
      <c r="Q8758" s="497">
        <v>3</v>
      </c>
      <c r="R8758" s="126">
        <f t="shared" si="1787"/>
        <v>0.5424000000000001</v>
      </c>
    </row>
    <row r="8759" spans="1:19" ht="17.399999999999999">
      <c r="A8759" s="549"/>
      <c r="B8759" s="549"/>
      <c r="C8759" s="549"/>
      <c r="D8759" s="549"/>
      <c r="E8759" s="549"/>
      <c r="F8759" s="549"/>
      <c r="G8759" s="549" t="s">
        <v>21</v>
      </c>
      <c r="H8759" s="549" t="s">
        <v>128</v>
      </c>
      <c r="I8759" s="558">
        <v>16</v>
      </c>
      <c r="J8759" s="567">
        <v>11.8</v>
      </c>
      <c r="K8759" s="648">
        <v>4</v>
      </c>
      <c r="L8759" s="552">
        <f t="shared" si="1786"/>
        <v>0.75520000000000009</v>
      </c>
      <c r="M8759" s="549"/>
      <c r="N8759" s="549"/>
      <c r="O8759" s="549"/>
      <c r="P8759" s="549"/>
      <c r="R8759" s="126">
        <f t="shared" si="1787"/>
        <v>0</v>
      </c>
    </row>
    <row r="8760" spans="1:19" ht="17.399999999999999">
      <c r="A8760" s="549"/>
      <c r="B8760" s="549"/>
      <c r="C8760" s="549"/>
      <c r="D8760" s="549"/>
      <c r="E8760" s="549"/>
      <c r="F8760" s="549"/>
      <c r="G8760" s="549"/>
      <c r="H8760" s="549"/>
      <c r="I8760" s="558"/>
      <c r="J8760" s="567"/>
      <c r="K8760" s="648">
        <f>SUM(K8756:K8759)</f>
        <v>24</v>
      </c>
      <c r="L8760" s="567">
        <f>SUM(L8756:L8759)</f>
        <v>3.6688000000000001</v>
      </c>
      <c r="M8760" s="549"/>
      <c r="N8760" s="549"/>
      <c r="O8760" s="549"/>
      <c r="P8760" s="549" t="s">
        <v>972</v>
      </c>
      <c r="Q8760" s="648">
        <f>SUM(Q8756:Q8759)</f>
        <v>13</v>
      </c>
      <c r="R8760" s="567">
        <f>SUM(R8756:R8759)</f>
        <v>1.7136</v>
      </c>
    </row>
    <row r="8761" spans="1:19" s="497" customFormat="1" ht="17.399999999999999">
      <c r="A8761" s="549"/>
      <c r="B8761" s="549"/>
      <c r="C8761" s="549"/>
      <c r="D8761" s="549"/>
      <c r="E8761" s="549"/>
      <c r="F8761" s="549"/>
      <c r="G8761" s="549"/>
      <c r="H8761" s="549"/>
      <c r="I8761" s="558"/>
      <c r="J8761" s="567"/>
      <c r="K8761" s="648"/>
      <c r="L8761" s="567"/>
      <c r="M8761" s="549"/>
      <c r="N8761" s="549"/>
      <c r="O8761" s="549"/>
      <c r="P8761" s="549"/>
    </row>
    <row r="8762" spans="1:19" ht="17.399999999999999">
      <c r="A8762" s="549"/>
      <c r="B8762" s="549"/>
      <c r="C8762" s="549"/>
      <c r="D8762" s="549"/>
      <c r="E8762" s="549"/>
      <c r="F8762" s="549"/>
      <c r="G8762" s="549"/>
      <c r="H8762" s="549"/>
      <c r="I8762" s="558"/>
      <c r="J8762" s="549"/>
      <c r="K8762" s="561"/>
      <c r="L8762" s="560"/>
      <c r="M8762" s="549"/>
      <c r="N8762" s="549"/>
      <c r="O8762" s="549"/>
      <c r="P8762" s="549"/>
    </row>
    <row r="8763" spans="1:19" ht="17.399999999999999">
      <c r="A8763" s="547" t="s">
        <v>541</v>
      </c>
      <c r="B8763" s="979" t="s">
        <v>952</v>
      </c>
      <c r="C8763" s="547" t="s">
        <v>19</v>
      </c>
      <c r="D8763" s="547" t="s">
        <v>20</v>
      </c>
      <c r="E8763" s="1283" t="s">
        <v>51</v>
      </c>
      <c r="F8763" s="1295">
        <v>14</v>
      </c>
      <c r="G8763" s="549" t="s">
        <v>21</v>
      </c>
      <c r="H8763" s="599" t="s">
        <v>125</v>
      </c>
      <c r="I8763" s="558">
        <v>21.7</v>
      </c>
      <c r="J8763" s="567">
        <v>6.1</v>
      </c>
      <c r="K8763" s="648">
        <v>4</v>
      </c>
      <c r="L8763" s="552">
        <f t="shared" ref="L8763:L8770" si="1788">(I8763*J8763*K8763/1000)</f>
        <v>0.52947999999999995</v>
      </c>
      <c r="M8763" s="549">
        <v>1</v>
      </c>
      <c r="N8763" s="567">
        <f t="shared" ref="N8763:N8770" si="1789">J8763*M8763*I8763/1000</f>
        <v>0.13236999999999999</v>
      </c>
      <c r="O8763" s="549"/>
      <c r="P8763" s="549"/>
      <c r="Q8763" s="497" t="s">
        <v>1023</v>
      </c>
    </row>
    <row r="8764" spans="1:19" ht="17.399999999999999">
      <c r="A8764" s="549"/>
      <c r="B8764" s="549"/>
      <c r="C8764" s="549"/>
      <c r="D8764" s="549"/>
      <c r="E8764" s="832"/>
      <c r="F8764" s="549"/>
      <c r="G8764" s="549" t="s">
        <v>21</v>
      </c>
      <c r="H8764" s="549" t="s">
        <v>125</v>
      </c>
      <c r="I8764" s="558">
        <v>21.7</v>
      </c>
      <c r="J8764" s="567">
        <v>6.3</v>
      </c>
      <c r="K8764" s="648">
        <v>4</v>
      </c>
      <c r="L8764" s="552">
        <f t="shared" si="1788"/>
        <v>0.54683999999999988</v>
      </c>
      <c r="M8764" s="549">
        <v>4</v>
      </c>
      <c r="N8764" s="567">
        <f t="shared" si="1789"/>
        <v>0.54683999999999988</v>
      </c>
      <c r="O8764" s="549"/>
      <c r="P8764" s="549"/>
    </row>
    <row r="8765" spans="1:19" ht="17.399999999999999">
      <c r="A8765" s="549"/>
      <c r="B8765" s="549"/>
      <c r="C8765" s="549"/>
      <c r="D8765" s="549"/>
      <c r="E8765" s="549"/>
      <c r="F8765" s="549"/>
      <c r="G8765" s="549" t="s">
        <v>21</v>
      </c>
      <c r="H8765" s="549" t="s">
        <v>125</v>
      </c>
      <c r="I8765" s="558">
        <v>21.7</v>
      </c>
      <c r="J8765" s="567">
        <v>8.4</v>
      </c>
      <c r="K8765" s="648">
        <v>2</v>
      </c>
      <c r="L8765" s="552">
        <f t="shared" si="1788"/>
        <v>0.36456</v>
      </c>
      <c r="M8765" s="549">
        <f>1+1</f>
        <v>2</v>
      </c>
      <c r="N8765" s="567">
        <f t="shared" si="1789"/>
        <v>0.36456</v>
      </c>
      <c r="O8765" s="549"/>
      <c r="P8765" s="549"/>
    </row>
    <row r="8766" spans="1:19" ht="17.399999999999999">
      <c r="A8766" s="549"/>
      <c r="B8766" s="549"/>
      <c r="C8766" s="549"/>
      <c r="D8766" s="549"/>
      <c r="E8766" s="549"/>
      <c r="F8766" s="549"/>
      <c r="G8766" s="549" t="s">
        <v>21</v>
      </c>
      <c r="H8766" s="549" t="s">
        <v>125</v>
      </c>
      <c r="I8766" s="558">
        <v>21.7</v>
      </c>
      <c r="J8766" s="567">
        <v>8.6</v>
      </c>
      <c r="K8766" s="648">
        <v>4</v>
      </c>
      <c r="L8766" s="552">
        <f t="shared" si="1788"/>
        <v>0.74647999999999992</v>
      </c>
      <c r="M8766" s="549"/>
      <c r="N8766" s="567">
        <f t="shared" si="1789"/>
        <v>0</v>
      </c>
      <c r="O8766" s="549"/>
      <c r="P8766" s="549"/>
    </row>
    <row r="8767" spans="1:19" ht="17.399999999999999">
      <c r="A8767" s="549"/>
      <c r="B8767" s="549"/>
      <c r="C8767" s="549"/>
      <c r="D8767" s="549"/>
      <c r="E8767" s="549"/>
      <c r="F8767" s="549"/>
      <c r="G8767" s="549" t="s">
        <v>21</v>
      </c>
      <c r="H8767" s="549" t="s">
        <v>125</v>
      </c>
      <c r="I8767" s="558">
        <v>21.7</v>
      </c>
      <c r="J8767" s="567">
        <v>9.1</v>
      </c>
      <c r="K8767" s="648">
        <v>8</v>
      </c>
      <c r="L8767" s="552">
        <f t="shared" si="1788"/>
        <v>1.5797600000000001</v>
      </c>
      <c r="M8767" s="549"/>
      <c r="N8767" s="567">
        <f t="shared" si="1789"/>
        <v>0</v>
      </c>
      <c r="O8767" s="549"/>
      <c r="P8767" s="549"/>
    </row>
    <row r="8768" spans="1:19" ht="17.399999999999999">
      <c r="A8768" s="549"/>
      <c r="B8768" s="549"/>
      <c r="C8768" s="549"/>
      <c r="D8768" s="549"/>
      <c r="E8768" s="549"/>
      <c r="F8768" s="549"/>
      <c r="G8768" s="549" t="s">
        <v>21</v>
      </c>
      <c r="H8768" s="549" t="s">
        <v>125</v>
      </c>
      <c r="I8768" s="558">
        <v>21.7</v>
      </c>
      <c r="J8768" s="567">
        <v>9.6999999999999993</v>
      </c>
      <c r="K8768" s="648">
        <v>4</v>
      </c>
      <c r="L8768" s="552">
        <f t="shared" si="1788"/>
        <v>0.84195999999999993</v>
      </c>
      <c r="M8768" s="549"/>
      <c r="N8768" s="567">
        <f t="shared" si="1789"/>
        <v>0</v>
      </c>
      <c r="O8768" s="549"/>
      <c r="P8768" s="549"/>
    </row>
    <row r="8769" spans="1:17" ht="17.399999999999999">
      <c r="A8769" s="549"/>
      <c r="B8769" s="549"/>
      <c r="C8769" s="549"/>
      <c r="D8769" s="549"/>
      <c r="E8769" s="549"/>
      <c r="F8769" s="549"/>
      <c r="G8769" s="549" t="s">
        <v>21</v>
      </c>
      <c r="H8769" s="549" t="s">
        <v>125</v>
      </c>
      <c r="I8769" s="558">
        <v>21.7</v>
      </c>
      <c r="J8769" s="567">
        <v>10.1</v>
      </c>
      <c r="K8769" s="648">
        <v>4</v>
      </c>
      <c r="L8769" s="552">
        <f t="shared" si="1788"/>
        <v>0.8766799999999999</v>
      </c>
      <c r="M8769" s="549">
        <v>3</v>
      </c>
      <c r="N8769" s="567">
        <f t="shared" si="1789"/>
        <v>0.65750999999999993</v>
      </c>
      <c r="O8769" s="549"/>
      <c r="P8769" s="549"/>
    </row>
    <row r="8770" spans="1:17" ht="17.399999999999999">
      <c r="A8770" s="549"/>
      <c r="B8770" s="549"/>
      <c r="C8770" s="549"/>
      <c r="D8770" s="549"/>
      <c r="E8770" s="549"/>
      <c r="F8770" s="549"/>
      <c r="G8770" s="549" t="s">
        <v>21</v>
      </c>
      <c r="H8770" s="549" t="s">
        <v>125</v>
      </c>
      <c r="I8770" s="558">
        <v>21.7</v>
      </c>
      <c r="J8770" s="567">
        <v>11.7</v>
      </c>
      <c r="K8770" s="648">
        <v>12</v>
      </c>
      <c r="L8770" s="552">
        <f t="shared" si="1788"/>
        <v>3.0466799999999998</v>
      </c>
      <c r="M8770" s="549"/>
      <c r="N8770" s="567">
        <f t="shared" si="1789"/>
        <v>0</v>
      </c>
      <c r="O8770" s="549"/>
      <c r="P8770" s="549"/>
    </row>
    <row r="8771" spans="1:17" ht="17.399999999999999">
      <c r="A8771" s="549"/>
      <c r="B8771" s="549"/>
      <c r="C8771" s="549"/>
      <c r="D8771" s="549"/>
      <c r="E8771" s="549"/>
      <c r="F8771" s="549"/>
      <c r="G8771" s="549"/>
      <c r="H8771" s="549"/>
      <c r="I8771" s="558"/>
      <c r="J8771" s="567"/>
      <c r="K8771" s="648">
        <f>SUM(K8763:K8770)</f>
        <v>42</v>
      </c>
      <c r="L8771" s="567">
        <f t="shared" ref="L8771:N8771" si="1790">SUM(L8763:L8770)</f>
        <v>8.5324400000000011</v>
      </c>
      <c r="M8771" s="648">
        <f>SUM(M8763:M8770)</f>
        <v>10</v>
      </c>
      <c r="N8771" s="567">
        <f t="shared" si="1790"/>
        <v>1.7012799999999997</v>
      </c>
      <c r="O8771" s="549"/>
      <c r="P8771" s="549" t="s">
        <v>973</v>
      </c>
    </row>
    <row r="8772" spans="1:17" s="497" customFormat="1" ht="17.399999999999999">
      <c r="A8772" s="549"/>
      <c r="B8772" s="549"/>
      <c r="C8772" s="549"/>
      <c r="D8772" s="549"/>
      <c r="E8772" s="549"/>
      <c r="F8772" s="549"/>
      <c r="G8772" s="549"/>
      <c r="H8772" s="549"/>
      <c r="I8772" s="558"/>
      <c r="J8772" s="567"/>
      <c r="K8772" s="648"/>
      <c r="L8772" s="567"/>
      <c r="M8772" s="549"/>
      <c r="N8772" s="549"/>
      <c r="O8772" s="549"/>
      <c r="P8772" s="549"/>
    </row>
    <row r="8773" spans="1:17" s="497" customFormat="1" ht="17.399999999999999">
      <c r="A8773" s="549"/>
      <c r="B8773" s="549"/>
      <c r="C8773" s="549"/>
      <c r="D8773" s="549"/>
      <c r="E8773" s="549"/>
      <c r="F8773" s="549"/>
      <c r="G8773" s="549"/>
      <c r="H8773" s="549"/>
      <c r="I8773" s="558"/>
      <c r="J8773" s="567"/>
      <c r="K8773" s="648"/>
      <c r="L8773" s="567"/>
      <c r="M8773" s="549"/>
      <c r="N8773" s="549"/>
      <c r="O8773" s="549"/>
      <c r="P8773" s="549"/>
    </row>
    <row r="8774" spans="1:17" ht="17.399999999999999">
      <c r="A8774" s="547" t="s">
        <v>445</v>
      </c>
      <c r="B8774" s="547" t="s">
        <v>857</v>
      </c>
      <c r="C8774" s="547" t="s">
        <v>19</v>
      </c>
      <c r="D8774" s="547" t="s">
        <v>20</v>
      </c>
      <c r="E8774" s="1283" t="s">
        <v>51</v>
      </c>
      <c r="F8774" s="1295">
        <v>14</v>
      </c>
      <c r="G8774" s="549" t="s">
        <v>21</v>
      </c>
      <c r="H8774" s="599" t="s">
        <v>126</v>
      </c>
      <c r="I8774" s="558">
        <v>23.6</v>
      </c>
      <c r="J8774" s="710">
        <v>8.6</v>
      </c>
      <c r="K8774" s="648">
        <v>8</v>
      </c>
      <c r="L8774" s="552">
        <f>(I8774*J8774*K8774/1000)</f>
        <v>1.62368</v>
      </c>
      <c r="M8774" s="549"/>
      <c r="N8774" s="549"/>
      <c r="O8774" s="549"/>
      <c r="P8774" s="549"/>
      <c r="Q8774" s="497" t="s">
        <v>1023</v>
      </c>
    </row>
    <row r="8775" spans="1:17" ht="17.399999999999999">
      <c r="A8775" s="549"/>
      <c r="B8775" s="549" t="s">
        <v>84</v>
      </c>
      <c r="C8775" s="549"/>
      <c r="D8775" s="549"/>
      <c r="E8775" s="832"/>
      <c r="F8775" s="549"/>
      <c r="G8775" s="549"/>
      <c r="H8775" s="650"/>
      <c r="I8775" s="558"/>
      <c r="J8775" s="710"/>
      <c r="K8775" s="648">
        <f t="shared" ref="K8775:L8775" si="1791">SUM(K8774)</f>
        <v>8</v>
      </c>
      <c r="L8775" s="765">
        <f t="shared" si="1791"/>
        <v>1.62368</v>
      </c>
      <c r="M8775" s="549"/>
      <c r="N8775" s="549"/>
      <c r="O8775" s="549"/>
      <c r="P8775" s="549" t="s">
        <v>974</v>
      </c>
    </row>
    <row r="8776" spans="1:17" ht="17.399999999999999">
      <c r="A8776" s="549"/>
      <c r="B8776" s="549"/>
      <c r="C8776" s="549"/>
      <c r="D8776" s="549"/>
      <c r="E8776" s="832"/>
      <c r="F8776" s="549"/>
      <c r="G8776" s="549"/>
      <c r="H8776" s="549"/>
      <c r="I8776" s="558"/>
      <c r="J8776" s="549"/>
      <c r="K8776" s="561"/>
      <c r="L8776" s="560"/>
      <c r="M8776" s="549"/>
      <c r="N8776" s="549"/>
      <c r="O8776" s="549"/>
      <c r="P8776" s="549"/>
    </row>
    <row r="8777" spans="1:17" ht="17.399999999999999">
      <c r="A8777" s="547" t="s">
        <v>541</v>
      </c>
      <c r="B8777" s="979" t="s">
        <v>952</v>
      </c>
      <c r="C8777" s="547" t="s">
        <v>19</v>
      </c>
      <c r="D8777" s="547" t="s">
        <v>20</v>
      </c>
      <c r="E8777" s="1283" t="s">
        <v>51</v>
      </c>
      <c r="F8777" s="1295">
        <v>14</v>
      </c>
      <c r="G8777" s="549" t="s">
        <v>21</v>
      </c>
      <c r="H8777" s="599" t="s">
        <v>126</v>
      </c>
      <c r="I8777" s="558">
        <v>23.6</v>
      </c>
      <c r="J8777" s="567">
        <v>8.6999999999999993</v>
      </c>
      <c r="K8777" s="648">
        <v>3</v>
      </c>
      <c r="L8777" s="552">
        <f t="shared" ref="L8777:L8778" si="1792">(I8777*J8777*K8777/1000)</f>
        <v>0.61596000000000006</v>
      </c>
      <c r="M8777" s="549"/>
      <c r="N8777" s="549"/>
      <c r="O8777" s="549"/>
      <c r="P8777" s="549"/>
      <c r="Q8777" s="497" t="s">
        <v>1023</v>
      </c>
    </row>
    <row r="8778" spans="1:17" ht="17.399999999999999">
      <c r="A8778" s="549"/>
      <c r="B8778" s="549"/>
      <c r="C8778" s="549"/>
      <c r="D8778" s="549"/>
      <c r="E8778" s="832"/>
      <c r="F8778" s="549"/>
      <c r="G8778" s="549" t="s">
        <v>21</v>
      </c>
      <c r="H8778" s="549" t="s">
        <v>126</v>
      </c>
      <c r="I8778" s="558">
        <v>23.6</v>
      </c>
      <c r="J8778" s="567">
        <v>11.1</v>
      </c>
      <c r="K8778" s="648">
        <v>4</v>
      </c>
      <c r="L8778" s="552">
        <f t="shared" si="1792"/>
        <v>1.0478399999999999</v>
      </c>
      <c r="M8778" s="549"/>
      <c r="N8778" s="549"/>
      <c r="O8778" s="549"/>
      <c r="P8778" s="549"/>
    </row>
    <row r="8779" spans="1:17" ht="17.399999999999999">
      <c r="A8779" s="549"/>
      <c r="B8779" s="549"/>
      <c r="C8779" s="549"/>
      <c r="D8779" s="549"/>
      <c r="E8779" s="549"/>
      <c r="F8779" s="549"/>
      <c r="G8779" s="549"/>
      <c r="H8779" s="549"/>
      <c r="I8779" s="558"/>
      <c r="J8779" s="567"/>
      <c r="K8779" s="648">
        <f>SUM(K8777:K8778)</f>
        <v>7</v>
      </c>
      <c r="L8779" s="567">
        <f>SUM(L8777:L8778)</f>
        <v>1.6637999999999999</v>
      </c>
      <c r="M8779" s="549"/>
      <c r="N8779" s="549"/>
      <c r="O8779" s="549"/>
      <c r="P8779" s="549" t="s">
        <v>974</v>
      </c>
    </row>
    <row r="8780" spans="1:17" s="497" customFormat="1" ht="17.399999999999999">
      <c r="A8780" s="549"/>
      <c r="B8780" s="549"/>
      <c r="C8780" s="549"/>
      <c r="D8780" s="549"/>
      <c r="E8780" s="549"/>
      <c r="F8780" s="549"/>
      <c r="G8780" s="549"/>
      <c r="H8780" s="549"/>
      <c r="I8780" s="558"/>
      <c r="J8780" s="567"/>
      <c r="K8780" s="648">
        <f>SUM(K8774:K8779)/2</f>
        <v>15</v>
      </c>
      <c r="L8780" s="567">
        <f>SUM(L8774:L8779)/2</f>
        <v>3.28748</v>
      </c>
      <c r="M8780" s="549"/>
      <c r="N8780" s="549"/>
      <c r="O8780" s="549"/>
      <c r="P8780" s="549"/>
    </row>
    <row r="8781" spans="1:17" ht="17.399999999999999">
      <c r="A8781" s="549"/>
      <c r="B8781" s="549"/>
      <c r="C8781" s="549"/>
      <c r="D8781" s="549"/>
      <c r="E8781" s="832"/>
      <c r="F8781" s="549"/>
      <c r="G8781" s="549"/>
      <c r="H8781" s="549"/>
      <c r="I8781" s="558"/>
      <c r="J8781" s="549"/>
      <c r="K8781" s="561"/>
      <c r="L8781" s="560"/>
      <c r="M8781" s="549"/>
      <c r="N8781" s="549"/>
      <c r="O8781" s="549"/>
      <c r="P8781" s="549"/>
    </row>
    <row r="8782" spans="1:17" s="497" customFormat="1" ht="17.399999999999999">
      <c r="A8782" s="549"/>
      <c r="B8782" s="549"/>
      <c r="C8782" s="549"/>
      <c r="D8782" s="549"/>
      <c r="E8782" s="832"/>
      <c r="F8782" s="549"/>
      <c r="G8782" s="549"/>
      <c r="H8782" s="549"/>
      <c r="I8782" s="558"/>
      <c r="J8782" s="549"/>
      <c r="K8782" s="561"/>
      <c r="L8782" s="560"/>
      <c r="M8782" s="549"/>
      <c r="N8782" s="549"/>
      <c r="O8782" s="549"/>
      <c r="P8782" s="549"/>
    </row>
    <row r="8783" spans="1:17" ht="17.399999999999999">
      <c r="A8783" s="547" t="s">
        <v>541</v>
      </c>
      <c r="B8783" s="547" t="s">
        <v>952</v>
      </c>
      <c r="C8783" s="547" t="s">
        <v>19</v>
      </c>
      <c r="D8783" s="547" t="s">
        <v>60</v>
      </c>
      <c r="E8783" s="949" t="s">
        <v>62</v>
      </c>
      <c r="F8783" s="549">
        <v>14</v>
      </c>
      <c r="G8783" s="549" t="s">
        <v>61</v>
      </c>
      <c r="H8783" s="599" t="s">
        <v>129</v>
      </c>
      <c r="I8783" s="558">
        <v>17.899999999999999</v>
      </c>
      <c r="J8783" s="567">
        <v>8.1</v>
      </c>
      <c r="K8783" s="648">
        <v>48</v>
      </c>
      <c r="L8783" s="552">
        <f t="shared" ref="L8783:L8784" si="1793">(I8783*J8783*K8783/1000)</f>
        <v>6.9595199999999986</v>
      </c>
      <c r="M8783" s="549">
        <v>1</v>
      </c>
      <c r="N8783" s="567">
        <f t="shared" ref="N8783:N8784" si="1794">J8783*M8783*I8783/1000</f>
        <v>0.14498999999999998</v>
      </c>
      <c r="O8783" s="549"/>
      <c r="P8783" s="549"/>
      <c r="Q8783" s="497" t="s">
        <v>1019</v>
      </c>
    </row>
    <row r="8784" spans="1:17" ht="17.399999999999999">
      <c r="A8784" s="549"/>
      <c r="B8784" s="549"/>
      <c r="C8784" s="549"/>
      <c r="D8784" s="549"/>
      <c r="E8784" s="832"/>
      <c r="F8784" s="549"/>
      <c r="G8784" s="549" t="s">
        <v>61</v>
      </c>
      <c r="H8784" s="549" t="s">
        <v>129</v>
      </c>
      <c r="I8784" s="558">
        <v>17.899999999999999</v>
      </c>
      <c r="J8784" s="567">
        <v>10.9</v>
      </c>
      <c r="K8784" s="648">
        <v>25</v>
      </c>
      <c r="L8784" s="552">
        <f t="shared" si="1793"/>
        <v>4.8777499999999998</v>
      </c>
      <c r="M8784" s="549">
        <v>10</v>
      </c>
      <c r="N8784" s="567">
        <f t="shared" si="1794"/>
        <v>1.9510999999999998</v>
      </c>
      <c r="O8784" s="549"/>
      <c r="P8784" s="549"/>
    </row>
    <row r="8785" spans="1:19" ht="17.399999999999999">
      <c r="A8785" s="549"/>
      <c r="B8785" s="549"/>
      <c r="C8785" s="549"/>
      <c r="D8785" s="549"/>
      <c r="E8785" s="549"/>
      <c r="F8785" s="549"/>
      <c r="G8785" s="549"/>
      <c r="H8785" s="549"/>
      <c r="I8785" s="558"/>
      <c r="J8785" s="567"/>
      <c r="K8785" s="648">
        <f>SUM(K8783:K8784)</f>
        <v>73</v>
      </c>
      <c r="L8785" s="567">
        <f>SUM(L8783:L8784)</f>
        <v>11.837269999999998</v>
      </c>
      <c r="M8785" s="648">
        <f>SUM(M8783:M8784)</f>
        <v>11</v>
      </c>
      <c r="N8785" s="567">
        <f>SUM(N8783:N8784)</f>
        <v>2.0960899999999998</v>
      </c>
      <c r="O8785" s="549"/>
      <c r="P8785" s="549" t="s">
        <v>975</v>
      </c>
    </row>
    <row r="8786" spans="1:19" ht="17.399999999999999">
      <c r="A8786" s="549"/>
      <c r="B8786" s="549"/>
      <c r="C8786" s="549"/>
      <c r="D8786" s="549"/>
      <c r="E8786" s="549"/>
      <c r="F8786" s="549"/>
      <c r="G8786" s="549"/>
      <c r="H8786" s="549"/>
      <c r="I8786" s="558"/>
      <c r="J8786" s="549"/>
      <c r="K8786" s="561"/>
      <c r="L8786" s="560"/>
      <c r="M8786" s="549"/>
      <c r="N8786" s="549"/>
      <c r="O8786" s="549"/>
      <c r="P8786" s="549"/>
    </row>
    <row r="8787" spans="1:19" ht="17.399999999999999">
      <c r="A8787" s="549"/>
      <c r="B8787" s="549"/>
      <c r="C8787" s="549"/>
      <c r="D8787" s="549"/>
      <c r="E8787" s="549"/>
      <c r="F8787" s="549"/>
      <c r="G8787" s="549"/>
      <c r="H8787" s="549"/>
      <c r="I8787" s="558"/>
      <c r="J8787" s="549"/>
      <c r="K8787" s="561"/>
      <c r="L8787" s="560"/>
      <c r="M8787" s="549"/>
      <c r="N8787" s="549"/>
      <c r="O8787" s="549"/>
      <c r="P8787" s="549"/>
    </row>
    <row r="8788" spans="1:19" s="497" customFormat="1" ht="17.399999999999999">
      <c r="A8788" s="550"/>
      <c r="B8788" s="550"/>
      <c r="C8788" s="550"/>
      <c r="D8788" s="550"/>
      <c r="E8788" s="1295"/>
      <c r="F8788" s="550"/>
      <c r="G8788" s="549"/>
      <c r="H8788" s="549"/>
      <c r="I8788" s="558"/>
      <c r="J8788" s="567"/>
      <c r="K8788" s="648"/>
      <c r="L8788" s="567"/>
      <c r="M8788" s="549"/>
      <c r="N8788" s="549"/>
      <c r="O8788" s="549"/>
      <c r="P8788" s="549"/>
    </row>
    <row r="8789" spans="1:19" ht="17.399999999999999">
      <c r="A8789" s="547" t="s">
        <v>395</v>
      </c>
      <c r="B8789" s="547" t="s">
        <v>959</v>
      </c>
      <c r="C8789" s="547" t="s">
        <v>446</v>
      </c>
      <c r="D8789" s="813" t="s">
        <v>450</v>
      </c>
      <c r="E8789" s="547" t="s">
        <v>270</v>
      </c>
      <c r="F8789" s="1295">
        <v>14</v>
      </c>
      <c r="G8789" s="549" t="s">
        <v>61</v>
      </c>
      <c r="H8789" s="599" t="s">
        <v>128</v>
      </c>
      <c r="I8789" s="558">
        <v>15.92</v>
      </c>
      <c r="J8789" s="567">
        <v>6.25</v>
      </c>
      <c r="K8789" s="648">
        <v>44</v>
      </c>
      <c r="L8789" s="552">
        <f t="shared" ref="L8789:L8791" si="1795">(I8789*J8789*K8789/1000)</f>
        <v>4.3780000000000001</v>
      </c>
      <c r="M8789" s="549"/>
      <c r="N8789" s="549"/>
      <c r="O8789" s="549"/>
      <c r="P8789" s="549"/>
      <c r="Q8789" s="497">
        <v>22</v>
      </c>
      <c r="R8789" s="126">
        <f t="shared" ref="R8789" si="1796">J8789*Q8789*I8789/1000</f>
        <v>2.1890000000000001</v>
      </c>
      <c r="S8789" s="497" t="s">
        <v>1032</v>
      </c>
    </row>
    <row r="8790" spans="1:19" ht="17.399999999999999">
      <c r="A8790" s="550"/>
      <c r="B8790" s="550"/>
      <c r="C8790" s="550"/>
      <c r="D8790" s="550"/>
      <c r="E8790" s="1295"/>
      <c r="F8790" s="550"/>
      <c r="G8790" s="549" t="s">
        <v>61</v>
      </c>
      <c r="H8790" s="549" t="s">
        <v>128</v>
      </c>
      <c r="I8790" s="558">
        <v>15.92</v>
      </c>
      <c r="J8790" s="567">
        <v>6.5</v>
      </c>
      <c r="K8790" s="648">
        <v>46</v>
      </c>
      <c r="L8790" s="552">
        <f t="shared" si="1795"/>
        <v>4.7600800000000003</v>
      </c>
      <c r="M8790" s="549"/>
      <c r="N8790" s="549"/>
      <c r="O8790" s="549"/>
      <c r="P8790" s="549"/>
    </row>
    <row r="8791" spans="1:19" ht="17.399999999999999">
      <c r="A8791" s="549"/>
      <c r="B8791" s="549"/>
      <c r="C8791" s="549"/>
      <c r="D8791" s="549"/>
      <c r="E8791" s="549"/>
      <c r="F8791" s="549"/>
      <c r="G8791" s="549" t="s">
        <v>61</v>
      </c>
      <c r="H8791" s="549" t="s">
        <v>128</v>
      </c>
      <c r="I8791" s="558">
        <v>15.92</v>
      </c>
      <c r="J8791" s="567">
        <v>11.5</v>
      </c>
      <c r="K8791" s="648">
        <v>26</v>
      </c>
      <c r="L8791" s="552">
        <f t="shared" si="1795"/>
        <v>4.7600800000000003</v>
      </c>
      <c r="M8791" s="549"/>
      <c r="N8791" s="549"/>
      <c r="O8791" s="549"/>
      <c r="P8791" s="549"/>
      <c r="Q8791" s="497">
        <v>15</v>
      </c>
      <c r="R8791" s="126">
        <f t="shared" ref="R8791" si="1797">J8791*Q8791*I8791/1000</f>
        <v>2.7462</v>
      </c>
    </row>
    <row r="8792" spans="1:19" ht="17.399999999999999">
      <c r="A8792" s="549"/>
      <c r="B8792" s="549"/>
      <c r="C8792" s="549"/>
      <c r="D8792" s="549"/>
      <c r="E8792" s="549"/>
      <c r="F8792" s="549"/>
      <c r="G8792" s="549"/>
      <c r="H8792" s="549"/>
      <c r="I8792" s="558"/>
      <c r="J8792" s="567"/>
      <c r="K8792" s="648">
        <f t="shared" ref="K8792:L8792" si="1798">SUM(K8789:K8791)</f>
        <v>116</v>
      </c>
      <c r="L8792" s="567">
        <f t="shared" si="1798"/>
        <v>13.898160000000001</v>
      </c>
      <c r="M8792" s="549"/>
      <c r="N8792" s="549"/>
      <c r="O8792" s="549"/>
      <c r="P8792" s="549" t="s">
        <v>976</v>
      </c>
      <c r="Q8792" s="648">
        <f t="shared" ref="Q8792" si="1799">SUM(Q8789:Q8791)</f>
        <v>37</v>
      </c>
      <c r="R8792" s="567">
        <f>SUM(R8789:R8791)</f>
        <v>4.9352</v>
      </c>
    </row>
    <row r="8793" spans="1:19" s="497" customFormat="1" ht="17.399999999999999">
      <c r="A8793" s="549"/>
      <c r="B8793" s="549"/>
      <c r="C8793" s="549"/>
      <c r="D8793" s="549"/>
      <c r="E8793" s="549"/>
      <c r="F8793" s="549"/>
      <c r="G8793" s="549"/>
      <c r="H8793" s="549"/>
      <c r="I8793" s="558"/>
      <c r="J8793" s="567"/>
      <c r="K8793" s="648"/>
      <c r="L8793" s="567"/>
      <c r="M8793" s="549"/>
      <c r="N8793" s="549"/>
      <c r="O8793" s="549"/>
      <c r="P8793" s="549"/>
    </row>
    <row r="8794" spans="1:19" ht="17.399999999999999">
      <c r="A8794" s="549"/>
      <c r="B8794" s="549"/>
      <c r="C8794" s="549"/>
      <c r="D8794" s="549"/>
      <c r="E8794" s="549"/>
      <c r="F8794" s="549"/>
      <c r="G8794" s="549"/>
      <c r="H8794" s="549"/>
      <c r="I8794" s="558"/>
      <c r="J8794" s="549"/>
      <c r="K8794" s="561"/>
      <c r="L8794" s="560"/>
      <c r="M8794" s="549"/>
      <c r="N8794" s="549"/>
      <c r="O8794" s="549"/>
      <c r="P8794" s="549"/>
    </row>
    <row r="8795" spans="1:19" ht="17.399999999999999">
      <c r="A8795" s="547" t="s">
        <v>445</v>
      </c>
      <c r="B8795" s="547" t="s">
        <v>857</v>
      </c>
      <c r="C8795" s="547" t="s">
        <v>19</v>
      </c>
      <c r="D8795" s="547" t="s">
        <v>60</v>
      </c>
      <c r="E8795" s="832" t="s">
        <v>90</v>
      </c>
      <c r="F8795" s="1295">
        <v>14</v>
      </c>
      <c r="G8795" s="549" t="s">
        <v>61</v>
      </c>
      <c r="H8795" s="599" t="s">
        <v>124</v>
      </c>
      <c r="I8795" s="558">
        <v>19.8</v>
      </c>
      <c r="J8795" s="710">
        <v>9.6</v>
      </c>
      <c r="K8795" s="648">
        <v>4</v>
      </c>
      <c r="L8795" s="552">
        <f>(I8795*J8795*K8795/1000)</f>
        <v>0.76032</v>
      </c>
      <c r="M8795" s="549">
        <v>4</v>
      </c>
      <c r="N8795" s="567">
        <f t="shared" ref="N8795" si="1800">J8795*M8795*I8795/1000</f>
        <v>0.76032</v>
      </c>
      <c r="O8795" s="549"/>
      <c r="P8795" s="549"/>
      <c r="Q8795" s="497" t="s">
        <v>1019</v>
      </c>
    </row>
    <row r="8796" spans="1:19" ht="17.399999999999999">
      <c r="A8796" s="549"/>
      <c r="B8796" s="549" t="s">
        <v>84</v>
      </c>
      <c r="C8796" s="549"/>
      <c r="D8796" s="549"/>
      <c r="E8796" s="832"/>
      <c r="F8796" s="549"/>
      <c r="G8796" s="549"/>
      <c r="H8796" s="650"/>
      <c r="I8796" s="558"/>
      <c r="J8796" s="710"/>
      <c r="K8796" s="648">
        <f t="shared" ref="K8796:N8796" si="1801">SUM(K8795)</f>
        <v>4</v>
      </c>
      <c r="L8796" s="765">
        <f t="shared" si="1801"/>
        <v>0.76032</v>
      </c>
      <c r="M8796" s="648">
        <f t="shared" si="1801"/>
        <v>4</v>
      </c>
      <c r="N8796" s="765">
        <f t="shared" si="1801"/>
        <v>0.76032</v>
      </c>
      <c r="O8796" s="549"/>
      <c r="P8796" s="549"/>
    </row>
    <row r="8797" spans="1:19" ht="17.399999999999999">
      <c r="A8797" s="549"/>
      <c r="B8797" s="549"/>
      <c r="C8797" s="549"/>
      <c r="D8797" s="549"/>
      <c r="E8797" s="832"/>
      <c r="F8797" s="549"/>
      <c r="G8797" s="549"/>
      <c r="H8797" s="549"/>
      <c r="I8797" s="558"/>
      <c r="J8797" s="549"/>
      <c r="K8797" s="561"/>
      <c r="L8797" s="560"/>
      <c r="M8797" s="549"/>
      <c r="N8797" s="549"/>
      <c r="O8797" s="549"/>
      <c r="P8797" s="549"/>
    </row>
    <row r="8798" spans="1:19" ht="17.399999999999999">
      <c r="A8798" s="547" t="s">
        <v>395</v>
      </c>
      <c r="B8798" s="547" t="s">
        <v>959</v>
      </c>
      <c r="C8798" s="547" t="s">
        <v>446</v>
      </c>
      <c r="D8798" s="813" t="s">
        <v>450</v>
      </c>
      <c r="E8798" s="547" t="s">
        <v>270</v>
      </c>
      <c r="F8798" s="1295">
        <v>14</v>
      </c>
      <c r="G8798" s="549" t="s">
        <v>61</v>
      </c>
      <c r="H8798" s="599" t="s">
        <v>124</v>
      </c>
      <c r="I8798" s="558">
        <v>19.72</v>
      </c>
      <c r="J8798" s="567">
        <v>7.7</v>
      </c>
      <c r="K8798" s="648">
        <v>12</v>
      </c>
      <c r="L8798" s="552">
        <f>(I8798*J8798*K8798/1000)</f>
        <v>1.822128</v>
      </c>
      <c r="M8798" s="549"/>
      <c r="N8798" s="567">
        <f t="shared" ref="N8798" si="1802">J8798*M8798*I8798/1000</f>
        <v>0</v>
      </c>
      <c r="O8798" s="549"/>
      <c r="P8798" s="549"/>
      <c r="Q8798" s="497">
        <v>12</v>
      </c>
      <c r="R8798" s="126">
        <f t="shared" ref="R8798" si="1803">J8798*Q8798*I8798/1000</f>
        <v>1.822128</v>
      </c>
      <c r="S8798" s="497" t="s">
        <v>1032</v>
      </c>
    </row>
    <row r="8799" spans="1:19" ht="17.399999999999999">
      <c r="A8799" s="550"/>
      <c r="B8799" s="550"/>
      <c r="C8799" s="550"/>
      <c r="D8799" s="550"/>
      <c r="E8799" s="1295"/>
      <c r="F8799" s="550"/>
      <c r="G8799" s="549"/>
      <c r="H8799" s="549"/>
      <c r="I8799" s="558"/>
      <c r="J8799" s="567"/>
      <c r="K8799" s="648">
        <f t="shared" ref="K8799:N8799" si="1804">SUM(K8798)</f>
        <v>12</v>
      </c>
      <c r="L8799" s="567">
        <f t="shared" si="1804"/>
        <v>1.822128</v>
      </c>
      <c r="M8799" s="648">
        <f t="shared" si="1804"/>
        <v>0</v>
      </c>
      <c r="N8799" s="567">
        <f t="shared" si="1804"/>
        <v>0</v>
      </c>
      <c r="O8799" s="549"/>
      <c r="P8799" s="549" t="s">
        <v>977</v>
      </c>
      <c r="Q8799" s="648">
        <f t="shared" ref="Q8799:R8799" si="1805">SUM(Q8798)</f>
        <v>12</v>
      </c>
      <c r="R8799" s="567">
        <f t="shared" si="1805"/>
        <v>1.822128</v>
      </c>
    </row>
    <row r="8800" spans="1:19" s="497" customFormat="1" ht="17.399999999999999">
      <c r="A8800" s="550"/>
      <c r="B8800" s="550"/>
      <c r="C8800" s="550"/>
      <c r="D8800" s="550"/>
      <c r="E8800" s="1295"/>
      <c r="F8800" s="550"/>
      <c r="G8800" s="549"/>
      <c r="H8800" s="549"/>
      <c r="I8800" s="558"/>
      <c r="J8800" s="567"/>
      <c r="K8800" s="648">
        <f>SUM(K8795:K8799)/2</f>
        <v>16</v>
      </c>
      <c r="L8800" s="567">
        <f>SUM(L8795:L8799)/2</f>
        <v>2.5824479999999999</v>
      </c>
      <c r="M8800" s="648">
        <f>SUM(M8795:M8799)/2</f>
        <v>4</v>
      </c>
      <c r="N8800" s="567">
        <f>SUM(N8795:N8799)/2</f>
        <v>0.76032</v>
      </c>
      <c r="O8800" s="549"/>
      <c r="P8800" s="549"/>
    </row>
    <row r="8801" spans="1:19" s="497" customFormat="1" ht="17.399999999999999">
      <c r="A8801" s="550"/>
      <c r="B8801" s="550"/>
      <c r="C8801" s="550"/>
      <c r="D8801" s="550"/>
      <c r="E8801" s="1295"/>
      <c r="F8801" s="550"/>
      <c r="G8801" s="549"/>
      <c r="H8801" s="549"/>
      <c r="I8801" s="558"/>
      <c r="J8801" s="567"/>
      <c r="K8801" s="648"/>
      <c r="L8801" s="567"/>
      <c r="M8801" s="648"/>
      <c r="N8801" s="567"/>
      <c r="O8801" s="549"/>
      <c r="P8801" s="549"/>
    </row>
    <row r="8802" spans="1:19" ht="17.399999999999999">
      <c r="A8802" s="550"/>
      <c r="B8802" s="550"/>
      <c r="C8802" s="550"/>
      <c r="D8802" s="550"/>
      <c r="E8802" s="1295"/>
      <c r="F8802" s="550"/>
      <c r="G8802" s="549"/>
      <c r="H8802" s="549"/>
      <c r="I8802" s="558"/>
      <c r="J8802" s="567"/>
      <c r="K8802" s="648"/>
      <c r="L8802" s="567"/>
      <c r="M8802" s="648"/>
      <c r="N8802" s="567"/>
      <c r="O8802" s="549"/>
      <c r="P8802" s="549"/>
    </row>
    <row r="8803" spans="1:19" s="497" customFormat="1" ht="17.399999999999999">
      <c r="A8803" s="547" t="s">
        <v>395</v>
      </c>
      <c r="B8803" s="547" t="s">
        <v>959</v>
      </c>
      <c r="C8803" s="547" t="s">
        <v>446</v>
      </c>
      <c r="D8803" s="813" t="s">
        <v>447</v>
      </c>
      <c r="E8803" s="547" t="s">
        <v>359</v>
      </c>
      <c r="F8803" s="1295">
        <v>14</v>
      </c>
      <c r="G8803" s="549" t="s">
        <v>21</v>
      </c>
      <c r="H8803" s="599" t="s">
        <v>124</v>
      </c>
      <c r="I8803" s="558">
        <v>19.72</v>
      </c>
      <c r="J8803" s="567">
        <v>6</v>
      </c>
      <c r="K8803" s="648">
        <v>1</v>
      </c>
      <c r="L8803" s="552">
        <f t="shared" ref="L8803:L8810" si="1806">(I8803*J8803*K8803/1000)</f>
        <v>0.11831999999999999</v>
      </c>
      <c r="M8803" s="549"/>
      <c r="N8803" s="549"/>
      <c r="O8803" s="549"/>
      <c r="P8803" s="549"/>
      <c r="Q8803" s="497" t="s">
        <v>1032</v>
      </c>
    </row>
    <row r="8804" spans="1:19" s="497" customFormat="1" ht="17.399999999999999">
      <c r="A8804" s="550"/>
      <c r="B8804" s="550"/>
      <c r="C8804" s="550"/>
      <c r="D8804" s="550"/>
      <c r="E8804" s="1295"/>
      <c r="F8804" s="550"/>
      <c r="G8804" s="549" t="s">
        <v>21</v>
      </c>
      <c r="H8804" s="549" t="s">
        <v>124</v>
      </c>
      <c r="I8804" s="558">
        <v>19.72</v>
      </c>
      <c r="J8804" s="567">
        <v>6.65</v>
      </c>
      <c r="K8804" s="648">
        <v>10</v>
      </c>
      <c r="L8804" s="552">
        <f t="shared" si="1806"/>
        <v>1.3113800000000002</v>
      </c>
      <c r="M8804" s="549"/>
      <c r="N8804" s="549"/>
      <c r="O8804" s="549"/>
      <c r="P8804" s="549"/>
    </row>
    <row r="8805" spans="1:19" s="497" customFormat="1" ht="17.399999999999999">
      <c r="A8805" s="549"/>
      <c r="B8805" s="549"/>
      <c r="C8805" s="549"/>
      <c r="D8805" s="549"/>
      <c r="E8805" s="549"/>
      <c r="F8805" s="549"/>
      <c r="G8805" s="549" t="s">
        <v>21</v>
      </c>
      <c r="H8805" s="549" t="s">
        <v>124</v>
      </c>
      <c r="I8805" s="558">
        <v>19.72</v>
      </c>
      <c r="J8805" s="567">
        <v>7.85</v>
      </c>
      <c r="K8805" s="648">
        <v>14</v>
      </c>
      <c r="L8805" s="552">
        <f t="shared" si="1806"/>
        <v>2.1672280000000002</v>
      </c>
      <c r="M8805" s="549"/>
      <c r="N8805" s="549"/>
      <c r="O8805" s="549"/>
      <c r="P8805" s="549"/>
    </row>
    <row r="8806" spans="1:19" s="497" customFormat="1" ht="17.399999999999999">
      <c r="A8806" s="549"/>
      <c r="B8806" s="549"/>
      <c r="C8806" s="549"/>
      <c r="D8806" s="549"/>
      <c r="E8806" s="549"/>
      <c r="F8806" s="549"/>
      <c r="G8806" s="549" t="s">
        <v>21</v>
      </c>
      <c r="H8806" s="549" t="s">
        <v>124</v>
      </c>
      <c r="I8806" s="558">
        <v>19.72</v>
      </c>
      <c r="J8806" s="567">
        <v>9.5</v>
      </c>
      <c r="K8806" s="648">
        <v>11</v>
      </c>
      <c r="L8806" s="552">
        <f t="shared" si="1806"/>
        <v>2.0607399999999996</v>
      </c>
      <c r="M8806" s="549"/>
      <c r="N8806" s="549"/>
      <c r="O8806" s="549"/>
      <c r="P8806" s="549"/>
    </row>
    <row r="8807" spans="1:19" s="497" customFormat="1" ht="17.399999999999999">
      <c r="A8807" s="549"/>
      <c r="B8807" s="549"/>
      <c r="C8807" s="549"/>
      <c r="D8807" s="549"/>
      <c r="E8807" s="549"/>
      <c r="F8807" s="549"/>
      <c r="G8807" s="549" t="s">
        <v>21</v>
      </c>
      <c r="H8807" s="549" t="s">
        <v>124</v>
      </c>
      <c r="I8807" s="558">
        <v>19.72</v>
      </c>
      <c r="J8807" s="567">
        <v>10.4</v>
      </c>
      <c r="K8807" s="648">
        <v>16</v>
      </c>
      <c r="L8807" s="552">
        <f t="shared" si="1806"/>
        <v>3.2814079999999999</v>
      </c>
      <c r="M8807" s="549"/>
      <c r="N8807" s="549"/>
      <c r="O8807" s="549"/>
      <c r="P8807" s="549"/>
    </row>
    <row r="8808" spans="1:19" s="497" customFormat="1" ht="17.399999999999999">
      <c r="A8808" s="549"/>
      <c r="B8808" s="549"/>
      <c r="C8808" s="549"/>
      <c r="D8808" s="549"/>
      <c r="E8808" s="549"/>
      <c r="F8808" s="549"/>
      <c r="G8808" s="549" t="s">
        <v>21</v>
      </c>
      <c r="H8808" s="549" t="s">
        <v>124</v>
      </c>
      <c r="I8808" s="558">
        <v>19.72</v>
      </c>
      <c r="J8808" s="567">
        <v>10.9</v>
      </c>
      <c r="K8808" s="648">
        <v>16</v>
      </c>
      <c r="L8808" s="552">
        <f t="shared" si="1806"/>
        <v>3.439168</v>
      </c>
      <c r="M8808" s="549"/>
      <c r="N8808" s="549"/>
      <c r="O8808" s="549"/>
      <c r="P8808" s="549"/>
    </row>
    <row r="8809" spans="1:19" s="497" customFormat="1" ht="17.399999999999999">
      <c r="A8809" s="549"/>
      <c r="B8809" s="549"/>
      <c r="C8809" s="549"/>
      <c r="D8809" s="549"/>
      <c r="E8809" s="549"/>
      <c r="F8809" s="549"/>
      <c r="G8809" s="549" t="s">
        <v>21</v>
      </c>
      <c r="H8809" s="549" t="s">
        <v>124</v>
      </c>
      <c r="I8809" s="558">
        <v>19.72</v>
      </c>
      <c r="J8809" s="567">
        <v>11</v>
      </c>
      <c r="K8809" s="648">
        <v>2</v>
      </c>
      <c r="L8809" s="552">
        <f t="shared" si="1806"/>
        <v>0.43383999999999995</v>
      </c>
      <c r="M8809" s="549"/>
      <c r="N8809" s="549"/>
      <c r="O8809" s="549"/>
      <c r="P8809" s="549"/>
    </row>
    <row r="8810" spans="1:19" s="497" customFormat="1" ht="17.399999999999999">
      <c r="A8810" s="549"/>
      <c r="B8810" s="549"/>
      <c r="C8810" s="549"/>
      <c r="D8810" s="549"/>
      <c r="E8810" s="549"/>
      <c r="F8810" s="549"/>
      <c r="G8810" s="549" t="s">
        <v>21</v>
      </c>
      <c r="H8810" s="549" t="s">
        <v>124</v>
      </c>
      <c r="I8810" s="558">
        <v>19.72</v>
      </c>
      <c r="J8810" s="567">
        <v>11.2</v>
      </c>
      <c r="K8810" s="648">
        <v>29</v>
      </c>
      <c r="L8810" s="552">
        <f t="shared" si="1806"/>
        <v>6.4050559999999992</v>
      </c>
      <c r="M8810" s="549"/>
      <c r="N8810" s="549"/>
      <c r="O8810" s="549"/>
      <c r="P8810" s="549"/>
    </row>
    <row r="8811" spans="1:19" s="497" customFormat="1" ht="17.399999999999999">
      <c r="A8811" s="549"/>
      <c r="B8811" s="549"/>
      <c r="C8811" s="549"/>
      <c r="D8811" s="549"/>
      <c r="E8811" s="549"/>
      <c r="F8811" s="549"/>
      <c r="G8811" s="549"/>
      <c r="H8811" s="549"/>
      <c r="I8811" s="558"/>
      <c r="J8811" s="567"/>
      <c r="K8811" s="648">
        <f t="shared" ref="K8811:L8811" si="1807">SUM(K8803:K8810)</f>
        <v>99</v>
      </c>
      <c r="L8811" s="567">
        <f t="shared" si="1807"/>
        <v>19.217140000000001</v>
      </c>
      <c r="M8811" s="549"/>
      <c r="N8811" s="549"/>
      <c r="O8811" s="549"/>
      <c r="P8811" s="549" t="s">
        <v>978</v>
      </c>
    </row>
    <row r="8812" spans="1:19" s="497" customFormat="1" ht="17.399999999999999">
      <c r="A8812" s="550"/>
      <c r="B8812" s="550"/>
      <c r="C8812" s="550"/>
      <c r="D8812" s="550"/>
      <c r="E8812" s="1295"/>
      <c r="F8812" s="550"/>
      <c r="G8812" s="549"/>
      <c r="H8812" s="549"/>
      <c r="I8812" s="558"/>
      <c r="J8812" s="567"/>
      <c r="K8812" s="648"/>
      <c r="L8812" s="567"/>
      <c r="M8812" s="648"/>
      <c r="N8812" s="567"/>
      <c r="O8812" s="549"/>
      <c r="P8812" s="549"/>
    </row>
    <row r="8813" spans="1:19" s="497" customFormat="1" ht="17.399999999999999">
      <c r="A8813" s="550"/>
      <c r="B8813" s="550"/>
      <c r="C8813" s="550"/>
      <c r="D8813" s="550"/>
      <c r="E8813" s="1295"/>
      <c r="F8813" s="550"/>
      <c r="G8813" s="549"/>
      <c r="H8813" s="549"/>
      <c r="I8813" s="558"/>
      <c r="J8813" s="567"/>
      <c r="K8813" s="648"/>
      <c r="L8813" s="567"/>
      <c r="M8813" s="648"/>
      <c r="N8813" s="567"/>
      <c r="O8813" s="549"/>
      <c r="P8813" s="549"/>
    </row>
    <row r="8814" spans="1:19" s="497" customFormat="1" ht="17.399999999999999">
      <c r="A8814" s="547" t="s">
        <v>361</v>
      </c>
      <c r="B8814" s="547" t="s">
        <v>811</v>
      </c>
      <c r="C8814" s="547" t="s">
        <v>446</v>
      </c>
      <c r="D8814" s="813" t="s">
        <v>447</v>
      </c>
      <c r="E8814" s="547" t="s">
        <v>359</v>
      </c>
      <c r="F8814" s="1295">
        <v>14</v>
      </c>
      <c r="G8814" s="792" t="s">
        <v>21</v>
      </c>
      <c r="H8814" s="1247" t="s">
        <v>129</v>
      </c>
      <c r="I8814" s="773">
        <v>17.82</v>
      </c>
      <c r="J8814" s="774">
        <v>11</v>
      </c>
      <c r="K8814" s="775">
        <v>14</v>
      </c>
      <c r="L8814" s="552">
        <f t="shared" ref="L8814:L8816" si="1808">(I8814*J8814*K8814/1000)</f>
        <v>2.7442800000000003</v>
      </c>
      <c r="M8814" s="549"/>
      <c r="N8814" s="549"/>
      <c r="O8814" s="549"/>
      <c r="P8814" s="549"/>
      <c r="Q8814" s="497">
        <v>3</v>
      </c>
      <c r="R8814" s="126">
        <f>J8814*Q8814*I8814/1000</f>
        <v>0.58806000000000003</v>
      </c>
      <c r="S8814" s="497" t="s">
        <v>1032</v>
      </c>
    </row>
    <row r="8815" spans="1:19" s="497" customFormat="1" ht="17.399999999999999">
      <c r="A8815" s="550"/>
      <c r="B8815" s="550"/>
      <c r="C8815" s="550"/>
      <c r="D8815" s="550"/>
      <c r="E8815" s="1295"/>
      <c r="F8815" s="550"/>
      <c r="G8815" s="792" t="s">
        <v>21</v>
      </c>
      <c r="H8815" s="1227" t="s">
        <v>129</v>
      </c>
      <c r="I8815" s="773">
        <v>17.82</v>
      </c>
      <c r="J8815" s="774">
        <v>11.3</v>
      </c>
      <c r="K8815" s="775">
        <v>28</v>
      </c>
      <c r="L8815" s="552">
        <f t="shared" si="1808"/>
        <v>5.6382480000000008</v>
      </c>
      <c r="M8815" s="549"/>
      <c r="N8815" s="549"/>
      <c r="O8815" s="549"/>
      <c r="P8815" s="549"/>
      <c r="Q8815" s="497">
        <f>9+14</f>
        <v>23</v>
      </c>
      <c r="R8815" s="126">
        <f t="shared" ref="R8815:R8816" si="1809">J8815*Q8815*I8815/1000</f>
        <v>4.6314180000000009</v>
      </c>
    </row>
    <row r="8816" spans="1:19" s="497" customFormat="1" ht="17.399999999999999">
      <c r="A8816" s="549"/>
      <c r="B8816" s="549"/>
      <c r="C8816" s="549"/>
      <c r="D8816" s="549"/>
      <c r="E8816" s="549"/>
      <c r="F8816" s="549"/>
      <c r="G8816" s="792" t="s">
        <v>21</v>
      </c>
      <c r="H8816" s="1227" t="s">
        <v>129</v>
      </c>
      <c r="I8816" s="773">
        <v>17.82</v>
      </c>
      <c r="J8816" s="774">
        <v>12</v>
      </c>
      <c r="K8816" s="775">
        <v>30</v>
      </c>
      <c r="L8816" s="552">
        <f t="shared" si="1808"/>
        <v>6.4151999999999996</v>
      </c>
      <c r="M8816" s="549"/>
      <c r="N8816" s="549"/>
      <c r="O8816" s="549"/>
      <c r="P8816" s="549"/>
      <c r="Q8816" s="497">
        <v>15</v>
      </c>
      <c r="R8816" s="126">
        <f t="shared" si="1809"/>
        <v>3.2075999999999998</v>
      </c>
    </row>
    <row r="8817" spans="1:18" s="497" customFormat="1" ht="17.399999999999999">
      <c r="A8817" s="549"/>
      <c r="B8817" s="549"/>
      <c r="C8817" s="549"/>
      <c r="D8817" s="549"/>
      <c r="E8817" s="549"/>
      <c r="F8817" s="549"/>
      <c r="G8817" s="792"/>
      <c r="H8817" s="1227"/>
      <c r="I8817" s="773"/>
      <c r="J8817" s="774"/>
      <c r="K8817" s="775">
        <f t="shared" ref="K8817:L8817" si="1810">SUM(K8814:K8816)</f>
        <v>72</v>
      </c>
      <c r="L8817" s="1226">
        <f t="shared" si="1810"/>
        <v>14.797727999999999</v>
      </c>
      <c r="M8817" s="549"/>
      <c r="N8817" s="549"/>
      <c r="O8817" s="549"/>
      <c r="P8817" s="549" t="s">
        <v>979</v>
      </c>
      <c r="Q8817" s="775">
        <f t="shared" ref="Q8817:R8817" si="1811">SUM(Q8814:Q8816)</f>
        <v>41</v>
      </c>
      <c r="R8817" s="1226">
        <f t="shared" si="1811"/>
        <v>8.4270779999999998</v>
      </c>
    </row>
    <row r="8818" spans="1:18" s="497" customFormat="1" ht="17.399999999999999">
      <c r="A8818" s="549"/>
      <c r="B8818" s="549"/>
      <c r="C8818" s="549"/>
      <c r="D8818" s="549"/>
      <c r="E8818" s="549"/>
      <c r="F8818" s="549"/>
      <c r="G8818" s="792"/>
      <c r="H8818" s="1227"/>
      <c r="I8818" s="773"/>
      <c r="J8818" s="774"/>
      <c r="K8818" s="775"/>
      <c r="L8818" s="1226"/>
      <c r="M8818" s="549"/>
      <c r="N8818" s="549"/>
      <c r="O8818" s="549"/>
      <c r="P8818" s="549"/>
    </row>
    <row r="8819" spans="1:18" s="497" customFormat="1" ht="17.399999999999999">
      <c r="A8819" s="547" t="s">
        <v>361</v>
      </c>
      <c r="B8819" s="547" t="s">
        <v>885</v>
      </c>
      <c r="C8819" s="547" t="s">
        <v>446</v>
      </c>
      <c r="D8819" s="813" t="s">
        <v>447</v>
      </c>
      <c r="E8819" s="547" t="s">
        <v>359</v>
      </c>
      <c r="F8819" s="1295">
        <v>14</v>
      </c>
      <c r="G8819" s="792" t="s">
        <v>21</v>
      </c>
      <c r="H8819" s="1318" t="s">
        <v>129</v>
      </c>
      <c r="I8819" s="773">
        <v>17.82</v>
      </c>
      <c r="J8819" s="774">
        <v>8.9</v>
      </c>
      <c r="K8819" s="775">
        <v>27</v>
      </c>
      <c r="L8819" s="552">
        <f t="shared" ref="L8819" si="1812">(I8819*J8819*K8819/1000)</f>
        <v>4.2821460000000009</v>
      </c>
      <c r="M8819" s="549"/>
      <c r="N8819" s="549"/>
      <c r="O8819" s="549"/>
      <c r="P8819" s="549"/>
      <c r="Q8819" s="497">
        <v>6</v>
      </c>
      <c r="R8819" s="126">
        <f>J8819*Q8819*I8819/1000</f>
        <v>0.9515880000000001</v>
      </c>
    </row>
    <row r="8820" spans="1:18" s="497" customFormat="1" ht="17.399999999999999">
      <c r="A8820" s="549"/>
      <c r="B8820" s="549" t="s">
        <v>980</v>
      </c>
      <c r="C8820" s="549"/>
      <c r="D8820" s="549"/>
      <c r="E8820" s="549"/>
      <c r="F8820" s="549"/>
      <c r="G8820" s="792"/>
      <c r="H8820" s="1227"/>
      <c r="I8820" s="773"/>
      <c r="J8820" s="774"/>
      <c r="K8820" s="775">
        <f t="shared" ref="K8820:L8820" si="1813">SUM(K8819)</f>
        <v>27</v>
      </c>
      <c r="L8820" s="1226">
        <f t="shared" si="1813"/>
        <v>4.2821460000000009</v>
      </c>
      <c r="M8820" s="549"/>
      <c r="N8820" s="549"/>
      <c r="O8820" s="549"/>
      <c r="P8820" s="549"/>
      <c r="Q8820" s="775">
        <f t="shared" ref="Q8820:R8820" si="1814">SUM(Q8819)</f>
        <v>6</v>
      </c>
      <c r="R8820" s="1226">
        <f t="shared" si="1814"/>
        <v>0.9515880000000001</v>
      </c>
    </row>
    <row r="8821" spans="1:18" s="497" customFormat="1" ht="17.399999999999999">
      <c r="A8821" s="549"/>
      <c r="B8821" s="549"/>
      <c r="C8821" s="549"/>
      <c r="D8821" s="549"/>
      <c r="E8821" s="549"/>
      <c r="F8821" s="549"/>
      <c r="G8821" s="792"/>
      <c r="H8821" s="1227"/>
      <c r="I8821" s="773"/>
      <c r="J8821" s="774"/>
      <c r="K8821" s="775"/>
      <c r="L8821" s="1226">
        <f>+L8820+L8817</f>
        <v>19.079874</v>
      </c>
      <c r="M8821" s="549"/>
      <c r="N8821" s="549"/>
      <c r="O8821" s="549"/>
      <c r="P8821" s="549"/>
    </row>
    <row r="8822" spans="1:18" s="497" customFormat="1" ht="17.399999999999999">
      <c r="A8822" s="549"/>
      <c r="B8822" s="549"/>
      <c r="C8822" s="549"/>
      <c r="D8822" s="549"/>
      <c r="E8822" s="549"/>
      <c r="F8822" s="549"/>
      <c r="G8822" s="549"/>
      <c r="H8822" s="549"/>
      <c r="I8822" s="560"/>
      <c r="J8822" s="549"/>
      <c r="K8822" s="561"/>
      <c r="L8822" s="560"/>
      <c r="M8822" s="549"/>
      <c r="N8822" s="549"/>
      <c r="O8822" s="549"/>
      <c r="P8822" s="549"/>
    </row>
    <row r="8823" spans="1:18" s="497" customFormat="1" ht="17.399999999999999">
      <c r="A8823" s="550"/>
      <c r="B8823" s="550"/>
      <c r="C8823" s="550"/>
      <c r="D8823" s="550"/>
      <c r="E8823" s="1295"/>
      <c r="F8823" s="550"/>
      <c r="G8823" s="549"/>
      <c r="H8823" s="549"/>
      <c r="I8823" s="558"/>
      <c r="J8823" s="567"/>
      <c r="K8823" s="648"/>
      <c r="L8823" s="567"/>
      <c r="M8823" s="648"/>
      <c r="N8823" s="567"/>
      <c r="O8823" s="549"/>
      <c r="P8823" s="549"/>
    </row>
    <row r="8824" spans="1:18" s="497" customFormat="1" ht="17.399999999999999">
      <c r="A8824" s="550"/>
      <c r="B8824" s="550"/>
      <c r="C8824" s="550"/>
      <c r="D8824" s="550"/>
      <c r="E8824" s="1295"/>
      <c r="F8824" s="550"/>
      <c r="G8824" s="549"/>
      <c r="H8824" s="549"/>
      <c r="I8824" s="558"/>
      <c r="J8824" s="567"/>
      <c r="K8824" s="648"/>
      <c r="L8824" s="567"/>
      <c r="M8824" s="549"/>
      <c r="N8824" s="549"/>
      <c r="O8824" s="549"/>
      <c r="P8824" s="549"/>
    </row>
    <row r="8825" spans="1:18" s="497" customFormat="1" ht="17.399999999999999">
      <c r="A8825" s="549"/>
      <c r="B8825" s="549"/>
      <c r="C8825" s="549"/>
      <c r="D8825" s="549"/>
      <c r="E8825" s="549"/>
      <c r="F8825" s="549"/>
      <c r="G8825" s="549"/>
      <c r="H8825" s="549"/>
      <c r="I8825" s="560"/>
      <c r="J8825" s="549"/>
      <c r="K8825" s="561"/>
      <c r="L8825" s="568">
        <f>+L8800+L8792+L8780+L8771+L8760+L8753+L8741+L8785</f>
        <v>290.90875519999997</v>
      </c>
      <c r="M8825" s="549"/>
      <c r="N8825" s="565">
        <f>+N8800+N8792+N8780+N8771+N8760+N8753+N8741+N8785</f>
        <v>5.749649999999999</v>
      </c>
      <c r="O8825" s="549"/>
      <c r="P8825" s="549"/>
    </row>
    <row r="8826" spans="1:18" s="497" customFormat="1" ht="17.399999999999999">
      <c r="A8826" s="653" t="s">
        <v>48</v>
      </c>
      <c r="B8826" s="653"/>
      <c r="C8826" s="654"/>
      <c r="D8826" s="654"/>
      <c r="E8826" s="654"/>
      <c r="F8826" s="1292"/>
      <c r="G8826" s="654"/>
      <c r="H8826" s="1292"/>
      <c r="I8826" s="656"/>
      <c r="J8826" s="654"/>
      <c r="K8826" s="657"/>
      <c r="L8826" s="2003" t="s">
        <v>0</v>
      </c>
      <c r="M8826" s="2003"/>
      <c r="N8826" s="2003"/>
      <c r="O8826" s="2004"/>
      <c r="P8826" s="2010"/>
    </row>
    <row r="8827" spans="1:18" s="497" customFormat="1" ht="17.399999999999999">
      <c r="A8827" s="658" t="s">
        <v>1</v>
      </c>
      <c r="B8827" s="658"/>
      <c r="C8827" s="658"/>
      <c r="D8827" s="659" t="s">
        <v>2</v>
      </c>
      <c r="E8827" s="659"/>
      <c r="F8827" s="660"/>
      <c r="G8827" s="660"/>
      <c r="H8827" s="660"/>
      <c r="I8827" s="661"/>
      <c r="J8827" s="660"/>
      <c r="K8827" s="662" t="s">
        <v>3</v>
      </c>
      <c r="L8827" s="660"/>
      <c r="M8827" s="658"/>
      <c r="N8827" s="660"/>
      <c r="O8827" s="663"/>
      <c r="P8827" s="2010"/>
    </row>
    <row r="8828" spans="1:18" s="497" customFormat="1" ht="17.399999999999999">
      <c r="A8828" s="1292" t="s">
        <v>22</v>
      </c>
      <c r="B8828" s="1990" t="s">
        <v>23</v>
      </c>
      <c r="C8828" s="2005"/>
      <c r="D8828" s="1989"/>
      <c r="E8828" s="1292" t="s">
        <v>24</v>
      </c>
      <c r="F8828" s="1990" t="s">
        <v>25</v>
      </c>
      <c r="G8828" s="1989"/>
      <c r="H8828" s="1990" t="s">
        <v>26</v>
      </c>
      <c r="I8828" s="2005"/>
      <c r="J8828" s="2005"/>
      <c r="K8828" s="1989"/>
      <c r="L8828" s="2006" t="s">
        <v>27</v>
      </c>
      <c r="M8828" s="2006"/>
      <c r="N8828" s="2006"/>
      <c r="O8828" s="1990"/>
      <c r="P8828" s="2010"/>
    </row>
    <row r="8829" spans="1:18" s="497" customFormat="1" ht="17.399999999999999">
      <c r="A8829" s="664"/>
      <c r="B8829" s="1975"/>
      <c r="C8829" s="1976"/>
      <c r="D8829" s="1977"/>
      <c r="E8829" s="665"/>
      <c r="F8829" s="1975"/>
      <c r="G8829" s="1977"/>
      <c r="H8829" s="1975"/>
      <c r="I8829" s="1976"/>
      <c r="J8829" s="1976"/>
      <c r="K8829" s="1977"/>
      <c r="L8829" s="1975"/>
      <c r="M8829" s="1976"/>
      <c r="N8829" s="1976"/>
      <c r="O8829" s="1976"/>
      <c r="P8829" s="2010"/>
    </row>
    <row r="8830" spans="1:18" s="497" customFormat="1" ht="17.399999999999999">
      <c r="A8830" s="664" t="s">
        <v>28</v>
      </c>
      <c r="B8830" s="1975" t="s">
        <v>141</v>
      </c>
      <c r="C8830" s="1976"/>
      <c r="D8830" s="1977"/>
      <c r="E8830" s="665">
        <f>+L8741-1.057</f>
        <v>220.64684720000002</v>
      </c>
      <c r="F8830" s="1973">
        <v>14</v>
      </c>
      <c r="G8830" s="1974"/>
      <c r="H8830" s="1975" t="s">
        <v>49</v>
      </c>
      <c r="I8830" s="1976"/>
      <c r="J8830" s="1976"/>
      <c r="K8830" s="1977"/>
      <c r="L8830" s="1976" t="s">
        <v>953</v>
      </c>
      <c r="M8830" s="1976"/>
      <c r="N8830" s="1976"/>
      <c r="O8830" s="1976"/>
      <c r="P8830" s="2010"/>
    </row>
    <row r="8831" spans="1:18" s="497" customFormat="1" ht="17.399999999999999">
      <c r="A8831" s="664" t="s">
        <v>29</v>
      </c>
      <c r="B8831" s="1975" t="s">
        <v>142</v>
      </c>
      <c r="C8831" s="1976"/>
      <c r="D8831" s="1977"/>
      <c r="E8831" s="665">
        <f>+L8753</f>
        <v>25.398309999999999</v>
      </c>
      <c r="F8831" s="1973">
        <v>14</v>
      </c>
      <c r="G8831" s="1974"/>
      <c r="H8831" s="1975" t="s">
        <v>49</v>
      </c>
      <c r="I8831" s="1976"/>
      <c r="J8831" s="1976"/>
      <c r="K8831" s="1977"/>
      <c r="L8831" s="1976" t="s">
        <v>955</v>
      </c>
      <c r="M8831" s="1976"/>
      <c r="N8831" s="1976"/>
      <c r="O8831" s="1976"/>
      <c r="P8831" s="2010"/>
    </row>
    <row r="8832" spans="1:18" s="497" customFormat="1" ht="17.399999999999999">
      <c r="A8832" s="664" t="s">
        <v>30</v>
      </c>
      <c r="B8832" s="1975" t="s">
        <v>143</v>
      </c>
      <c r="C8832" s="1976"/>
      <c r="D8832" s="1977"/>
      <c r="E8832" s="665">
        <f>+L8760</f>
        <v>3.6688000000000001</v>
      </c>
      <c r="F8832" s="1973">
        <v>14</v>
      </c>
      <c r="G8832" s="1974"/>
      <c r="H8832" s="1975" t="s">
        <v>49</v>
      </c>
      <c r="I8832" s="1976"/>
      <c r="J8832" s="1976"/>
      <c r="K8832" s="1977"/>
      <c r="L8832" s="1976" t="s">
        <v>955</v>
      </c>
      <c r="M8832" s="1976"/>
      <c r="N8832" s="1976"/>
      <c r="O8832" s="1976"/>
      <c r="P8832" s="2010"/>
    </row>
    <row r="8833" spans="1:16" s="497" customFormat="1" ht="17.399999999999999">
      <c r="A8833" s="664" t="s">
        <v>46</v>
      </c>
      <c r="B8833" s="1975" t="s">
        <v>140</v>
      </c>
      <c r="C8833" s="1976"/>
      <c r="D8833" s="1977"/>
      <c r="E8833" s="665">
        <f>+L8771-1.701</f>
        <v>6.8314400000000006</v>
      </c>
      <c r="F8833" s="1973">
        <v>14</v>
      </c>
      <c r="G8833" s="1974"/>
      <c r="H8833" s="1975" t="s">
        <v>49</v>
      </c>
      <c r="I8833" s="1976"/>
      <c r="J8833" s="1976"/>
      <c r="K8833" s="1977"/>
      <c r="L8833" s="1976" t="s">
        <v>955</v>
      </c>
      <c r="M8833" s="1976"/>
      <c r="N8833" s="1976"/>
      <c r="O8833" s="1976"/>
      <c r="P8833" s="2010"/>
    </row>
    <row r="8834" spans="1:16" s="497" customFormat="1" ht="17.399999999999999">
      <c r="A8834" s="664" t="s">
        <v>58</v>
      </c>
      <c r="B8834" s="1975" t="s">
        <v>139</v>
      </c>
      <c r="C8834" s="1976"/>
      <c r="D8834" s="1977"/>
      <c r="E8834" s="665">
        <f>+L8780</f>
        <v>3.28748</v>
      </c>
      <c r="F8834" s="1973">
        <v>14</v>
      </c>
      <c r="G8834" s="1974"/>
      <c r="H8834" s="1975" t="s">
        <v>49</v>
      </c>
      <c r="I8834" s="1976"/>
      <c r="J8834" s="1976"/>
      <c r="K8834" s="1977"/>
      <c r="L8834" s="1976" t="s">
        <v>955</v>
      </c>
      <c r="M8834" s="1976"/>
      <c r="N8834" s="1976"/>
      <c r="O8834" s="1976"/>
      <c r="P8834" s="2010"/>
    </row>
    <row r="8835" spans="1:16" ht="17.399999999999999">
      <c r="A8835" s="664"/>
      <c r="B8835" s="1975"/>
      <c r="C8835" s="1976"/>
      <c r="D8835" s="1977"/>
      <c r="E8835" s="665"/>
      <c r="F8835" s="1973"/>
      <c r="G8835" s="1974"/>
      <c r="H8835" s="1975"/>
      <c r="I8835" s="1976"/>
      <c r="J8835" s="1976"/>
      <c r="K8835" s="1977"/>
      <c r="L8835" s="1976"/>
      <c r="M8835" s="1976"/>
      <c r="N8835" s="1976"/>
      <c r="O8835" s="1976"/>
      <c r="P8835" s="2010"/>
    </row>
    <row r="8836" spans="1:16" ht="17.399999999999999">
      <c r="A8836" s="664" t="s">
        <v>163</v>
      </c>
      <c r="B8836" s="1976" t="s">
        <v>542</v>
      </c>
      <c r="C8836" s="1976"/>
      <c r="D8836" s="1976"/>
      <c r="E8836" s="665">
        <f>+L8785-2.096</f>
        <v>9.7412699999999983</v>
      </c>
      <c r="F8836" s="1973">
        <v>14</v>
      </c>
      <c r="G8836" s="1974"/>
      <c r="H8836" s="1975" t="s">
        <v>582</v>
      </c>
      <c r="I8836" s="1976"/>
      <c r="J8836" s="1976"/>
      <c r="K8836" s="1977"/>
      <c r="L8836" s="1976" t="s">
        <v>742</v>
      </c>
      <c r="M8836" s="1976"/>
      <c r="N8836" s="1976"/>
      <c r="O8836" s="1976"/>
      <c r="P8836" s="2010"/>
    </row>
    <row r="8837" spans="1:16" s="497" customFormat="1" ht="17.399999999999999">
      <c r="A8837" s="664"/>
      <c r="B8837" s="1976"/>
      <c r="C8837" s="1976"/>
      <c r="D8837" s="1976"/>
      <c r="E8837" s="665"/>
      <c r="F8837" s="1973"/>
      <c r="G8837" s="1974"/>
      <c r="H8837" s="1975"/>
      <c r="I8837" s="1976"/>
      <c r="J8837" s="1976"/>
      <c r="K8837" s="1977"/>
      <c r="L8837" s="1976"/>
      <c r="M8837" s="1976"/>
      <c r="N8837" s="1976"/>
      <c r="O8837" s="1976"/>
      <c r="P8837" s="2010"/>
    </row>
    <row r="8838" spans="1:16" s="497" customFormat="1" ht="17.399999999999999">
      <c r="A8838" s="664" t="s">
        <v>302</v>
      </c>
      <c r="B8838" s="1976" t="s">
        <v>982</v>
      </c>
      <c r="C8838" s="1976"/>
      <c r="D8838" s="1976"/>
      <c r="E8838" s="665">
        <f>+L8792</f>
        <v>13.898160000000001</v>
      </c>
      <c r="F8838" s="1973">
        <v>14</v>
      </c>
      <c r="G8838" s="1974"/>
      <c r="H8838" s="1975" t="s">
        <v>450</v>
      </c>
      <c r="I8838" s="1976"/>
      <c r="J8838" s="1976"/>
      <c r="K8838" s="1977"/>
      <c r="L8838" s="1976" t="s">
        <v>437</v>
      </c>
      <c r="M8838" s="1976"/>
      <c r="N8838" s="1976"/>
      <c r="O8838" s="1976"/>
      <c r="P8838" s="2010"/>
    </row>
    <row r="8839" spans="1:16" s="497" customFormat="1" ht="17.399999999999999">
      <c r="A8839" s="664" t="s">
        <v>380</v>
      </c>
      <c r="B8839" s="1976" t="s">
        <v>954</v>
      </c>
      <c r="C8839" s="1976"/>
      <c r="D8839" s="1976"/>
      <c r="E8839" s="665">
        <v>3</v>
      </c>
      <c r="F8839" s="1973">
        <v>14</v>
      </c>
      <c r="G8839" s="1974"/>
      <c r="H8839" s="1975" t="s">
        <v>450</v>
      </c>
      <c r="I8839" s="1976"/>
      <c r="J8839" s="1976"/>
      <c r="K8839" s="1977"/>
      <c r="L8839" s="1976" t="s">
        <v>437</v>
      </c>
      <c r="M8839" s="1976"/>
      <c r="N8839" s="1976"/>
      <c r="O8839" s="1976"/>
      <c r="P8839" s="2010"/>
    </row>
    <row r="8840" spans="1:16" s="497" customFormat="1" ht="17.399999999999999">
      <c r="A8840" s="664"/>
      <c r="B8840" s="1287"/>
      <c r="C8840" s="1287"/>
      <c r="D8840" s="1287"/>
      <c r="E8840" s="665"/>
      <c r="F8840" s="1288"/>
      <c r="G8840" s="1289"/>
      <c r="H8840" s="1290"/>
      <c r="I8840" s="1842"/>
      <c r="J8840" s="1287"/>
      <c r="K8840" s="1291"/>
      <c r="L8840" s="1287"/>
      <c r="M8840" s="1287"/>
      <c r="N8840" s="1287"/>
      <c r="O8840" s="1287"/>
      <c r="P8840" s="2010"/>
    </row>
    <row r="8841" spans="1:16" s="497" customFormat="1" ht="17.399999999999999">
      <c r="A8841" s="664"/>
      <c r="B8841" s="1287"/>
      <c r="C8841" s="1287"/>
      <c r="D8841" s="1287"/>
      <c r="E8841" s="665"/>
      <c r="F8841" s="1288"/>
      <c r="G8841" s="1289"/>
      <c r="H8841" s="1290"/>
      <c r="I8841" s="1842"/>
      <c r="J8841" s="1287"/>
      <c r="K8841" s="1291"/>
      <c r="L8841" s="1287"/>
      <c r="M8841" s="1287"/>
      <c r="N8841" s="1287"/>
      <c r="O8841" s="1287"/>
      <c r="P8841" s="2010"/>
    </row>
    <row r="8842" spans="1:16" s="497" customFormat="1" ht="17.399999999999999">
      <c r="A8842" s="664" t="s">
        <v>434</v>
      </c>
      <c r="B8842" s="1975" t="s">
        <v>141</v>
      </c>
      <c r="C8842" s="1976"/>
      <c r="D8842" s="1977"/>
      <c r="E8842" s="665">
        <v>10</v>
      </c>
      <c r="F8842" s="1973">
        <v>14</v>
      </c>
      <c r="G8842" s="1974"/>
      <c r="H8842" s="1975" t="s">
        <v>447</v>
      </c>
      <c r="I8842" s="1976"/>
      <c r="J8842" s="1976"/>
      <c r="K8842" s="1977"/>
      <c r="L8842" s="1976" t="s">
        <v>981</v>
      </c>
      <c r="M8842" s="1976"/>
      <c r="N8842" s="1976"/>
      <c r="O8842" s="1976"/>
      <c r="P8842" s="2010"/>
    </row>
    <row r="8843" spans="1:16" s="497" customFormat="1" ht="17.399999999999999">
      <c r="A8843" s="664" t="s">
        <v>474</v>
      </c>
      <c r="B8843" s="1975" t="s">
        <v>142</v>
      </c>
      <c r="C8843" s="1976"/>
      <c r="D8843" s="1977"/>
      <c r="E8843" s="665">
        <v>10</v>
      </c>
      <c r="F8843" s="1973">
        <v>14</v>
      </c>
      <c r="G8843" s="1974"/>
      <c r="H8843" s="1975" t="s">
        <v>447</v>
      </c>
      <c r="I8843" s="1976"/>
      <c r="J8843" s="1976"/>
      <c r="K8843" s="1977"/>
      <c r="L8843" s="1976" t="s">
        <v>981</v>
      </c>
      <c r="M8843" s="1976"/>
      <c r="N8843" s="1976"/>
      <c r="O8843" s="1976"/>
      <c r="P8843" s="2010"/>
    </row>
    <row r="8844" spans="1:16" s="497" customFormat="1" ht="17.399999999999999">
      <c r="A8844" s="664"/>
      <c r="B8844" s="1287"/>
      <c r="C8844" s="1287"/>
      <c r="D8844" s="1287"/>
      <c r="E8844" s="665"/>
      <c r="F8844" s="1288"/>
      <c r="G8844" s="1289"/>
      <c r="H8844" s="1290"/>
      <c r="I8844" s="1842"/>
      <c r="J8844" s="1287"/>
      <c r="K8844" s="1291"/>
      <c r="L8844" s="1287"/>
      <c r="M8844" s="1287"/>
      <c r="N8844" s="1287"/>
      <c r="O8844" s="1287"/>
      <c r="P8844" s="2010"/>
    </row>
    <row r="8845" spans="1:16" s="497" customFormat="1" ht="17.399999999999999">
      <c r="A8845" s="664"/>
      <c r="B8845" s="1975"/>
      <c r="C8845" s="1976"/>
      <c r="D8845" s="1977"/>
      <c r="E8845" s="665"/>
      <c r="F8845" s="1973"/>
      <c r="G8845" s="1974"/>
      <c r="H8845" s="1975"/>
      <c r="I8845" s="1976"/>
      <c r="J8845" s="1976"/>
      <c r="K8845" s="1977"/>
      <c r="L8845" s="1976"/>
      <c r="M8845" s="1976"/>
      <c r="N8845" s="1976"/>
      <c r="O8845" s="1976"/>
      <c r="P8845" s="2010"/>
    </row>
    <row r="8846" spans="1:16" s="497" customFormat="1" ht="18" thickBot="1">
      <c r="A8846" s="664"/>
      <c r="B8846" s="1290"/>
      <c r="C8846" s="1287"/>
      <c r="D8846" s="1287"/>
      <c r="E8846" s="665"/>
      <c r="F8846" s="1287"/>
      <c r="G8846" s="1291"/>
      <c r="H8846" s="1290"/>
      <c r="I8846" s="1842"/>
      <c r="J8846" s="1287"/>
      <c r="K8846" s="669"/>
      <c r="L8846" s="672"/>
      <c r="M8846" s="673"/>
      <c r="N8846" s="673"/>
      <c r="O8846" s="673"/>
      <c r="P8846" s="2010"/>
    </row>
    <row r="8847" spans="1:16" s="497" customFormat="1" ht="17.399999999999999">
      <c r="A8847" s="674"/>
      <c r="B8847" s="675"/>
      <c r="C8847" s="676"/>
      <c r="D8847" s="676"/>
      <c r="E8847" s="1980">
        <f>SUM(E8829:E8846)</f>
        <v>306.47230720000005</v>
      </c>
      <c r="F8847" s="677"/>
      <c r="G8847" s="678"/>
      <c r="H8847" s="679"/>
      <c r="I8847" s="1848"/>
      <c r="J8847" s="676"/>
      <c r="K8847" s="680"/>
      <c r="L8847" s="679"/>
      <c r="M8847" s="676"/>
      <c r="N8847" s="677"/>
      <c r="O8847" s="676"/>
      <c r="P8847" s="2010"/>
    </row>
    <row r="8848" spans="1:16" s="497" customFormat="1" ht="18" thickBot="1">
      <c r="A8848" s="681"/>
      <c r="B8848" s="682"/>
      <c r="C8848" s="683"/>
      <c r="D8848" s="683"/>
      <c r="E8848" s="1981"/>
      <c r="F8848" s="684"/>
      <c r="G8848" s="685"/>
      <c r="H8848" s="686"/>
      <c r="I8848" s="1850"/>
      <c r="J8848" s="683"/>
      <c r="K8848" s="687"/>
      <c r="L8848" s="686"/>
      <c r="M8848" s="683"/>
      <c r="N8848" s="684"/>
      <c r="O8848" s="683"/>
      <c r="P8848" s="2010"/>
    </row>
    <row r="8849" spans="1:16" s="497" customFormat="1" ht="17.399999999999999">
      <c r="A8849" s="688" t="s">
        <v>31</v>
      </c>
      <c r="B8849" s="676"/>
      <c r="C8849" s="676"/>
      <c r="D8849" s="676"/>
      <c r="E8849" s="676"/>
      <c r="F8849" s="677"/>
      <c r="G8849" s="676"/>
      <c r="H8849" s="677"/>
      <c r="I8849" s="1848"/>
      <c r="J8849" s="676"/>
      <c r="K8849" s="689"/>
      <c r="L8849" s="677"/>
      <c r="M8849" s="676"/>
      <c r="N8849" s="677"/>
      <c r="O8849" s="676"/>
      <c r="P8849" s="2010"/>
    </row>
    <row r="8850" spans="1:16" s="497" customFormat="1" ht="17.399999999999999">
      <c r="A8850" s="690"/>
      <c r="B8850" s="691"/>
      <c r="C8850" s="691"/>
      <c r="D8850" s="691"/>
      <c r="E8850" s="691"/>
      <c r="F8850" s="1284"/>
      <c r="G8850" s="691"/>
      <c r="H8850" s="1284"/>
      <c r="I8850" s="1849"/>
      <c r="J8850" s="691"/>
      <c r="K8850" s="693"/>
      <c r="L8850" s="1284"/>
      <c r="M8850" s="691"/>
      <c r="N8850" s="1284"/>
      <c r="O8850" s="691"/>
      <c r="P8850" s="2010"/>
    </row>
    <row r="8851" spans="1:16" s="497" customFormat="1" ht="18" thickBot="1">
      <c r="A8851" s="1982" t="s">
        <v>32</v>
      </c>
      <c r="B8851" s="1983"/>
      <c r="C8851" s="1984" t="s">
        <v>33</v>
      </c>
      <c r="D8851" s="1985"/>
      <c r="E8851" s="694" t="s">
        <v>34</v>
      </c>
      <c r="F8851" s="694" t="s">
        <v>35</v>
      </c>
      <c r="G8851" s="1986" t="s">
        <v>36</v>
      </c>
      <c r="H8851" s="1987"/>
      <c r="I8851" s="1987"/>
      <c r="J8851" s="1987"/>
      <c r="K8851" s="1987"/>
      <c r="L8851" s="1987"/>
      <c r="M8851" s="1987"/>
      <c r="N8851" s="1987"/>
      <c r="O8851" s="1987"/>
      <c r="P8851" s="2010"/>
    </row>
    <row r="8852" spans="1:16" s="497" customFormat="1" ht="17.399999999999999">
      <c r="A8852" s="1988"/>
      <c r="B8852" s="1989"/>
      <c r="C8852" s="1990"/>
      <c r="D8852" s="1989"/>
      <c r="E8852" s="1292"/>
      <c r="F8852" s="1285"/>
      <c r="G8852" s="1991"/>
      <c r="H8852" s="1992"/>
      <c r="I8852" s="1992"/>
      <c r="J8852" s="1992"/>
      <c r="K8852" s="1992"/>
      <c r="L8852" s="1992"/>
      <c r="M8852" s="1992"/>
      <c r="N8852" s="1992"/>
      <c r="O8852" s="1992"/>
      <c r="P8852" s="2010"/>
    </row>
    <row r="8853" spans="1:16" s="497" customFormat="1" ht="17.399999999999999">
      <c r="A8853" s="1997" t="s">
        <v>37</v>
      </c>
      <c r="B8853" s="1998"/>
      <c r="C8853" s="1990"/>
      <c r="D8853" s="1989"/>
      <c r="E8853" s="1292"/>
      <c r="F8853" s="1285"/>
      <c r="G8853" s="1993"/>
      <c r="H8853" s="1994"/>
      <c r="I8853" s="1994"/>
      <c r="J8853" s="1994"/>
      <c r="K8853" s="1994"/>
      <c r="L8853" s="1994"/>
      <c r="M8853" s="1994"/>
      <c r="N8853" s="1994"/>
      <c r="O8853" s="1994"/>
      <c r="P8853" s="2010"/>
    </row>
    <row r="8854" spans="1:16" s="497" customFormat="1" ht="17.399999999999999">
      <c r="A8854" s="1997" t="s">
        <v>38</v>
      </c>
      <c r="B8854" s="1998"/>
      <c r="C8854" s="1990"/>
      <c r="D8854" s="1989"/>
      <c r="E8854" s="1292"/>
      <c r="F8854" s="1285"/>
      <c r="G8854" s="1993"/>
      <c r="H8854" s="1994"/>
      <c r="I8854" s="1994"/>
      <c r="J8854" s="1994"/>
      <c r="K8854" s="1994"/>
      <c r="L8854" s="1994"/>
      <c r="M8854" s="1994"/>
      <c r="N8854" s="1994"/>
      <c r="O8854" s="1994"/>
      <c r="P8854" s="2010"/>
    </row>
    <row r="8855" spans="1:16" s="497" customFormat="1" ht="17.399999999999999">
      <c r="A8855" s="1997" t="s">
        <v>39</v>
      </c>
      <c r="B8855" s="1998"/>
      <c r="C8855" s="1990"/>
      <c r="D8855" s="1989"/>
      <c r="E8855" s="1292"/>
      <c r="F8855" s="1285"/>
      <c r="G8855" s="1993"/>
      <c r="H8855" s="1994"/>
      <c r="I8855" s="1994"/>
      <c r="J8855" s="1994"/>
      <c r="K8855" s="1994"/>
      <c r="L8855" s="1994"/>
      <c r="M8855" s="1994"/>
      <c r="N8855" s="1994"/>
      <c r="O8855" s="1994"/>
      <c r="P8855" s="2010"/>
    </row>
    <row r="8856" spans="1:16" s="497" customFormat="1" ht="17.399999999999999">
      <c r="A8856" s="1997" t="s">
        <v>40</v>
      </c>
      <c r="B8856" s="1998"/>
      <c r="C8856" s="1990"/>
      <c r="D8856" s="1989"/>
      <c r="E8856" s="1292"/>
      <c r="F8856" s="1285"/>
      <c r="G8856" s="1993"/>
      <c r="H8856" s="1994"/>
      <c r="I8856" s="1994"/>
      <c r="J8856" s="1994"/>
      <c r="K8856" s="1994"/>
      <c r="L8856" s="1994"/>
      <c r="M8856" s="1994"/>
      <c r="N8856" s="1994"/>
      <c r="O8856" s="1994"/>
      <c r="P8856" s="2010"/>
    </row>
    <row r="8857" spans="1:16" s="497" customFormat="1" ht="18" thickBot="1">
      <c r="A8857" s="1999" t="s">
        <v>41</v>
      </c>
      <c r="B8857" s="2000"/>
      <c r="C8857" s="2001"/>
      <c r="D8857" s="2002"/>
      <c r="E8857" s="696"/>
      <c r="F8857" s="1286"/>
      <c r="G8857" s="1995"/>
      <c r="H8857" s="1996"/>
      <c r="I8857" s="1996"/>
      <c r="J8857" s="1996"/>
      <c r="K8857" s="1996"/>
      <c r="L8857" s="1996"/>
      <c r="M8857" s="1996"/>
      <c r="N8857" s="1996"/>
      <c r="O8857" s="1996"/>
      <c r="P8857" s="2010"/>
    </row>
    <row r="8858" spans="1:16" s="497" customFormat="1" ht="18">
      <c r="A8858" s="690"/>
      <c r="B8858" s="691"/>
      <c r="C8858" s="691"/>
      <c r="D8858" s="691"/>
      <c r="E8858" s="691"/>
      <c r="F8858" s="1284"/>
      <c r="G8858" s="691"/>
      <c r="H8858" s="698"/>
      <c r="I8858" s="699"/>
      <c r="J8858" s="700"/>
      <c r="K8858" s="701"/>
      <c r="L8858" s="702"/>
      <c r="M8858" s="691"/>
      <c r="N8858" s="1284"/>
      <c r="O8858" s="691"/>
      <c r="P8858" s="2010"/>
    </row>
    <row r="8859" spans="1:16" s="497" customFormat="1" ht="18">
      <c r="A8859" s="703" t="s">
        <v>42</v>
      </c>
      <c r="B8859" s="704"/>
      <c r="C8859" s="691"/>
      <c r="D8859" s="691"/>
      <c r="E8859" s="691"/>
      <c r="F8859" s="1284"/>
      <c r="G8859" s="704"/>
      <c r="H8859" s="698"/>
      <c r="I8859" s="699"/>
      <c r="J8859" s="700"/>
      <c r="K8859" s="693"/>
      <c r="L8859" s="705"/>
      <c r="M8859" s="691"/>
      <c r="N8859" s="1979" t="s">
        <v>43</v>
      </c>
      <c r="O8859" s="1979"/>
      <c r="P8859" s="2010"/>
    </row>
    <row r="8860" spans="1:16" s="497" customFormat="1" ht="17.399999999999999">
      <c r="A8860" s="703"/>
      <c r="B8860" s="704"/>
      <c r="C8860" s="691"/>
      <c r="D8860" s="691"/>
      <c r="E8860" s="691"/>
      <c r="F8860" s="1284"/>
      <c r="G8860" s="691"/>
      <c r="H8860" s="1284"/>
      <c r="I8860" s="1849"/>
      <c r="J8860" s="691"/>
      <c r="K8860" s="693"/>
      <c r="L8860" s="1284"/>
      <c r="M8860" s="691"/>
      <c r="N8860" s="1284"/>
      <c r="O8860" s="704"/>
      <c r="P8860" s="2010"/>
    </row>
    <row r="8861" spans="1:16" s="497" customFormat="1" ht="17.399999999999999">
      <c r="A8861" s="703" t="s">
        <v>44</v>
      </c>
      <c r="B8861" s="704"/>
      <c r="C8861" s="691"/>
      <c r="D8861" s="691"/>
      <c r="E8861" s="691"/>
      <c r="F8861" s="1284"/>
      <c r="G8861" s="691"/>
      <c r="H8861" s="1284"/>
      <c r="I8861" s="1849"/>
      <c r="J8861" s="691"/>
      <c r="K8861" s="693"/>
      <c r="L8861" s="1284"/>
      <c r="M8861" s="691"/>
      <c r="N8861" s="1979" t="s">
        <v>45</v>
      </c>
      <c r="O8861" s="1979"/>
      <c r="P8861" s="2010"/>
    </row>
    <row r="8862" spans="1:16" s="497" customFormat="1" ht="18" thickBot="1">
      <c r="A8862" s="682"/>
      <c r="B8862" s="683"/>
      <c r="C8862" s="683"/>
      <c r="D8862" s="683"/>
      <c r="E8862" s="683"/>
      <c r="F8862" s="684"/>
      <c r="G8862" s="683"/>
      <c r="H8862" s="684"/>
      <c r="I8862" s="1850"/>
      <c r="J8862" s="683"/>
      <c r="K8862" s="706"/>
      <c r="L8862" s="684"/>
      <c r="M8862" s="683"/>
      <c r="N8862" s="684"/>
      <c r="O8862" s="683"/>
      <c r="P8862" s="2010"/>
    </row>
    <row r="8863" spans="1:16" s="497" customFormat="1">
      <c r="I8863" s="1864"/>
      <c r="K8863" s="176"/>
      <c r="L8863" s="1294"/>
    </row>
    <row r="8864" spans="1:16" s="497" customFormat="1">
      <c r="I8864" s="1864"/>
      <c r="K8864" s="176"/>
      <c r="L8864" s="1294"/>
    </row>
    <row r="8865" spans="1:19" s="497" customFormat="1">
      <c r="I8865" s="1864"/>
      <c r="K8865" s="176"/>
      <c r="L8865" s="1294"/>
    </row>
    <row r="8868" spans="1:19" ht="17.399999999999999">
      <c r="A8868" s="711" t="s">
        <v>48</v>
      </c>
      <c r="B8868" s="711"/>
      <c r="C8868" s="712"/>
      <c r="D8868" s="712"/>
      <c r="E8868" s="712"/>
      <c r="F8868" s="713"/>
      <c r="G8868" s="712"/>
      <c r="H8868" s="712"/>
      <c r="I8868" s="714"/>
      <c r="J8868" s="715"/>
      <c r="K8868" s="716"/>
      <c r="L8868" s="1978" t="s">
        <v>0</v>
      </c>
      <c r="M8868" s="1978"/>
      <c r="N8868" s="1978"/>
      <c r="O8868" s="1978"/>
      <c r="P8868" s="717"/>
    </row>
    <row r="8869" spans="1:19" ht="17.399999999999999">
      <c r="A8869" s="718" t="s">
        <v>1</v>
      </c>
      <c r="B8869" s="718"/>
      <c r="C8869" s="718"/>
      <c r="D8869" s="719" t="s">
        <v>2</v>
      </c>
      <c r="E8869" s="719"/>
      <c r="F8869" s="720"/>
      <c r="G8869" s="720"/>
      <c r="H8869" s="720"/>
      <c r="I8869" s="721"/>
      <c r="J8869" s="1293"/>
      <c r="K8869" s="723" t="s">
        <v>3</v>
      </c>
      <c r="L8869" s="1293"/>
      <c r="M8869" s="718"/>
      <c r="N8869" s="720"/>
      <c r="O8869" s="718"/>
      <c r="P8869" s="724"/>
    </row>
    <row r="8870" spans="1:19" ht="52.2">
      <c r="A8870" s="640" t="s">
        <v>4</v>
      </c>
      <c r="B8870" s="640" t="s">
        <v>5</v>
      </c>
      <c r="C8870" s="640" t="s">
        <v>6</v>
      </c>
      <c r="D8870" s="640" t="s">
        <v>7</v>
      </c>
      <c r="E8870" s="640" t="s">
        <v>8</v>
      </c>
      <c r="F8870" s="641" t="s">
        <v>9</v>
      </c>
      <c r="G8870" s="642" t="s">
        <v>10</v>
      </c>
      <c r="H8870" s="642" t="s">
        <v>11</v>
      </c>
      <c r="I8870" s="643" t="s">
        <v>12</v>
      </c>
      <c r="J8870" s="644" t="s">
        <v>13</v>
      </c>
      <c r="K8870" s="645" t="s">
        <v>14</v>
      </c>
      <c r="L8870" s="646" t="s">
        <v>15</v>
      </c>
      <c r="M8870" s="641" t="s">
        <v>16</v>
      </c>
      <c r="N8870" s="641" t="s">
        <v>17</v>
      </c>
      <c r="O8870" s="642" t="s">
        <v>18</v>
      </c>
      <c r="P8870" s="641" t="s">
        <v>192</v>
      </c>
    </row>
    <row r="8871" spans="1:19" ht="17.399999999999999">
      <c r="A8871" s="549"/>
      <c r="B8871" s="549"/>
      <c r="C8871" s="549"/>
      <c r="D8871" s="549"/>
      <c r="E8871" s="549"/>
      <c r="F8871" s="549"/>
      <c r="G8871" s="549"/>
      <c r="H8871" s="549"/>
      <c r="I8871" s="560"/>
      <c r="J8871" s="549"/>
      <c r="K8871" s="561"/>
      <c r="L8871" s="560"/>
      <c r="M8871" s="549"/>
      <c r="N8871" s="549"/>
      <c r="O8871" s="549"/>
      <c r="P8871" s="549"/>
    </row>
    <row r="8872" spans="1:19" ht="17.399999999999999">
      <c r="A8872" s="547" t="s">
        <v>445</v>
      </c>
      <c r="B8872" s="547" t="s">
        <v>857</v>
      </c>
      <c r="C8872" s="547" t="s">
        <v>19</v>
      </c>
      <c r="D8872" s="547" t="s">
        <v>20</v>
      </c>
      <c r="E8872" s="1283" t="s">
        <v>51</v>
      </c>
      <c r="F8872" s="1295">
        <v>13</v>
      </c>
      <c r="G8872" s="549" t="s">
        <v>21</v>
      </c>
      <c r="H8872" s="599" t="s">
        <v>120</v>
      </c>
      <c r="I8872" s="558">
        <v>18.2</v>
      </c>
      <c r="J8872" s="710">
        <v>9.4</v>
      </c>
      <c r="K8872" s="648">
        <v>2</v>
      </c>
      <c r="L8872" s="552">
        <f>(I8872*J8872*K8872/1000)</f>
        <v>0.34216000000000002</v>
      </c>
      <c r="M8872" s="549"/>
      <c r="N8872" s="549"/>
      <c r="O8872" s="549"/>
      <c r="P8872" s="549"/>
      <c r="Q8872" s="497" t="s">
        <v>1023</v>
      </c>
    </row>
    <row r="8873" spans="1:19" ht="17.399999999999999">
      <c r="A8873" s="549"/>
      <c r="B8873" s="549" t="s">
        <v>84</v>
      </c>
      <c r="C8873" s="549"/>
      <c r="D8873" s="549"/>
      <c r="E8873" s="832"/>
      <c r="F8873" s="549"/>
      <c r="G8873" s="549" t="s">
        <v>21</v>
      </c>
      <c r="H8873" s="549" t="s">
        <v>120</v>
      </c>
      <c r="I8873" s="558">
        <v>18.2</v>
      </c>
      <c r="J8873" s="710">
        <v>11.4</v>
      </c>
      <c r="K8873" s="648">
        <v>16</v>
      </c>
      <c r="L8873" s="552">
        <f>(I8873*J8873*K8873/1000)</f>
        <v>3.31968</v>
      </c>
      <c r="M8873" s="549"/>
      <c r="N8873" s="549"/>
      <c r="O8873" s="549"/>
      <c r="P8873" s="549"/>
    </row>
    <row r="8874" spans="1:19" ht="17.399999999999999">
      <c r="A8874" s="549"/>
      <c r="B8874" s="549"/>
      <c r="C8874" s="549"/>
      <c r="D8874" s="549"/>
      <c r="E8874" s="832"/>
      <c r="F8874" s="549"/>
      <c r="G8874" s="549" t="s">
        <v>21</v>
      </c>
      <c r="H8874" s="549" t="s">
        <v>120</v>
      </c>
      <c r="I8874" s="558">
        <v>18.2</v>
      </c>
      <c r="J8874" s="710">
        <v>11.7</v>
      </c>
      <c r="K8874" s="648">
        <v>16</v>
      </c>
      <c r="L8874" s="552">
        <f>(I8874*J8874*K8874/1000)</f>
        <v>3.4070399999999994</v>
      </c>
      <c r="M8874" s="549"/>
      <c r="N8874" s="549"/>
      <c r="O8874" s="549"/>
      <c r="P8874" s="549"/>
    </row>
    <row r="8875" spans="1:19" ht="17.399999999999999">
      <c r="A8875" s="549"/>
      <c r="B8875" s="549"/>
      <c r="C8875" s="549"/>
      <c r="D8875" s="549"/>
      <c r="E8875" s="832"/>
      <c r="F8875" s="549"/>
      <c r="G8875" s="549"/>
      <c r="H8875" s="650"/>
      <c r="I8875" s="558"/>
      <c r="J8875" s="710"/>
      <c r="K8875" s="648">
        <f t="shared" ref="K8875:L8875" si="1815">SUM(K8872:K8874)</f>
        <v>34</v>
      </c>
      <c r="L8875" s="765">
        <f t="shared" si="1815"/>
        <v>7.0688799999999992</v>
      </c>
      <c r="M8875" s="549"/>
      <c r="N8875" s="549"/>
      <c r="O8875" s="549"/>
      <c r="P8875" s="549"/>
    </row>
    <row r="8876" spans="1:19" s="497" customFormat="1" ht="17.399999999999999">
      <c r="A8876" s="549"/>
      <c r="B8876" s="549"/>
      <c r="C8876" s="549"/>
      <c r="D8876" s="549"/>
      <c r="E8876" s="832"/>
      <c r="F8876" s="549"/>
      <c r="G8876" s="549"/>
      <c r="H8876" s="650"/>
      <c r="I8876" s="558"/>
      <c r="J8876" s="710"/>
      <c r="K8876" s="648"/>
      <c r="L8876" s="765"/>
      <c r="M8876" s="549"/>
      <c r="N8876" s="549"/>
      <c r="O8876" s="549"/>
      <c r="P8876" s="549"/>
    </row>
    <row r="8877" spans="1:19" ht="17.399999999999999">
      <c r="A8877" s="547" t="s">
        <v>541</v>
      </c>
      <c r="B8877" s="979" t="s">
        <v>952</v>
      </c>
      <c r="C8877" s="547" t="s">
        <v>19</v>
      </c>
      <c r="D8877" s="547" t="s">
        <v>20</v>
      </c>
      <c r="E8877" s="1283" t="s">
        <v>51</v>
      </c>
      <c r="F8877" s="1295">
        <v>13</v>
      </c>
      <c r="G8877" s="549" t="s">
        <v>21</v>
      </c>
      <c r="H8877" s="599" t="s">
        <v>120</v>
      </c>
      <c r="I8877" s="558">
        <v>18.2</v>
      </c>
      <c r="J8877" s="567">
        <v>9.1</v>
      </c>
      <c r="K8877" s="648">
        <v>22</v>
      </c>
      <c r="L8877" s="552">
        <f t="shared" ref="L8877:L8881" si="1816">(I8877*J8877*K8877/1000)</f>
        <v>3.6436399999999995</v>
      </c>
      <c r="M8877" s="549"/>
      <c r="N8877" s="549"/>
      <c r="O8877" s="549"/>
      <c r="P8877" s="549"/>
      <c r="Q8877" s="497">
        <v>1</v>
      </c>
      <c r="R8877" s="126">
        <f>J8877*Q8877*I8877/1000</f>
        <v>0.16561999999999999</v>
      </c>
      <c r="S8877" s="497" t="s">
        <v>1023</v>
      </c>
    </row>
    <row r="8878" spans="1:19" ht="17.399999999999999">
      <c r="A8878" s="549"/>
      <c r="B8878" s="549"/>
      <c r="C8878" s="549"/>
      <c r="D8878" s="549"/>
      <c r="E8878" s="832"/>
      <c r="F8878" s="549"/>
      <c r="G8878" s="549" t="s">
        <v>21</v>
      </c>
      <c r="H8878" s="549" t="s">
        <v>120</v>
      </c>
      <c r="I8878" s="558">
        <v>18.2</v>
      </c>
      <c r="J8878" s="567">
        <v>9.1999999999999993</v>
      </c>
      <c r="K8878" s="648">
        <v>386</v>
      </c>
      <c r="L8878" s="552">
        <f t="shared" si="1816"/>
        <v>64.631839999999983</v>
      </c>
      <c r="M8878" s="549"/>
      <c r="N8878" s="549"/>
      <c r="O8878" s="549"/>
      <c r="P8878" s="549"/>
      <c r="Q8878" s="497">
        <f>15+15+15+15+11+3+2</f>
        <v>76</v>
      </c>
      <c r="R8878" s="126">
        <f>J8878*Q8878*I8878/1000</f>
        <v>12.725439999999999</v>
      </c>
    </row>
    <row r="8879" spans="1:19" ht="17.399999999999999">
      <c r="A8879" s="549"/>
      <c r="B8879" s="549"/>
      <c r="C8879" s="549"/>
      <c r="D8879" s="549"/>
      <c r="E8879" s="549"/>
      <c r="F8879" s="549"/>
      <c r="G8879" s="549" t="s">
        <v>21</v>
      </c>
      <c r="H8879" s="549" t="s">
        <v>120</v>
      </c>
      <c r="I8879" s="558">
        <v>18.2</v>
      </c>
      <c r="J8879" s="567">
        <v>9.5</v>
      </c>
      <c r="K8879" s="648">
        <v>4</v>
      </c>
      <c r="L8879" s="552">
        <f t="shared" si="1816"/>
        <v>0.69159999999999999</v>
      </c>
      <c r="M8879" s="549"/>
      <c r="N8879" s="549"/>
      <c r="O8879" s="549"/>
      <c r="P8879" s="549"/>
      <c r="R8879" s="126">
        <f>J8879*Q8879*I8879/1000</f>
        <v>0</v>
      </c>
    </row>
    <row r="8880" spans="1:19" ht="17.399999999999999">
      <c r="A8880" s="549"/>
      <c r="B8880" s="549"/>
      <c r="C8880" s="549"/>
      <c r="D8880" s="549"/>
      <c r="E8880" s="549"/>
      <c r="F8880" s="549"/>
      <c r="G8880" s="549" t="s">
        <v>21</v>
      </c>
      <c r="H8880" s="549" t="s">
        <v>120</v>
      </c>
      <c r="I8880" s="558">
        <v>18.2</v>
      </c>
      <c r="J8880" s="567">
        <v>10.8</v>
      </c>
      <c r="K8880" s="648">
        <v>11</v>
      </c>
      <c r="L8880" s="552">
        <f t="shared" si="1816"/>
        <v>2.1621599999999996</v>
      </c>
      <c r="M8880" s="549"/>
      <c r="N8880" s="549"/>
      <c r="O8880" s="549"/>
      <c r="P8880" s="549"/>
      <c r="Q8880" s="497">
        <v>8</v>
      </c>
      <c r="R8880" s="126">
        <f>J8880*Q8880*I8880/1000</f>
        <v>1.5724800000000001</v>
      </c>
    </row>
    <row r="8881" spans="1:19" ht="17.399999999999999">
      <c r="A8881" s="549"/>
      <c r="B8881" s="549"/>
      <c r="C8881" s="549"/>
      <c r="D8881" s="549"/>
      <c r="E8881" s="549"/>
      <c r="F8881" s="549"/>
      <c r="G8881" s="549" t="s">
        <v>21</v>
      </c>
      <c r="H8881" s="549" t="s">
        <v>120</v>
      </c>
      <c r="I8881" s="558">
        <v>18.2</v>
      </c>
      <c r="J8881" s="567">
        <v>11.5</v>
      </c>
      <c r="K8881" s="648">
        <v>13</v>
      </c>
      <c r="L8881" s="552">
        <f t="shared" si="1816"/>
        <v>2.7208999999999994</v>
      </c>
      <c r="M8881" s="549"/>
      <c r="N8881" s="549"/>
      <c r="O8881" s="549"/>
      <c r="P8881" s="549"/>
      <c r="R8881" s="126">
        <f>J8881*Q8881*I8881/1000</f>
        <v>0</v>
      </c>
    </row>
    <row r="8882" spans="1:19" ht="17.399999999999999">
      <c r="A8882" s="549"/>
      <c r="B8882" s="549"/>
      <c r="C8882" s="549"/>
      <c r="D8882" s="549"/>
      <c r="E8882" s="549"/>
      <c r="F8882" s="549"/>
      <c r="G8882" s="549"/>
      <c r="H8882" s="549"/>
      <c r="I8882" s="558"/>
      <c r="J8882" s="567"/>
      <c r="K8882" s="648">
        <f>SUM(K8877:K8881)</f>
        <v>436</v>
      </c>
      <c r="L8882" s="567">
        <f>SUM(L8877:L8881)</f>
        <v>73.850139999999982</v>
      </c>
      <c r="M8882" s="549"/>
      <c r="N8882" s="549"/>
      <c r="O8882" s="549"/>
      <c r="P8882" s="549"/>
      <c r="Q8882" s="648">
        <f>SUM(Q8877:Q8881)</f>
        <v>85</v>
      </c>
      <c r="R8882" s="567">
        <f>SUM(R8877:R8881)</f>
        <v>14.46354</v>
      </c>
    </row>
    <row r="8883" spans="1:19" s="497" customFormat="1" ht="17.399999999999999">
      <c r="A8883" s="549"/>
      <c r="B8883" s="549"/>
      <c r="C8883" s="549"/>
      <c r="D8883" s="549"/>
      <c r="E8883" s="549"/>
      <c r="F8883" s="549"/>
      <c r="G8883" s="549"/>
      <c r="H8883" s="549"/>
      <c r="I8883" s="558"/>
      <c r="J8883" s="567"/>
      <c r="K8883" s="648">
        <f>SUM(K8872:K8882)/2</f>
        <v>470</v>
      </c>
      <c r="L8883" s="567">
        <f>SUM(L8872:L8882)/2</f>
        <v>80.919019999999975</v>
      </c>
      <c r="M8883" s="549"/>
      <c r="N8883" s="549"/>
      <c r="O8883" s="549"/>
      <c r="P8883" s="549" t="s">
        <v>983</v>
      </c>
      <c r="Q8883" s="648">
        <f>SUM(Q8872:Q8882)/2</f>
        <v>85</v>
      </c>
      <c r="R8883" s="567">
        <f>SUM(R8872:R8882)/2</f>
        <v>14.46354</v>
      </c>
    </row>
    <row r="8884" spans="1:19" s="497" customFormat="1" ht="17.399999999999999">
      <c r="A8884" s="549"/>
      <c r="B8884" s="549"/>
      <c r="C8884" s="549"/>
      <c r="D8884" s="549"/>
      <c r="E8884" s="549"/>
      <c r="F8884" s="549"/>
      <c r="G8884" s="549"/>
      <c r="H8884" s="549"/>
      <c r="I8884" s="558"/>
      <c r="J8884" s="567"/>
      <c r="K8884" s="648"/>
      <c r="L8884" s="567"/>
      <c r="M8884" s="549"/>
      <c r="N8884" s="549"/>
      <c r="O8884" s="549"/>
      <c r="P8884" s="549"/>
    </row>
    <row r="8885" spans="1:19" s="497" customFormat="1" ht="17.399999999999999">
      <c r="A8885" s="549"/>
      <c r="B8885" s="549"/>
      <c r="C8885" s="549"/>
      <c r="D8885" s="549"/>
      <c r="E8885" s="549"/>
      <c r="F8885" s="549"/>
      <c r="G8885" s="549"/>
      <c r="H8885" s="549"/>
      <c r="I8885" s="558"/>
      <c r="J8885" s="567"/>
      <c r="K8885" s="648"/>
      <c r="L8885" s="567"/>
      <c r="M8885" s="549"/>
      <c r="N8885" s="549"/>
      <c r="O8885" s="549"/>
      <c r="P8885" s="549"/>
    </row>
    <row r="8886" spans="1:19" s="497" customFormat="1" ht="17.399999999999999">
      <c r="A8886" s="547" t="s">
        <v>541</v>
      </c>
      <c r="B8886" s="1169" t="s">
        <v>962</v>
      </c>
      <c r="C8886" s="547" t="s">
        <v>19</v>
      </c>
      <c r="D8886" s="547" t="s">
        <v>20</v>
      </c>
      <c r="E8886" s="1283" t="s">
        <v>51</v>
      </c>
      <c r="F8886" s="1295">
        <v>13</v>
      </c>
      <c r="G8886" s="549" t="s">
        <v>21</v>
      </c>
      <c r="H8886" s="828" t="s">
        <v>123</v>
      </c>
      <c r="I8886" s="558">
        <v>16.5</v>
      </c>
      <c r="J8886" s="710">
        <v>11.5</v>
      </c>
      <c r="K8886" s="648">
        <v>13</v>
      </c>
      <c r="L8886" s="552">
        <f>(I8886*J8886*K8886/1000)</f>
        <v>2.4667500000000002</v>
      </c>
      <c r="M8886" s="549"/>
      <c r="N8886" s="549"/>
      <c r="O8886" s="549"/>
      <c r="P8886" s="549"/>
      <c r="Q8886" s="497">
        <v>12</v>
      </c>
      <c r="R8886" s="126">
        <f>J8886*Q8886*I8886/1000</f>
        <v>2.2770000000000001</v>
      </c>
    </row>
    <row r="8887" spans="1:19" s="497" customFormat="1" ht="17.399999999999999">
      <c r="A8887" s="549"/>
      <c r="B8887" s="754" t="s">
        <v>963</v>
      </c>
      <c r="C8887" s="549"/>
      <c r="D8887" s="549"/>
      <c r="E8887" s="549"/>
      <c r="F8887" s="549"/>
      <c r="G8887" s="549"/>
      <c r="H8887" s="650"/>
      <c r="I8887" s="558"/>
      <c r="J8887" s="710"/>
      <c r="K8887" s="648">
        <f>SUM(K8886:K8886)</f>
        <v>13</v>
      </c>
      <c r="L8887" s="765">
        <f>SUM(L8886:L8886)</f>
        <v>2.4667500000000002</v>
      </c>
      <c r="M8887" s="549"/>
      <c r="N8887" s="549"/>
      <c r="O8887" s="549"/>
      <c r="P8887" s="549"/>
      <c r="Q8887" s="648">
        <f>SUM(Q8886:Q8886)</f>
        <v>12</v>
      </c>
      <c r="R8887" s="765">
        <f>SUM(R8886:R8886)</f>
        <v>2.2770000000000001</v>
      </c>
    </row>
    <row r="8888" spans="1:19" s="497" customFormat="1" ht="17.399999999999999">
      <c r="A8888" s="549"/>
      <c r="B8888" s="549"/>
      <c r="C8888" s="549"/>
      <c r="D8888" s="549"/>
      <c r="E8888" s="549"/>
      <c r="F8888" s="549"/>
      <c r="G8888" s="549"/>
      <c r="H8888" s="549"/>
      <c r="I8888" s="558"/>
      <c r="J8888" s="549"/>
      <c r="K8888" s="561"/>
      <c r="L8888" s="560"/>
      <c r="M8888" s="549"/>
      <c r="N8888" s="549"/>
      <c r="O8888" s="549"/>
      <c r="P8888" s="549"/>
    </row>
    <row r="8889" spans="1:19" ht="17.399999999999999">
      <c r="A8889" s="547" t="s">
        <v>445</v>
      </c>
      <c r="B8889" s="547" t="s">
        <v>857</v>
      </c>
      <c r="C8889" s="547" t="s">
        <v>19</v>
      </c>
      <c r="D8889" s="547" t="s">
        <v>20</v>
      </c>
      <c r="E8889" s="1283" t="s">
        <v>51</v>
      </c>
      <c r="F8889" s="1295">
        <v>13</v>
      </c>
      <c r="G8889" s="549" t="s">
        <v>21</v>
      </c>
      <c r="H8889" s="599" t="s">
        <v>123</v>
      </c>
      <c r="I8889" s="558">
        <v>16.5</v>
      </c>
      <c r="J8889" s="710">
        <v>10.3</v>
      </c>
      <c r="K8889" s="648">
        <v>16</v>
      </c>
      <c r="L8889" s="552">
        <f>(I8889*J8889*K8889/1000)</f>
        <v>2.7192000000000003</v>
      </c>
      <c r="M8889" s="549">
        <v>8</v>
      </c>
      <c r="N8889" s="567">
        <f t="shared" ref="N8889:N8890" si="1817">J8889*M8889*I8889/1000</f>
        <v>1.3596000000000001</v>
      </c>
      <c r="O8889" s="549"/>
      <c r="P8889" s="549"/>
      <c r="Q8889" s="497" t="s">
        <v>1032</v>
      </c>
    </row>
    <row r="8890" spans="1:19" ht="17.399999999999999">
      <c r="A8890" s="549"/>
      <c r="B8890" s="549" t="s">
        <v>84</v>
      </c>
      <c r="C8890" s="549"/>
      <c r="D8890" s="549"/>
      <c r="E8890" s="549"/>
      <c r="F8890" s="549"/>
      <c r="G8890" s="549" t="s">
        <v>21</v>
      </c>
      <c r="H8890" s="549" t="s">
        <v>123</v>
      </c>
      <c r="I8890" s="558">
        <v>16.5</v>
      </c>
      <c r="J8890" s="710">
        <v>11.5</v>
      </c>
      <c r="K8890" s="648">
        <v>2</v>
      </c>
      <c r="L8890" s="552">
        <f>(I8890*J8890*K8890/1000)</f>
        <v>0.3795</v>
      </c>
      <c r="M8890" s="549"/>
      <c r="N8890" s="567">
        <f t="shared" si="1817"/>
        <v>0</v>
      </c>
      <c r="O8890" s="549"/>
      <c r="P8890" s="549"/>
    </row>
    <row r="8891" spans="1:19" ht="17.399999999999999">
      <c r="A8891" s="549"/>
      <c r="B8891" s="549"/>
      <c r="C8891" s="549"/>
      <c r="D8891" s="549"/>
      <c r="E8891" s="549"/>
      <c r="F8891" s="549"/>
      <c r="G8891" s="549"/>
      <c r="H8891" s="650"/>
      <c r="I8891" s="558"/>
      <c r="J8891" s="710"/>
      <c r="K8891" s="648">
        <f t="shared" ref="K8891:N8891" si="1818">SUM(K8889:K8890)</f>
        <v>18</v>
      </c>
      <c r="L8891" s="765">
        <f t="shared" si="1818"/>
        <v>3.0987000000000005</v>
      </c>
      <c r="M8891" s="648">
        <f t="shared" si="1818"/>
        <v>8</v>
      </c>
      <c r="N8891" s="765">
        <f t="shared" si="1818"/>
        <v>1.3596000000000001</v>
      </c>
      <c r="O8891" s="549"/>
      <c r="P8891" s="549" t="s">
        <v>984</v>
      </c>
    </row>
    <row r="8892" spans="1:19" ht="17.399999999999999">
      <c r="A8892" s="549"/>
      <c r="B8892" s="549"/>
      <c r="C8892" s="549"/>
      <c r="D8892" s="549"/>
      <c r="E8892" s="549"/>
      <c r="F8892" s="549"/>
      <c r="G8892" s="549"/>
      <c r="H8892" s="549"/>
      <c r="I8892" s="558"/>
      <c r="J8892" s="549"/>
      <c r="K8892" s="561"/>
      <c r="L8892" s="560"/>
      <c r="M8892" s="549"/>
      <c r="N8892" s="549"/>
      <c r="O8892" s="549"/>
      <c r="P8892" s="549"/>
    </row>
    <row r="8893" spans="1:19" ht="17.399999999999999">
      <c r="A8893" s="547" t="s">
        <v>541</v>
      </c>
      <c r="B8893" s="979" t="s">
        <v>952</v>
      </c>
      <c r="C8893" s="547" t="s">
        <v>19</v>
      </c>
      <c r="D8893" s="547" t="s">
        <v>20</v>
      </c>
      <c r="E8893" s="1283" t="s">
        <v>51</v>
      </c>
      <c r="F8893" s="1295">
        <v>13</v>
      </c>
      <c r="G8893" s="549" t="s">
        <v>21</v>
      </c>
      <c r="H8893" s="599" t="s">
        <v>123</v>
      </c>
      <c r="I8893" s="558">
        <v>16.5</v>
      </c>
      <c r="J8893" s="567">
        <v>8</v>
      </c>
      <c r="K8893" s="648">
        <v>173</v>
      </c>
      <c r="L8893" s="552">
        <f t="shared" ref="L8893:L8896" si="1819">(I8893*J8893*K8893/1000)</f>
        <v>22.835999999999999</v>
      </c>
      <c r="M8893" s="549">
        <v>3</v>
      </c>
      <c r="N8893" s="567">
        <f t="shared" ref="N8893:N8896" si="1820">J8893*M8893*I8893/1000</f>
        <v>0.39600000000000002</v>
      </c>
      <c r="O8893" s="549"/>
      <c r="P8893" s="549"/>
      <c r="Q8893" s="497">
        <f>18+18+18+6+9</f>
        <v>69</v>
      </c>
      <c r="R8893" s="126">
        <f>J8893*Q8893*I8893/1000</f>
        <v>9.1080000000000005</v>
      </c>
      <c r="S8893" s="497" t="s">
        <v>1032</v>
      </c>
    </row>
    <row r="8894" spans="1:19" ht="17.399999999999999">
      <c r="A8894" s="549"/>
      <c r="B8894" s="549"/>
      <c r="C8894" s="549"/>
      <c r="D8894" s="549"/>
      <c r="E8894" s="832"/>
      <c r="F8894" s="549"/>
      <c r="G8894" s="549" t="s">
        <v>21</v>
      </c>
      <c r="H8894" s="549" t="s">
        <v>123</v>
      </c>
      <c r="I8894" s="558">
        <v>16.5</v>
      </c>
      <c r="J8894" s="567">
        <v>8.3000000000000007</v>
      </c>
      <c r="K8894" s="648">
        <v>14</v>
      </c>
      <c r="L8894" s="552">
        <f t="shared" si="1819"/>
        <v>1.9173000000000002</v>
      </c>
      <c r="M8894" s="549">
        <v>1</v>
      </c>
      <c r="N8894" s="567">
        <f t="shared" si="1820"/>
        <v>0.13695000000000002</v>
      </c>
      <c r="O8894" s="549"/>
      <c r="P8894" s="549"/>
      <c r="Q8894" s="497">
        <v>4</v>
      </c>
      <c r="R8894" s="126">
        <f>J8894*Q8894*I8894/1000</f>
        <v>0.54780000000000006</v>
      </c>
    </row>
    <row r="8895" spans="1:19" ht="17.399999999999999">
      <c r="A8895" s="549"/>
      <c r="B8895" s="549"/>
      <c r="C8895" s="549"/>
      <c r="D8895" s="549"/>
      <c r="E8895" s="549"/>
      <c r="F8895" s="549"/>
      <c r="G8895" s="549" t="s">
        <v>21</v>
      </c>
      <c r="H8895" s="549" t="s">
        <v>123</v>
      </c>
      <c r="I8895" s="558">
        <v>16.5</v>
      </c>
      <c r="J8895" s="567">
        <v>9.1</v>
      </c>
      <c r="K8895" s="648">
        <v>19</v>
      </c>
      <c r="L8895" s="552">
        <f t="shared" si="1819"/>
        <v>2.8528500000000001</v>
      </c>
      <c r="M8895" s="549">
        <v>2</v>
      </c>
      <c r="N8895" s="567">
        <f t="shared" si="1820"/>
        <v>0.30030000000000001</v>
      </c>
      <c r="O8895" s="549"/>
      <c r="P8895" s="549"/>
    </row>
    <row r="8896" spans="1:19" ht="17.399999999999999">
      <c r="A8896" s="549"/>
      <c r="B8896" s="549"/>
      <c r="C8896" s="549"/>
      <c r="D8896" s="549"/>
      <c r="E8896" s="549"/>
      <c r="F8896" s="549"/>
      <c r="G8896" s="549" t="s">
        <v>21</v>
      </c>
      <c r="H8896" s="549" t="s">
        <v>123</v>
      </c>
      <c r="I8896" s="558">
        <v>16.5</v>
      </c>
      <c r="J8896" s="567">
        <v>11.5</v>
      </c>
      <c r="K8896" s="648">
        <v>45</v>
      </c>
      <c r="L8896" s="552">
        <f t="shared" si="1819"/>
        <v>8.5387500000000003</v>
      </c>
      <c r="M8896" s="549"/>
      <c r="N8896" s="567">
        <f t="shared" si="1820"/>
        <v>0</v>
      </c>
      <c r="O8896" s="549"/>
      <c r="P8896" s="549"/>
    </row>
    <row r="8897" spans="1:21" ht="17.399999999999999">
      <c r="A8897" s="549"/>
      <c r="B8897" s="549"/>
      <c r="C8897" s="549"/>
      <c r="D8897" s="549"/>
      <c r="E8897" s="549"/>
      <c r="F8897" s="549"/>
      <c r="G8897" s="549"/>
      <c r="H8897" s="549"/>
      <c r="I8897" s="558"/>
      <c r="J8897" s="567"/>
      <c r="K8897" s="648">
        <f>SUM(K8893:K8896)</f>
        <v>251</v>
      </c>
      <c r="L8897" s="567">
        <f>SUM(L8893:L8896)</f>
        <v>36.1449</v>
      </c>
      <c r="M8897" s="648">
        <f>SUM(M8893:M8896)</f>
        <v>6</v>
      </c>
      <c r="N8897" s="567">
        <f>SUM(N8893:N8896)</f>
        <v>0.83325000000000005</v>
      </c>
      <c r="O8897" s="549"/>
      <c r="P8897" s="549" t="s">
        <v>984</v>
      </c>
      <c r="Q8897" s="648">
        <f>SUM(Q8893:Q8896)</f>
        <v>73</v>
      </c>
      <c r="R8897" s="567">
        <f>SUM(R8893:R8896)</f>
        <v>9.655800000000001</v>
      </c>
    </row>
    <row r="8898" spans="1:21" ht="17.399999999999999">
      <c r="A8898" s="549"/>
      <c r="B8898" s="549"/>
      <c r="C8898" s="549"/>
      <c r="D8898" s="549"/>
      <c r="E8898" s="549"/>
      <c r="F8898" s="549"/>
      <c r="G8898" s="549"/>
      <c r="H8898" s="549"/>
      <c r="I8898" s="558"/>
      <c r="J8898" s="549"/>
      <c r="K8898" s="564">
        <f>SUM(K8886:K8897)/2</f>
        <v>282</v>
      </c>
      <c r="L8898" s="568">
        <f>SUM(L8886:L8897)/2</f>
        <v>41.710349999999998</v>
      </c>
      <c r="M8898" s="652">
        <f>SUM(M8886:M8897)/2</f>
        <v>14</v>
      </c>
      <c r="N8898" s="565">
        <f>SUM(N8886:N8897)/2</f>
        <v>2.19285</v>
      </c>
      <c r="O8898" s="549"/>
      <c r="P8898" s="549"/>
    </row>
    <row r="8899" spans="1:21" s="497" customFormat="1" ht="17.399999999999999">
      <c r="A8899" s="549"/>
      <c r="B8899" s="549"/>
      <c r="C8899" s="549"/>
      <c r="D8899" s="549"/>
      <c r="E8899" s="549"/>
      <c r="F8899" s="549"/>
      <c r="G8899" s="549"/>
      <c r="H8899" s="549"/>
      <c r="I8899" s="558"/>
      <c r="J8899" s="549"/>
      <c r="K8899" s="564"/>
      <c r="L8899" s="568"/>
      <c r="M8899" s="549"/>
      <c r="N8899" s="549"/>
      <c r="O8899" s="549"/>
      <c r="P8899" s="549"/>
    </row>
    <row r="8900" spans="1:21" s="497" customFormat="1" ht="17.399999999999999">
      <c r="A8900" s="549"/>
      <c r="B8900" s="549"/>
      <c r="C8900" s="549"/>
      <c r="D8900" s="549"/>
      <c r="E8900" s="549"/>
      <c r="F8900" s="549"/>
      <c r="G8900" s="549"/>
      <c r="H8900" s="549"/>
      <c r="I8900" s="558"/>
      <c r="J8900" s="567"/>
      <c r="K8900" s="648"/>
      <c r="L8900" s="567"/>
      <c r="M8900" s="549"/>
      <c r="N8900" s="549"/>
      <c r="O8900" s="549"/>
      <c r="P8900" s="549"/>
    </row>
    <row r="8901" spans="1:21" ht="17.399999999999999">
      <c r="A8901" s="547" t="s">
        <v>445</v>
      </c>
      <c r="B8901" s="547" t="s">
        <v>857</v>
      </c>
      <c r="C8901" s="547" t="s">
        <v>19</v>
      </c>
      <c r="D8901" s="547" t="s">
        <v>20</v>
      </c>
      <c r="E8901" s="1283" t="s">
        <v>51</v>
      </c>
      <c r="F8901" s="1295">
        <v>13</v>
      </c>
      <c r="G8901" s="549" t="s">
        <v>21</v>
      </c>
      <c r="H8901" s="599" t="s">
        <v>122</v>
      </c>
      <c r="I8901" s="558">
        <v>14.7</v>
      </c>
      <c r="J8901" s="710">
        <v>9.6999999999999993</v>
      </c>
      <c r="K8901" s="648">
        <v>8</v>
      </c>
      <c r="L8901" s="552">
        <f>(I8901*J8901*K8901/1000)</f>
        <v>1.1407199999999997</v>
      </c>
      <c r="M8901" s="549"/>
      <c r="N8901" s="549"/>
      <c r="O8901" s="549"/>
      <c r="P8901" s="549"/>
      <c r="Q8901" s="497">
        <v>8</v>
      </c>
      <c r="R8901" s="126">
        <f t="shared" ref="R8901:R8903" si="1821">J8901*Q8901*I8901/1000</f>
        <v>1.1407199999999997</v>
      </c>
      <c r="T8901" s="126">
        <f t="shared" ref="T8901:T8903" si="1822">J8901*S8901*I8901/1000</f>
        <v>0</v>
      </c>
      <c r="U8901" s="497" t="s">
        <v>1020</v>
      </c>
    </row>
    <row r="8902" spans="1:21" ht="17.399999999999999">
      <c r="A8902" s="549"/>
      <c r="B8902" s="549" t="s">
        <v>84</v>
      </c>
      <c r="C8902" s="549"/>
      <c r="D8902" s="549"/>
      <c r="E8902" s="832"/>
      <c r="F8902" s="549"/>
      <c r="G8902" s="549" t="s">
        <v>21</v>
      </c>
      <c r="H8902" s="549" t="s">
        <v>122</v>
      </c>
      <c r="I8902" s="558">
        <v>14.7</v>
      </c>
      <c r="J8902" s="710">
        <v>11.1</v>
      </c>
      <c r="K8902" s="648">
        <v>16</v>
      </c>
      <c r="L8902" s="552">
        <f>(I8902*J8902*K8902/1000)</f>
        <v>2.6107199999999997</v>
      </c>
      <c r="M8902" s="549"/>
      <c r="N8902" s="549"/>
      <c r="O8902" s="549"/>
      <c r="P8902" s="549"/>
      <c r="Q8902" s="497">
        <v>5</v>
      </c>
      <c r="R8902" s="126">
        <f t="shared" si="1821"/>
        <v>0.81584999999999996</v>
      </c>
      <c r="S8902">
        <v>3</v>
      </c>
      <c r="T8902" s="126">
        <f t="shared" si="1822"/>
        <v>0.48950999999999995</v>
      </c>
    </row>
    <row r="8903" spans="1:21" ht="17.399999999999999">
      <c r="A8903" s="549"/>
      <c r="B8903" s="549"/>
      <c r="C8903" s="549"/>
      <c r="D8903" s="549"/>
      <c r="E8903" s="832"/>
      <c r="F8903" s="549"/>
      <c r="G8903" s="549" t="s">
        <v>21</v>
      </c>
      <c r="H8903" s="549" t="s">
        <v>122</v>
      </c>
      <c r="I8903" s="558">
        <v>14.7</v>
      </c>
      <c r="J8903" s="710">
        <v>11.5</v>
      </c>
      <c r="K8903" s="648">
        <v>24</v>
      </c>
      <c r="L8903" s="552">
        <f>(I8903*J8903*K8903/1000)</f>
        <v>4.0571999999999999</v>
      </c>
      <c r="M8903" s="549"/>
      <c r="N8903" s="549"/>
      <c r="O8903" s="549"/>
      <c r="P8903" s="549"/>
      <c r="Q8903" s="497">
        <v>8</v>
      </c>
      <c r="R8903" s="126">
        <f t="shared" si="1821"/>
        <v>1.3523999999999998</v>
      </c>
      <c r="S8903">
        <v>2</v>
      </c>
      <c r="T8903" s="126">
        <f t="shared" si="1822"/>
        <v>0.33809999999999996</v>
      </c>
    </row>
    <row r="8904" spans="1:21" ht="17.399999999999999">
      <c r="A8904" s="549"/>
      <c r="B8904" s="549"/>
      <c r="C8904" s="549"/>
      <c r="D8904" s="549"/>
      <c r="E8904" s="832"/>
      <c r="F8904" s="549"/>
      <c r="G8904" s="549"/>
      <c r="H8904" s="650"/>
      <c r="I8904" s="558"/>
      <c r="J8904" s="710"/>
      <c r="K8904" s="648">
        <f t="shared" ref="K8904:L8904" si="1823">SUM(K8901:K8903)</f>
        <v>48</v>
      </c>
      <c r="L8904" s="765">
        <f t="shared" si="1823"/>
        <v>7.8086399999999996</v>
      </c>
      <c r="M8904" s="549"/>
      <c r="N8904" s="549"/>
      <c r="O8904" s="549"/>
      <c r="P8904" s="549"/>
      <c r="Q8904" s="648">
        <f t="shared" ref="Q8904:T8904" si="1824">SUM(Q8901:Q8903)</f>
        <v>21</v>
      </c>
      <c r="R8904" s="765">
        <f t="shared" si="1824"/>
        <v>3.3089699999999995</v>
      </c>
      <c r="S8904" s="648">
        <f t="shared" si="1824"/>
        <v>5</v>
      </c>
      <c r="T8904" s="765">
        <f t="shared" si="1824"/>
        <v>0.82760999999999996</v>
      </c>
    </row>
    <row r="8905" spans="1:21" s="497" customFormat="1" ht="17.399999999999999">
      <c r="A8905" s="549"/>
      <c r="B8905" s="549"/>
      <c r="C8905" s="549"/>
      <c r="D8905" s="549"/>
      <c r="E8905" s="832"/>
      <c r="F8905" s="549"/>
      <c r="G8905" s="549"/>
      <c r="H8905" s="650"/>
      <c r="I8905" s="558"/>
      <c r="J8905" s="710"/>
      <c r="K8905" s="648"/>
      <c r="L8905" s="765"/>
      <c r="M8905" s="549"/>
      <c r="N8905" s="549"/>
      <c r="O8905" s="549"/>
      <c r="P8905" s="549"/>
    </row>
    <row r="8906" spans="1:21" ht="17.399999999999999">
      <c r="A8906" s="547" t="s">
        <v>541</v>
      </c>
      <c r="B8906" s="547" t="s">
        <v>952</v>
      </c>
      <c r="C8906" s="547" t="s">
        <v>19</v>
      </c>
      <c r="D8906" s="547" t="s">
        <v>20</v>
      </c>
      <c r="E8906" s="1283" t="s">
        <v>51</v>
      </c>
      <c r="F8906" s="1295">
        <v>13</v>
      </c>
      <c r="G8906" s="549" t="s">
        <v>21</v>
      </c>
      <c r="H8906" s="599" t="s">
        <v>122</v>
      </c>
      <c r="I8906" s="558">
        <v>14.7</v>
      </c>
      <c r="J8906" s="567">
        <v>7.3</v>
      </c>
      <c r="K8906" s="648">
        <v>24</v>
      </c>
      <c r="L8906" s="552">
        <f t="shared" ref="L8906:L8917" si="1825">(I8906*J8906*K8906/1000)</f>
        <v>2.5754399999999995</v>
      </c>
      <c r="M8906" s="549"/>
      <c r="N8906" s="549"/>
      <c r="O8906" s="549"/>
      <c r="P8906" s="549"/>
      <c r="Q8906" s="497">
        <f>16+3</f>
        <v>19</v>
      </c>
      <c r="R8906" s="126">
        <f t="shared" ref="R8906:R8911" si="1826">J8906*Q8906*I8906/1000</f>
        <v>2.0388899999999994</v>
      </c>
      <c r="S8906">
        <v>8</v>
      </c>
      <c r="T8906" s="126">
        <f>J8906*S8906*I8906/1000</f>
        <v>0.85847999999999991</v>
      </c>
      <c r="U8906" s="497" t="s">
        <v>1020</v>
      </c>
    </row>
    <row r="8907" spans="1:21" ht="17.399999999999999">
      <c r="A8907" s="549"/>
      <c r="B8907" s="549"/>
      <c r="C8907" s="549"/>
      <c r="D8907" s="549"/>
      <c r="E8907" s="832"/>
      <c r="F8907" s="549"/>
      <c r="G8907" s="549" t="s">
        <v>21</v>
      </c>
      <c r="H8907" s="549" t="s">
        <v>122</v>
      </c>
      <c r="I8907" s="558">
        <v>14.7</v>
      </c>
      <c r="J8907" s="567">
        <v>7.7</v>
      </c>
      <c r="K8907" s="648">
        <v>13</v>
      </c>
      <c r="L8907" s="552">
        <f t="shared" si="1825"/>
        <v>1.4714700000000001</v>
      </c>
      <c r="M8907" s="549"/>
      <c r="N8907" s="549"/>
      <c r="O8907" s="549"/>
      <c r="P8907" s="549"/>
      <c r="Q8907" s="497">
        <v>6</v>
      </c>
      <c r="R8907" s="126">
        <f t="shared" si="1826"/>
        <v>0.67913999999999997</v>
      </c>
      <c r="S8907">
        <v>7</v>
      </c>
      <c r="T8907" s="126">
        <f t="shared" ref="T8907:T8917" si="1827">J8907*S8907*I8907/1000</f>
        <v>0.79232999999999998</v>
      </c>
    </row>
    <row r="8908" spans="1:21" ht="17.399999999999999">
      <c r="A8908" s="549"/>
      <c r="B8908" s="549"/>
      <c r="C8908" s="549"/>
      <c r="D8908" s="549"/>
      <c r="E8908" s="549"/>
      <c r="F8908" s="549"/>
      <c r="G8908" s="549" t="s">
        <v>21</v>
      </c>
      <c r="H8908" s="549" t="s">
        <v>122</v>
      </c>
      <c r="I8908" s="558">
        <v>14.7</v>
      </c>
      <c r="J8908" s="567">
        <v>9</v>
      </c>
      <c r="K8908" s="648">
        <v>19</v>
      </c>
      <c r="L8908" s="552">
        <f t="shared" si="1825"/>
        <v>2.5136999999999996</v>
      </c>
      <c r="M8908" s="549"/>
      <c r="N8908" s="549"/>
      <c r="O8908" s="549"/>
      <c r="P8908" s="549"/>
      <c r="Q8908" s="497">
        <v>5</v>
      </c>
      <c r="R8908" s="126">
        <f t="shared" si="1826"/>
        <v>0.66149999999999998</v>
      </c>
      <c r="S8908">
        <v>8</v>
      </c>
      <c r="T8908" s="126">
        <f t="shared" si="1827"/>
        <v>1.0583999999999998</v>
      </c>
    </row>
    <row r="8909" spans="1:21" ht="17.399999999999999">
      <c r="A8909" s="549"/>
      <c r="B8909" s="549"/>
      <c r="C8909" s="549"/>
      <c r="D8909" s="549"/>
      <c r="E8909" s="549"/>
      <c r="F8909" s="549"/>
      <c r="G8909" s="549" t="s">
        <v>21</v>
      </c>
      <c r="H8909" s="549" t="s">
        <v>122</v>
      </c>
      <c r="I8909" s="558">
        <v>14.7</v>
      </c>
      <c r="J8909" s="567">
        <v>9.6</v>
      </c>
      <c r="K8909" s="648">
        <v>8</v>
      </c>
      <c r="L8909" s="552">
        <f t="shared" si="1825"/>
        <v>1.1289599999999997</v>
      </c>
      <c r="M8909" s="549"/>
      <c r="N8909" s="549"/>
      <c r="O8909" s="549"/>
      <c r="P8909" s="549"/>
      <c r="Q8909" s="497">
        <v>4</v>
      </c>
      <c r="R8909" s="126">
        <f t="shared" si="1826"/>
        <v>0.56447999999999987</v>
      </c>
      <c r="S8909">
        <v>2</v>
      </c>
      <c r="T8909" s="126">
        <f t="shared" si="1827"/>
        <v>0.28223999999999994</v>
      </c>
    </row>
    <row r="8910" spans="1:21" ht="17.399999999999999">
      <c r="A8910" s="549"/>
      <c r="B8910" s="549"/>
      <c r="C8910" s="549"/>
      <c r="D8910" s="549"/>
      <c r="E8910" s="549"/>
      <c r="F8910" s="549"/>
      <c r="G8910" s="549" t="s">
        <v>21</v>
      </c>
      <c r="H8910" s="549" t="s">
        <v>122</v>
      </c>
      <c r="I8910" s="558">
        <v>14.7</v>
      </c>
      <c r="J8910" s="567">
        <v>9.6999999999999993</v>
      </c>
      <c r="K8910" s="648">
        <v>50</v>
      </c>
      <c r="L8910" s="552">
        <f t="shared" si="1825"/>
        <v>7.1294999999999993</v>
      </c>
      <c r="M8910" s="549"/>
      <c r="N8910" s="549"/>
      <c r="O8910" s="549"/>
      <c r="P8910" s="549"/>
      <c r="Q8910" s="497">
        <f>1+13+14</f>
        <v>28</v>
      </c>
      <c r="R8910" s="126">
        <f t="shared" si="1826"/>
        <v>3.9925199999999994</v>
      </c>
      <c r="S8910">
        <v>5</v>
      </c>
      <c r="T8910" s="126">
        <f t="shared" si="1827"/>
        <v>0.71294999999999997</v>
      </c>
    </row>
    <row r="8911" spans="1:21" ht="17.399999999999999">
      <c r="A8911" s="549"/>
      <c r="B8911" s="549"/>
      <c r="C8911" s="549"/>
      <c r="D8911" s="549"/>
      <c r="E8911" s="549"/>
      <c r="F8911" s="549"/>
      <c r="G8911" s="549" t="s">
        <v>21</v>
      </c>
      <c r="H8911" s="549" t="s">
        <v>122</v>
      </c>
      <c r="I8911" s="558">
        <v>14.7</v>
      </c>
      <c r="J8911" s="567">
        <v>10</v>
      </c>
      <c r="K8911" s="648">
        <v>269</v>
      </c>
      <c r="L8911" s="552">
        <f t="shared" si="1825"/>
        <v>39.542999999999999</v>
      </c>
      <c r="M8911" s="549"/>
      <c r="N8911" s="549"/>
      <c r="O8911" s="549"/>
      <c r="P8911" s="549"/>
      <c r="Q8911" s="497">
        <f>20+18+18+5+14+17+2+20+20+20+20+20+20+19</f>
        <v>233</v>
      </c>
      <c r="R8911" s="126">
        <f t="shared" si="1826"/>
        <v>34.250999999999998</v>
      </c>
      <c r="S8911">
        <v>18</v>
      </c>
      <c r="T8911" s="126">
        <f t="shared" si="1827"/>
        <v>2.6459999999999999</v>
      </c>
    </row>
    <row r="8912" spans="1:21" ht="17.399999999999999">
      <c r="A8912" s="549"/>
      <c r="B8912" s="549"/>
      <c r="C8912" s="549"/>
      <c r="D8912" s="549"/>
      <c r="E8912" s="549"/>
      <c r="F8912" s="549"/>
      <c r="G8912" s="549" t="s">
        <v>21</v>
      </c>
      <c r="H8912" s="549" t="s">
        <v>122</v>
      </c>
      <c r="I8912" s="558">
        <v>14.7</v>
      </c>
      <c r="J8912" s="567">
        <v>10.199999999999999</v>
      </c>
      <c r="K8912" s="648">
        <v>14</v>
      </c>
      <c r="L8912" s="552">
        <f t="shared" si="1825"/>
        <v>2.0991599999999995</v>
      </c>
      <c r="M8912" s="549"/>
      <c r="N8912" s="549"/>
      <c r="O8912" s="549"/>
      <c r="P8912" s="549"/>
      <c r="Q8912" s="497">
        <v>1</v>
      </c>
      <c r="R8912" s="126">
        <f t="shared" ref="R8912:R8917" si="1828">J8912*Q8912*I8912/1000</f>
        <v>0.14993999999999996</v>
      </c>
      <c r="S8912">
        <v>13</v>
      </c>
      <c r="T8912" s="126">
        <f t="shared" si="1827"/>
        <v>1.9492199999999997</v>
      </c>
    </row>
    <row r="8913" spans="1:20" ht="17.399999999999999">
      <c r="A8913" s="549"/>
      <c r="B8913" s="549"/>
      <c r="C8913" s="549"/>
      <c r="D8913" s="549"/>
      <c r="E8913" s="549"/>
      <c r="F8913" s="549"/>
      <c r="G8913" s="549" t="s">
        <v>21</v>
      </c>
      <c r="H8913" s="549" t="s">
        <v>122</v>
      </c>
      <c r="I8913" s="558">
        <v>14.7</v>
      </c>
      <c r="J8913" s="567">
        <v>11</v>
      </c>
      <c r="K8913" s="648">
        <v>210</v>
      </c>
      <c r="L8913" s="552">
        <f t="shared" si="1825"/>
        <v>33.957000000000001</v>
      </c>
      <c r="M8913" s="549"/>
      <c r="N8913" s="549"/>
      <c r="O8913" s="549"/>
      <c r="P8913" s="549"/>
      <c r="Q8913" s="497">
        <f>18+18+18+16+16+4+19+18+18</f>
        <v>145</v>
      </c>
      <c r="R8913" s="126">
        <f t="shared" si="1828"/>
        <v>23.4465</v>
      </c>
      <c r="S8913">
        <f>18+8+13+6+3</f>
        <v>48</v>
      </c>
      <c r="T8913" s="126">
        <f t="shared" si="1827"/>
        <v>7.7615999999999996</v>
      </c>
    </row>
    <row r="8914" spans="1:20" ht="17.399999999999999">
      <c r="A8914" s="549"/>
      <c r="B8914" s="549"/>
      <c r="C8914" s="549"/>
      <c r="D8914" s="549"/>
      <c r="E8914" s="549"/>
      <c r="F8914" s="549"/>
      <c r="G8914" s="549" t="s">
        <v>21</v>
      </c>
      <c r="H8914" s="549" t="s">
        <v>122</v>
      </c>
      <c r="I8914" s="558">
        <v>14.7</v>
      </c>
      <c r="J8914" s="567">
        <v>11.3</v>
      </c>
      <c r="K8914" s="648">
        <v>35</v>
      </c>
      <c r="L8914" s="552">
        <f t="shared" si="1825"/>
        <v>5.8138500000000004</v>
      </c>
      <c r="M8914" s="549"/>
      <c r="N8914" s="549"/>
      <c r="O8914" s="549"/>
      <c r="P8914" s="549"/>
      <c r="Q8914" s="497">
        <f>3+2+16+10</f>
        <v>31</v>
      </c>
      <c r="R8914" s="126">
        <f t="shared" si="1828"/>
        <v>5.1494099999999996</v>
      </c>
      <c r="S8914">
        <v>4</v>
      </c>
      <c r="T8914" s="126">
        <f t="shared" si="1827"/>
        <v>0.66444000000000003</v>
      </c>
    </row>
    <row r="8915" spans="1:20" ht="17.399999999999999">
      <c r="A8915" s="549"/>
      <c r="B8915" s="549"/>
      <c r="C8915" s="549"/>
      <c r="D8915" s="549"/>
      <c r="E8915" s="549"/>
      <c r="F8915" s="549"/>
      <c r="G8915" s="549" t="s">
        <v>21</v>
      </c>
      <c r="H8915" s="549" t="s">
        <v>122</v>
      </c>
      <c r="I8915" s="558">
        <v>14.7</v>
      </c>
      <c r="J8915" s="567">
        <v>11.6</v>
      </c>
      <c r="K8915" s="648">
        <v>24</v>
      </c>
      <c r="L8915" s="552">
        <f t="shared" si="1825"/>
        <v>4.0924799999999992</v>
      </c>
      <c r="M8915" s="549"/>
      <c r="N8915" s="549"/>
      <c r="O8915" s="549"/>
      <c r="P8915" s="549"/>
      <c r="Q8915" s="497">
        <f>2+9+1+3</f>
        <v>15</v>
      </c>
      <c r="R8915" s="126">
        <f t="shared" si="1828"/>
        <v>2.5577999999999999</v>
      </c>
      <c r="S8915">
        <v>7</v>
      </c>
      <c r="T8915" s="126">
        <f t="shared" si="1827"/>
        <v>1.1936399999999998</v>
      </c>
    </row>
    <row r="8916" spans="1:20" ht="17.399999999999999">
      <c r="A8916" s="549"/>
      <c r="B8916" s="549"/>
      <c r="C8916" s="549"/>
      <c r="D8916" s="549"/>
      <c r="E8916" s="549"/>
      <c r="F8916" s="549"/>
      <c r="G8916" s="549" t="s">
        <v>21</v>
      </c>
      <c r="H8916" s="549" t="s">
        <v>122</v>
      </c>
      <c r="I8916" s="558">
        <v>14.7</v>
      </c>
      <c r="J8916" s="567">
        <v>11.7</v>
      </c>
      <c r="K8916" s="648">
        <v>7</v>
      </c>
      <c r="L8916" s="552">
        <f t="shared" si="1825"/>
        <v>1.2039299999999999</v>
      </c>
      <c r="M8916" s="549"/>
      <c r="N8916" s="549"/>
      <c r="O8916" s="549"/>
      <c r="P8916" s="549"/>
      <c r="Q8916" s="497">
        <f>3+4</f>
        <v>7</v>
      </c>
      <c r="R8916" s="126">
        <f t="shared" si="1828"/>
        <v>1.2039299999999999</v>
      </c>
      <c r="T8916" s="126">
        <f t="shared" si="1827"/>
        <v>0</v>
      </c>
    </row>
    <row r="8917" spans="1:20" ht="17.399999999999999">
      <c r="A8917" s="549"/>
      <c r="B8917" s="549"/>
      <c r="C8917" s="549"/>
      <c r="D8917" s="549"/>
      <c r="E8917" s="549"/>
      <c r="F8917" s="549"/>
      <c r="G8917" s="549" t="s">
        <v>21</v>
      </c>
      <c r="H8917" s="549" t="s">
        <v>122</v>
      </c>
      <c r="I8917" s="558">
        <v>14.7</v>
      </c>
      <c r="J8917" s="567">
        <v>11.8</v>
      </c>
      <c r="K8917" s="648">
        <v>13</v>
      </c>
      <c r="L8917" s="552">
        <f t="shared" si="1825"/>
        <v>2.2549800000000002</v>
      </c>
      <c r="M8917" s="549"/>
      <c r="N8917" s="549"/>
      <c r="O8917" s="549"/>
      <c r="P8917" s="549"/>
      <c r="Q8917" s="497">
        <f>5+3</f>
        <v>8</v>
      </c>
      <c r="R8917" s="126">
        <f t="shared" si="1828"/>
        <v>1.38768</v>
      </c>
      <c r="S8917">
        <v>5</v>
      </c>
      <c r="T8917" s="126">
        <f t="shared" si="1827"/>
        <v>0.86729999999999996</v>
      </c>
    </row>
    <row r="8918" spans="1:20" ht="17.399999999999999">
      <c r="A8918" s="549"/>
      <c r="B8918" s="549"/>
      <c r="C8918" s="549"/>
      <c r="D8918" s="549"/>
      <c r="E8918" s="549"/>
      <c r="F8918" s="549"/>
      <c r="G8918" s="549"/>
      <c r="H8918" s="549"/>
      <c r="I8918" s="558"/>
      <c r="J8918" s="567"/>
      <c r="K8918" s="648">
        <f>SUM(K8906:K8917)</f>
        <v>686</v>
      </c>
      <c r="L8918" s="567">
        <f>SUM(L8906:L8917)</f>
        <v>103.78346999999999</v>
      </c>
      <c r="M8918" s="549"/>
      <c r="N8918" s="549"/>
      <c r="O8918" s="549"/>
      <c r="P8918" s="549"/>
      <c r="Q8918" s="648">
        <f>SUM(Q8906:Q8917)</f>
        <v>502</v>
      </c>
      <c r="R8918" s="567">
        <f>SUM(R8906:R8917)</f>
        <v>76.082790000000003</v>
      </c>
      <c r="S8918" s="648">
        <f>SUM(S8906:S8917)</f>
        <v>125</v>
      </c>
      <c r="T8918" s="567">
        <f>SUM(T8906:T8917)</f>
        <v>18.786599999999996</v>
      </c>
    </row>
    <row r="8919" spans="1:20" s="497" customFormat="1" ht="17.399999999999999">
      <c r="A8919" s="549"/>
      <c r="B8919" s="549"/>
      <c r="C8919" s="549"/>
      <c r="D8919" s="549"/>
      <c r="E8919" s="549"/>
      <c r="F8919" s="549"/>
      <c r="G8919" s="549"/>
      <c r="H8919" s="549"/>
      <c r="I8919" s="558"/>
      <c r="J8919" s="567"/>
      <c r="K8919" s="648">
        <f>SUM(K8901:K8918)/2</f>
        <v>734</v>
      </c>
      <c r="L8919" s="567">
        <f>SUM(L8901:L8918)/2</f>
        <v>111.59210999999999</v>
      </c>
      <c r="M8919" s="549"/>
      <c r="N8919" s="549"/>
      <c r="O8919" s="549"/>
      <c r="P8919" s="549" t="s">
        <v>985</v>
      </c>
      <c r="Q8919" s="648">
        <f>SUM(Q8901:Q8918)/2</f>
        <v>523</v>
      </c>
      <c r="R8919" s="567">
        <f>SUM(R8901:R8918)/2</f>
        <v>79.391760000000005</v>
      </c>
      <c r="S8919" s="648">
        <f>SUM(S8901:S8918)/2</f>
        <v>130</v>
      </c>
      <c r="T8919" s="567">
        <f>SUM(T8901:T8918)/2</f>
        <v>19.614209999999996</v>
      </c>
    </row>
    <row r="8920" spans="1:20" s="497" customFormat="1" ht="17.399999999999999">
      <c r="A8920" s="549"/>
      <c r="B8920" s="549"/>
      <c r="C8920" s="549"/>
      <c r="D8920" s="549"/>
      <c r="E8920" s="549"/>
      <c r="F8920" s="549"/>
      <c r="G8920" s="549"/>
      <c r="H8920" s="549"/>
      <c r="I8920" s="558"/>
      <c r="J8920" s="567"/>
      <c r="K8920" s="648"/>
      <c r="L8920" s="567"/>
      <c r="M8920" s="549"/>
      <c r="N8920" s="549"/>
      <c r="O8920" s="549"/>
      <c r="P8920" s="549"/>
    </row>
    <row r="8921" spans="1:20" s="497" customFormat="1" ht="17.399999999999999">
      <c r="A8921" s="549"/>
      <c r="B8921" s="549"/>
      <c r="C8921" s="549"/>
      <c r="D8921" s="549"/>
      <c r="E8921" s="549"/>
      <c r="F8921" s="549"/>
      <c r="G8921" s="549"/>
      <c r="H8921" s="549"/>
      <c r="I8921" s="558"/>
      <c r="J8921" s="567"/>
      <c r="K8921" s="648"/>
      <c r="L8921" s="567"/>
      <c r="M8921" s="549"/>
      <c r="N8921" s="549"/>
      <c r="O8921" s="549"/>
      <c r="P8921" s="549"/>
    </row>
    <row r="8922" spans="1:20" ht="17.399999999999999">
      <c r="A8922" s="547" t="s">
        <v>445</v>
      </c>
      <c r="B8922" s="547" t="s">
        <v>845</v>
      </c>
      <c r="C8922" s="547" t="s">
        <v>19</v>
      </c>
      <c r="D8922" s="547" t="s">
        <v>60</v>
      </c>
      <c r="E8922" s="832" t="s">
        <v>247</v>
      </c>
      <c r="F8922" s="1295">
        <v>13</v>
      </c>
      <c r="G8922" s="549" t="s">
        <v>61</v>
      </c>
      <c r="H8922" s="599" t="s">
        <v>122</v>
      </c>
      <c r="I8922" s="558">
        <v>14.7</v>
      </c>
      <c r="J8922" s="710">
        <v>7.5</v>
      </c>
      <c r="K8922" s="648">
        <v>108</v>
      </c>
      <c r="L8922" s="552">
        <f t="shared" ref="L8922:L8925" si="1829">(I8922*J8922*K8922/1000)</f>
        <v>11.907</v>
      </c>
      <c r="M8922" s="549"/>
      <c r="N8922" s="549"/>
      <c r="O8922" s="549"/>
      <c r="P8922" s="549"/>
      <c r="R8922" s="126">
        <f t="shared" ref="R8922:R8925" si="1830">J8922*Q8922*I8922/1000</f>
        <v>0</v>
      </c>
      <c r="S8922" s="497" t="s">
        <v>1021</v>
      </c>
    </row>
    <row r="8923" spans="1:20" ht="17.399999999999999">
      <c r="A8923" s="549"/>
      <c r="B8923" s="549" t="s">
        <v>88</v>
      </c>
      <c r="C8923" s="549"/>
      <c r="D8923" s="549"/>
      <c r="E8923" s="549"/>
      <c r="F8923" s="549"/>
      <c r="G8923" s="549" t="s">
        <v>61</v>
      </c>
      <c r="H8923" s="549" t="s">
        <v>122</v>
      </c>
      <c r="I8923" s="558">
        <v>14.7</v>
      </c>
      <c r="J8923" s="710">
        <v>8.5</v>
      </c>
      <c r="K8923" s="648">
        <v>54</v>
      </c>
      <c r="L8923" s="552">
        <f t="shared" si="1829"/>
        <v>6.7472999999999992</v>
      </c>
      <c r="M8923" s="549"/>
      <c r="N8923" s="549"/>
      <c r="O8923" s="549"/>
      <c r="P8923" s="549"/>
      <c r="R8923" s="126">
        <f t="shared" si="1830"/>
        <v>0</v>
      </c>
      <c r="S8923" s="497" t="s">
        <v>1022</v>
      </c>
    </row>
    <row r="8924" spans="1:20" ht="17.399999999999999">
      <c r="A8924" s="549"/>
      <c r="B8924" s="549"/>
      <c r="C8924" s="549"/>
      <c r="D8924" s="549"/>
      <c r="E8924" s="549"/>
      <c r="F8924" s="549"/>
      <c r="G8924" s="549" t="s">
        <v>61</v>
      </c>
      <c r="H8924" s="549" t="s">
        <v>122</v>
      </c>
      <c r="I8924" s="558">
        <v>14.7</v>
      </c>
      <c r="J8924" s="710">
        <v>11.6</v>
      </c>
      <c r="K8924" s="648">
        <v>432</v>
      </c>
      <c r="L8924" s="552">
        <f t="shared" si="1829"/>
        <v>73.664639999999991</v>
      </c>
      <c r="M8924" s="549"/>
      <c r="N8924" s="549"/>
      <c r="O8924" s="549"/>
      <c r="P8924" s="549"/>
      <c r="Q8924" s="497">
        <f>18+18</f>
        <v>36</v>
      </c>
      <c r="R8924" s="126">
        <f t="shared" si="1830"/>
        <v>6.1387199999999993</v>
      </c>
    </row>
    <row r="8925" spans="1:20" ht="17.399999999999999">
      <c r="A8925" s="549"/>
      <c r="B8925" s="549"/>
      <c r="C8925" s="549"/>
      <c r="D8925" s="549"/>
      <c r="E8925" s="549"/>
      <c r="F8925" s="549"/>
      <c r="G8925" s="549" t="s">
        <v>61</v>
      </c>
      <c r="H8925" s="549" t="s">
        <v>122</v>
      </c>
      <c r="I8925" s="558">
        <v>14.7</v>
      </c>
      <c r="J8925" s="710">
        <v>11.9</v>
      </c>
      <c r="K8925" s="648">
        <v>234</v>
      </c>
      <c r="L8925" s="552">
        <f t="shared" si="1829"/>
        <v>40.933620000000005</v>
      </c>
      <c r="M8925" s="549"/>
      <c r="N8925" s="549"/>
      <c r="O8925" s="549"/>
      <c r="P8925" s="549"/>
      <c r="Q8925" s="497">
        <f>18+18+18+17</f>
        <v>71</v>
      </c>
      <c r="R8925" s="126">
        <f t="shared" si="1830"/>
        <v>12.420029999999999</v>
      </c>
    </row>
    <row r="8926" spans="1:20" ht="17.399999999999999">
      <c r="A8926" s="549"/>
      <c r="B8926" s="549"/>
      <c r="C8926" s="549"/>
      <c r="D8926" s="549"/>
      <c r="E8926" s="549"/>
      <c r="F8926" s="549"/>
      <c r="G8926" s="549"/>
      <c r="H8926" s="549"/>
      <c r="I8926" s="558"/>
      <c r="J8926" s="710"/>
      <c r="K8926" s="648">
        <f t="shared" ref="K8926:L8926" si="1831">SUM(K8922:K8925)</f>
        <v>828</v>
      </c>
      <c r="L8926" s="765">
        <f t="shared" si="1831"/>
        <v>133.25256000000002</v>
      </c>
      <c r="M8926" s="549"/>
      <c r="N8926" s="549"/>
      <c r="O8926" s="549"/>
      <c r="P8926" s="549"/>
      <c r="Q8926" s="648">
        <f>SUM(Q8922:Q8925)</f>
        <v>107</v>
      </c>
      <c r="R8926" s="765">
        <f>SUM(R8922:R8925)</f>
        <v>18.558749999999996</v>
      </c>
    </row>
    <row r="8927" spans="1:20" ht="17.399999999999999">
      <c r="A8927" s="549"/>
      <c r="B8927" s="549"/>
      <c r="C8927" s="549"/>
      <c r="D8927" s="549"/>
      <c r="E8927" s="549"/>
      <c r="F8927" s="549"/>
      <c r="G8927" s="549"/>
      <c r="H8927" s="549"/>
      <c r="I8927" s="558"/>
      <c r="J8927" s="549"/>
      <c r="K8927" s="561"/>
      <c r="L8927" s="560"/>
      <c r="M8927" s="549"/>
      <c r="N8927" s="549"/>
      <c r="O8927" s="549"/>
      <c r="P8927" s="549"/>
    </row>
    <row r="8928" spans="1:20" ht="17.399999999999999">
      <c r="A8928" s="547" t="s">
        <v>541</v>
      </c>
      <c r="B8928" s="979" t="s">
        <v>952</v>
      </c>
      <c r="C8928" s="547" t="s">
        <v>19</v>
      </c>
      <c r="D8928" s="547" t="s">
        <v>60</v>
      </c>
      <c r="E8928" s="949" t="s">
        <v>62</v>
      </c>
      <c r="F8928" s="1295">
        <v>13</v>
      </c>
      <c r="G8928" s="1280" t="s">
        <v>61</v>
      </c>
      <c r="H8928" s="1317" t="s">
        <v>122</v>
      </c>
      <c r="I8928" s="1899">
        <v>14.7</v>
      </c>
      <c r="J8928" s="1281">
        <v>8.9</v>
      </c>
      <c r="K8928" s="1282">
        <v>20</v>
      </c>
      <c r="L8928" s="895">
        <f t="shared" ref="L8928:L8929" si="1832">(I8928*J8928*K8928/1000)</f>
        <v>2.6166000000000005</v>
      </c>
      <c r="M8928" s="549"/>
      <c r="N8928" s="549"/>
      <c r="O8928" s="549"/>
      <c r="P8928" s="549"/>
      <c r="Q8928" s="497" t="s">
        <v>1023</v>
      </c>
    </row>
    <row r="8929" spans="1:18" ht="18">
      <c r="A8929" s="549"/>
      <c r="B8929" s="549"/>
      <c r="C8929" s="549"/>
      <c r="D8929" s="549"/>
      <c r="E8929" s="832"/>
      <c r="F8929" s="898"/>
      <c r="G8929" s="1280" t="s">
        <v>61</v>
      </c>
      <c r="H8929" s="1280" t="s">
        <v>122</v>
      </c>
      <c r="I8929" s="1899">
        <v>14.7</v>
      </c>
      <c r="J8929" s="1281">
        <v>9.1</v>
      </c>
      <c r="K8929" s="1282">
        <v>62</v>
      </c>
      <c r="L8929" s="895">
        <f t="shared" si="1832"/>
        <v>8.2937399999999979</v>
      </c>
      <c r="M8929" s="898"/>
      <c r="N8929" s="898"/>
      <c r="O8929" s="898"/>
      <c r="P8929" s="898"/>
    </row>
    <row r="8930" spans="1:18" ht="18">
      <c r="A8930" s="898"/>
      <c r="B8930" s="898"/>
      <c r="C8930" s="898"/>
      <c r="D8930" s="898"/>
      <c r="E8930" s="898"/>
      <c r="F8930" s="898"/>
      <c r="G8930" s="1280" t="s">
        <v>61</v>
      </c>
      <c r="H8930" s="1280" t="s">
        <v>122</v>
      </c>
      <c r="I8930" s="1899">
        <v>14.7</v>
      </c>
      <c r="J8930" s="1281">
        <v>11.3</v>
      </c>
      <c r="K8930" s="1282">
        <v>25</v>
      </c>
      <c r="L8930" s="895">
        <f>(I8930*J8930*K8930/1000)</f>
        <v>4.1527500000000002</v>
      </c>
      <c r="M8930" s="898"/>
      <c r="N8930" s="898"/>
      <c r="O8930" s="898"/>
      <c r="P8930" s="898"/>
    </row>
    <row r="8931" spans="1:18" ht="18">
      <c r="A8931" s="898"/>
      <c r="B8931" s="898"/>
      <c r="C8931" s="898"/>
      <c r="D8931" s="898"/>
      <c r="E8931" s="898"/>
      <c r="F8931" s="898"/>
      <c r="G8931" s="1280"/>
      <c r="H8931" s="1280"/>
      <c r="I8931" s="1899"/>
      <c r="J8931" s="1281"/>
      <c r="K8931" s="1282">
        <f t="shared" ref="K8931:L8931" si="1833">SUM(K8928:K8930)</f>
        <v>107</v>
      </c>
      <c r="L8931" s="1281">
        <f t="shared" si="1833"/>
        <v>15.063089999999999</v>
      </c>
      <c r="M8931" s="898"/>
      <c r="N8931" s="898"/>
      <c r="O8931" s="898"/>
      <c r="P8931" s="898"/>
      <c r="Q8931" s="1282">
        <f t="shared" ref="Q8931:R8931" si="1834">SUM(Q8928:Q8930)</f>
        <v>0</v>
      </c>
      <c r="R8931" s="1281">
        <f t="shared" si="1834"/>
        <v>0</v>
      </c>
    </row>
    <row r="8932" spans="1:18" s="497" customFormat="1" ht="18">
      <c r="A8932" s="898"/>
      <c r="B8932" s="898"/>
      <c r="C8932" s="898"/>
      <c r="D8932" s="898"/>
      <c r="E8932" s="898"/>
      <c r="F8932" s="898"/>
      <c r="G8932" s="1280"/>
      <c r="H8932" s="1280"/>
      <c r="I8932" s="1899"/>
      <c r="J8932" s="1281"/>
      <c r="K8932" s="1282">
        <f>SUM(K8922:K8931)/2</f>
        <v>935</v>
      </c>
      <c r="L8932" s="1281">
        <f>SUM(L8922:L8931)/2</f>
        <v>148.31565000000003</v>
      </c>
      <c r="M8932" s="898"/>
      <c r="N8932" s="898"/>
      <c r="O8932" s="898"/>
      <c r="P8932" s="549" t="s">
        <v>986</v>
      </c>
      <c r="Q8932" s="1282">
        <f>SUM(Q8922:Q8931)/2</f>
        <v>107</v>
      </c>
      <c r="R8932" s="1281">
        <f>SUM(R8922:R8931)/2</f>
        <v>18.558749999999996</v>
      </c>
    </row>
    <row r="8933" spans="1:18" s="497" customFormat="1" ht="18">
      <c r="A8933" s="898"/>
      <c r="B8933" s="898"/>
      <c r="C8933" s="898"/>
      <c r="D8933" s="898"/>
      <c r="E8933" s="898"/>
      <c r="F8933" s="898"/>
      <c r="G8933" s="1280"/>
      <c r="H8933" s="1280"/>
      <c r="I8933" s="1899"/>
      <c r="J8933" s="1281"/>
      <c r="K8933" s="1282"/>
      <c r="L8933" s="1281"/>
      <c r="M8933" s="898"/>
      <c r="N8933" s="898"/>
      <c r="O8933" s="898"/>
      <c r="P8933" s="898"/>
    </row>
    <row r="8934" spans="1:18" s="497" customFormat="1" ht="18">
      <c r="A8934" s="898"/>
      <c r="B8934" s="898"/>
      <c r="C8934" s="898"/>
      <c r="D8934" s="898"/>
      <c r="E8934" s="898"/>
      <c r="F8934" s="898"/>
      <c r="G8934" s="1280"/>
      <c r="H8934" s="1280"/>
      <c r="I8934" s="1899"/>
      <c r="J8934" s="1281"/>
      <c r="K8934" s="1282"/>
      <c r="L8934" s="1281"/>
      <c r="M8934" s="898"/>
      <c r="N8934" s="898"/>
      <c r="O8934" s="898"/>
      <c r="P8934" s="898"/>
    </row>
    <row r="8935" spans="1:18" ht="18">
      <c r="A8935" s="547" t="s">
        <v>541</v>
      </c>
      <c r="B8935" s="979" t="s">
        <v>952</v>
      </c>
      <c r="C8935" s="547" t="s">
        <v>19</v>
      </c>
      <c r="D8935" s="547" t="s">
        <v>60</v>
      </c>
      <c r="E8935" s="949" t="s">
        <v>62</v>
      </c>
      <c r="F8935" s="1295">
        <v>13</v>
      </c>
      <c r="G8935" s="1280" t="s">
        <v>61</v>
      </c>
      <c r="H8935" s="1317" t="s">
        <v>123</v>
      </c>
      <c r="I8935" s="1899">
        <v>16.5</v>
      </c>
      <c r="J8935" s="1281">
        <v>11.8</v>
      </c>
      <c r="K8935" s="1282">
        <v>13</v>
      </c>
      <c r="L8935" s="895">
        <f>(I8935*J8935*K8935/1000)</f>
        <v>2.5311000000000003</v>
      </c>
      <c r="M8935" s="898"/>
      <c r="N8935" s="898"/>
      <c r="O8935" s="898"/>
      <c r="P8935" s="898"/>
      <c r="Q8935" s="497" t="s">
        <v>1032</v>
      </c>
    </row>
    <row r="8936" spans="1:18" ht="18">
      <c r="A8936" s="549"/>
      <c r="B8936" s="549"/>
      <c r="C8936" s="549"/>
      <c r="D8936" s="549"/>
      <c r="E8936" s="832"/>
      <c r="F8936" s="898"/>
      <c r="G8936" s="1280"/>
      <c r="H8936" s="1280"/>
      <c r="I8936" s="1899"/>
      <c r="J8936" s="1281"/>
      <c r="K8936" s="1282">
        <f>SUM(K8935)</f>
        <v>13</v>
      </c>
      <c r="L8936" s="1281">
        <f>SUM(L8935)</f>
        <v>2.5311000000000003</v>
      </c>
      <c r="M8936" s="898"/>
      <c r="N8936" s="898"/>
      <c r="O8936" s="898"/>
      <c r="P8936" s="549" t="s">
        <v>987</v>
      </c>
    </row>
    <row r="8937" spans="1:18" s="497" customFormat="1" ht="18">
      <c r="A8937" s="549"/>
      <c r="B8937" s="549"/>
      <c r="C8937" s="549"/>
      <c r="D8937" s="549"/>
      <c r="E8937" s="832"/>
      <c r="F8937" s="898"/>
      <c r="G8937" s="1280"/>
      <c r="H8937" s="1280"/>
      <c r="I8937" s="1899"/>
      <c r="J8937" s="1281"/>
      <c r="K8937" s="1282"/>
      <c r="L8937" s="1281"/>
      <c r="M8937" s="898"/>
      <c r="N8937" s="898"/>
      <c r="O8937" s="898"/>
      <c r="P8937" s="898"/>
    </row>
    <row r="8938" spans="1:18" ht="17.399999999999999">
      <c r="A8938" s="549"/>
      <c r="B8938" s="549"/>
      <c r="C8938" s="549"/>
      <c r="D8938" s="549"/>
      <c r="E8938" s="549"/>
      <c r="F8938" s="549"/>
      <c r="G8938" s="549"/>
      <c r="H8938" s="549"/>
      <c r="I8938" s="558"/>
      <c r="J8938" s="549"/>
      <c r="K8938" s="561"/>
      <c r="L8938" s="560"/>
      <c r="M8938" s="549"/>
      <c r="N8938" s="549"/>
      <c r="O8938" s="549"/>
      <c r="P8938" s="549"/>
    </row>
    <row r="8939" spans="1:18" ht="17.399999999999999">
      <c r="A8939" s="547" t="s">
        <v>395</v>
      </c>
      <c r="B8939" s="547" t="s">
        <v>959</v>
      </c>
      <c r="C8939" s="547" t="s">
        <v>446</v>
      </c>
      <c r="D8939" s="813" t="s">
        <v>450</v>
      </c>
      <c r="E8939" s="547" t="s">
        <v>270</v>
      </c>
      <c r="F8939" s="1295">
        <v>13</v>
      </c>
      <c r="G8939" s="549" t="s">
        <v>61</v>
      </c>
      <c r="H8939" s="599" t="s">
        <v>120</v>
      </c>
      <c r="I8939" s="558">
        <v>18.149999999999999</v>
      </c>
      <c r="J8939" s="567">
        <v>11.3</v>
      </c>
      <c r="K8939" s="648">
        <v>19</v>
      </c>
      <c r="L8939" s="552">
        <f>(I8939*J8939*K8939/1000)</f>
        <v>3.8968049999999996</v>
      </c>
      <c r="M8939" s="549"/>
      <c r="N8939" s="549"/>
      <c r="O8939" s="549"/>
      <c r="P8939" s="549"/>
      <c r="Q8939" s="497" t="s">
        <v>1032</v>
      </c>
    </row>
    <row r="8940" spans="1:18" ht="17.399999999999999">
      <c r="A8940" s="550"/>
      <c r="B8940" s="550"/>
      <c r="C8940" s="550"/>
      <c r="D8940" s="550"/>
      <c r="E8940" s="1295"/>
      <c r="F8940" s="550"/>
      <c r="G8940" s="549"/>
      <c r="H8940" s="549"/>
      <c r="I8940" s="558"/>
      <c r="J8940" s="567"/>
      <c r="K8940" s="648">
        <f t="shared" ref="K8940:L8940" si="1835">SUM(K8939)</f>
        <v>19</v>
      </c>
      <c r="L8940" s="567">
        <f t="shared" si="1835"/>
        <v>3.8968049999999996</v>
      </c>
      <c r="M8940" s="549"/>
      <c r="N8940" s="549"/>
      <c r="O8940" s="549"/>
      <c r="P8940" s="549"/>
    </row>
    <row r="8941" spans="1:18" s="497" customFormat="1" ht="17.399999999999999">
      <c r="A8941" s="550"/>
      <c r="B8941" s="550"/>
      <c r="C8941" s="550"/>
      <c r="D8941" s="550"/>
      <c r="E8941" s="1295"/>
      <c r="F8941" s="550"/>
      <c r="G8941" s="549"/>
      <c r="H8941" s="549"/>
      <c r="I8941" s="558"/>
      <c r="J8941" s="567"/>
      <c r="K8941" s="648"/>
      <c r="L8941" s="567"/>
      <c r="M8941" s="549"/>
      <c r="N8941" s="549"/>
      <c r="O8941" s="549"/>
      <c r="P8941" s="549"/>
    </row>
    <row r="8942" spans="1:18" ht="17.399999999999999">
      <c r="A8942" s="547" t="s">
        <v>395</v>
      </c>
      <c r="B8942" s="547" t="s">
        <v>961</v>
      </c>
      <c r="C8942" s="547" t="s">
        <v>446</v>
      </c>
      <c r="D8942" s="813" t="s">
        <v>450</v>
      </c>
      <c r="E8942" s="547" t="s">
        <v>270</v>
      </c>
      <c r="F8942" s="1295">
        <v>13</v>
      </c>
      <c r="G8942" s="549" t="s">
        <v>61</v>
      </c>
      <c r="H8942" s="599" t="s">
        <v>120</v>
      </c>
      <c r="I8942" s="558">
        <v>18.149999999999999</v>
      </c>
      <c r="J8942" s="710">
        <v>9.75</v>
      </c>
      <c r="K8942" s="648">
        <v>24</v>
      </c>
      <c r="L8942" s="552">
        <f>(I8942*J8942*K8942/1000)</f>
        <v>4.2470999999999997</v>
      </c>
      <c r="M8942" s="549"/>
      <c r="N8942" s="549"/>
      <c r="O8942" s="549"/>
      <c r="P8942" s="549"/>
      <c r="Q8942" s="497" t="s">
        <v>1032</v>
      </c>
    </row>
    <row r="8943" spans="1:18" ht="17.399999999999999">
      <c r="A8943" s="550"/>
      <c r="B8943" s="550"/>
      <c r="C8943" s="550"/>
      <c r="D8943" s="550"/>
      <c r="E8943" s="1295"/>
      <c r="F8943" s="550"/>
      <c r="G8943" s="549"/>
      <c r="H8943" s="549"/>
      <c r="I8943" s="558"/>
      <c r="J8943" s="710"/>
      <c r="K8943" s="648">
        <f t="shared" ref="K8943:L8943" si="1836">SUM(K8942)</f>
        <v>24</v>
      </c>
      <c r="L8943" s="552">
        <f t="shared" si="1836"/>
        <v>4.2470999999999997</v>
      </c>
      <c r="M8943" s="549"/>
      <c r="N8943" s="549"/>
      <c r="O8943" s="549"/>
      <c r="P8943" s="549"/>
    </row>
    <row r="8944" spans="1:18" s="497" customFormat="1" ht="17.399999999999999">
      <c r="A8944" s="550"/>
      <c r="B8944" s="550"/>
      <c r="C8944" s="550"/>
      <c r="D8944" s="550"/>
      <c r="E8944" s="1295"/>
      <c r="F8944" s="550"/>
      <c r="G8944" s="549"/>
      <c r="H8944" s="549"/>
      <c r="I8944" s="558"/>
      <c r="J8944" s="710"/>
      <c r="K8944" s="848">
        <f>SUM(K8939:K8943)/2</f>
        <v>43</v>
      </c>
      <c r="L8944" s="552">
        <f>SUM(L8939:L8943)/2</f>
        <v>8.1439050000000002</v>
      </c>
      <c r="M8944" s="549"/>
      <c r="N8944" s="549"/>
      <c r="O8944" s="549"/>
      <c r="P8944" s="549" t="s">
        <v>988</v>
      </c>
    </row>
    <row r="8945" spans="1:17" s="497" customFormat="1" ht="17.399999999999999">
      <c r="A8945" s="550"/>
      <c r="B8945" s="550"/>
      <c r="C8945" s="550"/>
      <c r="D8945" s="550"/>
      <c r="E8945" s="1295"/>
      <c r="F8945" s="550"/>
      <c r="G8945" s="549"/>
      <c r="H8945" s="549"/>
      <c r="I8945" s="558"/>
      <c r="J8945" s="710"/>
      <c r="K8945" s="848"/>
      <c r="L8945" s="552"/>
      <c r="M8945" s="549"/>
      <c r="N8945" s="549"/>
      <c r="O8945" s="549"/>
      <c r="P8945" s="549"/>
    </row>
    <row r="8946" spans="1:17" ht="17.399999999999999">
      <c r="A8946" s="549"/>
      <c r="B8946" s="549"/>
      <c r="C8946" s="549"/>
      <c r="D8946" s="549"/>
      <c r="E8946" s="549"/>
      <c r="F8946" s="549"/>
      <c r="G8946" s="549"/>
      <c r="H8946" s="549"/>
      <c r="I8946" s="558"/>
      <c r="J8946" s="549"/>
      <c r="K8946" s="561"/>
      <c r="L8946" s="560"/>
      <c r="M8946" s="549"/>
      <c r="N8946" s="549"/>
      <c r="O8946" s="549"/>
      <c r="P8946" s="549"/>
    </row>
    <row r="8947" spans="1:17" ht="17.399999999999999">
      <c r="A8947" s="547" t="s">
        <v>395</v>
      </c>
      <c r="B8947" s="547" t="s">
        <v>959</v>
      </c>
      <c r="C8947" s="547" t="s">
        <v>446</v>
      </c>
      <c r="D8947" s="813" t="s">
        <v>450</v>
      </c>
      <c r="E8947" s="547" t="s">
        <v>270</v>
      </c>
      <c r="F8947" s="1295">
        <v>13</v>
      </c>
      <c r="G8947" s="549" t="s">
        <v>61</v>
      </c>
      <c r="H8947" s="599" t="s">
        <v>122</v>
      </c>
      <c r="I8947" s="558">
        <v>14.66</v>
      </c>
      <c r="J8947" s="567">
        <v>10</v>
      </c>
      <c r="K8947" s="648">
        <v>14</v>
      </c>
      <c r="L8947" s="552">
        <f>(I8947*J8947*K8947/1000)</f>
        <v>2.0524</v>
      </c>
      <c r="M8947" s="549"/>
      <c r="N8947" s="549"/>
      <c r="O8947" s="549"/>
      <c r="P8947" s="549"/>
      <c r="Q8947" s="497" t="s">
        <v>1032</v>
      </c>
    </row>
    <row r="8948" spans="1:17" ht="17.399999999999999">
      <c r="A8948" s="550"/>
      <c r="B8948" s="550"/>
      <c r="C8948" s="550"/>
      <c r="D8948" s="550"/>
      <c r="E8948" s="1295"/>
      <c r="F8948" s="550"/>
      <c r="G8948" s="549" t="s">
        <v>61</v>
      </c>
      <c r="H8948" s="549" t="s">
        <v>122</v>
      </c>
      <c r="I8948" s="558">
        <v>14.66</v>
      </c>
      <c r="J8948" s="567">
        <v>12</v>
      </c>
      <c r="K8948" s="648">
        <v>16</v>
      </c>
      <c r="L8948" s="552">
        <f>(I8948*J8948*K8948/1000)</f>
        <v>2.8147200000000003</v>
      </c>
      <c r="M8948" s="549"/>
      <c r="N8948" s="549"/>
      <c r="O8948" s="549"/>
      <c r="P8948" s="549"/>
    </row>
    <row r="8949" spans="1:17" ht="17.399999999999999">
      <c r="A8949" s="549"/>
      <c r="B8949" s="549"/>
      <c r="C8949" s="549"/>
      <c r="D8949" s="549"/>
      <c r="E8949" s="549"/>
      <c r="F8949" s="549"/>
      <c r="G8949" s="549"/>
      <c r="H8949" s="549"/>
      <c r="I8949" s="558"/>
      <c r="J8949" s="567"/>
      <c r="K8949" s="648">
        <f t="shared" ref="K8949" si="1837">SUM(K8947:K8948)</f>
        <v>30</v>
      </c>
      <c r="L8949" s="567">
        <f>SUM(L8947:L8948)</f>
        <v>4.8671199999999999</v>
      </c>
      <c r="M8949" s="549"/>
      <c r="N8949" s="549"/>
      <c r="O8949" s="549"/>
      <c r="P8949" s="549" t="s">
        <v>989</v>
      </c>
    </row>
    <row r="8950" spans="1:17" ht="17.399999999999999">
      <c r="A8950" s="549"/>
      <c r="B8950" s="549"/>
      <c r="C8950" s="549"/>
      <c r="D8950" s="549"/>
      <c r="E8950" s="549"/>
      <c r="F8950" s="549"/>
      <c r="G8950" s="549"/>
      <c r="H8950" s="549"/>
      <c r="I8950" s="560"/>
      <c r="J8950" s="549"/>
      <c r="K8950" s="561"/>
      <c r="L8950" s="560"/>
      <c r="M8950" s="549"/>
      <c r="N8950" s="549"/>
      <c r="O8950" s="549"/>
      <c r="P8950" s="549"/>
    </row>
    <row r="8951" spans="1:17" s="497" customFormat="1" ht="17.399999999999999">
      <c r="A8951" s="549"/>
      <c r="B8951" s="549"/>
      <c r="C8951" s="549"/>
      <c r="D8951" s="549"/>
      <c r="E8951" s="549"/>
      <c r="F8951" s="549"/>
      <c r="G8951" s="549"/>
      <c r="H8951" s="549"/>
      <c r="I8951" s="560"/>
      <c r="J8951" s="549"/>
      <c r="K8951" s="561"/>
      <c r="L8951" s="560"/>
      <c r="M8951" s="549"/>
      <c r="N8951" s="549"/>
      <c r="O8951" s="549"/>
      <c r="P8951" s="549"/>
    </row>
    <row r="8952" spans="1:17" s="497" customFormat="1" ht="17.399999999999999">
      <c r="A8952" s="547" t="s">
        <v>445</v>
      </c>
      <c r="B8952" s="547" t="s">
        <v>1016</v>
      </c>
      <c r="C8952" s="547" t="s">
        <v>19</v>
      </c>
      <c r="D8952" s="547" t="s">
        <v>60</v>
      </c>
      <c r="E8952" s="832" t="s">
        <v>247</v>
      </c>
      <c r="F8952" s="1316">
        <v>13</v>
      </c>
      <c r="G8952" s="549" t="s">
        <v>61</v>
      </c>
      <c r="H8952" s="1203" t="s">
        <v>122</v>
      </c>
      <c r="I8952" s="558">
        <v>14.7</v>
      </c>
      <c r="J8952" s="567">
        <v>8.4</v>
      </c>
      <c r="K8952" s="648">
        <v>18</v>
      </c>
      <c r="L8952" s="552">
        <f t="shared" ref="L8952:L8960" si="1838">(I8952*J8952*K8952/1000)</f>
        <v>2.2226399999999997</v>
      </c>
      <c r="M8952" s="549"/>
      <c r="N8952" s="549"/>
      <c r="O8952" s="549"/>
      <c r="P8952" s="549"/>
      <c r="Q8952" s="497" t="s">
        <v>1024</v>
      </c>
    </row>
    <row r="8953" spans="1:17" s="497" customFormat="1" ht="17.399999999999999">
      <c r="A8953" s="549"/>
      <c r="B8953" s="549" t="s">
        <v>88</v>
      </c>
      <c r="C8953" s="549"/>
      <c r="D8953" s="549"/>
      <c r="E8953" s="549"/>
      <c r="F8953" s="549"/>
      <c r="G8953" s="549" t="s">
        <v>61</v>
      </c>
      <c r="H8953" s="549" t="s">
        <v>122</v>
      </c>
      <c r="I8953" s="558">
        <v>14.7</v>
      </c>
      <c r="J8953" s="567">
        <v>8.8000000000000007</v>
      </c>
      <c r="K8953" s="648">
        <v>23</v>
      </c>
      <c r="L8953" s="552">
        <f t="shared" si="1838"/>
        <v>2.9752800000000001</v>
      </c>
      <c r="M8953" s="549"/>
      <c r="N8953" s="549"/>
      <c r="O8953" s="549"/>
      <c r="P8953" s="549"/>
    </row>
    <row r="8954" spans="1:17" s="497" customFormat="1" ht="17.399999999999999">
      <c r="A8954" s="549"/>
      <c r="B8954" s="549"/>
      <c r="C8954" s="549"/>
      <c r="D8954" s="549"/>
      <c r="E8954" s="549"/>
      <c r="F8954" s="549"/>
      <c r="G8954" s="549" t="s">
        <v>61</v>
      </c>
      <c r="H8954" s="549" t="s">
        <v>122</v>
      </c>
      <c r="I8954" s="558">
        <v>14.7</v>
      </c>
      <c r="J8954" s="567">
        <v>10</v>
      </c>
      <c r="K8954" s="648">
        <v>72</v>
      </c>
      <c r="L8954" s="552">
        <f t="shared" si="1838"/>
        <v>10.584</v>
      </c>
      <c r="M8954" s="549"/>
      <c r="N8954" s="549"/>
      <c r="O8954" s="549"/>
      <c r="P8954" s="549"/>
    </row>
    <row r="8955" spans="1:17" s="497" customFormat="1" ht="17.399999999999999">
      <c r="A8955" s="549"/>
      <c r="B8955" s="549"/>
      <c r="C8955" s="549"/>
      <c r="D8955" s="549"/>
      <c r="E8955" s="549"/>
      <c r="F8955" s="549"/>
      <c r="G8955" s="549" t="s">
        <v>61</v>
      </c>
      <c r="H8955" s="549" t="s">
        <v>122</v>
      </c>
      <c r="I8955" s="558">
        <v>14.7</v>
      </c>
      <c r="J8955" s="567">
        <v>10.199999999999999</v>
      </c>
      <c r="K8955" s="648">
        <v>64</v>
      </c>
      <c r="L8955" s="552">
        <f t="shared" si="1838"/>
        <v>9.5961599999999976</v>
      </c>
      <c r="M8955" s="549"/>
      <c r="N8955" s="549"/>
      <c r="O8955" s="549"/>
      <c r="P8955" s="549"/>
    </row>
    <row r="8956" spans="1:17" s="497" customFormat="1" ht="17.399999999999999">
      <c r="A8956" s="549"/>
      <c r="B8956" s="549"/>
      <c r="C8956" s="549"/>
      <c r="D8956" s="549"/>
      <c r="E8956" s="549"/>
      <c r="F8956" s="549"/>
      <c r="G8956" s="549" t="s">
        <v>61</v>
      </c>
      <c r="H8956" s="549" t="s">
        <v>122</v>
      </c>
      <c r="I8956" s="558">
        <v>14.7</v>
      </c>
      <c r="J8956" s="567">
        <v>10.6</v>
      </c>
      <c r="K8956" s="648">
        <v>24</v>
      </c>
      <c r="L8956" s="552">
        <f t="shared" si="1838"/>
        <v>3.7396799999999999</v>
      </c>
      <c r="M8956" s="549"/>
      <c r="N8956" s="549"/>
      <c r="O8956" s="549"/>
      <c r="P8956" s="549"/>
    </row>
    <row r="8957" spans="1:17" s="497" customFormat="1" ht="17.399999999999999">
      <c r="A8957" s="549"/>
      <c r="B8957" s="549"/>
      <c r="C8957" s="549"/>
      <c r="D8957" s="549"/>
      <c r="E8957" s="549"/>
      <c r="F8957" s="549"/>
      <c r="G8957" s="549" t="s">
        <v>61</v>
      </c>
      <c r="H8957" s="549" t="s">
        <v>122</v>
      </c>
      <c r="I8957" s="558">
        <v>14.7</v>
      </c>
      <c r="J8957" s="567">
        <v>11</v>
      </c>
      <c r="K8957" s="648">
        <v>199</v>
      </c>
      <c r="L8957" s="552">
        <f t="shared" si="1838"/>
        <v>32.1783</v>
      </c>
      <c r="M8957" s="549"/>
      <c r="N8957" s="549"/>
      <c r="O8957" s="549"/>
      <c r="P8957" s="549"/>
    </row>
    <row r="8958" spans="1:17" s="497" customFormat="1" ht="17.399999999999999">
      <c r="A8958" s="549"/>
      <c r="B8958" s="549"/>
      <c r="C8958" s="549"/>
      <c r="D8958" s="549"/>
      <c r="E8958" s="549"/>
      <c r="F8958" s="549"/>
      <c r="G8958" s="549" t="s">
        <v>61</v>
      </c>
      <c r="H8958" s="549" t="s">
        <v>122</v>
      </c>
      <c r="I8958" s="558">
        <v>14.7</v>
      </c>
      <c r="J8958" s="567">
        <v>11.5</v>
      </c>
      <c r="K8958" s="648">
        <v>218</v>
      </c>
      <c r="L8958" s="552">
        <f t="shared" si="1838"/>
        <v>36.852899999999991</v>
      </c>
      <c r="M8958" s="549"/>
      <c r="N8958" s="549"/>
      <c r="O8958" s="549"/>
      <c r="P8958" s="549"/>
    </row>
    <row r="8959" spans="1:17" s="497" customFormat="1" ht="17.399999999999999">
      <c r="A8959" s="549"/>
      <c r="B8959" s="549"/>
      <c r="C8959" s="549"/>
      <c r="D8959" s="549"/>
      <c r="E8959" s="549"/>
      <c r="F8959" s="549"/>
      <c r="G8959" s="549" t="s">
        <v>61</v>
      </c>
      <c r="H8959" s="549" t="s">
        <v>122</v>
      </c>
      <c r="I8959" s="558">
        <v>14.7</v>
      </c>
      <c r="J8959" s="567">
        <v>11.7</v>
      </c>
      <c r="K8959" s="648">
        <v>216</v>
      </c>
      <c r="L8959" s="552">
        <f t="shared" si="1838"/>
        <v>37.149839999999998</v>
      </c>
      <c r="M8959" s="549"/>
      <c r="N8959" s="549"/>
      <c r="O8959" s="549"/>
      <c r="P8959" s="549"/>
    </row>
    <row r="8960" spans="1:17" s="497" customFormat="1" ht="17.399999999999999">
      <c r="A8960" s="549"/>
      <c r="B8960" s="549"/>
      <c r="C8960" s="549"/>
      <c r="D8960" s="549"/>
      <c r="E8960" s="549"/>
      <c r="F8960" s="549"/>
      <c r="G8960" s="549" t="s">
        <v>61</v>
      </c>
      <c r="H8960" s="549" t="s">
        <v>122</v>
      </c>
      <c r="I8960" s="558">
        <v>14.7</v>
      </c>
      <c r="J8960" s="567">
        <v>12</v>
      </c>
      <c r="K8960" s="648">
        <v>132</v>
      </c>
      <c r="L8960" s="552">
        <f t="shared" si="1838"/>
        <v>23.284799999999997</v>
      </c>
      <c r="M8960" s="549"/>
      <c r="N8960" s="549"/>
      <c r="O8960" s="549"/>
      <c r="P8960" s="549"/>
    </row>
    <row r="8961" spans="1:16" s="497" customFormat="1" ht="17.399999999999999">
      <c r="A8961" s="549"/>
      <c r="B8961" s="549"/>
      <c r="C8961" s="549"/>
      <c r="D8961" s="549"/>
      <c r="E8961" s="549"/>
      <c r="F8961" s="549"/>
      <c r="G8961" s="549"/>
      <c r="H8961" s="549"/>
      <c r="I8961" s="558"/>
      <c r="J8961" s="567"/>
      <c r="K8961" s="648">
        <f>SUM(K8952:K8960)</f>
        <v>966</v>
      </c>
      <c r="L8961" s="567">
        <f>SUM(L8952:L8960)</f>
        <v>158.58359999999996</v>
      </c>
      <c r="M8961" s="549" t="s">
        <v>1017</v>
      </c>
      <c r="N8961" s="549"/>
      <c r="O8961" s="549"/>
      <c r="P8961" s="549"/>
    </row>
    <row r="8962" spans="1:16" s="497" customFormat="1" ht="17.399999999999999">
      <c r="A8962" s="549"/>
      <c r="B8962" s="549"/>
      <c r="C8962" s="549"/>
      <c r="D8962" s="549"/>
      <c r="E8962" s="549"/>
      <c r="F8962" s="549"/>
      <c r="G8962" s="549"/>
      <c r="H8962" s="549"/>
      <c r="I8962" s="560"/>
      <c r="J8962" s="549"/>
      <c r="K8962" s="561"/>
      <c r="L8962" s="560"/>
      <c r="M8962" s="549"/>
      <c r="N8962" s="549"/>
      <c r="O8962" s="549"/>
      <c r="P8962" s="549"/>
    </row>
    <row r="8963" spans="1:16" s="497" customFormat="1" ht="17.399999999999999">
      <c r="A8963" s="549"/>
      <c r="B8963" s="549"/>
      <c r="C8963" s="549"/>
      <c r="D8963" s="549"/>
      <c r="E8963" s="549"/>
      <c r="F8963" s="549"/>
      <c r="G8963" s="549"/>
      <c r="H8963" s="549"/>
      <c r="I8963" s="560"/>
      <c r="J8963" s="549"/>
      <c r="K8963" s="561"/>
      <c r="L8963" s="560"/>
      <c r="M8963" s="549"/>
      <c r="N8963" s="549"/>
      <c r="O8963" s="549"/>
      <c r="P8963" s="549"/>
    </row>
    <row r="8964" spans="1:16" s="497" customFormat="1" ht="17.399999999999999">
      <c r="A8964" s="549"/>
      <c r="B8964" s="549"/>
      <c r="C8964" s="549"/>
      <c r="D8964" s="549"/>
      <c r="E8964" s="549"/>
      <c r="F8964" s="549"/>
      <c r="G8964" s="549"/>
      <c r="H8964" s="549"/>
      <c r="I8964" s="560"/>
      <c r="J8964" s="549"/>
      <c r="K8964" s="561"/>
      <c r="L8964" s="560"/>
      <c r="M8964" s="549"/>
      <c r="N8964" s="549"/>
      <c r="O8964" s="549"/>
      <c r="P8964" s="549"/>
    </row>
    <row r="8965" spans="1:16" s="497" customFormat="1" ht="17.399999999999999">
      <c r="A8965" s="549"/>
      <c r="B8965" s="549"/>
      <c r="C8965" s="549"/>
      <c r="D8965" s="549"/>
      <c r="E8965" s="549"/>
      <c r="F8965" s="549"/>
      <c r="G8965" s="549"/>
      <c r="H8965" s="549"/>
      <c r="I8965" s="560"/>
      <c r="J8965" s="549"/>
      <c r="K8965" s="561"/>
      <c r="L8965" s="560"/>
      <c r="M8965" s="549"/>
      <c r="N8965" s="549"/>
      <c r="O8965" s="549"/>
      <c r="P8965" s="549"/>
    </row>
    <row r="8966" spans="1:16" ht="17.399999999999999">
      <c r="A8966" s="549"/>
      <c r="B8966" s="549"/>
      <c r="C8966" s="549"/>
      <c r="D8966" s="549"/>
      <c r="E8966" s="549"/>
      <c r="F8966" s="549"/>
      <c r="G8966" s="549"/>
      <c r="H8966" s="549"/>
      <c r="I8966" s="560"/>
      <c r="J8966" s="549"/>
      <c r="K8966" s="561"/>
      <c r="L8966" s="560"/>
      <c r="M8966" s="549"/>
      <c r="N8966" s="549"/>
      <c r="O8966" s="549"/>
      <c r="P8966" s="549"/>
    </row>
    <row r="8967" spans="1:16" ht="17.399999999999999">
      <c r="A8967" s="549"/>
      <c r="B8967" s="549"/>
      <c r="C8967" s="549"/>
      <c r="D8967" s="549"/>
      <c r="E8967" s="549"/>
      <c r="F8967" s="549"/>
      <c r="G8967" s="549"/>
      <c r="H8967" s="549"/>
      <c r="I8967" s="560"/>
      <c r="J8967" s="549"/>
      <c r="K8967" s="561"/>
      <c r="L8967" s="560"/>
      <c r="M8967" s="549"/>
      <c r="N8967" s="549"/>
      <c r="O8967" s="549"/>
      <c r="P8967" s="549"/>
    </row>
    <row r="8968" spans="1:16" ht="17.399999999999999">
      <c r="A8968" s="549"/>
      <c r="B8968" s="549"/>
      <c r="C8968" s="549"/>
      <c r="D8968" s="549"/>
      <c r="E8968" s="549"/>
      <c r="F8968" s="549"/>
      <c r="G8968" s="549"/>
      <c r="H8968" s="549"/>
      <c r="I8968" s="560"/>
      <c r="J8968" s="549"/>
      <c r="K8968" s="561"/>
      <c r="L8968" s="568">
        <f>+L8949+L8944+L8936+L8932+L8919+L8898+L8883</f>
        <v>398.07925499999999</v>
      </c>
      <c r="M8968" s="549"/>
      <c r="N8968" s="568">
        <f>+N8949+N8944+N8936+N8932+N8919+N8898+N8883</f>
        <v>2.19285</v>
      </c>
      <c r="O8968" s="549"/>
      <c r="P8968" s="549"/>
    </row>
    <row r="8969" spans="1:16" ht="17.399999999999999">
      <c r="A8969" s="653" t="s">
        <v>48</v>
      </c>
      <c r="B8969" s="653"/>
      <c r="C8969" s="654"/>
      <c r="D8969" s="654"/>
      <c r="E8969" s="654"/>
      <c r="F8969" s="1292"/>
      <c r="G8969" s="654"/>
      <c r="H8969" s="1292"/>
      <c r="I8969" s="656"/>
      <c r="J8969" s="654"/>
      <c r="K8969" s="657"/>
      <c r="L8969" s="2003" t="s">
        <v>0</v>
      </c>
      <c r="M8969" s="2003"/>
      <c r="N8969" s="2003"/>
      <c r="O8969" s="2004"/>
      <c r="P8969" s="2010"/>
    </row>
    <row r="8970" spans="1:16" ht="17.399999999999999">
      <c r="A8970" s="658" t="s">
        <v>1</v>
      </c>
      <c r="B8970" s="658"/>
      <c r="C8970" s="658"/>
      <c r="D8970" s="659" t="s">
        <v>2</v>
      </c>
      <c r="E8970" s="659"/>
      <c r="F8970" s="660"/>
      <c r="G8970" s="660"/>
      <c r="H8970" s="660"/>
      <c r="I8970" s="661"/>
      <c r="J8970" s="660"/>
      <c r="K8970" s="662" t="s">
        <v>3</v>
      </c>
      <c r="L8970" s="660"/>
      <c r="M8970" s="658"/>
      <c r="N8970" s="660"/>
      <c r="O8970" s="663"/>
      <c r="P8970" s="2010"/>
    </row>
    <row r="8971" spans="1:16" ht="17.399999999999999">
      <c r="A8971" s="1292" t="s">
        <v>22</v>
      </c>
      <c r="B8971" s="1990" t="s">
        <v>23</v>
      </c>
      <c r="C8971" s="2005"/>
      <c r="D8971" s="1989"/>
      <c r="E8971" s="1292" t="s">
        <v>24</v>
      </c>
      <c r="F8971" s="1990" t="s">
        <v>25</v>
      </c>
      <c r="G8971" s="1989"/>
      <c r="H8971" s="1990" t="s">
        <v>26</v>
      </c>
      <c r="I8971" s="2005"/>
      <c r="J8971" s="2005"/>
      <c r="K8971" s="1989"/>
      <c r="L8971" s="2006" t="s">
        <v>27</v>
      </c>
      <c r="M8971" s="2006"/>
      <c r="N8971" s="2006"/>
      <c r="O8971" s="1990"/>
      <c r="P8971" s="2010"/>
    </row>
    <row r="8972" spans="1:16" ht="17.399999999999999">
      <c r="A8972" s="664"/>
      <c r="B8972" s="1975"/>
      <c r="C8972" s="1976"/>
      <c r="D8972" s="1977"/>
      <c r="E8972" s="665"/>
      <c r="F8972" s="1975"/>
      <c r="G8972" s="1977"/>
      <c r="H8972" s="1975"/>
      <c r="I8972" s="1976"/>
      <c r="J8972" s="1976"/>
      <c r="K8972" s="1977"/>
      <c r="L8972" s="1975"/>
      <c r="M8972" s="1976"/>
      <c r="N8972" s="1976"/>
      <c r="O8972" s="1976"/>
      <c r="P8972" s="2010"/>
    </row>
    <row r="8973" spans="1:16" ht="17.399999999999999">
      <c r="A8973" s="664"/>
      <c r="B8973" s="1287"/>
      <c r="C8973" s="1287"/>
      <c r="D8973" s="1287"/>
      <c r="E8973" s="665"/>
      <c r="F8973" s="1290"/>
      <c r="G8973" s="1291"/>
      <c r="H8973" s="1290"/>
      <c r="I8973" s="1842"/>
      <c r="J8973" s="1287"/>
      <c r="K8973" s="1291"/>
      <c r="L8973" s="1287"/>
      <c r="M8973" s="1287"/>
      <c r="N8973" s="1287"/>
      <c r="O8973" s="1287"/>
      <c r="P8973" s="2010"/>
    </row>
    <row r="8974" spans="1:16" ht="17.399999999999999">
      <c r="A8974" s="664" t="s">
        <v>28</v>
      </c>
      <c r="B8974" s="1976" t="s">
        <v>535</v>
      </c>
      <c r="C8974" s="1976"/>
      <c r="D8974" s="1976"/>
      <c r="E8974" s="665">
        <f>+L8932-91+5</f>
        <v>62.315650000000034</v>
      </c>
      <c r="F8974" s="1973">
        <v>13</v>
      </c>
      <c r="G8974" s="1974"/>
      <c r="H8974" s="1975" t="s">
        <v>582</v>
      </c>
      <c r="I8974" s="1976"/>
      <c r="J8974" s="1976"/>
      <c r="K8974" s="1977"/>
      <c r="L8974" s="1976" t="s">
        <v>742</v>
      </c>
      <c r="M8974" s="1976"/>
      <c r="N8974" s="1976"/>
      <c r="O8974" s="1976"/>
      <c r="P8974" s="2010"/>
    </row>
    <row r="8975" spans="1:16" ht="17.399999999999999">
      <c r="A8975" s="664" t="s">
        <v>29</v>
      </c>
      <c r="B8975" s="1976" t="s">
        <v>537</v>
      </c>
      <c r="C8975" s="1976"/>
      <c r="D8975" s="1976"/>
      <c r="E8975" s="665">
        <f>+L8936</f>
        <v>2.5311000000000003</v>
      </c>
      <c r="F8975" s="1973">
        <v>13</v>
      </c>
      <c r="G8975" s="1974"/>
      <c r="H8975" s="1975" t="s">
        <v>582</v>
      </c>
      <c r="I8975" s="1976"/>
      <c r="J8975" s="1976"/>
      <c r="K8975" s="1977"/>
      <c r="L8975" s="1976" t="s">
        <v>742</v>
      </c>
      <c r="M8975" s="1976"/>
      <c r="N8975" s="1976"/>
      <c r="O8975" s="1976"/>
      <c r="P8975" s="2010"/>
    </row>
    <row r="8976" spans="1:16" ht="17.399999999999999">
      <c r="A8976" s="664"/>
      <c r="B8976" s="1287"/>
      <c r="C8976" s="1287"/>
      <c r="D8976" s="1287"/>
      <c r="E8976" s="665"/>
      <c r="F8976" s="1288"/>
      <c r="G8976" s="1289"/>
      <c r="H8976" s="1290"/>
      <c r="I8976" s="1842"/>
      <c r="J8976" s="1287"/>
      <c r="K8976" s="1291"/>
      <c r="L8976" s="1287"/>
      <c r="M8976" s="1287"/>
      <c r="N8976" s="1287"/>
      <c r="O8976" s="1287"/>
      <c r="P8976" s="2010"/>
    </row>
    <row r="8977" spans="1:16" ht="17.399999999999999">
      <c r="A8977" s="664"/>
      <c r="B8977" s="1287"/>
      <c r="C8977" s="1287"/>
      <c r="D8977" s="1287"/>
      <c r="E8977" s="665"/>
      <c r="F8977" s="1288"/>
      <c r="G8977" s="1289"/>
      <c r="H8977" s="1290"/>
      <c r="I8977" s="1842"/>
      <c r="J8977" s="1287"/>
      <c r="K8977" s="1291"/>
      <c r="L8977" s="1287"/>
      <c r="M8977" s="1287"/>
      <c r="N8977" s="1287"/>
      <c r="O8977" s="1287"/>
      <c r="P8977" s="2010"/>
    </row>
    <row r="8978" spans="1:16" ht="17.399999999999999">
      <c r="A8978" s="664" t="s">
        <v>30</v>
      </c>
      <c r="B8978" s="1976" t="s">
        <v>536</v>
      </c>
      <c r="C8978" s="1976"/>
      <c r="D8978" s="1976"/>
      <c r="E8978" s="665">
        <v>10</v>
      </c>
      <c r="F8978" s="1973">
        <v>13</v>
      </c>
      <c r="G8978" s="1974"/>
      <c r="H8978" s="1975" t="s">
        <v>450</v>
      </c>
      <c r="I8978" s="1976"/>
      <c r="J8978" s="1976"/>
      <c r="K8978" s="1977"/>
      <c r="L8978" s="1976" t="s">
        <v>437</v>
      </c>
      <c r="M8978" s="1976"/>
      <c r="N8978" s="1976"/>
      <c r="O8978" s="1976"/>
      <c r="P8978" s="2010"/>
    </row>
    <row r="8979" spans="1:16" ht="17.399999999999999">
      <c r="A8979" s="664" t="s">
        <v>46</v>
      </c>
      <c r="B8979" s="1976" t="s">
        <v>535</v>
      </c>
      <c r="C8979" s="1976"/>
      <c r="D8979" s="1976"/>
      <c r="E8979" s="665">
        <v>5</v>
      </c>
      <c r="F8979" s="1973">
        <v>13</v>
      </c>
      <c r="G8979" s="1974"/>
      <c r="H8979" s="1975" t="s">
        <v>450</v>
      </c>
      <c r="I8979" s="1976"/>
      <c r="J8979" s="1976"/>
      <c r="K8979" s="1977"/>
      <c r="L8979" s="1976" t="s">
        <v>437</v>
      </c>
      <c r="M8979" s="1976"/>
      <c r="N8979" s="1976"/>
      <c r="O8979" s="1976"/>
      <c r="P8979" s="2010"/>
    </row>
    <row r="8980" spans="1:16" ht="17.399999999999999">
      <c r="A8980" s="664"/>
      <c r="B8980" s="1975"/>
      <c r="C8980" s="1976"/>
      <c r="D8980" s="1977"/>
      <c r="E8980" s="665"/>
      <c r="F8980" s="1973"/>
      <c r="G8980" s="1974"/>
      <c r="H8980" s="1975"/>
      <c r="I8980" s="1976"/>
      <c r="J8980" s="1976"/>
      <c r="K8980" s="1977"/>
      <c r="L8980" s="1976"/>
      <c r="M8980" s="1976"/>
      <c r="N8980" s="1976"/>
      <c r="O8980" s="1976"/>
      <c r="P8980" s="2010"/>
    </row>
    <row r="8981" spans="1:16" s="497" customFormat="1" ht="17.399999999999999">
      <c r="A8981" s="664" t="s">
        <v>58</v>
      </c>
      <c r="B8981" s="1976" t="s">
        <v>535</v>
      </c>
      <c r="C8981" s="1976"/>
      <c r="D8981" s="1976"/>
      <c r="E8981" s="665">
        <v>30</v>
      </c>
      <c r="F8981" s="1973">
        <v>13</v>
      </c>
      <c r="G8981" s="1974"/>
      <c r="H8981" s="1975" t="s">
        <v>582</v>
      </c>
      <c r="I8981" s="1976"/>
      <c r="J8981" s="1976"/>
      <c r="K8981" s="1977"/>
      <c r="L8981" s="1976" t="s">
        <v>742</v>
      </c>
      <c r="M8981" s="1976"/>
      <c r="N8981" s="1976"/>
      <c r="O8981" s="1976"/>
      <c r="P8981" s="2010"/>
    </row>
    <row r="8982" spans="1:16" s="497" customFormat="1" ht="17.399999999999999">
      <c r="A8982" s="664"/>
      <c r="B8982" s="1312"/>
      <c r="C8982" s="1312"/>
      <c r="D8982" s="1312"/>
      <c r="E8982" s="665"/>
      <c r="F8982" s="1315"/>
      <c r="G8982" s="1314"/>
      <c r="H8982" s="1311"/>
      <c r="I8982" s="1842"/>
      <c r="J8982" s="1312"/>
      <c r="K8982" s="1313"/>
      <c r="L8982" s="1312"/>
      <c r="M8982" s="1312"/>
      <c r="N8982" s="1312"/>
      <c r="O8982" s="1312"/>
      <c r="P8982" s="2010"/>
    </row>
    <row r="8983" spans="1:16" ht="18" thickBot="1">
      <c r="A8983" s="664"/>
      <c r="B8983" s="1290"/>
      <c r="C8983" s="1287"/>
      <c r="D8983" s="1287"/>
      <c r="E8983" s="665"/>
      <c r="F8983" s="1287"/>
      <c r="G8983" s="1291"/>
      <c r="H8983" s="1290"/>
      <c r="I8983" s="1842"/>
      <c r="J8983" s="1287"/>
      <c r="K8983" s="669"/>
      <c r="L8983" s="672"/>
      <c r="M8983" s="673"/>
      <c r="N8983" s="673"/>
      <c r="O8983" s="673"/>
      <c r="P8983" s="2010"/>
    </row>
    <row r="8984" spans="1:16" ht="17.399999999999999">
      <c r="A8984" s="674"/>
      <c r="B8984" s="675"/>
      <c r="C8984" s="676"/>
      <c r="D8984" s="676"/>
      <c r="E8984" s="1980">
        <f>SUM(E8972:E8983)</f>
        <v>109.84675000000003</v>
      </c>
      <c r="F8984" s="677"/>
      <c r="G8984" s="678"/>
      <c r="H8984" s="679"/>
      <c r="I8984" s="1848"/>
      <c r="J8984" s="676"/>
      <c r="K8984" s="680"/>
      <c r="L8984" s="679"/>
      <c r="M8984" s="676"/>
      <c r="N8984" s="677"/>
      <c r="O8984" s="676"/>
      <c r="P8984" s="2010"/>
    </row>
    <row r="8985" spans="1:16" ht="18" thickBot="1">
      <c r="A8985" s="681"/>
      <c r="B8985" s="682"/>
      <c r="C8985" s="683"/>
      <c r="D8985" s="683"/>
      <c r="E8985" s="1981"/>
      <c r="F8985" s="684"/>
      <c r="G8985" s="685"/>
      <c r="H8985" s="686"/>
      <c r="I8985" s="1850"/>
      <c r="J8985" s="683"/>
      <c r="K8985" s="687"/>
      <c r="L8985" s="686"/>
      <c r="M8985" s="683"/>
      <c r="N8985" s="684"/>
      <c r="O8985" s="683"/>
      <c r="P8985" s="2010"/>
    </row>
    <row r="8986" spans="1:16" ht="17.399999999999999">
      <c r="A8986" s="688" t="s">
        <v>31</v>
      </c>
      <c r="B8986" s="676"/>
      <c r="C8986" s="676"/>
      <c r="D8986" s="676"/>
      <c r="E8986" s="676"/>
      <c r="F8986" s="677"/>
      <c r="G8986" s="676"/>
      <c r="H8986" s="677"/>
      <c r="I8986" s="1848"/>
      <c r="J8986" s="676"/>
      <c r="K8986" s="689"/>
      <c r="L8986" s="677"/>
      <c r="M8986" s="676"/>
      <c r="N8986" s="677"/>
      <c r="O8986" s="676"/>
      <c r="P8986" s="2010"/>
    </row>
    <row r="8987" spans="1:16" ht="17.399999999999999">
      <c r="A8987" s="690"/>
      <c r="B8987" s="691"/>
      <c r="C8987" s="691"/>
      <c r="D8987" s="691"/>
      <c r="E8987" s="691"/>
      <c r="F8987" s="1284"/>
      <c r="G8987" s="691"/>
      <c r="H8987" s="1284"/>
      <c r="I8987" s="1849"/>
      <c r="J8987" s="691"/>
      <c r="K8987" s="693"/>
      <c r="L8987" s="1284"/>
      <c r="M8987" s="691"/>
      <c r="N8987" s="1284"/>
      <c r="O8987" s="691"/>
      <c r="P8987" s="2010"/>
    </row>
    <row r="8988" spans="1:16" ht="18" thickBot="1">
      <c r="A8988" s="1982" t="s">
        <v>32</v>
      </c>
      <c r="B8988" s="1983"/>
      <c r="C8988" s="1984" t="s">
        <v>33</v>
      </c>
      <c r="D8988" s="1985"/>
      <c r="E8988" s="694" t="s">
        <v>34</v>
      </c>
      <c r="F8988" s="694" t="s">
        <v>35</v>
      </c>
      <c r="G8988" s="1986" t="s">
        <v>36</v>
      </c>
      <c r="H8988" s="1987"/>
      <c r="I8988" s="1987"/>
      <c r="J8988" s="1987"/>
      <c r="K8988" s="1987"/>
      <c r="L8988" s="1987"/>
      <c r="M8988" s="1987"/>
      <c r="N8988" s="1987"/>
      <c r="O8988" s="1987"/>
      <c r="P8988" s="2010"/>
    </row>
    <row r="8989" spans="1:16" ht="17.399999999999999">
      <c r="A8989" s="1988"/>
      <c r="B8989" s="1989"/>
      <c r="C8989" s="1990"/>
      <c r="D8989" s="1989"/>
      <c r="E8989" s="1292"/>
      <c r="F8989" s="1285"/>
      <c r="G8989" s="1991"/>
      <c r="H8989" s="1992"/>
      <c r="I8989" s="1992"/>
      <c r="J8989" s="1992"/>
      <c r="K8989" s="1992"/>
      <c r="L8989" s="1992"/>
      <c r="M8989" s="1992"/>
      <c r="N8989" s="1992"/>
      <c r="O8989" s="1992"/>
      <c r="P8989" s="2010"/>
    </row>
    <row r="8990" spans="1:16" ht="17.399999999999999">
      <c r="A8990" s="1997" t="s">
        <v>37</v>
      </c>
      <c r="B8990" s="1998"/>
      <c r="C8990" s="1990"/>
      <c r="D8990" s="1989"/>
      <c r="E8990" s="1292"/>
      <c r="F8990" s="1285"/>
      <c r="G8990" s="1993"/>
      <c r="H8990" s="1994"/>
      <c r="I8990" s="1994"/>
      <c r="J8990" s="1994"/>
      <c r="K8990" s="1994"/>
      <c r="L8990" s="1994"/>
      <c r="M8990" s="1994"/>
      <c r="N8990" s="1994"/>
      <c r="O8990" s="1994"/>
      <c r="P8990" s="2010"/>
    </row>
    <row r="8991" spans="1:16" ht="17.399999999999999">
      <c r="A8991" s="1997" t="s">
        <v>38</v>
      </c>
      <c r="B8991" s="1998"/>
      <c r="C8991" s="1990"/>
      <c r="D8991" s="1989"/>
      <c r="E8991" s="1292"/>
      <c r="F8991" s="1285"/>
      <c r="G8991" s="1993"/>
      <c r="H8991" s="1994"/>
      <c r="I8991" s="1994"/>
      <c r="J8991" s="1994"/>
      <c r="K8991" s="1994"/>
      <c r="L8991" s="1994"/>
      <c r="M8991" s="1994"/>
      <c r="N8991" s="1994"/>
      <c r="O8991" s="1994"/>
      <c r="P8991" s="2010"/>
    </row>
    <row r="8992" spans="1:16" ht="17.399999999999999">
      <c r="A8992" s="1997" t="s">
        <v>39</v>
      </c>
      <c r="B8992" s="1998"/>
      <c r="C8992" s="1990"/>
      <c r="D8992" s="1989"/>
      <c r="E8992" s="1292"/>
      <c r="F8992" s="1285"/>
      <c r="G8992" s="1993"/>
      <c r="H8992" s="1994"/>
      <c r="I8992" s="1994"/>
      <c r="J8992" s="1994"/>
      <c r="K8992" s="1994"/>
      <c r="L8992" s="1994"/>
      <c r="M8992" s="1994"/>
      <c r="N8992" s="1994"/>
      <c r="O8992" s="1994"/>
      <c r="P8992" s="2010"/>
    </row>
    <row r="8993" spans="1:35" ht="17.399999999999999">
      <c r="A8993" s="1997" t="s">
        <v>40</v>
      </c>
      <c r="B8993" s="1998"/>
      <c r="C8993" s="1990"/>
      <c r="D8993" s="1989"/>
      <c r="E8993" s="1292"/>
      <c r="F8993" s="1285"/>
      <c r="G8993" s="1993"/>
      <c r="H8993" s="1994"/>
      <c r="I8993" s="1994"/>
      <c r="J8993" s="1994"/>
      <c r="K8993" s="1994"/>
      <c r="L8993" s="1994"/>
      <c r="M8993" s="1994"/>
      <c r="N8993" s="1994"/>
      <c r="O8993" s="1994"/>
      <c r="P8993" s="2010"/>
    </row>
    <row r="8994" spans="1:35" ht="18" thickBot="1">
      <c r="A8994" s="1999" t="s">
        <v>41</v>
      </c>
      <c r="B8994" s="2000"/>
      <c r="C8994" s="2001"/>
      <c r="D8994" s="2002"/>
      <c r="E8994" s="696"/>
      <c r="F8994" s="1286"/>
      <c r="G8994" s="1995"/>
      <c r="H8994" s="1996"/>
      <c r="I8994" s="1996"/>
      <c r="J8994" s="1996"/>
      <c r="K8994" s="1996"/>
      <c r="L8994" s="1996"/>
      <c r="M8994" s="1996"/>
      <c r="N8994" s="1996"/>
      <c r="O8994" s="1996"/>
      <c r="P8994" s="2010"/>
    </row>
    <row r="8995" spans="1:35" ht="18">
      <c r="A8995" s="690"/>
      <c r="B8995" s="691"/>
      <c r="C8995" s="691"/>
      <c r="D8995" s="691"/>
      <c r="E8995" s="691"/>
      <c r="F8995" s="1284"/>
      <c r="G8995" s="691"/>
      <c r="H8995" s="698"/>
      <c r="I8995" s="699"/>
      <c r="J8995" s="700"/>
      <c r="K8995" s="701"/>
      <c r="L8995" s="702"/>
      <c r="M8995" s="691"/>
      <c r="N8995" s="1284"/>
      <c r="O8995" s="691"/>
      <c r="P8995" s="2010"/>
    </row>
    <row r="8996" spans="1:35" ht="18">
      <c r="A8996" s="703" t="s">
        <v>42</v>
      </c>
      <c r="B8996" s="704"/>
      <c r="C8996" s="691"/>
      <c r="D8996" s="691"/>
      <c r="E8996" s="691"/>
      <c r="F8996" s="1284"/>
      <c r="G8996" s="704"/>
      <c r="H8996" s="698"/>
      <c r="I8996" s="699"/>
      <c r="J8996" s="700"/>
      <c r="K8996" s="693"/>
      <c r="L8996" s="705"/>
      <c r="M8996" s="691"/>
      <c r="N8996" s="1979" t="s">
        <v>43</v>
      </c>
      <c r="O8996" s="1979"/>
      <c r="P8996" s="2010"/>
    </row>
    <row r="8997" spans="1:35" ht="17.399999999999999">
      <c r="A8997" s="703"/>
      <c r="B8997" s="704"/>
      <c r="C8997" s="691"/>
      <c r="D8997" s="691"/>
      <c r="E8997" s="691"/>
      <c r="F8997" s="1284"/>
      <c r="G8997" s="691"/>
      <c r="H8997" s="1284"/>
      <c r="I8997" s="1849"/>
      <c r="J8997" s="691"/>
      <c r="K8997" s="693"/>
      <c r="L8997" s="1284"/>
      <c r="M8997" s="691"/>
      <c r="N8997" s="1284"/>
      <c r="O8997" s="704"/>
      <c r="P8997" s="2010"/>
    </row>
    <row r="8998" spans="1:35" ht="17.399999999999999">
      <c r="A8998" s="703" t="s">
        <v>44</v>
      </c>
      <c r="B8998" s="704"/>
      <c r="C8998" s="691"/>
      <c r="D8998" s="691"/>
      <c r="E8998" s="691"/>
      <c r="F8998" s="1284"/>
      <c r="G8998" s="691"/>
      <c r="H8998" s="1284"/>
      <c r="I8998" s="1849"/>
      <c r="J8998" s="691"/>
      <c r="K8998" s="693"/>
      <c r="L8998" s="1284"/>
      <c r="M8998" s="691"/>
      <c r="N8998" s="1979" t="s">
        <v>45</v>
      </c>
      <c r="O8998" s="1979"/>
      <c r="P8998" s="2010"/>
    </row>
    <row r="8999" spans="1:35" ht="18" thickBot="1">
      <c r="A8999" s="682"/>
      <c r="B8999" s="683"/>
      <c r="C8999" s="683"/>
      <c r="D8999" s="683"/>
      <c r="E8999" s="683"/>
      <c r="F8999" s="684"/>
      <c r="G8999" s="683"/>
      <c r="H8999" s="684"/>
      <c r="I8999" s="1850"/>
      <c r="J8999" s="683"/>
      <c r="K8999" s="706"/>
      <c r="L8999" s="684"/>
      <c r="M8999" s="683"/>
      <c r="N8999" s="684"/>
      <c r="O8999" s="683"/>
      <c r="P8999" s="2010"/>
    </row>
    <row r="9004" spans="1:35" ht="17.399999999999999">
      <c r="A9004" s="711" t="s">
        <v>48</v>
      </c>
      <c r="B9004" s="711"/>
      <c r="C9004" s="712"/>
      <c r="D9004" s="712"/>
      <c r="E9004" s="712"/>
      <c r="F9004" s="713"/>
      <c r="G9004" s="712"/>
      <c r="H9004" s="712"/>
      <c r="I9004" s="714"/>
      <c r="J9004" s="715"/>
      <c r="K9004" s="716"/>
      <c r="L9004" s="1978" t="s">
        <v>0</v>
      </c>
      <c r="M9004" s="1978"/>
      <c r="N9004" s="1978"/>
      <c r="O9004" s="1978"/>
      <c r="P9004" s="717"/>
    </row>
    <row r="9005" spans="1:35" ht="17.399999999999999">
      <c r="A9005" s="718" t="s">
        <v>1</v>
      </c>
      <c r="B9005" s="718"/>
      <c r="C9005" s="718"/>
      <c r="D9005" s="719" t="s">
        <v>2</v>
      </c>
      <c r="E9005" s="719"/>
      <c r="F9005" s="720"/>
      <c r="G9005" s="720"/>
      <c r="H9005" s="720"/>
      <c r="I9005" s="721"/>
      <c r="J9005" s="1293"/>
      <c r="K9005" s="723" t="s">
        <v>3</v>
      </c>
      <c r="L9005" s="1293"/>
      <c r="M9005" s="718"/>
      <c r="N9005" s="720"/>
      <c r="O9005" s="718"/>
      <c r="P9005" s="724"/>
    </row>
    <row r="9006" spans="1:35" ht="52.2">
      <c r="A9006" s="640" t="s">
        <v>4</v>
      </c>
      <c r="B9006" s="640" t="s">
        <v>5</v>
      </c>
      <c r="C9006" s="640" t="s">
        <v>6</v>
      </c>
      <c r="D9006" s="640" t="s">
        <v>7</v>
      </c>
      <c r="E9006" s="640" t="s">
        <v>8</v>
      </c>
      <c r="F9006" s="641" t="s">
        <v>9</v>
      </c>
      <c r="G9006" s="642" t="s">
        <v>10</v>
      </c>
      <c r="H9006" s="642" t="s">
        <v>11</v>
      </c>
      <c r="I9006" s="643" t="s">
        <v>12</v>
      </c>
      <c r="J9006" s="644" t="s">
        <v>13</v>
      </c>
      <c r="K9006" s="645" t="s">
        <v>14</v>
      </c>
      <c r="L9006" s="646" t="s">
        <v>15</v>
      </c>
      <c r="M9006" s="641" t="s">
        <v>16</v>
      </c>
      <c r="N9006" s="641" t="s">
        <v>17</v>
      </c>
      <c r="O9006" s="642" t="s">
        <v>18</v>
      </c>
      <c r="P9006" s="641" t="s">
        <v>192</v>
      </c>
    </row>
    <row r="9007" spans="1:35" s="497" customFormat="1" ht="17.399999999999999">
      <c r="A9007" s="549"/>
      <c r="B9007" s="549"/>
      <c r="C9007" s="549"/>
      <c r="D9007" s="549"/>
      <c r="E9007" s="549"/>
      <c r="F9007" s="549"/>
      <c r="G9007" s="549"/>
      <c r="H9007" s="650"/>
      <c r="I9007" s="558"/>
      <c r="J9007" s="710"/>
      <c r="K9007" s="648"/>
      <c r="L9007" s="763"/>
      <c r="M9007" s="549"/>
      <c r="N9007" s="549"/>
      <c r="O9007" s="549"/>
      <c r="P9007" s="549"/>
    </row>
    <row r="9008" spans="1:35" ht="17.399999999999999">
      <c r="A9008" s="547" t="s">
        <v>541</v>
      </c>
      <c r="B9008" s="547" t="s">
        <v>952</v>
      </c>
      <c r="C9008" s="547" t="s">
        <v>19</v>
      </c>
      <c r="D9008" s="547" t="s">
        <v>20</v>
      </c>
      <c r="E9008" s="1283" t="s">
        <v>51</v>
      </c>
      <c r="F9008" s="1305">
        <v>16</v>
      </c>
      <c r="G9008" s="549" t="s">
        <v>21</v>
      </c>
      <c r="H9008" s="599" t="s">
        <v>179</v>
      </c>
      <c r="I9008" s="558">
        <v>33.799999999999997</v>
      </c>
      <c r="J9008" s="567">
        <v>7.5</v>
      </c>
      <c r="K9008" s="648">
        <v>10</v>
      </c>
      <c r="L9008" s="725">
        <f t="shared" ref="L9008:L9015" si="1839">(I9008*J9008*K9008/1000)</f>
        <v>2.5349999999999997</v>
      </c>
      <c r="M9008" s="549">
        <v>1</v>
      </c>
      <c r="N9008" s="567">
        <f t="shared" ref="N9008:N9015" si="1840">J9008*M9008*I9008/1000</f>
        <v>0.25349999999999995</v>
      </c>
      <c r="O9008" s="549"/>
      <c r="P9008" s="549"/>
      <c r="R9008" s="497">
        <v>9</v>
      </c>
      <c r="S9008" s="497">
        <f t="shared" ref="S9008:S9014" si="1841">J9008*R9008*I9008/1000</f>
        <v>2.2814999999999999</v>
      </c>
      <c r="T9008" s="497"/>
      <c r="U9008" s="497"/>
      <c r="V9008" s="497" t="s">
        <v>1033</v>
      </c>
      <c r="W9008" s="126"/>
      <c r="X9008" s="126">
        <v>7.8</v>
      </c>
      <c r="Y9008" s="497">
        <f>11+11+4+1</f>
        <v>27</v>
      </c>
      <c r="Z9008" s="126">
        <f t="shared" ref="Z9008:Z9018" si="1842">X9008*Y9008*I9008/1000</f>
        <v>7.1182799999999986</v>
      </c>
      <c r="AA9008" s="497"/>
      <c r="AB9008" s="497"/>
      <c r="AG9008">
        <f>+AE9008+AC9008+AA9008+T9008+R9008+M9008</f>
        <v>10</v>
      </c>
      <c r="AH9008">
        <f>J9008*AG9008*I9008/1000</f>
        <v>2.5350000000000001</v>
      </c>
      <c r="AI9008" s="168">
        <f>AG9008-K9008</f>
        <v>0</v>
      </c>
    </row>
    <row r="9009" spans="1:36" ht="17.399999999999999">
      <c r="A9009" s="549"/>
      <c r="B9009" s="549"/>
      <c r="C9009" s="549"/>
      <c r="D9009" s="549"/>
      <c r="E9009" s="832"/>
      <c r="F9009" s="549"/>
      <c r="G9009" s="549" t="s">
        <v>21</v>
      </c>
      <c r="H9009" s="549" t="s">
        <v>179</v>
      </c>
      <c r="I9009" s="558">
        <v>33.799999999999997</v>
      </c>
      <c r="J9009" s="567">
        <v>8.1</v>
      </c>
      <c r="K9009" s="648">
        <v>768</v>
      </c>
      <c r="L9009" s="725">
        <f t="shared" si="1839"/>
        <v>210.26303999999999</v>
      </c>
      <c r="M9009" s="549">
        <v>2</v>
      </c>
      <c r="N9009" s="567">
        <f t="shared" si="1840"/>
        <v>0.54755999999999994</v>
      </c>
      <c r="O9009" s="549"/>
      <c r="P9009" s="549"/>
      <c r="R9009" s="497">
        <f>11+11+11+11+11+11+11+11+11+11+4+11+11+11+11+11+11+11+11+11+11+11+11+11+11+11</f>
        <v>279</v>
      </c>
      <c r="S9009" s="497">
        <f t="shared" si="1841"/>
        <v>76.384619999999998</v>
      </c>
      <c r="T9009" s="497">
        <f>11+11+11+11+11+11+11+11+11+11+11+11+11+11+11+11+11+11+11+11+8</f>
        <v>228</v>
      </c>
      <c r="U9009" s="497">
        <f>J9009*T9009*I9009/1000</f>
        <v>62.421839999999996</v>
      </c>
      <c r="V9009" s="497" t="s">
        <v>1034</v>
      </c>
      <c r="W9009" s="126"/>
      <c r="X9009" s="126">
        <v>6.5</v>
      </c>
      <c r="Y9009" s="497">
        <v>1</v>
      </c>
      <c r="Z9009" s="126">
        <f t="shared" si="1842"/>
        <v>0.21969999999999998</v>
      </c>
      <c r="AA9009" s="497">
        <f>5+12+11+10+4</f>
        <v>42</v>
      </c>
      <c r="AB9009" s="497">
        <f>J9009*AA9009*I9009/1000</f>
        <v>11.498759999999999</v>
      </c>
      <c r="AC9009">
        <f>11+11+11+11+11+11+11+4</f>
        <v>81</v>
      </c>
      <c r="AD9009">
        <f>J9009*AC9009*I9009/1000</f>
        <v>22.176179999999999</v>
      </c>
      <c r="AE9009">
        <f>3+11+11+11+5+11+11+11+3</f>
        <v>77</v>
      </c>
      <c r="AF9009">
        <f t="shared" ref="AF9009:AF9015" si="1843">J9009*AE9009*I9009/1000</f>
        <v>21.081059999999997</v>
      </c>
      <c r="AG9009" s="497">
        <f t="shared" ref="AG9009:AG9013" si="1844">+AE9009+AC9009+AA9009+T9009+R9009+M9009</f>
        <v>709</v>
      </c>
      <c r="AH9009" s="497">
        <f t="shared" ref="AH9009:AH9015" si="1845">J9009*AG9009*I9009/1000</f>
        <v>194.11001999999996</v>
      </c>
      <c r="AI9009" s="168">
        <f t="shared" ref="AI9009:AI9015" si="1846">AG9009-K9009</f>
        <v>-59</v>
      </c>
      <c r="AJ9009" s="497" t="s">
        <v>1089</v>
      </c>
    </row>
    <row r="9010" spans="1:36" ht="17.399999999999999">
      <c r="A9010" s="549"/>
      <c r="B9010" s="549"/>
      <c r="C9010" s="549"/>
      <c r="D9010" s="549"/>
      <c r="E9010" s="549"/>
      <c r="F9010" s="549"/>
      <c r="G9010" s="549" t="s">
        <v>21</v>
      </c>
      <c r="H9010" s="549" t="s">
        <v>179</v>
      </c>
      <c r="I9010" s="558">
        <v>33.799999999999997</v>
      </c>
      <c r="J9010" s="567">
        <v>9</v>
      </c>
      <c r="K9010" s="648">
        <v>24</v>
      </c>
      <c r="L9010" s="725">
        <f t="shared" si="1839"/>
        <v>7.3007999999999988</v>
      </c>
      <c r="M9010" s="549"/>
      <c r="N9010" s="567">
        <f t="shared" si="1840"/>
        <v>0</v>
      </c>
      <c r="O9010" s="549"/>
      <c r="P9010" s="549"/>
      <c r="S9010" s="497">
        <f t="shared" si="1841"/>
        <v>0</v>
      </c>
      <c r="T9010" s="497">
        <v>8</v>
      </c>
      <c r="U9010" s="497">
        <f t="shared" ref="U9010:U9011" si="1847">J9010*T9010*I9010/1000</f>
        <v>2.4335999999999998</v>
      </c>
      <c r="V9010" s="497" t="s">
        <v>1083</v>
      </c>
      <c r="W9010" s="126"/>
      <c r="X9010" s="126">
        <v>7.5</v>
      </c>
      <c r="Y9010" s="497">
        <f>3+3+3+3+1+5</f>
        <v>18</v>
      </c>
      <c r="Z9010" s="126">
        <f t="shared" si="1842"/>
        <v>4.5629999999999997</v>
      </c>
      <c r="AA9010" s="497">
        <v>4</v>
      </c>
      <c r="AB9010" s="497">
        <f>J9010*AA9010*I9010/1000</f>
        <v>1.2167999999999999</v>
      </c>
      <c r="AC9010">
        <v>1</v>
      </c>
      <c r="AD9010" s="497">
        <f>J9010*AC9010*I9010/1000</f>
        <v>0.30419999999999997</v>
      </c>
      <c r="AE9010">
        <f>2+4+1+4</f>
        <v>11</v>
      </c>
      <c r="AF9010" s="497">
        <f t="shared" si="1843"/>
        <v>3.3461999999999996</v>
      </c>
      <c r="AG9010" s="497">
        <f t="shared" si="1844"/>
        <v>24</v>
      </c>
      <c r="AH9010" s="497">
        <f t="shared" si="1845"/>
        <v>7.3007999999999988</v>
      </c>
      <c r="AI9010" s="168">
        <f t="shared" si="1846"/>
        <v>0</v>
      </c>
      <c r="AJ9010" s="497" t="s">
        <v>1088</v>
      </c>
    </row>
    <row r="9011" spans="1:36" ht="17.399999999999999">
      <c r="A9011" s="549"/>
      <c r="B9011" s="549"/>
      <c r="C9011" s="549"/>
      <c r="D9011" s="549"/>
      <c r="E9011" s="549"/>
      <c r="F9011" s="549"/>
      <c r="G9011" s="549" t="s">
        <v>21</v>
      </c>
      <c r="H9011" s="549" t="s">
        <v>179</v>
      </c>
      <c r="I9011" s="558">
        <v>33.799999999999997</v>
      </c>
      <c r="J9011" s="567">
        <v>9.3000000000000007</v>
      </c>
      <c r="K9011" s="648">
        <v>144</v>
      </c>
      <c r="L9011" s="725">
        <f t="shared" si="1839"/>
        <v>45.264960000000002</v>
      </c>
      <c r="M9011" s="549">
        <f>1+1</f>
        <v>2</v>
      </c>
      <c r="N9011" s="567">
        <f t="shared" si="1840"/>
        <v>0.62867999999999991</v>
      </c>
      <c r="O9011" s="549"/>
      <c r="P9011" s="549"/>
      <c r="Q9011" s="497">
        <v>-1</v>
      </c>
      <c r="R9011" s="497">
        <f>9+11+9</f>
        <v>29</v>
      </c>
      <c r="S9011" s="497">
        <f t="shared" si="1841"/>
        <v>9.1158600000000014</v>
      </c>
      <c r="T9011" s="497">
        <v>11</v>
      </c>
      <c r="U9011" s="497">
        <f t="shared" si="1847"/>
        <v>3.4577400000000003</v>
      </c>
      <c r="V9011" s="497" t="s">
        <v>1090</v>
      </c>
      <c r="W9011" s="497"/>
      <c r="X9011" s="126">
        <v>7.2</v>
      </c>
      <c r="Y9011" s="497">
        <v>1</v>
      </c>
      <c r="Z9011" s="126">
        <f t="shared" si="1842"/>
        <v>0.24335999999999999</v>
      </c>
      <c r="AA9011" s="497">
        <f>4+11+9</f>
        <v>24</v>
      </c>
      <c r="AB9011" s="497">
        <f>J9011*AA9011*I9011/1000</f>
        <v>7.5441599999999998</v>
      </c>
      <c r="AC9011">
        <f>11+9+9+10</f>
        <v>39</v>
      </c>
      <c r="AD9011" s="497">
        <f>J9011*AC9011*I9011/1000</f>
        <v>12.259259999999999</v>
      </c>
      <c r="AE9011">
        <f>1+11+5+11+6+5</f>
        <v>39</v>
      </c>
      <c r="AF9011" s="497">
        <f t="shared" si="1843"/>
        <v>12.259259999999999</v>
      </c>
      <c r="AG9011" s="497">
        <f t="shared" si="1844"/>
        <v>144</v>
      </c>
      <c r="AH9011" s="497">
        <f t="shared" si="1845"/>
        <v>45.264960000000002</v>
      </c>
      <c r="AI9011" s="168">
        <f t="shared" si="1846"/>
        <v>0</v>
      </c>
      <c r="AJ9011" s="497" t="s">
        <v>1087</v>
      </c>
    </row>
    <row r="9012" spans="1:36" ht="17.399999999999999">
      <c r="A9012" s="549"/>
      <c r="B9012" s="549"/>
      <c r="C9012" s="549"/>
      <c r="D9012" s="549"/>
      <c r="E9012" s="549"/>
      <c r="F9012" s="549"/>
      <c r="G9012" s="549" t="s">
        <v>21</v>
      </c>
      <c r="H9012" s="549" t="s">
        <v>179</v>
      </c>
      <c r="I9012" s="558">
        <v>33.799999999999997</v>
      </c>
      <c r="J9012" s="567">
        <v>10.3</v>
      </c>
      <c r="K9012" s="648">
        <v>26</v>
      </c>
      <c r="L9012" s="725">
        <f t="shared" si="1839"/>
        <v>9.051639999999999</v>
      </c>
      <c r="M9012" s="549">
        <f>9+4+7-5</f>
        <v>15</v>
      </c>
      <c r="N9012" s="567">
        <f t="shared" si="1840"/>
        <v>5.2220999999999993</v>
      </c>
      <c r="O9012" s="549"/>
      <c r="P9012" s="549"/>
      <c r="Q9012" s="497">
        <v>5</v>
      </c>
      <c r="R9012" s="497">
        <v>5</v>
      </c>
      <c r="S9012" s="497">
        <f t="shared" si="1841"/>
        <v>1.7406999999999999</v>
      </c>
      <c r="T9012" s="497"/>
      <c r="U9012" s="497"/>
      <c r="V9012" s="497"/>
      <c r="W9012" s="497"/>
      <c r="X9012" s="126">
        <v>10</v>
      </c>
      <c r="Y9012" s="497">
        <f>3+4+1-3-3</f>
        <v>2</v>
      </c>
      <c r="Z9012" s="126">
        <f t="shared" si="1842"/>
        <v>0.67600000000000005</v>
      </c>
      <c r="AA9012" s="497">
        <v>2</v>
      </c>
      <c r="AB9012" s="497">
        <f>J9012*AA9012*I9012/1000</f>
        <v>0.69628000000000001</v>
      </c>
      <c r="AE9012">
        <v>4</v>
      </c>
      <c r="AF9012" s="497">
        <f t="shared" si="1843"/>
        <v>1.39256</v>
      </c>
      <c r="AG9012" s="497">
        <f t="shared" si="1844"/>
        <v>26</v>
      </c>
      <c r="AH9012" s="497">
        <f t="shared" si="1845"/>
        <v>9.051639999999999</v>
      </c>
      <c r="AI9012" s="168">
        <f t="shared" si="1846"/>
        <v>0</v>
      </c>
      <c r="AJ9012" s="497" t="s">
        <v>1086</v>
      </c>
    </row>
    <row r="9013" spans="1:36" ht="17.399999999999999">
      <c r="A9013" s="549"/>
      <c r="B9013" s="549"/>
      <c r="C9013" s="549"/>
      <c r="D9013" s="549"/>
      <c r="E9013" s="549"/>
      <c r="F9013" s="549"/>
      <c r="G9013" s="549" t="s">
        <v>21</v>
      </c>
      <c r="H9013" s="549" t="s">
        <v>179</v>
      </c>
      <c r="I9013" s="558">
        <v>33.799999999999997</v>
      </c>
      <c r="J9013" s="567">
        <v>11.5</v>
      </c>
      <c r="K9013" s="648">
        <v>40</v>
      </c>
      <c r="L9013" s="725">
        <f t="shared" si="1839"/>
        <v>15.548</v>
      </c>
      <c r="M9013" s="549"/>
      <c r="N9013" s="567">
        <f t="shared" si="1840"/>
        <v>0</v>
      </c>
      <c r="O9013" s="549"/>
      <c r="P9013" s="549"/>
      <c r="R9013" s="497">
        <f>8+7+5+2</f>
        <v>22</v>
      </c>
      <c r="S9013" s="497">
        <f t="shared" si="1841"/>
        <v>8.5513999999999992</v>
      </c>
      <c r="T9013" s="497"/>
      <c r="U9013" s="497"/>
      <c r="V9013" s="497"/>
      <c r="W9013" s="497"/>
      <c r="X9013" s="126">
        <v>8</v>
      </c>
      <c r="Y9013" s="497">
        <v>5</v>
      </c>
      <c r="Z9013" s="126">
        <f t="shared" si="1842"/>
        <v>1.3520000000000001</v>
      </c>
      <c r="AA9013" s="497">
        <f>6+6</f>
        <v>12</v>
      </c>
      <c r="AB9013" s="497">
        <f>J9013*AA9013*I9013/1000</f>
        <v>4.6643999999999997</v>
      </c>
      <c r="AE9013">
        <v>6</v>
      </c>
      <c r="AF9013" s="497">
        <f t="shared" si="1843"/>
        <v>2.3321999999999998</v>
      </c>
      <c r="AG9013" s="497">
        <f t="shared" si="1844"/>
        <v>40</v>
      </c>
      <c r="AH9013" s="497">
        <f t="shared" si="1845"/>
        <v>15.547999999999998</v>
      </c>
      <c r="AI9013" s="168">
        <f t="shared" si="1846"/>
        <v>0</v>
      </c>
    </row>
    <row r="9014" spans="1:36" ht="17.399999999999999">
      <c r="A9014" s="549"/>
      <c r="B9014" s="549"/>
      <c r="C9014" s="549"/>
      <c r="D9014" s="549"/>
      <c r="E9014" s="549"/>
      <c r="F9014" s="549"/>
      <c r="G9014" s="549" t="s">
        <v>21</v>
      </c>
      <c r="H9014" s="549" t="s">
        <v>179</v>
      </c>
      <c r="I9014" s="558">
        <v>33.799999999999997</v>
      </c>
      <c r="J9014" s="567">
        <v>11.6</v>
      </c>
      <c r="K9014" s="648">
        <v>12</v>
      </c>
      <c r="L9014" s="725">
        <f t="shared" si="1839"/>
        <v>4.7049599999999989</v>
      </c>
      <c r="M9014" s="549"/>
      <c r="N9014" s="567">
        <f t="shared" si="1840"/>
        <v>0</v>
      </c>
      <c r="O9014" s="549"/>
      <c r="P9014" s="549"/>
      <c r="S9014" s="497">
        <f t="shared" si="1841"/>
        <v>0</v>
      </c>
      <c r="T9014" s="497"/>
      <c r="U9014" s="497"/>
      <c r="V9014" s="497"/>
      <c r="W9014" s="497"/>
      <c r="X9014" s="126"/>
      <c r="Y9014" s="497"/>
      <c r="Z9014" s="126">
        <f t="shared" si="1842"/>
        <v>0</v>
      </c>
      <c r="AA9014" s="497"/>
      <c r="AB9014" s="497">
        <f t="shared" ref="AB9014" si="1848">J9014*AA9014*I9014/1000</f>
        <v>0</v>
      </c>
      <c r="AE9014">
        <f>10+2</f>
        <v>12</v>
      </c>
      <c r="AF9014" s="497">
        <f t="shared" si="1843"/>
        <v>4.7049599999999989</v>
      </c>
      <c r="AG9014" s="497">
        <f>+AE9014+AC9014+AA9014+T9014+R9014+M9014</f>
        <v>12</v>
      </c>
      <c r="AH9014" s="497">
        <f t="shared" si="1845"/>
        <v>4.7049599999999989</v>
      </c>
      <c r="AI9014" s="168">
        <f t="shared" si="1846"/>
        <v>0</v>
      </c>
      <c r="AJ9014" s="497" t="s">
        <v>1085</v>
      </c>
    </row>
    <row r="9015" spans="1:36" ht="17.399999999999999">
      <c r="A9015" s="549"/>
      <c r="B9015" s="549"/>
      <c r="C9015" s="549"/>
      <c r="D9015" s="549"/>
      <c r="E9015" s="549"/>
      <c r="F9015" s="549"/>
      <c r="G9015" s="549" t="s">
        <v>21</v>
      </c>
      <c r="H9015" s="549" t="s">
        <v>179</v>
      </c>
      <c r="I9015" s="558">
        <v>33.799999999999997</v>
      </c>
      <c r="J9015" s="567">
        <v>11.8</v>
      </c>
      <c r="K9015" s="648">
        <v>11</v>
      </c>
      <c r="L9015" s="725">
        <f t="shared" si="1839"/>
        <v>4.3872399999999994</v>
      </c>
      <c r="M9015" s="549"/>
      <c r="N9015" s="567">
        <f t="shared" si="1840"/>
        <v>0</v>
      </c>
      <c r="O9015" s="549"/>
      <c r="P9015" s="549"/>
      <c r="R9015" s="497">
        <f>2+1</f>
        <v>3</v>
      </c>
      <c r="S9015" s="497">
        <f>J9015*R9015*I9015/1000</f>
        <v>1.19652</v>
      </c>
      <c r="T9015" s="497"/>
      <c r="U9015" s="497"/>
      <c r="V9015" s="497"/>
      <c r="W9015" s="497"/>
      <c r="X9015" s="126"/>
      <c r="Y9015" s="497"/>
      <c r="Z9015" s="126">
        <f t="shared" si="1842"/>
        <v>0</v>
      </c>
      <c r="AA9015" s="497">
        <v>4</v>
      </c>
      <c r="AB9015" s="497">
        <f>J9015*AA9015*I9015/1000</f>
        <v>1.5953599999999999</v>
      </c>
      <c r="AC9015">
        <v>2</v>
      </c>
      <c r="AD9015" s="497">
        <f>J9015*AC9015*I9015/1000</f>
        <v>0.79767999999999994</v>
      </c>
      <c r="AE9015">
        <v>2</v>
      </c>
      <c r="AF9015" s="497">
        <f t="shared" si="1843"/>
        <v>0.79767999999999994</v>
      </c>
      <c r="AG9015" s="497">
        <f>+AE9015+AC9015+AA9015+T9015+R9015+M9015</f>
        <v>11</v>
      </c>
      <c r="AH9015" s="497">
        <f t="shared" si="1845"/>
        <v>4.3872399999999994</v>
      </c>
      <c r="AI9015" s="168">
        <f t="shared" si="1846"/>
        <v>0</v>
      </c>
    </row>
    <row r="9016" spans="1:36" ht="17.399999999999999">
      <c r="A9016" s="549"/>
      <c r="B9016" s="549"/>
      <c r="C9016" s="549"/>
      <c r="D9016" s="549"/>
      <c r="E9016" s="549"/>
      <c r="F9016" s="549"/>
      <c r="G9016" s="549"/>
      <c r="H9016" s="549"/>
      <c r="I9016" s="558"/>
      <c r="J9016" s="567"/>
      <c r="K9016" s="648">
        <f>SUM(K9008:K9015)</f>
        <v>1035</v>
      </c>
      <c r="L9016" s="710">
        <f>SUM(L9008:L9015)</f>
        <v>299.05563999999998</v>
      </c>
      <c r="M9016" s="648">
        <f>SUM(M9008:M9015)</f>
        <v>20</v>
      </c>
      <c r="N9016" s="710">
        <f>SUM(N9008:N9015)</f>
        <v>6.6518399999999991</v>
      </c>
      <c r="O9016" s="549"/>
      <c r="P9016" s="549" t="s">
        <v>996</v>
      </c>
      <c r="R9016" s="648">
        <f>SUM(R9008:R9015)</f>
        <v>347</v>
      </c>
      <c r="S9016" s="710">
        <f>SUM(S9008:S9015)</f>
        <v>99.270600000000002</v>
      </c>
      <c r="T9016" s="648">
        <f>SUM(T9008:T9015)</f>
        <v>247</v>
      </c>
      <c r="U9016" s="846">
        <f>SUM(U9008:U9015)</f>
        <v>68.313180000000003</v>
      </c>
      <c r="V9016" s="497"/>
      <c r="W9016" s="497"/>
      <c r="X9016" s="126">
        <v>11.8</v>
      </c>
      <c r="Y9016" s="497">
        <v>2</v>
      </c>
      <c r="Z9016" s="126">
        <f t="shared" si="1842"/>
        <v>0</v>
      </c>
      <c r="AA9016" s="648">
        <f t="shared" ref="AA9016:AE9016" si="1849">SUM(AA9008:AA9015)</f>
        <v>88</v>
      </c>
      <c r="AB9016" s="763">
        <f t="shared" si="1849"/>
        <v>27.21576</v>
      </c>
      <c r="AC9016" s="648">
        <f t="shared" si="1849"/>
        <v>123</v>
      </c>
      <c r="AD9016" s="763">
        <f t="shared" si="1849"/>
        <v>35.537320000000001</v>
      </c>
      <c r="AE9016" s="648">
        <f t="shared" si="1849"/>
        <v>151</v>
      </c>
      <c r="AF9016" s="763">
        <f>SUM(AF9008:AF9015)</f>
        <v>45.913919999999997</v>
      </c>
      <c r="AG9016" s="648">
        <f>SUM(AG9008:AG9015)</f>
        <v>976</v>
      </c>
      <c r="AH9016" s="763">
        <f>SUM(AH9008:AH9015)</f>
        <v>282.90261999999996</v>
      </c>
    </row>
    <row r="9017" spans="1:36" s="497" customFormat="1" ht="17.399999999999999">
      <c r="A9017" s="549"/>
      <c r="B9017" s="549"/>
      <c r="C9017" s="549"/>
      <c r="D9017" s="549"/>
      <c r="E9017" s="549"/>
      <c r="F9017" s="549"/>
      <c r="G9017" s="549"/>
      <c r="H9017" s="549"/>
      <c r="I9017" s="558"/>
      <c r="J9017" s="567"/>
      <c r="K9017" s="648"/>
      <c r="L9017" s="710"/>
      <c r="M9017" s="549"/>
      <c r="N9017" s="549"/>
      <c r="O9017" s="549"/>
      <c r="P9017" s="549"/>
      <c r="X9017" s="126"/>
      <c r="Z9017" s="1329">
        <f t="shared" si="1842"/>
        <v>0</v>
      </c>
    </row>
    <row r="9018" spans="1:36" s="497" customFormat="1" ht="17.399999999999999">
      <c r="A9018" s="547" t="s">
        <v>541</v>
      </c>
      <c r="B9018" s="547" t="s">
        <v>991</v>
      </c>
      <c r="C9018" s="547" t="s">
        <v>19</v>
      </c>
      <c r="D9018" s="547" t="s">
        <v>20</v>
      </c>
      <c r="E9018" s="1283" t="s">
        <v>51</v>
      </c>
      <c r="F9018" s="1305">
        <v>16</v>
      </c>
      <c r="G9018" s="549" t="s">
        <v>21</v>
      </c>
      <c r="H9018" s="828" t="s">
        <v>179</v>
      </c>
      <c r="I9018" s="558">
        <v>33.799999999999997</v>
      </c>
      <c r="J9018" s="567">
        <v>11.5</v>
      </c>
      <c r="K9018" s="648">
        <v>1</v>
      </c>
      <c r="L9018" s="725">
        <f>(I9018*J9018*K9018/1000)</f>
        <v>0.38869999999999999</v>
      </c>
      <c r="M9018" s="549"/>
      <c r="N9018" s="549"/>
      <c r="O9018" s="549"/>
      <c r="P9018" s="549"/>
      <c r="X9018" s="126"/>
      <c r="Z9018" s="1329">
        <f t="shared" si="1842"/>
        <v>0</v>
      </c>
      <c r="AE9018" s="497">
        <v>1</v>
      </c>
      <c r="AF9018" s="497">
        <f>J9018*AE9018*I9018/1000</f>
        <v>0.38869999999999999</v>
      </c>
    </row>
    <row r="9019" spans="1:36" s="497" customFormat="1" ht="17.399999999999999">
      <c r="A9019" s="549"/>
      <c r="B9019" s="549" t="s">
        <v>364</v>
      </c>
      <c r="C9019" s="549"/>
      <c r="D9019" s="549"/>
      <c r="E9019" s="832"/>
      <c r="F9019" s="549"/>
      <c r="G9019" s="549" t="s">
        <v>21</v>
      </c>
      <c r="H9019" s="549" t="s">
        <v>179</v>
      </c>
      <c r="I9019" s="558">
        <v>33.799999999999997</v>
      </c>
      <c r="J9019" s="567">
        <v>11.6</v>
      </c>
      <c r="K9019" s="648">
        <v>1</v>
      </c>
      <c r="L9019" s="725">
        <f>(I9019*J9019*K9019/1000)</f>
        <v>0.39207999999999993</v>
      </c>
      <c r="M9019" s="549"/>
      <c r="N9019" s="549"/>
      <c r="O9019" s="549"/>
      <c r="P9019" s="549"/>
      <c r="Z9019" s="431">
        <f>SUM(Z9008:Z9018)</f>
        <v>14.172339999999997</v>
      </c>
      <c r="AE9019" s="497">
        <v>1</v>
      </c>
      <c r="AF9019" s="497">
        <f>J9019*AE9019*I9019/1000</f>
        <v>0.39207999999999993</v>
      </c>
    </row>
    <row r="9020" spans="1:36" s="497" customFormat="1" ht="17.399999999999999">
      <c r="A9020" s="549"/>
      <c r="B9020" s="549"/>
      <c r="C9020" s="549"/>
      <c r="D9020" s="549"/>
      <c r="E9020" s="549"/>
      <c r="F9020" s="549"/>
      <c r="G9020" s="549"/>
      <c r="H9020" s="549"/>
      <c r="I9020" s="558"/>
      <c r="J9020" s="567"/>
      <c r="K9020" s="648">
        <f t="shared" ref="K9020" si="1850">SUM(K9018:K9019)</f>
        <v>2</v>
      </c>
      <c r="L9020" s="725">
        <f>SUM(L9018:L9019)</f>
        <v>0.78077999999999992</v>
      </c>
      <c r="M9020" s="549"/>
      <c r="N9020" s="549"/>
      <c r="O9020" s="549"/>
      <c r="P9020" s="549"/>
      <c r="AE9020" s="648">
        <f t="shared" ref="AE9020" si="1851">SUM(AE9018:AE9019)</f>
        <v>2</v>
      </c>
      <c r="AF9020" s="725">
        <f>SUM(AF9018:AF9019)</f>
        <v>0.78077999999999992</v>
      </c>
    </row>
    <row r="9021" spans="1:36" s="497" customFormat="1" ht="17.399999999999999">
      <c r="A9021" s="549"/>
      <c r="B9021" s="549"/>
      <c r="C9021" s="549"/>
      <c r="D9021" s="549"/>
      <c r="E9021" s="549"/>
      <c r="F9021" s="549"/>
      <c r="G9021" s="549"/>
      <c r="H9021" s="549"/>
      <c r="I9021" s="558"/>
      <c r="J9021" s="567"/>
      <c r="K9021" s="1307">
        <f>SUM(K9008:K9020)/2</f>
        <v>1037</v>
      </c>
      <c r="L9021" s="725">
        <f>SUM(L9008:L9020)/2</f>
        <v>299.83641999999998</v>
      </c>
      <c r="M9021" s="1307">
        <f>SUM(M9008:M9020)/2</f>
        <v>20</v>
      </c>
      <c r="N9021" s="725">
        <f>SUM(N9008:N9020)/2</f>
        <v>6.6518399999999991</v>
      </c>
      <c r="O9021" s="549"/>
      <c r="P9021" s="549"/>
    </row>
    <row r="9022" spans="1:36" s="497" customFormat="1" ht="17.399999999999999">
      <c r="A9022" s="549"/>
      <c r="B9022" s="549"/>
      <c r="C9022" s="549"/>
      <c r="D9022" s="549"/>
      <c r="E9022" s="549"/>
      <c r="F9022" s="549"/>
      <c r="G9022" s="549"/>
      <c r="H9022" s="549"/>
      <c r="I9022" s="558"/>
      <c r="J9022" s="567"/>
      <c r="K9022" s="1307"/>
      <c r="L9022" s="725"/>
      <c r="M9022" s="1307"/>
      <c r="N9022" s="725"/>
      <c r="O9022" s="549"/>
      <c r="P9022" s="549"/>
    </row>
    <row r="9023" spans="1:36" s="497" customFormat="1" ht="17.399999999999999">
      <c r="A9023" s="549"/>
      <c r="B9023" s="549"/>
      <c r="C9023" s="549"/>
      <c r="D9023" s="549"/>
      <c r="E9023" s="549"/>
      <c r="F9023" s="549"/>
      <c r="G9023" s="549"/>
      <c r="H9023" s="549"/>
      <c r="I9023" s="558"/>
      <c r="J9023" s="567"/>
      <c r="K9023" s="648"/>
      <c r="L9023" s="710"/>
      <c r="M9023" s="549"/>
      <c r="N9023" s="549"/>
      <c r="O9023" s="549"/>
      <c r="P9023" s="549"/>
    </row>
    <row r="9024" spans="1:36" ht="17.399999999999999">
      <c r="A9024" s="547" t="s">
        <v>445</v>
      </c>
      <c r="B9024" s="547" t="s">
        <v>845</v>
      </c>
      <c r="C9024" s="547" t="s">
        <v>19</v>
      </c>
      <c r="D9024" s="547" t="s">
        <v>20</v>
      </c>
      <c r="E9024" s="550" t="s">
        <v>367</v>
      </c>
      <c r="F9024" s="1305">
        <v>16</v>
      </c>
      <c r="G9024" s="549" t="s">
        <v>21</v>
      </c>
      <c r="H9024" s="599" t="s">
        <v>179</v>
      </c>
      <c r="I9024" s="558">
        <v>33.799999999999997</v>
      </c>
      <c r="J9024" s="710">
        <v>7.3</v>
      </c>
      <c r="K9024" s="648">
        <v>316</v>
      </c>
      <c r="L9024" s="725">
        <f>(I9024*J9024*K9024/1000)</f>
        <v>77.969839999999991</v>
      </c>
      <c r="M9024" s="549"/>
      <c r="N9024" s="549"/>
      <c r="O9024" s="549"/>
      <c r="P9024" s="549"/>
      <c r="R9024" s="497">
        <f>12+12+12+12+12+12+11+11+11+11+11+11+11+7</f>
        <v>156</v>
      </c>
      <c r="S9024" s="497">
        <f>J9024*R9024*I9024/1000</f>
        <v>38.491439999999997</v>
      </c>
      <c r="T9024" s="497" t="s">
        <v>1035</v>
      </c>
      <c r="Y9024">
        <f>12+12+12+12+12+12+12+12+12+12+12+12+12</f>
        <v>156</v>
      </c>
      <c r="Z9024" s="126">
        <f>J9024*Y9024*I9024/1000</f>
        <v>38.491439999999997</v>
      </c>
    </row>
    <row r="9025" spans="1:26" ht="17.399999999999999">
      <c r="A9025" s="549"/>
      <c r="B9025" s="549" t="s">
        <v>88</v>
      </c>
      <c r="C9025" s="549"/>
      <c r="D9025" s="549"/>
      <c r="E9025" s="549"/>
      <c r="F9025" s="549"/>
      <c r="G9025" s="549"/>
      <c r="H9025" s="549"/>
      <c r="I9025" s="558"/>
      <c r="J9025" s="710"/>
      <c r="K9025" s="648">
        <f t="shared" ref="K9025" si="1852">SUM(K9024)</f>
        <v>316</v>
      </c>
      <c r="L9025" s="763">
        <f>SUM(L9024)</f>
        <v>77.969839999999991</v>
      </c>
      <c r="M9025" s="549"/>
      <c r="N9025" s="549"/>
      <c r="O9025" s="549"/>
      <c r="P9025" s="549" t="s">
        <v>997</v>
      </c>
      <c r="R9025" s="648">
        <f t="shared" ref="R9025" si="1853">SUM(R9024)</f>
        <v>156</v>
      </c>
      <c r="S9025" s="846">
        <f>SUM(S9024)</f>
        <v>38.491439999999997</v>
      </c>
      <c r="T9025" s="497" t="s">
        <v>1091</v>
      </c>
      <c r="Y9025" s="648">
        <f t="shared" ref="Y9025" si="1854">SUM(Y9024)</f>
        <v>156</v>
      </c>
      <c r="Z9025" s="846">
        <f>SUM(Z9024)</f>
        <v>38.491439999999997</v>
      </c>
    </row>
    <row r="9026" spans="1:26" ht="17.399999999999999">
      <c r="A9026" s="549"/>
      <c r="B9026" s="549"/>
      <c r="C9026" s="549"/>
      <c r="D9026" s="549"/>
      <c r="E9026" s="549"/>
      <c r="F9026" s="549"/>
      <c r="G9026" s="549"/>
      <c r="H9026" s="549"/>
      <c r="I9026" s="558"/>
      <c r="J9026" s="549"/>
      <c r="K9026" s="561"/>
      <c r="L9026" s="728"/>
      <c r="M9026" s="549"/>
      <c r="N9026" s="549"/>
      <c r="O9026" s="549"/>
      <c r="P9026" s="549"/>
    </row>
    <row r="9027" spans="1:26" ht="17.399999999999999">
      <c r="A9027" s="547" t="s">
        <v>332</v>
      </c>
      <c r="B9027" s="547" t="s">
        <v>857</v>
      </c>
      <c r="C9027" s="547" t="s">
        <v>19</v>
      </c>
      <c r="D9027" s="547" t="s">
        <v>20</v>
      </c>
      <c r="E9027" s="650" t="s">
        <v>878</v>
      </c>
      <c r="F9027" s="1305">
        <v>16</v>
      </c>
      <c r="G9027" s="549" t="s">
        <v>21</v>
      </c>
      <c r="H9027" s="599" t="s">
        <v>179</v>
      </c>
      <c r="I9027" s="558">
        <v>33.799999999999997</v>
      </c>
      <c r="J9027" s="710">
        <v>8</v>
      </c>
      <c r="K9027" s="648">
        <v>7</v>
      </c>
      <c r="L9027" s="725">
        <f>(I9027*J9027*K9027/1000)</f>
        <v>1.8927999999999998</v>
      </c>
      <c r="M9027" s="549"/>
      <c r="N9027" s="549"/>
      <c r="O9027" s="549"/>
      <c r="P9027" s="549"/>
      <c r="T9027" s="497" t="s">
        <v>1092</v>
      </c>
      <c r="Y9027">
        <v>7</v>
      </c>
      <c r="Z9027" s="126">
        <f>J9027*Y9027*I9027/1000</f>
        <v>1.8927999999999998</v>
      </c>
    </row>
    <row r="9028" spans="1:26" ht="17.399999999999999">
      <c r="A9028" s="549"/>
      <c r="B9028" s="549" t="s">
        <v>84</v>
      </c>
      <c r="C9028" s="549"/>
      <c r="D9028" s="549"/>
      <c r="E9028" s="549"/>
      <c r="F9028" s="549"/>
      <c r="G9028" s="549"/>
      <c r="H9028" s="650"/>
      <c r="I9028" s="558"/>
      <c r="J9028" s="710"/>
      <c r="K9028" s="648">
        <f t="shared" ref="K9028" si="1855">SUM(K9027)</f>
        <v>7</v>
      </c>
      <c r="L9028" s="763">
        <f>SUM(L9027)</f>
        <v>1.8927999999999998</v>
      </c>
      <c r="M9028" s="549"/>
      <c r="N9028" s="549"/>
      <c r="O9028" s="549"/>
      <c r="P9028" s="549" t="s">
        <v>998</v>
      </c>
      <c r="R9028" s="648">
        <f t="shared" ref="R9028" si="1856">SUM(R9027)</f>
        <v>0</v>
      </c>
      <c r="S9028" s="763">
        <f>SUM(S9027)</f>
        <v>0</v>
      </c>
      <c r="Y9028" s="648">
        <f t="shared" ref="Y9028" si="1857">SUM(Y9027)</f>
        <v>7</v>
      </c>
      <c r="Z9028" s="763">
        <f>SUM(Z9027)</f>
        <v>1.8927999999999998</v>
      </c>
    </row>
    <row r="9029" spans="1:26" s="497" customFormat="1" ht="17.399999999999999">
      <c r="A9029" s="549"/>
      <c r="B9029" s="549"/>
      <c r="C9029" s="549"/>
      <c r="D9029" s="549"/>
      <c r="E9029" s="549"/>
      <c r="F9029" s="549"/>
      <c r="G9029" s="549"/>
      <c r="H9029" s="650"/>
      <c r="I9029" s="558"/>
      <c r="J9029" s="710"/>
      <c r="K9029" s="770">
        <f>SUM(K9024:K9028)/2</f>
        <v>323</v>
      </c>
      <c r="L9029" s="763">
        <f>SUM(L9024:L9028)/2</f>
        <v>79.862639999999985</v>
      </c>
      <c r="M9029" s="770">
        <f>SUM(M9024:M9028)/2</f>
        <v>0</v>
      </c>
      <c r="N9029" s="763">
        <f>SUM(N9024:N9028)/2</f>
        <v>0</v>
      </c>
      <c r="O9029" s="549"/>
      <c r="P9029" s="549"/>
    </row>
    <row r="9030" spans="1:26" s="497" customFormat="1" ht="17.399999999999999">
      <c r="A9030" s="549"/>
      <c r="B9030" s="549"/>
      <c r="C9030" s="549"/>
      <c r="D9030" s="549"/>
      <c r="E9030" s="549"/>
      <c r="F9030" s="549"/>
      <c r="G9030" s="549"/>
      <c r="H9030" s="650"/>
      <c r="I9030" s="558"/>
      <c r="J9030" s="710"/>
      <c r="K9030" s="770"/>
      <c r="L9030" s="763"/>
      <c r="M9030" s="770"/>
      <c r="N9030" s="763"/>
      <c r="O9030" s="549"/>
      <c r="P9030" s="549"/>
    </row>
    <row r="9031" spans="1:26" s="497" customFormat="1" ht="17.399999999999999">
      <c r="A9031" s="549"/>
      <c r="B9031" s="549"/>
      <c r="C9031" s="549"/>
      <c r="D9031" s="549"/>
      <c r="E9031" s="549"/>
      <c r="F9031" s="549"/>
      <c r="G9031" s="549"/>
      <c r="H9031" s="650"/>
      <c r="I9031" s="558"/>
      <c r="J9031" s="710"/>
      <c r="K9031" s="770"/>
      <c r="L9031" s="763"/>
      <c r="M9031" s="770"/>
      <c r="N9031" s="763"/>
      <c r="O9031" s="549"/>
      <c r="P9031" s="549"/>
    </row>
    <row r="9032" spans="1:26" ht="17.399999999999999">
      <c r="A9032" s="547" t="s">
        <v>332</v>
      </c>
      <c r="B9032" s="547" t="s">
        <v>857</v>
      </c>
      <c r="C9032" s="547" t="s">
        <v>19</v>
      </c>
      <c r="D9032" s="547" t="s">
        <v>20</v>
      </c>
      <c r="E9032" s="1283" t="s">
        <v>51</v>
      </c>
      <c r="F9032" s="1305">
        <v>16</v>
      </c>
      <c r="G9032" s="549" t="s">
        <v>21</v>
      </c>
      <c r="H9032" s="599" t="s">
        <v>178</v>
      </c>
      <c r="I9032" s="558">
        <v>31.6</v>
      </c>
      <c r="J9032" s="710">
        <v>8.4</v>
      </c>
      <c r="K9032" s="648">
        <v>8</v>
      </c>
      <c r="L9032" s="725">
        <f>(I9032*J9032*K9032/1000)</f>
        <v>2.1235200000000001</v>
      </c>
      <c r="M9032" s="549"/>
      <c r="N9032" s="549"/>
      <c r="O9032" s="549"/>
      <c r="P9032" s="549"/>
      <c r="R9032" s="497">
        <v>8</v>
      </c>
      <c r="S9032" s="497">
        <f>J9032*R9032*I9032/1000</f>
        <v>2.1235200000000001</v>
      </c>
      <c r="T9032" s="497" t="s">
        <v>1084</v>
      </c>
    </row>
    <row r="9033" spans="1:26" ht="17.399999999999999">
      <c r="A9033" s="549"/>
      <c r="B9033" s="549" t="s">
        <v>84</v>
      </c>
      <c r="C9033" s="549"/>
      <c r="D9033" s="549"/>
      <c r="E9033" s="832"/>
      <c r="F9033" s="549"/>
      <c r="G9033" s="549"/>
      <c r="H9033" s="650"/>
      <c r="I9033" s="558"/>
      <c r="J9033" s="710"/>
      <c r="K9033" s="648">
        <f t="shared" ref="K9033:N9033" si="1858">SUM(K9032)</f>
        <v>8</v>
      </c>
      <c r="L9033" s="763">
        <f t="shared" si="1858"/>
        <v>2.1235200000000001</v>
      </c>
      <c r="M9033" s="648">
        <f t="shared" si="1858"/>
        <v>0</v>
      </c>
      <c r="N9033" s="763">
        <f t="shared" si="1858"/>
        <v>0</v>
      </c>
      <c r="O9033" s="549"/>
      <c r="P9033" s="549" t="s">
        <v>999</v>
      </c>
      <c r="R9033" s="648">
        <f t="shared" ref="R9033" si="1859">SUM(R9032)</f>
        <v>8</v>
      </c>
      <c r="S9033" s="763">
        <f>SUM(S9032)</f>
        <v>2.1235200000000001</v>
      </c>
    </row>
    <row r="9034" spans="1:26" s="497" customFormat="1" ht="17.399999999999999">
      <c r="A9034" s="549"/>
      <c r="B9034" s="549"/>
      <c r="C9034" s="549"/>
      <c r="D9034" s="549"/>
      <c r="E9034" s="832"/>
      <c r="F9034" s="549"/>
      <c r="G9034" s="549"/>
      <c r="H9034" s="650"/>
      <c r="I9034" s="558"/>
      <c r="J9034" s="710"/>
      <c r="K9034" s="648"/>
      <c r="L9034" s="763"/>
      <c r="M9034" s="549"/>
      <c r="N9034" s="549"/>
      <c r="O9034" s="549"/>
      <c r="P9034" s="549"/>
    </row>
    <row r="9035" spans="1:26" ht="17.399999999999999">
      <c r="A9035" s="547" t="s">
        <v>332</v>
      </c>
      <c r="B9035" s="547" t="s">
        <v>857</v>
      </c>
      <c r="C9035" s="547" t="s">
        <v>19</v>
      </c>
      <c r="D9035" s="547" t="s">
        <v>20</v>
      </c>
      <c r="E9035" s="650" t="s">
        <v>878</v>
      </c>
      <c r="F9035" s="1305">
        <v>16</v>
      </c>
      <c r="G9035" s="549" t="s">
        <v>21</v>
      </c>
      <c r="H9035" s="599" t="s">
        <v>178</v>
      </c>
      <c r="I9035" s="558">
        <v>31.6</v>
      </c>
      <c r="J9035" s="710">
        <v>12</v>
      </c>
      <c r="K9035" s="648">
        <v>9</v>
      </c>
      <c r="L9035" s="725">
        <f>(I9035*J9035*K9035/1000)</f>
        <v>3.4128000000000003</v>
      </c>
      <c r="M9035" s="549"/>
      <c r="N9035" s="549"/>
      <c r="O9035" s="549"/>
      <c r="P9035" s="549"/>
      <c r="Q9035" s="1358" t="s">
        <v>1116</v>
      </c>
    </row>
    <row r="9036" spans="1:26" ht="17.399999999999999">
      <c r="A9036" s="549"/>
      <c r="B9036" s="549" t="s">
        <v>84</v>
      </c>
      <c r="C9036" s="549"/>
      <c r="D9036" s="549"/>
      <c r="E9036" s="549"/>
      <c r="F9036" s="549"/>
      <c r="G9036" s="549"/>
      <c r="H9036" s="650"/>
      <c r="I9036" s="558"/>
      <c r="J9036" s="710"/>
      <c r="K9036" s="648">
        <f t="shared" ref="K9036:N9036" si="1860">SUM(K9035)</f>
        <v>9</v>
      </c>
      <c r="L9036" s="763">
        <f t="shared" si="1860"/>
        <v>3.4128000000000003</v>
      </c>
      <c r="M9036" s="648">
        <f t="shared" si="1860"/>
        <v>0</v>
      </c>
      <c r="N9036" s="763">
        <f t="shared" si="1860"/>
        <v>0</v>
      </c>
      <c r="O9036" s="549"/>
      <c r="P9036" s="549" t="s">
        <v>1000</v>
      </c>
    </row>
    <row r="9037" spans="1:26" s="497" customFormat="1" ht="17.399999999999999">
      <c r="A9037" s="549"/>
      <c r="B9037" s="549"/>
      <c r="C9037" s="549"/>
      <c r="D9037" s="549"/>
      <c r="E9037" s="549"/>
      <c r="F9037" s="549"/>
      <c r="G9037" s="549"/>
      <c r="H9037" s="650"/>
      <c r="I9037" s="558"/>
      <c r="J9037" s="710"/>
      <c r="K9037" s="770">
        <f>SUM(K9032:K9036)/2</f>
        <v>17</v>
      </c>
      <c r="L9037" s="763">
        <f>SUM(L9032:L9036)/2</f>
        <v>5.5363200000000008</v>
      </c>
      <c r="M9037" s="549"/>
      <c r="N9037" s="549"/>
      <c r="O9037" s="549"/>
      <c r="P9037" s="549"/>
    </row>
    <row r="9038" spans="1:26" s="497" customFormat="1" ht="17.399999999999999">
      <c r="A9038" s="549"/>
      <c r="B9038" s="549"/>
      <c r="C9038" s="549"/>
      <c r="D9038" s="549"/>
      <c r="E9038" s="549"/>
      <c r="F9038" s="549"/>
      <c r="G9038" s="549"/>
      <c r="H9038" s="650"/>
      <c r="I9038" s="558"/>
      <c r="J9038" s="710"/>
      <c r="K9038" s="770"/>
      <c r="L9038" s="763"/>
      <c r="M9038" s="549"/>
      <c r="N9038" s="549"/>
      <c r="O9038" s="549"/>
      <c r="P9038" s="549"/>
    </row>
    <row r="9039" spans="1:26" s="497" customFormat="1" ht="17.399999999999999">
      <c r="A9039" s="549"/>
      <c r="B9039" s="549"/>
      <c r="C9039" s="549"/>
      <c r="D9039" s="549"/>
      <c r="E9039" s="549"/>
      <c r="F9039" s="549"/>
      <c r="G9039" s="549"/>
      <c r="H9039" s="650"/>
      <c r="I9039" s="558"/>
      <c r="J9039" s="710"/>
      <c r="K9039" s="770"/>
      <c r="L9039" s="763"/>
      <c r="M9039" s="549"/>
      <c r="N9039" s="549"/>
      <c r="O9039" s="549"/>
      <c r="P9039" s="549"/>
    </row>
    <row r="9040" spans="1:26" ht="17.399999999999999">
      <c r="A9040" s="547" t="s">
        <v>541</v>
      </c>
      <c r="B9040" s="547" t="s">
        <v>952</v>
      </c>
      <c r="C9040" s="547" t="s">
        <v>19</v>
      </c>
      <c r="D9040" s="547" t="s">
        <v>20</v>
      </c>
      <c r="E9040" s="1283" t="s">
        <v>51</v>
      </c>
      <c r="F9040" s="1305">
        <v>16</v>
      </c>
      <c r="G9040" s="549" t="s">
        <v>21</v>
      </c>
      <c r="H9040" s="599" t="s">
        <v>518</v>
      </c>
      <c r="I9040" s="558">
        <v>29.5</v>
      </c>
      <c r="J9040" s="567">
        <v>7.3</v>
      </c>
      <c r="K9040" s="648">
        <v>9</v>
      </c>
      <c r="L9040" s="725">
        <f t="shared" ref="L9040:L9042" si="1861">(I9040*J9040*K9040/1000)</f>
        <v>1.9381499999999998</v>
      </c>
      <c r="M9040" s="549"/>
      <c r="N9040" s="549"/>
      <c r="O9040" s="549"/>
      <c r="P9040" s="549"/>
      <c r="Q9040" s="1358" t="s">
        <v>1116</v>
      </c>
    </row>
    <row r="9041" spans="1:19" ht="17.399999999999999">
      <c r="A9041" s="549"/>
      <c r="B9041" s="549"/>
      <c r="C9041" s="549"/>
      <c r="D9041" s="549"/>
      <c r="E9041" s="832"/>
      <c r="F9041" s="549"/>
      <c r="G9041" s="549" t="s">
        <v>21</v>
      </c>
      <c r="H9041" s="549" t="s">
        <v>518</v>
      </c>
      <c r="I9041" s="558">
        <v>29.5</v>
      </c>
      <c r="J9041" s="567">
        <v>7.6</v>
      </c>
      <c r="K9041" s="648">
        <v>4</v>
      </c>
      <c r="L9041" s="725">
        <f t="shared" si="1861"/>
        <v>0.89679999999999993</v>
      </c>
      <c r="M9041" s="549"/>
      <c r="N9041" s="549"/>
      <c r="O9041" s="549"/>
      <c r="P9041" s="549"/>
    </row>
    <row r="9042" spans="1:19" ht="17.399999999999999">
      <c r="A9042" s="549"/>
      <c r="B9042" s="549"/>
      <c r="C9042" s="549"/>
      <c r="D9042" s="549"/>
      <c r="E9042" s="549"/>
      <c r="F9042" s="549"/>
      <c r="G9042" s="549" t="s">
        <v>21</v>
      </c>
      <c r="H9042" s="549" t="s">
        <v>518</v>
      </c>
      <c r="I9042" s="558">
        <v>29.5</v>
      </c>
      <c r="J9042" s="567">
        <v>9.3000000000000007</v>
      </c>
      <c r="K9042" s="648">
        <v>38</v>
      </c>
      <c r="L9042" s="725">
        <f t="shared" si="1861"/>
        <v>10.425300000000002</v>
      </c>
      <c r="M9042" s="549"/>
      <c r="N9042" s="549"/>
      <c r="O9042" s="549"/>
      <c r="P9042" s="549"/>
    </row>
    <row r="9043" spans="1:19" ht="17.399999999999999">
      <c r="A9043" s="549"/>
      <c r="B9043" s="549"/>
      <c r="C9043" s="549"/>
      <c r="D9043" s="549"/>
      <c r="E9043" s="549"/>
      <c r="F9043" s="549"/>
      <c r="G9043" s="549" t="s">
        <v>21</v>
      </c>
      <c r="H9043" s="549" t="s">
        <v>518</v>
      </c>
      <c r="I9043" s="558">
        <v>29.5</v>
      </c>
      <c r="J9043" s="567">
        <v>10.3</v>
      </c>
      <c r="K9043" s="648">
        <v>7</v>
      </c>
      <c r="L9043" s="725">
        <f>(I9043*J9043*K9043/1000)</f>
        <v>2.1269500000000003</v>
      </c>
      <c r="M9043" s="549"/>
      <c r="N9043" s="549"/>
      <c r="O9043" s="549"/>
      <c r="P9043" s="549"/>
    </row>
    <row r="9044" spans="1:19" ht="17.399999999999999">
      <c r="A9044" s="549"/>
      <c r="B9044" s="549"/>
      <c r="C9044" s="549"/>
      <c r="D9044" s="549"/>
      <c r="E9044" s="549"/>
      <c r="F9044" s="549"/>
      <c r="G9044" s="549"/>
      <c r="H9044" s="549"/>
      <c r="I9044" s="558"/>
      <c r="J9044" s="567"/>
      <c r="K9044" s="648">
        <f>SUM(K9040:K9043)</f>
        <v>58</v>
      </c>
      <c r="L9044" s="710">
        <f>SUM(L9040:L9043)</f>
        <v>15.387200000000002</v>
      </c>
      <c r="M9044" s="549"/>
      <c r="N9044" s="549"/>
      <c r="O9044" s="549"/>
      <c r="P9044" s="549"/>
    </row>
    <row r="9045" spans="1:19" s="497" customFormat="1" ht="17.399999999999999">
      <c r="A9045" s="549"/>
      <c r="B9045" s="549"/>
      <c r="C9045" s="549"/>
      <c r="D9045" s="549"/>
      <c r="E9045" s="549"/>
      <c r="F9045" s="549"/>
      <c r="G9045" s="549"/>
      <c r="H9045" s="549"/>
      <c r="I9045" s="558"/>
      <c r="J9045" s="567"/>
      <c r="K9045" s="648"/>
      <c r="L9045" s="710"/>
      <c r="M9045" s="549"/>
      <c r="N9045" s="549"/>
      <c r="O9045" s="549"/>
      <c r="P9045" s="549"/>
    </row>
    <row r="9046" spans="1:19" ht="17.399999999999999">
      <c r="A9046" s="547" t="s">
        <v>332</v>
      </c>
      <c r="B9046" s="547" t="s">
        <v>857</v>
      </c>
      <c r="C9046" s="547" t="s">
        <v>19</v>
      </c>
      <c r="D9046" s="547" t="s">
        <v>20</v>
      </c>
      <c r="E9046" s="1283" t="s">
        <v>51</v>
      </c>
      <c r="F9046" s="1305">
        <v>16</v>
      </c>
      <c r="G9046" s="549" t="s">
        <v>21</v>
      </c>
      <c r="H9046" s="599" t="s">
        <v>518</v>
      </c>
      <c r="I9046" s="558">
        <v>29.5</v>
      </c>
      <c r="J9046" s="710">
        <v>7.2</v>
      </c>
      <c r="K9046" s="648">
        <v>16</v>
      </c>
      <c r="L9046" s="725">
        <f>(I9046*J9046*K9046/1000)</f>
        <v>3.3984000000000001</v>
      </c>
      <c r="M9046" s="549"/>
      <c r="N9046" s="549"/>
      <c r="O9046" s="549"/>
      <c r="P9046" s="549"/>
      <c r="Q9046" s="1358" t="s">
        <v>1116</v>
      </c>
    </row>
    <row r="9047" spans="1:19" ht="17.399999999999999">
      <c r="A9047" s="549"/>
      <c r="B9047" s="549" t="s">
        <v>84</v>
      </c>
      <c r="C9047" s="549"/>
      <c r="D9047" s="549"/>
      <c r="E9047" s="832"/>
      <c r="F9047" s="549"/>
      <c r="G9047" s="549"/>
      <c r="H9047" s="650"/>
      <c r="I9047" s="558"/>
      <c r="J9047" s="710"/>
      <c r="K9047" s="648">
        <f t="shared" ref="K9047" si="1862">SUM(K9046)</f>
        <v>16</v>
      </c>
      <c r="L9047" s="763">
        <f>SUM(L9046)</f>
        <v>3.3984000000000001</v>
      </c>
      <c r="M9047" s="549"/>
      <c r="N9047" s="549"/>
      <c r="O9047" s="549"/>
      <c r="P9047" s="549"/>
    </row>
    <row r="9048" spans="1:19" s="497" customFormat="1" ht="17.399999999999999">
      <c r="A9048" s="549"/>
      <c r="B9048" s="549"/>
      <c r="C9048" s="549"/>
      <c r="D9048" s="549"/>
      <c r="E9048" s="832"/>
      <c r="F9048" s="549"/>
      <c r="G9048" s="549"/>
      <c r="H9048" s="650"/>
      <c r="I9048" s="558"/>
      <c r="J9048" s="710"/>
      <c r="K9048" s="770">
        <f>SUM(K9040:K9047)/2</f>
        <v>74</v>
      </c>
      <c r="L9048" s="763">
        <f>SUM(L9040:L9047)/2</f>
        <v>18.785600000000002</v>
      </c>
      <c r="M9048" s="770">
        <f>SUM(M9040:M9047)/2</f>
        <v>0</v>
      </c>
      <c r="N9048" s="763">
        <f>SUM(N9040:N9047)/2</f>
        <v>0</v>
      </c>
      <c r="O9048" s="549"/>
      <c r="P9048" s="549" t="s">
        <v>1001</v>
      </c>
    </row>
    <row r="9049" spans="1:19" s="497" customFormat="1" ht="17.399999999999999">
      <c r="A9049" s="549"/>
      <c r="B9049" s="549"/>
      <c r="C9049" s="549"/>
      <c r="D9049" s="549"/>
      <c r="E9049" s="832"/>
      <c r="F9049" s="549"/>
      <c r="G9049" s="549"/>
      <c r="H9049" s="650"/>
      <c r="I9049" s="558"/>
      <c r="J9049" s="710"/>
      <c r="K9049" s="770"/>
      <c r="L9049" s="763"/>
      <c r="M9049" s="549"/>
      <c r="N9049" s="549"/>
      <c r="O9049" s="549"/>
      <c r="P9049" s="549"/>
    </row>
    <row r="9050" spans="1:19" s="497" customFormat="1" ht="17.399999999999999">
      <c r="A9050" s="549"/>
      <c r="B9050" s="549"/>
      <c r="C9050" s="549"/>
      <c r="D9050" s="549"/>
      <c r="E9050" s="832"/>
      <c r="F9050" s="549"/>
      <c r="G9050" s="549"/>
      <c r="H9050" s="650"/>
      <c r="I9050" s="558"/>
      <c r="J9050" s="710"/>
      <c r="K9050" s="770"/>
      <c r="L9050" s="763"/>
      <c r="M9050" s="549"/>
      <c r="N9050" s="549"/>
      <c r="O9050" s="549"/>
      <c r="P9050" s="549"/>
    </row>
    <row r="9051" spans="1:19" ht="17.399999999999999">
      <c r="A9051" s="547" t="s">
        <v>541</v>
      </c>
      <c r="B9051" s="547" t="s">
        <v>952</v>
      </c>
      <c r="C9051" s="547" t="s">
        <v>19</v>
      </c>
      <c r="D9051" s="547" t="s">
        <v>20</v>
      </c>
      <c r="E9051" s="1283" t="s">
        <v>51</v>
      </c>
      <c r="F9051" s="1305">
        <v>16</v>
      </c>
      <c r="G9051" s="549" t="s">
        <v>21</v>
      </c>
      <c r="H9051" s="599" t="s">
        <v>177</v>
      </c>
      <c r="I9051" s="558">
        <v>27.3</v>
      </c>
      <c r="J9051" s="567">
        <v>6.2</v>
      </c>
      <c r="K9051" s="648">
        <v>12</v>
      </c>
      <c r="L9051" s="725">
        <f t="shared" ref="L9051:L9055" si="1863">(I9051*J9051*K9051/1000)</f>
        <v>2.0311200000000005</v>
      </c>
      <c r="M9051" s="549">
        <v>7</v>
      </c>
      <c r="N9051" s="567">
        <f>J9051*M9051*I9051/1000</f>
        <v>1.18482</v>
      </c>
      <c r="O9051" s="549"/>
      <c r="P9051" s="549"/>
      <c r="Q9051" s="497">
        <v>1</v>
      </c>
      <c r="S9051" s="1358" t="s">
        <v>1116</v>
      </c>
    </row>
    <row r="9052" spans="1:19" ht="17.399999999999999">
      <c r="A9052" s="549"/>
      <c r="B9052" s="549"/>
      <c r="C9052" s="549"/>
      <c r="D9052" s="549"/>
      <c r="E9052" s="832"/>
      <c r="F9052" s="549"/>
      <c r="G9052" s="549" t="s">
        <v>21</v>
      </c>
      <c r="H9052" s="549" t="s">
        <v>177</v>
      </c>
      <c r="I9052" s="558">
        <v>27.3</v>
      </c>
      <c r="J9052" s="567">
        <v>6.6</v>
      </c>
      <c r="K9052" s="648">
        <v>24</v>
      </c>
      <c r="L9052" s="725">
        <f t="shared" si="1863"/>
        <v>4.3243199999999993</v>
      </c>
      <c r="M9052" s="549"/>
      <c r="N9052" s="567">
        <f>J9052*M9052*I9052/1000</f>
        <v>0</v>
      </c>
      <c r="O9052" s="549"/>
      <c r="P9052" s="549"/>
    </row>
    <row r="9053" spans="1:19" ht="17.399999999999999">
      <c r="A9053" s="549"/>
      <c r="B9053" s="549"/>
      <c r="C9053" s="549"/>
      <c r="D9053" s="549"/>
      <c r="E9053" s="549"/>
      <c r="F9053" s="549"/>
      <c r="G9053" s="549" t="s">
        <v>21</v>
      </c>
      <c r="H9053" s="549" t="s">
        <v>177</v>
      </c>
      <c r="I9053" s="558">
        <v>27.3</v>
      </c>
      <c r="J9053" s="567">
        <v>6.8</v>
      </c>
      <c r="K9053" s="648">
        <v>24</v>
      </c>
      <c r="L9053" s="725">
        <f t="shared" si="1863"/>
        <v>4.4553599999999998</v>
      </c>
      <c r="M9053" s="549"/>
      <c r="N9053" s="567">
        <f>J9053*M9053*I9053/1000</f>
        <v>0</v>
      </c>
      <c r="O9053" s="549"/>
      <c r="P9053" s="549"/>
    </row>
    <row r="9054" spans="1:19" ht="17.399999999999999">
      <c r="A9054" s="549"/>
      <c r="B9054" s="549"/>
      <c r="C9054" s="549"/>
      <c r="D9054" s="549"/>
      <c r="E9054" s="549"/>
      <c r="F9054" s="549"/>
      <c r="G9054" s="549" t="s">
        <v>21</v>
      </c>
      <c r="H9054" s="549" t="s">
        <v>177</v>
      </c>
      <c r="I9054" s="558">
        <v>27.3</v>
      </c>
      <c r="J9054" s="567">
        <v>9.1</v>
      </c>
      <c r="K9054" s="648">
        <v>38</v>
      </c>
      <c r="L9054" s="725">
        <f t="shared" si="1863"/>
        <v>9.4403400000000008</v>
      </c>
      <c r="M9054" s="549"/>
      <c r="N9054" s="567">
        <f>J9054*M9054*I9054/1000</f>
        <v>0</v>
      </c>
      <c r="O9054" s="549"/>
      <c r="P9054" s="549"/>
      <c r="Q9054" s="497">
        <v>1</v>
      </c>
    </row>
    <row r="9055" spans="1:19" ht="17.399999999999999">
      <c r="A9055" s="549"/>
      <c r="B9055" s="549"/>
      <c r="C9055" s="549"/>
      <c r="D9055" s="549"/>
      <c r="E9055" s="549"/>
      <c r="F9055" s="549"/>
      <c r="G9055" s="549" t="s">
        <v>21</v>
      </c>
      <c r="H9055" s="549" t="s">
        <v>177</v>
      </c>
      <c r="I9055" s="558">
        <v>27.3</v>
      </c>
      <c r="J9055" s="567">
        <v>11.4</v>
      </c>
      <c r="K9055" s="648">
        <v>13</v>
      </c>
      <c r="L9055" s="725">
        <f t="shared" si="1863"/>
        <v>4.0458600000000002</v>
      </c>
      <c r="M9055" s="549"/>
      <c r="N9055" s="567">
        <f>J9055*M9055*I9055/1000</f>
        <v>0</v>
      </c>
      <c r="O9055" s="549"/>
      <c r="P9055" s="549"/>
    </row>
    <row r="9056" spans="1:19" ht="17.399999999999999">
      <c r="A9056" s="549"/>
      <c r="B9056" s="549"/>
      <c r="C9056" s="549"/>
      <c r="D9056" s="549"/>
      <c r="E9056" s="549"/>
      <c r="F9056" s="549"/>
      <c r="G9056" s="549"/>
      <c r="H9056" s="549"/>
      <c r="I9056" s="558"/>
      <c r="J9056" s="567"/>
      <c r="K9056" s="648">
        <f t="shared" ref="K9056:M9056" si="1864">SUM(K9051:K9055)</f>
        <v>111</v>
      </c>
      <c r="L9056" s="710">
        <f t="shared" si="1864"/>
        <v>24.297000000000001</v>
      </c>
      <c r="M9056" s="648">
        <f t="shared" si="1864"/>
        <v>7</v>
      </c>
      <c r="N9056" s="710">
        <f>SUM(N9051:N9055)</f>
        <v>1.18482</v>
      </c>
      <c r="O9056" s="549"/>
      <c r="P9056" s="549" t="s">
        <v>1002</v>
      </c>
    </row>
    <row r="9057" spans="1:23" s="497" customFormat="1" ht="17.399999999999999">
      <c r="A9057" s="549"/>
      <c r="B9057" s="549"/>
      <c r="C9057" s="549"/>
      <c r="D9057" s="549"/>
      <c r="E9057" s="549"/>
      <c r="F9057" s="549"/>
      <c r="G9057" s="549"/>
      <c r="H9057" s="549"/>
      <c r="I9057" s="558"/>
      <c r="J9057" s="567"/>
      <c r="K9057" s="648"/>
      <c r="L9057" s="710"/>
      <c r="M9057" s="549"/>
      <c r="N9057" s="549"/>
      <c r="O9057" s="549"/>
      <c r="P9057" s="549"/>
    </row>
    <row r="9058" spans="1:23" s="497" customFormat="1" ht="17.399999999999999">
      <c r="A9058" s="549"/>
      <c r="B9058" s="549"/>
      <c r="C9058" s="549"/>
      <c r="D9058" s="549"/>
      <c r="E9058" s="549"/>
      <c r="F9058" s="549"/>
      <c r="G9058" s="549"/>
      <c r="H9058" s="549"/>
      <c r="I9058" s="558"/>
      <c r="J9058" s="567"/>
      <c r="K9058" s="648"/>
      <c r="L9058" s="710"/>
      <c r="M9058" s="549"/>
      <c r="N9058" s="549"/>
      <c r="O9058" s="549"/>
      <c r="P9058" s="549"/>
    </row>
    <row r="9059" spans="1:23" ht="17.399999999999999">
      <c r="A9059" s="549"/>
      <c r="B9059" s="549"/>
      <c r="C9059" s="549"/>
      <c r="D9059" s="549"/>
      <c r="E9059" s="549"/>
      <c r="F9059" s="549"/>
      <c r="G9059" s="549"/>
      <c r="H9059" s="549"/>
      <c r="I9059" s="558"/>
      <c r="J9059" s="549"/>
      <c r="K9059" s="561"/>
      <c r="L9059" s="728"/>
      <c r="M9059" s="549"/>
      <c r="N9059" s="549"/>
      <c r="O9059" s="549"/>
      <c r="P9059" s="549"/>
    </row>
    <row r="9060" spans="1:23" ht="17.399999999999999">
      <c r="A9060" s="547" t="s">
        <v>445</v>
      </c>
      <c r="B9060" s="547" t="s">
        <v>845</v>
      </c>
      <c r="C9060" s="547" t="s">
        <v>19</v>
      </c>
      <c r="D9060" s="547" t="s">
        <v>20</v>
      </c>
      <c r="E9060" s="550" t="s">
        <v>367</v>
      </c>
      <c r="F9060" s="1305">
        <v>16</v>
      </c>
      <c r="G9060" s="549" t="s">
        <v>21</v>
      </c>
      <c r="H9060" s="599" t="s">
        <v>177</v>
      </c>
      <c r="I9060" s="558">
        <v>27.3</v>
      </c>
      <c r="J9060" s="710">
        <v>10.1</v>
      </c>
      <c r="K9060" s="648">
        <v>63</v>
      </c>
      <c r="L9060" s="725">
        <f>(I9060*J9060*K9060/1000)</f>
        <v>17.370990000000003</v>
      </c>
      <c r="M9060" s="549">
        <v>5</v>
      </c>
      <c r="N9060" s="567">
        <f t="shared" ref="N9060:N9061" si="1865">J9060*M9060*I9060/1000</f>
        <v>1.3786500000000002</v>
      </c>
      <c r="O9060" s="549"/>
      <c r="P9060" s="549"/>
      <c r="Q9060" s="497">
        <v>-5</v>
      </c>
      <c r="R9060" s="497">
        <f>9+9+11+11+3</f>
        <v>43</v>
      </c>
      <c r="S9060" s="1358"/>
      <c r="T9060" s="1358" t="s">
        <v>1116</v>
      </c>
      <c r="U9060" s="1358"/>
      <c r="V9060" s="1358"/>
      <c r="W9060" s="1358"/>
    </row>
    <row r="9061" spans="1:23" ht="17.399999999999999">
      <c r="A9061" s="549"/>
      <c r="B9061" s="549" t="s">
        <v>88</v>
      </c>
      <c r="C9061" s="549"/>
      <c r="D9061" s="549"/>
      <c r="E9061" s="549"/>
      <c r="F9061" s="549"/>
      <c r="G9061" s="549" t="s">
        <v>21</v>
      </c>
      <c r="H9061" s="549" t="s">
        <v>177</v>
      </c>
      <c r="I9061" s="558">
        <v>27.3</v>
      </c>
      <c r="J9061" s="710">
        <v>11.6</v>
      </c>
      <c r="K9061" s="648">
        <v>32</v>
      </c>
      <c r="L9061" s="725">
        <f>(I9061*J9061*K9061/1000)</f>
        <v>10.133760000000001</v>
      </c>
      <c r="M9061" s="549">
        <v>1</v>
      </c>
      <c r="N9061" s="567">
        <f t="shared" si="1865"/>
        <v>0.31668000000000002</v>
      </c>
      <c r="O9061" s="549"/>
      <c r="P9061" s="549"/>
      <c r="Q9061" s="497">
        <v>-1</v>
      </c>
      <c r="R9061" s="497">
        <f>8+8+3</f>
        <v>19</v>
      </c>
      <c r="T9061" s="1358"/>
      <c r="U9061" s="1358"/>
      <c r="V9061" s="1358"/>
      <c r="W9061" s="1358"/>
    </row>
    <row r="9062" spans="1:23" ht="17.399999999999999">
      <c r="A9062" s="549"/>
      <c r="B9062" s="549"/>
      <c r="C9062" s="549"/>
      <c r="D9062" s="549"/>
      <c r="E9062" s="549"/>
      <c r="F9062" s="549"/>
      <c r="G9062" s="549"/>
      <c r="H9062" s="549"/>
      <c r="I9062" s="558"/>
      <c r="J9062" s="710"/>
      <c r="K9062" s="648">
        <f t="shared" ref="K9062:M9062" si="1866">SUM(K9060:K9061)</f>
        <v>95</v>
      </c>
      <c r="L9062" s="763">
        <f>SUM(L9060:L9061)</f>
        <v>27.504750000000001</v>
      </c>
      <c r="M9062" s="648">
        <f t="shared" si="1866"/>
        <v>6</v>
      </c>
      <c r="N9062" s="763">
        <f>SUM(N9060:N9061)</f>
        <v>1.6953300000000002</v>
      </c>
      <c r="O9062" s="549"/>
      <c r="P9062" s="549" t="s">
        <v>1003</v>
      </c>
      <c r="R9062" s="648">
        <f t="shared" ref="R9062" si="1867">SUM(R9060:R9061)</f>
        <v>62</v>
      </c>
      <c r="S9062" s="763">
        <f>SUM(S9060:S9061)</f>
        <v>0</v>
      </c>
      <c r="T9062" s="1358"/>
      <c r="U9062" s="1358"/>
      <c r="V9062" s="1358"/>
      <c r="W9062" s="1358"/>
    </row>
    <row r="9063" spans="1:23" s="497" customFormat="1" ht="17.399999999999999">
      <c r="A9063" s="549"/>
      <c r="B9063" s="549"/>
      <c r="C9063" s="549"/>
      <c r="D9063" s="549"/>
      <c r="E9063" s="549"/>
      <c r="F9063" s="549"/>
      <c r="G9063" s="549"/>
      <c r="H9063" s="549"/>
      <c r="I9063" s="558"/>
      <c r="J9063" s="710"/>
      <c r="K9063" s="648"/>
      <c r="L9063" s="763"/>
      <c r="M9063" s="549"/>
      <c r="N9063" s="549"/>
      <c r="O9063" s="549"/>
      <c r="P9063" s="549"/>
      <c r="T9063" s="1358"/>
      <c r="U9063" s="1358"/>
      <c r="V9063" s="1358"/>
      <c r="W9063" s="1358"/>
    </row>
    <row r="9064" spans="1:23" ht="17.399999999999999">
      <c r="A9064" s="547" t="s">
        <v>332</v>
      </c>
      <c r="B9064" s="547" t="s">
        <v>857</v>
      </c>
      <c r="C9064" s="547" t="s">
        <v>19</v>
      </c>
      <c r="D9064" s="547" t="s">
        <v>20</v>
      </c>
      <c r="E9064" s="650" t="s">
        <v>878</v>
      </c>
      <c r="F9064" s="1305">
        <v>16</v>
      </c>
      <c r="G9064" s="549" t="s">
        <v>21</v>
      </c>
      <c r="H9064" s="599" t="s">
        <v>177</v>
      </c>
      <c r="I9064" s="558">
        <v>27.3</v>
      </c>
      <c r="J9064" s="710">
        <v>7</v>
      </c>
      <c r="K9064" s="648">
        <v>5</v>
      </c>
      <c r="L9064" s="725">
        <f>(I9064*J9064*K9064/1000)</f>
        <v>0.95550000000000002</v>
      </c>
      <c r="M9064" s="549">
        <v>5</v>
      </c>
      <c r="N9064" s="567">
        <f>J9064*M9064*I9064/1000</f>
        <v>0.95550000000000002</v>
      </c>
      <c r="O9064" s="549"/>
      <c r="P9064" s="549"/>
      <c r="S9064" s="1358"/>
      <c r="T9064" s="1358" t="s">
        <v>1116</v>
      </c>
      <c r="U9064" s="1358"/>
      <c r="V9064" s="1358"/>
      <c r="W9064" s="1358"/>
    </row>
    <row r="9065" spans="1:23" ht="17.399999999999999">
      <c r="A9065" s="549"/>
      <c r="B9065" s="549" t="s">
        <v>84</v>
      </c>
      <c r="C9065" s="549"/>
      <c r="D9065" s="549"/>
      <c r="E9065" s="549"/>
      <c r="F9065" s="549"/>
      <c r="G9065" s="549" t="s">
        <v>21</v>
      </c>
      <c r="H9065" s="549" t="s">
        <v>177</v>
      </c>
      <c r="I9065" s="558">
        <v>27.3</v>
      </c>
      <c r="J9065" s="710">
        <v>10.3</v>
      </c>
      <c r="K9065" s="648">
        <v>4</v>
      </c>
      <c r="L9065" s="725">
        <f>(I9065*J9065*K9065/1000)</f>
        <v>1.1247600000000002</v>
      </c>
      <c r="M9065" s="549"/>
      <c r="N9065" s="567">
        <f>J9065*M9065*I9065/1000</f>
        <v>0</v>
      </c>
      <c r="O9065" s="549"/>
      <c r="P9065" s="549"/>
      <c r="R9065" s="497">
        <v>4</v>
      </c>
    </row>
    <row r="9066" spans="1:23" ht="17.399999999999999">
      <c r="A9066" s="549"/>
      <c r="B9066" s="549"/>
      <c r="C9066" s="549"/>
      <c r="D9066" s="549"/>
      <c r="E9066" s="549"/>
      <c r="F9066" s="549"/>
      <c r="G9066" s="549" t="s">
        <v>21</v>
      </c>
      <c r="H9066" s="549" t="s">
        <v>177</v>
      </c>
      <c r="I9066" s="558">
        <v>27.3</v>
      </c>
      <c r="J9066" s="710">
        <v>12</v>
      </c>
      <c r="K9066" s="648">
        <v>8</v>
      </c>
      <c r="L9066" s="725">
        <f>(I9066*J9066*K9066/1000)</f>
        <v>2.6208</v>
      </c>
      <c r="M9066" s="549">
        <f>1+4</f>
        <v>5</v>
      </c>
      <c r="N9066" s="567">
        <f>J9066*M9066*I9066/1000</f>
        <v>1.6379999999999999</v>
      </c>
      <c r="O9066" s="549"/>
      <c r="P9066" s="549"/>
      <c r="Q9066" s="497">
        <v>-5</v>
      </c>
      <c r="R9066" s="497">
        <v>3</v>
      </c>
    </row>
    <row r="9067" spans="1:23" ht="17.399999999999999">
      <c r="A9067" s="549"/>
      <c r="B9067" s="549"/>
      <c r="C9067" s="549"/>
      <c r="D9067" s="549"/>
      <c r="E9067" s="549"/>
      <c r="F9067" s="549"/>
      <c r="G9067" s="549"/>
      <c r="H9067" s="650"/>
      <c r="I9067" s="558"/>
      <c r="J9067" s="710"/>
      <c r="K9067" s="648">
        <f>SUM(K9064:K9066)</f>
        <v>17</v>
      </c>
      <c r="L9067" s="763">
        <f>SUM(L9064:L9066)</f>
        <v>4.70106</v>
      </c>
      <c r="M9067" s="648">
        <f t="shared" ref="M9067" si="1868">SUM(M9064:M9066)</f>
        <v>10</v>
      </c>
      <c r="N9067" s="763">
        <f>SUM(N9064:N9066)</f>
        <v>2.5934999999999997</v>
      </c>
      <c r="O9067" s="549"/>
      <c r="P9067" s="549" t="s">
        <v>1004</v>
      </c>
      <c r="R9067" s="648">
        <f t="shared" ref="R9067" si="1869">SUM(R9064:R9066)</f>
        <v>7</v>
      </c>
      <c r="S9067" s="763">
        <f>SUM(S9064:S9066)</f>
        <v>0</v>
      </c>
    </row>
    <row r="9068" spans="1:23" s="497" customFormat="1" ht="17.399999999999999">
      <c r="A9068" s="549"/>
      <c r="B9068" s="549"/>
      <c r="C9068" s="549"/>
      <c r="D9068" s="549"/>
      <c r="E9068" s="549"/>
      <c r="F9068" s="549"/>
      <c r="G9068" s="549"/>
      <c r="H9068" s="650"/>
      <c r="I9068" s="558"/>
      <c r="J9068" s="710"/>
      <c r="K9068" s="770">
        <f>SUM(K9060:K9067)/2</f>
        <v>112</v>
      </c>
      <c r="L9068" s="763">
        <f>SUM(L9060:L9067)/2</f>
        <v>32.205810000000007</v>
      </c>
      <c r="M9068" s="770">
        <f>SUM(M9060:M9067)/2</f>
        <v>16</v>
      </c>
      <c r="N9068" s="763">
        <f>SUM(N9060:N9067)/2</f>
        <v>4.2888299999999999</v>
      </c>
      <c r="O9068" s="549"/>
      <c r="P9068" s="549"/>
    </row>
    <row r="9069" spans="1:23" s="497" customFormat="1" ht="17.399999999999999">
      <c r="A9069" s="549"/>
      <c r="B9069" s="549"/>
      <c r="C9069" s="549"/>
      <c r="D9069" s="549"/>
      <c r="E9069" s="549"/>
      <c r="F9069" s="549"/>
      <c r="G9069" s="549"/>
      <c r="H9069" s="650"/>
      <c r="I9069" s="558"/>
      <c r="J9069" s="710"/>
      <c r="K9069" s="770"/>
      <c r="L9069" s="763"/>
      <c r="M9069" s="770"/>
      <c r="N9069" s="763"/>
      <c r="O9069" s="549"/>
      <c r="P9069" s="549"/>
    </row>
    <row r="9070" spans="1:23" s="497" customFormat="1" ht="17.399999999999999">
      <c r="A9070" s="549"/>
      <c r="B9070" s="549"/>
      <c r="C9070" s="549"/>
      <c r="D9070" s="549"/>
      <c r="E9070" s="549"/>
      <c r="F9070" s="549"/>
      <c r="G9070" s="549"/>
      <c r="H9070" s="650"/>
      <c r="I9070" s="558"/>
      <c r="J9070" s="710"/>
      <c r="K9070" s="770"/>
      <c r="L9070" s="763"/>
      <c r="M9070" s="770"/>
      <c r="N9070" s="763"/>
      <c r="O9070" s="549"/>
      <c r="P9070" s="549"/>
    </row>
    <row r="9071" spans="1:23" ht="17.399999999999999">
      <c r="A9071" s="547" t="s">
        <v>541</v>
      </c>
      <c r="B9071" s="547" t="s">
        <v>952</v>
      </c>
      <c r="C9071" s="547" t="s">
        <v>19</v>
      </c>
      <c r="D9071" s="547" t="s">
        <v>20</v>
      </c>
      <c r="E9071" s="1283" t="s">
        <v>51</v>
      </c>
      <c r="F9071" s="1305">
        <v>16</v>
      </c>
      <c r="G9071" s="549" t="s">
        <v>21</v>
      </c>
      <c r="H9071" s="599" t="s">
        <v>510</v>
      </c>
      <c r="I9071" s="558">
        <v>25.2</v>
      </c>
      <c r="J9071" s="567">
        <v>6.1</v>
      </c>
      <c r="K9071" s="648">
        <v>4</v>
      </c>
      <c r="L9071" s="725">
        <f>(I9071*J9071*K9071/1000)</f>
        <v>0.61487999999999998</v>
      </c>
      <c r="M9071" s="549"/>
      <c r="N9071" s="549"/>
      <c r="O9071" s="549"/>
      <c r="P9071" s="549"/>
      <c r="Q9071" s="1358" t="s">
        <v>1117</v>
      </c>
    </row>
    <row r="9072" spans="1:23" ht="17.399999999999999">
      <c r="A9072" s="549"/>
      <c r="B9072" s="549"/>
      <c r="C9072" s="549"/>
      <c r="D9072" s="549"/>
      <c r="E9072" s="832"/>
      <c r="F9072" s="549"/>
      <c r="G9072" s="549" t="s">
        <v>21</v>
      </c>
      <c r="H9072" s="549" t="s">
        <v>510</v>
      </c>
      <c r="I9072" s="558">
        <v>25.2</v>
      </c>
      <c r="J9072" s="567">
        <v>6.4</v>
      </c>
      <c r="K9072" s="648">
        <v>8</v>
      </c>
      <c r="L9072" s="725">
        <f>(I9072*J9072*K9072/1000)</f>
        <v>1.2902400000000001</v>
      </c>
      <c r="M9072" s="549"/>
      <c r="N9072" s="549"/>
      <c r="O9072" s="549"/>
      <c r="P9072" s="549"/>
    </row>
    <row r="9073" spans="1:18" ht="17.399999999999999">
      <c r="A9073" s="549"/>
      <c r="B9073" s="549"/>
      <c r="C9073" s="549"/>
      <c r="D9073" s="549"/>
      <c r="E9073" s="549"/>
      <c r="F9073" s="549"/>
      <c r="G9073" s="549" t="s">
        <v>21</v>
      </c>
      <c r="H9073" s="549" t="s">
        <v>510</v>
      </c>
      <c r="I9073" s="558">
        <v>25.2</v>
      </c>
      <c r="J9073" s="567">
        <v>9.9</v>
      </c>
      <c r="K9073" s="648">
        <v>8</v>
      </c>
      <c r="L9073" s="725">
        <f>(I9073*J9073*K9073/1000)</f>
        <v>1.9958399999999998</v>
      </c>
      <c r="M9073" s="549"/>
      <c r="N9073" s="549"/>
      <c r="O9073" s="549"/>
      <c r="P9073" s="549"/>
    </row>
    <row r="9074" spans="1:18" ht="17.399999999999999">
      <c r="A9074" s="549"/>
      <c r="B9074" s="549"/>
      <c r="C9074" s="549"/>
      <c r="D9074" s="549"/>
      <c r="E9074" s="549"/>
      <c r="F9074" s="549"/>
      <c r="G9074" s="549"/>
      <c r="H9074" s="549"/>
      <c r="I9074" s="558"/>
      <c r="J9074" s="567"/>
      <c r="K9074" s="648">
        <f>SUM(K9071:K9073)</f>
        <v>20</v>
      </c>
      <c r="L9074" s="710">
        <f>SUM(L9071:L9073)</f>
        <v>3.90096</v>
      </c>
      <c r="M9074" s="648">
        <f>SUM(M9071:M9073)</f>
        <v>0</v>
      </c>
      <c r="N9074" s="710">
        <f t="shared" ref="N9074" si="1870">SUM(N9071:N9073)</f>
        <v>0</v>
      </c>
      <c r="O9074" s="549"/>
      <c r="P9074" s="549" t="s">
        <v>1005</v>
      </c>
    </row>
    <row r="9075" spans="1:18" s="497" customFormat="1" ht="17.399999999999999">
      <c r="A9075" s="549"/>
      <c r="B9075" s="549"/>
      <c r="C9075" s="549"/>
      <c r="D9075" s="549"/>
      <c r="E9075" s="549"/>
      <c r="F9075" s="549"/>
      <c r="G9075" s="549"/>
      <c r="H9075" s="549"/>
      <c r="I9075" s="558"/>
      <c r="J9075" s="567"/>
      <c r="K9075" s="648"/>
      <c r="L9075" s="710"/>
      <c r="M9075" s="648"/>
      <c r="N9075" s="710"/>
      <c r="O9075" s="549"/>
      <c r="P9075" s="549"/>
    </row>
    <row r="9076" spans="1:18" s="497" customFormat="1" ht="17.399999999999999">
      <c r="A9076" s="549"/>
      <c r="B9076" s="549"/>
      <c r="C9076" s="549"/>
      <c r="D9076" s="549"/>
      <c r="E9076" s="549"/>
      <c r="F9076" s="549"/>
      <c r="G9076" s="549"/>
      <c r="H9076" s="650"/>
      <c r="I9076" s="558"/>
      <c r="J9076" s="710"/>
      <c r="K9076" s="770"/>
      <c r="L9076" s="763"/>
      <c r="M9076" s="549"/>
      <c r="N9076" s="549"/>
      <c r="O9076" s="549"/>
      <c r="P9076" s="549"/>
    </row>
    <row r="9077" spans="1:18" ht="17.399999999999999">
      <c r="A9077" s="547" t="s">
        <v>541</v>
      </c>
      <c r="B9077" s="547" t="s">
        <v>952</v>
      </c>
      <c r="C9077" s="547" t="s">
        <v>19</v>
      </c>
      <c r="D9077" s="547" t="s">
        <v>20</v>
      </c>
      <c r="E9077" s="1283" t="s">
        <v>51</v>
      </c>
      <c r="F9077" s="1305">
        <v>16</v>
      </c>
      <c r="G9077" s="549" t="s">
        <v>21</v>
      </c>
      <c r="H9077" s="599" t="s">
        <v>176</v>
      </c>
      <c r="I9077" s="558">
        <v>23</v>
      </c>
      <c r="J9077" s="567">
        <v>6.2</v>
      </c>
      <c r="K9077" s="648">
        <v>8</v>
      </c>
      <c r="L9077" s="725">
        <f t="shared" ref="L9077:L9083" si="1871">(I9077*J9077*K9077/1000)</f>
        <v>1.1408</v>
      </c>
      <c r="M9077" s="549">
        <v>2</v>
      </c>
      <c r="N9077" s="567">
        <f t="shared" ref="N9077:N9083" si="1872">J9077*M9077*I9077/1000</f>
        <v>0.28520000000000001</v>
      </c>
      <c r="O9077" s="549"/>
      <c r="P9077" s="549"/>
      <c r="Q9077" s="497">
        <v>2</v>
      </c>
      <c r="R9077" s="1358" t="s">
        <v>1117</v>
      </c>
    </row>
    <row r="9078" spans="1:18" ht="17.399999999999999">
      <c r="A9078" s="549"/>
      <c r="B9078" s="549"/>
      <c r="C9078" s="549"/>
      <c r="D9078" s="549"/>
      <c r="E9078" s="832"/>
      <c r="F9078" s="549"/>
      <c r="G9078" s="549" t="s">
        <v>21</v>
      </c>
      <c r="H9078" s="549" t="s">
        <v>176</v>
      </c>
      <c r="I9078" s="558">
        <v>23</v>
      </c>
      <c r="J9078" s="567">
        <v>6.3</v>
      </c>
      <c r="K9078" s="648">
        <v>4</v>
      </c>
      <c r="L9078" s="725">
        <f t="shared" si="1871"/>
        <v>0.5796</v>
      </c>
      <c r="M9078" s="549">
        <v>4</v>
      </c>
      <c r="N9078" s="567">
        <f t="shared" si="1872"/>
        <v>0.5796</v>
      </c>
      <c r="O9078" s="549"/>
      <c r="P9078" s="549"/>
    </row>
    <row r="9079" spans="1:18" ht="17.399999999999999">
      <c r="A9079" s="549"/>
      <c r="B9079" s="549"/>
      <c r="C9079" s="549"/>
      <c r="D9079" s="549"/>
      <c r="E9079" s="549"/>
      <c r="F9079" s="549"/>
      <c r="G9079" s="549" t="s">
        <v>21</v>
      </c>
      <c r="H9079" s="549" t="s">
        <v>176</v>
      </c>
      <c r="I9079" s="558">
        <v>23</v>
      </c>
      <c r="J9079" s="567">
        <v>7.3</v>
      </c>
      <c r="K9079" s="648">
        <v>29</v>
      </c>
      <c r="L9079" s="725">
        <f t="shared" si="1871"/>
        <v>4.8691000000000004</v>
      </c>
      <c r="M9079" s="549"/>
      <c r="N9079" s="567">
        <f t="shared" si="1872"/>
        <v>0</v>
      </c>
      <c r="O9079" s="549"/>
      <c r="P9079" s="549"/>
    </row>
    <row r="9080" spans="1:18" ht="17.399999999999999">
      <c r="A9080" s="549"/>
      <c r="B9080" s="549"/>
      <c r="C9080" s="549"/>
      <c r="D9080" s="549"/>
      <c r="E9080" s="549"/>
      <c r="F9080" s="549"/>
      <c r="G9080" s="549" t="s">
        <v>21</v>
      </c>
      <c r="H9080" s="549" t="s">
        <v>176</v>
      </c>
      <c r="I9080" s="558">
        <v>23</v>
      </c>
      <c r="J9080" s="567">
        <v>7.4</v>
      </c>
      <c r="K9080" s="648">
        <v>4</v>
      </c>
      <c r="L9080" s="725">
        <f t="shared" si="1871"/>
        <v>0.68080000000000007</v>
      </c>
      <c r="M9080" s="549"/>
      <c r="N9080" s="567">
        <f t="shared" si="1872"/>
        <v>0</v>
      </c>
      <c r="O9080" s="549"/>
      <c r="P9080" s="549"/>
    </row>
    <row r="9081" spans="1:18" ht="17.399999999999999">
      <c r="A9081" s="549"/>
      <c r="B9081" s="549"/>
      <c r="C9081" s="549"/>
      <c r="D9081" s="549"/>
      <c r="E9081" s="549"/>
      <c r="F9081" s="549"/>
      <c r="G9081" s="549" t="s">
        <v>21</v>
      </c>
      <c r="H9081" s="549" t="s">
        <v>176</v>
      </c>
      <c r="I9081" s="558">
        <v>23</v>
      </c>
      <c r="J9081" s="567">
        <v>7.6</v>
      </c>
      <c r="K9081" s="648">
        <v>4</v>
      </c>
      <c r="L9081" s="725">
        <f t="shared" si="1871"/>
        <v>0.69919999999999993</v>
      </c>
      <c r="M9081" s="549"/>
      <c r="N9081" s="567">
        <f t="shared" si="1872"/>
        <v>0</v>
      </c>
      <c r="O9081" s="549"/>
      <c r="P9081" s="549"/>
    </row>
    <row r="9082" spans="1:18" ht="17.399999999999999">
      <c r="A9082" s="549"/>
      <c r="B9082" s="549"/>
      <c r="C9082" s="549"/>
      <c r="D9082" s="549"/>
      <c r="E9082" s="549"/>
      <c r="F9082" s="549"/>
      <c r="G9082" s="549" t="s">
        <v>21</v>
      </c>
      <c r="H9082" s="549" t="s">
        <v>176</v>
      </c>
      <c r="I9082" s="558">
        <v>23</v>
      </c>
      <c r="J9082" s="567">
        <v>10.199999999999999</v>
      </c>
      <c r="K9082" s="648">
        <v>8</v>
      </c>
      <c r="L9082" s="725">
        <f t="shared" si="1871"/>
        <v>1.8768</v>
      </c>
      <c r="M9082" s="549"/>
      <c r="N9082" s="567">
        <f t="shared" si="1872"/>
        <v>0</v>
      </c>
      <c r="O9082" s="549"/>
      <c r="P9082" s="549"/>
    </row>
    <row r="9083" spans="1:18" ht="17.399999999999999">
      <c r="A9083" s="549"/>
      <c r="B9083" s="549"/>
      <c r="C9083" s="549"/>
      <c r="D9083" s="549"/>
      <c r="E9083" s="549"/>
      <c r="F9083" s="549"/>
      <c r="G9083" s="549" t="s">
        <v>21</v>
      </c>
      <c r="H9083" s="549" t="s">
        <v>176</v>
      </c>
      <c r="I9083" s="558">
        <v>23</v>
      </c>
      <c r="J9083" s="567">
        <v>10.5</v>
      </c>
      <c r="K9083" s="648">
        <v>6</v>
      </c>
      <c r="L9083" s="725">
        <f t="shared" si="1871"/>
        <v>1.4490000000000001</v>
      </c>
      <c r="M9083" s="549"/>
      <c r="N9083" s="567">
        <f t="shared" si="1872"/>
        <v>0</v>
      </c>
      <c r="O9083" s="549"/>
      <c r="P9083" s="549"/>
    </row>
    <row r="9084" spans="1:18" ht="17.399999999999999">
      <c r="A9084" s="549"/>
      <c r="B9084" s="549"/>
      <c r="C9084" s="549"/>
      <c r="D9084" s="549"/>
      <c r="E9084" s="549"/>
      <c r="F9084" s="549"/>
      <c r="G9084" s="549"/>
      <c r="H9084" s="549"/>
      <c r="I9084" s="558"/>
      <c r="J9084" s="567"/>
      <c r="K9084" s="648">
        <f>SUM(K9077:K9083)</f>
        <v>63</v>
      </c>
      <c r="L9084" s="710">
        <f t="shared" ref="L9084:N9084" si="1873">SUM(L9077:L9083)</f>
        <v>11.295300000000001</v>
      </c>
      <c r="M9084" s="648">
        <f>SUM(M9077:M9083)</f>
        <v>6</v>
      </c>
      <c r="N9084" s="710">
        <f t="shared" si="1873"/>
        <v>0.86480000000000001</v>
      </c>
      <c r="O9084" s="549"/>
      <c r="P9084" s="549"/>
    </row>
    <row r="9085" spans="1:18" s="497" customFormat="1" ht="17.399999999999999">
      <c r="A9085" s="549"/>
      <c r="B9085" s="549"/>
      <c r="C9085" s="549"/>
      <c r="D9085" s="549"/>
      <c r="E9085" s="549"/>
      <c r="F9085" s="549"/>
      <c r="G9085" s="549"/>
      <c r="H9085" s="549"/>
      <c r="I9085" s="558"/>
      <c r="J9085" s="567"/>
      <c r="K9085" s="648"/>
      <c r="L9085" s="710"/>
      <c r="M9085" s="549"/>
      <c r="N9085" s="549"/>
      <c r="O9085" s="549"/>
      <c r="P9085" s="549"/>
    </row>
    <row r="9086" spans="1:18" ht="17.399999999999999">
      <c r="A9086" s="547" t="s">
        <v>332</v>
      </c>
      <c r="B9086" s="547" t="s">
        <v>857</v>
      </c>
      <c r="C9086" s="547" t="s">
        <v>19</v>
      </c>
      <c r="D9086" s="547" t="s">
        <v>20</v>
      </c>
      <c r="E9086" s="1283" t="s">
        <v>51</v>
      </c>
      <c r="F9086" s="1305">
        <v>16</v>
      </c>
      <c r="G9086" s="549" t="s">
        <v>21</v>
      </c>
      <c r="H9086" s="599" t="s">
        <v>176</v>
      </c>
      <c r="I9086" s="558">
        <v>23</v>
      </c>
      <c r="J9086" s="710">
        <v>6.4</v>
      </c>
      <c r="K9086" s="648">
        <v>4</v>
      </c>
      <c r="L9086" s="725">
        <f>(I9086*J9086*K9086/1000)</f>
        <v>0.5888000000000001</v>
      </c>
      <c r="M9086" s="549"/>
      <c r="N9086" s="567">
        <f t="shared" ref="N9086:N9088" si="1874">J9086*M9086*I9086/1000</f>
        <v>0</v>
      </c>
      <c r="O9086" s="549"/>
      <c r="P9086" s="549"/>
      <c r="Q9086" s="1358" t="s">
        <v>1117</v>
      </c>
    </row>
    <row r="9087" spans="1:18" ht="17.399999999999999">
      <c r="A9087" s="549"/>
      <c r="B9087" s="549" t="s">
        <v>84</v>
      </c>
      <c r="C9087" s="549"/>
      <c r="D9087" s="549"/>
      <c r="E9087" s="832"/>
      <c r="F9087" s="549"/>
      <c r="G9087" s="549" t="s">
        <v>21</v>
      </c>
      <c r="H9087" s="549" t="s">
        <v>176</v>
      </c>
      <c r="I9087" s="558">
        <v>23</v>
      </c>
      <c r="J9087" s="710">
        <v>9</v>
      </c>
      <c r="K9087" s="648">
        <v>3</v>
      </c>
      <c r="L9087" s="725">
        <f>(I9087*J9087*K9087/1000)</f>
        <v>0.621</v>
      </c>
      <c r="M9087" s="549"/>
      <c r="N9087" s="567">
        <f t="shared" si="1874"/>
        <v>0</v>
      </c>
      <c r="O9087" s="549"/>
      <c r="P9087" s="549"/>
    </row>
    <row r="9088" spans="1:18" ht="17.399999999999999">
      <c r="A9088" s="549"/>
      <c r="B9088" s="549"/>
      <c r="C9088" s="549"/>
      <c r="D9088" s="549"/>
      <c r="E9088" s="549"/>
      <c r="F9088" s="549"/>
      <c r="G9088" s="549"/>
      <c r="H9088" s="650"/>
      <c r="I9088" s="560"/>
      <c r="J9088" s="710"/>
      <c r="K9088" s="648">
        <f t="shared" ref="K9088:M9088" si="1875">SUM(K9086:K9087)</f>
        <v>7</v>
      </c>
      <c r="L9088" s="763">
        <f>SUM(L9086:L9087)</f>
        <v>1.2098</v>
      </c>
      <c r="M9088" s="648">
        <f t="shared" si="1875"/>
        <v>0</v>
      </c>
      <c r="N9088" s="567">
        <f t="shared" si="1874"/>
        <v>0</v>
      </c>
      <c r="O9088" s="549"/>
      <c r="P9088" s="549"/>
    </row>
    <row r="9089" spans="1:17" s="497" customFormat="1" ht="17.399999999999999">
      <c r="A9089" s="549"/>
      <c r="B9089" s="549"/>
      <c r="C9089" s="549"/>
      <c r="D9089" s="549"/>
      <c r="E9089" s="549"/>
      <c r="F9089" s="549"/>
      <c r="G9089" s="549"/>
      <c r="H9089" s="650"/>
      <c r="I9089" s="560"/>
      <c r="J9089" s="710"/>
      <c r="K9089" s="770">
        <f>SUM(K9077:K9088)/2</f>
        <v>70</v>
      </c>
      <c r="L9089" s="763">
        <f>SUM(L9077:L9088)/2</f>
        <v>12.505100000000001</v>
      </c>
      <c r="M9089" s="770">
        <f>SUM(M9077:M9088)/2</f>
        <v>6</v>
      </c>
      <c r="N9089" s="763">
        <f>SUM(N9077:N9088)/2</f>
        <v>0.86480000000000001</v>
      </c>
      <c r="O9089" s="549"/>
      <c r="P9089" s="549" t="s">
        <v>1006</v>
      </c>
    </row>
    <row r="9090" spans="1:17" s="497" customFormat="1" ht="17.399999999999999">
      <c r="A9090" s="549"/>
      <c r="B9090" s="549"/>
      <c r="C9090" s="549"/>
      <c r="D9090" s="549"/>
      <c r="E9090" s="549"/>
      <c r="F9090" s="549"/>
      <c r="G9090" s="549"/>
      <c r="H9090" s="650"/>
      <c r="I9090" s="560"/>
      <c r="J9090" s="710"/>
      <c r="K9090" s="770"/>
      <c r="L9090" s="763"/>
      <c r="M9090" s="549"/>
      <c r="N9090" s="549"/>
      <c r="O9090" s="549"/>
      <c r="P9090" s="549"/>
    </row>
    <row r="9091" spans="1:17" ht="17.399999999999999">
      <c r="A9091" s="547" t="s">
        <v>332</v>
      </c>
      <c r="B9091" s="547" t="s">
        <v>857</v>
      </c>
      <c r="C9091" s="547" t="s">
        <v>19</v>
      </c>
      <c r="D9091" s="547" t="s">
        <v>20</v>
      </c>
      <c r="E9091" s="650" t="s">
        <v>878</v>
      </c>
      <c r="F9091" s="1305">
        <v>16</v>
      </c>
      <c r="G9091" s="549" t="s">
        <v>21</v>
      </c>
      <c r="H9091" s="599" t="s">
        <v>176</v>
      </c>
      <c r="I9091" s="558">
        <v>23</v>
      </c>
      <c r="J9091" s="710">
        <v>7.9</v>
      </c>
      <c r="K9091" s="648">
        <v>5</v>
      </c>
      <c r="L9091" s="725">
        <f>(I9091*J9091*K9091/1000)</f>
        <v>0.90850000000000009</v>
      </c>
      <c r="M9091" s="549"/>
      <c r="N9091" s="549"/>
      <c r="O9091" s="549"/>
      <c r="P9091" s="549"/>
      <c r="Q9091" s="1358" t="s">
        <v>1117</v>
      </c>
    </row>
    <row r="9092" spans="1:17" ht="17.399999999999999">
      <c r="A9092" s="549"/>
      <c r="B9092" s="549" t="s">
        <v>84</v>
      </c>
      <c r="C9092" s="549"/>
      <c r="D9092" s="549"/>
      <c r="E9092" s="549"/>
      <c r="F9092" s="549"/>
      <c r="G9092" s="549"/>
      <c r="H9092" s="650"/>
      <c r="I9092" s="558"/>
      <c r="J9092" s="710"/>
      <c r="K9092" s="648">
        <f t="shared" ref="K9092:N9092" si="1876">SUM(K9091)</f>
        <v>5</v>
      </c>
      <c r="L9092" s="763">
        <f t="shared" si="1876"/>
        <v>0.90850000000000009</v>
      </c>
      <c r="M9092" s="648">
        <f t="shared" si="1876"/>
        <v>0</v>
      </c>
      <c r="N9092" s="763">
        <f t="shared" si="1876"/>
        <v>0</v>
      </c>
      <c r="O9092" s="549"/>
      <c r="P9092" s="549" t="s">
        <v>1007</v>
      </c>
    </row>
    <row r="9093" spans="1:17" s="497" customFormat="1" ht="17.399999999999999">
      <c r="A9093" s="549"/>
      <c r="B9093" s="549"/>
      <c r="C9093" s="549"/>
      <c r="D9093" s="549"/>
      <c r="E9093" s="549"/>
      <c r="F9093" s="549"/>
      <c r="G9093" s="549"/>
      <c r="H9093" s="650"/>
      <c r="I9093" s="558"/>
      <c r="J9093" s="710"/>
      <c r="K9093" s="648"/>
      <c r="L9093" s="763"/>
      <c r="M9093" s="549"/>
      <c r="N9093" s="549"/>
      <c r="O9093" s="549"/>
      <c r="P9093" s="549"/>
    </row>
    <row r="9094" spans="1:17" s="497" customFormat="1" ht="17.399999999999999">
      <c r="A9094" s="549"/>
      <c r="B9094" s="549"/>
      <c r="C9094" s="549"/>
      <c r="D9094" s="549"/>
      <c r="E9094" s="549"/>
      <c r="F9094" s="549"/>
      <c r="G9094" s="549"/>
      <c r="H9094" s="650"/>
      <c r="I9094" s="558"/>
      <c r="J9094" s="710"/>
      <c r="K9094" s="648"/>
      <c r="L9094" s="763"/>
      <c r="M9094" s="549"/>
      <c r="N9094" s="549"/>
      <c r="O9094" s="549"/>
      <c r="P9094" s="549"/>
    </row>
    <row r="9095" spans="1:17" ht="17.399999999999999">
      <c r="A9095" s="547" t="s">
        <v>541</v>
      </c>
      <c r="B9095" s="547" t="s">
        <v>952</v>
      </c>
      <c r="C9095" s="547" t="s">
        <v>19</v>
      </c>
      <c r="D9095" s="547" t="s">
        <v>20</v>
      </c>
      <c r="E9095" s="1283" t="s">
        <v>51</v>
      </c>
      <c r="F9095" s="1305">
        <v>16</v>
      </c>
      <c r="G9095" s="549" t="s">
        <v>21</v>
      </c>
      <c r="H9095" s="599" t="s">
        <v>180</v>
      </c>
      <c r="I9095" s="558">
        <v>35.9</v>
      </c>
      <c r="J9095" s="567">
        <v>7.4</v>
      </c>
      <c r="K9095" s="648">
        <v>4</v>
      </c>
      <c r="L9095" s="725">
        <f t="shared" ref="L9095:L9096" si="1877">(I9095*J9095*K9095/1000)</f>
        <v>1.06264</v>
      </c>
      <c r="M9095" s="549"/>
      <c r="N9095" s="549"/>
      <c r="O9095" s="549"/>
      <c r="P9095" s="549"/>
      <c r="Q9095" s="1358" t="s">
        <v>1117</v>
      </c>
    </row>
    <row r="9096" spans="1:17" ht="17.399999999999999">
      <c r="A9096" s="549"/>
      <c r="B9096" s="549"/>
      <c r="C9096" s="549"/>
      <c r="D9096" s="549"/>
      <c r="E9096" s="832"/>
      <c r="F9096" s="549"/>
      <c r="G9096" s="549" t="s">
        <v>21</v>
      </c>
      <c r="H9096" s="549" t="s">
        <v>180</v>
      </c>
      <c r="I9096" s="558">
        <v>35.9</v>
      </c>
      <c r="J9096" s="567">
        <v>8.1</v>
      </c>
      <c r="K9096" s="648">
        <v>4</v>
      </c>
      <c r="L9096" s="725">
        <f t="shared" si="1877"/>
        <v>1.1631599999999997</v>
      </c>
      <c r="M9096" s="549"/>
      <c r="N9096" s="549"/>
      <c r="O9096" s="549"/>
      <c r="P9096" s="549"/>
    </row>
    <row r="9097" spans="1:17" ht="17.399999999999999">
      <c r="A9097" s="549"/>
      <c r="B9097" s="549"/>
      <c r="C9097" s="549"/>
      <c r="D9097" s="549"/>
      <c r="E9097" s="549"/>
      <c r="F9097" s="549"/>
      <c r="G9097" s="549"/>
      <c r="H9097" s="549"/>
      <c r="I9097" s="558"/>
      <c r="J9097" s="567"/>
      <c r="K9097" s="648">
        <f>SUM(K9095:K9096)</f>
        <v>8</v>
      </c>
      <c r="L9097" s="710">
        <f>SUM(L9095:L9096)</f>
        <v>2.2257999999999996</v>
      </c>
      <c r="M9097" s="549"/>
      <c r="N9097" s="549"/>
      <c r="O9097" s="549"/>
      <c r="P9097" s="549"/>
    </row>
    <row r="9098" spans="1:17" ht="17.399999999999999">
      <c r="A9098" s="549"/>
      <c r="B9098" s="549"/>
      <c r="C9098" s="549"/>
      <c r="D9098" s="549"/>
      <c r="E9098" s="549"/>
      <c r="F9098" s="549"/>
      <c r="G9098" s="549"/>
      <c r="H9098" s="549"/>
      <c r="I9098" s="558"/>
      <c r="J9098" s="549"/>
      <c r="K9098" s="561"/>
      <c r="L9098" s="728"/>
      <c r="M9098" s="549"/>
      <c r="N9098" s="549"/>
      <c r="O9098" s="549"/>
      <c r="P9098" s="549"/>
    </row>
    <row r="9099" spans="1:17" ht="17.399999999999999">
      <c r="A9099" s="547" t="s">
        <v>332</v>
      </c>
      <c r="B9099" s="547" t="s">
        <v>857</v>
      </c>
      <c r="C9099" s="547" t="s">
        <v>19</v>
      </c>
      <c r="D9099" s="547" t="s">
        <v>20</v>
      </c>
      <c r="E9099" s="1283" t="s">
        <v>51</v>
      </c>
      <c r="F9099" s="1305">
        <v>16</v>
      </c>
      <c r="G9099" s="549" t="s">
        <v>21</v>
      </c>
      <c r="H9099" s="599" t="s">
        <v>180</v>
      </c>
      <c r="I9099" s="558">
        <v>35.9</v>
      </c>
      <c r="J9099" s="710">
        <v>8.4</v>
      </c>
      <c r="K9099" s="648">
        <v>8</v>
      </c>
      <c r="L9099" s="725">
        <f>(I9099*J9099*K9099/1000)</f>
        <v>2.41248</v>
      </c>
      <c r="M9099" s="549"/>
      <c r="N9099" s="549"/>
      <c r="O9099" s="549"/>
      <c r="P9099" s="549"/>
      <c r="Q9099" s="1358" t="s">
        <v>1117</v>
      </c>
    </row>
    <row r="9100" spans="1:17" ht="17.399999999999999">
      <c r="A9100" s="549"/>
      <c r="B9100" s="549" t="s">
        <v>84</v>
      </c>
      <c r="C9100" s="549"/>
      <c r="D9100" s="549"/>
      <c r="E9100" s="832"/>
      <c r="F9100" s="549"/>
      <c r="G9100" s="549"/>
      <c r="H9100" s="650"/>
      <c r="I9100" s="558"/>
      <c r="J9100" s="710"/>
      <c r="K9100" s="648">
        <f t="shared" ref="K9100:L9100" si="1878">SUM(K9099)</f>
        <v>8</v>
      </c>
      <c r="L9100" s="763">
        <f t="shared" si="1878"/>
        <v>2.41248</v>
      </c>
      <c r="M9100" s="549"/>
      <c r="N9100" s="549"/>
      <c r="O9100" s="549"/>
      <c r="P9100" s="549"/>
    </row>
    <row r="9101" spans="1:17" s="497" customFormat="1" ht="17.399999999999999">
      <c r="A9101" s="549"/>
      <c r="B9101" s="549"/>
      <c r="C9101" s="549"/>
      <c r="D9101" s="549"/>
      <c r="E9101" s="832"/>
      <c r="F9101" s="549"/>
      <c r="G9101" s="549"/>
      <c r="H9101" s="650"/>
      <c r="I9101" s="558"/>
      <c r="J9101" s="710"/>
      <c r="K9101" s="770">
        <f>SUM(K9095:K9100)/2</f>
        <v>16</v>
      </c>
      <c r="L9101" s="763">
        <f>SUM(L9095:L9100)/2</f>
        <v>4.63828</v>
      </c>
      <c r="M9101" s="770">
        <f>SUM(M9095:M9100)/2</f>
        <v>0</v>
      </c>
      <c r="N9101" s="763">
        <f>SUM(N9095:N9100)/2</f>
        <v>0</v>
      </c>
      <c r="O9101" s="549"/>
      <c r="P9101" s="549" t="s">
        <v>1008</v>
      </c>
    </row>
    <row r="9102" spans="1:17" s="497" customFormat="1" ht="17.399999999999999">
      <c r="A9102" s="549"/>
      <c r="B9102" s="549"/>
      <c r="C9102" s="549"/>
      <c r="D9102" s="549"/>
      <c r="E9102" s="832"/>
      <c r="F9102" s="549"/>
      <c r="G9102" s="549"/>
      <c r="H9102" s="650"/>
      <c r="I9102" s="558"/>
      <c r="J9102" s="710"/>
      <c r="K9102" s="648"/>
      <c r="L9102" s="763"/>
      <c r="M9102" s="549"/>
      <c r="N9102" s="549"/>
      <c r="O9102" s="549"/>
      <c r="P9102" s="549"/>
    </row>
    <row r="9103" spans="1:17" ht="17.399999999999999">
      <c r="A9103" s="547" t="s">
        <v>332</v>
      </c>
      <c r="B9103" s="547" t="s">
        <v>857</v>
      </c>
      <c r="C9103" s="547" t="s">
        <v>19</v>
      </c>
      <c r="D9103" s="547" t="s">
        <v>20</v>
      </c>
      <c r="E9103" s="650" t="s">
        <v>878</v>
      </c>
      <c r="F9103" s="1305">
        <v>16</v>
      </c>
      <c r="G9103" s="549" t="s">
        <v>21</v>
      </c>
      <c r="H9103" s="599" t="s">
        <v>180</v>
      </c>
      <c r="I9103" s="558">
        <v>35.9</v>
      </c>
      <c r="J9103" s="710">
        <v>8.1999999999999993</v>
      </c>
      <c r="K9103" s="648">
        <v>2</v>
      </c>
      <c r="L9103" s="725">
        <f>(I9103*J9103*K9103/1000)</f>
        <v>0.58875999999999984</v>
      </c>
      <c r="M9103" s="549">
        <v>2</v>
      </c>
      <c r="N9103" s="567">
        <f t="shared" ref="N9103" si="1879">J9103*M9103*I9103/1000</f>
        <v>0.58875999999999984</v>
      </c>
      <c r="O9103" s="549"/>
      <c r="P9103" s="549"/>
      <c r="Q9103" s="1358" t="s">
        <v>1117</v>
      </c>
    </row>
    <row r="9104" spans="1:17" ht="17.399999999999999">
      <c r="A9104" s="549"/>
      <c r="B9104" s="549" t="s">
        <v>84</v>
      </c>
      <c r="C9104" s="549"/>
      <c r="D9104" s="549"/>
      <c r="E9104" s="549"/>
      <c r="F9104" s="549"/>
      <c r="G9104" s="549"/>
      <c r="H9104" s="650"/>
      <c r="I9104" s="560"/>
      <c r="J9104" s="710"/>
      <c r="K9104" s="648">
        <f t="shared" ref="K9104:N9104" si="1880">SUM(K9103)</f>
        <v>2</v>
      </c>
      <c r="L9104" s="763">
        <f t="shared" si="1880"/>
        <v>0.58875999999999984</v>
      </c>
      <c r="M9104" s="648">
        <f t="shared" si="1880"/>
        <v>2</v>
      </c>
      <c r="N9104" s="763">
        <f t="shared" si="1880"/>
        <v>0.58875999999999984</v>
      </c>
      <c r="O9104" s="549"/>
      <c r="P9104" s="549"/>
    </row>
    <row r="9105" spans="1:17" s="497" customFormat="1" ht="17.399999999999999">
      <c r="A9105" s="549"/>
      <c r="B9105" s="549"/>
      <c r="C9105" s="549"/>
      <c r="D9105" s="549"/>
      <c r="E9105" s="549"/>
      <c r="F9105" s="549"/>
      <c r="G9105" s="549"/>
      <c r="H9105" s="650"/>
      <c r="I9105" s="560"/>
      <c r="J9105" s="710"/>
      <c r="K9105" s="648"/>
      <c r="L9105" s="763"/>
      <c r="M9105" s="549"/>
      <c r="N9105" s="549"/>
      <c r="O9105" s="549"/>
      <c r="P9105" s="549"/>
    </row>
    <row r="9106" spans="1:17" s="497" customFormat="1" ht="17.399999999999999">
      <c r="A9106" s="549"/>
      <c r="B9106" s="549"/>
      <c r="C9106" s="549"/>
      <c r="D9106" s="549"/>
      <c r="E9106" s="549"/>
      <c r="F9106" s="549"/>
      <c r="G9106" s="549"/>
      <c r="H9106" s="650"/>
      <c r="I9106" s="558"/>
      <c r="J9106" s="710"/>
      <c r="K9106" s="648"/>
      <c r="L9106" s="763"/>
      <c r="M9106" s="549"/>
      <c r="N9106" s="549"/>
      <c r="O9106" s="549"/>
      <c r="P9106" s="549"/>
    </row>
    <row r="9107" spans="1:17" ht="17.399999999999999">
      <c r="A9107" s="547" t="s">
        <v>332</v>
      </c>
      <c r="B9107" s="547" t="s">
        <v>857</v>
      </c>
      <c r="C9107" s="547" t="s">
        <v>19</v>
      </c>
      <c r="D9107" s="547" t="s">
        <v>20</v>
      </c>
      <c r="E9107" s="650" t="s">
        <v>878</v>
      </c>
      <c r="F9107" s="1305">
        <v>16</v>
      </c>
      <c r="G9107" s="549" t="s">
        <v>21</v>
      </c>
      <c r="H9107" s="599" t="s">
        <v>181</v>
      </c>
      <c r="I9107" s="558">
        <v>40.1</v>
      </c>
      <c r="J9107" s="710">
        <v>9.6999999999999993</v>
      </c>
      <c r="K9107" s="648">
        <v>16</v>
      </c>
      <c r="L9107" s="725">
        <f>(I9107*J9107*K9107/1000)</f>
        <v>6.2235199999999997</v>
      </c>
      <c r="M9107" s="549"/>
      <c r="N9107" s="549"/>
      <c r="O9107" s="549"/>
      <c r="P9107" s="549"/>
      <c r="Q9107" s="1358" t="s">
        <v>1223</v>
      </c>
    </row>
    <row r="9108" spans="1:17" ht="17.399999999999999">
      <c r="A9108" s="549"/>
      <c r="B9108" s="549" t="s">
        <v>84</v>
      </c>
      <c r="C9108" s="549"/>
      <c r="D9108" s="549"/>
      <c r="E9108" s="549"/>
      <c r="F9108" s="549"/>
      <c r="G9108" s="549"/>
      <c r="H9108" s="650"/>
      <c r="I9108" s="558"/>
      <c r="J9108" s="710"/>
      <c r="K9108" s="648">
        <f t="shared" ref="K9108:N9108" si="1881">SUM(K9107)</f>
        <v>16</v>
      </c>
      <c r="L9108" s="763">
        <f t="shared" si="1881"/>
        <v>6.2235199999999997</v>
      </c>
      <c r="M9108" s="648">
        <f t="shared" si="1881"/>
        <v>0</v>
      </c>
      <c r="N9108" s="763">
        <f t="shared" si="1881"/>
        <v>0</v>
      </c>
      <c r="O9108" s="549"/>
      <c r="P9108" s="549" t="s">
        <v>1009</v>
      </c>
    </row>
    <row r="9109" spans="1:17" s="497" customFormat="1" ht="17.399999999999999">
      <c r="A9109" s="549"/>
      <c r="B9109" s="549"/>
      <c r="C9109" s="549"/>
      <c r="D9109" s="549"/>
      <c r="E9109" s="549"/>
      <c r="F9109" s="549"/>
      <c r="G9109" s="549"/>
      <c r="H9109" s="650"/>
      <c r="I9109" s="558"/>
      <c r="J9109" s="710"/>
      <c r="K9109" s="648"/>
      <c r="L9109" s="763"/>
      <c r="M9109" s="549"/>
      <c r="N9109" s="549"/>
      <c r="O9109" s="549"/>
      <c r="P9109" s="549"/>
    </row>
    <row r="9110" spans="1:17" s="497" customFormat="1" ht="17.399999999999999">
      <c r="A9110" s="549"/>
      <c r="B9110" s="549"/>
      <c r="C9110" s="549"/>
      <c r="D9110" s="549"/>
      <c r="E9110" s="549"/>
      <c r="F9110" s="549"/>
      <c r="G9110" s="549"/>
      <c r="H9110" s="650"/>
      <c r="I9110" s="560"/>
      <c r="J9110" s="710"/>
      <c r="K9110" s="648"/>
      <c r="L9110" s="763"/>
      <c r="M9110" s="549"/>
      <c r="N9110" s="549"/>
      <c r="O9110" s="549"/>
      <c r="P9110" s="549"/>
    </row>
    <row r="9111" spans="1:17" ht="17.399999999999999">
      <c r="A9111" s="547" t="s">
        <v>332</v>
      </c>
      <c r="B9111" s="547" t="s">
        <v>857</v>
      </c>
      <c r="C9111" s="547" t="s">
        <v>19</v>
      </c>
      <c r="D9111" s="547" t="s">
        <v>20</v>
      </c>
      <c r="E9111" s="1283" t="s">
        <v>51</v>
      </c>
      <c r="F9111" s="1305">
        <v>16</v>
      </c>
      <c r="G9111" s="549" t="s">
        <v>21</v>
      </c>
      <c r="H9111" s="599" t="s">
        <v>182</v>
      </c>
      <c r="I9111" s="558">
        <v>44.2</v>
      </c>
      <c r="J9111" s="710">
        <v>10.1</v>
      </c>
      <c r="K9111" s="648">
        <v>8</v>
      </c>
      <c r="L9111" s="725">
        <f>(I9111*J9111*K9111/1000)</f>
        <v>3.5713600000000003</v>
      </c>
      <c r="M9111" s="549"/>
      <c r="N9111" s="549"/>
      <c r="O9111" s="549"/>
      <c r="P9111" s="549"/>
      <c r="Q9111" s="1358" t="s">
        <v>1117</v>
      </c>
    </row>
    <row r="9112" spans="1:17" ht="17.399999999999999">
      <c r="A9112" s="549"/>
      <c r="B9112" s="549" t="s">
        <v>84</v>
      </c>
      <c r="C9112" s="549"/>
      <c r="D9112" s="549"/>
      <c r="E9112" s="832"/>
      <c r="F9112" s="549"/>
      <c r="G9112" s="549"/>
      <c r="H9112" s="650"/>
      <c r="I9112" s="558"/>
      <c r="J9112" s="710"/>
      <c r="K9112" s="648">
        <f t="shared" ref="K9112:N9112" si="1882">SUM(K9111)</f>
        <v>8</v>
      </c>
      <c r="L9112" s="763">
        <f t="shared" si="1882"/>
        <v>3.5713600000000003</v>
      </c>
      <c r="M9112" s="648">
        <f t="shared" si="1882"/>
        <v>0</v>
      </c>
      <c r="N9112" s="763">
        <f t="shared" si="1882"/>
        <v>0</v>
      </c>
      <c r="O9112" s="549"/>
      <c r="P9112" s="549" t="s">
        <v>1010</v>
      </c>
    </row>
    <row r="9113" spans="1:17" s="497" customFormat="1" ht="17.399999999999999">
      <c r="A9113" s="549"/>
      <c r="B9113" s="549"/>
      <c r="C9113" s="549"/>
      <c r="D9113" s="549"/>
      <c r="E9113" s="549"/>
      <c r="F9113" s="549"/>
      <c r="G9113" s="549"/>
      <c r="H9113" s="650"/>
      <c r="I9113" s="558"/>
      <c r="J9113" s="710"/>
      <c r="K9113" s="648"/>
      <c r="L9113" s="763"/>
      <c r="M9113" s="549"/>
      <c r="N9113" s="549"/>
      <c r="O9113" s="549"/>
      <c r="P9113" s="549"/>
    </row>
    <row r="9114" spans="1:17" ht="17.399999999999999">
      <c r="A9114" s="549"/>
      <c r="B9114" s="549"/>
      <c r="C9114" s="549"/>
      <c r="D9114" s="549"/>
      <c r="E9114" s="549"/>
      <c r="F9114" s="549"/>
      <c r="G9114" s="549"/>
      <c r="H9114" s="549"/>
      <c r="I9114" s="558"/>
      <c r="J9114" s="549"/>
      <c r="K9114" s="561"/>
      <c r="L9114" s="728"/>
      <c r="M9114" s="549"/>
      <c r="N9114" s="549"/>
      <c r="O9114" s="549"/>
      <c r="P9114" s="549"/>
    </row>
    <row r="9115" spans="1:17" ht="17.399999999999999">
      <c r="A9115" s="547" t="s">
        <v>332</v>
      </c>
      <c r="B9115" s="547" t="s">
        <v>857</v>
      </c>
      <c r="C9115" s="547" t="s">
        <v>19</v>
      </c>
      <c r="D9115" s="547" t="s">
        <v>20</v>
      </c>
      <c r="E9115" s="650" t="s">
        <v>990</v>
      </c>
      <c r="F9115" s="1305">
        <v>16</v>
      </c>
      <c r="G9115" s="549" t="s">
        <v>21</v>
      </c>
      <c r="H9115" s="599" t="s">
        <v>182</v>
      </c>
      <c r="I9115" s="558">
        <v>44.2</v>
      </c>
      <c r="J9115" s="710">
        <v>6</v>
      </c>
      <c r="K9115" s="648">
        <v>1</v>
      </c>
      <c r="L9115" s="725">
        <f>(I9115*J9115*K9115/1000)</f>
        <v>0.26520000000000005</v>
      </c>
      <c r="M9115" s="549"/>
      <c r="N9115" s="549"/>
      <c r="O9115" s="549"/>
      <c r="P9115" s="549"/>
      <c r="Q9115" s="1358" t="s">
        <v>1117</v>
      </c>
    </row>
    <row r="9116" spans="1:17" ht="17.399999999999999">
      <c r="A9116" s="549"/>
      <c r="B9116" s="549" t="s">
        <v>84</v>
      </c>
      <c r="C9116" s="549"/>
      <c r="D9116" s="549"/>
      <c r="E9116" s="549"/>
      <c r="F9116" s="549"/>
      <c r="G9116" s="549"/>
      <c r="H9116" s="650"/>
      <c r="I9116" s="558"/>
      <c r="J9116" s="710"/>
      <c r="K9116" s="648">
        <f t="shared" ref="K9116:L9116" si="1883">SUM(K9115)</f>
        <v>1</v>
      </c>
      <c r="L9116" s="763">
        <f t="shared" si="1883"/>
        <v>0.26520000000000005</v>
      </c>
      <c r="M9116" s="549"/>
      <c r="N9116" s="549"/>
      <c r="O9116" s="549"/>
      <c r="P9116" s="549" t="s">
        <v>1011</v>
      </c>
    </row>
    <row r="9117" spans="1:17" s="497" customFormat="1" ht="17.399999999999999">
      <c r="A9117" s="549"/>
      <c r="B9117" s="549"/>
      <c r="C9117" s="549"/>
      <c r="D9117" s="549"/>
      <c r="E9117" s="549"/>
      <c r="F9117" s="549"/>
      <c r="G9117" s="549"/>
      <c r="H9117" s="650"/>
      <c r="I9117" s="558"/>
      <c r="J9117" s="710"/>
      <c r="K9117" s="648"/>
      <c r="L9117" s="763"/>
      <c r="M9117" s="549"/>
      <c r="N9117" s="549"/>
      <c r="O9117" s="549"/>
      <c r="P9117" s="549"/>
    </row>
    <row r="9118" spans="1:17" ht="17.399999999999999">
      <c r="A9118" s="547" t="s">
        <v>332</v>
      </c>
      <c r="B9118" s="547" t="s">
        <v>857</v>
      </c>
      <c r="C9118" s="547" t="s">
        <v>19</v>
      </c>
      <c r="D9118" s="547" t="s">
        <v>20</v>
      </c>
      <c r="E9118" s="650" t="s">
        <v>878</v>
      </c>
      <c r="F9118" s="1305">
        <v>16</v>
      </c>
      <c r="G9118" s="549" t="s">
        <v>21</v>
      </c>
      <c r="H9118" s="599" t="s">
        <v>182</v>
      </c>
      <c r="I9118" s="558">
        <v>44.2</v>
      </c>
      <c r="J9118" s="710">
        <v>5.3</v>
      </c>
      <c r="K9118" s="648">
        <v>9</v>
      </c>
      <c r="L9118" s="725">
        <f>(I9118*J9118*K9118/1000)</f>
        <v>2.1083400000000001</v>
      </c>
      <c r="M9118" s="549"/>
      <c r="N9118" s="549"/>
      <c r="O9118" s="549"/>
      <c r="P9118" s="549"/>
      <c r="Q9118" s="1358" t="s">
        <v>1117</v>
      </c>
    </row>
    <row r="9119" spans="1:17" ht="17.399999999999999">
      <c r="A9119" s="549"/>
      <c r="B9119" s="549" t="s">
        <v>84</v>
      </c>
      <c r="C9119" s="549"/>
      <c r="D9119" s="549"/>
      <c r="E9119" s="549"/>
      <c r="F9119" s="549"/>
      <c r="G9119" s="549"/>
      <c r="H9119" s="650"/>
      <c r="I9119" s="558"/>
      <c r="J9119" s="710"/>
      <c r="K9119" s="648">
        <f>SUM(K9118)</f>
        <v>9</v>
      </c>
      <c r="L9119" s="763">
        <f>SUM(L9118)</f>
        <v>2.1083400000000001</v>
      </c>
      <c r="M9119" s="549"/>
      <c r="N9119" s="549"/>
      <c r="O9119" s="549"/>
      <c r="P9119" s="549" t="s">
        <v>1012</v>
      </c>
    </row>
    <row r="9120" spans="1:17" s="497" customFormat="1" ht="17.399999999999999">
      <c r="A9120" s="549"/>
      <c r="B9120" s="549"/>
      <c r="C9120" s="549"/>
      <c r="D9120" s="549"/>
      <c r="E9120" s="549"/>
      <c r="F9120" s="549"/>
      <c r="G9120" s="549"/>
      <c r="H9120" s="650"/>
      <c r="I9120" s="558"/>
      <c r="J9120" s="710"/>
      <c r="K9120" s="770">
        <f>SUM(K9115:K9119)/2</f>
        <v>10</v>
      </c>
      <c r="L9120" s="763">
        <f>SUM(L9115:L9119)/2</f>
        <v>2.3735400000000002</v>
      </c>
      <c r="M9120" s="770">
        <f>SUM(M9115:M9119)/2</f>
        <v>0</v>
      </c>
      <c r="N9120" s="763">
        <f>SUM(N9115:N9119)/2</f>
        <v>0</v>
      </c>
      <c r="O9120" s="549"/>
      <c r="P9120" s="549"/>
    </row>
    <row r="9121" spans="1:21" s="497" customFormat="1" ht="17.399999999999999">
      <c r="A9121" s="549"/>
      <c r="B9121" s="549"/>
      <c r="C9121" s="549"/>
      <c r="D9121" s="549"/>
      <c r="E9121" s="549"/>
      <c r="F9121" s="549"/>
      <c r="G9121" s="549"/>
      <c r="H9121" s="650"/>
      <c r="I9121" s="558"/>
      <c r="J9121" s="710"/>
      <c r="K9121" s="648"/>
      <c r="L9121" s="763"/>
      <c r="M9121" s="549"/>
      <c r="N9121" s="549"/>
      <c r="O9121" s="549"/>
      <c r="P9121" s="549"/>
    </row>
    <row r="9122" spans="1:21" s="497" customFormat="1" ht="17.399999999999999">
      <c r="A9122" s="549"/>
      <c r="B9122" s="549"/>
      <c r="C9122" s="549"/>
      <c r="D9122" s="549"/>
      <c r="E9122" s="549"/>
      <c r="F9122" s="549"/>
      <c r="G9122" s="549"/>
      <c r="H9122" s="650"/>
      <c r="I9122" s="558"/>
      <c r="J9122" s="710"/>
      <c r="K9122" s="648"/>
      <c r="L9122" s="763"/>
      <c r="M9122" s="549"/>
      <c r="N9122" s="549"/>
      <c r="O9122" s="549"/>
      <c r="P9122" s="549"/>
    </row>
    <row r="9123" spans="1:21" s="497" customFormat="1" ht="17.399999999999999">
      <c r="A9123" s="549"/>
      <c r="B9123" s="549"/>
      <c r="C9123" s="549"/>
      <c r="D9123" s="549"/>
      <c r="E9123" s="549"/>
      <c r="F9123" s="549"/>
      <c r="G9123" s="549"/>
      <c r="H9123" s="650"/>
      <c r="I9123" s="558"/>
      <c r="J9123" s="710"/>
      <c r="K9123" s="648"/>
      <c r="L9123" s="763"/>
      <c r="M9123" s="549"/>
      <c r="N9123" s="549"/>
      <c r="O9123" s="549"/>
      <c r="P9123" s="549"/>
    </row>
    <row r="9124" spans="1:21" ht="17.399999999999999">
      <c r="A9124" s="547" t="s">
        <v>361</v>
      </c>
      <c r="B9124" s="547" t="s">
        <v>613</v>
      </c>
      <c r="C9124" s="547" t="s">
        <v>446</v>
      </c>
      <c r="D9124" s="813" t="s">
        <v>447</v>
      </c>
      <c r="E9124" s="547" t="s">
        <v>359</v>
      </c>
      <c r="F9124" s="1305">
        <v>16</v>
      </c>
      <c r="G9124" s="549" t="s">
        <v>21</v>
      </c>
      <c r="H9124" s="828" t="s">
        <v>260</v>
      </c>
      <c r="I9124" s="558">
        <v>38</v>
      </c>
      <c r="J9124" s="567">
        <v>10.15</v>
      </c>
      <c r="K9124" s="848">
        <v>30</v>
      </c>
      <c r="L9124" s="725">
        <f>(I9124*J9124*K9124/1000)</f>
        <v>11.571</v>
      </c>
      <c r="M9124" s="549"/>
      <c r="N9124" s="549"/>
      <c r="O9124" s="549"/>
      <c r="P9124" s="549"/>
    </row>
    <row r="9125" spans="1:21" ht="17.399999999999999">
      <c r="A9125" s="550"/>
      <c r="B9125" s="754" t="s">
        <v>240</v>
      </c>
      <c r="C9125" s="550"/>
      <c r="D9125" s="550"/>
      <c r="E9125" s="1305"/>
      <c r="F9125" s="550"/>
      <c r="G9125" s="549"/>
      <c r="H9125" s="549"/>
      <c r="I9125" s="558"/>
      <c r="J9125" s="567"/>
      <c r="K9125" s="648">
        <f t="shared" ref="K9125:M9125" si="1884">SUM(K9124)</f>
        <v>30</v>
      </c>
      <c r="L9125" s="710">
        <f>SUM(L9124)</f>
        <v>11.571</v>
      </c>
      <c r="M9125" s="648">
        <f t="shared" si="1884"/>
        <v>0</v>
      </c>
      <c r="N9125" s="710">
        <f>SUM(N9124)</f>
        <v>0</v>
      </c>
      <c r="O9125" s="549"/>
      <c r="P9125" s="549"/>
    </row>
    <row r="9126" spans="1:21" ht="17.399999999999999">
      <c r="A9126" s="549"/>
      <c r="B9126" s="549"/>
      <c r="C9126" s="549"/>
      <c r="D9126" s="549"/>
      <c r="E9126" s="549"/>
      <c r="F9126" s="549"/>
      <c r="G9126" s="549"/>
      <c r="H9126" s="549"/>
      <c r="I9126" s="560"/>
      <c r="J9126" s="549"/>
      <c r="K9126" s="561"/>
      <c r="L9126" s="728"/>
      <c r="M9126" s="549"/>
      <c r="N9126" s="549"/>
      <c r="O9126" s="549"/>
      <c r="P9126" s="549"/>
    </row>
    <row r="9127" spans="1:21" s="497" customFormat="1" ht="17.399999999999999">
      <c r="A9127" s="549"/>
      <c r="B9127" s="549"/>
      <c r="C9127" s="549"/>
      <c r="D9127" s="549"/>
      <c r="E9127" s="549"/>
      <c r="F9127" s="549"/>
      <c r="G9127" s="549"/>
      <c r="H9127" s="549"/>
      <c r="I9127" s="560"/>
      <c r="J9127" s="549"/>
      <c r="K9127" s="561"/>
      <c r="L9127" s="728"/>
      <c r="M9127" s="549"/>
      <c r="N9127" s="549"/>
      <c r="O9127" s="549"/>
      <c r="P9127" s="549"/>
    </row>
    <row r="9128" spans="1:21" ht="17.399999999999999">
      <c r="A9128" s="549"/>
      <c r="B9128" s="549"/>
      <c r="C9128" s="549"/>
      <c r="D9128" s="549"/>
      <c r="E9128" s="549"/>
      <c r="F9128" s="549"/>
      <c r="G9128" s="549"/>
      <c r="H9128" s="549"/>
      <c r="I9128" s="560"/>
      <c r="J9128" s="549"/>
      <c r="K9128" s="561"/>
      <c r="L9128" s="728"/>
      <c r="M9128" s="549"/>
      <c r="N9128" s="549"/>
      <c r="O9128" s="549"/>
      <c r="P9128" s="549"/>
    </row>
    <row r="9129" spans="1:21" ht="17.399999999999999">
      <c r="A9129" s="547" t="s">
        <v>395</v>
      </c>
      <c r="B9129" s="547" t="s">
        <v>959</v>
      </c>
      <c r="C9129" s="547" t="s">
        <v>446</v>
      </c>
      <c r="D9129" s="813" t="s">
        <v>447</v>
      </c>
      <c r="E9129" s="547" t="s">
        <v>359</v>
      </c>
      <c r="F9129" s="1305">
        <v>16</v>
      </c>
      <c r="G9129" s="549" t="s">
        <v>21</v>
      </c>
      <c r="H9129" s="599" t="s">
        <v>177</v>
      </c>
      <c r="I9129" s="558">
        <v>27.29</v>
      </c>
      <c r="J9129" s="567">
        <v>6.5</v>
      </c>
      <c r="K9129" s="648">
        <v>13</v>
      </c>
      <c r="L9129" s="725">
        <f t="shared" ref="L9129:L9131" si="1885">(I9129*J9129*K9129/1000)</f>
        <v>2.3060050000000003</v>
      </c>
      <c r="M9129" s="549"/>
      <c r="N9129" s="549"/>
      <c r="O9129" s="549"/>
      <c r="P9129" s="549"/>
      <c r="Q9129" s="497">
        <v>6</v>
      </c>
      <c r="R9129" s="497">
        <f>J9129*Q9129*I9129/1000</f>
        <v>1.0643099999999999</v>
      </c>
      <c r="T9129">
        <v>13</v>
      </c>
      <c r="U9129" s="1358" t="s">
        <v>1223</v>
      </c>
    </row>
    <row r="9130" spans="1:21" ht="17.399999999999999">
      <c r="A9130" s="550"/>
      <c r="B9130" s="550"/>
      <c r="C9130" s="550"/>
      <c r="D9130" s="550"/>
      <c r="E9130" s="1305"/>
      <c r="F9130" s="550"/>
      <c r="G9130" s="549" t="s">
        <v>21</v>
      </c>
      <c r="H9130" s="549" t="s">
        <v>177</v>
      </c>
      <c r="I9130" s="558">
        <v>27.29</v>
      </c>
      <c r="J9130" s="567">
        <v>10.55</v>
      </c>
      <c r="K9130" s="648">
        <v>5</v>
      </c>
      <c r="L9130" s="725">
        <f t="shared" si="1885"/>
        <v>1.4395475000000002</v>
      </c>
      <c r="M9130" s="549"/>
      <c r="N9130" s="549"/>
      <c r="O9130" s="549"/>
      <c r="P9130" s="549"/>
      <c r="T9130">
        <v>4</v>
      </c>
    </row>
    <row r="9131" spans="1:21" ht="17.399999999999999">
      <c r="A9131" s="549"/>
      <c r="B9131" s="549"/>
      <c r="C9131" s="549"/>
      <c r="D9131" s="549"/>
      <c r="E9131" s="549"/>
      <c r="F9131" s="549"/>
      <c r="G9131" s="549" t="s">
        <v>21</v>
      </c>
      <c r="H9131" s="549" t="s">
        <v>177</v>
      </c>
      <c r="I9131" s="558">
        <v>27.29</v>
      </c>
      <c r="J9131" s="567">
        <v>12</v>
      </c>
      <c r="K9131" s="648">
        <v>38</v>
      </c>
      <c r="L9131" s="725">
        <f t="shared" si="1885"/>
        <v>12.444240000000002</v>
      </c>
      <c r="M9131" s="549"/>
      <c r="N9131" s="549"/>
      <c r="O9131" s="549"/>
      <c r="P9131" s="549"/>
      <c r="Q9131" s="497">
        <v>13</v>
      </c>
      <c r="R9131" s="497">
        <f>J9131*Q9131*I9131/1000</f>
        <v>4.2572399999999995</v>
      </c>
      <c r="T9131">
        <f>9+8+8+10</f>
        <v>35</v>
      </c>
    </row>
    <row r="9132" spans="1:21" ht="17.399999999999999">
      <c r="A9132" s="549"/>
      <c r="B9132" s="549"/>
      <c r="C9132" s="549"/>
      <c r="D9132" s="549"/>
      <c r="E9132" s="549"/>
      <c r="F9132" s="549"/>
      <c r="G9132" s="549"/>
      <c r="H9132" s="549"/>
      <c r="I9132" s="558"/>
      <c r="J9132" s="567"/>
      <c r="K9132" s="648">
        <f t="shared" ref="K9132:L9132" si="1886">SUM(K9129:K9131)</f>
        <v>56</v>
      </c>
      <c r="L9132" s="710">
        <f t="shared" si="1886"/>
        <v>16.189792500000003</v>
      </c>
      <c r="M9132" s="549"/>
      <c r="N9132" s="549"/>
      <c r="O9132" s="549"/>
      <c r="P9132" s="549" t="s">
        <v>1013</v>
      </c>
      <c r="Q9132" s="648">
        <f t="shared" ref="Q9132" si="1887">SUM(Q9129:Q9131)</f>
        <v>19</v>
      </c>
      <c r="R9132" s="710">
        <f>SUM(R9129:R9131)</f>
        <v>5.3215499999999993</v>
      </c>
      <c r="S9132" s="497" t="s">
        <v>1037</v>
      </c>
      <c r="T9132" s="648">
        <f t="shared" ref="T9132" si="1888">SUM(T9129:T9131)</f>
        <v>52</v>
      </c>
      <c r="U9132" s="710">
        <f>SUM(U9129:U9131)</f>
        <v>0</v>
      </c>
    </row>
    <row r="9133" spans="1:21" ht="17.399999999999999">
      <c r="A9133" s="549"/>
      <c r="B9133" s="549"/>
      <c r="C9133" s="549"/>
      <c r="D9133" s="549"/>
      <c r="E9133" s="549"/>
      <c r="F9133" s="549"/>
      <c r="G9133" s="549"/>
      <c r="H9133" s="549"/>
      <c r="I9133" s="560"/>
      <c r="J9133" s="549"/>
      <c r="K9133" s="561"/>
      <c r="L9133" s="728"/>
      <c r="M9133" s="549"/>
      <c r="N9133" s="549"/>
      <c r="O9133" s="549"/>
      <c r="P9133" s="549"/>
    </row>
    <row r="9134" spans="1:21" ht="17.399999999999999">
      <c r="A9134" s="547" t="s">
        <v>495</v>
      </c>
      <c r="B9134" s="547" t="s">
        <v>807</v>
      </c>
      <c r="C9134" s="547" t="s">
        <v>446</v>
      </c>
      <c r="D9134" s="813" t="s">
        <v>447</v>
      </c>
      <c r="E9134" s="547" t="s">
        <v>359</v>
      </c>
      <c r="F9134" s="1305">
        <v>16</v>
      </c>
      <c r="G9134" s="549" t="s">
        <v>21</v>
      </c>
      <c r="H9134" s="828" t="s">
        <v>177</v>
      </c>
      <c r="I9134" s="558">
        <v>27.29</v>
      </c>
      <c r="J9134" s="567">
        <v>7.5</v>
      </c>
      <c r="K9134" s="848">
        <v>2</v>
      </c>
      <c r="L9134" s="725">
        <f>(I9134*J9134*K9134/1000)</f>
        <v>0.40934999999999999</v>
      </c>
      <c r="M9134" s="549"/>
      <c r="N9134" s="549"/>
      <c r="O9134" s="549"/>
      <c r="P9134" s="549"/>
      <c r="T9134">
        <v>2</v>
      </c>
    </row>
    <row r="9135" spans="1:21" ht="17.399999999999999">
      <c r="A9135" s="549"/>
      <c r="B9135" s="754" t="s">
        <v>240</v>
      </c>
      <c r="C9135" s="549"/>
      <c r="D9135" s="549"/>
      <c r="E9135" s="549"/>
      <c r="F9135" s="549"/>
      <c r="G9135" s="549"/>
      <c r="H9135" s="549"/>
      <c r="I9135" s="560"/>
      <c r="J9135" s="549"/>
      <c r="K9135" s="652">
        <f>SUM(K9134)</f>
        <v>2</v>
      </c>
      <c r="L9135" s="710">
        <f>SUM(L9134)</f>
        <v>0.40934999999999999</v>
      </c>
      <c r="M9135" s="549"/>
      <c r="N9135" s="549"/>
      <c r="O9135" s="549"/>
      <c r="P9135" s="549"/>
      <c r="T9135" s="652">
        <f>SUM(T9134)</f>
        <v>2</v>
      </c>
      <c r="U9135" s="710">
        <f>SUM(U9134)</f>
        <v>0</v>
      </c>
    </row>
    <row r="9136" spans="1:21" s="497" customFormat="1" ht="17.399999999999999">
      <c r="A9136" s="549"/>
      <c r="B9136" s="550"/>
      <c r="C9136" s="549"/>
      <c r="D9136" s="549"/>
      <c r="E9136" s="549"/>
      <c r="F9136" s="549"/>
      <c r="G9136" s="549"/>
      <c r="H9136" s="549"/>
      <c r="I9136" s="560"/>
      <c r="J9136" s="549"/>
      <c r="K9136" s="727">
        <f>SUM(K9129:K9135)/2</f>
        <v>58</v>
      </c>
      <c r="L9136" s="710">
        <f>SUM(L9129:L9135)/2</f>
        <v>16.599142500000006</v>
      </c>
      <c r="M9136" s="727">
        <f>SUM(M9129:M9135)/2</f>
        <v>0</v>
      </c>
      <c r="N9136" s="710">
        <f>SUM(N9129:N9135)/2</f>
        <v>0</v>
      </c>
      <c r="O9136" s="549"/>
      <c r="P9136" s="549"/>
      <c r="Q9136" s="727">
        <f>SUM(Q9129:Q9135)/2</f>
        <v>19</v>
      </c>
      <c r="R9136" s="710">
        <f>SUM(R9129:R9135)/2</f>
        <v>5.3215499999999993</v>
      </c>
    </row>
    <row r="9137" spans="1:19" s="497" customFormat="1" ht="17.399999999999999">
      <c r="A9137" s="549"/>
      <c r="B9137" s="550"/>
      <c r="C9137" s="549"/>
      <c r="D9137" s="549"/>
      <c r="E9137" s="549"/>
      <c r="F9137" s="549"/>
      <c r="G9137" s="549"/>
      <c r="H9137" s="549"/>
      <c r="I9137" s="560"/>
      <c r="J9137" s="549"/>
      <c r="K9137" s="652"/>
      <c r="L9137" s="710"/>
      <c r="M9137" s="549"/>
      <c r="N9137" s="549"/>
      <c r="O9137" s="549"/>
      <c r="P9137" s="549"/>
    </row>
    <row r="9138" spans="1:19" ht="17.399999999999999">
      <c r="A9138" s="549"/>
      <c r="B9138" s="549"/>
      <c r="C9138" s="549"/>
      <c r="D9138" s="549"/>
      <c r="E9138" s="549"/>
      <c r="F9138" s="549"/>
      <c r="G9138" s="549"/>
      <c r="H9138" s="549"/>
      <c r="I9138" s="560"/>
      <c r="J9138" s="549"/>
      <c r="K9138" s="561"/>
      <c r="L9138" s="728"/>
      <c r="M9138" s="549"/>
      <c r="N9138" s="549"/>
      <c r="O9138" s="549"/>
      <c r="P9138" s="549"/>
    </row>
    <row r="9139" spans="1:19" ht="17.399999999999999">
      <c r="A9139" s="549"/>
      <c r="B9139" s="549"/>
      <c r="C9139" s="549"/>
      <c r="D9139" s="549"/>
      <c r="E9139" s="549"/>
      <c r="F9139" s="549"/>
      <c r="G9139" s="549"/>
      <c r="H9139" s="549"/>
      <c r="I9139" s="560"/>
      <c r="J9139" s="549"/>
      <c r="K9139" s="561"/>
      <c r="L9139" s="560"/>
      <c r="M9139" s="549"/>
      <c r="N9139" s="549"/>
      <c r="O9139" s="549"/>
      <c r="P9139" s="549"/>
    </row>
    <row r="9140" spans="1:19" ht="17.399999999999999">
      <c r="A9140" s="547" t="s">
        <v>395</v>
      </c>
      <c r="B9140" s="547" t="s">
        <v>959</v>
      </c>
      <c r="C9140" s="547" t="s">
        <v>446</v>
      </c>
      <c r="D9140" s="813" t="s">
        <v>447</v>
      </c>
      <c r="E9140" s="547" t="s">
        <v>359</v>
      </c>
      <c r="F9140" s="1305">
        <v>16</v>
      </c>
      <c r="G9140" s="549" t="s">
        <v>21</v>
      </c>
      <c r="H9140" s="599" t="s">
        <v>510</v>
      </c>
      <c r="I9140" s="558">
        <v>25.2</v>
      </c>
      <c r="J9140" s="567">
        <v>10</v>
      </c>
      <c r="K9140" s="648">
        <v>38</v>
      </c>
      <c r="L9140" s="725">
        <f t="shared" ref="L9140:L9143" si="1889">(I9140*J9140*K9140/1000)</f>
        <v>9.5760000000000005</v>
      </c>
      <c r="M9140" s="549">
        <v>1</v>
      </c>
      <c r="N9140" s="567">
        <f t="shared" ref="N9140:N9143" si="1890">J9140*M9140*I9140/1000</f>
        <v>0.252</v>
      </c>
      <c r="O9140" s="549"/>
      <c r="P9140" s="549"/>
      <c r="Q9140" s="497">
        <v>23</v>
      </c>
      <c r="R9140" s="497">
        <f>J9140*Q9140*I9140/1000</f>
        <v>5.7960000000000003</v>
      </c>
      <c r="S9140" s="1358" t="s">
        <v>1223</v>
      </c>
    </row>
    <row r="9141" spans="1:19" ht="17.399999999999999">
      <c r="A9141" s="550"/>
      <c r="B9141" s="550"/>
      <c r="C9141" s="550"/>
      <c r="D9141" s="550"/>
      <c r="E9141" s="1305"/>
      <c r="F9141" s="550"/>
      <c r="G9141" s="549" t="s">
        <v>21</v>
      </c>
      <c r="H9141" s="549" t="s">
        <v>510</v>
      </c>
      <c r="I9141" s="558">
        <v>25.2</v>
      </c>
      <c r="J9141" s="567">
        <v>11.4</v>
      </c>
      <c r="K9141" s="648">
        <v>35</v>
      </c>
      <c r="L9141" s="725">
        <f t="shared" si="1889"/>
        <v>10.054799999999998</v>
      </c>
      <c r="M9141" s="549"/>
      <c r="N9141" s="567">
        <f t="shared" si="1890"/>
        <v>0</v>
      </c>
      <c r="O9141" s="549"/>
      <c r="P9141" s="549"/>
      <c r="Q9141" s="497">
        <v>24</v>
      </c>
      <c r="R9141" s="497">
        <f>J9141*Q9141*I9141/1000</f>
        <v>6.8947200000000004</v>
      </c>
    </row>
    <row r="9142" spans="1:19" ht="17.399999999999999">
      <c r="A9142" s="549"/>
      <c r="B9142" s="549"/>
      <c r="C9142" s="549"/>
      <c r="D9142" s="549"/>
      <c r="E9142" s="549"/>
      <c r="F9142" s="549"/>
      <c r="G9142" s="549" t="s">
        <v>21</v>
      </c>
      <c r="H9142" s="549" t="s">
        <v>510</v>
      </c>
      <c r="I9142" s="558">
        <v>25.2</v>
      </c>
      <c r="J9142" s="567">
        <v>11.5</v>
      </c>
      <c r="K9142" s="648">
        <v>25</v>
      </c>
      <c r="L9142" s="725">
        <f t="shared" si="1889"/>
        <v>7.2450000000000001</v>
      </c>
      <c r="M9142" s="549">
        <v>2</v>
      </c>
      <c r="N9142" s="567">
        <f t="shared" si="1890"/>
        <v>0.5796</v>
      </c>
      <c r="O9142" s="549"/>
      <c r="P9142" s="549"/>
    </row>
    <row r="9143" spans="1:19" ht="17.399999999999999">
      <c r="A9143" s="549"/>
      <c r="B9143" s="549"/>
      <c r="C9143" s="549"/>
      <c r="D9143" s="549"/>
      <c r="E9143" s="549"/>
      <c r="F9143" s="549"/>
      <c r="G9143" s="549" t="s">
        <v>21</v>
      </c>
      <c r="H9143" s="549" t="s">
        <v>510</v>
      </c>
      <c r="I9143" s="558">
        <v>25.2</v>
      </c>
      <c r="J9143" s="567">
        <v>12</v>
      </c>
      <c r="K9143" s="648">
        <v>14</v>
      </c>
      <c r="L9143" s="725">
        <f t="shared" si="1889"/>
        <v>4.2335999999999991</v>
      </c>
      <c r="M9143" s="549"/>
      <c r="N9143" s="567">
        <f t="shared" si="1890"/>
        <v>0</v>
      </c>
      <c r="O9143" s="549"/>
      <c r="P9143" s="549"/>
      <c r="Q9143" s="497">
        <v>8</v>
      </c>
      <c r="R9143" s="497">
        <f>J9143*Q9143*I9143/1000</f>
        <v>2.4192</v>
      </c>
    </row>
    <row r="9144" spans="1:19" ht="17.399999999999999">
      <c r="A9144" s="549"/>
      <c r="B9144" s="549"/>
      <c r="C9144" s="549"/>
      <c r="D9144" s="549"/>
      <c r="E9144" s="549"/>
      <c r="F9144" s="549"/>
      <c r="G9144" s="549"/>
      <c r="H9144" s="549"/>
      <c r="I9144" s="558"/>
      <c r="J9144" s="567"/>
      <c r="K9144" s="648">
        <f>SUM(K9140:K9143)</f>
        <v>112</v>
      </c>
      <c r="L9144" s="710">
        <f>SUM(L9140:L9143)</f>
        <v>31.109400000000001</v>
      </c>
      <c r="M9144" s="648">
        <f t="shared" ref="M9144:N9144" si="1891">SUM(M9140:M9143)</f>
        <v>3</v>
      </c>
      <c r="N9144" s="567">
        <f t="shared" si="1891"/>
        <v>0.83160000000000001</v>
      </c>
      <c r="O9144" s="549"/>
      <c r="P9144" s="549" t="s">
        <v>1014</v>
      </c>
      <c r="Q9144" s="648">
        <f>SUM(Q9140:Q9143)</f>
        <v>55</v>
      </c>
      <c r="R9144" s="567">
        <f>SUM(R9140:R9143)</f>
        <v>15.109920000000001</v>
      </c>
    </row>
    <row r="9145" spans="1:19" ht="17.399999999999999">
      <c r="A9145" s="549"/>
      <c r="B9145" s="549"/>
      <c r="C9145" s="549"/>
      <c r="D9145" s="549"/>
      <c r="E9145" s="549"/>
      <c r="F9145" s="549"/>
      <c r="G9145" s="549"/>
      <c r="H9145" s="549"/>
      <c r="I9145" s="560"/>
      <c r="J9145" s="549"/>
      <c r="K9145" s="561"/>
      <c r="L9145" s="728"/>
      <c r="M9145" s="549"/>
      <c r="N9145" s="549"/>
      <c r="O9145" s="549"/>
      <c r="P9145" s="549"/>
    </row>
    <row r="9146" spans="1:19" ht="17.399999999999999">
      <c r="A9146" s="547" t="s">
        <v>361</v>
      </c>
      <c r="B9146" s="547" t="s">
        <v>613</v>
      </c>
      <c r="C9146" s="547" t="s">
        <v>446</v>
      </c>
      <c r="D9146" s="813" t="s">
        <v>447</v>
      </c>
      <c r="E9146" s="547" t="s">
        <v>359</v>
      </c>
      <c r="F9146" s="1305">
        <v>16</v>
      </c>
      <c r="G9146" s="549" t="s">
        <v>21</v>
      </c>
      <c r="H9146" s="828" t="s">
        <v>510</v>
      </c>
      <c r="I9146" s="558">
        <v>25.2</v>
      </c>
      <c r="J9146" s="567">
        <v>6.1</v>
      </c>
      <c r="K9146" s="848">
        <v>23</v>
      </c>
      <c r="L9146" s="725">
        <f>(I9146*J9146*K9146/1000)</f>
        <v>3.5355599999999998</v>
      </c>
      <c r="M9146" s="549"/>
      <c r="N9146" s="549"/>
      <c r="O9146" s="549"/>
      <c r="P9146" s="549"/>
    </row>
    <row r="9147" spans="1:19" ht="17.399999999999999">
      <c r="A9147" s="549"/>
      <c r="B9147" s="754" t="s">
        <v>240</v>
      </c>
      <c r="C9147" s="549"/>
      <c r="D9147" s="549"/>
      <c r="E9147" s="549"/>
      <c r="F9147" s="549"/>
      <c r="G9147" s="549"/>
      <c r="H9147" s="549"/>
      <c r="I9147" s="560"/>
      <c r="J9147" s="549"/>
      <c r="K9147" s="652">
        <f>SUM(K9146)</f>
        <v>23</v>
      </c>
      <c r="L9147" s="710">
        <f>SUM(L9146)</f>
        <v>3.5355599999999998</v>
      </c>
      <c r="M9147" s="549"/>
      <c r="N9147" s="549"/>
      <c r="O9147" s="549"/>
      <c r="P9147" s="549"/>
    </row>
    <row r="9148" spans="1:19" ht="17.399999999999999">
      <c r="A9148" s="549"/>
      <c r="B9148" s="549"/>
      <c r="C9148" s="549"/>
      <c r="D9148" s="549"/>
      <c r="E9148" s="549"/>
      <c r="F9148" s="549"/>
      <c r="G9148" s="549"/>
      <c r="H9148" s="549"/>
      <c r="I9148" s="560"/>
      <c r="J9148" s="549"/>
      <c r="K9148" s="727">
        <f>SUM(K9140:K9147)/2</f>
        <v>135</v>
      </c>
      <c r="L9148" s="710">
        <f>SUM(L9140:L9147)/2</f>
        <v>34.644960000000005</v>
      </c>
      <c r="M9148" s="727">
        <f>SUM(M9140:M9147)/2</f>
        <v>3</v>
      </c>
      <c r="N9148" s="710">
        <f>SUM(N9140:N9147)/2</f>
        <v>0.83160000000000001</v>
      </c>
      <c r="O9148" s="549"/>
      <c r="P9148" s="549"/>
      <c r="Q9148" s="727">
        <f>SUM(Q9140:Q9147)/2</f>
        <v>55</v>
      </c>
      <c r="R9148" s="710">
        <f>SUM(R9140:R9147)/2</f>
        <v>15.109920000000001</v>
      </c>
      <c r="S9148" s="497" t="s">
        <v>1037</v>
      </c>
    </row>
    <row r="9149" spans="1:19" s="497" customFormat="1" ht="17.399999999999999">
      <c r="A9149" s="549"/>
      <c r="B9149" s="549"/>
      <c r="C9149" s="549"/>
      <c r="D9149" s="549"/>
      <c r="E9149" s="549"/>
      <c r="F9149" s="549"/>
      <c r="G9149" s="549"/>
      <c r="H9149" s="549"/>
      <c r="I9149" s="560"/>
      <c r="J9149" s="549"/>
      <c r="K9149" s="727"/>
      <c r="L9149" s="710"/>
      <c r="M9149" s="727"/>
      <c r="N9149" s="710"/>
      <c r="O9149" s="549"/>
      <c r="P9149" s="549"/>
    </row>
    <row r="9150" spans="1:19" s="497" customFormat="1" ht="17.399999999999999">
      <c r="A9150" s="549"/>
      <c r="B9150" s="549"/>
      <c r="C9150" s="549"/>
      <c r="D9150" s="549"/>
      <c r="E9150" s="549"/>
      <c r="F9150" s="549"/>
      <c r="G9150" s="549"/>
      <c r="H9150" s="549"/>
      <c r="I9150" s="560"/>
      <c r="J9150" s="549"/>
      <c r="K9150" s="561"/>
      <c r="L9150" s="710"/>
      <c r="M9150" s="549"/>
      <c r="N9150" s="549"/>
      <c r="O9150" s="549"/>
      <c r="P9150" s="549"/>
    </row>
    <row r="9151" spans="1:19" ht="17.399999999999999">
      <c r="A9151" s="549"/>
      <c r="B9151" s="549"/>
      <c r="C9151" s="549"/>
      <c r="D9151" s="549"/>
      <c r="E9151" s="549"/>
      <c r="F9151" s="549"/>
      <c r="G9151" s="549"/>
      <c r="H9151" s="549"/>
      <c r="I9151" s="558"/>
      <c r="J9151" s="549"/>
      <c r="K9151" s="561"/>
      <c r="L9151" s="728"/>
      <c r="M9151" s="549"/>
      <c r="N9151" s="549"/>
      <c r="O9151" s="549"/>
      <c r="P9151" s="549"/>
    </row>
    <row r="9152" spans="1:19" s="497" customFormat="1" ht="17.399999999999999">
      <c r="A9152" s="549"/>
      <c r="B9152" s="549"/>
      <c r="C9152" s="549"/>
      <c r="D9152" s="549"/>
      <c r="E9152" s="549"/>
      <c r="F9152" s="549"/>
      <c r="G9152" s="549"/>
      <c r="H9152" s="650"/>
      <c r="I9152" s="560"/>
      <c r="J9152" s="710"/>
      <c r="K9152" s="648"/>
      <c r="L9152" s="763"/>
      <c r="M9152" s="549"/>
      <c r="N9152" s="549"/>
      <c r="O9152" s="549"/>
      <c r="P9152" s="549"/>
    </row>
    <row r="9153" spans="1:16" ht="17.399999999999999">
      <c r="A9153" s="549"/>
      <c r="B9153" s="549"/>
      <c r="C9153" s="549"/>
      <c r="D9153" s="549"/>
      <c r="E9153" s="549"/>
      <c r="F9153" s="549"/>
      <c r="G9153" s="549"/>
      <c r="H9153" s="549"/>
      <c r="I9153" s="560"/>
      <c r="J9153" s="549"/>
      <c r="K9153" s="727">
        <f>+K9104+K9092+K9108+K9036+K9120+K9029+K9068+K9112+K9101+K9016+K9033+K9048+K9056+K9074+K9089+K9125+K9136+K9148</f>
        <v>2042</v>
      </c>
      <c r="L9153" s="710">
        <f>+L9104+L9092+L9108+L9036+L9120+L9029+L9068+L9112+L9101+L9016+L9033+L9048+L9056+L9074+L9089+L9125+L9136+L9148</f>
        <v>557.26813249999998</v>
      </c>
      <c r="M9153" s="727">
        <f>+M9104+M9092+M9108+M9036+M9120+M9029+M9068+M9112+M9101+M9016+M9033+M9048+M9056+M9074+M9089+M9125+M9136+M9148</f>
        <v>54</v>
      </c>
      <c r="N9153" s="710">
        <f>+N9104+N9092+N9108+N9036+N9120+N9029+N9068+N9112+N9101+N9016+N9033+N9048+N9056+N9074+N9089+N9125+N9136+N9148</f>
        <v>14.410649999999999</v>
      </c>
      <c r="O9153" s="549"/>
      <c r="P9153" s="549"/>
    </row>
    <row r="9154" spans="1:16" ht="17.399999999999999">
      <c r="A9154" s="653" t="s">
        <v>48</v>
      </c>
      <c r="B9154" s="653"/>
      <c r="C9154" s="654"/>
      <c r="D9154" s="654"/>
      <c r="E9154" s="654"/>
      <c r="F9154" s="1304"/>
      <c r="G9154" s="654"/>
      <c r="H9154" s="1304"/>
      <c r="I9154" s="656"/>
      <c r="J9154" s="654"/>
      <c r="K9154" s="657"/>
      <c r="L9154" s="2003" t="s">
        <v>0</v>
      </c>
      <c r="M9154" s="2003"/>
      <c r="N9154" s="2003"/>
      <c r="O9154" s="2004"/>
      <c r="P9154" s="2010"/>
    </row>
    <row r="9155" spans="1:16" ht="17.399999999999999">
      <c r="A9155" s="658" t="s">
        <v>1</v>
      </c>
      <c r="B9155" s="658"/>
      <c r="C9155" s="658"/>
      <c r="D9155" s="659" t="s">
        <v>2</v>
      </c>
      <c r="E9155" s="659"/>
      <c r="F9155" s="660"/>
      <c r="G9155" s="660"/>
      <c r="H9155" s="660"/>
      <c r="I9155" s="661"/>
      <c r="J9155" s="660"/>
      <c r="K9155" s="662" t="s">
        <v>3</v>
      </c>
      <c r="L9155" s="660"/>
      <c r="M9155" s="658"/>
      <c r="N9155" s="660"/>
      <c r="O9155" s="663"/>
      <c r="P9155" s="2010"/>
    </row>
    <row r="9156" spans="1:16" ht="17.399999999999999">
      <c r="A9156" s="1304" t="s">
        <v>22</v>
      </c>
      <c r="B9156" s="1990" t="s">
        <v>23</v>
      </c>
      <c r="C9156" s="2005"/>
      <c r="D9156" s="1989"/>
      <c r="E9156" s="1304" t="s">
        <v>24</v>
      </c>
      <c r="F9156" s="1990" t="s">
        <v>25</v>
      </c>
      <c r="G9156" s="1989"/>
      <c r="H9156" s="1990" t="s">
        <v>26</v>
      </c>
      <c r="I9156" s="2005"/>
      <c r="J9156" s="2005"/>
      <c r="K9156" s="1989"/>
      <c r="L9156" s="2006" t="s">
        <v>27</v>
      </c>
      <c r="M9156" s="2006"/>
      <c r="N9156" s="2006"/>
      <c r="O9156" s="1990"/>
      <c r="P9156" s="2010"/>
    </row>
    <row r="9157" spans="1:16" ht="17.399999999999999">
      <c r="A9157" s="664"/>
      <c r="B9157" s="1975"/>
      <c r="C9157" s="1976"/>
      <c r="D9157" s="1977"/>
      <c r="E9157" s="665"/>
      <c r="F9157" s="1975"/>
      <c r="G9157" s="1977"/>
      <c r="H9157" s="1975"/>
      <c r="I9157" s="1976"/>
      <c r="J9157" s="1976"/>
      <c r="K9157" s="1977"/>
      <c r="L9157" s="1975"/>
      <c r="M9157" s="1976"/>
      <c r="N9157" s="1976"/>
      <c r="O9157" s="1976"/>
      <c r="P9157" s="2010"/>
    </row>
    <row r="9158" spans="1:16" ht="17.399999999999999">
      <c r="A9158" s="664"/>
      <c r="B9158" s="1298"/>
      <c r="C9158" s="1297"/>
      <c r="D9158" s="1299"/>
      <c r="E9158" s="665"/>
      <c r="F9158" s="1298"/>
      <c r="G9158" s="1299"/>
      <c r="H9158" s="1298"/>
      <c r="I9158" s="1842"/>
      <c r="J9158" s="1297"/>
      <c r="K9158" s="1299"/>
      <c r="L9158" s="1297"/>
      <c r="M9158" s="1297"/>
      <c r="N9158" s="1297"/>
      <c r="O9158" s="1297"/>
      <c r="P9158" s="2010"/>
    </row>
    <row r="9159" spans="1:16" ht="17.399999999999999">
      <c r="A9159" s="664" t="s">
        <v>28</v>
      </c>
      <c r="B9159" s="1975" t="s">
        <v>187</v>
      </c>
      <c r="C9159" s="1976"/>
      <c r="D9159" s="1977"/>
      <c r="E9159" s="665">
        <f>+L9056+L9068-4.289+6</f>
        <v>58.213810000000009</v>
      </c>
      <c r="F9159" s="1973">
        <v>16</v>
      </c>
      <c r="G9159" s="1974"/>
      <c r="H9159" s="1975" t="s">
        <v>49</v>
      </c>
      <c r="I9159" s="1976"/>
      <c r="J9159" s="1976"/>
      <c r="K9159" s="1977"/>
      <c r="L9159" s="1976" t="s">
        <v>993</v>
      </c>
      <c r="M9159" s="1976"/>
      <c r="N9159" s="1976"/>
      <c r="O9159" s="1976"/>
      <c r="P9159" s="2010"/>
    </row>
    <row r="9160" spans="1:16" ht="17.399999999999999">
      <c r="A9160" s="664" t="s">
        <v>29</v>
      </c>
      <c r="B9160" s="1975" t="s">
        <v>556</v>
      </c>
      <c r="C9160" s="1976"/>
      <c r="D9160" s="1977"/>
      <c r="E9160" s="665">
        <f>+L9074</f>
        <v>3.90096</v>
      </c>
      <c r="F9160" s="1973">
        <v>16</v>
      </c>
      <c r="G9160" s="1974"/>
      <c r="H9160" s="1975" t="s">
        <v>49</v>
      </c>
      <c r="I9160" s="1976"/>
      <c r="J9160" s="1976"/>
      <c r="K9160" s="1977"/>
      <c r="L9160" s="1976" t="s">
        <v>956</v>
      </c>
      <c r="M9160" s="1976"/>
      <c r="N9160" s="1976"/>
      <c r="O9160" s="1976"/>
      <c r="P9160" s="2010"/>
    </row>
    <row r="9161" spans="1:16" ht="17.399999999999999">
      <c r="A9161" s="664" t="s">
        <v>30</v>
      </c>
      <c r="B9161" s="1975" t="s">
        <v>188</v>
      </c>
      <c r="C9161" s="1976"/>
      <c r="D9161" s="1977"/>
      <c r="E9161" s="665">
        <f>+L9089+L9092-0.865</f>
        <v>12.5486</v>
      </c>
      <c r="F9161" s="1973">
        <v>16</v>
      </c>
      <c r="G9161" s="1974"/>
      <c r="H9161" s="1975" t="s">
        <v>49</v>
      </c>
      <c r="I9161" s="1976"/>
      <c r="J9161" s="1976"/>
      <c r="K9161" s="1977"/>
      <c r="L9161" s="1976" t="s">
        <v>958</v>
      </c>
      <c r="M9161" s="1976"/>
      <c r="N9161" s="1976"/>
      <c r="O9161" s="1976"/>
      <c r="P9161" s="2010"/>
    </row>
    <row r="9162" spans="1:16" s="497" customFormat="1" ht="17.399999999999999">
      <c r="A9162" s="664" t="s">
        <v>46</v>
      </c>
      <c r="B9162" s="1975" t="s">
        <v>185</v>
      </c>
      <c r="C9162" s="1976"/>
      <c r="D9162" s="1977"/>
      <c r="E9162" s="665">
        <v>18</v>
      </c>
      <c r="F9162" s="1973">
        <v>16</v>
      </c>
      <c r="G9162" s="1974"/>
      <c r="H9162" s="1975" t="s">
        <v>49</v>
      </c>
      <c r="I9162" s="1976"/>
      <c r="J9162" s="1976"/>
      <c r="K9162" s="1977"/>
      <c r="L9162" s="1976" t="s">
        <v>958</v>
      </c>
      <c r="M9162" s="1976"/>
      <c r="N9162" s="1976"/>
      <c r="O9162" s="1976"/>
      <c r="P9162" s="2010"/>
    </row>
    <row r="9163" spans="1:16" ht="17.399999999999999">
      <c r="A9163" s="664" t="s">
        <v>58</v>
      </c>
      <c r="B9163" s="1975" t="s">
        <v>184</v>
      </c>
      <c r="C9163" s="1976"/>
      <c r="D9163" s="1977"/>
      <c r="E9163" s="665">
        <f>+L9101+L9104-0.589</f>
        <v>4.6380400000000002</v>
      </c>
      <c r="F9163" s="1973">
        <v>16</v>
      </c>
      <c r="G9163" s="1974"/>
      <c r="H9163" s="1975" t="s">
        <v>49</v>
      </c>
      <c r="I9163" s="1976"/>
      <c r="J9163" s="1976"/>
      <c r="K9163" s="1977"/>
      <c r="L9163" s="1976" t="s">
        <v>958</v>
      </c>
      <c r="M9163" s="1976"/>
      <c r="N9163" s="1976"/>
      <c r="O9163" s="1976"/>
      <c r="P9163" s="2010"/>
    </row>
    <row r="9164" spans="1:16" ht="17.399999999999999">
      <c r="A9164" s="664" t="s">
        <v>163</v>
      </c>
      <c r="B9164" s="1975" t="s">
        <v>183</v>
      </c>
      <c r="C9164" s="1976"/>
      <c r="D9164" s="1977"/>
      <c r="E9164" s="665">
        <f>+L9108</f>
        <v>6.2235199999999997</v>
      </c>
      <c r="F9164" s="1973">
        <v>16</v>
      </c>
      <c r="G9164" s="1974"/>
      <c r="H9164" s="1975" t="s">
        <v>49</v>
      </c>
      <c r="I9164" s="1976"/>
      <c r="J9164" s="1976"/>
      <c r="K9164" s="1977"/>
      <c r="L9164" s="1976" t="s">
        <v>956</v>
      </c>
      <c r="M9164" s="1976"/>
      <c r="N9164" s="1976"/>
      <c r="O9164" s="1976"/>
      <c r="P9164" s="2010"/>
    </row>
    <row r="9165" spans="1:16" ht="17.399999999999999">
      <c r="A9165" s="664" t="s">
        <v>302</v>
      </c>
      <c r="B9165" s="1975" t="s">
        <v>301</v>
      </c>
      <c r="C9165" s="1976"/>
      <c r="D9165" s="1977"/>
      <c r="E9165" s="665">
        <f>+L9120+L9112</f>
        <v>5.9449000000000005</v>
      </c>
      <c r="F9165" s="1973">
        <v>16</v>
      </c>
      <c r="G9165" s="1974"/>
      <c r="H9165" s="1975" t="s">
        <v>49</v>
      </c>
      <c r="I9165" s="1976"/>
      <c r="J9165" s="1976"/>
      <c r="K9165" s="1977"/>
      <c r="L9165" s="1976" t="s">
        <v>956</v>
      </c>
      <c r="M9165" s="1976"/>
      <c r="N9165" s="1976"/>
      <c r="O9165" s="1976"/>
      <c r="P9165" s="2010"/>
    </row>
    <row r="9166" spans="1:16" s="497" customFormat="1" ht="17.399999999999999">
      <c r="A9166" s="664"/>
      <c r="B9166" s="1322"/>
      <c r="C9166" s="1322"/>
      <c r="D9166" s="1322"/>
      <c r="E9166" s="665"/>
      <c r="F9166" s="1319"/>
      <c r="G9166" s="1320"/>
      <c r="H9166" s="1321"/>
      <c r="I9166" s="1842"/>
      <c r="J9166" s="1322"/>
      <c r="K9166" s="1323"/>
      <c r="L9166" s="1322"/>
      <c r="M9166" s="1322"/>
      <c r="N9166" s="1322"/>
      <c r="O9166" s="1322"/>
      <c r="P9166" s="2010"/>
    </row>
    <row r="9167" spans="1:16" s="497" customFormat="1" ht="17.399999999999999">
      <c r="A9167" s="664"/>
      <c r="B9167" s="1297"/>
      <c r="C9167" s="1297"/>
      <c r="D9167" s="1297"/>
      <c r="E9167" s="665"/>
      <c r="F9167" s="1300"/>
      <c r="G9167" s="1301"/>
      <c r="H9167" s="1298"/>
      <c r="I9167" s="1842"/>
      <c r="J9167" s="1297"/>
      <c r="K9167" s="1299"/>
      <c r="L9167" s="1297"/>
      <c r="M9167" s="1297"/>
      <c r="N9167" s="1297"/>
      <c r="O9167" s="1297"/>
      <c r="P9167" s="2010"/>
    </row>
    <row r="9168" spans="1:16" s="497" customFormat="1" ht="17.399999999999999">
      <c r="A9168" s="664" t="s">
        <v>380</v>
      </c>
      <c r="B9168" s="1975" t="s">
        <v>835</v>
      </c>
      <c r="C9168" s="1976"/>
      <c r="D9168" s="1977"/>
      <c r="E9168" s="665">
        <v>9</v>
      </c>
      <c r="F9168" s="1973">
        <v>16</v>
      </c>
      <c r="G9168" s="1974"/>
      <c r="H9168" s="1975" t="s">
        <v>447</v>
      </c>
      <c r="I9168" s="1976"/>
      <c r="J9168" s="1976"/>
      <c r="K9168" s="1977"/>
      <c r="L9168" s="1976" t="s">
        <v>956</v>
      </c>
      <c r="M9168" s="1976"/>
      <c r="N9168" s="1976"/>
      <c r="O9168" s="1976"/>
      <c r="P9168" s="2010"/>
    </row>
    <row r="9169" spans="1:16" s="497" customFormat="1" ht="17.399999999999999">
      <c r="A9169" s="664" t="s">
        <v>434</v>
      </c>
      <c r="B9169" s="1975" t="s">
        <v>187</v>
      </c>
      <c r="C9169" s="1976"/>
      <c r="D9169" s="1977"/>
      <c r="E9169" s="665">
        <v>11.276999999999999</v>
      </c>
      <c r="F9169" s="1973">
        <v>16</v>
      </c>
      <c r="G9169" s="1974"/>
      <c r="H9169" s="1975" t="s">
        <v>447</v>
      </c>
      <c r="I9169" s="1976"/>
      <c r="J9169" s="1976"/>
      <c r="K9169" s="1977"/>
      <c r="L9169" s="1976" t="s">
        <v>956</v>
      </c>
      <c r="M9169" s="1976"/>
      <c r="N9169" s="1976"/>
      <c r="O9169" s="1976"/>
      <c r="P9169" s="2010"/>
    </row>
    <row r="9170" spans="1:16" s="497" customFormat="1" ht="17.399999999999999">
      <c r="A9170" s="664" t="s">
        <v>474</v>
      </c>
      <c r="B9170" s="1975" t="s">
        <v>556</v>
      </c>
      <c r="C9170" s="1976"/>
      <c r="D9170" s="1977"/>
      <c r="E9170" s="665">
        <f>19.535+11</f>
        <v>30.535</v>
      </c>
      <c r="F9170" s="1973">
        <v>16</v>
      </c>
      <c r="G9170" s="1974"/>
      <c r="H9170" s="1975" t="s">
        <v>447</v>
      </c>
      <c r="I9170" s="1976"/>
      <c r="J9170" s="1976"/>
      <c r="K9170" s="1977"/>
      <c r="L9170" s="1976" t="s">
        <v>956</v>
      </c>
      <c r="M9170" s="1976"/>
      <c r="N9170" s="1976"/>
      <c r="O9170" s="1976"/>
      <c r="P9170" s="2010"/>
    </row>
    <row r="9171" spans="1:16" s="497" customFormat="1" ht="17.399999999999999">
      <c r="A9171" s="664" t="s">
        <v>475</v>
      </c>
      <c r="B9171" s="1975" t="s">
        <v>188</v>
      </c>
      <c r="C9171" s="1976"/>
      <c r="D9171" s="1977"/>
      <c r="E9171" s="665">
        <v>5.85</v>
      </c>
      <c r="F9171" s="1973">
        <v>16</v>
      </c>
      <c r="G9171" s="1974"/>
      <c r="H9171" s="1975" t="s">
        <v>447</v>
      </c>
      <c r="I9171" s="1976"/>
      <c r="J9171" s="1976"/>
      <c r="K9171" s="1977"/>
      <c r="L9171" s="1976" t="s">
        <v>956</v>
      </c>
      <c r="M9171" s="1976"/>
      <c r="N9171" s="1976"/>
      <c r="O9171" s="1976"/>
      <c r="P9171" s="2010"/>
    </row>
    <row r="9172" spans="1:16" s="497" customFormat="1" ht="17.399999999999999">
      <c r="A9172" s="664"/>
      <c r="B9172" s="1322"/>
      <c r="C9172" s="1322"/>
      <c r="D9172" s="1322"/>
      <c r="E9172" s="665"/>
      <c r="F9172" s="1319"/>
      <c r="G9172" s="1320"/>
      <c r="H9172" s="1321"/>
      <c r="I9172" s="1842"/>
      <c r="J9172" s="1322"/>
      <c r="K9172" s="1323"/>
      <c r="L9172" s="1322"/>
      <c r="M9172" s="1322"/>
      <c r="N9172" s="1322"/>
      <c r="O9172" s="1322"/>
      <c r="P9172" s="2010"/>
    </row>
    <row r="9173" spans="1:16" ht="18" thickBot="1">
      <c r="A9173" s="664"/>
      <c r="B9173" s="1298"/>
      <c r="C9173" s="1297"/>
      <c r="D9173" s="1297"/>
      <c r="E9173" s="665"/>
      <c r="F9173" s="1297"/>
      <c r="G9173" s="1299"/>
      <c r="H9173" s="1298"/>
      <c r="I9173" s="1842"/>
      <c r="J9173" s="1297"/>
      <c r="K9173" s="669"/>
      <c r="L9173" s="672"/>
      <c r="M9173" s="673"/>
      <c r="N9173" s="673"/>
      <c r="O9173" s="673"/>
      <c r="P9173" s="2010"/>
    </row>
    <row r="9174" spans="1:16" ht="17.399999999999999">
      <c r="A9174" s="674"/>
      <c r="B9174" s="675"/>
      <c r="C9174" s="676"/>
      <c r="D9174" s="676"/>
      <c r="E9174" s="1980">
        <f>SUM(E9157:E9173)</f>
        <v>166.13183000000001</v>
      </c>
      <c r="F9174" s="677"/>
      <c r="G9174" s="678"/>
      <c r="H9174" s="679"/>
      <c r="I9174" s="1848"/>
      <c r="J9174" s="676"/>
      <c r="K9174" s="680"/>
      <c r="L9174" s="679"/>
      <c r="M9174" s="676"/>
      <c r="N9174" s="677"/>
      <c r="O9174" s="676"/>
      <c r="P9174" s="2010"/>
    </row>
    <row r="9175" spans="1:16" ht="18" thickBot="1">
      <c r="A9175" s="681"/>
      <c r="B9175" s="682"/>
      <c r="C9175" s="683"/>
      <c r="D9175" s="683"/>
      <c r="E9175" s="1981"/>
      <c r="F9175" s="684"/>
      <c r="G9175" s="685"/>
      <c r="H9175" s="686"/>
      <c r="I9175" s="1850"/>
      <c r="J9175" s="683"/>
      <c r="K9175" s="687"/>
      <c r="L9175" s="686"/>
      <c r="M9175" s="683"/>
      <c r="N9175" s="684"/>
      <c r="O9175" s="683"/>
      <c r="P9175" s="2010"/>
    </row>
    <row r="9176" spans="1:16" ht="17.399999999999999">
      <c r="A9176" s="688" t="s">
        <v>31</v>
      </c>
      <c r="B9176" s="676"/>
      <c r="C9176" s="676"/>
      <c r="D9176" s="676"/>
      <c r="E9176" s="676"/>
      <c r="F9176" s="677"/>
      <c r="G9176" s="676"/>
      <c r="H9176" s="677"/>
      <c r="I9176" s="1848"/>
      <c r="J9176" s="676"/>
      <c r="K9176" s="689"/>
      <c r="L9176" s="677"/>
      <c r="M9176" s="676"/>
      <c r="N9176" s="677"/>
      <c r="O9176" s="676"/>
      <c r="P9176" s="2010"/>
    </row>
    <row r="9177" spans="1:16" ht="17.399999999999999">
      <c r="A9177" s="690"/>
      <c r="B9177" s="691"/>
      <c r="C9177" s="691"/>
      <c r="D9177" s="691"/>
      <c r="E9177" s="691"/>
      <c r="F9177" s="1296"/>
      <c r="G9177" s="691"/>
      <c r="H9177" s="1296"/>
      <c r="I9177" s="1849"/>
      <c r="J9177" s="691"/>
      <c r="K9177" s="693"/>
      <c r="L9177" s="1296"/>
      <c r="M9177" s="691"/>
      <c r="N9177" s="1296"/>
      <c r="O9177" s="691"/>
      <c r="P9177" s="2010"/>
    </row>
    <row r="9178" spans="1:16" ht="18" thickBot="1">
      <c r="A9178" s="1982" t="s">
        <v>32</v>
      </c>
      <c r="B9178" s="1983"/>
      <c r="C9178" s="1984" t="s">
        <v>33</v>
      </c>
      <c r="D9178" s="1985"/>
      <c r="E9178" s="694" t="s">
        <v>34</v>
      </c>
      <c r="F9178" s="694" t="s">
        <v>35</v>
      </c>
      <c r="G9178" s="1986" t="s">
        <v>36</v>
      </c>
      <c r="H9178" s="1987"/>
      <c r="I9178" s="1987"/>
      <c r="J9178" s="1987"/>
      <c r="K9178" s="1987"/>
      <c r="L9178" s="1987"/>
      <c r="M9178" s="1987"/>
      <c r="N9178" s="1987"/>
      <c r="O9178" s="1987"/>
      <c r="P9178" s="2010"/>
    </row>
    <row r="9179" spans="1:16" ht="17.399999999999999">
      <c r="A9179" s="1988"/>
      <c r="B9179" s="1989"/>
      <c r="C9179" s="1990"/>
      <c r="D9179" s="1989"/>
      <c r="E9179" s="1304"/>
      <c r="F9179" s="1302"/>
      <c r="G9179" s="1991"/>
      <c r="H9179" s="1992"/>
      <c r="I9179" s="1992"/>
      <c r="J9179" s="1992"/>
      <c r="K9179" s="1992"/>
      <c r="L9179" s="1992"/>
      <c r="M9179" s="1992"/>
      <c r="N9179" s="1992"/>
      <c r="O9179" s="1992"/>
      <c r="P9179" s="2010"/>
    </row>
    <row r="9180" spans="1:16" ht="17.399999999999999">
      <c r="A9180" s="1997" t="s">
        <v>37</v>
      </c>
      <c r="B9180" s="1998"/>
      <c r="C9180" s="1990"/>
      <c r="D9180" s="1989"/>
      <c r="E9180" s="1304"/>
      <c r="F9180" s="1302"/>
      <c r="G9180" s="1993"/>
      <c r="H9180" s="1994"/>
      <c r="I9180" s="1994"/>
      <c r="J9180" s="1994"/>
      <c r="K9180" s="1994"/>
      <c r="L9180" s="1994"/>
      <c r="M9180" s="1994"/>
      <c r="N9180" s="1994"/>
      <c r="O9180" s="1994"/>
      <c r="P9180" s="2010"/>
    </row>
    <row r="9181" spans="1:16" ht="17.399999999999999">
      <c r="A9181" s="1997" t="s">
        <v>38</v>
      </c>
      <c r="B9181" s="1998"/>
      <c r="C9181" s="1990"/>
      <c r="D9181" s="1989"/>
      <c r="E9181" s="1304"/>
      <c r="F9181" s="1302"/>
      <c r="G9181" s="1993"/>
      <c r="H9181" s="1994"/>
      <c r="I9181" s="1994"/>
      <c r="J9181" s="1994"/>
      <c r="K9181" s="1994"/>
      <c r="L9181" s="1994"/>
      <c r="M9181" s="1994"/>
      <c r="N9181" s="1994"/>
      <c r="O9181" s="1994"/>
      <c r="P9181" s="2010"/>
    </row>
    <row r="9182" spans="1:16" ht="17.399999999999999">
      <c r="A9182" s="1997" t="s">
        <v>39</v>
      </c>
      <c r="B9182" s="1998"/>
      <c r="C9182" s="1990"/>
      <c r="D9182" s="1989"/>
      <c r="E9182" s="1304"/>
      <c r="F9182" s="1302"/>
      <c r="G9182" s="1993"/>
      <c r="H9182" s="1994"/>
      <c r="I9182" s="1994"/>
      <c r="J9182" s="1994"/>
      <c r="K9182" s="1994"/>
      <c r="L9182" s="1994"/>
      <c r="M9182" s="1994"/>
      <c r="N9182" s="1994"/>
      <c r="O9182" s="1994"/>
      <c r="P9182" s="2010"/>
    </row>
    <row r="9183" spans="1:16" ht="17.399999999999999">
      <c r="A9183" s="1997" t="s">
        <v>40</v>
      </c>
      <c r="B9183" s="1998"/>
      <c r="C9183" s="1990"/>
      <c r="D9183" s="1989"/>
      <c r="E9183" s="1304"/>
      <c r="F9183" s="1302"/>
      <c r="G9183" s="1993"/>
      <c r="H9183" s="1994"/>
      <c r="I9183" s="1994"/>
      <c r="J9183" s="1994"/>
      <c r="K9183" s="1994"/>
      <c r="L9183" s="1994"/>
      <c r="M9183" s="1994"/>
      <c r="N9183" s="1994"/>
      <c r="O9183" s="1994"/>
      <c r="P9183" s="2010"/>
    </row>
    <row r="9184" spans="1:16" ht="18" thickBot="1">
      <c r="A9184" s="1999" t="s">
        <v>41</v>
      </c>
      <c r="B9184" s="2000"/>
      <c r="C9184" s="2001"/>
      <c r="D9184" s="2002"/>
      <c r="E9184" s="696"/>
      <c r="F9184" s="1303"/>
      <c r="G9184" s="1995"/>
      <c r="H9184" s="1996"/>
      <c r="I9184" s="1996"/>
      <c r="J9184" s="1996"/>
      <c r="K9184" s="1996"/>
      <c r="L9184" s="1996"/>
      <c r="M9184" s="1996"/>
      <c r="N9184" s="1996"/>
      <c r="O9184" s="1996"/>
      <c r="P9184" s="2010"/>
    </row>
    <row r="9185" spans="1:17" ht="18">
      <c r="A9185" s="690"/>
      <c r="B9185" s="691"/>
      <c r="C9185" s="691"/>
      <c r="D9185" s="691"/>
      <c r="E9185" s="691"/>
      <c r="F9185" s="1296"/>
      <c r="G9185" s="691"/>
      <c r="H9185" s="698"/>
      <c r="I9185" s="699"/>
      <c r="J9185" s="700"/>
      <c r="K9185" s="701"/>
      <c r="L9185" s="702"/>
      <c r="M9185" s="691"/>
      <c r="N9185" s="1296"/>
      <c r="O9185" s="691"/>
      <c r="P9185" s="2010"/>
    </row>
    <row r="9186" spans="1:17" ht="18">
      <c r="A9186" s="703" t="s">
        <v>42</v>
      </c>
      <c r="B9186" s="704"/>
      <c r="C9186" s="691"/>
      <c r="D9186" s="691"/>
      <c r="E9186" s="691"/>
      <c r="F9186" s="1296"/>
      <c r="G9186" s="704"/>
      <c r="H9186" s="698"/>
      <c r="I9186" s="699"/>
      <c r="J9186" s="700"/>
      <c r="K9186" s="693"/>
      <c r="L9186" s="705"/>
      <c r="M9186" s="691"/>
      <c r="N9186" s="1979" t="s">
        <v>43</v>
      </c>
      <c r="O9186" s="1979"/>
      <c r="P9186" s="2010"/>
    </row>
    <row r="9187" spans="1:17" ht="17.399999999999999">
      <c r="A9187" s="703"/>
      <c r="B9187" s="704"/>
      <c r="C9187" s="691"/>
      <c r="D9187" s="691"/>
      <c r="E9187" s="691"/>
      <c r="F9187" s="1296"/>
      <c r="G9187" s="691"/>
      <c r="H9187" s="1296"/>
      <c r="I9187" s="1849"/>
      <c r="J9187" s="691"/>
      <c r="K9187" s="693"/>
      <c r="L9187" s="1296"/>
      <c r="M9187" s="691"/>
      <c r="N9187" s="1296"/>
      <c r="O9187" s="704"/>
      <c r="P9187" s="2010"/>
    </row>
    <row r="9188" spans="1:17" ht="17.399999999999999">
      <c r="A9188" s="703" t="s">
        <v>44</v>
      </c>
      <c r="B9188" s="704"/>
      <c r="C9188" s="691"/>
      <c r="D9188" s="691"/>
      <c r="E9188" s="691"/>
      <c r="F9188" s="1296"/>
      <c r="G9188" s="691"/>
      <c r="H9188" s="1296"/>
      <c r="I9188" s="1849"/>
      <c r="J9188" s="691"/>
      <c r="K9188" s="693"/>
      <c r="L9188" s="1296"/>
      <c r="M9188" s="691"/>
      <c r="N9188" s="1979" t="s">
        <v>45</v>
      </c>
      <c r="O9188" s="1979"/>
      <c r="P9188" s="2010"/>
    </row>
    <row r="9189" spans="1:17" ht="18" thickBot="1">
      <c r="A9189" s="682"/>
      <c r="B9189" s="683"/>
      <c r="C9189" s="683"/>
      <c r="D9189" s="683"/>
      <c r="E9189" s="683"/>
      <c r="F9189" s="684"/>
      <c r="G9189" s="683"/>
      <c r="H9189" s="684"/>
      <c r="I9189" s="1850"/>
      <c r="J9189" s="683"/>
      <c r="K9189" s="706"/>
      <c r="L9189" s="684"/>
      <c r="M9189" s="683"/>
      <c r="N9189" s="684"/>
      <c r="O9189" s="683"/>
      <c r="P9189" s="2010"/>
    </row>
    <row r="9193" spans="1:17" ht="17.399999999999999">
      <c r="A9193" s="711" t="s">
        <v>48</v>
      </c>
      <c r="B9193" s="711"/>
      <c r="C9193" s="712"/>
      <c r="D9193" s="712"/>
      <c r="E9193" s="712"/>
      <c r="F9193" s="713"/>
      <c r="G9193" s="712"/>
      <c r="H9193" s="712"/>
      <c r="I9193" s="714"/>
      <c r="J9193" s="715"/>
      <c r="K9193" s="716"/>
      <c r="L9193" s="1978" t="s">
        <v>0</v>
      </c>
      <c r="M9193" s="1978"/>
      <c r="N9193" s="1978"/>
      <c r="O9193" s="1978"/>
      <c r="P9193" s="717"/>
    </row>
    <row r="9194" spans="1:17" ht="17.399999999999999">
      <c r="A9194" s="718" t="s">
        <v>1</v>
      </c>
      <c r="B9194" s="718"/>
      <c r="C9194" s="718"/>
      <c r="D9194" s="719" t="s">
        <v>2</v>
      </c>
      <c r="E9194" s="719"/>
      <c r="F9194" s="720"/>
      <c r="G9194" s="720"/>
      <c r="H9194" s="720"/>
      <c r="I9194" s="721"/>
      <c r="J9194" s="1310"/>
      <c r="K9194" s="723" t="s">
        <v>3</v>
      </c>
      <c r="L9194" s="1310"/>
      <c r="M9194" s="718"/>
      <c r="N9194" s="720"/>
      <c r="O9194" s="718"/>
      <c r="P9194" s="724"/>
    </row>
    <row r="9195" spans="1:17" ht="52.2">
      <c r="A9195" s="640" t="s">
        <v>4</v>
      </c>
      <c r="B9195" s="640" t="s">
        <v>5</v>
      </c>
      <c r="C9195" s="640" t="s">
        <v>6</v>
      </c>
      <c r="D9195" s="640" t="s">
        <v>7</v>
      </c>
      <c r="E9195" s="640" t="s">
        <v>8</v>
      </c>
      <c r="F9195" s="641" t="s">
        <v>9</v>
      </c>
      <c r="G9195" s="642" t="s">
        <v>10</v>
      </c>
      <c r="H9195" s="642" t="s">
        <v>11</v>
      </c>
      <c r="I9195" s="643" t="s">
        <v>12</v>
      </c>
      <c r="J9195" s="644" t="s">
        <v>13</v>
      </c>
      <c r="K9195" s="645" t="s">
        <v>14</v>
      </c>
      <c r="L9195" s="646" t="s">
        <v>15</v>
      </c>
      <c r="M9195" s="641" t="s">
        <v>16</v>
      </c>
      <c r="N9195" s="641" t="s">
        <v>17</v>
      </c>
      <c r="O9195" s="642" t="s">
        <v>18</v>
      </c>
      <c r="P9195" s="641" t="s">
        <v>192</v>
      </c>
    </row>
    <row r="9196" spans="1:17" ht="17.399999999999999">
      <c r="A9196" s="547" t="s">
        <v>445</v>
      </c>
      <c r="B9196" s="547" t="s">
        <v>786</v>
      </c>
      <c r="C9196" s="547" t="s">
        <v>19</v>
      </c>
      <c r="D9196" s="547" t="s">
        <v>20</v>
      </c>
      <c r="E9196" s="560" t="s">
        <v>464</v>
      </c>
      <c r="F9196" s="1347">
        <v>9</v>
      </c>
      <c r="G9196" s="549" t="s">
        <v>21</v>
      </c>
      <c r="H9196" s="1203" t="s">
        <v>69</v>
      </c>
      <c r="I9196" s="558">
        <v>6.85</v>
      </c>
      <c r="J9196" s="567">
        <v>10</v>
      </c>
      <c r="K9196" s="648">
        <v>104</v>
      </c>
      <c r="L9196" s="552">
        <f t="shared" ref="L9196:L9199" si="1892">(I9196*J9196*K9196/1000)</f>
        <v>7.1239999999999997</v>
      </c>
      <c r="M9196" s="549"/>
      <c r="N9196" s="549"/>
      <c r="O9196" s="549"/>
      <c r="P9196" s="549"/>
      <c r="Q9196" s="1358" t="s">
        <v>1224</v>
      </c>
    </row>
    <row r="9197" spans="1:17" ht="17.399999999999999">
      <c r="A9197" s="547"/>
      <c r="B9197" s="754" t="s">
        <v>621</v>
      </c>
      <c r="C9197" s="780"/>
      <c r="D9197" s="547"/>
      <c r="E9197" s="547"/>
      <c r="F9197" s="1347"/>
      <c r="G9197" s="549" t="s">
        <v>21</v>
      </c>
      <c r="H9197" s="549" t="s">
        <v>69</v>
      </c>
      <c r="I9197" s="558">
        <v>6.85</v>
      </c>
      <c r="J9197" s="567">
        <v>11</v>
      </c>
      <c r="K9197" s="648">
        <v>4</v>
      </c>
      <c r="L9197" s="552">
        <f t="shared" si="1892"/>
        <v>0.3014</v>
      </c>
      <c r="M9197" s="549"/>
      <c r="N9197" s="549"/>
      <c r="O9197" s="549"/>
      <c r="P9197" s="549"/>
    </row>
    <row r="9198" spans="1:17" ht="17.399999999999999">
      <c r="A9198" s="549"/>
      <c r="B9198" s="549"/>
      <c r="C9198" s="549"/>
      <c r="D9198" s="549"/>
      <c r="E9198" s="549"/>
      <c r="F9198" s="549"/>
      <c r="G9198" s="549" t="s">
        <v>21</v>
      </c>
      <c r="H9198" s="549" t="s">
        <v>69</v>
      </c>
      <c r="I9198" s="558">
        <v>6.85</v>
      </c>
      <c r="J9198" s="567">
        <v>11.5</v>
      </c>
      <c r="K9198" s="648">
        <v>588</v>
      </c>
      <c r="L9198" s="552">
        <f t="shared" si="1892"/>
        <v>46.319699999999997</v>
      </c>
      <c r="M9198" s="549"/>
      <c r="N9198" s="549"/>
      <c r="O9198" s="549"/>
      <c r="P9198" s="549"/>
    </row>
    <row r="9199" spans="1:17" ht="17.399999999999999">
      <c r="A9199" s="549"/>
      <c r="B9199" s="549"/>
      <c r="C9199" s="549"/>
      <c r="D9199" s="549"/>
      <c r="E9199" s="549"/>
      <c r="F9199" s="549"/>
      <c r="G9199" s="549" t="s">
        <v>21</v>
      </c>
      <c r="H9199" s="549" t="s">
        <v>69</v>
      </c>
      <c r="I9199" s="558">
        <v>6.85</v>
      </c>
      <c r="J9199" s="567">
        <v>12</v>
      </c>
      <c r="K9199" s="648">
        <v>352</v>
      </c>
      <c r="L9199" s="552">
        <f t="shared" si="1892"/>
        <v>28.934399999999993</v>
      </c>
      <c r="M9199" s="549"/>
      <c r="N9199" s="549"/>
      <c r="O9199" s="549"/>
      <c r="P9199" s="549"/>
    </row>
    <row r="9200" spans="1:17" ht="17.399999999999999">
      <c r="A9200" s="549"/>
      <c r="B9200" s="549"/>
      <c r="C9200" s="549"/>
      <c r="D9200" s="549"/>
      <c r="E9200" s="549"/>
      <c r="F9200" s="549"/>
      <c r="G9200" s="549"/>
      <c r="H9200" s="549"/>
      <c r="I9200" s="558"/>
      <c r="J9200" s="567"/>
      <c r="K9200" s="648">
        <f t="shared" ref="K9200" si="1893">SUM(K9196:K9199)</f>
        <v>1048</v>
      </c>
      <c r="L9200" s="732">
        <f>SUM(L9196:L9199)</f>
        <v>82.67949999999999</v>
      </c>
      <c r="M9200" s="549" t="s">
        <v>1099</v>
      </c>
      <c r="N9200" s="549"/>
      <c r="O9200" s="549"/>
      <c r="P9200" s="549" t="s">
        <v>1067</v>
      </c>
    </row>
    <row r="9201" spans="1:17" ht="17.399999999999999">
      <c r="A9201" s="549"/>
      <c r="B9201" s="549"/>
      <c r="C9201" s="549"/>
      <c r="D9201" s="549"/>
      <c r="E9201" s="549"/>
      <c r="F9201" s="549"/>
      <c r="G9201" s="549"/>
      <c r="H9201" s="549"/>
      <c r="I9201" s="560"/>
      <c r="J9201" s="549"/>
      <c r="K9201" s="561"/>
      <c r="L9201" s="560"/>
      <c r="M9201" s="549"/>
      <c r="N9201" s="549"/>
      <c r="O9201" s="549"/>
      <c r="P9201" s="549"/>
    </row>
    <row r="9202" spans="1:17" s="497" customFormat="1" ht="17.399999999999999">
      <c r="A9202" s="547" t="s">
        <v>332</v>
      </c>
      <c r="B9202" s="547" t="s">
        <v>857</v>
      </c>
      <c r="C9202" s="547" t="s">
        <v>19</v>
      </c>
      <c r="D9202" s="547" t="s">
        <v>20</v>
      </c>
      <c r="E9202" s="650" t="s">
        <v>878</v>
      </c>
      <c r="F9202" s="1347">
        <v>9</v>
      </c>
      <c r="G9202" s="549" t="s">
        <v>21</v>
      </c>
      <c r="H9202" s="599" t="s">
        <v>69</v>
      </c>
      <c r="I9202" s="560">
        <v>6.85</v>
      </c>
      <c r="J9202" s="710">
        <v>12</v>
      </c>
      <c r="K9202" s="648">
        <v>33</v>
      </c>
      <c r="L9202" s="552">
        <f>(I9202*J9202*K9202/1000)</f>
        <v>2.7125999999999992</v>
      </c>
      <c r="M9202" s="549"/>
      <c r="N9202" s="549"/>
      <c r="O9202" s="549"/>
      <c r="P9202" s="549"/>
      <c r="Q9202" s="1358" t="s">
        <v>1225</v>
      </c>
    </row>
    <row r="9203" spans="1:17" s="497" customFormat="1" ht="17.399999999999999">
      <c r="A9203" s="549"/>
      <c r="B9203" s="549" t="s">
        <v>84</v>
      </c>
      <c r="C9203" s="549"/>
      <c r="D9203" s="549"/>
      <c r="E9203" s="549"/>
      <c r="F9203" s="549"/>
      <c r="G9203" s="549"/>
      <c r="H9203" s="650"/>
      <c r="I9203" s="560"/>
      <c r="J9203" s="710"/>
      <c r="K9203" s="648">
        <f>SUM(K9202)</f>
        <v>33</v>
      </c>
      <c r="L9203" s="732">
        <f>SUM(L9202)</f>
        <v>2.7125999999999992</v>
      </c>
      <c r="M9203" s="549"/>
      <c r="N9203" s="549"/>
      <c r="O9203" s="549"/>
      <c r="P9203" s="549" t="s">
        <v>1068</v>
      </c>
    </row>
    <row r="9204" spans="1:17" ht="17.399999999999999">
      <c r="A9204" s="549"/>
      <c r="B9204" s="549"/>
      <c r="C9204" s="549"/>
      <c r="D9204" s="549"/>
      <c r="E9204" s="549"/>
      <c r="F9204" s="549"/>
      <c r="G9204" s="549"/>
      <c r="H9204" s="549"/>
      <c r="I9204" s="560"/>
      <c r="J9204" s="549"/>
      <c r="K9204" s="561"/>
      <c r="L9204" s="560"/>
      <c r="M9204" s="549"/>
      <c r="N9204" s="549"/>
      <c r="O9204" s="549"/>
      <c r="P9204" s="549"/>
    </row>
    <row r="9205" spans="1:17" s="497" customFormat="1" ht="17.399999999999999">
      <c r="A9205" s="547" t="s">
        <v>395</v>
      </c>
      <c r="B9205" s="547" t="s">
        <v>1038</v>
      </c>
      <c r="C9205" s="547" t="s">
        <v>19</v>
      </c>
      <c r="D9205" s="547" t="s">
        <v>20</v>
      </c>
      <c r="E9205" s="547" t="s">
        <v>359</v>
      </c>
      <c r="F9205" s="1347">
        <v>9</v>
      </c>
      <c r="G9205" s="549" t="s">
        <v>21</v>
      </c>
      <c r="H9205" s="599" t="s">
        <v>69</v>
      </c>
      <c r="I9205" s="560">
        <v>6.86</v>
      </c>
      <c r="J9205" s="567">
        <v>7</v>
      </c>
      <c r="K9205" s="648">
        <v>10</v>
      </c>
      <c r="L9205" s="552">
        <f t="shared" ref="L9205:L9207" si="1894">(I9205*J9205*K9205/1000)</f>
        <v>0.48020000000000007</v>
      </c>
      <c r="M9205" s="549">
        <v>4</v>
      </c>
      <c r="N9205" s="567">
        <f>J9205*M9205*I9205/1000</f>
        <v>0.19208</v>
      </c>
      <c r="O9205" s="549"/>
      <c r="P9205" s="549"/>
      <c r="Q9205" s="1358" t="s">
        <v>1225</v>
      </c>
    </row>
    <row r="9206" spans="1:17" s="497" customFormat="1" ht="17.399999999999999">
      <c r="A9206" s="549"/>
      <c r="B9206" s="560" t="s">
        <v>277</v>
      </c>
      <c r="C9206" s="549"/>
      <c r="D9206" s="549"/>
      <c r="E9206" s="549"/>
      <c r="F9206" s="549"/>
      <c r="G9206" s="549" t="s">
        <v>21</v>
      </c>
      <c r="H9206" s="549" t="s">
        <v>69</v>
      </c>
      <c r="I9206" s="560">
        <v>6.86</v>
      </c>
      <c r="J9206" s="567">
        <v>10</v>
      </c>
      <c r="K9206" s="648">
        <v>30</v>
      </c>
      <c r="L9206" s="552">
        <f t="shared" si="1894"/>
        <v>2.0580000000000003</v>
      </c>
      <c r="M9206" s="549"/>
      <c r="N9206" s="549"/>
      <c r="O9206" s="549"/>
      <c r="P9206" s="549"/>
    </row>
    <row r="9207" spans="1:17" s="497" customFormat="1" ht="17.399999999999999">
      <c r="A9207" s="549"/>
      <c r="B9207" s="549"/>
      <c r="C9207" s="549"/>
      <c r="D9207" s="549"/>
      <c r="E9207" s="549"/>
      <c r="F9207" s="549"/>
      <c r="G9207" s="549" t="s">
        <v>21</v>
      </c>
      <c r="H9207" s="549" t="s">
        <v>69</v>
      </c>
      <c r="I9207" s="560">
        <v>6.86</v>
      </c>
      <c r="J9207" s="567">
        <v>12</v>
      </c>
      <c r="K9207" s="648">
        <v>11</v>
      </c>
      <c r="L9207" s="552">
        <f t="shared" si="1894"/>
        <v>0.9055200000000001</v>
      </c>
      <c r="M9207" s="549">
        <v>2</v>
      </c>
      <c r="N9207" s="567">
        <f>J9207*M9207*I9207/1000</f>
        <v>0.16464000000000001</v>
      </c>
      <c r="O9207" s="549"/>
      <c r="P9207" s="549"/>
    </row>
    <row r="9208" spans="1:17" s="497" customFormat="1" ht="17.399999999999999">
      <c r="A9208" s="549"/>
      <c r="B9208" s="549"/>
      <c r="C9208" s="549"/>
      <c r="D9208" s="549"/>
      <c r="E9208" s="549"/>
      <c r="F9208" s="549"/>
      <c r="G9208" s="549"/>
      <c r="H9208" s="549"/>
      <c r="I9208" s="560"/>
      <c r="J9208" s="567"/>
      <c r="K9208" s="648">
        <f>SUM(K9205:K9207)</f>
        <v>51</v>
      </c>
      <c r="L9208" s="567">
        <f>SUM(L9205:L9207)</f>
        <v>3.4437200000000003</v>
      </c>
      <c r="M9208" s="648">
        <f>SUM(M9205:M9207)</f>
        <v>6</v>
      </c>
      <c r="N9208" s="567">
        <f>SUM(N9205:N9207)</f>
        <v>0.35672000000000004</v>
      </c>
      <c r="O9208" s="549"/>
      <c r="P9208" s="549" t="s">
        <v>1069</v>
      </c>
    </row>
    <row r="9209" spans="1:17" s="497" customFormat="1" ht="17.399999999999999">
      <c r="A9209" s="549"/>
      <c r="B9209" s="549"/>
      <c r="C9209" s="549"/>
      <c r="D9209" s="549"/>
      <c r="E9209" s="549"/>
      <c r="F9209" s="549"/>
      <c r="G9209" s="549"/>
      <c r="H9209" s="549"/>
      <c r="I9209" s="560"/>
      <c r="J9209" s="567"/>
      <c r="K9209" s="648"/>
      <c r="L9209" s="567"/>
      <c r="M9209" s="549"/>
      <c r="N9209" s="549"/>
      <c r="O9209" s="549"/>
      <c r="P9209" s="549"/>
    </row>
    <row r="9210" spans="1:17" s="497" customFormat="1" ht="17.399999999999999">
      <c r="A9210" s="547" t="s">
        <v>395</v>
      </c>
      <c r="B9210" s="547" t="s">
        <v>1038</v>
      </c>
      <c r="C9210" s="547" t="s">
        <v>19</v>
      </c>
      <c r="D9210" s="547" t="s">
        <v>20</v>
      </c>
      <c r="E9210" s="754" t="s">
        <v>1095</v>
      </c>
      <c r="F9210" s="1347">
        <v>9</v>
      </c>
      <c r="G9210" s="549" t="s">
        <v>21</v>
      </c>
      <c r="H9210" s="599" t="s">
        <v>69</v>
      </c>
      <c r="I9210" s="560">
        <v>6.86</v>
      </c>
      <c r="J9210" s="567">
        <v>12</v>
      </c>
      <c r="K9210" s="648">
        <v>3</v>
      </c>
      <c r="L9210" s="552">
        <f>(I9210*J9210*K9210/1000)</f>
        <v>0.24696000000000004</v>
      </c>
      <c r="M9210" s="549">
        <v>3</v>
      </c>
      <c r="N9210" s="567">
        <f>J9210*M9210*I9210/1000</f>
        <v>0.24696000000000001</v>
      </c>
      <c r="O9210" s="549"/>
      <c r="P9210" s="549"/>
      <c r="Q9210" s="1358" t="s">
        <v>1225</v>
      </c>
    </row>
    <row r="9211" spans="1:17" s="497" customFormat="1" ht="17.399999999999999">
      <c r="A9211" s="549"/>
      <c r="B9211" s="560" t="s">
        <v>277</v>
      </c>
      <c r="C9211" s="549"/>
      <c r="D9211" s="549"/>
      <c r="E9211" s="549"/>
      <c r="F9211" s="549"/>
      <c r="G9211" s="549"/>
      <c r="H9211" s="549"/>
      <c r="I9211" s="560"/>
      <c r="J9211" s="567"/>
      <c r="K9211" s="648">
        <f t="shared" ref="K9211:M9211" si="1895">SUM(K9210)</f>
        <v>3</v>
      </c>
      <c r="L9211" s="567">
        <f>SUM(L9210)</f>
        <v>0.24696000000000004</v>
      </c>
      <c r="M9211" s="648">
        <f t="shared" si="1895"/>
        <v>3</v>
      </c>
      <c r="N9211" s="567">
        <f>SUM(N9210)</f>
        <v>0.24696000000000001</v>
      </c>
      <c r="O9211" s="549"/>
      <c r="P9211" s="549"/>
    </row>
    <row r="9212" spans="1:17" s="497" customFormat="1" ht="17.399999999999999">
      <c r="A9212" s="549"/>
      <c r="B9212" s="549"/>
      <c r="C9212" s="549"/>
      <c r="D9212" s="549"/>
      <c r="E9212" s="549"/>
      <c r="F9212" s="549"/>
      <c r="G9212" s="549"/>
      <c r="H9212" s="650"/>
      <c r="I9212" s="560"/>
      <c r="J9212" s="710"/>
      <c r="K9212" s="766">
        <f>SUM(K9196:K9211)/2</f>
        <v>1135</v>
      </c>
      <c r="L9212" s="765">
        <f>SUM(L9196:L9211)/2</f>
        <v>89.08278</v>
      </c>
      <c r="M9212" s="766">
        <f>SUM(M9196:M9211)/2</f>
        <v>9</v>
      </c>
      <c r="N9212" s="765">
        <f>SUM(N9196:N9211)/2</f>
        <v>0.60368000000000011</v>
      </c>
      <c r="O9212" s="549"/>
      <c r="P9212" s="549"/>
    </row>
    <row r="9213" spans="1:17" s="497" customFormat="1" ht="17.399999999999999">
      <c r="A9213" s="549"/>
      <c r="B9213" s="549"/>
      <c r="C9213" s="549"/>
      <c r="D9213" s="549"/>
      <c r="E9213" s="549"/>
      <c r="F9213" s="549"/>
      <c r="G9213" s="549"/>
      <c r="H9213" s="549"/>
      <c r="I9213" s="560"/>
      <c r="J9213" s="549"/>
      <c r="K9213" s="561"/>
      <c r="L9213" s="560"/>
      <c r="M9213" s="549"/>
      <c r="N9213" s="549"/>
      <c r="O9213" s="549"/>
      <c r="P9213" s="549"/>
    </row>
    <row r="9214" spans="1:17" s="497" customFormat="1" ht="17.399999999999999">
      <c r="A9214" s="549"/>
      <c r="B9214" s="549"/>
      <c r="C9214" s="549"/>
      <c r="D9214" s="549"/>
      <c r="E9214" s="549"/>
      <c r="F9214" s="549"/>
      <c r="G9214" s="549"/>
      <c r="H9214" s="549"/>
      <c r="I9214" s="560"/>
      <c r="J9214" s="549"/>
      <c r="K9214" s="561"/>
      <c r="L9214" s="560"/>
      <c r="M9214" s="549"/>
      <c r="N9214" s="549"/>
      <c r="O9214" s="549"/>
      <c r="P9214" s="549"/>
    </row>
    <row r="9215" spans="1:17" s="497" customFormat="1" ht="17.399999999999999">
      <c r="A9215" s="547" t="s">
        <v>332</v>
      </c>
      <c r="B9215" s="547" t="s">
        <v>857</v>
      </c>
      <c r="C9215" s="547" t="s">
        <v>19</v>
      </c>
      <c r="D9215" s="547" t="s">
        <v>20</v>
      </c>
      <c r="E9215" s="650" t="s">
        <v>878</v>
      </c>
      <c r="F9215" s="1347">
        <v>9</v>
      </c>
      <c r="G9215" s="549" t="s">
        <v>21</v>
      </c>
      <c r="H9215" s="599" t="s">
        <v>70</v>
      </c>
      <c r="I9215" s="560">
        <v>5.76</v>
      </c>
      <c r="J9215" s="710">
        <v>10.5</v>
      </c>
      <c r="K9215" s="648">
        <v>13</v>
      </c>
      <c r="L9215" s="552">
        <f>(I9215*J9215*K9215/1000)</f>
        <v>0.78624000000000005</v>
      </c>
      <c r="M9215" s="549"/>
      <c r="N9215" s="549"/>
      <c r="O9215" s="549"/>
      <c r="P9215" s="549"/>
      <c r="Q9215" s="1358" t="s">
        <v>1225</v>
      </c>
    </row>
    <row r="9216" spans="1:17" s="497" customFormat="1" ht="17.399999999999999">
      <c r="A9216" s="549"/>
      <c r="B9216" s="549" t="s">
        <v>84</v>
      </c>
      <c r="C9216" s="549"/>
      <c r="D9216" s="549"/>
      <c r="E9216" s="549"/>
      <c r="F9216" s="549"/>
      <c r="G9216" s="549" t="s">
        <v>21</v>
      </c>
      <c r="H9216" s="549" t="s">
        <v>70</v>
      </c>
      <c r="I9216" s="560">
        <v>5.76</v>
      </c>
      <c r="J9216" s="710">
        <v>12</v>
      </c>
      <c r="K9216" s="648">
        <v>14</v>
      </c>
      <c r="L9216" s="552">
        <f>(I9216*J9216*K9216/1000)</f>
        <v>0.9676800000000001</v>
      </c>
      <c r="M9216" s="549"/>
      <c r="N9216" s="549"/>
      <c r="O9216" s="549"/>
      <c r="P9216" s="549"/>
    </row>
    <row r="9217" spans="1:17" s="497" customFormat="1" ht="17.399999999999999">
      <c r="A9217" s="549"/>
      <c r="B9217" s="549"/>
      <c r="C9217" s="549"/>
      <c r="D9217" s="549"/>
      <c r="E9217" s="549"/>
      <c r="F9217" s="549"/>
      <c r="G9217" s="549"/>
      <c r="H9217" s="650"/>
      <c r="I9217" s="560"/>
      <c r="J9217" s="710"/>
      <c r="K9217" s="648">
        <f>SUM(K9215:K9216)</f>
        <v>27</v>
      </c>
      <c r="L9217" s="765">
        <f>SUM(L9215:L9216)</f>
        <v>1.7539200000000001</v>
      </c>
      <c r="M9217" s="549"/>
      <c r="N9217" s="549"/>
      <c r="O9217" s="549"/>
      <c r="P9217" s="549" t="s">
        <v>1070</v>
      </c>
    </row>
    <row r="9218" spans="1:17" s="497" customFormat="1" ht="17.399999999999999">
      <c r="A9218" s="549"/>
      <c r="B9218" s="549"/>
      <c r="C9218" s="549"/>
      <c r="D9218" s="549"/>
      <c r="E9218" s="549"/>
      <c r="F9218" s="549"/>
      <c r="G9218" s="549"/>
      <c r="H9218" s="549"/>
      <c r="I9218" s="560"/>
      <c r="J9218" s="549"/>
      <c r="K9218" s="561"/>
      <c r="L9218" s="560"/>
      <c r="M9218" s="549"/>
      <c r="N9218" s="549"/>
      <c r="O9218" s="549"/>
      <c r="P9218" s="549"/>
    </row>
    <row r="9219" spans="1:17" s="497" customFormat="1" ht="17.399999999999999">
      <c r="A9219" s="547" t="s">
        <v>395</v>
      </c>
      <c r="B9219" s="547" t="s">
        <v>1038</v>
      </c>
      <c r="C9219" s="547" t="s">
        <v>19</v>
      </c>
      <c r="D9219" s="547" t="s">
        <v>20</v>
      </c>
      <c r="E9219" s="547" t="s">
        <v>359</v>
      </c>
      <c r="F9219" s="1347">
        <v>9</v>
      </c>
      <c r="G9219" s="549" t="s">
        <v>21</v>
      </c>
      <c r="H9219" s="599" t="s">
        <v>70</v>
      </c>
      <c r="I9219" s="560">
        <v>5.77</v>
      </c>
      <c r="J9219" s="567">
        <v>8</v>
      </c>
      <c r="K9219" s="648">
        <v>20</v>
      </c>
      <c r="L9219" s="552">
        <f t="shared" ref="L9219:L9221" si="1896">(I9219*J9219*K9219/1000)</f>
        <v>0.92319999999999991</v>
      </c>
      <c r="M9219" s="549">
        <v>8</v>
      </c>
      <c r="N9219" s="567">
        <f>J9219*M9219*I9219/1000</f>
        <v>0.36928</v>
      </c>
      <c r="O9219" s="549"/>
      <c r="P9219" s="549"/>
      <c r="Q9219" s="1358" t="s">
        <v>1225</v>
      </c>
    </row>
    <row r="9220" spans="1:17" s="497" customFormat="1" ht="17.399999999999999">
      <c r="A9220" s="549"/>
      <c r="B9220" s="560" t="s">
        <v>277</v>
      </c>
      <c r="C9220" s="549"/>
      <c r="D9220" s="549"/>
      <c r="E9220" s="549"/>
      <c r="F9220" s="549"/>
      <c r="G9220" s="549" t="s">
        <v>21</v>
      </c>
      <c r="H9220" s="549" t="s">
        <v>70</v>
      </c>
      <c r="I9220" s="560">
        <v>5.77</v>
      </c>
      <c r="J9220" s="567">
        <v>10</v>
      </c>
      <c r="K9220" s="648">
        <v>20</v>
      </c>
      <c r="L9220" s="552">
        <f t="shared" si="1896"/>
        <v>1.1539999999999999</v>
      </c>
      <c r="M9220" s="549">
        <f>8+1</f>
        <v>9</v>
      </c>
      <c r="N9220" s="567">
        <f t="shared" ref="N9220:N9221" si="1897">J9220*M9220*I9220/1000</f>
        <v>0.51929999999999998</v>
      </c>
      <c r="O9220" s="549"/>
      <c r="P9220" s="549"/>
    </row>
    <row r="9221" spans="1:17" s="497" customFormat="1" ht="17.399999999999999">
      <c r="A9221" s="549"/>
      <c r="B9221" s="549"/>
      <c r="C9221" s="549"/>
      <c r="D9221" s="549"/>
      <c r="E9221" s="549"/>
      <c r="F9221" s="549"/>
      <c r="G9221" s="549" t="s">
        <v>21</v>
      </c>
      <c r="H9221" s="549" t="s">
        <v>70</v>
      </c>
      <c r="I9221" s="560">
        <v>5.77</v>
      </c>
      <c r="J9221" s="567">
        <v>12</v>
      </c>
      <c r="K9221" s="648">
        <v>47</v>
      </c>
      <c r="L9221" s="552">
        <f t="shared" si="1896"/>
        <v>3.2542799999999996</v>
      </c>
      <c r="M9221" s="549"/>
      <c r="N9221" s="549">
        <f t="shared" si="1897"/>
        <v>0</v>
      </c>
      <c r="O9221" s="549"/>
      <c r="P9221" s="549"/>
    </row>
    <row r="9222" spans="1:17" s="497" customFormat="1" ht="17.399999999999999">
      <c r="A9222" s="549"/>
      <c r="B9222" s="549"/>
      <c r="C9222" s="549"/>
      <c r="D9222" s="549"/>
      <c r="E9222" s="549"/>
      <c r="F9222" s="549"/>
      <c r="G9222" s="549"/>
      <c r="H9222" s="549"/>
      <c r="I9222" s="560"/>
      <c r="J9222" s="567"/>
      <c r="K9222" s="648">
        <f>SUM(K9219:K9221)</f>
        <v>87</v>
      </c>
      <c r="L9222" s="567">
        <f>SUM(L9219:L9221)</f>
        <v>5.3314799999999991</v>
      </c>
      <c r="M9222" s="648">
        <f>SUM(M9219:M9221)</f>
        <v>17</v>
      </c>
      <c r="N9222" s="567">
        <f>SUM(N9219:N9221)</f>
        <v>0.88857999999999993</v>
      </c>
      <c r="O9222" s="549"/>
      <c r="P9222" s="549" t="s">
        <v>1071</v>
      </c>
    </row>
    <row r="9223" spans="1:17" s="497" customFormat="1" ht="17.399999999999999">
      <c r="A9223" s="549"/>
      <c r="B9223" s="549"/>
      <c r="C9223" s="549"/>
      <c r="D9223" s="549"/>
      <c r="E9223" s="549"/>
      <c r="F9223" s="549"/>
      <c r="G9223" s="549"/>
      <c r="H9223" s="549"/>
      <c r="I9223" s="560"/>
      <c r="J9223" s="567"/>
      <c r="K9223" s="648"/>
      <c r="L9223" s="567"/>
      <c r="M9223" s="648"/>
      <c r="N9223" s="567"/>
      <c r="O9223" s="549"/>
      <c r="P9223" s="549"/>
    </row>
    <row r="9224" spans="1:17" s="497" customFormat="1" ht="17.399999999999999">
      <c r="A9224" s="547" t="s">
        <v>395</v>
      </c>
      <c r="B9224" s="547" t="s">
        <v>1038</v>
      </c>
      <c r="C9224" s="547" t="s">
        <v>19</v>
      </c>
      <c r="D9224" s="547" t="s">
        <v>20</v>
      </c>
      <c r="E9224" s="754" t="s">
        <v>1095</v>
      </c>
      <c r="F9224" s="1347">
        <v>9</v>
      </c>
      <c r="G9224" s="549" t="s">
        <v>21</v>
      </c>
      <c r="H9224" s="599" t="s">
        <v>70</v>
      </c>
      <c r="I9224" s="560">
        <v>5.77</v>
      </c>
      <c r="J9224" s="567">
        <v>10</v>
      </c>
      <c r="K9224" s="648">
        <v>1</v>
      </c>
      <c r="L9224" s="552">
        <f>(I9224*J9224*K9224/1000)</f>
        <v>5.7699999999999994E-2</v>
      </c>
      <c r="M9224" s="549">
        <v>1</v>
      </c>
      <c r="N9224" s="567">
        <f>J9224*M9224*I9224/1000</f>
        <v>5.7699999999999994E-2</v>
      </c>
      <c r="O9224" s="549"/>
      <c r="P9224" s="549"/>
      <c r="Q9224" s="1358" t="s">
        <v>1225</v>
      </c>
    </row>
    <row r="9225" spans="1:17" s="497" customFormat="1" ht="17.399999999999999">
      <c r="A9225" s="549"/>
      <c r="B9225" s="560" t="s">
        <v>277</v>
      </c>
      <c r="C9225" s="549"/>
      <c r="D9225" s="549"/>
      <c r="E9225" s="549"/>
      <c r="F9225" s="549"/>
      <c r="G9225" s="549"/>
      <c r="H9225" s="549"/>
      <c r="I9225" s="560"/>
      <c r="J9225" s="567"/>
      <c r="K9225" s="648">
        <f t="shared" ref="K9225:N9225" si="1898">SUM(K9224)</f>
        <v>1</v>
      </c>
      <c r="L9225" s="567">
        <f t="shared" si="1898"/>
        <v>5.7699999999999994E-2</v>
      </c>
      <c r="M9225" s="648">
        <f t="shared" si="1898"/>
        <v>1</v>
      </c>
      <c r="N9225" s="567">
        <f t="shared" si="1898"/>
        <v>5.7699999999999994E-2</v>
      </c>
      <c r="O9225" s="549"/>
      <c r="P9225" s="549"/>
    </row>
    <row r="9226" spans="1:17" s="497" customFormat="1" ht="17.399999999999999">
      <c r="A9226" s="549"/>
      <c r="B9226" s="560"/>
      <c r="C9226" s="549"/>
      <c r="D9226" s="549"/>
      <c r="E9226" s="549"/>
      <c r="F9226" s="549"/>
      <c r="G9226" s="549"/>
      <c r="H9226" s="549"/>
      <c r="I9226" s="560"/>
      <c r="J9226" s="567"/>
      <c r="K9226" s="648"/>
      <c r="L9226" s="567"/>
      <c r="M9226" s="549"/>
      <c r="N9226" s="549"/>
      <c r="O9226" s="549"/>
      <c r="P9226" s="549"/>
    </row>
    <row r="9227" spans="1:17" s="497" customFormat="1" ht="17.399999999999999">
      <c r="A9227" s="547" t="s">
        <v>332</v>
      </c>
      <c r="B9227" s="547" t="s">
        <v>857</v>
      </c>
      <c r="C9227" s="547" t="s">
        <v>19</v>
      </c>
      <c r="D9227" s="547" t="s">
        <v>20</v>
      </c>
      <c r="E9227" s="1350" t="s">
        <v>51</v>
      </c>
      <c r="F9227" s="1347">
        <v>9</v>
      </c>
      <c r="G9227" s="549" t="s">
        <v>21</v>
      </c>
      <c r="H9227" s="599" t="s">
        <v>70</v>
      </c>
      <c r="I9227" s="560">
        <v>5.76</v>
      </c>
      <c r="J9227" s="710">
        <v>12</v>
      </c>
      <c r="K9227" s="648">
        <v>3</v>
      </c>
      <c r="L9227" s="552">
        <f>(I9227*J9227*K9227/1000)</f>
        <v>0.20736000000000002</v>
      </c>
      <c r="M9227" s="549">
        <v>3</v>
      </c>
      <c r="N9227" s="567">
        <f>J9227*M9227*I9227/1000</f>
        <v>0.20735999999999999</v>
      </c>
      <c r="O9227" s="549"/>
      <c r="P9227" s="549"/>
      <c r="Q9227" s="1358" t="s">
        <v>1225</v>
      </c>
    </row>
    <row r="9228" spans="1:17" s="497" customFormat="1" ht="17.399999999999999">
      <c r="A9228" s="549"/>
      <c r="B9228" s="549" t="s">
        <v>84</v>
      </c>
      <c r="C9228" s="549"/>
      <c r="D9228" s="549"/>
      <c r="E9228" s="549"/>
      <c r="F9228" s="549"/>
      <c r="G9228" s="549"/>
      <c r="H9228" s="650"/>
      <c r="I9228" s="560"/>
      <c r="J9228" s="710"/>
      <c r="K9228" s="648">
        <f t="shared" ref="K9228:N9228" si="1899">SUM(K9227)</f>
        <v>3</v>
      </c>
      <c r="L9228" s="765">
        <f t="shared" si="1899"/>
        <v>0.20736000000000002</v>
      </c>
      <c r="M9228" s="648">
        <f t="shared" si="1899"/>
        <v>3</v>
      </c>
      <c r="N9228" s="765">
        <f t="shared" si="1899"/>
        <v>0.20735999999999999</v>
      </c>
      <c r="O9228" s="549"/>
      <c r="P9228" s="549"/>
    </row>
    <row r="9229" spans="1:17" s="497" customFormat="1" ht="17.399999999999999">
      <c r="A9229" s="549"/>
      <c r="B9229" s="549"/>
      <c r="C9229" s="549"/>
      <c r="D9229" s="549"/>
      <c r="E9229" s="549"/>
      <c r="F9229" s="549"/>
      <c r="G9229" s="549"/>
      <c r="H9229" s="549"/>
      <c r="I9229" s="560"/>
      <c r="J9229" s="567"/>
      <c r="K9229" s="648">
        <f>SUM(K9215:K9228)/2</f>
        <v>118</v>
      </c>
      <c r="L9229" s="567">
        <f>SUM(L9215:L9228)/2</f>
        <v>7.35046</v>
      </c>
      <c r="M9229" s="648">
        <f>SUM(M9215:M9228)/2</f>
        <v>21</v>
      </c>
      <c r="N9229" s="567">
        <f>SUM(N9215:N9228)/2</f>
        <v>1.15364</v>
      </c>
      <c r="O9229" s="549"/>
      <c r="P9229" s="549"/>
    </row>
    <row r="9230" spans="1:17" ht="17.399999999999999">
      <c r="A9230" s="549"/>
      <c r="B9230" s="549"/>
      <c r="C9230" s="549"/>
      <c r="D9230" s="549"/>
      <c r="E9230" s="549"/>
      <c r="F9230" s="549"/>
      <c r="G9230" s="549"/>
      <c r="H9230" s="549"/>
      <c r="I9230" s="560"/>
      <c r="J9230" s="549"/>
      <c r="K9230" s="561"/>
      <c r="L9230" s="560"/>
      <c r="M9230" s="549"/>
      <c r="N9230" s="549"/>
      <c r="O9230" s="549"/>
      <c r="P9230" s="549"/>
    </row>
    <row r="9231" spans="1:17" ht="17.399999999999999">
      <c r="A9231" s="549"/>
      <c r="B9231" s="549"/>
      <c r="C9231" s="549"/>
      <c r="D9231" s="549"/>
      <c r="E9231" s="549"/>
      <c r="F9231" s="549"/>
      <c r="G9231" s="549"/>
      <c r="H9231" s="549"/>
      <c r="I9231" s="560"/>
      <c r="J9231" s="549"/>
      <c r="K9231" s="561"/>
      <c r="L9231" s="560"/>
      <c r="M9231" s="549"/>
      <c r="N9231" s="549"/>
      <c r="O9231" s="549"/>
      <c r="P9231" s="549"/>
    </row>
    <row r="9232" spans="1:17" ht="17.399999999999999">
      <c r="A9232" s="547" t="s">
        <v>395</v>
      </c>
      <c r="B9232" s="547" t="s">
        <v>1015</v>
      </c>
      <c r="C9232" s="547" t="s">
        <v>446</v>
      </c>
      <c r="D9232" s="813" t="s">
        <v>447</v>
      </c>
      <c r="E9232" s="547" t="s">
        <v>359</v>
      </c>
      <c r="F9232" s="1347">
        <v>9</v>
      </c>
      <c r="G9232" s="549" t="s">
        <v>21</v>
      </c>
      <c r="H9232" s="599" t="s">
        <v>70</v>
      </c>
      <c r="I9232" s="558">
        <v>5.77</v>
      </c>
      <c r="J9232" s="567">
        <v>10</v>
      </c>
      <c r="K9232" s="648">
        <v>102</v>
      </c>
      <c r="L9232" s="552">
        <f>(I9232*J9232*K9232/1000)</f>
        <v>5.8853999999999997</v>
      </c>
      <c r="M9232" s="549"/>
      <c r="N9232" s="549"/>
      <c r="O9232" s="549"/>
      <c r="P9232" s="549"/>
      <c r="Q9232" s="1358" t="s">
        <v>1226</v>
      </c>
    </row>
    <row r="9233" spans="1:19" ht="17.399999999999999">
      <c r="A9233" s="550"/>
      <c r="B9233" s="550"/>
      <c r="C9233" s="550"/>
      <c r="D9233" s="550"/>
      <c r="E9233" s="1347"/>
      <c r="F9233" s="550"/>
      <c r="G9233" s="549" t="s">
        <v>21</v>
      </c>
      <c r="H9233" s="549" t="s">
        <v>70</v>
      </c>
      <c r="I9233" s="558">
        <v>5.77</v>
      </c>
      <c r="J9233" s="567">
        <v>11</v>
      </c>
      <c r="K9233" s="648">
        <v>3</v>
      </c>
      <c r="L9233" s="552">
        <f>(I9233*J9233*K9233/1000)</f>
        <v>0.19041</v>
      </c>
      <c r="M9233" s="549"/>
      <c r="N9233" s="549"/>
      <c r="O9233" s="549"/>
      <c r="P9233" s="549"/>
    </row>
    <row r="9234" spans="1:19" ht="17.399999999999999">
      <c r="A9234" s="549"/>
      <c r="B9234" s="549"/>
      <c r="C9234" s="549"/>
      <c r="D9234" s="549"/>
      <c r="E9234" s="549"/>
      <c r="F9234" s="549"/>
      <c r="G9234" s="549" t="s">
        <v>21</v>
      </c>
      <c r="H9234" s="549" t="s">
        <v>70</v>
      </c>
      <c r="I9234" s="558">
        <v>5.77</v>
      </c>
      <c r="J9234" s="567">
        <v>12</v>
      </c>
      <c r="K9234" s="648">
        <v>73</v>
      </c>
      <c r="L9234" s="552">
        <f>(I9234*J9234*K9234/1000)</f>
        <v>5.0545199999999992</v>
      </c>
      <c r="M9234" s="549"/>
      <c r="N9234" s="549"/>
      <c r="O9234" s="549"/>
      <c r="P9234" s="549"/>
    </row>
    <row r="9235" spans="1:19" ht="17.399999999999999">
      <c r="A9235" s="549"/>
      <c r="B9235" s="549"/>
      <c r="C9235" s="549"/>
      <c r="D9235" s="549"/>
      <c r="E9235" s="549"/>
      <c r="F9235" s="549"/>
      <c r="G9235" s="549"/>
      <c r="H9235" s="549"/>
      <c r="I9235" s="558"/>
      <c r="J9235" s="567"/>
      <c r="K9235" s="648">
        <f t="shared" ref="K9235" si="1900">SUM(K9232:K9234)</f>
        <v>178</v>
      </c>
      <c r="L9235" s="567">
        <f>SUM(L9232:L9234)</f>
        <v>11.130329999999999</v>
      </c>
      <c r="M9235" s="549"/>
      <c r="N9235" s="549"/>
      <c r="O9235" s="549"/>
      <c r="P9235" s="549"/>
    </row>
    <row r="9236" spans="1:19" s="497" customFormat="1" ht="17.399999999999999">
      <c r="A9236" s="549"/>
      <c r="B9236" s="549"/>
      <c r="C9236" s="549"/>
      <c r="D9236" s="549"/>
      <c r="E9236" s="549"/>
      <c r="F9236" s="549"/>
      <c r="G9236" s="549"/>
      <c r="H9236" s="549"/>
      <c r="I9236" s="558"/>
      <c r="J9236" s="567"/>
      <c r="K9236" s="648"/>
      <c r="L9236" s="567"/>
      <c r="M9236" s="549"/>
      <c r="N9236" s="549"/>
      <c r="O9236" s="549"/>
      <c r="P9236" s="549"/>
    </row>
    <row r="9237" spans="1:19" ht="17.399999999999999">
      <c r="A9237" s="547" t="s">
        <v>395</v>
      </c>
      <c r="B9237" s="547" t="s">
        <v>961</v>
      </c>
      <c r="C9237" s="547" t="s">
        <v>446</v>
      </c>
      <c r="D9237" s="813" t="s">
        <v>447</v>
      </c>
      <c r="E9237" s="547" t="s">
        <v>359</v>
      </c>
      <c r="F9237" s="1347">
        <v>9</v>
      </c>
      <c r="G9237" s="549" t="s">
        <v>21</v>
      </c>
      <c r="H9237" s="599" t="s">
        <v>70</v>
      </c>
      <c r="I9237" s="560">
        <v>5.77</v>
      </c>
      <c r="J9237" s="710">
        <v>8.5</v>
      </c>
      <c r="K9237" s="648">
        <v>15</v>
      </c>
      <c r="L9237" s="552">
        <f>(I9237*J9237*K9237/1000)</f>
        <v>0.73567499999999997</v>
      </c>
      <c r="M9237" s="549">
        <v>14</v>
      </c>
      <c r="N9237" s="567">
        <f t="shared" ref="N9237:N9238" si="1901">J9237*M9237*I9237/1000</f>
        <v>0.68662999999999996</v>
      </c>
      <c r="O9237" s="549"/>
      <c r="P9237" s="549"/>
      <c r="Q9237" s="1358" t="s">
        <v>1226</v>
      </c>
    </row>
    <row r="9238" spans="1:19" ht="17.399999999999999">
      <c r="A9238" s="550"/>
      <c r="B9238" s="550"/>
      <c r="C9238" s="550"/>
      <c r="D9238" s="550"/>
      <c r="E9238" s="1347"/>
      <c r="F9238" s="550"/>
      <c r="G9238" s="549" t="s">
        <v>21</v>
      </c>
      <c r="H9238" s="549" t="s">
        <v>70</v>
      </c>
      <c r="I9238" s="560">
        <v>5.77</v>
      </c>
      <c r="J9238" s="710">
        <v>10.5</v>
      </c>
      <c r="K9238" s="648">
        <v>5</v>
      </c>
      <c r="L9238" s="552">
        <f>(I9238*J9238*K9238/1000)</f>
        <v>0.30292499999999994</v>
      </c>
      <c r="M9238" s="549">
        <v>1</v>
      </c>
      <c r="N9238" s="567">
        <f t="shared" si="1901"/>
        <v>6.0584999999999993E-2</v>
      </c>
      <c r="O9238" s="549"/>
      <c r="P9238" s="549"/>
    </row>
    <row r="9239" spans="1:19" ht="17.399999999999999">
      <c r="A9239" s="549"/>
      <c r="B9239" s="549"/>
      <c r="C9239" s="549"/>
      <c r="D9239" s="549"/>
      <c r="E9239" s="549"/>
      <c r="F9239" s="549"/>
      <c r="G9239" s="549"/>
      <c r="H9239" s="549"/>
      <c r="I9239" s="560"/>
      <c r="J9239" s="710"/>
      <c r="K9239" s="648">
        <f t="shared" ref="K9239:M9239" si="1902">SUM(K9237:K9238)</f>
        <v>20</v>
      </c>
      <c r="L9239" s="552">
        <f>SUM(L9237:L9238)</f>
        <v>1.0386</v>
      </c>
      <c r="M9239" s="648">
        <f t="shared" si="1902"/>
        <v>15</v>
      </c>
      <c r="N9239" s="552">
        <f>SUM(N9237:N9238)</f>
        <v>0.74721499999999996</v>
      </c>
      <c r="O9239" s="549"/>
      <c r="P9239" s="549"/>
    </row>
    <row r="9240" spans="1:19" s="497" customFormat="1" ht="17.399999999999999">
      <c r="A9240" s="549"/>
      <c r="B9240" s="549"/>
      <c r="C9240" s="549"/>
      <c r="D9240" s="549"/>
      <c r="E9240" s="549"/>
      <c r="F9240" s="549"/>
      <c r="G9240" s="549"/>
      <c r="H9240" s="549"/>
      <c r="I9240" s="560"/>
      <c r="J9240" s="710"/>
      <c r="K9240" s="648"/>
      <c r="L9240" s="552"/>
      <c r="M9240" s="549"/>
      <c r="N9240" s="549"/>
      <c r="O9240" s="549"/>
      <c r="P9240" s="549"/>
    </row>
    <row r="9241" spans="1:19" s="497" customFormat="1" ht="17.399999999999999">
      <c r="A9241" s="547" t="s">
        <v>395</v>
      </c>
      <c r="B9241" s="547" t="s">
        <v>1039</v>
      </c>
      <c r="C9241" s="547" t="s">
        <v>446</v>
      </c>
      <c r="D9241" s="813" t="s">
        <v>447</v>
      </c>
      <c r="E9241" s="547" t="s">
        <v>359</v>
      </c>
      <c r="F9241" s="1347">
        <v>9</v>
      </c>
      <c r="G9241" s="549" t="s">
        <v>21</v>
      </c>
      <c r="H9241" s="599" t="s">
        <v>70</v>
      </c>
      <c r="I9241" s="560">
        <v>5.77</v>
      </c>
      <c r="J9241" s="567">
        <v>12</v>
      </c>
      <c r="K9241" s="648">
        <v>37</v>
      </c>
      <c r="L9241" s="552">
        <f>(I9241*J9241*K9241/1000)</f>
        <v>2.5618799999999995</v>
      </c>
      <c r="M9241" s="549"/>
      <c r="N9241" s="549"/>
      <c r="O9241" s="549"/>
      <c r="P9241" s="549"/>
      <c r="Q9241" s="1358" t="s">
        <v>1226</v>
      </c>
    </row>
    <row r="9242" spans="1:19" s="497" customFormat="1" ht="17.399999999999999">
      <c r="A9242" s="550"/>
      <c r="B9242" s="550"/>
      <c r="C9242" s="550"/>
      <c r="D9242" s="550"/>
      <c r="E9242" s="1347"/>
      <c r="F9242" s="550"/>
      <c r="G9242" s="549"/>
      <c r="H9242" s="549"/>
      <c r="I9242" s="560"/>
      <c r="J9242" s="567"/>
      <c r="K9242" s="648">
        <f t="shared" ref="K9242" si="1903">SUM(K9241)</f>
        <v>37</v>
      </c>
      <c r="L9242" s="567">
        <f>SUM(L9241)</f>
        <v>2.5618799999999995</v>
      </c>
      <c r="M9242" s="549"/>
      <c r="N9242" s="549"/>
      <c r="O9242" s="549"/>
      <c r="P9242" s="549"/>
    </row>
    <row r="9243" spans="1:19" ht="17.399999999999999">
      <c r="A9243" s="549"/>
      <c r="B9243" s="549"/>
      <c r="C9243" s="549"/>
      <c r="D9243" s="549"/>
      <c r="E9243" s="549"/>
      <c r="F9243" s="549"/>
      <c r="G9243" s="549"/>
      <c r="H9243" s="549"/>
      <c r="I9243" s="560"/>
      <c r="J9243" s="549"/>
      <c r="K9243" s="652">
        <f>SUM(K9232:K9242)/2</f>
        <v>235</v>
      </c>
      <c r="L9243" s="565">
        <f>SUM(L9232:L9242)/2</f>
        <v>14.730809999999996</v>
      </c>
      <c r="M9243" s="652">
        <f>SUM(M9232:M9242)/2</f>
        <v>15</v>
      </c>
      <c r="N9243" s="565">
        <f>SUM(N9232:N9242)/2</f>
        <v>0.74721499999999996</v>
      </c>
      <c r="O9243" s="549"/>
      <c r="P9243" s="549" t="s">
        <v>1072</v>
      </c>
    </row>
    <row r="9244" spans="1:19" s="497" customFormat="1" ht="17.399999999999999">
      <c r="A9244" s="549"/>
      <c r="B9244" s="549"/>
      <c r="C9244" s="549"/>
      <c r="D9244" s="549"/>
      <c r="E9244" s="549"/>
      <c r="F9244" s="549"/>
      <c r="G9244" s="549"/>
      <c r="H9244" s="549"/>
      <c r="I9244" s="560"/>
      <c r="J9244" s="549"/>
      <c r="K9244" s="561"/>
      <c r="L9244" s="565"/>
      <c r="M9244" s="549"/>
      <c r="N9244" s="549"/>
      <c r="O9244" s="549"/>
      <c r="P9244" s="549"/>
    </row>
    <row r="9245" spans="1:19" ht="17.399999999999999">
      <c r="A9245" s="549"/>
      <c r="B9245" s="549"/>
      <c r="C9245" s="549"/>
      <c r="D9245" s="549"/>
      <c r="E9245" s="549"/>
      <c r="F9245" s="549"/>
      <c r="G9245" s="549"/>
      <c r="H9245" s="549"/>
      <c r="I9245" s="560"/>
      <c r="J9245" s="549"/>
      <c r="K9245" s="561"/>
      <c r="L9245" s="560"/>
      <c r="M9245" s="549"/>
      <c r="N9245" s="549"/>
      <c r="O9245" s="549"/>
      <c r="P9245" s="549"/>
    </row>
    <row r="9246" spans="1:19" ht="17.399999999999999">
      <c r="A9246" s="547" t="s">
        <v>395</v>
      </c>
      <c r="B9246" s="547" t="s">
        <v>1015</v>
      </c>
      <c r="C9246" s="547" t="s">
        <v>446</v>
      </c>
      <c r="D9246" s="813" t="s">
        <v>447</v>
      </c>
      <c r="E9246" s="547" t="s">
        <v>359</v>
      </c>
      <c r="F9246" s="1347">
        <v>9</v>
      </c>
      <c r="G9246" s="549" t="s">
        <v>21</v>
      </c>
      <c r="H9246" s="599" t="s">
        <v>69</v>
      </c>
      <c r="I9246" s="558">
        <v>6.86</v>
      </c>
      <c r="J9246" s="567">
        <v>12</v>
      </c>
      <c r="K9246" s="648">
        <v>46</v>
      </c>
      <c r="L9246" s="552">
        <f>(I9246*J9246*K9246/1000)</f>
        <v>3.7867200000000003</v>
      </c>
      <c r="M9246" s="549"/>
      <c r="N9246" s="549"/>
      <c r="O9246" s="549"/>
      <c r="P9246" s="549"/>
      <c r="Q9246" s="497">
        <v>29</v>
      </c>
      <c r="R9246" s="126">
        <f>J9246*Q9246*I9246/1000</f>
        <v>2.3872800000000001</v>
      </c>
      <c r="S9246" s="1358" t="s">
        <v>1226</v>
      </c>
    </row>
    <row r="9247" spans="1:19" ht="17.399999999999999">
      <c r="A9247" s="550"/>
      <c r="B9247" s="550"/>
      <c r="C9247" s="550"/>
      <c r="D9247" s="550"/>
      <c r="E9247" s="1347"/>
      <c r="F9247" s="550"/>
      <c r="G9247" s="549"/>
      <c r="H9247" s="549"/>
      <c r="I9247" s="558"/>
      <c r="J9247" s="567"/>
      <c r="K9247" s="648">
        <f t="shared" ref="K9247" si="1904">SUM(K9246)</f>
        <v>46</v>
      </c>
      <c r="L9247" s="567">
        <f>SUM(L9246)</f>
        <v>3.7867200000000003</v>
      </c>
      <c r="M9247" s="549"/>
      <c r="N9247" s="549"/>
      <c r="O9247" s="549"/>
      <c r="P9247" s="549"/>
      <c r="Q9247" s="648">
        <f t="shared" ref="Q9247" si="1905">SUM(Q9246)</f>
        <v>29</v>
      </c>
      <c r="R9247" s="567">
        <f>SUM(R9246)</f>
        <v>2.3872800000000001</v>
      </c>
    </row>
    <row r="9248" spans="1:19" ht="17.399999999999999">
      <c r="A9248" s="549"/>
      <c r="B9248" s="549"/>
      <c r="C9248" s="549"/>
      <c r="D9248" s="549"/>
      <c r="E9248" s="549"/>
      <c r="F9248" s="549"/>
      <c r="G9248" s="549"/>
      <c r="H9248" s="549"/>
      <c r="I9248" s="560"/>
      <c r="J9248" s="549"/>
      <c r="K9248" s="561"/>
      <c r="L9248" s="560"/>
      <c r="M9248" s="549"/>
      <c r="N9248" s="549"/>
      <c r="O9248" s="549"/>
      <c r="P9248" s="549"/>
    </row>
    <row r="9249" spans="1:19" ht="17.399999999999999">
      <c r="A9249" s="547" t="s">
        <v>395</v>
      </c>
      <c r="B9249" s="547" t="s">
        <v>961</v>
      </c>
      <c r="C9249" s="547" t="s">
        <v>446</v>
      </c>
      <c r="D9249" s="813" t="s">
        <v>447</v>
      </c>
      <c r="E9249" s="547" t="s">
        <v>359</v>
      </c>
      <c r="F9249" s="1347">
        <v>9</v>
      </c>
      <c r="G9249" s="549" t="s">
        <v>21</v>
      </c>
      <c r="H9249" s="599" t="s">
        <v>69</v>
      </c>
      <c r="I9249" s="560">
        <v>6.86</v>
      </c>
      <c r="J9249" s="710">
        <v>11</v>
      </c>
      <c r="K9249" s="648">
        <v>6</v>
      </c>
      <c r="L9249" s="552">
        <f>(I9249*J9249*K9249/1000)</f>
        <v>0.45276000000000005</v>
      </c>
      <c r="M9249" s="549"/>
      <c r="N9249" s="549"/>
      <c r="O9249" s="549"/>
      <c r="P9249" s="549"/>
      <c r="Q9249" s="497">
        <v>4</v>
      </c>
      <c r="R9249" s="126">
        <f>J9249*Q9249*I9249/1000</f>
        <v>0.30184000000000005</v>
      </c>
      <c r="S9249" s="1358" t="s">
        <v>1226</v>
      </c>
    </row>
    <row r="9250" spans="1:19" ht="17.399999999999999">
      <c r="A9250" s="550"/>
      <c r="B9250" s="550"/>
      <c r="C9250" s="550"/>
      <c r="D9250" s="550"/>
      <c r="E9250" s="1347"/>
      <c r="F9250" s="550"/>
      <c r="G9250" s="549"/>
      <c r="H9250" s="549"/>
      <c r="I9250" s="560"/>
      <c r="J9250" s="710"/>
      <c r="K9250" s="648">
        <f t="shared" ref="K9250:L9250" si="1906">SUM(K9249)</f>
        <v>6</v>
      </c>
      <c r="L9250" s="552">
        <f t="shared" si="1906"/>
        <v>0.45276000000000005</v>
      </c>
      <c r="M9250" s="549"/>
      <c r="N9250" s="549"/>
      <c r="O9250" s="549"/>
      <c r="P9250" s="549"/>
      <c r="Q9250" s="648">
        <f t="shared" ref="Q9250:R9250" si="1907">SUM(Q9249)</f>
        <v>4</v>
      </c>
      <c r="R9250" s="552">
        <f t="shared" si="1907"/>
        <v>0.30184000000000005</v>
      </c>
    </row>
    <row r="9251" spans="1:19" s="497" customFormat="1" ht="17.399999999999999">
      <c r="A9251" s="550"/>
      <c r="B9251" s="550"/>
      <c r="C9251" s="550"/>
      <c r="D9251" s="550"/>
      <c r="E9251" s="1347"/>
      <c r="F9251" s="550"/>
      <c r="G9251" s="549"/>
      <c r="H9251" s="549"/>
      <c r="I9251" s="560"/>
      <c r="J9251" s="710"/>
      <c r="K9251" s="648"/>
      <c r="L9251" s="552"/>
      <c r="M9251" s="549"/>
      <c r="N9251" s="549"/>
      <c r="O9251" s="549"/>
      <c r="P9251" s="549"/>
    </row>
    <row r="9252" spans="1:19" s="497" customFormat="1" ht="17.399999999999999">
      <c r="A9252" s="547" t="s">
        <v>395</v>
      </c>
      <c r="B9252" s="547" t="s">
        <v>1039</v>
      </c>
      <c r="C9252" s="547" t="s">
        <v>446</v>
      </c>
      <c r="D9252" s="813" t="s">
        <v>447</v>
      </c>
      <c r="E9252" s="547" t="s">
        <v>359</v>
      </c>
      <c r="F9252" s="1347">
        <v>9</v>
      </c>
      <c r="G9252" s="549" t="s">
        <v>21</v>
      </c>
      <c r="H9252" s="599" t="s">
        <v>69</v>
      </c>
      <c r="I9252" s="560">
        <v>6.86</v>
      </c>
      <c r="J9252" s="567">
        <v>12</v>
      </c>
      <c r="K9252" s="648">
        <v>4</v>
      </c>
      <c r="L9252" s="552">
        <f>(I9252*J9252*K9252/1000)</f>
        <v>0.32928000000000002</v>
      </c>
      <c r="M9252" s="549"/>
      <c r="N9252" s="549"/>
      <c r="O9252" s="549"/>
      <c r="P9252" s="549"/>
      <c r="Q9252" s="1358" t="s">
        <v>1226</v>
      </c>
    </row>
    <row r="9253" spans="1:19" s="497" customFormat="1" ht="17.399999999999999">
      <c r="A9253" s="549"/>
      <c r="B9253" s="549"/>
      <c r="C9253" s="549"/>
      <c r="D9253" s="549"/>
      <c r="E9253" s="549"/>
      <c r="F9253" s="549"/>
      <c r="G9253" s="549"/>
      <c r="H9253" s="549"/>
      <c r="I9253" s="560"/>
      <c r="J9253" s="567"/>
      <c r="K9253" s="648">
        <f t="shared" ref="K9253:L9253" si="1908">SUM(K9252)</f>
        <v>4</v>
      </c>
      <c r="L9253" s="567">
        <f t="shared" si="1908"/>
        <v>0.32928000000000002</v>
      </c>
      <c r="M9253" s="549"/>
      <c r="N9253" s="549"/>
      <c r="O9253" s="549"/>
      <c r="P9253" s="549"/>
    </row>
    <row r="9254" spans="1:19" s="497" customFormat="1" ht="17.399999999999999">
      <c r="A9254" s="549"/>
      <c r="B9254" s="549"/>
      <c r="C9254" s="549"/>
      <c r="D9254" s="549"/>
      <c r="E9254" s="549"/>
      <c r="F9254" s="549"/>
      <c r="G9254" s="549"/>
      <c r="H9254" s="650"/>
      <c r="I9254" s="560"/>
      <c r="J9254" s="710"/>
      <c r="K9254" s="766">
        <f>SUM(K9246:K9253)/2</f>
        <v>56</v>
      </c>
      <c r="L9254" s="765">
        <f>SUM(L9246:L9253)/2</f>
        <v>4.568760000000001</v>
      </c>
      <c r="M9254" s="766">
        <f>SUM(M9246:M9253)/2</f>
        <v>0</v>
      </c>
      <c r="N9254" s="765">
        <f>SUM(N9246:N9253)/2</f>
        <v>0</v>
      </c>
      <c r="O9254" s="549"/>
      <c r="P9254" s="549" t="s">
        <v>1073</v>
      </c>
    </row>
    <row r="9255" spans="1:19" s="497" customFormat="1" ht="17.399999999999999">
      <c r="A9255" s="549"/>
      <c r="B9255" s="549"/>
      <c r="C9255" s="549"/>
      <c r="D9255" s="549"/>
      <c r="E9255" s="549"/>
      <c r="F9255" s="549"/>
      <c r="G9255" s="549"/>
      <c r="H9255" s="650"/>
      <c r="I9255" s="560"/>
      <c r="J9255" s="710"/>
      <c r="K9255" s="766"/>
      <c r="L9255" s="765"/>
      <c r="M9255" s="549"/>
      <c r="N9255" s="549"/>
      <c r="O9255" s="549"/>
      <c r="P9255" s="549"/>
    </row>
    <row r="9256" spans="1:19" s="497" customFormat="1" ht="17.399999999999999">
      <c r="A9256" s="549"/>
      <c r="B9256" s="549"/>
      <c r="C9256" s="549"/>
      <c r="D9256" s="549"/>
      <c r="E9256" s="549"/>
      <c r="F9256" s="549"/>
      <c r="G9256" s="549"/>
      <c r="H9256" s="650"/>
      <c r="I9256" s="560"/>
      <c r="J9256" s="710"/>
      <c r="K9256" s="766"/>
      <c r="L9256" s="765"/>
      <c r="M9256" s="549"/>
      <c r="N9256" s="549"/>
      <c r="O9256" s="549"/>
      <c r="P9256" s="549"/>
    </row>
    <row r="9257" spans="1:19" s="497" customFormat="1" ht="17.399999999999999">
      <c r="A9257" s="547" t="s">
        <v>395</v>
      </c>
      <c r="B9257" s="547" t="s">
        <v>1038</v>
      </c>
      <c r="C9257" s="547" t="s">
        <v>19</v>
      </c>
      <c r="D9257" s="547" t="s">
        <v>60</v>
      </c>
      <c r="E9257" s="547" t="s">
        <v>270</v>
      </c>
      <c r="F9257" s="1347">
        <v>9</v>
      </c>
      <c r="G9257" s="549" t="s">
        <v>61</v>
      </c>
      <c r="H9257" s="599" t="s">
        <v>69</v>
      </c>
      <c r="I9257" s="560">
        <v>6.86</v>
      </c>
      <c r="J9257" s="567">
        <v>11</v>
      </c>
      <c r="K9257" s="648">
        <v>21</v>
      </c>
      <c r="L9257" s="552">
        <f t="shared" ref="L9257:L9258" si="1909">(I9257*J9257*K9257/1000)</f>
        <v>1.5846600000000002</v>
      </c>
      <c r="M9257" s="549"/>
      <c r="N9257" s="549"/>
      <c r="O9257" s="549"/>
      <c r="P9257" s="549"/>
      <c r="Q9257" s="1358" t="s">
        <v>1225</v>
      </c>
    </row>
    <row r="9258" spans="1:19" s="497" customFormat="1" ht="17.399999999999999">
      <c r="A9258" s="549"/>
      <c r="B9258" s="560" t="s">
        <v>277</v>
      </c>
      <c r="C9258" s="549"/>
      <c r="D9258" s="549"/>
      <c r="E9258" s="549"/>
      <c r="F9258" s="549"/>
      <c r="G9258" s="549" t="s">
        <v>61</v>
      </c>
      <c r="H9258" s="549" t="s">
        <v>69</v>
      </c>
      <c r="I9258" s="560">
        <v>6.86</v>
      </c>
      <c r="J9258" s="567">
        <v>12</v>
      </c>
      <c r="K9258" s="648">
        <v>2</v>
      </c>
      <c r="L9258" s="552">
        <f t="shared" si="1909"/>
        <v>0.16464000000000001</v>
      </c>
      <c r="M9258" s="549"/>
      <c r="N9258" s="549"/>
      <c r="O9258" s="549"/>
      <c r="P9258" s="549"/>
    </row>
    <row r="9259" spans="1:19" s="497" customFormat="1" ht="17.399999999999999">
      <c r="A9259" s="549"/>
      <c r="B9259" s="549"/>
      <c r="C9259" s="549"/>
      <c r="D9259" s="549"/>
      <c r="E9259" s="549"/>
      <c r="F9259" s="549"/>
      <c r="G9259" s="549"/>
      <c r="H9259" s="549"/>
      <c r="I9259" s="560"/>
      <c r="J9259" s="567"/>
      <c r="K9259" s="648">
        <f t="shared" ref="K9259:L9259" si="1910">SUM(K9257:K9258)</f>
        <v>23</v>
      </c>
      <c r="L9259" s="567">
        <f t="shared" si="1910"/>
        <v>1.7493000000000003</v>
      </c>
      <c r="M9259" s="549"/>
      <c r="N9259" s="549"/>
      <c r="O9259" s="549"/>
      <c r="P9259" s="549" t="s">
        <v>1074</v>
      </c>
    </row>
    <row r="9260" spans="1:19" s="497" customFormat="1" ht="17.399999999999999">
      <c r="A9260" s="549"/>
      <c r="B9260" s="549"/>
      <c r="C9260" s="549"/>
      <c r="D9260" s="549"/>
      <c r="E9260" s="549"/>
      <c r="F9260" s="549"/>
      <c r="G9260" s="549"/>
      <c r="H9260" s="650"/>
      <c r="I9260" s="560"/>
      <c r="J9260" s="710"/>
      <c r="K9260" s="766"/>
      <c r="L9260" s="765"/>
      <c r="M9260" s="549"/>
      <c r="N9260" s="549"/>
      <c r="O9260" s="549"/>
      <c r="P9260" s="549"/>
    </row>
    <row r="9261" spans="1:19" s="497" customFormat="1" ht="17.399999999999999">
      <c r="A9261" s="547" t="s">
        <v>332</v>
      </c>
      <c r="B9261" s="547" t="s">
        <v>1040</v>
      </c>
      <c r="C9261" s="547" t="s">
        <v>19</v>
      </c>
      <c r="D9261" s="547" t="s">
        <v>60</v>
      </c>
      <c r="E9261" s="650" t="s">
        <v>1041</v>
      </c>
      <c r="F9261" s="1347">
        <v>9</v>
      </c>
      <c r="G9261" s="549" t="s">
        <v>94</v>
      </c>
      <c r="H9261" s="599" t="s">
        <v>69</v>
      </c>
      <c r="I9261" s="560">
        <v>6.85</v>
      </c>
      <c r="J9261" s="710">
        <v>11.5</v>
      </c>
      <c r="K9261" s="648">
        <v>34</v>
      </c>
      <c r="L9261" s="552">
        <f>(I9261*J9261*K9261/1000)</f>
        <v>2.67835</v>
      </c>
      <c r="M9261" s="549"/>
      <c r="N9261" s="549"/>
      <c r="O9261" s="549"/>
      <c r="P9261" s="549"/>
      <c r="Q9261" s="1358" t="s">
        <v>1225</v>
      </c>
    </row>
    <row r="9262" spans="1:19" s="497" customFormat="1" ht="17.399999999999999">
      <c r="A9262" s="549"/>
      <c r="B9262" s="549" t="s">
        <v>1030</v>
      </c>
      <c r="C9262" s="549"/>
      <c r="D9262" s="549"/>
      <c r="E9262" s="549"/>
      <c r="F9262" s="549"/>
      <c r="G9262" s="549" t="s">
        <v>94</v>
      </c>
      <c r="H9262" s="549" t="s">
        <v>69</v>
      </c>
      <c r="I9262" s="560">
        <v>6.85</v>
      </c>
      <c r="J9262" s="710">
        <v>12</v>
      </c>
      <c r="K9262" s="648">
        <v>41</v>
      </c>
      <c r="L9262" s="552">
        <f t="shared" ref="L9262" si="1911">(I9262*J9262*K9262/1000)</f>
        <v>3.3701999999999992</v>
      </c>
      <c r="M9262" s="549"/>
      <c r="N9262" s="549"/>
      <c r="O9262" s="549"/>
      <c r="P9262" s="549"/>
    </row>
    <row r="9263" spans="1:19" s="497" customFormat="1" ht="17.399999999999999">
      <c r="A9263" s="549"/>
      <c r="B9263" s="549"/>
      <c r="C9263" s="549"/>
      <c r="D9263" s="549"/>
      <c r="E9263" s="549"/>
      <c r="F9263" s="549"/>
      <c r="G9263" s="549"/>
      <c r="H9263" s="650"/>
      <c r="I9263" s="560"/>
      <c r="J9263" s="710"/>
      <c r="K9263" s="648">
        <f>SUM(K9261:K9262)</f>
        <v>75</v>
      </c>
      <c r="L9263" s="732">
        <f>SUM(L9261:L9262)</f>
        <v>6.0485499999999988</v>
      </c>
      <c r="M9263" s="549"/>
      <c r="N9263" s="549"/>
      <c r="O9263" s="549"/>
      <c r="P9263" s="549" t="s">
        <v>1077</v>
      </c>
    </row>
    <row r="9264" spans="1:19" s="497" customFormat="1" ht="17.399999999999999">
      <c r="A9264" s="549"/>
      <c r="B9264" s="549"/>
      <c r="C9264" s="549"/>
      <c r="D9264" s="549"/>
      <c r="E9264" s="549"/>
      <c r="F9264" s="549"/>
      <c r="G9264" s="549"/>
      <c r="H9264" s="650"/>
      <c r="I9264" s="560"/>
      <c r="J9264" s="710"/>
      <c r="K9264" s="648"/>
      <c r="L9264" s="765"/>
      <c r="M9264" s="549"/>
      <c r="N9264" s="549"/>
      <c r="O9264" s="549"/>
      <c r="P9264" s="549"/>
    </row>
    <row r="9265" spans="1:17" s="497" customFormat="1" ht="17.399999999999999">
      <c r="A9265" s="547" t="s">
        <v>332</v>
      </c>
      <c r="B9265" s="547" t="s">
        <v>1042</v>
      </c>
      <c r="C9265" s="547" t="s">
        <v>19</v>
      </c>
      <c r="D9265" s="547" t="s">
        <v>60</v>
      </c>
      <c r="E9265" s="650" t="s">
        <v>1041</v>
      </c>
      <c r="F9265" s="1347">
        <v>9</v>
      </c>
      <c r="G9265" s="549" t="s">
        <v>61</v>
      </c>
      <c r="H9265" s="599" t="s">
        <v>69</v>
      </c>
      <c r="I9265" s="558">
        <v>6.85</v>
      </c>
      <c r="J9265" s="567">
        <v>8.1</v>
      </c>
      <c r="K9265" s="648">
        <v>36</v>
      </c>
      <c r="L9265" s="552">
        <f t="shared" ref="L9265:L9268" si="1912">(I9265*J9265*K9265/1000)</f>
        <v>1.9974599999999998</v>
      </c>
      <c r="M9265" s="549">
        <f>5+3+3+1</f>
        <v>12</v>
      </c>
      <c r="N9265" s="567">
        <f>J9265*M9265*I9265/1000</f>
        <v>0.66581999999999997</v>
      </c>
      <c r="O9265" s="549"/>
      <c r="P9265" s="549"/>
      <c r="Q9265" s="1358" t="s">
        <v>1225</v>
      </c>
    </row>
    <row r="9266" spans="1:17" s="497" customFormat="1" ht="17.399999999999999">
      <c r="A9266" s="549"/>
      <c r="B9266" s="832" t="s">
        <v>88</v>
      </c>
      <c r="C9266" s="549"/>
      <c r="D9266" s="549"/>
      <c r="E9266" s="549"/>
      <c r="F9266" s="549"/>
      <c r="G9266" s="549" t="s">
        <v>61</v>
      </c>
      <c r="H9266" s="549" t="s">
        <v>69</v>
      </c>
      <c r="I9266" s="558">
        <v>6.85</v>
      </c>
      <c r="J9266" s="567">
        <v>11.5</v>
      </c>
      <c r="K9266" s="648">
        <v>78</v>
      </c>
      <c r="L9266" s="552">
        <f t="shared" si="1912"/>
        <v>6.1444499999999991</v>
      </c>
      <c r="M9266" s="549">
        <f>1+1+2+3</f>
        <v>7</v>
      </c>
      <c r="N9266" s="567">
        <f>J9266*M9266*I9266/1000</f>
        <v>0.55142499999999994</v>
      </c>
      <c r="O9266" s="549"/>
      <c r="P9266" s="549"/>
    </row>
    <row r="9267" spans="1:17" s="497" customFormat="1" ht="17.399999999999999">
      <c r="A9267" s="549"/>
      <c r="B9267" s="549"/>
      <c r="C9267" s="549"/>
      <c r="D9267" s="549"/>
      <c r="E9267" s="549"/>
      <c r="F9267" s="549"/>
      <c r="G9267" s="549" t="s">
        <v>61</v>
      </c>
      <c r="H9267" s="549" t="s">
        <v>69</v>
      </c>
      <c r="I9267" s="558">
        <v>6.85</v>
      </c>
      <c r="J9267" s="567">
        <v>11.7</v>
      </c>
      <c r="K9267" s="648">
        <v>56</v>
      </c>
      <c r="L9267" s="552">
        <f t="shared" si="1912"/>
        <v>4.4881200000000003</v>
      </c>
      <c r="M9267" s="549"/>
      <c r="N9267" s="567">
        <f>J9267*M9267*I9267/1000</f>
        <v>0</v>
      </c>
      <c r="O9267" s="549"/>
      <c r="P9267" s="549"/>
    </row>
    <row r="9268" spans="1:17" s="497" customFormat="1" ht="17.399999999999999">
      <c r="A9268" s="549"/>
      <c r="B9268" s="549"/>
      <c r="C9268" s="549"/>
      <c r="D9268" s="549"/>
      <c r="E9268" s="549"/>
      <c r="F9268" s="549"/>
      <c r="G9268" s="549" t="s">
        <v>61</v>
      </c>
      <c r="H9268" s="549" t="s">
        <v>69</v>
      </c>
      <c r="I9268" s="558">
        <v>6.85</v>
      </c>
      <c r="J9268" s="567">
        <v>12</v>
      </c>
      <c r="K9268" s="648">
        <v>75</v>
      </c>
      <c r="L9268" s="552">
        <f t="shared" si="1912"/>
        <v>6.1649999999999991</v>
      </c>
      <c r="M9268" s="549">
        <v>3</v>
      </c>
      <c r="N9268" s="567">
        <f>J9268*M9268*I9268/1000</f>
        <v>0.24659999999999999</v>
      </c>
      <c r="O9268" s="549"/>
      <c r="P9268" s="549"/>
    </row>
    <row r="9269" spans="1:17" s="497" customFormat="1" ht="17.399999999999999">
      <c r="A9269" s="549"/>
      <c r="B9269" s="549"/>
      <c r="C9269" s="549"/>
      <c r="D9269" s="549"/>
      <c r="E9269" s="549"/>
      <c r="F9269" s="549"/>
      <c r="G9269" s="549"/>
      <c r="H9269" s="549"/>
      <c r="I9269" s="558"/>
      <c r="J9269" s="567"/>
      <c r="K9269" s="648">
        <f t="shared" ref="K9269:M9269" si="1913">SUM(K9265:K9268)</f>
        <v>245</v>
      </c>
      <c r="L9269" s="732">
        <f t="shared" si="1913"/>
        <v>18.795029999999997</v>
      </c>
      <c r="M9269" s="648">
        <f t="shared" si="1913"/>
        <v>22</v>
      </c>
      <c r="N9269" s="567">
        <f>SUM(N9265:N9268)</f>
        <v>1.4638449999999998</v>
      </c>
      <c r="O9269" s="549"/>
      <c r="P9269" s="549" t="s">
        <v>1077</v>
      </c>
    </row>
    <row r="9270" spans="1:17" s="497" customFormat="1" ht="17.399999999999999">
      <c r="A9270" s="549"/>
      <c r="B9270" s="549"/>
      <c r="C9270" s="549"/>
      <c r="D9270" s="549"/>
      <c r="E9270" s="549"/>
      <c r="F9270" s="549"/>
      <c r="G9270" s="549"/>
      <c r="H9270" s="549"/>
      <c r="I9270" s="558"/>
      <c r="J9270" s="567"/>
      <c r="K9270" s="648"/>
      <c r="L9270" s="567"/>
      <c r="M9270" s="549"/>
      <c r="N9270" s="549"/>
      <c r="O9270" s="549"/>
      <c r="P9270" s="549"/>
    </row>
    <row r="9271" spans="1:17" s="497" customFormat="1" ht="17.399999999999999">
      <c r="A9271" s="547" t="s">
        <v>332</v>
      </c>
      <c r="B9271" s="547" t="s">
        <v>1043</v>
      </c>
      <c r="C9271" s="547" t="s">
        <v>19</v>
      </c>
      <c r="D9271" s="547" t="s">
        <v>60</v>
      </c>
      <c r="E9271" s="650" t="s">
        <v>284</v>
      </c>
      <c r="F9271" s="1347">
        <v>9</v>
      </c>
      <c r="G9271" s="549" t="s">
        <v>61</v>
      </c>
      <c r="H9271" s="599" t="s">
        <v>69</v>
      </c>
      <c r="I9271" s="560">
        <v>6.85</v>
      </c>
      <c r="J9271" s="710">
        <v>12</v>
      </c>
      <c r="K9271" s="648">
        <v>28</v>
      </c>
      <c r="L9271" s="552">
        <f>(I9271*J9271*K9271/1000)</f>
        <v>2.3015999999999996</v>
      </c>
      <c r="M9271" s="549"/>
      <c r="N9271" s="549"/>
      <c r="O9271" s="549"/>
      <c r="P9271" s="549"/>
      <c r="Q9271" s="1358" t="s">
        <v>1225</v>
      </c>
    </row>
    <row r="9272" spans="1:17" s="497" customFormat="1" ht="17.399999999999999">
      <c r="A9272" s="549"/>
      <c r="B9272" s="832" t="s">
        <v>84</v>
      </c>
      <c r="C9272" s="549"/>
      <c r="D9272" s="549"/>
      <c r="E9272" s="549"/>
      <c r="F9272" s="549"/>
      <c r="G9272" s="549"/>
      <c r="H9272" s="650"/>
      <c r="I9272" s="560"/>
      <c r="J9272" s="710"/>
      <c r="K9272" s="648">
        <f t="shared" ref="K9272:N9272" si="1914">SUM(K9271)</f>
        <v>28</v>
      </c>
      <c r="L9272" s="732">
        <f>SUM(L9271)</f>
        <v>2.3015999999999996</v>
      </c>
      <c r="M9272" s="648">
        <f t="shared" si="1914"/>
        <v>0</v>
      </c>
      <c r="N9272" s="765">
        <f t="shared" si="1914"/>
        <v>0</v>
      </c>
      <c r="O9272" s="549"/>
      <c r="P9272" s="549" t="s">
        <v>1078</v>
      </c>
    </row>
    <row r="9273" spans="1:17" s="497" customFormat="1" ht="17.399999999999999">
      <c r="A9273" s="549"/>
      <c r="B9273" s="832"/>
      <c r="C9273" s="549"/>
      <c r="D9273" s="549"/>
      <c r="E9273" s="549"/>
      <c r="F9273" s="549"/>
      <c r="G9273" s="549"/>
      <c r="H9273" s="650"/>
      <c r="I9273" s="560"/>
      <c r="J9273" s="710"/>
      <c r="K9273" s="648"/>
      <c r="L9273" s="765"/>
      <c r="M9273" s="648"/>
      <c r="N9273" s="765"/>
      <c r="O9273" s="549"/>
      <c r="P9273" s="549"/>
    </row>
    <row r="9274" spans="1:17" s="497" customFormat="1" ht="17.399999999999999">
      <c r="A9274" s="547" t="s">
        <v>395</v>
      </c>
      <c r="B9274" s="547" t="s">
        <v>1038</v>
      </c>
      <c r="C9274" s="547" t="s">
        <v>19</v>
      </c>
      <c r="D9274" s="547" t="s">
        <v>60</v>
      </c>
      <c r="E9274" s="754" t="s">
        <v>1096</v>
      </c>
      <c r="F9274" s="1347">
        <v>9</v>
      </c>
      <c r="G9274" s="549" t="s">
        <v>61</v>
      </c>
      <c r="H9274" s="599" t="s">
        <v>69</v>
      </c>
      <c r="I9274" s="560">
        <v>6.86</v>
      </c>
      <c r="J9274" s="567">
        <v>11.5</v>
      </c>
      <c r="K9274" s="648">
        <v>7</v>
      </c>
      <c r="L9274" s="552">
        <f>(I9274*J9274*K9274/1000)</f>
        <v>0.55223</v>
      </c>
      <c r="M9274" s="549">
        <v>7</v>
      </c>
      <c r="N9274" s="567">
        <f>J9274*M9274*I9274/1000</f>
        <v>0.55223</v>
      </c>
      <c r="O9274" s="549"/>
      <c r="P9274" s="549"/>
      <c r="Q9274" s="1358" t="s">
        <v>1225</v>
      </c>
    </row>
    <row r="9275" spans="1:17" s="497" customFormat="1" ht="17.399999999999999">
      <c r="A9275" s="549"/>
      <c r="B9275" s="560" t="s">
        <v>277</v>
      </c>
      <c r="C9275" s="549"/>
      <c r="D9275" s="549"/>
      <c r="E9275" s="549"/>
      <c r="F9275" s="549"/>
      <c r="G9275" s="549"/>
      <c r="H9275" s="549"/>
      <c r="I9275" s="560"/>
      <c r="J9275" s="567"/>
      <c r="K9275" s="648">
        <f t="shared" ref="K9275:M9275" si="1915">SUM(K9274)</f>
        <v>7</v>
      </c>
      <c r="L9275" s="567">
        <f t="shared" si="1915"/>
        <v>0.55223</v>
      </c>
      <c r="M9275" s="648">
        <f t="shared" si="1915"/>
        <v>7</v>
      </c>
      <c r="N9275" s="567">
        <f>SUM(N9274)</f>
        <v>0.55223</v>
      </c>
      <c r="O9275" s="549"/>
      <c r="P9275" s="549"/>
    </row>
    <row r="9276" spans="1:17" s="497" customFormat="1" ht="17.399999999999999">
      <c r="A9276" s="549"/>
      <c r="B9276" s="549"/>
      <c r="C9276" s="549"/>
      <c r="D9276" s="549"/>
      <c r="E9276" s="549"/>
      <c r="F9276" s="549"/>
      <c r="G9276" s="549"/>
      <c r="H9276" s="549"/>
      <c r="I9276" s="558"/>
      <c r="J9276" s="567"/>
      <c r="K9276" s="648">
        <f>SUM(K9257:K9275)/2</f>
        <v>378</v>
      </c>
      <c r="L9276" s="567">
        <f>SUM(L9257:L9275)/2</f>
        <v>29.446709999999999</v>
      </c>
      <c r="M9276" s="648">
        <f>SUM(M9257:M9275)/2</f>
        <v>29</v>
      </c>
      <c r="N9276" s="567">
        <f>SUM(N9257:N9275)/2</f>
        <v>2.0160749999999998</v>
      </c>
      <c r="O9276" s="549"/>
      <c r="P9276" s="549"/>
    </row>
    <row r="9277" spans="1:17" s="497" customFormat="1" ht="17.399999999999999">
      <c r="A9277" s="549"/>
      <c r="B9277" s="549"/>
      <c r="C9277" s="549"/>
      <c r="D9277" s="549"/>
      <c r="E9277" s="549"/>
      <c r="F9277" s="549"/>
      <c r="G9277" s="549"/>
      <c r="H9277" s="549"/>
      <c r="I9277" s="558"/>
      <c r="J9277" s="567"/>
      <c r="K9277" s="648"/>
      <c r="L9277" s="567"/>
      <c r="M9277" s="549"/>
      <c r="N9277" s="549"/>
      <c r="O9277" s="549"/>
      <c r="P9277" s="549"/>
    </row>
    <row r="9278" spans="1:17" s="497" customFormat="1" ht="17.399999999999999">
      <c r="A9278" s="549"/>
      <c r="B9278" s="549"/>
      <c r="C9278" s="549"/>
      <c r="D9278" s="549"/>
      <c r="E9278" s="549"/>
      <c r="F9278" s="549"/>
      <c r="G9278" s="549"/>
      <c r="H9278" s="650"/>
      <c r="I9278" s="560"/>
      <c r="J9278" s="710"/>
      <c r="K9278" s="766"/>
      <c r="L9278" s="765"/>
      <c r="M9278" s="549"/>
      <c r="N9278" s="549"/>
      <c r="O9278" s="549"/>
      <c r="P9278" s="549"/>
    </row>
    <row r="9279" spans="1:17" s="497" customFormat="1" ht="17.399999999999999">
      <c r="A9279" s="547" t="s">
        <v>395</v>
      </c>
      <c r="B9279" s="547" t="s">
        <v>1038</v>
      </c>
      <c r="C9279" s="547" t="s">
        <v>19</v>
      </c>
      <c r="D9279" s="547" t="s">
        <v>60</v>
      </c>
      <c r="E9279" s="547" t="s">
        <v>270</v>
      </c>
      <c r="F9279" s="1347">
        <v>9</v>
      </c>
      <c r="G9279" s="549" t="s">
        <v>61</v>
      </c>
      <c r="H9279" s="599" t="s">
        <v>70</v>
      </c>
      <c r="I9279" s="560">
        <v>5.77</v>
      </c>
      <c r="J9279" s="567">
        <v>10</v>
      </c>
      <c r="K9279" s="648">
        <v>14</v>
      </c>
      <c r="L9279" s="552">
        <f t="shared" ref="L9279:L9280" si="1916">(I9279*J9279*K9279/1000)</f>
        <v>0.80779999999999996</v>
      </c>
      <c r="M9279" s="549"/>
      <c r="N9279" s="549"/>
      <c r="O9279" s="549"/>
      <c r="P9279" s="549"/>
      <c r="Q9279" s="1358" t="s">
        <v>1225</v>
      </c>
    </row>
    <row r="9280" spans="1:17" s="497" customFormat="1" ht="17.399999999999999">
      <c r="A9280" s="549"/>
      <c r="B9280" s="560" t="s">
        <v>277</v>
      </c>
      <c r="C9280" s="549"/>
      <c r="D9280" s="549"/>
      <c r="E9280" s="549"/>
      <c r="F9280" s="549"/>
      <c r="G9280" s="549" t="s">
        <v>61</v>
      </c>
      <c r="H9280" s="549" t="s">
        <v>70</v>
      </c>
      <c r="I9280" s="560">
        <v>5.77</v>
      </c>
      <c r="J9280" s="567">
        <v>12</v>
      </c>
      <c r="K9280" s="648">
        <v>53</v>
      </c>
      <c r="L9280" s="552">
        <f t="shared" si="1916"/>
        <v>3.6697199999999999</v>
      </c>
      <c r="M9280" s="549"/>
      <c r="N9280" s="549"/>
      <c r="O9280" s="549"/>
      <c r="P9280" s="549"/>
    </row>
    <row r="9281" spans="1:17" s="497" customFormat="1" ht="17.399999999999999">
      <c r="A9281" s="549"/>
      <c r="B9281" s="549"/>
      <c r="C9281" s="549"/>
      <c r="D9281" s="549"/>
      <c r="E9281" s="549"/>
      <c r="F9281" s="549"/>
      <c r="G9281" s="549"/>
      <c r="H9281" s="549"/>
      <c r="I9281" s="560"/>
      <c r="J9281" s="567"/>
      <c r="K9281" s="648">
        <f t="shared" ref="K9281:L9281" si="1917">SUM(K9279:K9280)</f>
        <v>67</v>
      </c>
      <c r="L9281" s="567">
        <f t="shared" si="1917"/>
        <v>4.4775200000000002</v>
      </c>
      <c r="M9281" s="549"/>
      <c r="N9281" s="549"/>
      <c r="O9281" s="549"/>
      <c r="P9281" s="549" t="s">
        <v>1075</v>
      </c>
    </row>
    <row r="9282" spans="1:17" s="497" customFormat="1" ht="17.399999999999999">
      <c r="A9282" s="549"/>
      <c r="B9282" s="549"/>
      <c r="C9282" s="549"/>
      <c r="D9282" s="549"/>
      <c r="E9282" s="549"/>
      <c r="F9282" s="549"/>
      <c r="G9282" s="549"/>
      <c r="H9282" s="549"/>
      <c r="I9282" s="560"/>
      <c r="J9282" s="567"/>
      <c r="K9282" s="648"/>
      <c r="L9282" s="567"/>
      <c r="M9282" s="549"/>
      <c r="N9282" s="549"/>
      <c r="O9282" s="549"/>
      <c r="P9282" s="549"/>
    </row>
    <row r="9283" spans="1:17" s="497" customFormat="1" ht="17.399999999999999">
      <c r="A9283" s="547" t="s">
        <v>332</v>
      </c>
      <c r="B9283" s="547" t="s">
        <v>1040</v>
      </c>
      <c r="C9283" s="547" t="s">
        <v>19</v>
      </c>
      <c r="D9283" s="547" t="s">
        <v>60</v>
      </c>
      <c r="E9283" s="650" t="s">
        <v>1041</v>
      </c>
      <c r="F9283" s="1347">
        <v>9</v>
      </c>
      <c r="G9283" s="549" t="s">
        <v>94</v>
      </c>
      <c r="H9283" s="599" t="s">
        <v>70</v>
      </c>
      <c r="I9283" s="560">
        <v>5.76</v>
      </c>
      <c r="J9283" s="710">
        <v>7.75</v>
      </c>
      <c r="K9283" s="648">
        <v>18</v>
      </c>
      <c r="L9283" s="552">
        <f>(I9283*J9283*K9283/1000)</f>
        <v>0.80352000000000001</v>
      </c>
      <c r="M9283" s="549"/>
      <c r="N9283" s="549"/>
      <c r="O9283" s="549"/>
      <c r="P9283" s="549"/>
      <c r="Q9283" s="1358" t="s">
        <v>1225</v>
      </c>
    </row>
    <row r="9284" spans="1:17" s="497" customFormat="1" ht="17.399999999999999">
      <c r="A9284" s="549"/>
      <c r="B9284" s="549" t="s">
        <v>1030</v>
      </c>
      <c r="C9284" s="549"/>
      <c r="D9284" s="549"/>
      <c r="E9284" s="549"/>
      <c r="F9284" s="549"/>
      <c r="G9284" s="549" t="s">
        <v>94</v>
      </c>
      <c r="H9284" s="549" t="s">
        <v>70</v>
      </c>
      <c r="I9284" s="560">
        <v>5.76</v>
      </c>
      <c r="J9284" s="710">
        <v>10.5</v>
      </c>
      <c r="K9284" s="648">
        <v>16</v>
      </c>
      <c r="L9284" s="552">
        <f t="shared" ref="L9284:L9285" si="1918">(I9284*J9284*K9284/1000)</f>
        <v>0.96767999999999998</v>
      </c>
      <c r="M9284" s="549"/>
      <c r="N9284" s="549"/>
      <c r="O9284" s="549"/>
      <c r="P9284" s="549"/>
    </row>
    <row r="9285" spans="1:17" s="497" customFormat="1" ht="17.399999999999999">
      <c r="A9285" s="549"/>
      <c r="B9285" s="549"/>
      <c r="C9285" s="549"/>
      <c r="D9285" s="549"/>
      <c r="E9285" s="549"/>
      <c r="F9285" s="549"/>
      <c r="G9285" s="549" t="s">
        <v>94</v>
      </c>
      <c r="H9285" s="549" t="s">
        <v>70</v>
      </c>
      <c r="I9285" s="560">
        <v>5.76</v>
      </c>
      <c r="J9285" s="710">
        <v>12</v>
      </c>
      <c r="K9285" s="648">
        <v>11</v>
      </c>
      <c r="L9285" s="552">
        <f t="shared" si="1918"/>
        <v>0.76032</v>
      </c>
      <c r="M9285" s="549"/>
      <c r="N9285" s="549"/>
      <c r="O9285" s="549"/>
      <c r="P9285" s="549"/>
    </row>
    <row r="9286" spans="1:17" s="497" customFormat="1" ht="17.399999999999999">
      <c r="A9286" s="549"/>
      <c r="B9286" s="549"/>
      <c r="C9286" s="549"/>
      <c r="D9286" s="549"/>
      <c r="E9286" s="549"/>
      <c r="F9286" s="549"/>
      <c r="G9286" s="549"/>
      <c r="H9286" s="650"/>
      <c r="I9286" s="560"/>
      <c r="J9286" s="710"/>
      <c r="K9286" s="648">
        <f>SUM(K9283:K9285)</f>
        <v>45</v>
      </c>
      <c r="L9286" s="765">
        <f>SUM(L9283:L9285)</f>
        <v>2.53152</v>
      </c>
      <c r="M9286" s="549"/>
      <c r="N9286" s="549"/>
      <c r="O9286" s="549"/>
      <c r="P9286" s="549" t="s">
        <v>1076</v>
      </c>
    </row>
    <row r="9287" spans="1:17" s="497" customFormat="1" ht="17.399999999999999">
      <c r="A9287" s="549"/>
      <c r="B9287" s="549"/>
      <c r="C9287" s="549"/>
      <c r="D9287" s="549"/>
      <c r="E9287" s="549"/>
      <c r="F9287" s="549"/>
      <c r="G9287" s="549"/>
      <c r="H9287" s="650"/>
      <c r="I9287" s="560"/>
      <c r="J9287" s="710"/>
      <c r="K9287" s="648"/>
      <c r="L9287" s="765"/>
      <c r="M9287" s="549"/>
      <c r="N9287" s="549"/>
      <c r="O9287" s="549"/>
      <c r="P9287" s="549"/>
    </row>
    <row r="9288" spans="1:17" s="497" customFormat="1" ht="17.399999999999999">
      <c r="A9288" s="547" t="s">
        <v>332</v>
      </c>
      <c r="B9288" s="547" t="s">
        <v>1042</v>
      </c>
      <c r="C9288" s="547" t="s">
        <v>19</v>
      </c>
      <c r="D9288" s="547" t="s">
        <v>60</v>
      </c>
      <c r="E9288" s="650" t="s">
        <v>1041</v>
      </c>
      <c r="F9288" s="1347">
        <v>9</v>
      </c>
      <c r="G9288" s="549" t="s">
        <v>61</v>
      </c>
      <c r="H9288" s="599" t="s">
        <v>70</v>
      </c>
      <c r="I9288" s="558">
        <v>5.76</v>
      </c>
      <c r="J9288" s="567">
        <v>11</v>
      </c>
      <c r="K9288" s="648">
        <v>72</v>
      </c>
      <c r="L9288" s="552">
        <f t="shared" ref="L9288:L9289" si="1919">(I9288*J9288*K9288/1000)</f>
        <v>4.5619199999999998</v>
      </c>
      <c r="M9288" s="549"/>
      <c r="N9288" s="549"/>
      <c r="O9288" s="549"/>
      <c r="P9288" s="549"/>
      <c r="Q9288" s="1358" t="s">
        <v>1225</v>
      </c>
    </row>
    <row r="9289" spans="1:17" s="497" customFormat="1" ht="17.399999999999999">
      <c r="A9289" s="549"/>
      <c r="B9289" s="832" t="s">
        <v>88</v>
      </c>
      <c r="C9289" s="549"/>
      <c r="D9289" s="549"/>
      <c r="E9289" s="549"/>
      <c r="F9289" s="549"/>
      <c r="G9289" s="549" t="s">
        <v>61</v>
      </c>
      <c r="H9289" s="549" t="s">
        <v>70</v>
      </c>
      <c r="I9289" s="558">
        <v>5.76</v>
      </c>
      <c r="J9289" s="567">
        <v>12</v>
      </c>
      <c r="K9289" s="648">
        <v>58</v>
      </c>
      <c r="L9289" s="552">
        <f t="shared" si="1919"/>
        <v>4.0089600000000001</v>
      </c>
      <c r="M9289" s="549"/>
      <c r="N9289" s="549"/>
      <c r="O9289" s="549"/>
      <c r="P9289" s="549"/>
    </row>
    <row r="9290" spans="1:17" s="497" customFormat="1" ht="17.399999999999999">
      <c r="A9290" s="549"/>
      <c r="B9290" s="549"/>
      <c r="C9290" s="549"/>
      <c r="D9290" s="549"/>
      <c r="E9290" s="549"/>
      <c r="F9290" s="549"/>
      <c r="G9290" s="549"/>
      <c r="H9290" s="549"/>
      <c r="I9290" s="558"/>
      <c r="J9290" s="567"/>
      <c r="K9290" s="648">
        <f t="shared" ref="K9290:L9290" si="1920">SUM(K9288:K9289)</f>
        <v>130</v>
      </c>
      <c r="L9290" s="567">
        <f t="shared" si="1920"/>
        <v>8.5708799999999989</v>
      </c>
      <c r="M9290" s="549"/>
      <c r="N9290" s="549"/>
      <c r="O9290" s="549"/>
      <c r="P9290" s="549" t="s">
        <v>1076</v>
      </c>
    </row>
    <row r="9291" spans="1:17" s="497" customFormat="1" ht="17.399999999999999">
      <c r="A9291" s="549"/>
      <c r="B9291" s="549"/>
      <c r="C9291" s="549"/>
      <c r="D9291" s="549"/>
      <c r="E9291" s="549"/>
      <c r="F9291" s="549"/>
      <c r="G9291" s="549"/>
      <c r="H9291" s="549"/>
      <c r="I9291" s="558"/>
      <c r="J9291" s="567"/>
      <c r="K9291" s="648"/>
      <c r="L9291" s="567"/>
      <c r="M9291" s="549"/>
      <c r="N9291" s="549"/>
      <c r="O9291" s="549"/>
      <c r="P9291" s="549"/>
    </row>
    <row r="9292" spans="1:17" s="497" customFormat="1" ht="17.399999999999999">
      <c r="A9292" s="547" t="s">
        <v>332</v>
      </c>
      <c r="B9292" s="547" t="s">
        <v>1043</v>
      </c>
      <c r="C9292" s="547" t="s">
        <v>19</v>
      </c>
      <c r="D9292" s="547" t="s">
        <v>60</v>
      </c>
      <c r="E9292" s="650" t="s">
        <v>284</v>
      </c>
      <c r="F9292" s="1347">
        <v>9</v>
      </c>
      <c r="G9292" s="549" t="s">
        <v>61</v>
      </c>
      <c r="H9292" s="599" t="s">
        <v>70</v>
      </c>
      <c r="I9292" s="560">
        <v>5.76</v>
      </c>
      <c r="J9292" s="710">
        <v>11.5</v>
      </c>
      <c r="K9292" s="648">
        <v>36</v>
      </c>
      <c r="L9292" s="552">
        <f>(I9292*J9292*K9292/1000)</f>
        <v>2.3846400000000001</v>
      </c>
      <c r="M9292" s="549"/>
      <c r="N9292" s="549"/>
      <c r="O9292" s="549"/>
      <c r="P9292" s="549"/>
      <c r="Q9292" s="1358" t="s">
        <v>1225</v>
      </c>
    </row>
    <row r="9293" spans="1:17" s="497" customFormat="1" ht="17.399999999999999">
      <c r="A9293" s="549"/>
      <c r="B9293" s="832" t="s">
        <v>84</v>
      </c>
      <c r="C9293" s="549"/>
      <c r="D9293" s="549"/>
      <c r="E9293" s="549"/>
      <c r="F9293" s="549"/>
      <c r="G9293" s="549"/>
      <c r="H9293" s="650"/>
      <c r="I9293" s="560"/>
      <c r="J9293" s="710"/>
      <c r="K9293" s="648">
        <f t="shared" ref="K9293" si="1921">SUM(K9292)</f>
        <v>36</v>
      </c>
      <c r="L9293" s="765">
        <f>SUM(L9292)</f>
        <v>2.3846400000000001</v>
      </c>
      <c r="M9293" s="549"/>
      <c r="N9293" s="549"/>
      <c r="O9293" s="549"/>
      <c r="P9293" s="549" t="s">
        <v>1079</v>
      </c>
    </row>
    <row r="9294" spans="1:17" s="497" customFormat="1" ht="17.399999999999999">
      <c r="A9294" s="549"/>
      <c r="B9294" s="832"/>
      <c r="C9294" s="549"/>
      <c r="D9294" s="549"/>
      <c r="E9294" s="549"/>
      <c r="F9294" s="549"/>
      <c r="G9294" s="549"/>
      <c r="H9294" s="650"/>
      <c r="I9294" s="560"/>
      <c r="J9294" s="710"/>
      <c r="K9294" s="648"/>
      <c r="L9294" s="765"/>
      <c r="M9294" s="549"/>
      <c r="N9294" s="549"/>
      <c r="O9294" s="549"/>
      <c r="P9294" s="549"/>
    </row>
    <row r="9295" spans="1:17" s="497" customFormat="1" ht="17.399999999999999">
      <c r="A9295" s="547" t="s">
        <v>395</v>
      </c>
      <c r="B9295" s="547" t="s">
        <v>1038</v>
      </c>
      <c r="C9295" s="547" t="s">
        <v>19</v>
      </c>
      <c r="D9295" s="547" t="s">
        <v>60</v>
      </c>
      <c r="E9295" s="754" t="s">
        <v>1096</v>
      </c>
      <c r="F9295" s="1347">
        <v>9</v>
      </c>
      <c r="G9295" s="549" t="s">
        <v>61</v>
      </c>
      <c r="H9295" s="599" t="s">
        <v>70</v>
      </c>
      <c r="I9295" s="560">
        <v>5.77</v>
      </c>
      <c r="J9295" s="567">
        <v>12</v>
      </c>
      <c r="K9295" s="648">
        <v>15</v>
      </c>
      <c r="L9295" s="552">
        <f>(I9295*J9295*K9295/1000)</f>
        <v>1.0386</v>
      </c>
      <c r="M9295" s="549">
        <v>15</v>
      </c>
      <c r="N9295" s="567">
        <f t="shared" ref="N9295" si="1922">J9295*M9295*I9295/1000</f>
        <v>1.0386</v>
      </c>
      <c r="O9295" s="549"/>
      <c r="P9295" s="549"/>
      <c r="Q9295" s="1358" t="s">
        <v>1225</v>
      </c>
    </row>
    <row r="9296" spans="1:17" ht="17.399999999999999">
      <c r="A9296" s="549"/>
      <c r="B9296" s="560" t="s">
        <v>277</v>
      </c>
      <c r="C9296" s="549"/>
      <c r="D9296" s="549"/>
      <c r="E9296" s="549"/>
      <c r="F9296" s="549"/>
      <c r="G9296" s="549"/>
      <c r="H9296" s="549"/>
      <c r="I9296" s="560"/>
      <c r="J9296" s="567"/>
      <c r="K9296" s="648">
        <f>SUM(K9295)</f>
        <v>15</v>
      </c>
      <c r="L9296" s="567">
        <f>SUM(L9295)</f>
        <v>1.0386</v>
      </c>
      <c r="M9296" s="648">
        <f t="shared" ref="M9296:N9296" si="1923">SUM(M9295)</f>
        <v>15</v>
      </c>
      <c r="N9296" s="567">
        <f t="shared" si="1923"/>
        <v>1.0386</v>
      </c>
      <c r="O9296" s="549"/>
      <c r="P9296" s="549"/>
    </row>
    <row r="9297" spans="1:17" s="497" customFormat="1" ht="17.399999999999999">
      <c r="A9297" s="549"/>
      <c r="B9297" s="560"/>
      <c r="C9297" s="549"/>
      <c r="D9297" s="549"/>
      <c r="E9297" s="549"/>
      <c r="F9297" s="549"/>
      <c r="G9297" s="549"/>
      <c r="H9297" s="549"/>
      <c r="I9297" s="560"/>
      <c r="J9297" s="567"/>
      <c r="K9297" s="648"/>
      <c r="L9297" s="567"/>
      <c r="M9297" s="648"/>
      <c r="N9297" s="567"/>
      <c r="O9297" s="549"/>
      <c r="P9297" s="549"/>
    </row>
    <row r="9298" spans="1:17" s="497" customFormat="1" ht="17.399999999999999">
      <c r="A9298" s="547" t="s">
        <v>332</v>
      </c>
      <c r="B9298" s="547" t="s">
        <v>1140</v>
      </c>
      <c r="C9298" s="547" t="s">
        <v>19</v>
      </c>
      <c r="D9298" s="547" t="s">
        <v>60</v>
      </c>
      <c r="E9298" s="650" t="s">
        <v>284</v>
      </c>
      <c r="F9298" s="1347">
        <v>9</v>
      </c>
      <c r="G9298" s="549" t="s">
        <v>61</v>
      </c>
      <c r="H9298" s="599" t="s">
        <v>70</v>
      </c>
      <c r="I9298" s="560">
        <v>5.76</v>
      </c>
      <c r="J9298" s="1352">
        <v>6.7</v>
      </c>
      <c r="K9298" s="1354">
        <v>232</v>
      </c>
      <c r="L9298" s="552">
        <f>(I9298*J9298*K9298/1000)</f>
        <v>8.9533439999999995</v>
      </c>
      <c r="M9298" s="549"/>
      <c r="N9298" s="549"/>
      <c r="O9298" s="549"/>
      <c r="P9298" s="549"/>
      <c r="Q9298" s="1358" t="s">
        <v>1225</v>
      </c>
    </row>
    <row r="9299" spans="1:17" s="497" customFormat="1" ht="17.399999999999999">
      <c r="A9299" s="549"/>
      <c r="B9299" s="1353" t="s">
        <v>204</v>
      </c>
      <c r="C9299" s="549"/>
      <c r="D9299" s="549"/>
      <c r="E9299" s="549"/>
      <c r="F9299" s="549"/>
      <c r="G9299" s="549"/>
      <c r="H9299" s="650"/>
      <c r="I9299" s="560"/>
      <c r="J9299" s="710"/>
      <c r="K9299" s="648">
        <f>SUM(K9298)</f>
        <v>232</v>
      </c>
      <c r="L9299" s="765">
        <f>SUM(L9298)</f>
        <v>8.9533439999999995</v>
      </c>
      <c r="M9299" s="549"/>
      <c r="N9299" s="549"/>
      <c r="O9299" s="549"/>
      <c r="P9299" s="549" t="s">
        <v>1079</v>
      </c>
    </row>
    <row r="9300" spans="1:17" s="497" customFormat="1" ht="17.399999999999999">
      <c r="A9300" s="549"/>
      <c r="B9300" s="549"/>
      <c r="C9300" s="549"/>
      <c r="D9300" s="549"/>
      <c r="E9300" s="549"/>
      <c r="F9300" s="549"/>
      <c r="G9300" s="549"/>
      <c r="H9300" s="549"/>
      <c r="I9300" s="558"/>
      <c r="J9300" s="567"/>
      <c r="K9300" s="648">
        <f>SUM(K9279:K9299)/2</f>
        <v>525</v>
      </c>
      <c r="L9300" s="567">
        <f>SUM(L9279:L9299)/2</f>
        <v>27.956504000000002</v>
      </c>
      <c r="M9300" s="648">
        <f>SUM(M9279:M9299)/2</f>
        <v>15</v>
      </c>
      <c r="N9300" s="567">
        <f>SUM(N9279:N9299)/2</f>
        <v>1.0386</v>
      </c>
      <c r="O9300" s="549"/>
      <c r="P9300" s="549"/>
    </row>
    <row r="9301" spans="1:17" s="497" customFormat="1" ht="17.399999999999999">
      <c r="A9301" s="549"/>
      <c r="B9301" s="549"/>
      <c r="C9301" s="549"/>
      <c r="D9301" s="549"/>
      <c r="E9301" s="549"/>
      <c r="F9301" s="549"/>
      <c r="G9301" s="549"/>
      <c r="H9301" s="549"/>
      <c r="I9301" s="558"/>
      <c r="J9301" s="567"/>
      <c r="K9301" s="648"/>
      <c r="L9301" s="567"/>
      <c r="M9301" s="549"/>
      <c r="N9301" s="549"/>
      <c r="O9301" s="549"/>
      <c r="P9301" s="549"/>
    </row>
    <row r="9302" spans="1:17" s="497" customFormat="1" ht="17.399999999999999">
      <c r="A9302" s="549"/>
      <c r="B9302" s="549"/>
      <c r="C9302" s="549"/>
      <c r="D9302" s="549"/>
      <c r="E9302" s="549"/>
      <c r="F9302" s="549"/>
      <c r="G9302" s="549"/>
      <c r="H9302" s="650"/>
      <c r="I9302" s="560"/>
      <c r="J9302" s="710"/>
      <c r="K9302" s="766"/>
      <c r="L9302" s="765"/>
      <c r="M9302" s="549"/>
      <c r="N9302" s="549"/>
      <c r="O9302" s="549"/>
      <c r="P9302" s="549"/>
    </row>
    <row r="9303" spans="1:17" s="497" customFormat="1" ht="17.399999999999999">
      <c r="A9303" s="547" t="s">
        <v>395</v>
      </c>
      <c r="B9303" s="547" t="s">
        <v>1015</v>
      </c>
      <c r="C9303" s="547" t="s">
        <v>446</v>
      </c>
      <c r="D9303" s="813" t="s">
        <v>450</v>
      </c>
      <c r="E9303" s="547" t="s">
        <v>270</v>
      </c>
      <c r="F9303" s="1347">
        <v>7</v>
      </c>
      <c r="G9303" s="549" t="s">
        <v>61</v>
      </c>
      <c r="H9303" s="599" t="s">
        <v>70</v>
      </c>
      <c r="I9303" s="558">
        <v>5.77</v>
      </c>
      <c r="J9303" s="567">
        <v>10</v>
      </c>
      <c r="K9303" s="648">
        <v>72</v>
      </c>
      <c r="L9303" s="552">
        <f t="shared" ref="L9303:L9305" si="1924">(I9303*J9303*K9303/1000)</f>
        <v>4.1543999999999999</v>
      </c>
      <c r="M9303" s="549"/>
      <c r="N9303" s="549"/>
      <c r="O9303" s="549"/>
      <c r="P9303" s="549"/>
      <c r="Q9303" s="1358" t="s">
        <v>1225</v>
      </c>
    </row>
    <row r="9304" spans="1:17" s="497" customFormat="1" ht="17.399999999999999">
      <c r="A9304" s="550"/>
      <c r="B9304" s="550"/>
      <c r="C9304" s="550"/>
      <c r="D9304" s="550"/>
      <c r="E9304" s="1347"/>
      <c r="F9304" s="550"/>
      <c r="G9304" s="549" t="s">
        <v>61</v>
      </c>
      <c r="H9304" s="549" t="s">
        <v>70</v>
      </c>
      <c r="I9304" s="558">
        <v>5.77</v>
      </c>
      <c r="J9304" s="567">
        <v>11</v>
      </c>
      <c r="K9304" s="648">
        <v>108</v>
      </c>
      <c r="L9304" s="552">
        <f t="shared" si="1924"/>
        <v>6.8547600000000006</v>
      </c>
      <c r="M9304" s="549"/>
      <c r="N9304" s="549"/>
      <c r="O9304" s="549"/>
      <c r="P9304" s="549"/>
    </row>
    <row r="9305" spans="1:17" s="497" customFormat="1" ht="17.399999999999999">
      <c r="A9305" s="549"/>
      <c r="B9305" s="549"/>
      <c r="C9305" s="549"/>
      <c r="D9305" s="549"/>
      <c r="E9305" s="549"/>
      <c r="F9305" s="549"/>
      <c r="G9305" s="549" t="s">
        <v>61</v>
      </c>
      <c r="H9305" s="549" t="s">
        <v>70</v>
      </c>
      <c r="I9305" s="558">
        <v>5.77</v>
      </c>
      <c r="J9305" s="567">
        <v>12</v>
      </c>
      <c r="K9305" s="648">
        <v>31</v>
      </c>
      <c r="L9305" s="552">
        <f t="shared" si="1924"/>
        <v>2.1464400000000001</v>
      </c>
      <c r="M9305" s="549"/>
      <c r="N9305" s="549"/>
      <c r="O9305" s="549"/>
      <c r="P9305" s="549"/>
    </row>
    <row r="9306" spans="1:17" s="497" customFormat="1" ht="17.399999999999999">
      <c r="A9306" s="549"/>
      <c r="B9306" s="549"/>
      <c r="C9306" s="549"/>
      <c r="D9306" s="549"/>
      <c r="E9306" s="549"/>
      <c r="F9306" s="549"/>
      <c r="G9306" s="549"/>
      <c r="H9306" s="549"/>
      <c r="I9306" s="558"/>
      <c r="J9306" s="567"/>
      <c r="K9306" s="648">
        <f t="shared" ref="K9306:L9306" si="1925">SUM(K9303:K9305)</f>
        <v>211</v>
      </c>
      <c r="L9306" s="567">
        <f t="shared" si="1925"/>
        <v>13.155600000000002</v>
      </c>
      <c r="M9306" s="549"/>
      <c r="N9306" s="549"/>
      <c r="O9306" s="549"/>
      <c r="P9306" s="549"/>
    </row>
    <row r="9307" spans="1:17" s="497" customFormat="1" ht="17.399999999999999">
      <c r="A9307" s="549"/>
      <c r="B9307" s="549"/>
      <c r="C9307" s="549"/>
      <c r="D9307" s="549"/>
      <c r="E9307" s="549"/>
      <c r="F9307" s="549"/>
      <c r="G9307" s="549"/>
      <c r="H9307" s="549"/>
      <c r="I9307" s="558"/>
      <c r="J9307" s="567"/>
      <c r="K9307" s="648"/>
      <c r="L9307" s="567"/>
      <c r="M9307" s="549"/>
      <c r="N9307" s="549"/>
      <c r="O9307" s="549"/>
      <c r="P9307" s="549"/>
    </row>
    <row r="9308" spans="1:17" s="497" customFormat="1" ht="17.399999999999999">
      <c r="A9308" s="547" t="s">
        <v>395</v>
      </c>
      <c r="B9308" s="547" t="s">
        <v>961</v>
      </c>
      <c r="C9308" s="547" t="s">
        <v>446</v>
      </c>
      <c r="D9308" s="813" t="s">
        <v>450</v>
      </c>
      <c r="E9308" s="547" t="s">
        <v>270</v>
      </c>
      <c r="F9308" s="1347">
        <v>7</v>
      </c>
      <c r="G9308" s="549" t="s">
        <v>61</v>
      </c>
      <c r="H9308" s="599" t="s">
        <v>70</v>
      </c>
      <c r="I9308" s="560">
        <v>5.77</v>
      </c>
      <c r="J9308" s="710">
        <v>7.5</v>
      </c>
      <c r="K9308" s="648">
        <v>41</v>
      </c>
      <c r="L9308" s="552">
        <f>(I9308*J9308*K9308/1000)</f>
        <v>1.7742749999999998</v>
      </c>
      <c r="M9308" s="549"/>
      <c r="N9308" s="549"/>
      <c r="O9308" s="549"/>
      <c r="P9308" s="549"/>
      <c r="Q9308" s="1358" t="s">
        <v>1225</v>
      </c>
    </row>
    <row r="9309" spans="1:17" s="497" customFormat="1" ht="17.399999999999999">
      <c r="A9309" s="550"/>
      <c r="B9309" s="550"/>
      <c r="C9309" s="550"/>
      <c r="D9309" s="550"/>
      <c r="E9309" s="1347"/>
      <c r="F9309" s="550"/>
      <c r="G9309" s="549" t="s">
        <v>61</v>
      </c>
      <c r="H9309" s="549" t="s">
        <v>70</v>
      </c>
      <c r="I9309" s="560">
        <v>5.77</v>
      </c>
      <c r="J9309" s="710">
        <v>10</v>
      </c>
      <c r="K9309" s="648">
        <v>51</v>
      </c>
      <c r="L9309" s="552">
        <f>(I9309*J9309*K9309/1000)</f>
        <v>2.9426999999999999</v>
      </c>
      <c r="M9309" s="549"/>
      <c r="N9309" s="549"/>
      <c r="O9309" s="549"/>
      <c r="P9309" s="549"/>
    </row>
    <row r="9310" spans="1:17" s="497" customFormat="1" ht="17.399999999999999">
      <c r="A9310" s="549"/>
      <c r="B9310" s="549"/>
      <c r="C9310" s="549"/>
      <c r="D9310" s="549"/>
      <c r="E9310" s="549"/>
      <c r="F9310" s="549"/>
      <c r="G9310" s="549" t="s">
        <v>61</v>
      </c>
      <c r="H9310" s="549" t="s">
        <v>70</v>
      </c>
      <c r="I9310" s="560">
        <v>5.77</v>
      </c>
      <c r="J9310" s="710">
        <v>11</v>
      </c>
      <c r="K9310" s="648">
        <v>2</v>
      </c>
      <c r="L9310" s="552">
        <f>(I9310*J9310*K9310/1000)</f>
        <v>0.12694</v>
      </c>
      <c r="M9310" s="549"/>
      <c r="N9310" s="549"/>
      <c r="O9310" s="549"/>
      <c r="P9310" s="549"/>
    </row>
    <row r="9311" spans="1:17" s="497" customFormat="1" ht="17.399999999999999">
      <c r="A9311" s="549"/>
      <c r="B9311" s="549"/>
      <c r="C9311" s="549"/>
      <c r="D9311" s="549"/>
      <c r="E9311" s="549"/>
      <c r="F9311" s="549"/>
      <c r="G9311" s="549" t="s">
        <v>61</v>
      </c>
      <c r="H9311" s="549" t="s">
        <v>70</v>
      </c>
      <c r="I9311" s="560">
        <v>5.77</v>
      </c>
      <c r="J9311" s="710">
        <v>12</v>
      </c>
      <c r="K9311" s="648">
        <v>18</v>
      </c>
      <c r="L9311" s="552">
        <f>(I9311*J9311*K9311/1000)</f>
        <v>1.2463199999999999</v>
      </c>
      <c r="M9311" s="549"/>
      <c r="N9311" s="549"/>
      <c r="O9311" s="549"/>
      <c r="P9311" s="549"/>
    </row>
    <row r="9312" spans="1:17" s="497" customFormat="1" ht="17.399999999999999">
      <c r="A9312" s="549"/>
      <c r="B9312" s="549"/>
      <c r="C9312" s="549"/>
      <c r="D9312" s="549"/>
      <c r="E9312" s="549"/>
      <c r="F9312" s="549"/>
      <c r="G9312" s="549"/>
      <c r="H9312" s="549"/>
      <c r="I9312" s="560"/>
      <c r="J9312" s="710"/>
      <c r="K9312" s="648">
        <f t="shared" ref="K9312:L9312" si="1926">SUM(K9308:K9311)</f>
        <v>112</v>
      </c>
      <c r="L9312" s="552">
        <f t="shared" si="1926"/>
        <v>6.0902349999999998</v>
      </c>
      <c r="M9312" s="549"/>
      <c r="N9312" s="549"/>
      <c r="O9312" s="549"/>
      <c r="P9312" s="549"/>
    </row>
    <row r="9313" spans="1:17" s="497" customFormat="1" ht="17.399999999999999">
      <c r="A9313" s="549"/>
      <c r="B9313" s="549"/>
      <c r="C9313" s="549"/>
      <c r="D9313" s="549"/>
      <c r="E9313" s="549"/>
      <c r="F9313" s="549"/>
      <c r="G9313" s="549"/>
      <c r="H9313" s="549"/>
      <c r="I9313" s="560"/>
      <c r="J9313" s="710"/>
      <c r="K9313" s="648"/>
      <c r="L9313" s="552"/>
      <c r="M9313" s="549"/>
      <c r="N9313" s="549"/>
      <c r="O9313" s="549"/>
      <c r="P9313" s="549"/>
    </row>
    <row r="9314" spans="1:17" s="1351" customFormat="1" ht="17.399999999999999">
      <c r="A9314" s="547" t="s">
        <v>395</v>
      </c>
      <c r="B9314" s="547" t="s">
        <v>1141</v>
      </c>
      <c r="C9314" s="547" t="s">
        <v>446</v>
      </c>
      <c r="D9314" s="813" t="s">
        <v>450</v>
      </c>
      <c r="E9314" s="547" t="s">
        <v>270</v>
      </c>
      <c r="F9314" s="1347">
        <v>7</v>
      </c>
      <c r="G9314" s="549" t="s">
        <v>61</v>
      </c>
      <c r="H9314" s="599" t="s">
        <v>70</v>
      </c>
      <c r="I9314" s="560">
        <v>5.77</v>
      </c>
      <c r="J9314" s="1356">
        <v>10</v>
      </c>
      <c r="K9314" s="1357">
        <v>13</v>
      </c>
      <c r="L9314" s="552">
        <f>(I9314*J9314*K9314/1000)</f>
        <v>0.75009999999999988</v>
      </c>
      <c r="M9314" s="549"/>
      <c r="N9314" s="549"/>
      <c r="O9314" s="549"/>
      <c r="P9314" s="549"/>
      <c r="Q9314" s="1358" t="s">
        <v>1225</v>
      </c>
    </row>
    <row r="9315" spans="1:17" s="1351" customFormat="1" ht="17.399999999999999">
      <c r="A9315" s="550"/>
      <c r="B9315" s="550"/>
      <c r="C9315" s="550"/>
      <c r="D9315" s="550"/>
      <c r="E9315" s="1347"/>
      <c r="F9315" s="550"/>
      <c r="G9315" s="549" t="s">
        <v>61</v>
      </c>
      <c r="H9315" s="549" t="s">
        <v>70</v>
      </c>
      <c r="I9315" s="560">
        <v>5.77</v>
      </c>
      <c r="J9315" s="1356">
        <v>12</v>
      </c>
      <c r="K9315" s="1357">
        <v>5</v>
      </c>
      <c r="L9315" s="552">
        <f>(I9315*J9315*K9315/1000)</f>
        <v>0.34620000000000001</v>
      </c>
      <c r="M9315" s="549"/>
      <c r="N9315" s="549"/>
      <c r="O9315" s="549"/>
      <c r="P9315" s="549"/>
    </row>
    <row r="9316" spans="1:17" s="1351" customFormat="1" ht="17.399999999999999">
      <c r="A9316" s="549"/>
      <c r="B9316" s="549"/>
      <c r="C9316" s="549"/>
      <c r="D9316" s="549"/>
      <c r="E9316" s="549"/>
      <c r="F9316" s="549"/>
      <c r="G9316" s="549"/>
      <c r="H9316" s="549"/>
      <c r="I9316" s="560"/>
      <c r="J9316" s="710"/>
      <c r="K9316" s="652">
        <f t="shared" ref="K9316:L9316" si="1927">SUM(K9314:K9315)</f>
        <v>18</v>
      </c>
      <c r="L9316" s="552">
        <f t="shared" si="1927"/>
        <v>1.0962999999999998</v>
      </c>
      <c r="M9316" s="549"/>
      <c r="N9316" s="549"/>
      <c r="O9316" s="549"/>
      <c r="P9316" s="549"/>
    </row>
    <row r="9317" spans="1:17" s="1351" customFormat="1" ht="17.399999999999999">
      <c r="A9317" s="549"/>
      <c r="B9317" s="549"/>
      <c r="C9317" s="549"/>
      <c r="D9317" s="549"/>
      <c r="E9317" s="549"/>
      <c r="F9317" s="549"/>
      <c r="G9317" s="549"/>
      <c r="H9317" s="549"/>
      <c r="I9317" s="560"/>
      <c r="J9317" s="710"/>
      <c r="K9317" s="648"/>
      <c r="L9317" s="552"/>
      <c r="M9317" s="549"/>
      <c r="N9317" s="549"/>
      <c r="O9317" s="549"/>
      <c r="P9317" s="549"/>
    </row>
    <row r="9318" spans="1:17" s="497" customFormat="1" ht="17.399999999999999">
      <c r="A9318" s="547" t="s">
        <v>395</v>
      </c>
      <c r="B9318" s="547" t="s">
        <v>1093</v>
      </c>
      <c r="C9318" s="547" t="s">
        <v>446</v>
      </c>
      <c r="D9318" s="813" t="s">
        <v>450</v>
      </c>
      <c r="E9318" s="547" t="s">
        <v>270</v>
      </c>
      <c r="F9318" s="1347">
        <v>7</v>
      </c>
      <c r="G9318" s="549" t="s">
        <v>61</v>
      </c>
      <c r="H9318" s="828" t="s">
        <v>70</v>
      </c>
      <c r="I9318" s="558">
        <v>5.77</v>
      </c>
      <c r="J9318" s="567">
        <v>12</v>
      </c>
      <c r="K9318" s="648">
        <v>15</v>
      </c>
      <c r="L9318" s="552">
        <f>(I9318*J9318*K9318/1000)</f>
        <v>1.0386</v>
      </c>
      <c r="M9318" s="549"/>
      <c r="N9318" s="549"/>
      <c r="O9318" s="549"/>
      <c r="P9318" s="549"/>
    </row>
    <row r="9319" spans="1:17" s="497" customFormat="1" ht="17.399999999999999">
      <c r="A9319" s="549"/>
      <c r="B9319" s="754" t="s">
        <v>412</v>
      </c>
      <c r="C9319" s="549"/>
      <c r="D9319" s="549"/>
      <c r="E9319" s="549"/>
      <c r="F9319" s="549"/>
      <c r="G9319" s="549"/>
      <c r="H9319" s="549"/>
      <c r="I9319" s="558"/>
      <c r="J9319" s="567"/>
      <c r="K9319" s="648">
        <f>SUM(K9318:K9318)</f>
        <v>15</v>
      </c>
      <c r="L9319" s="567">
        <f>SUM(L9318:L9318)</f>
        <v>1.0386</v>
      </c>
      <c r="M9319" s="549"/>
      <c r="N9319" s="549"/>
      <c r="O9319" s="549"/>
      <c r="P9319" s="549"/>
    </row>
    <row r="9320" spans="1:17" s="497" customFormat="1" ht="17.399999999999999">
      <c r="A9320" s="549"/>
      <c r="B9320" s="549"/>
      <c r="C9320" s="549"/>
      <c r="D9320" s="549"/>
      <c r="E9320" s="549"/>
      <c r="F9320" s="549"/>
      <c r="G9320" s="549"/>
      <c r="H9320" s="549"/>
      <c r="I9320" s="560"/>
      <c r="J9320" s="710"/>
      <c r="K9320" s="848">
        <f>SUM(K9303:K9319)/2</f>
        <v>356</v>
      </c>
      <c r="L9320" s="552">
        <f>SUM(L9303:L9319)/2</f>
        <v>21.380735000000005</v>
      </c>
      <c r="M9320" s="848">
        <f>SUM(M9303:M9319)/2</f>
        <v>0</v>
      </c>
      <c r="N9320" s="552">
        <f>SUM(N9303:N9319)/2</f>
        <v>0</v>
      </c>
      <c r="O9320" s="549"/>
      <c r="P9320" s="549" t="s">
        <v>1080</v>
      </c>
    </row>
    <row r="9321" spans="1:17" s="497" customFormat="1" ht="17.399999999999999">
      <c r="A9321" s="549"/>
      <c r="B9321" s="549"/>
      <c r="C9321" s="549"/>
      <c r="D9321" s="549"/>
      <c r="E9321" s="549"/>
      <c r="F9321" s="549"/>
      <c r="G9321" s="549"/>
      <c r="H9321" s="549"/>
      <c r="I9321" s="560"/>
      <c r="J9321" s="710"/>
      <c r="K9321" s="648"/>
      <c r="L9321" s="552"/>
      <c r="M9321" s="549"/>
      <c r="N9321" s="549"/>
      <c r="O9321" s="549"/>
      <c r="P9321" s="549"/>
    </row>
    <row r="9322" spans="1:17" s="497" customFormat="1" ht="17.399999999999999">
      <c r="A9322" s="549"/>
      <c r="B9322" s="549"/>
      <c r="C9322" s="549"/>
      <c r="D9322" s="549"/>
      <c r="E9322" s="549"/>
      <c r="F9322" s="549"/>
      <c r="G9322" s="549"/>
      <c r="H9322" s="549"/>
      <c r="I9322" s="560"/>
      <c r="J9322" s="710"/>
      <c r="K9322" s="648"/>
      <c r="L9322" s="552"/>
      <c r="M9322" s="549"/>
      <c r="N9322" s="549"/>
      <c r="O9322" s="549"/>
      <c r="P9322" s="549"/>
    </row>
    <row r="9323" spans="1:17" s="497" customFormat="1" ht="17.399999999999999">
      <c r="A9323" s="547" t="s">
        <v>395</v>
      </c>
      <c r="B9323" s="547" t="s">
        <v>961</v>
      </c>
      <c r="C9323" s="547" t="s">
        <v>446</v>
      </c>
      <c r="D9323" s="813" t="s">
        <v>450</v>
      </c>
      <c r="E9323" s="547" t="s">
        <v>270</v>
      </c>
      <c r="F9323" s="1347">
        <v>7</v>
      </c>
      <c r="G9323" s="549" t="s">
        <v>61</v>
      </c>
      <c r="H9323" s="599" t="s">
        <v>69</v>
      </c>
      <c r="I9323" s="560">
        <v>6.86</v>
      </c>
      <c r="J9323" s="710">
        <v>10.5</v>
      </c>
      <c r="K9323" s="648">
        <v>49</v>
      </c>
      <c r="L9323" s="552">
        <f>(I9323*J9323*K9323/1000)</f>
        <v>3.5294700000000003</v>
      </c>
      <c r="M9323" s="549"/>
      <c r="N9323" s="549"/>
      <c r="O9323" s="549"/>
      <c r="P9323" s="549"/>
      <c r="Q9323" s="1358" t="s">
        <v>1225</v>
      </c>
    </row>
    <row r="9324" spans="1:17" s="497" customFormat="1" ht="17.399999999999999">
      <c r="A9324" s="549"/>
      <c r="B9324" s="549"/>
      <c r="C9324" s="549"/>
      <c r="D9324" s="549"/>
      <c r="E9324" s="549"/>
      <c r="F9324" s="549"/>
      <c r="G9324" s="549" t="s">
        <v>61</v>
      </c>
      <c r="H9324" s="549" t="s">
        <v>69</v>
      </c>
      <c r="I9324" s="560">
        <v>6.86</v>
      </c>
      <c r="J9324" s="710">
        <v>12</v>
      </c>
      <c r="K9324" s="648">
        <v>33</v>
      </c>
      <c r="L9324" s="552">
        <f>(I9324*J9324*K9324/1000)</f>
        <v>2.7165600000000003</v>
      </c>
      <c r="M9324" s="549"/>
      <c r="N9324" s="549"/>
      <c r="O9324" s="549"/>
      <c r="P9324" s="549"/>
    </row>
    <row r="9325" spans="1:17" s="497" customFormat="1" ht="17.399999999999999">
      <c r="A9325" s="549"/>
      <c r="B9325" s="549"/>
      <c r="C9325" s="549"/>
      <c r="D9325" s="549"/>
      <c r="E9325" s="549"/>
      <c r="F9325" s="549"/>
      <c r="G9325" s="549"/>
      <c r="H9325" s="549"/>
      <c r="I9325" s="560"/>
      <c r="J9325" s="710"/>
      <c r="K9325" s="648">
        <f t="shared" ref="K9325:L9325" si="1928">SUM(K9323:K9324)</f>
        <v>82</v>
      </c>
      <c r="L9325" s="552">
        <f t="shared" si="1928"/>
        <v>6.2460300000000011</v>
      </c>
      <c r="M9325" s="549"/>
      <c r="N9325" s="549"/>
      <c r="O9325" s="549"/>
      <c r="P9325" s="549"/>
    </row>
    <row r="9326" spans="1:17" s="497" customFormat="1" ht="17.399999999999999">
      <c r="A9326" s="549"/>
      <c r="B9326" s="549"/>
      <c r="C9326" s="549"/>
      <c r="D9326" s="549"/>
      <c r="E9326" s="549"/>
      <c r="F9326" s="549"/>
      <c r="G9326" s="549"/>
      <c r="H9326" s="650"/>
      <c r="I9326" s="560"/>
      <c r="J9326" s="710"/>
      <c r="K9326" s="766"/>
      <c r="L9326" s="765"/>
      <c r="M9326" s="549"/>
      <c r="N9326" s="549"/>
      <c r="O9326" s="549"/>
      <c r="P9326" s="549"/>
    </row>
    <row r="9327" spans="1:17" s="497" customFormat="1" ht="17.399999999999999">
      <c r="A9327" s="547" t="s">
        <v>395</v>
      </c>
      <c r="B9327" s="547" t="s">
        <v>1015</v>
      </c>
      <c r="C9327" s="547" t="s">
        <v>446</v>
      </c>
      <c r="D9327" s="813" t="s">
        <v>450</v>
      </c>
      <c r="E9327" s="547" t="s">
        <v>270</v>
      </c>
      <c r="F9327" s="1347">
        <v>7</v>
      </c>
      <c r="G9327" s="549" t="s">
        <v>61</v>
      </c>
      <c r="H9327" s="599" t="s">
        <v>69</v>
      </c>
      <c r="I9327" s="558">
        <v>6.86</v>
      </c>
      <c r="J9327" s="567">
        <v>12</v>
      </c>
      <c r="K9327" s="648">
        <v>40</v>
      </c>
      <c r="L9327" s="552">
        <f>(I9327*J9327*K9327/1000)</f>
        <v>3.2928000000000002</v>
      </c>
      <c r="M9327" s="549"/>
      <c r="N9327" s="549"/>
      <c r="O9327" s="549"/>
      <c r="P9327" s="549"/>
      <c r="Q9327" s="1358" t="s">
        <v>1225</v>
      </c>
    </row>
    <row r="9328" spans="1:17" s="497" customFormat="1" ht="17.399999999999999">
      <c r="A9328" s="550"/>
      <c r="B9328" s="550"/>
      <c r="C9328" s="550"/>
      <c r="D9328" s="550"/>
      <c r="E9328" s="1347"/>
      <c r="F9328" s="550"/>
      <c r="G9328" s="549"/>
      <c r="H9328" s="549"/>
      <c r="I9328" s="558"/>
      <c r="J9328" s="567"/>
      <c r="K9328" s="648">
        <f t="shared" ref="K9328" si="1929">SUM(K9327)</f>
        <v>40</v>
      </c>
      <c r="L9328" s="567">
        <f>SUM(L9327)</f>
        <v>3.2928000000000002</v>
      </c>
      <c r="M9328" s="549"/>
      <c r="N9328" s="549"/>
      <c r="O9328" s="549"/>
      <c r="P9328" s="549"/>
    </row>
    <row r="9329" spans="1:17" s="497" customFormat="1" ht="17.399999999999999">
      <c r="A9329" s="549"/>
      <c r="B9329" s="549"/>
      <c r="C9329" s="549"/>
      <c r="D9329" s="549"/>
      <c r="E9329" s="549"/>
      <c r="F9329" s="549"/>
      <c r="G9329" s="549"/>
      <c r="H9329" s="650"/>
      <c r="I9329" s="560"/>
      <c r="J9329" s="710"/>
      <c r="K9329" s="766">
        <f>SUM(K9323:K9328)/2</f>
        <v>122</v>
      </c>
      <c r="L9329" s="765">
        <f>SUM(L9323:L9328)/2</f>
        <v>9.5388300000000008</v>
      </c>
      <c r="M9329" s="766">
        <f>SUM(M9323:M9328)/2</f>
        <v>0</v>
      </c>
      <c r="N9329" s="765">
        <f>SUM(N9323:N9328)/2</f>
        <v>0</v>
      </c>
      <c r="O9329" s="549"/>
      <c r="P9329" s="549" t="s">
        <v>1081</v>
      </c>
    </row>
    <row r="9330" spans="1:17" s="497" customFormat="1" ht="17.399999999999999">
      <c r="A9330" s="549"/>
      <c r="B9330" s="549"/>
      <c r="C9330" s="549"/>
      <c r="D9330" s="549"/>
      <c r="E9330" s="549"/>
      <c r="F9330" s="549"/>
      <c r="G9330" s="549"/>
      <c r="H9330" s="549"/>
      <c r="I9330" s="558"/>
      <c r="J9330" s="567"/>
      <c r="K9330" s="648"/>
      <c r="L9330" s="567"/>
      <c r="M9330" s="549"/>
      <c r="N9330" s="549"/>
      <c r="O9330" s="549"/>
      <c r="P9330" s="549"/>
    </row>
    <row r="9331" spans="1:17" s="497" customFormat="1" ht="17.399999999999999">
      <c r="A9331" s="549"/>
      <c r="B9331" s="549"/>
      <c r="C9331" s="549"/>
      <c r="D9331" s="549"/>
      <c r="E9331" s="549"/>
      <c r="F9331" s="549"/>
      <c r="G9331" s="549"/>
      <c r="H9331" s="549"/>
      <c r="I9331" s="558"/>
      <c r="J9331" s="567"/>
      <c r="K9331" s="648"/>
      <c r="L9331" s="567"/>
      <c r="M9331" s="549"/>
      <c r="N9331" s="549"/>
      <c r="O9331" s="549"/>
      <c r="P9331" s="549"/>
    </row>
    <row r="9332" spans="1:17" s="497" customFormat="1" ht="17.399999999999999">
      <c r="A9332" s="549"/>
      <c r="B9332" s="549"/>
      <c r="C9332" s="549"/>
      <c r="D9332" s="549"/>
      <c r="E9332" s="549"/>
      <c r="F9332" s="549"/>
      <c r="G9332" s="549"/>
      <c r="H9332" s="549"/>
      <c r="I9332" s="558"/>
      <c r="J9332" s="567"/>
      <c r="K9332" s="648"/>
      <c r="L9332" s="567"/>
      <c r="M9332" s="549"/>
      <c r="N9332" s="549"/>
      <c r="O9332" s="549"/>
      <c r="P9332" s="549"/>
    </row>
    <row r="9333" spans="1:17" s="497" customFormat="1" ht="17.399999999999999">
      <c r="A9333" s="547" t="s">
        <v>395</v>
      </c>
      <c r="B9333" s="547" t="s">
        <v>1097</v>
      </c>
      <c r="C9333" s="547" t="s">
        <v>19</v>
      </c>
      <c r="D9333" s="547" t="s">
        <v>60</v>
      </c>
      <c r="E9333" s="547" t="s">
        <v>270</v>
      </c>
      <c r="F9333" s="1347">
        <v>7</v>
      </c>
      <c r="G9333" s="549" t="s">
        <v>61</v>
      </c>
      <c r="H9333" s="599" t="s">
        <v>69</v>
      </c>
      <c r="I9333" s="560">
        <v>6.86</v>
      </c>
      <c r="J9333" s="567">
        <v>10</v>
      </c>
      <c r="K9333" s="648">
        <v>12</v>
      </c>
      <c r="L9333" s="552">
        <f t="shared" ref="L9333:L9335" si="1930">(I9333*J9333*K9333/1000)</f>
        <v>0.82320000000000004</v>
      </c>
      <c r="M9333" s="549">
        <v>12</v>
      </c>
      <c r="N9333" s="567">
        <f t="shared" ref="N9333:N9335" si="1931">J9333*M9333*I9333/1000</f>
        <v>0.82320000000000004</v>
      </c>
      <c r="O9333" s="549"/>
      <c r="P9333" s="549"/>
      <c r="Q9333" s="1358" t="s">
        <v>1225</v>
      </c>
    </row>
    <row r="9334" spans="1:17" s="1355" customFormat="1" ht="17.399999999999999">
      <c r="A9334" s="547"/>
      <c r="B9334" s="560" t="s">
        <v>271</v>
      </c>
      <c r="C9334" s="547"/>
      <c r="D9334" s="547"/>
      <c r="E9334" s="547"/>
      <c r="F9334" s="1347"/>
      <c r="G9334" s="549" t="s">
        <v>61</v>
      </c>
      <c r="H9334" s="549" t="s">
        <v>69</v>
      </c>
      <c r="I9334" s="560">
        <v>6.86</v>
      </c>
      <c r="J9334" s="567">
        <v>11.4</v>
      </c>
      <c r="K9334" s="648">
        <v>2</v>
      </c>
      <c r="L9334" s="552">
        <f t="shared" ref="L9334" si="1932">(I9334*J9334*K9334/1000)</f>
        <v>0.15640800000000002</v>
      </c>
      <c r="M9334" s="549">
        <v>2</v>
      </c>
      <c r="N9334" s="567">
        <f t="shared" si="1931"/>
        <v>0.15640800000000002</v>
      </c>
      <c r="O9334" s="549"/>
      <c r="P9334" s="549"/>
    </row>
    <row r="9335" spans="1:17" s="497" customFormat="1" ht="17.399999999999999">
      <c r="A9335" s="549"/>
      <c r="B9335" s="560"/>
      <c r="C9335" s="549"/>
      <c r="D9335" s="549"/>
      <c r="E9335" s="549"/>
      <c r="F9335" s="549"/>
      <c r="G9335" s="549" t="s">
        <v>61</v>
      </c>
      <c r="H9335" s="549" t="s">
        <v>69</v>
      </c>
      <c r="I9335" s="560">
        <v>6.86</v>
      </c>
      <c r="J9335" s="567">
        <v>12</v>
      </c>
      <c r="K9335" s="648">
        <v>2</v>
      </c>
      <c r="L9335" s="552">
        <f t="shared" si="1930"/>
        <v>0.16464000000000001</v>
      </c>
      <c r="M9335" s="549">
        <v>2</v>
      </c>
      <c r="N9335" s="567">
        <f t="shared" si="1931"/>
        <v>0.16464000000000001</v>
      </c>
      <c r="O9335" s="549"/>
      <c r="P9335" s="549"/>
    </row>
    <row r="9336" spans="1:17" s="497" customFormat="1" ht="17.399999999999999">
      <c r="A9336" s="549"/>
      <c r="B9336" s="549"/>
      <c r="C9336" s="549"/>
      <c r="D9336" s="549"/>
      <c r="E9336" s="549"/>
      <c r="F9336" s="549"/>
      <c r="G9336" s="549"/>
      <c r="H9336" s="549"/>
      <c r="I9336" s="560"/>
      <c r="J9336" s="567"/>
      <c r="K9336" s="648">
        <f>SUM(K9333:K9335)</f>
        <v>16</v>
      </c>
      <c r="L9336" s="567">
        <f>SUM(L9333:L9335)</f>
        <v>1.1442480000000002</v>
      </c>
      <c r="M9336" s="648">
        <f>SUM(M9333:M9335)</f>
        <v>16</v>
      </c>
      <c r="N9336" s="567">
        <f>SUM(N9333:N9335)</f>
        <v>1.1442480000000002</v>
      </c>
      <c r="O9336" s="549"/>
      <c r="P9336" s="549"/>
    </row>
    <row r="9337" spans="1:17" s="497" customFormat="1" ht="17.399999999999999">
      <c r="A9337" s="549"/>
      <c r="B9337" s="549"/>
      <c r="C9337" s="549"/>
      <c r="D9337" s="549"/>
      <c r="E9337" s="549"/>
      <c r="F9337" s="549"/>
      <c r="G9337" s="549"/>
      <c r="H9337" s="549"/>
      <c r="I9337" s="558"/>
      <c r="J9337" s="567"/>
      <c r="K9337" s="648"/>
      <c r="L9337" s="567"/>
      <c r="M9337" s="549"/>
      <c r="N9337" s="549"/>
      <c r="O9337" s="549"/>
      <c r="P9337" s="549"/>
    </row>
    <row r="9338" spans="1:17" s="1358" customFormat="1" ht="17.399999999999999">
      <c r="A9338" s="549"/>
      <c r="B9338" s="549"/>
      <c r="C9338" s="549"/>
      <c r="D9338" s="549"/>
      <c r="E9338" s="549"/>
      <c r="F9338" s="549"/>
      <c r="G9338" s="549"/>
      <c r="H9338" s="549"/>
      <c r="I9338" s="558"/>
      <c r="J9338" s="567"/>
      <c r="K9338" s="648"/>
      <c r="L9338" s="567"/>
      <c r="M9338" s="549"/>
      <c r="N9338" s="549"/>
      <c r="O9338" s="549"/>
      <c r="P9338" s="549"/>
    </row>
    <row r="9339" spans="1:17" s="497" customFormat="1" ht="17.399999999999999">
      <c r="A9339" s="547" t="s">
        <v>395</v>
      </c>
      <c r="B9339" s="547" t="s">
        <v>1097</v>
      </c>
      <c r="C9339" s="547" t="s">
        <v>19</v>
      </c>
      <c r="D9339" s="547" t="s">
        <v>60</v>
      </c>
      <c r="E9339" s="547" t="s">
        <v>270</v>
      </c>
      <c r="F9339" s="1347">
        <v>7</v>
      </c>
      <c r="G9339" s="549" t="s">
        <v>61</v>
      </c>
      <c r="H9339" s="599" t="s">
        <v>274</v>
      </c>
      <c r="I9339" s="558">
        <v>9</v>
      </c>
      <c r="J9339" s="567">
        <v>10</v>
      </c>
      <c r="K9339" s="648">
        <v>44</v>
      </c>
      <c r="L9339" s="552">
        <f t="shared" ref="L9339:L9341" si="1933">(I9339*J9339*K9339/1000)</f>
        <v>3.96</v>
      </c>
      <c r="M9339" s="549">
        <v>44</v>
      </c>
      <c r="N9339" s="567">
        <f>J9339*M9339*I9339/1000</f>
        <v>3.96</v>
      </c>
      <c r="O9339" s="549"/>
      <c r="P9339" s="549"/>
      <c r="Q9339" s="1358" t="s">
        <v>1225</v>
      </c>
    </row>
    <row r="9340" spans="1:17" s="497" customFormat="1" ht="17.399999999999999">
      <c r="A9340" s="547"/>
      <c r="B9340" s="560" t="s">
        <v>271</v>
      </c>
      <c r="C9340" s="547"/>
      <c r="D9340" s="547"/>
      <c r="E9340" s="547"/>
      <c r="F9340" s="1347"/>
      <c r="G9340" s="549" t="s">
        <v>61</v>
      </c>
      <c r="H9340" s="549" t="s">
        <v>274</v>
      </c>
      <c r="I9340" s="558">
        <v>9</v>
      </c>
      <c r="J9340" s="567">
        <v>12</v>
      </c>
      <c r="K9340" s="648">
        <v>272</v>
      </c>
      <c r="L9340" s="552">
        <f t="shared" si="1933"/>
        <v>29.376000000000001</v>
      </c>
      <c r="M9340" s="549">
        <v>211</v>
      </c>
      <c r="N9340" s="567">
        <f>J9340*M9340*I9340/1000</f>
        <v>22.788</v>
      </c>
      <c r="O9340" s="549"/>
      <c r="P9340" s="549"/>
    </row>
    <row r="9341" spans="1:17" s="497" customFormat="1" ht="17.399999999999999">
      <c r="A9341" s="549"/>
      <c r="B9341" s="560"/>
      <c r="C9341" s="549"/>
      <c r="D9341" s="549"/>
      <c r="E9341" s="549"/>
      <c r="F9341" s="549"/>
      <c r="G9341" s="549" t="s">
        <v>61</v>
      </c>
      <c r="H9341" s="549" t="s">
        <v>274</v>
      </c>
      <c r="I9341" s="558">
        <v>9</v>
      </c>
      <c r="J9341" s="1359">
        <v>12.8</v>
      </c>
      <c r="K9341" s="1354">
        <v>129</v>
      </c>
      <c r="L9341" s="552">
        <f t="shared" si="1933"/>
        <v>14.860800000000001</v>
      </c>
      <c r="M9341" s="549"/>
      <c r="N9341" s="567">
        <f>J9341*M9341*I9341/1000</f>
        <v>0</v>
      </c>
      <c r="O9341" s="549"/>
      <c r="P9341" s="549"/>
    </row>
    <row r="9342" spans="1:17" s="497" customFormat="1" ht="17.399999999999999">
      <c r="A9342" s="549"/>
      <c r="B9342" s="549"/>
      <c r="C9342" s="549"/>
      <c r="D9342" s="549"/>
      <c r="E9342" s="549"/>
      <c r="F9342" s="549"/>
      <c r="G9342" s="549"/>
      <c r="H9342" s="549"/>
      <c r="I9342" s="558"/>
      <c r="J9342" s="567"/>
      <c r="K9342" s="648">
        <f>SUM(K9339:K9341)</f>
        <v>445</v>
      </c>
      <c r="L9342" s="567">
        <f>SUM(L9339:L9341)</f>
        <v>48.196799999999996</v>
      </c>
      <c r="M9342" s="648">
        <f>SUM(M9339:M9341)</f>
        <v>255</v>
      </c>
      <c r="N9342" s="567">
        <f>SUM(N9339:N9341)</f>
        <v>26.748000000000001</v>
      </c>
      <c r="O9342" s="549"/>
      <c r="P9342" s="549" t="s">
        <v>1098</v>
      </c>
    </row>
    <row r="9343" spans="1:17" s="497" customFormat="1" ht="17.399999999999999">
      <c r="A9343" s="549"/>
      <c r="B9343" s="549"/>
      <c r="C9343" s="549"/>
      <c r="D9343" s="549"/>
      <c r="E9343" s="549"/>
      <c r="F9343" s="549"/>
      <c r="G9343" s="549"/>
      <c r="H9343" s="549"/>
      <c r="I9343" s="558"/>
      <c r="J9343" s="567"/>
      <c r="K9343" s="648"/>
      <c r="L9343" s="567"/>
      <c r="M9343" s="549"/>
      <c r="N9343" s="549"/>
      <c r="O9343" s="549"/>
      <c r="P9343" s="549"/>
    </row>
    <row r="9344" spans="1:17" s="497" customFormat="1" ht="17.399999999999999">
      <c r="A9344" s="549"/>
      <c r="B9344" s="549"/>
      <c r="C9344" s="549"/>
      <c r="D9344" s="549"/>
      <c r="E9344" s="549"/>
      <c r="F9344" s="549"/>
      <c r="G9344" s="549"/>
      <c r="H9344" s="549"/>
      <c r="I9344" s="558"/>
      <c r="J9344" s="567"/>
      <c r="K9344" s="648"/>
      <c r="L9344" s="567"/>
      <c r="M9344" s="549"/>
      <c r="N9344" s="549"/>
      <c r="O9344" s="549"/>
      <c r="P9344" s="549"/>
    </row>
    <row r="9345" spans="1:16" s="497" customFormat="1" ht="17.399999999999999">
      <c r="A9345" s="549"/>
      <c r="B9345" s="549"/>
      <c r="C9345" s="549"/>
      <c r="D9345" s="549"/>
      <c r="E9345" s="549"/>
      <c r="F9345" s="549"/>
      <c r="G9345" s="549"/>
      <c r="H9345" s="549"/>
      <c r="I9345" s="560"/>
      <c r="J9345" s="567"/>
      <c r="K9345" s="648"/>
      <c r="L9345" s="567"/>
      <c r="M9345" s="549"/>
      <c r="N9345" s="549"/>
      <c r="O9345" s="549"/>
      <c r="P9345" s="549"/>
    </row>
    <row r="9346" spans="1:16" ht="17.399999999999999">
      <c r="A9346" s="549"/>
      <c r="B9346" s="549"/>
      <c r="C9346" s="549"/>
      <c r="D9346" s="549"/>
      <c r="E9346" s="549"/>
      <c r="F9346" s="549"/>
      <c r="G9346" s="549"/>
      <c r="H9346" s="549"/>
      <c r="I9346" s="560"/>
      <c r="J9346" s="549"/>
      <c r="K9346" s="652">
        <f>+K9329+K9320+K9300+K9276+K9254+K9243+K9229+K9212+K9342+K9336</f>
        <v>3386</v>
      </c>
      <c r="L9346" s="565">
        <f>+L9329+L9320+L9300+L9276+L9254+L9243+L9229+L9212+L9342+L9336</f>
        <v>253.396637</v>
      </c>
      <c r="M9346" s="652">
        <f>+M9329+M9320+M9300+M9276+M9254+M9243+M9229+M9212+M9342+M9336</f>
        <v>360</v>
      </c>
      <c r="N9346" s="565">
        <f>+N9329+N9320+N9300+N9276+N9254+N9243+N9229+N9212+N9342+N9336</f>
        <v>33.451457999999995</v>
      </c>
      <c r="O9346" s="549"/>
      <c r="P9346" s="549"/>
    </row>
    <row r="9347" spans="1:16" s="497" customFormat="1" ht="17.399999999999999">
      <c r="A9347" s="653" t="s">
        <v>48</v>
      </c>
      <c r="B9347" s="653"/>
      <c r="C9347" s="654"/>
      <c r="D9347" s="654"/>
      <c r="E9347" s="654"/>
      <c r="F9347" s="1326"/>
      <c r="G9347" s="654"/>
      <c r="H9347" s="1326"/>
      <c r="I9347" s="656"/>
      <c r="J9347" s="654"/>
      <c r="K9347" s="657"/>
      <c r="L9347" s="2003" t="s">
        <v>0</v>
      </c>
      <c r="M9347" s="2003"/>
      <c r="N9347" s="2003"/>
      <c r="O9347" s="2004"/>
      <c r="P9347" s="2010"/>
    </row>
    <row r="9348" spans="1:16" s="497" customFormat="1" ht="17.399999999999999">
      <c r="A9348" s="658" t="s">
        <v>1</v>
      </c>
      <c r="B9348" s="658"/>
      <c r="C9348" s="658"/>
      <c r="D9348" s="659" t="s">
        <v>2</v>
      </c>
      <c r="E9348" s="659"/>
      <c r="F9348" s="660"/>
      <c r="G9348" s="660"/>
      <c r="H9348" s="660"/>
      <c r="I9348" s="661"/>
      <c r="J9348" s="660"/>
      <c r="K9348" s="662" t="s">
        <v>3</v>
      </c>
      <c r="L9348" s="660"/>
      <c r="M9348" s="658"/>
      <c r="N9348" s="660"/>
      <c r="O9348" s="663"/>
      <c r="P9348" s="2010"/>
    </row>
    <row r="9349" spans="1:16" s="497" customFormat="1" ht="17.399999999999999">
      <c r="A9349" s="1326" t="s">
        <v>22</v>
      </c>
      <c r="B9349" s="1990" t="s">
        <v>23</v>
      </c>
      <c r="C9349" s="2005"/>
      <c r="D9349" s="1989"/>
      <c r="E9349" s="1326" t="s">
        <v>24</v>
      </c>
      <c r="F9349" s="1990" t="s">
        <v>25</v>
      </c>
      <c r="G9349" s="1989"/>
      <c r="H9349" s="1990" t="s">
        <v>26</v>
      </c>
      <c r="I9349" s="2005"/>
      <c r="J9349" s="2005"/>
      <c r="K9349" s="1989"/>
      <c r="L9349" s="2006" t="s">
        <v>27</v>
      </c>
      <c r="M9349" s="2006"/>
      <c r="N9349" s="2006"/>
      <c r="O9349" s="1990"/>
      <c r="P9349" s="2010"/>
    </row>
    <row r="9350" spans="1:16" s="497" customFormat="1" ht="17.399999999999999">
      <c r="A9350" s="664"/>
      <c r="B9350" s="1975"/>
      <c r="C9350" s="1976"/>
      <c r="D9350" s="1977"/>
      <c r="E9350" s="665"/>
      <c r="F9350" s="1975"/>
      <c r="G9350" s="1977"/>
      <c r="H9350" s="1975"/>
      <c r="I9350" s="1976"/>
      <c r="J9350" s="1976"/>
      <c r="K9350" s="1977"/>
      <c r="L9350" s="1975"/>
      <c r="M9350" s="1976"/>
      <c r="N9350" s="1976"/>
      <c r="O9350" s="1976"/>
      <c r="P9350" s="2010"/>
    </row>
    <row r="9351" spans="1:16" s="497" customFormat="1" ht="17.399999999999999">
      <c r="A9351" s="664"/>
      <c r="B9351" s="1321"/>
      <c r="C9351" s="1322"/>
      <c r="D9351" s="1323"/>
      <c r="E9351" s="665"/>
      <c r="F9351" s="1321"/>
      <c r="G9351" s="1323"/>
      <c r="H9351" s="1321"/>
      <c r="I9351" s="1842"/>
      <c r="J9351" s="1322"/>
      <c r="K9351" s="1323"/>
      <c r="L9351" s="1322"/>
      <c r="M9351" s="1322"/>
      <c r="N9351" s="1322"/>
      <c r="O9351" s="1322"/>
      <c r="P9351" s="2010"/>
    </row>
    <row r="9352" spans="1:16" s="497" customFormat="1" ht="17.399999999999999">
      <c r="A9352" s="664" t="s">
        <v>28</v>
      </c>
      <c r="B9352" s="1975" t="s">
        <v>71</v>
      </c>
      <c r="C9352" s="1976"/>
      <c r="D9352" s="1977"/>
      <c r="E9352" s="665">
        <f>20+6.156-0.604</f>
        <v>25.552</v>
      </c>
      <c r="F9352" s="1973">
        <v>9</v>
      </c>
      <c r="G9352" s="1974"/>
      <c r="H9352" s="1975" t="s">
        <v>49</v>
      </c>
      <c r="I9352" s="1976"/>
      <c r="J9352" s="1976"/>
      <c r="K9352" s="1977"/>
      <c r="L9352" s="1976" t="s">
        <v>1036</v>
      </c>
      <c r="M9352" s="1976"/>
      <c r="N9352" s="1976"/>
      <c r="O9352" s="1976"/>
      <c r="P9352" s="2010"/>
    </row>
    <row r="9353" spans="1:16" s="497" customFormat="1" ht="17.399999999999999">
      <c r="A9353" s="664" t="s">
        <v>29</v>
      </c>
      <c r="B9353" s="1975" t="s">
        <v>78</v>
      </c>
      <c r="C9353" s="1976"/>
      <c r="D9353" s="1977"/>
      <c r="E9353" s="665">
        <f>+L9229-1.154</f>
        <v>6.1964600000000001</v>
      </c>
      <c r="F9353" s="1973">
        <v>9</v>
      </c>
      <c r="G9353" s="1974"/>
      <c r="H9353" s="1975" t="s">
        <v>49</v>
      </c>
      <c r="I9353" s="1976"/>
      <c r="J9353" s="1976"/>
      <c r="K9353" s="1977"/>
      <c r="L9353" s="1976" t="s">
        <v>65</v>
      </c>
      <c r="M9353" s="1976"/>
      <c r="N9353" s="1976"/>
      <c r="O9353" s="1976"/>
      <c r="P9353" s="2010"/>
    </row>
    <row r="9354" spans="1:16" s="497" customFormat="1" ht="17.399999999999999">
      <c r="A9354" s="664"/>
      <c r="B9354" s="1975"/>
      <c r="C9354" s="1976"/>
      <c r="D9354" s="1977"/>
      <c r="E9354" s="665"/>
      <c r="F9354" s="1973"/>
      <c r="G9354" s="1974"/>
      <c r="H9354" s="1975"/>
      <c r="I9354" s="1976"/>
      <c r="J9354" s="1976"/>
      <c r="K9354" s="1977"/>
      <c r="L9354" s="1976"/>
      <c r="M9354" s="1976"/>
      <c r="N9354" s="1976"/>
      <c r="O9354" s="1976"/>
      <c r="P9354" s="2010"/>
    </row>
    <row r="9355" spans="1:16" s="497" customFormat="1" ht="17.399999999999999">
      <c r="A9355" s="664" t="s">
        <v>30</v>
      </c>
      <c r="B9355" s="1975" t="s">
        <v>78</v>
      </c>
      <c r="C9355" s="1976"/>
      <c r="D9355" s="1977"/>
      <c r="E9355" s="665">
        <f>+L9243-0.747</f>
        <v>13.983809999999997</v>
      </c>
      <c r="F9355" s="1973">
        <v>9</v>
      </c>
      <c r="G9355" s="1974"/>
      <c r="H9355" s="1975" t="s">
        <v>447</v>
      </c>
      <c r="I9355" s="1976"/>
      <c r="J9355" s="1976"/>
      <c r="K9355" s="1977"/>
      <c r="L9355" s="1976" t="s">
        <v>65</v>
      </c>
      <c r="M9355" s="1976"/>
      <c r="N9355" s="1976"/>
      <c r="O9355" s="1976"/>
      <c r="P9355" s="2010"/>
    </row>
    <row r="9356" spans="1:16" s="497" customFormat="1" ht="17.399999999999999">
      <c r="A9356" s="664" t="s">
        <v>46</v>
      </c>
      <c r="B9356" s="1975" t="s">
        <v>71</v>
      </c>
      <c r="C9356" s="1976"/>
      <c r="D9356" s="1977"/>
      <c r="E9356" s="665">
        <f>+L9254</f>
        <v>4.568760000000001</v>
      </c>
      <c r="F9356" s="1973">
        <v>9</v>
      </c>
      <c r="G9356" s="1974"/>
      <c r="H9356" s="1975" t="s">
        <v>447</v>
      </c>
      <c r="I9356" s="1976"/>
      <c r="J9356" s="1976"/>
      <c r="K9356" s="1977"/>
      <c r="L9356" s="1976" t="s">
        <v>65</v>
      </c>
      <c r="M9356" s="1976"/>
      <c r="N9356" s="1976"/>
      <c r="O9356" s="1976"/>
      <c r="P9356" s="2010"/>
    </row>
    <row r="9357" spans="1:16" s="497" customFormat="1" ht="17.399999999999999">
      <c r="A9357" s="664"/>
      <c r="B9357" s="1321"/>
      <c r="C9357" s="1322"/>
      <c r="D9357" s="1323"/>
      <c r="E9357" s="665"/>
      <c r="F9357" s="1319"/>
      <c r="G9357" s="1320"/>
      <c r="H9357" s="1321"/>
      <c r="I9357" s="1842"/>
      <c r="J9357" s="1322"/>
      <c r="K9357" s="1323"/>
      <c r="L9357" s="1322"/>
      <c r="M9357" s="1322"/>
      <c r="N9357" s="1322"/>
      <c r="O9357" s="1322"/>
      <c r="P9357" s="2010"/>
    </row>
    <row r="9358" spans="1:16" s="497" customFormat="1" ht="17.399999999999999">
      <c r="A9358" s="664"/>
      <c r="B9358" s="1321"/>
      <c r="C9358" s="1322"/>
      <c r="D9358" s="1323"/>
      <c r="E9358" s="665"/>
      <c r="F9358" s="1319"/>
      <c r="G9358" s="1320"/>
      <c r="H9358" s="1321"/>
      <c r="I9358" s="1842"/>
      <c r="J9358" s="1322"/>
      <c r="K9358" s="1323"/>
      <c r="L9358" s="1322"/>
      <c r="M9358" s="1322"/>
      <c r="N9358" s="1322"/>
      <c r="O9358" s="1322"/>
      <c r="P9358" s="2010"/>
    </row>
    <row r="9359" spans="1:16" s="497" customFormat="1" ht="17.399999999999999">
      <c r="A9359" s="664" t="s">
        <v>58</v>
      </c>
      <c r="B9359" s="1975" t="s">
        <v>623</v>
      </c>
      <c r="C9359" s="1976"/>
      <c r="D9359" s="1977"/>
      <c r="E9359" s="665">
        <f>+L9276-2.016</f>
        <v>27.430709999999998</v>
      </c>
      <c r="F9359" s="1973">
        <v>9</v>
      </c>
      <c r="G9359" s="1974"/>
      <c r="H9359" s="1975" t="s">
        <v>582</v>
      </c>
      <c r="I9359" s="1976"/>
      <c r="J9359" s="1976"/>
      <c r="K9359" s="1977"/>
      <c r="L9359" s="1976" t="s">
        <v>64</v>
      </c>
      <c r="M9359" s="1976"/>
      <c r="N9359" s="1976"/>
      <c r="O9359" s="1976"/>
      <c r="P9359" s="2010"/>
    </row>
    <row r="9360" spans="1:16" s="497" customFormat="1" ht="17.399999999999999">
      <c r="A9360" s="664" t="s">
        <v>163</v>
      </c>
      <c r="B9360" s="1975" t="s">
        <v>573</v>
      </c>
      <c r="C9360" s="1976"/>
      <c r="D9360" s="1977"/>
      <c r="E9360" s="665">
        <f>+L9300-1.039</f>
        <v>26.917504000000001</v>
      </c>
      <c r="F9360" s="1973">
        <v>9</v>
      </c>
      <c r="G9360" s="1974"/>
      <c r="H9360" s="1975" t="s">
        <v>582</v>
      </c>
      <c r="I9360" s="1976"/>
      <c r="J9360" s="1976"/>
      <c r="K9360" s="1977"/>
      <c r="L9360" s="1976" t="s">
        <v>64</v>
      </c>
      <c r="M9360" s="1976"/>
      <c r="N9360" s="1976"/>
      <c r="O9360" s="1976"/>
      <c r="P9360" s="2010"/>
    </row>
    <row r="9361" spans="1:16" s="497" customFormat="1" ht="17.399999999999999">
      <c r="A9361" s="664"/>
      <c r="B9361" s="1321"/>
      <c r="C9361" s="1322"/>
      <c r="D9361" s="1323"/>
      <c r="E9361" s="665"/>
      <c r="F9361" s="1319"/>
      <c r="G9361" s="1320"/>
      <c r="H9361" s="1321"/>
      <c r="I9361" s="1842"/>
      <c r="J9361" s="1322"/>
      <c r="K9361" s="1323"/>
      <c r="L9361" s="1322"/>
      <c r="M9361" s="1322"/>
      <c r="N9361" s="1322"/>
      <c r="O9361" s="1322"/>
      <c r="P9361" s="2010"/>
    </row>
    <row r="9362" spans="1:16" s="497" customFormat="1" ht="17.399999999999999">
      <c r="A9362" s="664"/>
      <c r="B9362" s="1975"/>
      <c r="C9362" s="1976"/>
      <c r="D9362" s="1977"/>
      <c r="E9362" s="665"/>
      <c r="F9362" s="1973"/>
      <c r="G9362" s="1974"/>
      <c r="H9362" s="1975"/>
      <c r="I9362" s="1976"/>
      <c r="J9362" s="1976"/>
      <c r="K9362" s="1977"/>
      <c r="L9362" s="1976"/>
      <c r="M9362" s="1976"/>
      <c r="N9362" s="1976"/>
      <c r="O9362" s="1976"/>
      <c r="P9362" s="2010"/>
    </row>
    <row r="9363" spans="1:16" s="497" customFormat="1" ht="17.399999999999999">
      <c r="A9363" s="664" t="s">
        <v>302</v>
      </c>
      <c r="B9363" s="1975" t="s">
        <v>573</v>
      </c>
      <c r="C9363" s="1976"/>
      <c r="D9363" s="1977"/>
      <c r="E9363" s="665">
        <f>+L9320</f>
        <v>21.380735000000005</v>
      </c>
      <c r="F9363" s="1973">
        <v>7</v>
      </c>
      <c r="G9363" s="1974"/>
      <c r="H9363" s="1975" t="s">
        <v>450</v>
      </c>
      <c r="I9363" s="1976"/>
      <c r="J9363" s="1976"/>
      <c r="K9363" s="1977"/>
      <c r="L9363" s="1976" t="s">
        <v>64</v>
      </c>
      <c r="M9363" s="1976"/>
      <c r="N9363" s="1976"/>
      <c r="O9363" s="1976"/>
      <c r="P9363" s="2010"/>
    </row>
    <row r="9364" spans="1:16" s="497" customFormat="1" ht="17.399999999999999">
      <c r="A9364" s="664" t="s">
        <v>380</v>
      </c>
      <c r="B9364" s="1975" t="s">
        <v>623</v>
      </c>
      <c r="C9364" s="1976"/>
      <c r="D9364" s="1977"/>
      <c r="E9364" s="665">
        <f>+L9329</f>
        <v>9.5388300000000008</v>
      </c>
      <c r="F9364" s="1973">
        <v>7</v>
      </c>
      <c r="G9364" s="1974"/>
      <c r="H9364" s="1975" t="s">
        <v>450</v>
      </c>
      <c r="I9364" s="1976"/>
      <c r="J9364" s="1976"/>
      <c r="K9364" s="1977"/>
      <c r="L9364" s="1976" t="s">
        <v>64</v>
      </c>
      <c r="M9364" s="1976"/>
      <c r="N9364" s="1976"/>
      <c r="O9364" s="1976"/>
      <c r="P9364" s="2010"/>
    </row>
    <row r="9365" spans="1:16" s="1358" customFormat="1" ht="17.399999999999999">
      <c r="A9365" s="664"/>
      <c r="B9365" s="1342"/>
      <c r="C9365" s="1343"/>
      <c r="D9365" s="1344"/>
      <c r="E9365" s="665"/>
      <c r="F9365" s="1345"/>
      <c r="G9365" s="1346"/>
      <c r="H9365" s="1342"/>
      <c r="I9365" s="1842"/>
      <c r="J9365" s="1343"/>
      <c r="K9365" s="1344"/>
      <c r="L9365" s="1343"/>
      <c r="M9365" s="1343"/>
      <c r="N9365" s="1343"/>
      <c r="O9365" s="1343"/>
      <c r="P9365" s="2010"/>
    </row>
    <row r="9366" spans="1:16" s="1358" customFormat="1" ht="17.399999999999999">
      <c r="A9366" s="664"/>
      <c r="B9366" s="1342"/>
      <c r="C9366" s="1343"/>
      <c r="D9366" s="1344"/>
      <c r="E9366" s="665"/>
      <c r="F9366" s="1345"/>
      <c r="G9366" s="1346"/>
      <c r="H9366" s="1342"/>
      <c r="I9366" s="1842"/>
      <c r="J9366" s="1343"/>
      <c r="K9366" s="1344"/>
      <c r="L9366" s="1343"/>
      <c r="M9366" s="1343"/>
      <c r="N9366" s="1343"/>
      <c r="O9366" s="1343"/>
      <c r="P9366" s="2010"/>
    </row>
    <row r="9367" spans="1:16" s="1358" customFormat="1" ht="17.399999999999999">
      <c r="A9367" s="664" t="s">
        <v>434</v>
      </c>
      <c r="B9367" s="1975" t="s">
        <v>574</v>
      </c>
      <c r="C9367" s="1976"/>
      <c r="D9367" s="1977"/>
      <c r="E9367" s="665">
        <f>+L9342-26.748</f>
        <v>21.448799999999995</v>
      </c>
      <c r="F9367" s="1975">
        <v>7</v>
      </c>
      <c r="G9367" s="1977"/>
      <c r="H9367" s="2007" t="s">
        <v>592</v>
      </c>
      <c r="I9367" s="2007"/>
      <c r="J9367" s="2007"/>
      <c r="K9367" s="2007"/>
      <c r="L9367" s="1976" t="s">
        <v>64</v>
      </c>
      <c r="M9367" s="1976"/>
      <c r="N9367" s="1976"/>
      <c r="O9367" s="1976"/>
      <c r="P9367" s="2010"/>
    </row>
    <row r="9368" spans="1:16" s="1358" customFormat="1" ht="17.399999999999999">
      <c r="A9368" s="664"/>
      <c r="B9368" s="1342"/>
      <c r="C9368" s="1343"/>
      <c r="D9368" s="1344"/>
      <c r="E9368" s="665"/>
      <c r="F9368" s="1345"/>
      <c r="G9368" s="1346"/>
      <c r="H9368" s="1342"/>
      <c r="I9368" s="1842"/>
      <c r="J9368" s="1343"/>
      <c r="K9368" s="1344"/>
      <c r="L9368" s="1343"/>
      <c r="M9368" s="1343"/>
      <c r="N9368" s="1343"/>
      <c r="O9368" s="1343"/>
      <c r="P9368" s="2010"/>
    </row>
    <row r="9369" spans="1:16" s="1358" customFormat="1" ht="17.399999999999999">
      <c r="A9369" s="664"/>
      <c r="B9369" s="1342"/>
      <c r="C9369" s="1343"/>
      <c r="D9369" s="1344"/>
      <c r="E9369" s="665"/>
      <c r="F9369" s="1345"/>
      <c r="G9369" s="1346"/>
      <c r="H9369" s="1342"/>
      <c r="I9369" s="1842"/>
      <c r="J9369" s="1343"/>
      <c r="K9369" s="1344"/>
      <c r="L9369" s="1343"/>
      <c r="M9369" s="1343"/>
      <c r="N9369" s="1343"/>
      <c r="O9369" s="1343"/>
      <c r="P9369" s="2010"/>
    </row>
    <row r="9370" spans="1:16" s="497" customFormat="1" ht="17.399999999999999">
      <c r="A9370" s="664"/>
      <c r="B9370" s="1975"/>
      <c r="C9370" s="1976"/>
      <c r="D9370" s="1977"/>
      <c r="E9370" s="665"/>
      <c r="F9370" s="1973"/>
      <c r="G9370" s="1974"/>
      <c r="H9370" s="1975"/>
      <c r="I9370" s="1976"/>
      <c r="J9370" s="1976"/>
      <c r="K9370" s="1977"/>
      <c r="L9370" s="1976"/>
      <c r="M9370" s="1976"/>
      <c r="N9370" s="1976"/>
      <c r="O9370" s="1976"/>
      <c r="P9370" s="2010"/>
    </row>
    <row r="9371" spans="1:16" s="497" customFormat="1" ht="18" thickBot="1">
      <c r="A9371" s="664"/>
      <c r="B9371" s="1321"/>
      <c r="C9371" s="1322"/>
      <c r="D9371" s="1322"/>
      <c r="E9371" s="665"/>
      <c r="F9371" s="1322"/>
      <c r="G9371" s="1323"/>
      <c r="H9371" s="1321"/>
      <c r="I9371" s="1842"/>
      <c r="J9371" s="1322"/>
      <c r="K9371" s="669"/>
      <c r="L9371" s="672"/>
      <c r="M9371" s="673"/>
      <c r="N9371" s="673"/>
      <c r="O9371" s="673"/>
      <c r="P9371" s="2010"/>
    </row>
    <row r="9372" spans="1:16" s="497" customFormat="1" ht="17.399999999999999">
      <c r="A9372" s="674"/>
      <c r="B9372" s="675"/>
      <c r="C9372" s="676"/>
      <c r="D9372" s="676"/>
      <c r="E9372" s="1980">
        <f>SUM(E9350:E9371)</f>
        <v>157.01760900000002</v>
      </c>
      <c r="F9372" s="677"/>
      <c r="G9372" s="678"/>
      <c r="H9372" s="679"/>
      <c r="I9372" s="1848"/>
      <c r="J9372" s="676"/>
      <c r="K9372" s="680"/>
      <c r="L9372" s="679"/>
      <c r="M9372" s="676"/>
      <c r="N9372" s="677"/>
      <c r="O9372" s="676"/>
      <c r="P9372" s="2010"/>
    </row>
    <row r="9373" spans="1:16" s="497" customFormat="1" ht="18" thickBot="1">
      <c r="A9373" s="681"/>
      <c r="B9373" s="682"/>
      <c r="C9373" s="683"/>
      <c r="D9373" s="683"/>
      <c r="E9373" s="1981"/>
      <c r="F9373" s="684"/>
      <c r="G9373" s="685"/>
      <c r="H9373" s="686"/>
      <c r="I9373" s="1850"/>
      <c r="J9373" s="683"/>
      <c r="K9373" s="687"/>
      <c r="L9373" s="686"/>
      <c r="M9373" s="683"/>
      <c r="N9373" s="684"/>
      <c r="O9373" s="683"/>
      <c r="P9373" s="2010"/>
    </row>
    <row r="9374" spans="1:16" s="497" customFormat="1" ht="17.399999999999999">
      <c r="A9374" s="688" t="s">
        <v>31</v>
      </c>
      <c r="B9374" s="676"/>
      <c r="C9374" s="676"/>
      <c r="D9374" s="676"/>
      <c r="E9374" s="676"/>
      <c r="F9374" s="677"/>
      <c r="G9374" s="676"/>
      <c r="H9374" s="677"/>
      <c r="I9374" s="1848"/>
      <c r="J9374" s="676"/>
      <c r="K9374" s="689"/>
      <c r="L9374" s="677"/>
      <c r="M9374" s="676"/>
      <c r="N9374" s="677"/>
      <c r="O9374" s="676"/>
      <c r="P9374" s="2010"/>
    </row>
    <row r="9375" spans="1:16" s="497" customFormat="1" ht="17.399999999999999">
      <c r="A9375" s="690"/>
      <c r="B9375" s="691"/>
      <c r="C9375" s="691"/>
      <c r="D9375" s="691"/>
      <c r="E9375" s="691"/>
      <c r="F9375" s="1327"/>
      <c r="G9375" s="691"/>
      <c r="H9375" s="1327"/>
      <c r="I9375" s="1849"/>
      <c r="J9375" s="691"/>
      <c r="K9375" s="693"/>
      <c r="L9375" s="1327"/>
      <c r="M9375" s="691"/>
      <c r="N9375" s="1327"/>
      <c r="O9375" s="691"/>
      <c r="P9375" s="2010"/>
    </row>
    <row r="9376" spans="1:16" s="497" customFormat="1" ht="18" thickBot="1">
      <c r="A9376" s="1982" t="s">
        <v>32</v>
      </c>
      <c r="B9376" s="1983"/>
      <c r="C9376" s="1984" t="s">
        <v>33</v>
      </c>
      <c r="D9376" s="1985"/>
      <c r="E9376" s="694" t="s">
        <v>34</v>
      </c>
      <c r="F9376" s="694" t="s">
        <v>35</v>
      </c>
      <c r="G9376" s="1986" t="s">
        <v>36</v>
      </c>
      <c r="H9376" s="1987"/>
      <c r="I9376" s="1987"/>
      <c r="J9376" s="1987"/>
      <c r="K9376" s="1987"/>
      <c r="L9376" s="1987"/>
      <c r="M9376" s="1987"/>
      <c r="N9376" s="1987"/>
      <c r="O9376" s="1987"/>
      <c r="P9376" s="2010"/>
    </row>
    <row r="9377" spans="1:18" s="497" customFormat="1" ht="17.399999999999999">
      <c r="A9377" s="1988"/>
      <c r="B9377" s="1989"/>
      <c r="C9377" s="1990"/>
      <c r="D9377" s="1989"/>
      <c r="E9377" s="1326"/>
      <c r="F9377" s="1324"/>
      <c r="G9377" s="1991"/>
      <c r="H9377" s="1992"/>
      <c r="I9377" s="1992"/>
      <c r="J9377" s="1992"/>
      <c r="K9377" s="1992"/>
      <c r="L9377" s="1992"/>
      <c r="M9377" s="1992"/>
      <c r="N9377" s="1992"/>
      <c r="O9377" s="1992"/>
      <c r="P9377" s="2010"/>
    </row>
    <row r="9378" spans="1:18" s="497" customFormat="1" ht="17.399999999999999">
      <c r="A9378" s="1997" t="s">
        <v>37</v>
      </c>
      <c r="B9378" s="1998"/>
      <c r="C9378" s="1990"/>
      <c r="D9378" s="1989"/>
      <c r="E9378" s="1326"/>
      <c r="F9378" s="1324"/>
      <c r="G9378" s="1993"/>
      <c r="H9378" s="1994"/>
      <c r="I9378" s="1994"/>
      <c r="J9378" s="1994"/>
      <c r="K9378" s="1994"/>
      <c r="L9378" s="1994"/>
      <c r="M9378" s="1994"/>
      <c r="N9378" s="1994"/>
      <c r="O9378" s="1994"/>
      <c r="P9378" s="2010"/>
    </row>
    <row r="9379" spans="1:18" s="497" customFormat="1" ht="17.399999999999999">
      <c r="A9379" s="1997" t="s">
        <v>38</v>
      </c>
      <c r="B9379" s="1998"/>
      <c r="C9379" s="1990"/>
      <c r="D9379" s="1989"/>
      <c r="E9379" s="1326"/>
      <c r="F9379" s="1324"/>
      <c r="G9379" s="1993"/>
      <c r="H9379" s="1994"/>
      <c r="I9379" s="1994"/>
      <c r="J9379" s="1994"/>
      <c r="K9379" s="1994"/>
      <c r="L9379" s="1994"/>
      <c r="M9379" s="1994"/>
      <c r="N9379" s="1994"/>
      <c r="O9379" s="1994"/>
      <c r="P9379" s="2010"/>
    </row>
    <row r="9380" spans="1:18" s="497" customFormat="1" ht="17.399999999999999">
      <c r="A9380" s="1997" t="s">
        <v>39</v>
      </c>
      <c r="B9380" s="1998"/>
      <c r="C9380" s="1990"/>
      <c r="D9380" s="1989"/>
      <c r="E9380" s="1326"/>
      <c r="F9380" s="1324"/>
      <c r="G9380" s="1993"/>
      <c r="H9380" s="1994"/>
      <c r="I9380" s="1994"/>
      <c r="J9380" s="1994"/>
      <c r="K9380" s="1994"/>
      <c r="L9380" s="1994"/>
      <c r="M9380" s="1994"/>
      <c r="N9380" s="1994"/>
      <c r="O9380" s="1994"/>
      <c r="P9380" s="2010"/>
    </row>
    <row r="9381" spans="1:18" s="497" customFormat="1" ht="17.399999999999999">
      <c r="A9381" s="1997" t="s">
        <v>40</v>
      </c>
      <c r="B9381" s="1998"/>
      <c r="C9381" s="1990"/>
      <c r="D9381" s="1989"/>
      <c r="E9381" s="1326"/>
      <c r="F9381" s="1324"/>
      <c r="G9381" s="1993"/>
      <c r="H9381" s="1994"/>
      <c r="I9381" s="1994"/>
      <c r="J9381" s="1994"/>
      <c r="K9381" s="1994"/>
      <c r="L9381" s="1994"/>
      <c r="M9381" s="1994"/>
      <c r="N9381" s="1994"/>
      <c r="O9381" s="1994"/>
      <c r="P9381" s="2010"/>
    </row>
    <row r="9382" spans="1:18" s="497" customFormat="1" ht="18" thickBot="1">
      <c r="A9382" s="1999" t="s">
        <v>41</v>
      </c>
      <c r="B9382" s="2000"/>
      <c r="C9382" s="2001"/>
      <c r="D9382" s="2002"/>
      <c r="E9382" s="696"/>
      <c r="F9382" s="1325"/>
      <c r="G9382" s="1995"/>
      <c r="H9382" s="1996"/>
      <c r="I9382" s="1996"/>
      <c r="J9382" s="1996"/>
      <c r="K9382" s="1996"/>
      <c r="L9382" s="1996"/>
      <c r="M9382" s="1996"/>
      <c r="N9382" s="1996"/>
      <c r="O9382" s="1996"/>
      <c r="P9382" s="2010"/>
    </row>
    <row r="9383" spans="1:18" s="497" customFormat="1" ht="18">
      <c r="A9383" s="690"/>
      <c r="B9383" s="691"/>
      <c r="C9383" s="691"/>
      <c r="D9383" s="691"/>
      <c r="E9383" s="691"/>
      <c r="F9383" s="1327"/>
      <c r="G9383" s="691"/>
      <c r="H9383" s="698"/>
      <c r="I9383" s="699"/>
      <c r="J9383" s="700"/>
      <c r="K9383" s="701"/>
      <c r="L9383" s="702"/>
      <c r="M9383" s="691"/>
      <c r="N9383" s="1327"/>
      <c r="O9383" s="691"/>
      <c r="P9383" s="2010"/>
    </row>
    <row r="9384" spans="1:18" s="497" customFormat="1" ht="18">
      <c r="A9384" s="703" t="s">
        <v>42</v>
      </c>
      <c r="B9384" s="704"/>
      <c r="C9384" s="691"/>
      <c r="D9384" s="691"/>
      <c r="E9384" s="691"/>
      <c r="F9384" s="1327"/>
      <c r="G9384" s="704"/>
      <c r="H9384" s="698"/>
      <c r="I9384" s="699"/>
      <c r="J9384" s="700"/>
      <c r="K9384" s="693"/>
      <c r="L9384" s="705"/>
      <c r="M9384" s="691"/>
      <c r="N9384" s="1979" t="s">
        <v>43</v>
      </c>
      <c r="O9384" s="1979"/>
      <c r="P9384" s="2010"/>
    </row>
    <row r="9385" spans="1:18" s="497" customFormat="1" ht="17.399999999999999">
      <c r="A9385" s="703"/>
      <c r="B9385" s="704"/>
      <c r="C9385" s="691"/>
      <c r="D9385" s="691"/>
      <c r="E9385" s="691"/>
      <c r="F9385" s="1327"/>
      <c r="G9385" s="691"/>
      <c r="H9385" s="1327"/>
      <c r="I9385" s="1849"/>
      <c r="J9385" s="691"/>
      <c r="K9385" s="693"/>
      <c r="L9385" s="1327"/>
      <c r="M9385" s="691"/>
      <c r="N9385" s="1327"/>
      <c r="O9385" s="704"/>
      <c r="P9385" s="2010"/>
    </row>
    <row r="9386" spans="1:18" s="497" customFormat="1" ht="17.399999999999999">
      <c r="A9386" s="703" t="s">
        <v>44</v>
      </c>
      <c r="B9386" s="704"/>
      <c r="C9386" s="691"/>
      <c r="D9386" s="691"/>
      <c r="E9386" s="691"/>
      <c r="F9386" s="1327"/>
      <c r="G9386" s="691"/>
      <c r="H9386" s="1327"/>
      <c r="I9386" s="1849"/>
      <c r="J9386" s="691"/>
      <c r="K9386" s="693"/>
      <c r="L9386" s="1327"/>
      <c r="M9386" s="691"/>
      <c r="N9386" s="1979" t="s">
        <v>45</v>
      </c>
      <c r="O9386" s="1979"/>
      <c r="P9386" s="2010"/>
    </row>
    <row r="9387" spans="1:18" s="497" customFormat="1" ht="18" thickBot="1">
      <c r="A9387" s="682"/>
      <c r="B9387" s="683"/>
      <c r="C9387" s="683"/>
      <c r="D9387" s="683"/>
      <c r="E9387" s="683"/>
      <c r="F9387" s="684"/>
      <c r="G9387" s="683"/>
      <c r="H9387" s="684"/>
      <c r="I9387" s="1850"/>
      <c r="J9387" s="683"/>
      <c r="K9387" s="706"/>
      <c r="L9387" s="684"/>
      <c r="M9387" s="683"/>
      <c r="N9387" s="684"/>
      <c r="O9387" s="683"/>
      <c r="P9387" s="2010"/>
    </row>
    <row r="9390" spans="1:18" ht="17.399999999999999">
      <c r="A9390" s="711" t="s">
        <v>48</v>
      </c>
      <c r="B9390" s="711"/>
      <c r="C9390" s="712"/>
      <c r="D9390" s="712"/>
      <c r="E9390" s="712"/>
      <c r="F9390" s="713"/>
      <c r="G9390" s="712"/>
      <c r="H9390" s="712"/>
      <c r="I9390" s="714"/>
      <c r="J9390" s="715"/>
      <c r="K9390" s="716"/>
      <c r="L9390" s="1978" t="s">
        <v>0</v>
      </c>
      <c r="M9390" s="1978"/>
      <c r="N9390" s="1978"/>
      <c r="O9390" s="1978"/>
      <c r="P9390" s="717"/>
      <c r="Q9390" s="1358"/>
      <c r="R9390" s="1358"/>
    </row>
    <row r="9391" spans="1:18" ht="17.399999999999999">
      <c r="A9391" s="718" t="s">
        <v>1</v>
      </c>
      <c r="B9391" s="718"/>
      <c r="C9391" s="718"/>
      <c r="D9391" s="719" t="s">
        <v>2</v>
      </c>
      <c r="E9391" s="719"/>
      <c r="F9391" s="720"/>
      <c r="G9391" s="720"/>
      <c r="H9391" s="720"/>
      <c r="I9391" s="721"/>
      <c r="J9391" s="1371"/>
      <c r="K9391" s="723" t="s">
        <v>3</v>
      </c>
      <c r="L9391" s="1371"/>
      <c r="M9391" s="718"/>
      <c r="N9391" s="720"/>
      <c r="O9391" s="718"/>
      <c r="P9391" s="724"/>
      <c r="Q9391" s="1358"/>
      <c r="R9391" s="1358"/>
    </row>
    <row r="9392" spans="1:18" ht="52.2">
      <c r="A9392" s="640" t="s">
        <v>4</v>
      </c>
      <c r="B9392" s="640" t="s">
        <v>5</v>
      </c>
      <c r="C9392" s="640" t="s">
        <v>6</v>
      </c>
      <c r="D9392" s="640" t="s">
        <v>7</v>
      </c>
      <c r="E9392" s="640" t="s">
        <v>8</v>
      </c>
      <c r="F9392" s="641" t="s">
        <v>9</v>
      </c>
      <c r="G9392" s="642" t="s">
        <v>10</v>
      </c>
      <c r="H9392" s="642" t="s">
        <v>11</v>
      </c>
      <c r="I9392" s="643" t="s">
        <v>12</v>
      </c>
      <c r="J9392" s="644" t="s">
        <v>13</v>
      </c>
      <c r="K9392" s="645" t="s">
        <v>14</v>
      </c>
      <c r="L9392" s="646" t="s">
        <v>15</v>
      </c>
      <c r="M9392" s="641" t="s">
        <v>16</v>
      </c>
      <c r="N9392" s="641" t="s">
        <v>17</v>
      </c>
      <c r="O9392" s="642" t="s">
        <v>18</v>
      </c>
      <c r="P9392" s="641" t="s">
        <v>192</v>
      </c>
      <c r="Q9392" s="1358"/>
      <c r="R9392" s="1358"/>
    </row>
    <row r="9393" spans="1:23" s="497" customFormat="1" ht="17.399999999999999">
      <c r="A9393" s="549"/>
      <c r="B9393" s="549"/>
      <c r="C9393" s="549"/>
      <c r="D9393" s="549"/>
      <c r="E9393" s="549"/>
      <c r="F9393" s="549"/>
      <c r="G9393" s="549"/>
      <c r="H9393" s="549"/>
      <c r="I9393" s="558"/>
      <c r="J9393" s="567"/>
      <c r="K9393" s="648"/>
      <c r="L9393" s="567"/>
      <c r="M9393" s="549"/>
      <c r="N9393" s="549"/>
      <c r="O9393" s="549"/>
      <c r="P9393" s="549"/>
      <c r="Q9393" s="1358"/>
      <c r="R9393" s="1358"/>
    </row>
    <row r="9394" spans="1:23" ht="17.399999999999999">
      <c r="A9394" s="547" t="s">
        <v>445</v>
      </c>
      <c r="B9394" s="547" t="s">
        <v>1016</v>
      </c>
      <c r="C9394" s="547" t="s">
        <v>19</v>
      </c>
      <c r="D9394" s="547" t="s">
        <v>20</v>
      </c>
      <c r="E9394" s="550" t="s">
        <v>367</v>
      </c>
      <c r="F9394" s="1376">
        <v>16</v>
      </c>
      <c r="G9394" s="549" t="s">
        <v>21</v>
      </c>
      <c r="H9394" s="599" t="s">
        <v>177</v>
      </c>
      <c r="I9394" s="558">
        <v>27.3</v>
      </c>
      <c r="J9394" s="567">
        <v>7.5</v>
      </c>
      <c r="K9394" s="648">
        <v>72</v>
      </c>
      <c r="L9394" s="552">
        <f t="shared" ref="L9394:L9395" si="1934">(I9394*J9394*K9394/1000)</f>
        <v>14.742000000000001</v>
      </c>
      <c r="M9394" s="549"/>
      <c r="N9394" s="549"/>
      <c r="O9394" s="549"/>
      <c r="P9394" s="549"/>
      <c r="Q9394" s="1358">
        <f>16+14+14+14+5</f>
        <v>63</v>
      </c>
      <c r="R9394" s="1358">
        <f t="shared" ref="R9394:R9395" si="1935">J9394*Q9394*I9394/1000</f>
        <v>12.89925</v>
      </c>
      <c r="S9394" s="1358"/>
      <c r="U9394" s="1358" t="s">
        <v>1219</v>
      </c>
      <c r="W9394" s="1358" t="s">
        <v>1118</v>
      </c>
    </row>
    <row r="9395" spans="1:23" ht="17.399999999999999">
      <c r="A9395" s="549"/>
      <c r="B9395" s="560" t="s">
        <v>88</v>
      </c>
      <c r="C9395" s="549"/>
      <c r="D9395" s="549"/>
      <c r="E9395" s="549"/>
      <c r="F9395" s="549"/>
      <c r="G9395" s="549" t="s">
        <v>21</v>
      </c>
      <c r="H9395" s="549" t="s">
        <v>177</v>
      </c>
      <c r="I9395" s="558">
        <v>27.3</v>
      </c>
      <c r="J9395" s="567">
        <v>12</v>
      </c>
      <c r="K9395" s="648">
        <v>70</v>
      </c>
      <c r="L9395" s="552">
        <f t="shared" si="1934"/>
        <v>22.931999999999999</v>
      </c>
      <c r="M9395" s="549"/>
      <c r="N9395" s="549"/>
      <c r="O9395" s="549"/>
      <c r="P9395" s="549"/>
      <c r="Q9395" s="1358">
        <f>9+8</f>
        <v>17</v>
      </c>
      <c r="R9395" s="1358">
        <f t="shared" si="1935"/>
        <v>5.5691999999999995</v>
      </c>
      <c r="S9395">
        <f>8+8+8+5</f>
        <v>29</v>
      </c>
      <c r="T9395">
        <f>J9395*S9395*I9395/1000</f>
        <v>9.5003999999999991</v>
      </c>
      <c r="U9395" s="1358" t="s">
        <v>1221</v>
      </c>
    </row>
    <row r="9396" spans="1:23" ht="17.399999999999999">
      <c r="A9396" s="549"/>
      <c r="B9396" s="549"/>
      <c r="C9396" s="549"/>
      <c r="D9396" s="549"/>
      <c r="E9396" s="549"/>
      <c r="F9396" s="549"/>
      <c r="G9396" s="549"/>
      <c r="H9396" s="549"/>
      <c r="I9396" s="558"/>
      <c r="J9396" s="567"/>
      <c r="K9396" s="648">
        <f t="shared" ref="K9396:L9396" si="1936">SUM(K9394:K9395)</f>
        <v>142</v>
      </c>
      <c r="L9396" s="1192">
        <f t="shared" si="1936"/>
        <v>37.673999999999999</v>
      </c>
      <c r="M9396" s="549"/>
      <c r="N9396" s="549"/>
      <c r="O9396" s="549"/>
      <c r="P9396" s="549" t="s">
        <v>1047</v>
      </c>
      <c r="Q9396" s="648">
        <f t="shared" ref="Q9396:T9396" si="1937">SUM(Q9394:Q9395)</f>
        <v>80</v>
      </c>
      <c r="R9396" s="1192">
        <f t="shared" si="1937"/>
        <v>18.468450000000001</v>
      </c>
      <c r="S9396" s="648">
        <f t="shared" si="1937"/>
        <v>29</v>
      </c>
      <c r="T9396" s="1192">
        <f t="shared" si="1937"/>
        <v>9.5003999999999991</v>
      </c>
    </row>
    <row r="9397" spans="1:23" s="497" customFormat="1" ht="17.399999999999999">
      <c r="A9397" s="549"/>
      <c r="B9397" s="549"/>
      <c r="C9397" s="549"/>
      <c r="D9397" s="549"/>
      <c r="E9397" s="549"/>
      <c r="F9397" s="549"/>
      <c r="G9397" s="549"/>
      <c r="H9397" s="549"/>
      <c r="I9397" s="558"/>
      <c r="J9397" s="567"/>
      <c r="K9397" s="648"/>
      <c r="L9397" s="567"/>
      <c r="M9397" s="549"/>
      <c r="N9397" s="549"/>
      <c r="O9397" s="549"/>
      <c r="P9397" s="549"/>
      <c r="Q9397" s="1358"/>
      <c r="R9397" s="1358"/>
    </row>
    <row r="9398" spans="1:23" s="497" customFormat="1" ht="17.399999999999999">
      <c r="A9398" s="547" t="s">
        <v>523</v>
      </c>
      <c r="B9398" s="547" t="s">
        <v>1026</v>
      </c>
      <c r="C9398" s="547" t="s">
        <v>19</v>
      </c>
      <c r="D9398" s="547" t="s">
        <v>20</v>
      </c>
      <c r="E9398" s="547" t="s">
        <v>359</v>
      </c>
      <c r="F9398" s="1376">
        <v>16</v>
      </c>
      <c r="G9398" s="549" t="s">
        <v>21</v>
      </c>
      <c r="H9398" s="599" t="s">
        <v>177</v>
      </c>
      <c r="I9398" s="560">
        <v>27.29</v>
      </c>
      <c r="J9398" s="567">
        <v>9.25</v>
      </c>
      <c r="K9398" s="648">
        <v>12</v>
      </c>
      <c r="L9398" s="725">
        <f>(I9398*J9398*K9398/1000)</f>
        <v>3.0291900000000003</v>
      </c>
      <c r="M9398" s="549"/>
      <c r="N9398" s="549"/>
      <c r="O9398" s="549"/>
      <c r="P9398" s="549"/>
      <c r="Q9398" s="1358"/>
      <c r="R9398" s="1358"/>
      <c r="S9398" s="497">
        <v>8</v>
      </c>
      <c r="T9398" s="1358">
        <f t="shared" ref="T9398:T9399" si="1938">J9398*S9398*I9398/1000</f>
        <v>2.01946</v>
      </c>
      <c r="U9398" s="1358" t="s">
        <v>1223</v>
      </c>
    </row>
    <row r="9399" spans="1:23" s="497" customFormat="1" ht="17.399999999999999">
      <c r="A9399" s="549"/>
      <c r="B9399" s="549" t="s">
        <v>277</v>
      </c>
      <c r="C9399" s="549"/>
      <c r="D9399" s="549"/>
      <c r="E9399" s="549"/>
      <c r="F9399" s="549"/>
      <c r="G9399" s="549" t="s">
        <v>21</v>
      </c>
      <c r="H9399" s="549" t="s">
        <v>177</v>
      </c>
      <c r="I9399" s="560">
        <v>27.29</v>
      </c>
      <c r="J9399" s="567">
        <v>11.9</v>
      </c>
      <c r="K9399" s="648">
        <v>4</v>
      </c>
      <c r="L9399" s="725">
        <f>(I9399*J9399*K9399/1000)</f>
        <v>1.2990039999999998</v>
      </c>
      <c r="M9399" s="549"/>
      <c r="N9399" s="549"/>
      <c r="O9399" s="549"/>
      <c r="P9399" s="549"/>
      <c r="Q9399" s="1358"/>
      <c r="R9399" s="1358"/>
      <c r="S9399" s="497">
        <v>2</v>
      </c>
      <c r="T9399" s="1358">
        <f t="shared" si="1938"/>
        <v>0.64950199999999991</v>
      </c>
    </row>
    <row r="9400" spans="1:23" s="497" customFormat="1" ht="17.399999999999999">
      <c r="A9400" s="549"/>
      <c r="B9400" s="549"/>
      <c r="C9400" s="549"/>
      <c r="D9400" s="549"/>
      <c r="E9400" s="549"/>
      <c r="F9400" s="549"/>
      <c r="G9400" s="549"/>
      <c r="H9400" s="549"/>
      <c r="I9400" s="560"/>
      <c r="J9400" s="567"/>
      <c r="K9400" s="648">
        <f t="shared" ref="K9400" si="1939">SUM(K9398:K9399)</f>
        <v>16</v>
      </c>
      <c r="L9400" s="1190">
        <f>SUM(L9398:L9399)</f>
        <v>4.3281939999999999</v>
      </c>
      <c r="M9400" s="549"/>
      <c r="N9400" s="549"/>
      <c r="O9400" s="549"/>
      <c r="P9400" s="549" t="s">
        <v>1048</v>
      </c>
      <c r="Q9400" s="1358"/>
      <c r="R9400" s="1358"/>
      <c r="S9400" s="648">
        <f t="shared" ref="S9400" si="1940">SUM(S9398:S9399)</f>
        <v>10</v>
      </c>
      <c r="T9400" s="1190">
        <f>SUM(T9398:T9399)</f>
        <v>2.6689620000000001</v>
      </c>
    </row>
    <row r="9401" spans="1:23" s="497" customFormat="1" ht="17.399999999999999">
      <c r="A9401" s="549"/>
      <c r="B9401" s="549"/>
      <c r="C9401" s="549"/>
      <c r="D9401" s="549"/>
      <c r="E9401" s="549"/>
      <c r="F9401" s="549"/>
      <c r="G9401" s="549"/>
      <c r="H9401" s="549"/>
      <c r="I9401" s="560"/>
      <c r="J9401" s="567"/>
      <c r="K9401" s="648"/>
      <c r="L9401" s="710"/>
      <c r="M9401" s="549"/>
      <c r="N9401" s="549"/>
      <c r="O9401" s="549"/>
      <c r="P9401" s="549"/>
      <c r="Q9401" s="1358"/>
      <c r="R9401" s="1358"/>
    </row>
    <row r="9402" spans="1:23" s="497" customFormat="1" ht="17.399999999999999">
      <c r="A9402" s="547" t="s">
        <v>523</v>
      </c>
      <c r="B9402" s="547" t="s">
        <v>1026</v>
      </c>
      <c r="C9402" s="547" t="s">
        <v>19</v>
      </c>
      <c r="D9402" s="547" t="s">
        <v>20</v>
      </c>
      <c r="E9402" s="755" t="s">
        <v>1028</v>
      </c>
      <c r="F9402" s="1376">
        <v>16</v>
      </c>
      <c r="G9402" s="549" t="s">
        <v>21</v>
      </c>
      <c r="H9402" s="599" t="s">
        <v>177</v>
      </c>
      <c r="I9402" s="560">
        <v>27.29</v>
      </c>
      <c r="J9402" s="567">
        <v>7.25</v>
      </c>
      <c r="K9402" s="648">
        <v>18</v>
      </c>
      <c r="L9402" s="725">
        <f>(I9402*J9402*K9402/1000)</f>
        <v>3.5613449999999998</v>
      </c>
      <c r="M9402" s="549"/>
      <c r="N9402" s="549"/>
      <c r="O9402" s="549"/>
      <c r="P9402" s="549"/>
      <c r="Q9402" s="1358"/>
      <c r="R9402" s="1358"/>
      <c r="U9402" s="1358" t="s">
        <v>1223</v>
      </c>
    </row>
    <row r="9403" spans="1:23" s="497" customFormat="1" ht="17.399999999999999">
      <c r="A9403" s="549"/>
      <c r="B9403" s="549" t="s">
        <v>1027</v>
      </c>
      <c r="C9403" s="549"/>
      <c r="D9403" s="549"/>
      <c r="E9403" s="549"/>
      <c r="F9403" s="549"/>
      <c r="G9403" s="549"/>
      <c r="H9403" s="549"/>
      <c r="I9403" s="560"/>
      <c r="J9403" s="567"/>
      <c r="K9403" s="648">
        <f>SUM(K9402)</f>
        <v>18</v>
      </c>
      <c r="L9403" s="1190">
        <f>SUM(L9402)</f>
        <v>3.5613449999999998</v>
      </c>
      <c r="M9403" s="549"/>
      <c r="N9403" s="549"/>
      <c r="O9403" s="549"/>
      <c r="P9403" s="549" t="s">
        <v>1049</v>
      </c>
      <c r="Q9403" s="1358"/>
      <c r="R9403" s="1358"/>
    </row>
    <row r="9404" spans="1:23" s="497" customFormat="1" ht="17.399999999999999">
      <c r="A9404" s="549"/>
      <c r="B9404" s="549"/>
      <c r="C9404" s="549"/>
      <c r="D9404" s="549"/>
      <c r="E9404" s="549"/>
      <c r="F9404" s="549"/>
      <c r="G9404" s="549"/>
      <c r="H9404" s="549"/>
      <c r="I9404" s="560"/>
      <c r="J9404" s="567"/>
      <c r="K9404" s="770">
        <f>SUM(K9394:K9403)/2</f>
        <v>176</v>
      </c>
      <c r="L9404" s="763">
        <f>SUM(L9394:L9403)/2</f>
        <v>45.563538999999999</v>
      </c>
      <c r="M9404" s="549"/>
      <c r="N9404" s="549"/>
      <c r="O9404" s="549"/>
      <c r="P9404" s="549"/>
      <c r="Q9404" s="770">
        <f>SUM(Q9394:Q9403)/2</f>
        <v>80</v>
      </c>
      <c r="R9404" s="763">
        <f>SUM(R9394:R9403)/2</f>
        <v>18.468450000000001</v>
      </c>
      <c r="S9404" s="770">
        <f>SUM(S9394:S9403)/2</f>
        <v>39</v>
      </c>
      <c r="T9404" s="763">
        <f>SUM(T9394:T9403)/2</f>
        <v>12.169361999999998</v>
      </c>
    </row>
    <row r="9405" spans="1:23" s="497" customFormat="1" ht="17.399999999999999">
      <c r="A9405" s="549"/>
      <c r="B9405" s="549"/>
      <c r="C9405" s="549"/>
      <c r="D9405" s="549"/>
      <c r="E9405" s="549"/>
      <c r="F9405" s="549"/>
      <c r="G9405" s="549"/>
      <c r="H9405" s="549"/>
      <c r="I9405" s="560"/>
      <c r="J9405" s="567"/>
      <c r="K9405" s="770"/>
      <c r="L9405" s="763"/>
      <c r="M9405" s="549"/>
      <c r="N9405" s="549"/>
      <c r="O9405" s="549"/>
      <c r="P9405" s="549"/>
      <c r="Q9405" s="1358"/>
      <c r="R9405" s="1358"/>
    </row>
    <row r="9406" spans="1:23" s="497" customFormat="1" ht="17.399999999999999">
      <c r="A9406" s="549"/>
      <c r="B9406" s="549"/>
      <c r="C9406" s="549"/>
      <c r="D9406" s="549"/>
      <c r="E9406" s="549"/>
      <c r="F9406" s="549"/>
      <c r="G9406" s="549"/>
      <c r="H9406" s="549"/>
      <c r="I9406" s="560"/>
      <c r="J9406" s="567"/>
      <c r="K9406" s="648"/>
      <c r="L9406" s="763"/>
      <c r="M9406" s="549"/>
      <c r="N9406" s="549"/>
      <c r="O9406" s="549"/>
      <c r="P9406" s="549"/>
      <c r="Q9406" s="1358"/>
      <c r="R9406" s="1358"/>
    </row>
    <row r="9407" spans="1:23" ht="17.399999999999999">
      <c r="A9407" s="547" t="s">
        <v>445</v>
      </c>
      <c r="B9407" s="547" t="s">
        <v>1016</v>
      </c>
      <c r="C9407" s="547" t="s">
        <v>19</v>
      </c>
      <c r="D9407" s="547" t="s">
        <v>20</v>
      </c>
      <c r="E9407" s="550" t="s">
        <v>367</v>
      </c>
      <c r="F9407" s="1376">
        <v>16</v>
      </c>
      <c r="G9407" s="549" t="s">
        <v>21</v>
      </c>
      <c r="H9407" s="599" t="s">
        <v>180</v>
      </c>
      <c r="I9407" s="558">
        <v>35.9</v>
      </c>
      <c r="J9407" s="567">
        <v>8.1</v>
      </c>
      <c r="K9407" s="648">
        <v>144</v>
      </c>
      <c r="L9407" s="552">
        <f t="shared" ref="L9407:L9409" si="1941">(I9407*J9407*K9407/1000)</f>
        <v>41.873759999999997</v>
      </c>
      <c r="M9407" s="549"/>
      <c r="N9407" s="549"/>
      <c r="O9407" s="549"/>
      <c r="P9407" s="549"/>
      <c r="Q9407" s="1358">
        <f>5+11+11+11+11+11+11</f>
        <v>71</v>
      </c>
      <c r="R9407" s="1358">
        <f>J9407*Q9407*I9407/1000</f>
        <v>20.646090000000001</v>
      </c>
      <c r="S9407" s="1358" t="s">
        <v>1220</v>
      </c>
    </row>
    <row r="9408" spans="1:23" ht="17.399999999999999">
      <c r="A9408" s="549"/>
      <c r="B9408" s="560" t="s">
        <v>88</v>
      </c>
      <c r="C9408" s="549"/>
      <c r="D9408" s="549"/>
      <c r="E9408" s="549"/>
      <c r="F9408" s="549"/>
      <c r="G9408" s="549" t="s">
        <v>21</v>
      </c>
      <c r="H9408" s="549" t="s">
        <v>180</v>
      </c>
      <c r="I9408" s="558">
        <v>35.9</v>
      </c>
      <c r="J9408" s="567">
        <v>10.4</v>
      </c>
      <c r="K9408" s="648">
        <v>36</v>
      </c>
      <c r="L9408" s="552">
        <f t="shared" si="1941"/>
        <v>13.44096</v>
      </c>
      <c r="M9408" s="549"/>
      <c r="N9408" s="549"/>
      <c r="O9408" s="549"/>
      <c r="P9408" s="549"/>
      <c r="Q9408" s="1358">
        <v>6</v>
      </c>
      <c r="R9408" s="1358">
        <f t="shared" ref="R9408:R9409" si="1942">J9408*Q9408*I9408/1000</f>
        <v>2.2401600000000004</v>
      </c>
      <c r="S9408" s="1358" t="s">
        <v>1222</v>
      </c>
    </row>
    <row r="9409" spans="1:18" ht="17.399999999999999">
      <c r="A9409" s="549"/>
      <c r="B9409" s="549"/>
      <c r="C9409" s="549"/>
      <c r="D9409" s="549"/>
      <c r="E9409" s="549"/>
      <c r="F9409" s="549"/>
      <c r="G9409" s="549" t="s">
        <v>21</v>
      </c>
      <c r="H9409" s="549" t="s">
        <v>180</v>
      </c>
      <c r="I9409" s="558">
        <v>35.9</v>
      </c>
      <c r="J9409" s="567">
        <v>10.9</v>
      </c>
      <c r="K9409" s="648">
        <v>18</v>
      </c>
      <c r="L9409" s="552">
        <f t="shared" si="1941"/>
        <v>7.0435799999999995</v>
      </c>
      <c r="M9409" s="549"/>
      <c r="N9409" s="549"/>
      <c r="O9409" s="549"/>
      <c r="P9409" s="549"/>
      <c r="Q9409" s="1358">
        <v>5</v>
      </c>
      <c r="R9409" s="1358">
        <f t="shared" si="1942"/>
        <v>1.95655</v>
      </c>
    </row>
    <row r="9410" spans="1:18" ht="17.399999999999999">
      <c r="A9410" s="549"/>
      <c r="B9410" s="549"/>
      <c r="C9410" s="549"/>
      <c r="D9410" s="549"/>
      <c r="E9410" s="549"/>
      <c r="F9410" s="549"/>
      <c r="G9410" s="549"/>
      <c r="H9410" s="549"/>
      <c r="I9410" s="558"/>
      <c r="J9410" s="567"/>
      <c r="K9410" s="648">
        <f t="shared" ref="K9410:L9410" si="1943">SUM(K9407:K9409)</f>
        <v>198</v>
      </c>
      <c r="L9410" s="1192">
        <f t="shared" si="1943"/>
        <v>62.358299999999993</v>
      </c>
      <c r="M9410" s="549"/>
      <c r="N9410" s="549"/>
      <c r="O9410" s="549"/>
      <c r="P9410" s="549" t="s">
        <v>1050</v>
      </c>
      <c r="Q9410" s="648">
        <f>SUM(Q9407:Q9409)</f>
        <v>82</v>
      </c>
      <c r="R9410" s="1192">
        <f>SUM(R9407:R9409)</f>
        <v>24.8428</v>
      </c>
    </row>
    <row r="9411" spans="1:18" s="497" customFormat="1" ht="17.399999999999999">
      <c r="A9411" s="549"/>
      <c r="B9411" s="549"/>
      <c r="C9411" s="549"/>
      <c r="D9411" s="549"/>
      <c r="E9411" s="549"/>
      <c r="F9411" s="549"/>
      <c r="G9411" s="549"/>
      <c r="H9411" s="549"/>
      <c r="I9411" s="558"/>
      <c r="J9411" s="567"/>
      <c r="K9411" s="648"/>
      <c r="L9411" s="567"/>
      <c r="M9411" s="549"/>
      <c r="N9411" s="549"/>
      <c r="O9411" s="549"/>
      <c r="P9411" s="549"/>
      <c r="Q9411" s="1358"/>
      <c r="R9411" s="1358"/>
    </row>
    <row r="9412" spans="1:18" s="497" customFormat="1" ht="17.399999999999999">
      <c r="A9412" s="549"/>
      <c r="B9412" s="549"/>
      <c r="C9412" s="549"/>
      <c r="D9412" s="549"/>
      <c r="E9412" s="549"/>
      <c r="F9412" s="549"/>
      <c r="G9412" s="549"/>
      <c r="H9412" s="549"/>
      <c r="I9412" s="558"/>
      <c r="J9412" s="567"/>
      <c r="K9412" s="648"/>
      <c r="L9412" s="567"/>
      <c r="M9412" s="549"/>
      <c r="N9412" s="549"/>
      <c r="O9412" s="549"/>
      <c r="P9412" s="549"/>
      <c r="Q9412" s="1358"/>
      <c r="R9412" s="1358"/>
    </row>
    <row r="9413" spans="1:18" s="497" customFormat="1" ht="17.399999999999999">
      <c r="A9413" s="549"/>
      <c r="B9413" s="549"/>
      <c r="C9413" s="549"/>
      <c r="D9413" s="549"/>
      <c r="E9413" s="549"/>
      <c r="F9413" s="549"/>
      <c r="G9413" s="549"/>
      <c r="H9413" s="549"/>
      <c r="I9413" s="558"/>
      <c r="J9413" s="567"/>
      <c r="K9413" s="648"/>
      <c r="L9413" s="567"/>
      <c r="M9413" s="549"/>
      <c r="N9413" s="549"/>
      <c r="O9413" s="549"/>
      <c r="P9413" s="549"/>
      <c r="Q9413" s="1358"/>
      <c r="R9413" s="1358"/>
    </row>
    <row r="9414" spans="1:18" ht="17.399999999999999">
      <c r="A9414" s="547" t="s">
        <v>445</v>
      </c>
      <c r="B9414" s="547" t="s">
        <v>1016</v>
      </c>
      <c r="C9414" s="547" t="s">
        <v>19</v>
      </c>
      <c r="D9414" s="547" t="s">
        <v>20</v>
      </c>
      <c r="E9414" s="550" t="s">
        <v>367</v>
      </c>
      <c r="F9414" s="1376">
        <v>16</v>
      </c>
      <c r="G9414" s="549" t="s">
        <v>21</v>
      </c>
      <c r="H9414" s="599" t="s">
        <v>181</v>
      </c>
      <c r="I9414" s="558">
        <v>40.1</v>
      </c>
      <c r="J9414" s="567">
        <v>8.5</v>
      </c>
      <c r="K9414" s="648">
        <v>48</v>
      </c>
      <c r="L9414" s="552">
        <f>(I9414*J9414*K9414/1000)</f>
        <v>16.360800000000001</v>
      </c>
      <c r="M9414" s="549"/>
      <c r="N9414" s="549"/>
      <c r="O9414" s="549"/>
      <c r="P9414" s="549"/>
      <c r="Q9414" s="1358" t="s">
        <v>1223</v>
      </c>
      <c r="R9414" s="1358"/>
    </row>
    <row r="9415" spans="1:18" ht="17.399999999999999">
      <c r="A9415" s="549"/>
      <c r="B9415" s="560" t="s">
        <v>88</v>
      </c>
      <c r="C9415" s="549"/>
      <c r="D9415" s="549"/>
      <c r="E9415" s="549"/>
      <c r="F9415" s="549"/>
      <c r="G9415" s="549"/>
      <c r="H9415" s="549"/>
      <c r="I9415" s="558"/>
      <c r="J9415" s="567"/>
      <c r="K9415" s="648">
        <f t="shared" ref="K9415" si="1944">SUM(K9414)</f>
        <v>48</v>
      </c>
      <c r="L9415" s="1192">
        <f>SUM(L9414)</f>
        <v>16.360800000000001</v>
      </c>
      <c r="M9415" s="549"/>
      <c r="N9415" s="549"/>
      <c r="O9415" s="549"/>
      <c r="P9415" s="549" t="s">
        <v>1051</v>
      </c>
      <c r="Q9415" s="1358"/>
      <c r="R9415" s="1358"/>
    </row>
    <row r="9416" spans="1:18" s="497" customFormat="1" ht="17.399999999999999">
      <c r="A9416" s="549"/>
      <c r="B9416" s="560"/>
      <c r="C9416" s="549"/>
      <c r="D9416" s="549"/>
      <c r="E9416" s="549"/>
      <c r="F9416" s="549"/>
      <c r="G9416" s="549"/>
      <c r="H9416" s="549"/>
      <c r="I9416" s="558"/>
      <c r="J9416" s="567"/>
      <c r="K9416" s="648"/>
      <c r="L9416" s="567"/>
      <c r="M9416" s="549"/>
      <c r="N9416" s="549"/>
      <c r="O9416" s="549"/>
      <c r="P9416" s="549"/>
      <c r="Q9416" s="1358"/>
      <c r="R9416" s="1358"/>
    </row>
    <row r="9417" spans="1:18" s="497" customFormat="1" ht="17.399999999999999">
      <c r="A9417" s="547"/>
      <c r="B9417" s="547"/>
      <c r="C9417" s="547"/>
      <c r="D9417" s="547"/>
      <c r="E9417" s="547"/>
      <c r="F9417" s="1376"/>
      <c r="G9417" s="549"/>
      <c r="H9417" s="549"/>
      <c r="I9417" s="560"/>
      <c r="J9417" s="710"/>
      <c r="K9417" s="648"/>
      <c r="L9417" s="725"/>
      <c r="M9417" s="549"/>
      <c r="N9417" s="549"/>
      <c r="O9417" s="549"/>
      <c r="P9417" s="549"/>
      <c r="Q9417" s="1358"/>
      <c r="R9417" s="1358"/>
    </row>
    <row r="9418" spans="1:18" ht="17.399999999999999">
      <c r="A9418" s="549"/>
      <c r="B9418" s="549"/>
      <c r="C9418" s="549"/>
      <c r="D9418" s="549"/>
      <c r="E9418" s="549"/>
      <c r="F9418" s="549"/>
      <c r="G9418" s="549"/>
      <c r="H9418" s="549"/>
      <c r="I9418" s="560"/>
      <c r="J9418" s="549"/>
      <c r="K9418" s="561"/>
      <c r="L9418" s="560"/>
      <c r="M9418" s="549"/>
      <c r="N9418" s="549"/>
      <c r="O9418" s="549"/>
      <c r="P9418" s="549"/>
      <c r="Q9418" s="1358"/>
      <c r="R9418" s="1358"/>
    </row>
    <row r="9419" spans="1:18" ht="17.399999999999999">
      <c r="A9419" s="547" t="s">
        <v>395</v>
      </c>
      <c r="B9419" s="547" t="s">
        <v>1015</v>
      </c>
      <c r="C9419" s="547" t="s">
        <v>446</v>
      </c>
      <c r="D9419" s="813" t="s">
        <v>447</v>
      </c>
      <c r="E9419" s="547" t="s">
        <v>359</v>
      </c>
      <c r="F9419" s="1376">
        <v>16</v>
      </c>
      <c r="G9419" s="549" t="s">
        <v>21</v>
      </c>
      <c r="H9419" s="599" t="s">
        <v>182</v>
      </c>
      <c r="I9419" s="558">
        <v>44.12</v>
      </c>
      <c r="J9419" s="567">
        <v>6</v>
      </c>
      <c r="K9419" s="648">
        <v>1</v>
      </c>
      <c r="L9419" s="552">
        <f t="shared" ref="L9419:L9422" si="1945">(I9419*J9419*K9419/1000)</f>
        <v>0.26471999999999996</v>
      </c>
      <c r="M9419" s="549"/>
      <c r="N9419" s="549"/>
      <c r="O9419" s="549"/>
      <c r="P9419" s="549"/>
      <c r="Q9419" s="1358" t="s">
        <v>1223</v>
      </c>
      <c r="R9419" s="1358"/>
    </row>
    <row r="9420" spans="1:18" ht="17.399999999999999">
      <c r="A9420" s="550"/>
      <c r="B9420" s="550"/>
      <c r="C9420" s="550"/>
      <c r="D9420" s="550"/>
      <c r="E9420" s="1376"/>
      <c r="F9420" s="550"/>
      <c r="G9420" s="549" t="s">
        <v>21</v>
      </c>
      <c r="H9420" s="549" t="s">
        <v>182</v>
      </c>
      <c r="I9420" s="558">
        <v>44.12</v>
      </c>
      <c r="J9420" s="567">
        <v>6.95</v>
      </c>
      <c r="K9420" s="648">
        <v>13</v>
      </c>
      <c r="L9420" s="552">
        <f t="shared" si="1945"/>
        <v>3.9862420000000003</v>
      </c>
      <c r="M9420" s="549"/>
      <c r="N9420" s="549"/>
      <c r="O9420" s="549"/>
      <c r="P9420" s="549"/>
      <c r="Q9420" s="1358"/>
      <c r="R9420" s="1358"/>
    </row>
    <row r="9421" spans="1:18" ht="17.399999999999999">
      <c r="A9421" s="549"/>
      <c r="B9421" s="549"/>
      <c r="C9421" s="549"/>
      <c r="D9421" s="549"/>
      <c r="E9421" s="549"/>
      <c r="F9421" s="549"/>
      <c r="G9421" s="549" t="s">
        <v>21</v>
      </c>
      <c r="H9421" s="549" t="s">
        <v>182</v>
      </c>
      <c r="I9421" s="558">
        <v>44.12</v>
      </c>
      <c r="J9421" s="567">
        <v>10</v>
      </c>
      <c r="K9421" s="648">
        <v>22</v>
      </c>
      <c r="L9421" s="552">
        <f t="shared" si="1945"/>
        <v>9.7064000000000004</v>
      </c>
      <c r="M9421" s="549"/>
      <c r="N9421" s="549"/>
      <c r="O9421" s="549"/>
      <c r="P9421" s="549"/>
      <c r="Q9421" s="1358"/>
      <c r="R9421" s="1358"/>
    </row>
    <row r="9422" spans="1:18" ht="17.399999999999999">
      <c r="A9422" s="549"/>
      <c r="B9422" s="549"/>
      <c r="C9422" s="549"/>
      <c r="D9422" s="549"/>
      <c r="E9422" s="549"/>
      <c r="F9422" s="549"/>
      <c r="G9422" s="549" t="s">
        <v>21</v>
      </c>
      <c r="H9422" s="549" t="s">
        <v>182</v>
      </c>
      <c r="I9422" s="558">
        <v>44.12</v>
      </c>
      <c r="J9422" s="567">
        <v>10.9</v>
      </c>
      <c r="K9422" s="648">
        <v>3</v>
      </c>
      <c r="L9422" s="552">
        <f t="shared" si="1945"/>
        <v>1.4427240000000001</v>
      </c>
      <c r="M9422" s="549"/>
      <c r="N9422" s="549"/>
      <c r="O9422" s="549"/>
      <c r="P9422" s="549"/>
      <c r="Q9422" s="1358"/>
      <c r="R9422" s="1358"/>
    </row>
    <row r="9423" spans="1:18" ht="17.399999999999999">
      <c r="A9423" s="549"/>
      <c r="B9423" s="549"/>
      <c r="C9423" s="549"/>
      <c r="D9423" s="549"/>
      <c r="E9423" s="549"/>
      <c r="F9423" s="549"/>
      <c r="G9423" s="549"/>
      <c r="H9423" s="549"/>
      <c r="I9423" s="558"/>
      <c r="J9423" s="567"/>
      <c r="K9423" s="648">
        <f t="shared" ref="K9423:L9423" si="1946">SUM(K9419:K9422)</f>
        <v>39</v>
      </c>
      <c r="L9423" s="567">
        <f t="shared" si="1946"/>
        <v>15.400086</v>
      </c>
      <c r="M9423" s="549"/>
      <c r="N9423" s="549"/>
      <c r="O9423" s="549"/>
      <c r="P9423" s="549" t="s">
        <v>1052</v>
      </c>
      <c r="Q9423" s="1358"/>
      <c r="R9423" s="1358"/>
    </row>
    <row r="9424" spans="1:18" ht="17.399999999999999">
      <c r="A9424" s="549"/>
      <c r="B9424" s="549"/>
      <c r="C9424" s="549"/>
      <c r="D9424" s="549"/>
      <c r="E9424" s="549"/>
      <c r="F9424" s="549"/>
      <c r="G9424" s="549"/>
      <c r="H9424" s="549"/>
      <c r="I9424" s="558"/>
      <c r="J9424" s="549"/>
      <c r="K9424" s="561"/>
      <c r="L9424" s="560"/>
      <c r="M9424" s="549"/>
      <c r="N9424" s="549"/>
      <c r="O9424" s="549"/>
      <c r="P9424" s="549"/>
      <c r="Q9424" s="1358"/>
      <c r="R9424" s="1358"/>
    </row>
    <row r="9425" spans="1:19" s="497" customFormat="1" ht="17.399999999999999">
      <c r="A9425" s="547" t="s">
        <v>523</v>
      </c>
      <c r="B9425" s="547" t="s">
        <v>1026</v>
      </c>
      <c r="C9425" s="547" t="s">
        <v>19</v>
      </c>
      <c r="D9425" s="547" t="s">
        <v>20</v>
      </c>
      <c r="E9425" s="547" t="s">
        <v>359</v>
      </c>
      <c r="F9425" s="1376">
        <v>16</v>
      </c>
      <c r="G9425" s="549" t="s">
        <v>21</v>
      </c>
      <c r="H9425" s="599" t="s">
        <v>182</v>
      </c>
      <c r="I9425" s="560">
        <v>44.12</v>
      </c>
      <c r="J9425" s="567">
        <v>6</v>
      </c>
      <c r="K9425" s="648">
        <v>14</v>
      </c>
      <c r="L9425" s="725">
        <f t="shared" ref="L9425:L9426" si="1947">(I9425*J9425*K9425/1000)</f>
        <v>3.7060799999999996</v>
      </c>
      <c r="M9425" s="549"/>
      <c r="N9425" s="549"/>
      <c r="O9425" s="549"/>
      <c r="P9425" s="549"/>
      <c r="Q9425" s="1358" t="s">
        <v>1117</v>
      </c>
      <c r="R9425" s="1358"/>
    </row>
    <row r="9426" spans="1:19" s="497" customFormat="1" ht="17.399999999999999">
      <c r="A9426" s="549"/>
      <c r="B9426" s="549" t="s">
        <v>333</v>
      </c>
      <c r="C9426" s="549"/>
      <c r="D9426" s="549"/>
      <c r="E9426" s="549"/>
      <c r="F9426" s="549"/>
      <c r="G9426" s="549" t="s">
        <v>21</v>
      </c>
      <c r="H9426" s="549" t="s">
        <v>182</v>
      </c>
      <c r="I9426" s="560">
        <v>44.12</v>
      </c>
      <c r="J9426" s="567">
        <v>9</v>
      </c>
      <c r="K9426" s="648">
        <v>1</v>
      </c>
      <c r="L9426" s="725">
        <f t="shared" si="1947"/>
        <v>0.39707999999999999</v>
      </c>
      <c r="M9426" s="549"/>
      <c r="N9426" s="549"/>
      <c r="O9426" s="549"/>
      <c r="P9426" s="549"/>
      <c r="Q9426" s="1358"/>
      <c r="R9426" s="1358"/>
    </row>
    <row r="9427" spans="1:19" s="497" customFormat="1" ht="17.399999999999999">
      <c r="A9427" s="549"/>
      <c r="B9427" s="549"/>
      <c r="C9427" s="549"/>
      <c r="D9427" s="549"/>
      <c r="E9427" s="549"/>
      <c r="F9427" s="549"/>
      <c r="G9427" s="549"/>
      <c r="H9427" s="549"/>
      <c r="I9427" s="560"/>
      <c r="J9427" s="567"/>
      <c r="K9427" s="648">
        <f t="shared" ref="K9427:L9427" si="1948">SUM(K9425:K9426)</f>
        <v>15</v>
      </c>
      <c r="L9427" s="1190">
        <f t="shared" si="1948"/>
        <v>4.1031599999999999</v>
      </c>
      <c r="M9427" s="549"/>
      <c r="N9427" s="549"/>
      <c r="O9427" s="549"/>
      <c r="P9427" s="549" t="s">
        <v>1053</v>
      </c>
      <c r="Q9427" s="1358"/>
      <c r="R9427" s="1358"/>
    </row>
    <row r="9428" spans="1:19" s="497" customFormat="1" ht="17.399999999999999">
      <c r="A9428" s="549"/>
      <c r="B9428" s="549"/>
      <c r="C9428" s="549"/>
      <c r="D9428" s="549"/>
      <c r="E9428" s="549"/>
      <c r="F9428" s="549"/>
      <c r="G9428" s="549"/>
      <c r="H9428" s="549"/>
      <c r="I9428" s="560"/>
      <c r="J9428" s="549"/>
      <c r="K9428" s="561"/>
      <c r="L9428" s="710"/>
      <c r="M9428" s="549"/>
      <c r="N9428" s="549"/>
      <c r="O9428" s="549"/>
      <c r="P9428" s="549"/>
      <c r="Q9428" s="1358"/>
      <c r="R9428" s="1358"/>
    </row>
    <row r="9429" spans="1:19" s="497" customFormat="1" ht="17.399999999999999">
      <c r="A9429" s="547" t="s">
        <v>523</v>
      </c>
      <c r="B9429" s="547" t="s">
        <v>1026</v>
      </c>
      <c r="C9429" s="547" t="s">
        <v>19</v>
      </c>
      <c r="D9429" s="547" t="s">
        <v>20</v>
      </c>
      <c r="E9429" s="755" t="s">
        <v>1028</v>
      </c>
      <c r="F9429" s="1376">
        <v>16</v>
      </c>
      <c r="G9429" s="549" t="s">
        <v>21</v>
      </c>
      <c r="H9429" s="599" t="s">
        <v>182</v>
      </c>
      <c r="I9429" s="560">
        <v>44.12</v>
      </c>
      <c r="J9429" s="567">
        <v>6.05</v>
      </c>
      <c r="K9429" s="648">
        <v>4</v>
      </c>
      <c r="L9429" s="725">
        <f>(I9429*J9429*K9429/1000)</f>
        <v>1.067704</v>
      </c>
      <c r="M9429" s="549"/>
      <c r="N9429" s="549"/>
      <c r="O9429" s="549"/>
      <c r="P9429" s="549"/>
      <c r="Q9429" s="1358" t="s">
        <v>1117</v>
      </c>
      <c r="R9429" s="1358"/>
    </row>
    <row r="9430" spans="1:19" s="497" customFormat="1" ht="17.399999999999999">
      <c r="A9430" s="549"/>
      <c r="B9430" s="549" t="s">
        <v>1027</v>
      </c>
      <c r="C9430" s="549"/>
      <c r="D9430" s="549"/>
      <c r="E9430" s="549"/>
      <c r="F9430" s="549"/>
      <c r="G9430" s="549"/>
      <c r="H9430" s="549"/>
      <c r="I9430" s="560"/>
      <c r="J9430" s="567"/>
      <c r="K9430" s="648">
        <f t="shared" ref="K9430" si="1949">SUM(K9429)</f>
        <v>4</v>
      </c>
      <c r="L9430" s="1190">
        <f>SUM(L9429)</f>
        <v>1.067704</v>
      </c>
      <c r="M9430" s="549"/>
      <c r="N9430" s="549"/>
      <c r="O9430" s="549"/>
      <c r="P9430" s="549" t="s">
        <v>1054</v>
      </c>
      <c r="Q9430" s="1358"/>
      <c r="R9430" s="1358"/>
    </row>
    <row r="9431" spans="1:19" s="497" customFormat="1" ht="17.399999999999999">
      <c r="A9431" s="549"/>
      <c r="B9431" s="549"/>
      <c r="C9431" s="549"/>
      <c r="D9431" s="549"/>
      <c r="E9431" s="549"/>
      <c r="F9431" s="549"/>
      <c r="G9431" s="549"/>
      <c r="H9431" s="549"/>
      <c r="I9431" s="558"/>
      <c r="J9431" s="567"/>
      <c r="K9431" s="648">
        <f>SUM(K9419:K9430)/2</f>
        <v>58</v>
      </c>
      <c r="L9431" s="567">
        <f>SUM(L9419:L9430)/2</f>
        <v>20.57095</v>
      </c>
      <c r="M9431" s="549"/>
      <c r="N9431" s="549"/>
      <c r="O9431" s="549"/>
      <c r="P9431" s="549"/>
      <c r="Q9431" s="1358"/>
      <c r="R9431" s="1358"/>
    </row>
    <row r="9432" spans="1:19" s="497" customFormat="1" ht="17.399999999999999">
      <c r="A9432" s="549"/>
      <c r="B9432" s="549"/>
      <c r="C9432" s="549"/>
      <c r="D9432" s="549"/>
      <c r="E9432" s="549"/>
      <c r="F9432" s="549"/>
      <c r="G9432" s="549"/>
      <c r="H9432" s="549"/>
      <c r="I9432" s="558"/>
      <c r="J9432" s="567"/>
      <c r="K9432" s="648"/>
      <c r="L9432" s="567"/>
      <c r="M9432" s="549"/>
      <c r="N9432" s="549"/>
      <c r="O9432" s="549"/>
      <c r="P9432" s="549"/>
      <c r="Q9432" s="1358"/>
      <c r="R9432" s="1358"/>
    </row>
    <row r="9433" spans="1:19" ht="17.399999999999999">
      <c r="A9433" s="547" t="s">
        <v>395</v>
      </c>
      <c r="B9433" s="547" t="s">
        <v>1015</v>
      </c>
      <c r="C9433" s="547" t="s">
        <v>446</v>
      </c>
      <c r="D9433" s="813" t="s">
        <v>447</v>
      </c>
      <c r="E9433" s="547" t="s">
        <v>359</v>
      </c>
      <c r="F9433" s="1376">
        <v>16</v>
      </c>
      <c r="G9433" s="549" t="s">
        <v>21</v>
      </c>
      <c r="H9433" s="599" t="s">
        <v>181</v>
      </c>
      <c r="I9433" s="558">
        <v>40.01</v>
      </c>
      <c r="J9433" s="567">
        <v>6</v>
      </c>
      <c r="K9433" s="648">
        <v>6</v>
      </c>
      <c r="L9433" s="552">
        <f t="shared" ref="L9433:L9435" si="1950">(I9433*J9433*K9433/1000)</f>
        <v>1.4403600000000001</v>
      </c>
      <c r="M9433" s="549"/>
      <c r="N9433" s="549"/>
      <c r="O9433" s="549"/>
      <c r="P9433" s="549"/>
      <c r="Q9433" s="1358">
        <v>6</v>
      </c>
      <c r="R9433" s="126">
        <f>J9433*Q9433*I9433/1000</f>
        <v>1.4403599999999999</v>
      </c>
      <c r="S9433" s="1358" t="s">
        <v>1223</v>
      </c>
    </row>
    <row r="9434" spans="1:19" ht="17.399999999999999">
      <c r="A9434" s="550"/>
      <c r="B9434" s="550"/>
      <c r="C9434" s="550"/>
      <c r="D9434" s="550"/>
      <c r="E9434" s="1376"/>
      <c r="F9434" s="550"/>
      <c r="G9434" s="549" t="s">
        <v>21</v>
      </c>
      <c r="H9434" s="549" t="s">
        <v>181</v>
      </c>
      <c r="I9434" s="558">
        <v>40.01</v>
      </c>
      <c r="J9434" s="567">
        <v>9.15</v>
      </c>
      <c r="K9434" s="648">
        <v>2</v>
      </c>
      <c r="L9434" s="552">
        <f t="shared" si="1950"/>
        <v>0.73218300000000003</v>
      </c>
      <c r="M9434" s="549"/>
      <c r="N9434" s="549"/>
      <c r="O9434" s="549"/>
      <c r="P9434" s="549"/>
      <c r="Q9434" s="1358">
        <v>1</v>
      </c>
      <c r="R9434" s="126">
        <f>J9434*Q9434*I9434/1000</f>
        <v>0.36609150000000001</v>
      </c>
    </row>
    <row r="9435" spans="1:19" ht="17.399999999999999">
      <c r="A9435" s="549"/>
      <c r="B9435" s="549"/>
      <c r="C9435" s="549"/>
      <c r="D9435" s="549"/>
      <c r="E9435" s="549"/>
      <c r="F9435" s="549"/>
      <c r="G9435" s="549" t="s">
        <v>21</v>
      </c>
      <c r="H9435" s="549" t="s">
        <v>181</v>
      </c>
      <c r="I9435" s="558">
        <v>40.01</v>
      </c>
      <c r="J9435" s="567">
        <v>9.75</v>
      </c>
      <c r="K9435" s="648">
        <v>11</v>
      </c>
      <c r="L9435" s="552">
        <f t="shared" si="1950"/>
        <v>4.2910724999999994</v>
      </c>
      <c r="M9435" s="549"/>
      <c r="N9435" s="549"/>
      <c r="O9435" s="549"/>
      <c r="P9435" s="549"/>
      <c r="Q9435" s="1358">
        <v>5</v>
      </c>
      <c r="R9435" s="126">
        <f>J9435*Q9435*I9435/1000</f>
        <v>1.9504874999999999</v>
      </c>
    </row>
    <row r="9436" spans="1:19" ht="17.399999999999999">
      <c r="A9436" s="549"/>
      <c r="B9436" s="549"/>
      <c r="C9436" s="549"/>
      <c r="D9436" s="549"/>
      <c r="E9436" s="549"/>
      <c r="F9436" s="549"/>
      <c r="G9436" s="549"/>
      <c r="H9436" s="549"/>
      <c r="I9436" s="558"/>
      <c r="J9436" s="567"/>
      <c r="K9436" s="648">
        <f t="shared" ref="K9436" si="1951">SUM(K9433:K9435)</f>
        <v>19</v>
      </c>
      <c r="L9436" s="567">
        <f>SUM(L9433:L9435)</f>
        <v>6.4636154999999995</v>
      </c>
      <c r="M9436" s="549"/>
      <c r="N9436" s="549"/>
      <c r="O9436" s="549"/>
      <c r="P9436" s="549" t="s">
        <v>1055</v>
      </c>
      <c r="Q9436" s="648">
        <f>SUM(Q9433:Q9435)</f>
        <v>12</v>
      </c>
      <c r="R9436" s="567">
        <f>SUM(R9433:R9435)</f>
        <v>3.756939</v>
      </c>
    </row>
    <row r="9437" spans="1:19" s="497" customFormat="1" ht="17.399999999999999">
      <c r="A9437" s="549"/>
      <c r="B9437" s="549"/>
      <c r="C9437" s="549"/>
      <c r="D9437" s="549"/>
      <c r="E9437" s="549"/>
      <c r="F9437" s="549"/>
      <c r="G9437" s="549"/>
      <c r="H9437" s="549"/>
      <c r="I9437" s="558"/>
      <c r="J9437" s="567"/>
      <c r="K9437" s="648"/>
      <c r="L9437" s="567"/>
      <c r="M9437" s="549"/>
      <c r="N9437" s="549"/>
      <c r="O9437" s="549"/>
      <c r="P9437" s="549"/>
      <c r="Q9437" s="1358"/>
      <c r="R9437" s="1358"/>
    </row>
    <row r="9438" spans="1:19" s="497" customFormat="1" ht="17.399999999999999">
      <c r="A9438" s="549"/>
      <c r="B9438" s="549"/>
      <c r="C9438" s="549"/>
      <c r="D9438" s="549"/>
      <c r="E9438" s="549"/>
      <c r="F9438" s="549"/>
      <c r="G9438" s="549"/>
      <c r="H9438" s="549"/>
      <c r="I9438" s="558"/>
      <c r="J9438" s="567"/>
      <c r="K9438" s="648"/>
      <c r="L9438" s="567"/>
      <c r="M9438" s="549"/>
      <c r="N9438" s="549"/>
      <c r="O9438" s="549"/>
      <c r="P9438" s="549"/>
      <c r="Q9438" s="1358"/>
      <c r="R9438" s="1358"/>
    </row>
    <row r="9439" spans="1:19" ht="17.399999999999999">
      <c r="A9439" s="547" t="s">
        <v>395</v>
      </c>
      <c r="B9439" s="547" t="s">
        <v>1015</v>
      </c>
      <c r="C9439" s="547" t="s">
        <v>446</v>
      </c>
      <c r="D9439" s="813" t="s">
        <v>447</v>
      </c>
      <c r="E9439" s="547" t="s">
        <v>359</v>
      </c>
      <c r="F9439" s="1376">
        <v>16</v>
      </c>
      <c r="G9439" s="549" t="s">
        <v>21</v>
      </c>
      <c r="H9439" s="599" t="s">
        <v>180</v>
      </c>
      <c r="I9439" s="558">
        <v>35.840000000000003</v>
      </c>
      <c r="J9439" s="567">
        <v>10</v>
      </c>
      <c r="K9439" s="648">
        <v>11</v>
      </c>
      <c r="L9439" s="552">
        <f>(I9439*J9439*K9439/1000)</f>
        <v>3.9424000000000006</v>
      </c>
      <c r="M9439" s="549"/>
      <c r="N9439" s="549"/>
      <c r="O9439" s="549"/>
      <c r="P9439" s="549"/>
      <c r="Q9439" s="1358" t="s">
        <v>1223</v>
      </c>
      <c r="R9439" s="1358"/>
    </row>
    <row r="9440" spans="1:19" ht="17.399999999999999">
      <c r="A9440" s="550"/>
      <c r="B9440" s="550"/>
      <c r="C9440" s="550"/>
      <c r="D9440" s="550"/>
      <c r="E9440" s="1376"/>
      <c r="F9440" s="550"/>
      <c r="G9440" s="549" t="s">
        <v>21</v>
      </c>
      <c r="H9440" s="549" t="s">
        <v>180</v>
      </c>
      <c r="I9440" s="558">
        <v>35.840000000000003</v>
      </c>
      <c r="J9440" s="567">
        <v>11.5</v>
      </c>
      <c r="K9440" s="648">
        <v>9</v>
      </c>
      <c r="L9440" s="552">
        <f>(I9440*J9440*K9440/1000)</f>
        <v>3.7094399999999998</v>
      </c>
      <c r="M9440" s="549"/>
      <c r="N9440" s="549"/>
      <c r="O9440" s="549"/>
      <c r="P9440" s="549"/>
      <c r="Q9440" s="1358"/>
      <c r="R9440" s="1358"/>
    </row>
    <row r="9441" spans="1:18" ht="17.399999999999999">
      <c r="A9441" s="549"/>
      <c r="B9441" s="549"/>
      <c r="C9441" s="549"/>
      <c r="D9441" s="549"/>
      <c r="E9441" s="549"/>
      <c r="F9441" s="549"/>
      <c r="G9441" s="549"/>
      <c r="H9441" s="549"/>
      <c r="I9441" s="558"/>
      <c r="J9441" s="567"/>
      <c r="K9441" s="648">
        <f t="shared" ref="K9441" si="1952">SUM(K9439:K9440)</f>
        <v>20</v>
      </c>
      <c r="L9441" s="567">
        <f>SUM(L9439:L9440)</f>
        <v>7.65184</v>
      </c>
      <c r="M9441" s="549"/>
      <c r="N9441" s="549"/>
      <c r="O9441" s="549"/>
      <c r="P9441" s="549" t="s">
        <v>1056</v>
      </c>
      <c r="Q9441" s="1358"/>
      <c r="R9441" s="1358"/>
    </row>
    <row r="9442" spans="1:18" s="497" customFormat="1" ht="17.399999999999999">
      <c r="A9442" s="549"/>
      <c r="B9442" s="549"/>
      <c r="C9442" s="549"/>
      <c r="D9442" s="549"/>
      <c r="E9442" s="549"/>
      <c r="F9442" s="549"/>
      <c r="G9442" s="549"/>
      <c r="H9442" s="549"/>
      <c r="I9442" s="558"/>
      <c r="J9442" s="567"/>
      <c r="K9442" s="648"/>
      <c r="L9442" s="567"/>
      <c r="M9442" s="549"/>
      <c r="N9442" s="549"/>
      <c r="O9442" s="549"/>
      <c r="P9442" s="549"/>
      <c r="Q9442" s="1358"/>
      <c r="R9442" s="1358"/>
    </row>
    <row r="9443" spans="1:18" s="497" customFormat="1" ht="17.399999999999999">
      <c r="A9443" s="549"/>
      <c r="B9443" s="549"/>
      <c r="C9443" s="549"/>
      <c r="D9443" s="549"/>
      <c r="E9443" s="549"/>
      <c r="F9443" s="549"/>
      <c r="G9443" s="549"/>
      <c r="H9443" s="549"/>
      <c r="I9443" s="560"/>
      <c r="J9443" s="567"/>
      <c r="K9443" s="727"/>
      <c r="L9443" s="710"/>
      <c r="M9443" s="549"/>
      <c r="N9443" s="549"/>
      <c r="O9443" s="549"/>
      <c r="P9443" s="549"/>
      <c r="Q9443" s="1358"/>
      <c r="R9443" s="1358"/>
    </row>
    <row r="9444" spans="1:18" ht="17.399999999999999">
      <c r="A9444" s="547" t="s">
        <v>395</v>
      </c>
      <c r="B9444" s="547" t="s">
        <v>1015</v>
      </c>
      <c r="C9444" s="547" t="s">
        <v>446</v>
      </c>
      <c r="D9444" s="813" t="s">
        <v>447</v>
      </c>
      <c r="E9444" s="547" t="s">
        <v>359</v>
      </c>
      <c r="F9444" s="1376">
        <v>16</v>
      </c>
      <c r="G9444" s="549" t="s">
        <v>21</v>
      </c>
      <c r="H9444" s="599" t="s">
        <v>179</v>
      </c>
      <c r="I9444" s="558">
        <v>33.72</v>
      </c>
      <c r="J9444" s="567">
        <v>9.75</v>
      </c>
      <c r="K9444" s="648">
        <v>12</v>
      </c>
      <c r="L9444" s="552">
        <f t="shared" ref="L9444:L9445" si="1953">(I9444*J9444*K9444/1000)</f>
        <v>3.9452399999999996</v>
      </c>
      <c r="M9444" s="549"/>
      <c r="N9444" s="648"/>
      <c r="O9444" s="549"/>
      <c r="P9444" s="549"/>
      <c r="Q9444" s="1358" t="s">
        <v>1223</v>
      </c>
      <c r="R9444" s="1358"/>
    </row>
    <row r="9445" spans="1:18" ht="17.399999999999999">
      <c r="A9445" s="550"/>
      <c r="B9445" s="550"/>
      <c r="C9445" s="550"/>
      <c r="D9445" s="550"/>
      <c r="E9445" s="1376"/>
      <c r="F9445" s="550"/>
      <c r="G9445" s="549" t="s">
        <v>21</v>
      </c>
      <c r="H9445" s="549" t="s">
        <v>179</v>
      </c>
      <c r="I9445" s="558">
        <v>33.72</v>
      </c>
      <c r="J9445" s="567">
        <v>12</v>
      </c>
      <c r="K9445" s="648">
        <v>5</v>
      </c>
      <c r="L9445" s="552">
        <f t="shared" si="1953"/>
        <v>2.0231999999999997</v>
      </c>
      <c r="M9445" s="549"/>
      <c r="N9445" s="549"/>
      <c r="O9445" s="549"/>
      <c r="P9445" s="549"/>
      <c r="Q9445" s="1358"/>
      <c r="R9445" s="1358"/>
    </row>
    <row r="9446" spans="1:18" ht="17.399999999999999">
      <c r="A9446" s="549"/>
      <c r="B9446" s="549"/>
      <c r="C9446" s="549"/>
      <c r="D9446" s="549"/>
      <c r="E9446" s="549"/>
      <c r="F9446" s="549"/>
      <c r="G9446" s="549"/>
      <c r="H9446" s="549"/>
      <c r="I9446" s="558"/>
      <c r="J9446" s="567"/>
      <c r="K9446" s="648">
        <f t="shared" ref="K9446:L9446" si="1954">SUM(K9444:K9445)</f>
        <v>17</v>
      </c>
      <c r="L9446" s="567">
        <f t="shared" si="1954"/>
        <v>5.9684399999999993</v>
      </c>
      <c r="M9446" s="549"/>
      <c r="N9446" s="549"/>
      <c r="O9446" s="549"/>
      <c r="P9446" s="549"/>
      <c r="Q9446" s="1358"/>
      <c r="R9446" s="1358"/>
    </row>
    <row r="9447" spans="1:18" s="497" customFormat="1" ht="17.399999999999999">
      <c r="A9447" s="549"/>
      <c r="B9447" s="549"/>
      <c r="C9447" s="549"/>
      <c r="D9447" s="549"/>
      <c r="E9447" s="549"/>
      <c r="F9447" s="549"/>
      <c r="G9447" s="549"/>
      <c r="H9447" s="549"/>
      <c r="I9447" s="558"/>
      <c r="J9447" s="567"/>
      <c r="K9447" s="648"/>
      <c r="L9447" s="567"/>
      <c r="M9447" s="549"/>
      <c r="N9447" s="549"/>
      <c r="O9447" s="549"/>
      <c r="P9447" s="549"/>
      <c r="Q9447" s="1358"/>
      <c r="R9447" s="1358"/>
    </row>
    <row r="9448" spans="1:18" s="497" customFormat="1" ht="17.399999999999999">
      <c r="A9448" s="547" t="s">
        <v>395</v>
      </c>
      <c r="B9448" s="547" t="s">
        <v>1029</v>
      </c>
      <c r="C9448" s="547" t="s">
        <v>446</v>
      </c>
      <c r="D9448" s="813" t="s">
        <v>447</v>
      </c>
      <c r="E9448" s="547" t="s">
        <v>359</v>
      </c>
      <c r="F9448" s="1376">
        <v>16</v>
      </c>
      <c r="G9448" s="549" t="s">
        <v>21</v>
      </c>
      <c r="H9448" s="599" t="s">
        <v>179</v>
      </c>
      <c r="I9448" s="560">
        <v>33.72</v>
      </c>
      <c r="J9448" s="567">
        <v>10</v>
      </c>
      <c r="K9448" s="648">
        <v>6</v>
      </c>
      <c r="L9448" s="725">
        <f>(I9448*J9448*K9448/1000)</f>
        <v>2.0231999999999997</v>
      </c>
      <c r="M9448" s="549"/>
      <c r="N9448" s="549"/>
      <c r="O9448" s="549"/>
      <c r="P9448" s="549"/>
      <c r="Q9448" s="1358" t="s">
        <v>1223</v>
      </c>
      <c r="R9448" s="1358"/>
    </row>
    <row r="9449" spans="1:18" s="497" customFormat="1" ht="17.399999999999999">
      <c r="A9449" s="550"/>
      <c r="B9449" s="550"/>
      <c r="C9449" s="550"/>
      <c r="D9449" s="550"/>
      <c r="E9449" s="1376"/>
      <c r="F9449" s="550"/>
      <c r="G9449" s="549"/>
      <c r="H9449" s="549"/>
      <c r="I9449" s="560"/>
      <c r="J9449" s="567"/>
      <c r="K9449" s="648">
        <f t="shared" ref="K9449:L9449" si="1955">SUM(K9448)</f>
        <v>6</v>
      </c>
      <c r="L9449" s="1190">
        <f t="shared" si="1955"/>
        <v>2.0231999999999997</v>
      </c>
      <c r="M9449" s="549"/>
      <c r="N9449" s="549"/>
      <c r="O9449" s="549"/>
      <c r="P9449" s="549"/>
      <c r="Q9449" s="1358"/>
      <c r="R9449" s="1358"/>
    </row>
    <row r="9450" spans="1:18" s="497" customFormat="1" ht="17.399999999999999">
      <c r="A9450" s="550"/>
      <c r="B9450" s="550"/>
      <c r="C9450" s="550"/>
      <c r="D9450" s="550"/>
      <c r="E9450" s="1376"/>
      <c r="F9450" s="550"/>
      <c r="G9450" s="549"/>
      <c r="H9450" s="549"/>
      <c r="I9450" s="560"/>
      <c r="J9450" s="567"/>
      <c r="K9450" s="648"/>
      <c r="L9450" s="710"/>
      <c r="M9450" s="549"/>
      <c r="N9450" s="549"/>
      <c r="O9450" s="549"/>
      <c r="P9450" s="549"/>
      <c r="Q9450" s="1358"/>
      <c r="R9450" s="1358"/>
    </row>
    <row r="9451" spans="1:18" s="497" customFormat="1" ht="17.399999999999999">
      <c r="A9451" s="547" t="s">
        <v>332</v>
      </c>
      <c r="B9451" s="547" t="s">
        <v>1031</v>
      </c>
      <c r="C9451" s="547" t="s">
        <v>446</v>
      </c>
      <c r="D9451" s="813" t="s">
        <v>447</v>
      </c>
      <c r="E9451" s="547" t="s">
        <v>359</v>
      </c>
      <c r="F9451" s="1376">
        <v>16</v>
      </c>
      <c r="G9451" s="549" t="s">
        <v>21</v>
      </c>
      <c r="H9451" s="599" t="s">
        <v>179</v>
      </c>
      <c r="I9451" s="560">
        <v>33.72</v>
      </c>
      <c r="J9451" s="567">
        <v>11.7</v>
      </c>
      <c r="K9451" s="848">
        <v>3</v>
      </c>
      <c r="L9451" s="725">
        <f t="shared" ref="L9451" si="1956">(I9451*J9451*K9451/1000)</f>
        <v>1.1835719999999998</v>
      </c>
      <c r="M9451" s="549"/>
      <c r="N9451" s="549"/>
      <c r="O9451" s="549"/>
      <c r="P9451" s="549"/>
      <c r="Q9451" s="1358" t="s">
        <v>1223</v>
      </c>
      <c r="R9451" s="1358"/>
    </row>
    <row r="9452" spans="1:18" s="497" customFormat="1" ht="17.399999999999999">
      <c r="A9452" s="549"/>
      <c r="B9452" s="549"/>
      <c r="C9452" s="549"/>
      <c r="D9452" s="549"/>
      <c r="E9452" s="549"/>
      <c r="F9452" s="549"/>
      <c r="G9452" s="549"/>
      <c r="H9452" s="549"/>
      <c r="I9452" s="558"/>
      <c r="J9452" s="567"/>
      <c r="K9452" s="648">
        <f>SUM(K9451:K9451)</f>
        <v>3</v>
      </c>
      <c r="L9452" s="1190">
        <f>SUM(L9451:L9451)</f>
        <v>1.1835719999999998</v>
      </c>
      <c r="M9452" s="549"/>
      <c r="N9452" s="549"/>
      <c r="O9452" s="549"/>
      <c r="P9452" s="549"/>
      <c r="Q9452" s="1358"/>
      <c r="R9452" s="1358"/>
    </row>
    <row r="9453" spans="1:18" s="497" customFormat="1" ht="17.399999999999999">
      <c r="A9453" s="549"/>
      <c r="B9453" s="549"/>
      <c r="C9453" s="549"/>
      <c r="D9453" s="549"/>
      <c r="E9453" s="549"/>
      <c r="F9453" s="549"/>
      <c r="G9453" s="549"/>
      <c r="H9453" s="549"/>
      <c r="I9453" s="558"/>
      <c r="J9453" s="567"/>
      <c r="K9453" s="770">
        <f>SUM(K9444:K9452)/2</f>
        <v>26</v>
      </c>
      <c r="L9453" s="763">
        <f>SUM(L9444:L9452)/2</f>
        <v>9.1752119999999984</v>
      </c>
      <c r="M9453" s="549"/>
      <c r="N9453" s="549"/>
      <c r="O9453" s="549"/>
      <c r="P9453" s="549" t="s">
        <v>1057</v>
      </c>
      <c r="Q9453" s="1358"/>
      <c r="R9453" s="1358"/>
    </row>
    <row r="9454" spans="1:18" s="497" customFormat="1" ht="17.399999999999999">
      <c r="A9454" s="549"/>
      <c r="B9454" s="549"/>
      <c r="C9454" s="549"/>
      <c r="D9454" s="549"/>
      <c r="E9454" s="549"/>
      <c r="F9454" s="549"/>
      <c r="G9454" s="549"/>
      <c r="H9454" s="549"/>
      <c r="I9454" s="558"/>
      <c r="J9454" s="567"/>
      <c r="K9454" s="648"/>
      <c r="L9454" s="763"/>
      <c r="M9454" s="549"/>
      <c r="N9454" s="549"/>
      <c r="O9454" s="549"/>
      <c r="P9454" s="549"/>
      <c r="Q9454" s="1358"/>
      <c r="R9454" s="1358"/>
    </row>
    <row r="9455" spans="1:18" s="497" customFormat="1" ht="17.399999999999999">
      <c r="A9455" s="549"/>
      <c r="B9455" s="549"/>
      <c r="C9455" s="549"/>
      <c r="D9455" s="549"/>
      <c r="E9455" s="549"/>
      <c r="F9455" s="549"/>
      <c r="G9455" s="549"/>
      <c r="H9455" s="549"/>
      <c r="I9455" s="560"/>
      <c r="J9455" s="567"/>
      <c r="K9455" s="727"/>
      <c r="L9455" s="710"/>
      <c r="M9455" s="549"/>
      <c r="N9455" s="549"/>
      <c r="O9455" s="549"/>
      <c r="P9455" s="549"/>
      <c r="Q9455" s="1358"/>
      <c r="R9455" s="1358"/>
    </row>
    <row r="9456" spans="1:18" ht="17.399999999999999">
      <c r="A9456" s="547" t="s">
        <v>395</v>
      </c>
      <c r="B9456" s="547" t="s">
        <v>1015</v>
      </c>
      <c r="C9456" s="547" t="s">
        <v>446</v>
      </c>
      <c r="D9456" s="813" t="s">
        <v>447</v>
      </c>
      <c r="E9456" s="547" t="s">
        <v>359</v>
      </c>
      <c r="F9456" s="1376">
        <v>16</v>
      </c>
      <c r="G9456" s="549" t="s">
        <v>21</v>
      </c>
      <c r="H9456" s="599" t="s">
        <v>178</v>
      </c>
      <c r="I9456" s="558">
        <v>31.6</v>
      </c>
      <c r="J9456" s="567">
        <v>10.6</v>
      </c>
      <c r="K9456" s="648">
        <v>32</v>
      </c>
      <c r="L9456" s="552">
        <f>(I9456*J9456*K9456/1000)</f>
        <v>10.718719999999999</v>
      </c>
      <c r="M9456" s="549"/>
      <c r="N9456" s="549"/>
      <c r="O9456" s="549"/>
      <c r="P9456" s="549"/>
      <c r="Q9456" s="1358" t="s">
        <v>1223</v>
      </c>
      <c r="R9456" s="1358"/>
    </row>
    <row r="9457" spans="1:18" ht="17.399999999999999">
      <c r="A9457" s="550"/>
      <c r="B9457" s="550"/>
      <c r="C9457" s="550"/>
      <c r="D9457" s="550"/>
      <c r="E9457" s="1376"/>
      <c r="F9457" s="550"/>
      <c r="G9457" s="549"/>
      <c r="H9457" s="549"/>
      <c r="I9457" s="558"/>
      <c r="J9457" s="567"/>
      <c r="K9457" s="648">
        <f t="shared" ref="K9457:L9457" si="1957">SUM(K9456)</f>
        <v>32</v>
      </c>
      <c r="L9457" s="1192">
        <f t="shared" si="1957"/>
        <v>10.718719999999999</v>
      </c>
      <c r="M9457" s="549"/>
      <c r="N9457" s="549"/>
      <c r="O9457" s="549"/>
      <c r="P9457" s="549" t="s">
        <v>1058</v>
      </c>
      <c r="Q9457" s="1358"/>
      <c r="R9457" s="1358"/>
    </row>
    <row r="9458" spans="1:18" s="497" customFormat="1" ht="17.399999999999999">
      <c r="A9458" s="550"/>
      <c r="B9458" s="550"/>
      <c r="C9458" s="550"/>
      <c r="D9458" s="550"/>
      <c r="E9458" s="1376"/>
      <c r="F9458" s="550"/>
      <c r="G9458" s="549"/>
      <c r="H9458" s="549"/>
      <c r="I9458" s="558"/>
      <c r="J9458" s="567"/>
      <c r="K9458" s="648"/>
      <c r="L9458" s="567"/>
      <c r="M9458" s="549"/>
      <c r="N9458" s="549"/>
      <c r="O9458" s="549"/>
      <c r="P9458" s="549"/>
      <c r="Q9458" s="1358"/>
      <c r="R9458" s="1358"/>
    </row>
    <row r="9459" spans="1:18" ht="17.399999999999999">
      <c r="A9459" s="547" t="s">
        <v>445</v>
      </c>
      <c r="B9459" s="547" t="s">
        <v>1016</v>
      </c>
      <c r="C9459" s="547" t="s">
        <v>19</v>
      </c>
      <c r="D9459" s="547" t="s">
        <v>20</v>
      </c>
      <c r="E9459" s="550" t="s">
        <v>367</v>
      </c>
      <c r="F9459" s="1376">
        <v>16</v>
      </c>
      <c r="G9459" s="549" t="s">
        <v>21</v>
      </c>
      <c r="H9459" s="599" t="s">
        <v>178</v>
      </c>
      <c r="I9459" s="558">
        <v>31.6</v>
      </c>
      <c r="J9459" s="567">
        <v>10.7</v>
      </c>
      <c r="K9459" s="648">
        <v>12</v>
      </c>
      <c r="L9459" s="552">
        <f>(I9459*J9459*K9459/1000)</f>
        <v>4.0574399999999997</v>
      </c>
      <c r="M9459" s="549"/>
      <c r="N9459" s="549"/>
      <c r="O9459" s="549"/>
      <c r="P9459" s="549"/>
      <c r="Q9459" s="1358" t="s">
        <v>1223</v>
      </c>
      <c r="R9459" s="1358"/>
    </row>
    <row r="9460" spans="1:18" ht="17.399999999999999">
      <c r="A9460" s="549"/>
      <c r="B9460" s="560" t="s">
        <v>88</v>
      </c>
      <c r="C9460" s="549"/>
      <c r="D9460" s="549"/>
      <c r="E9460" s="549"/>
      <c r="F9460" s="549"/>
      <c r="G9460" s="549"/>
      <c r="H9460" s="549"/>
      <c r="I9460" s="558"/>
      <c r="J9460" s="567"/>
      <c r="K9460" s="648">
        <f t="shared" ref="K9460:L9460" si="1958">SUM(K9459)</f>
        <v>12</v>
      </c>
      <c r="L9460" s="1192">
        <f t="shared" si="1958"/>
        <v>4.0574399999999997</v>
      </c>
      <c r="M9460" s="549"/>
      <c r="N9460" s="549"/>
      <c r="O9460" s="549"/>
      <c r="P9460" s="549" t="s">
        <v>1059</v>
      </c>
      <c r="Q9460" s="1358"/>
      <c r="R9460" s="1358"/>
    </row>
    <row r="9461" spans="1:18" s="497" customFormat="1" ht="17.399999999999999">
      <c r="A9461" s="549"/>
      <c r="B9461" s="560"/>
      <c r="C9461" s="549"/>
      <c r="D9461" s="549"/>
      <c r="E9461" s="549"/>
      <c r="F9461" s="549"/>
      <c r="G9461" s="549"/>
      <c r="H9461" s="549"/>
      <c r="I9461" s="558"/>
      <c r="J9461" s="567"/>
      <c r="K9461" s="648">
        <f>SUM(K9456:K9460)/2</f>
        <v>44</v>
      </c>
      <c r="L9461" s="567">
        <f>SUM(L9456:L9460)/2</f>
        <v>14.776159999999999</v>
      </c>
      <c r="M9461" s="549"/>
      <c r="N9461" s="549"/>
      <c r="O9461" s="549"/>
      <c r="P9461" s="549"/>
      <c r="Q9461" s="1358"/>
      <c r="R9461" s="1358"/>
    </row>
    <row r="9462" spans="1:18" s="497" customFormat="1" ht="17.399999999999999">
      <c r="A9462" s="549"/>
      <c r="B9462" s="560"/>
      <c r="C9462" s="549"/>
      <c r="D9462" s="549"/>
      <c r="E9462" s="549"/>
      <c r="F9462" s="549"/>
      <c r="G9462" s="549"/>
      <c r="H9462" s="549"/>
      <c r="I9462" s="558"/>
      <c r="J9462" s="567"/>
      <c r="K9462" s="648"/>
      <c r="L9462" s="567"/>
      <c r="M9462" s="549"/>
      <c r="N9462" s="549"/>
      <c r="O9462" s="549"/>
      <c r="P9462" s="549"/>
      <c r="Q9462" s="1358"/>
      <c r="R9462" s="1358"/>
    </row>
    <row r="9463" spans="1:18" ht="17.399999999999999">
      <c r="A9463" s="549"/>
      <c r="B9463" s="549"/>
      <c r="C9463" s="549"/>
      <c r="D9463" s="549"/>
      <c r="E9463" s="549"/>
      <c r="F9463" s="549"/>
      <c r="G9463" s="549"/>
      <c r="H9463" s="549"/>
      <c r="I9463" s="558"/>
      <c r="J9463" s="549"/>
      <c r="K9463" s="561"/>
      <c r="L9463" s="560"/>
      <c r="M9463" s="549"/>
      <c r="N9463" s="549"/>
      <c r="O9463" s="549"/>
      <c r="P9463" s="549"/>
      <c r="Q9463" s="1358"/>
      <c r="R9463" s="1358"/>
    </row>
    <row r="9464" spans="1:18" s="497" customFormat="1" ht="17.399999999999999">
      <c r="A9464" s="547" t="s">
        <v>395</v>
      </c>
      <c r="B9464" s="547" t="s">
        <v>1029</v>
      </c>
      <c r="C9464" s="547" t="s">
        <v>446</v>
      </c>
      <c r="D9464" s="813" t="s">
        <v>447</v>
      </c>
      <c r="E9464" s="547" t="s">
        <v>359</v>
      </c>
      <c r="F9464" s="1376">
        <v>16</v>
      </c>
      <c r="G9464" s="549" t="s">
        <v>21</v>
      </c>
      <c r="H9464" s="599" t="s">
        <v>518</v>
      </c>
      <c r="I9464" s="560">
        <v>29.5</v>
      </c>
      <c r="J9464" s="567">
        <v>8</v>
      </c>
      <c r="K9464" s="648">
        <v>14</v>
      </c>
      <c r="L9464" s="725">
        <f t="shared" ref="L9464:L9466" si="1959">(I9464*J9464*K9464/1000)</f>
        <v>3.3039999999999998</v>
      </c>
      <c r="M9464" s="549"/>
      <c r="N9464" s="549"/>
      <c r="O9464" s="549"/>
      <c r="P9464" s="549"/>
      <c r="Q9464" s="1358" t="s">
        <v>1223</v>
      </c>
      <c r="R9464" s="1358"/>
    </row>
    <row r="9465" spans="1:18" s="497" customFormat="1" ht="17.399999999999999">
      <c r="A9465" s="550"/>
      <c r="B9465" s="550"/>
      <c r="C9465" s="550"/>
      <c r="D9465" s="550"/>
      <c r="E9465" s="1376"/>
      <c r="F9465" s="550"/>
      <c r="G9465" s="549" t="s">
        <v>21</v>
      </c>
      <c r="H9465" s="549" t="s">
        <v>518</v>
      </c>
      <c r="I9465" s="560">
        <v>29.5</v>
      </c>
      <c r="J9465" s="567">
        <v>8.75</v>
      </c>
      <c r="K9465" s="648">
        <v>8</v>
      </c>
      <c r="L9465" s="725">
        <f t="shared" si="1959"/>
        <v>2.0649999999999999</v>
      </c>
      <c r="M9465" s="549"/>
      <c r="N9465" s="549"/>
      <c r="O9465" s="549"/>
      <c r="P9465" s="549"/>
      <c r="Q9465" s="1358"/>
      <c r="R9465" s="1358"/>
    </row>
    <row r="9466" spans="1:18" s="497" customFormat="1" ht="17.399999999999999">
      <c r="A9466" s="549"/>
      <c r="B9466" s="549"/>
      <c r="C9466" s="549"/>
      <c r="D9466" s="549"/>
      <c r="E9466" s="549"/>
      <c r="F9466" s="549"/>
      <c r="G9466" s="549" t="s">
        <v>21</v>
      </c>
      <c r="H9466" s="549" t="s">
        <v>518</v>
      </c>
      <c r="I9466" s="560">
        <v>29.5</v>
      </c>
      <c r="J9466" s="567">
        <v>11.2</v>
      </c>
      <c r="K9466" s="648">
        <v>8</v>
      </c>
      <c r="L9466" s="725">
        <f t="shared" si="1959"/>
        <v>2.6431999999999998</v>
      </c>
      <c r="M9466" s="549"/>
      <c r="N9466" s="549"/>
      <c r="O9466" s="549"/>
      <c r="P9466" s="549"/>
      <c r="Q9466" s="1358"/>
      <c r="R9466" s="1358"/>
    </row>
    <row r="9467" spans="1:18" s="497" customFormat="1" ht="17.399999999999999">
      <c r="A9467" s="549"/>
      <c r="B9467" s="549"/>
      <c r="C9467" s="549"/>
      <c r="D9467" s="549"/>
      <c r="E9467" s="549"/>
      <c r="F9467" s="549"/>
      <c r="G9467" s="549"/>
      <c r="H9467" s="549"/>
      <c r="I9467" s="560"/>
      <c r="J9467" s="567"/>
      <c r="K9467" s="648">
        <f t="shared" ref="K9467" si="1960">SUM(K9464:K9466)</f>
        <v>30</v>
      </c>
      <c r="L9467" s="1190">
        <f>SUM(L9464:L9466)</f>
        <v>8.0122</v>
      </c>
      <c r="M9467" s="549"/>
      <c r="N9467" s="549"/>
      <c r="O9467" s="549"/>
      <c r="P9467" s="549" t="s">
        <v>1060</v>
      </c>
      <c r="Q9467" s="1358"/>
      <c r="R9467" s="1358"/>
    </row>
    <row r="9468" spans="1:18" s="497" customFormat="1" ht="17.399999999999999">
      <c r="A9468" s="549"/>
      <c r="B9468" s="549"/>
      <c r="C9468" s="549"/>
      <c r="D9468" s="549"/>
      <c r="E9468" s="549"/>
      <c r="F9468" s="549"/>
      <c r="G9468" s="549"/>
      <c r="H9468" s="549"/>
      <c r="I9468" s="560"/>
      <c r="J9468" s="567"/>
      <c r="K9468" s="648"/>
      <c r="L9468" s="710"/>
      <c r="M9468" s="549"/>
      <c r="N9468" s="549"/>
      <c r="O9468" s="549"/>
      <c r="P9468" s="549"/>
      <c r="Q9468" s="1358"/>
      <c r="R9468" s="1358"/>
    </row>
    <row r="9469" spans="1:18" s="497" customFormat="1" ht="17.399999999999999">
      <c r="A9469" s="549"/>
      <c r="B9469" s="549"/>
      <c r="C9469" s="549"/>
      <c r="D9469" s="549"/>
      <c r="E9469" s="549"/>
      <c r="F9469" s="549"/>
      <c r="G9469" s="549"/>
      <c r="H9469" s="549"/>
      <c r="I9469" s="560"/>
      <c r="J9469" s="567"/>
      <c r="K9469" s="648"/>
      <c r="L9469" s="710"/>
      <c r="M9469" s="549"/>
      <c r="N9469" s="549"/>
      <c r="O9469" s="549"/>
      <c r="P9469" s="549"/>
      <c r="Q9469" s="1358"/>
      <c r="R9469" s="1358"/>
    </row>
    <row r="9470" spans="1:18" s="497" customFormat="1" ht="17.399999999999999">
      <c r="A9470" s="549"/>
      <c r="B9470" s="549"/>
      <c r="C9470" s="549"/>
      <c r="D9470" s="549"/>
      <c r="E9470" s="549"/>
      <c r="F9470" s="549"/>
      <c r="G9470" s="549"/>
      <c r="H9470" s="549"/>
      <c r="I9470" s="558"/>
      <c r="J9470" s="567"/>
      <c r="K9470" s="648"/>
      <c r="L9470" s="567"/>
      <c r="M9470" s="549"/>
      <c r="N9470" s="549"/>
      <c r="O9470" s="549"/>
      <c r="P9470" s="549"/>
      <c r="Q9470" s="1358"/>
      <c r="R9470" s="1358"/>
    </row>
    <row r="9471" spans="1:18" ht="17.399999999999999">
      <c r="A9471" s="547" t="s">
        <v>395</v>
      </c>
      <c r="B9471" s="547" t="s">
        <v>1015</v>
      </c>
      <c r="C9471" s="547" t="s">
        <v>446</v>
      </c>
      <c r="D9471" s="813" t="s">
        <v>447</v>
      </c>
      <c r="E9471" s="547" t="s">
        <v>359</v>
      </c>
      <c r="F9471" s="1376">
        <v>16</v>
      </c>
      <c r="G9471" s="549" t="s">
        <v>21</v>
      </c>
      <c r="H9471" s="599" t="s">
        <v>177</v>
      </c>
      <c r="I9471" s="560">
        <v>27.29</v>
      </c>
      <c r="J9471" s="567">
        <v>6.5</v>
      </c>
      <c r="K9471" s="648">
        <v>6</v>
      </c>
      <c r="L9471" s="552">
        <f t="shared" ref="L9471:L9472" si="1961">(I9471*J9471*K9471/1000)</f>
        <v>1.0643099999999999</v>
      </c>
      <c r="M9471" s="549"/>
      <c r="N9471" s="549"/>
      <c r="O9471" s="549"/>
      <c r="P9471" s="549"/>
      <c r="Q9471" s="1358" t="s">
        <v>1223</v>
      </c>
      <c r="R9471" s="1358"/>
    </row>
    <row r="9472" spans="1:18" ht="17.399999999999999">
      <c r="A9472" s="549"/>
      <c r="B9472" s="549"/>
      <c r="C9472" s="549"/>
      <c r="D9472" s="549"/>
      <c r="E9472" s="549"/>
      <c r="F9472" s="549"/>
      <c r="G9472" s="549" t="s">
        <v>21</v>
      </c>
      <c r="H9472" s="549" t="s">
        <v>177</v>
      </c>
      <c r="I9472" s="560">
        <v>27.29</v>
      </c>
      <c r="J9472" s="567">
        <v>12</v>
      </c>
      <c r="K9472" s="648">
        <v>13</v>
      </c>
      <c r="L9472" s="552">
        <f t="shared" si="1961"/>
        <v>4.2572399999999995</v>
      </c>
      <c r="M9472" s="549"/>
      <c r="N9472" s="549"/>
      <c r="O9472" s="549"/>
      <c r="P9472" s="549"/>
      <c r="Q9472" s="1358"/>
      <c r="R9472" s="1358"/>
    </row>
    <row r="9473" spans="1:20" ht="17.399999999999999">
      <c r="A9473" s="549"/>
      <c r="B9473" s="549"/>
      <c r="C9473" s="549"/>
      <c r="D9473" s="549"/>
      <c r="E9473" s="549"/>
      <c r="F9473" s="549"/>
      <c r="G9473" s="549"/>
      <c r="H9473" s="549"/>
      <c r="I9473" s="558"/>
      <c r="J9473" s="567"/>
      <c r="K9473" s="648">
        <f>SUM(K9471:K9472)</f>
        <v>19</v>
      </c>
      <c r="L9473" s="765">
        <f>SUM(L9471:L9472)</f>
        <v>5.3215499999999993</v>
      </c>
      <c r="M9473" s="549"/>
      <c r="N9473" s="549"/>
      <c r="O9473" s="549"/>
      <c r="P9473" s="549"/>
      <c r="Q9473" s="1358"/>
      <c r="R9473" s="1358"/>
    </row>
    <row r="9474" spans="1:20" s="497" customFormat="1" ht="17.399999999999999">
      <c r="A9474" s="549"/>
      <c r="B9474" s="549"/>
      <c r="C9474" s="549"/>
      <c r="D9474" s="549"/>
      <c r="E9474" s="549"/>
      <c r="F9474" s="549"/>
      <c r="G9474" s="549"/>
      <c r="H9474" s="549"/>
      <c r="I9474" s="558"/>
      <c r="J9474" s="567"/>
      <c r="K9474" s="648"/>
      <c r="L9474" s="765"/>
      <c r="M9474" s="549"/>
      <c r="N9474" s="549"/>
      <c r="O9474" s="549"/>
      <c r="P9474" s="549"/>
      <c r="Q9474" s="1358"/>
      <c r="R9474" s="1358"/>
    </row>
    <row r="9475" spans="1:20" s="497" customFormat="1" ht="17.399999999999999">
      <c r="A9475" s="547" t="s">
        <v>395</v>
      </c>
      <c r="B9475" s="547" t="s">
        <v>1029</v>
      </c>
      <c r="C9475" s="547" t="s">
        <v>446</v>
      </c>
      <c r="D9475" s="813" t="s">
        <v>447</v>
      </c>
      <c r="E9475" s="547" t="s">
        <v>359</v>
      </c>
      <c r="F9475" s="1376">
        <v>16</v>
      </c>
      <c r="G9475" s="549" t="s">
        <v>21</v>
      </c>
      <c r="H9475" s="599" t="s">
        <v>177</v>
      </c>
      <c r="I9475" s="560">
        <v>27.29</v>
      </c>
      <c r="J9475" s="567">
        <v>8.25</v>
      </c>
      <c r="K9475" s="648">
        <v>9</v>
      </c>
      <c r="L9475" s="725">
        <f>(I9475*J9475*K9475/1000)</f>
        <v>2.0262824999999998</v>
      </c>
      <c r="M9475" s="549"/>
      <c r="N9475" s="549"/>
      <c r="O9475" s="549"/>
      <c r="P9475" s="549"/>
      <c r="Q9475" s="1358"/>
      <c r="R9475" s="1358">
        <v>9</v>
      </c>
      <c r="S9475" s="497">
        <f>J9475*R9475*I9475/1000</f>
        <v>2.0262825000000002</v>
      </c>
      <c r="T9475" s="1358" t="s">
        <v>1223</v>
      </c>
    </row>
    <row r="9476" spans="1:20" s="497" customFormat="1" ht="17.399999999999999">
      <c r="A9476" s="550"/>
      <c r="B9476" s="550"/>
      <c r="C9476" s="550"/>
      <c r="D9476" s="550"/>
      <c r="E9476" s="1376"/>
      <c r="F9476" s="550"/>
      <c r="G9476" s="549"/>
      <c r="H9476" s="549"/>
      <c r="I9476" s="560"/>
      <c r="J9476" s="567"/>
      <c r="K9476" s="648">
        <f t="shared" ref="K9476:L9476" si="1962">SUM(K9475)</f>
        <v>9</v>
      </c>
      <c r="L9476" s="763">
        <f t="shared" si="1962"/>
        <v>2.0262824999999998</v>
      </c>
      <c r="M9476" s="549"/>
      <c r="N9476" s="549"/>
      <c r="O9476" s="549"/>
      <c r="P9476" s="549"/>
      <c r="Q9476" s="1358"/>
      <c r="R9476" s="648">
        <f t="shared" ref="R9476:S9476" si="1963">SUM(R9475)</f>
        <v>9</v>
      </c>
      <c r="S9476" s="1190">
        <f t="shared" si="1963"/>
        <v>2.0262825000000002</v>
      </c>
    </row>
    <row r="9477" spans="1:20" s="497" customFormat="1" ht="17.399999999999999">
      <c r="A9477" s="550"/>
      <c r="B9477" s="550"/>
      <c r="C9477" s="550"/>
      <c r="D9477" s="550"/>
      <c r="E9477" s="1376"/>
      <c r="F9477" s="550"/>
      <c r="G9477" s="549"/>
      <c r="H9477" s="549"/>
      <c r="I9477" s="560"/>
      <c r="J9477" s="567"/>
      <c r="K9477" s="770">
        <f>SUM(K9471:K9476)/2</f>
        <v>28</v>
      </c>
      <c r="L9477" s="763">
        <f>SUM(L9471:L9476)/2</f>
        <v>7.3478324999999991</v>
      </c>
      <c r="M9477" s="549"/>
      <c r="N9477" s="549"/>
      <c r="O9477" s="549"/>
      <c r="P9477" s="549" t="s">
        <v>1061</v>
      </c>
      <c r="Q9477" s="1358"/>
      <c r="R9477" s="1358"/>
    </row>
    <row r="9478" spans="1:20" s="497" customFormat="1" ht="17.399999999999999">
      <c r="A9478" s="550"/>
      <c r="B9478" s="550"/>
      <c r="C9478" s="550"/>
      <c r="D9478" s="550"/>
      <c r="E9478" s="1376"/>
      <c r="F9478" s="550"/>
      <c r="G9478" s="549"/>
      <c r="H9478" s="549"/>
      <c r="I9478" s="560"/>
      <c r="J9478" s="567"/>
      <c r="K9478" s="648"/>
      <c r="L9478" s="710"/>
      <c r="M9478" s="549"/>
      <c r="N9478" s="549"/>
      <c r="O9478" s="549"/>
      <c r="P9478" s="549"/>
      <c r="Q9478" s="1358"/>
      <c r="R9478" s="1358"/>
    </row>
    <row r="9479" spans="1:20" s="497" customFormat="1" ht="17.399999999999999">
      <c r="A9479" s="549"/>
      <c r="B9479" s="549"/>
      <c r="C9479" s="549"/>
      <c r="D9479" s="549"/>
      <c r="E9479" s="549"/>
      <c r="F9479" s="549"/>
      <c r="G9479" s="549"/>
      <c r="H9479" s="549"/>
      <c r="I9479" s="558"/>
      <c r="J9479" s="567"/>
      <c r="K9479" s="648"/>
      <c r="L9479" s="567"/>
      <c r="M9479" s="549"/>
      <c r="N9479" s="549"/>
      <c r="O9479" s="549"/>
      <c r="P9479" s="549"/>
      <c r="Q9479" s="1358"/>
      <c r="R9479" s="1358"/>
    </row>
    <row r="9480" spans="1:20" ht="17.399999999999999">
      <c r="A9480" s="547" t="s">
        <v>395</v>
      </c>
      <c r="B9480" s="547" t="s">
        <v>1015</v>
      </c>
      <c r="C9480" s="547" t="s">
        <v>446</v>
      </c>
      <c r="D9480" s="813" t="s">
        <v>447</v>
      </c>
      <c r="E9480" s="547" t="s">
        <v>359</v>
      </c>
      <c r="F9480" s="1376">
        <v>16</v>
      </c>
      <c r="G9480" s="549" t="s">
        <v>21</v>
      </c>
      <c r="H9480" s="599" t="s">
        <v>510</v>
      </c>
      <c r="I9480" s="558">
        <v>25.2</v>
      </c>
      <c r="J9480" s="567">
        <v>10</v>
      </c>
      <c r="K9480" s="648">
        <v>23</v>
      </c>
      <c r="L9480" s="552">
        <f t="shared" ref="L9480:L9482" si="1964">(I9480*J9480*K9480/1000)</f>
        <v>5.7960000000000003</v>
      </c>
      <c r="M9480" s="549"/>
      <c r="N9480" s="549"/>
      <c r="O9480" s="549"/>
      <c r="P9480" s="549"/>
      <c r="Q9480" s="1358" t="s">
        <v>1223</v>
      </c>
      <c r="R9480" s="1358"/>
    </row>
    <row r="9481" spans="1:20" ht="17.399999999999999">
      <c r="A9481" s="550"/>
      <c r="B9481" s="550"/>
      <c r="C9481" s="550"/>
      <c r="D9481" s="550"/>
      <c r="E9481" s="1376"/>
      <c r="F9481" s="550"/>
      <c r="G9481" s="549" t="s">
        <v>21</v>
      </c>
      <c r="H9481" s="549" t="s">
        <v>510</v>
      </c>
      <c r="I9481" s="558">
        <v>25.2</v>
      </c>
      <c r="J9481" s="567">
        <v>11.4</v>
      </c>
      <c r="K9481" s="648">
        <v>24</v>
      </c>
      <c r="L9481" s="552">
        <f t="shared" si="1964"/>
        <v>6.8947199999999995</v>
      </c>
      <c r="M9481" s="549"/>
      <c r="N9481" s="549"/>
      <c r="O9481" s="549"/>
      <c r="P9481" s="549"/>
      <c r="Q9481" s="1358"/>
      <c r="R9481" s="1358"/>
    </row>
    <row r="9482" spans="1:20" ht="17.399999999999999">
      <c r="A9482" s="549"/>
      <c r="B9482" s="549"/>
      <c r="C9482" s="549"/>
      <c r="D9482" s="549"/>
      <c r="E9482" s="549"/>
      <c r="F9482" s="549"/>
      <c r="G9482" s="549" t="s">
        <v>21</v>
      </c>
      <c r="H9482" s="549" t="s">
        <v>510</v>
      </c>
      <c r="I9482" s="558">
        <v>25.2</v>
      </c>
      <c r="J9482" s="567">
        <v>12</v>
      </c>
      <c r="K9482" s="648">
        <v>8</v>
      </c>
      <c r="L9482" s="552">
        <f t="shared" si="1964"/>
        <v>2.4192</v>
      </c>
      <c r="M9482" s="549"/>
      <c r="N9482" s="549"/>
      <c r="O9482" s="549"/>
      <c r="P9482" s="549"/>
      <c r="Q9482" s="1358"/>
      <c r="R9482" s="1358"/>
    </row>
    <row r="9483" spans="1:20" ht="17.399999999999999">
      <c r="A9483" s="549"/>
      <c r="B9483" s="549"/>
      <c r="C9483" s="549"/>
      <c r="D9483" s="549"/>
      <c r="E9483" s="549"/>
      <c r="F9483" s="549"/>
      <c r="G9483" s="549"/>
      <c r="H9483" s="549"/>
      <c r="I9483" s="558"/>
      <c r="J9483" s="567"/>
      <c r="K9483" s="648">
        <f>SUM(K9480:K9482)</f>
        <v>55</v>
      </c>
      <c r="L9483" s="1192">
        <f>SUM(L9480:L9482)</f>
        <v>15.109919999999999</v>
      </c>
      <c r="M9483" s="549"/>
      <c r="N9483" s="549"/>
      <c r="O9483" s="549"/>
      <c r="P9483" s="549"/>
      <c r="Q9483" s="1358"/>
      <c r="R9483" s="1358"/>
    </row>
    <row r="9484" spans="1:20" s="497" customFormat="1" ht="17.399999999999999">
      <c r="A9484" s="549"/>
      <c r="B9484" s="549"/>
      <c r="C9484" s="549"/>
      <c r="D9484" s="549"/>
      <c r="E9484" s="549"/>
      <c r="F9484" s="549"/>
      <c r="G9484" s="549"/>
      <c r="H9484" s="549"/>
      <c r="I9484" s="558"/>
      <c r="J9484" s="567"/>
      <c r="K9484" s="648"/>
      <c r="L9484" s="567"/>
      <c r="M9484" s="549"/>
      <c r="N9484" s="549"/>
      <c r="O9484" s="549"/>
      <c r="P9484" s="549"/>
      <c r="Q9484" s="1358"/>
      <c r="R9484" s="1358"/>
    </row>
    <row r="9485" spans="1:20" s="497" customFormat="1" ht="17.399999999999999">
      <c r="A9485" s="547" t="s">
        <v>332</v>
      </c>
      <c r="B9485" s="547" t="s">
        <v>1031</v>
      </c>
      <c r="C9485" s="547" t="s">
        <v>446</v>
      </c>
      <c r="D9485" s="813" t="s">
        <v>447</v>
      </c>
      <c r="E9485" s="547" t="s">
        <v>359</v>
      </c>
      <c r="F9485" s="1376">
        <v>16</v>
      </c>
      <c r="G9485" s="549" t="s">
        <v>21</v>
      </c>
      <c r="H9485" s="599" t="s">
        <v>510</v>
      </c>
      <c r="I9485" s="558">
        <v>25.2</v>
      </c>
      <c r="J9485" s="567">
        <v>9.5</v>
      </c>
      <c r="K9485" s="848">
        <v>20</v>
      </c>
      <c r="L9485" s="725">
        <f>(I9485*J9485*K9485/1000)</f>
        <v>4.7880000000000003</v>
      </c>
      <c r="M9485" s="549"/>
      <c r="N9485" s="549"/>
      <c r="O9485" s="549"/>
      <c r="P9485" s="549"/>
      <c r="Q9485" s="1358" t="s">
        <v>1223</v>
      </c>
      <c r="R9485" s="1358"/>
    </row>
    <row r="9486" spans="1:20" s="497" customFormat="1" ht="17.399999999999999">
      <c r="A9486" s="549"/>
      <c r="B9486" s="549"/>
      <c r="C9486" s="549"/>
      <c r="D9486" s="549"/>
      <c r="E9486" s="549"/>
      <c r="F9486" s="549"/>
      <c r="G9486" s="549"/>
      <c r="H9486" s="549"/>
      <c r="I9486" s="558"/>
      <c r="J9486" s="567"/>
      <c r="K9486" s="648">
        <f>SUM(K9485:K9485)</f>
        <v>20</v>
      </c>
      <c r="L9486" s="1190">
        <f>SUM(L9485:L9485)</f>
        <v>4.7880000000000003</v>
      </c>
      <c r="M9486" s="549"/>
      <c r="N9486" s="549"/>
      <c r="O9486" s="549"/>
      <c r="P9486" s="549"/>
      <c r="Q9486" s="1358"/>
      <c r="R9486" s="1358"/>
    </row>
    <row r="9487" spans="1:20" s="497" customFormat="1" ht="17.399999999999999">
      <c r="A9487" s="549"/>
      <c r="B9487" s="549"/>
      <c r="C9487" s="549"/>
      <c r="D9487" s="549"/>
      <c r="E9487" s="549"/>
      <c r="F9487" s="549"/>
      <c r="G9487" s="549"/>
      <c r="H9487" s="549"/>
      <c r="I9487" s="558"/>
      <c r="J9487" s="567"/>
      <c r="K9487" s="648"/>
      <c r="L9487" s="710"/>
      <c r="M9487" s="549"/>
      <c r="N9487" s="549"/>
      <c r="O9487" s="549"/>
      <c r="P9487" s="549"/>
      <c r="Q9487" s="1358"/>
      <c r="R9487" s="1358"/>
    </row>
    <row r="9488" spans="1:20" s="497" customFormat="1" ht="17.399999999999999">
      <c r="A9488" s="547" t="s">
        <v>332</v>
      </c>
      <c r="B9488" s="547" t="s">
        <v>1082</v>
      </c>
      <c r="C9488" s="547" t="s">
        <v>446</v>
      </c>
      <c r="D9488" s="813" t="s">
        <v>447</v>
      </c>
      <c r="E9488" s="547" t="s">
        <v>359</v>
      </c>
      <c r="F9488" s="1376">
        <v>16</v>
      </c>
      <c r="G9488" s="549" t="s">
        <v>21</v>
      </c>
      <c r="H9488" s="599" t="s">
        <v>510</v>
      </c>
      <c r="I9488" s="558">
        <v>25.2</v>
      </c>
      <c r="J9488" s="567">
        <v>12</v>
      </c>
      <c r="K9488" s="648">
        <v>5</v>
      </c>
      <c r="L9488" s="725">
        <f>(I9488*J9488*K9488/1000)</f>
        <v>1.512</v>
      </c>
      <c r="M9488" s="549"/>
      <c r="N9488" s="549"/>
      <c r="O9488" s="549"/>
      <c r="P9488" s="549"/>
      <c r="Q9488" s="1358" t="s">
        <v>1223</v>
      </c>
      <c r="R9488" s="1358"/>
    </row>
    <row r="9489" spans="1:18" s="497" customFormat="1" ht="17.399999999999999">
      <c r="A9489" s="550"/>
      <c r="B9489" s="550"/>
      <c r="C9489" s="550"/>
      <c r="D9489" s="550"/>
      <c r="E9489" s="1376"/>
      <c r="F9489" s="550"/>
      <c r="G9489" s="549"/>
      <c r="H9489" s="549"/>
      <c r="I9489" s="558"/>
      <c r="J9489" s="567"/>
      <c r="K9489" s="648">
        <f t="shared" ref="K9489" si="1965">SUM(K9488)</f>
        <v>5</v>
      </c>
      <c r="L9489" s="1190">
        <f>SUM(L9488)</f>
        <v>1.512</v>
      </c>
      <c r="M9489" s="549"/>
      <c r="N9489" s="549"/>
      <c r="O9489" s="549"/>
      <c r="P9489" s="549"/>
      <c r="Q9489" s="1358"/>
      <c r="R9489" s="1358"/>
    </row>
    <row r="9490" spans="1:18" s="497" customFormat="1" ht="17.399999999999999">
      <c r="A9490" s="549"/>
      <c r="B9490" s="549"/>
      <c r="C9490" s="549"/>
      <c r="D9490" s="549"/>
      <c r="E9490" s="549"/>
      <c r="F9490" s="549"/>
      <c r="G9490" s="549"/>
      <c r="H9490" s="549"/>
      <c r="I9490" s="558"/>
      <c r="J9490" s="549"/>
      <c r="K9490" s="561"/>
      <c r="L9490" s="568"/>
      <c r="M9490" s="549"/>
      <c r="N9490" s="549"/>
      <c r="O9490" s="549"/>
      <c r="P9490" s="549"/>
      <c r="Q9490" s="1358"/>
      <c r="R9490" s="1358"/>
    </row>
    <row r="9491" spans="1:18" s="497" customFormat="1" ht="17.399999999999999">
      <c r="A9491" s="547" t="s">
        <v>395</v>
      </c>
      <c r="B9491" s="547" t="s">
        <v>1029</v>
      </c>
      <c r="C9491" s="547" t="s">
        <v>446</v>
      </c>
      <c r="D9491" s="813" t="s">
        <v>447</v>
      </c>
      <c r="E9491" s="547" t="s">
        <v>359</v>
      </c>
      <c r="F9491" s="1376">
        <v>16</v>
      </c>
      <c r="G9491" s="549" t="s">
        <v>21</v>
      </c>
      <c r="H9491" s="599" t="s">
        <v>510</v>
      </c>
      <c r="I9491" s="558">
        <v>25.2</v>
      </c>
      <c r="J9491" s="567">
        <v>9.5</v>
      </c>
      <c r="K9491" s="648">
        <v>6</v>
      </c>
      <c r="L9491" s="725">
        <f>(I9491*J9491*K9491/1000)</f>
        <v>1.4364000000000001</v>
      </c>
      <c r="M9491" s="549"/>
      <c r="N9491" s="549"/>
      <c r="O9491" s="549"/>
      <c r="P9491" s="549"/>
      <c r="Q9491" s="1358" t="s">
        <v>1223</v>
      </c>
      <c r="R9491" s="1358"/>
    </row>
    <row r="9492" spans="1:18" s="497" customFormat="1" ht="17.399999999999999">
      <c r="A9492" s="550"/>
      <c r="B9492" s="550"/>
      <c r="C9492" s="550"/>
      <c r="D9492" s="550"/>
      <c r="E9492" s="1376"/>
      <c r="F9492" s="550"/>
      <c r="G9492" s="549" t="s">
        <v>21</v>
      </c>
      <c r="H9492" s="549" t="s">
        <v>510</v>
      </c>
      <c r="I9492" s="558">
        <v>25.2</v>
      </c>
      <c r="J9492" s="567">
        <v>12</v>
      </c>
      <c r="K9492" s="648">
        <v>2</v>
      </c>
      <c r="L9492" s="725">
        <f>(I9492*J9492*K9492/1000)</f>
        <v>0.6048</v>
      </c>
      <c r="M9492" s="549"/>
      <c r="N9492" s="549"/>
      <c r="O9492" s="549"/>
      <c r="P9492" s="549"/>
      <c r="Q9492" s="1358"/>
      <c r="R9492" s="1358"/>
    </row>
    <row r="9493" spans="1:18" s="497" customFormat="1" ht="17.399999999999999">
      <c r="A9493" s="549"/>
      <c r="B9493" s="549"/>
      <c r="C9493" s="549"/>
      <c r="D9493" s="549"/>
      <c r="E9493" s="549"/>
      <c r="F9493" s="549"/>
      <c r="G9493" s="549"/>
      <c r="H9493" s="549"/>
      <c r="I9493" s="560"/>
      <c r="J9493" s="567"/>
      <c r="K9493" s="648">
        <f>SUM(K9491:K9492)</f>
        <v>8</v>
      </c>
      <c r="L9493" s="1190">
        <f>SUM(L9491:L9492)</f>
        <v>2.0411999999999999</v>
      </c>
      <c r="M9493" s="549"/>
      <c r="N9493" s="549"/>
      <c r="O9493" s="549"/>
      <c r="P9493" s="549"/>
      <c r="Q9493" s="1358"/>
      <c r="R9493" s="1358"/>
    </row>
    <row r="9494" spans="1:18" s="497" customFormat="1" ht="17.399999999999999">
      <c r="A9494" s="549"/>
      <c r="B9494" s="549"/>
      <c r="C9494" s="549"/>
      <c r="D9494" s="549"/>
      <c r="E9494" s="549"/>
      <c r="F9494" s="549"/>
      <c r="G9494" s="549"/>
      <c r="H9494" s="549"/>
      <c r="I9494" s="560"/>
      <c r="J9494" s="567"/>
      <c r="K9494" s="770">
        <f>SUM(K9480:K9493)/2</f>
        <v>88</v>
      </c>
      <c r="L9494" s="763">
        <f>SUM(L9480:L9493)/2</f>
        <v>23.451119999999996</v>
      </c>
      <c r="M9494" s="549"/>
      <c r="N9494" s="549"/>
      <c r="O9494" s="549"/>
      <c r="P9494" s="549" t="s">
        <v>1062</v>
      </c>
      <c r="Q9494" s="1358"/>
      <c r="R9494" s="1358"/>
    </row>
    <row r="9495" spans="1:18" s="497" customFormat="1" ht="17.399999999999999">
      <c r="A9495" s="549"/>
      <c r="B9495" s="549"/>
      <c r="C9495" s="549"/>
      <c r="D9495" s="549"/>
      <c r="E9495" s="549"/>
      <c r="F9495" s="549"/>
      <c r="G9495" s="549"/>
      <c r="H9495" s="549"/>
      <c r="I9495" s="560"/>
      <c r="J9495" s="567"/>
      <c r="K9495" s="648"/>
      <c r="L9495" s="763"/>
      <c r="M9495" s="549"/>
      <c r="N9495" s="549"/>
      <c r="O9495" s="549"/>
      <c r="P9495" s="549"/>
      <c r="Q9495" s="1358"/>
      <c r="R9495" s="1358"/>
    </row>
    <row r="9496" spans="1:18" s="497" customFormat="1" ht="17.399999999999999">
      <c r="A9496" s="549"/>
      <c r="B9496" s="549"/>
      <c r="C9496" s="549"/>
      <c r="D9496" s="549"/>
      <c r="E9496" s="549"/>
      <c r="F9496" s="549"/>
      <c r="G9496" s="549"/>
      <c r="H9496" s="549"/>
      <c r="I9496" s="560"/>
      <c r="J9496" s="567"/>
      <c r="K9496" s="648"/>
      <c r="L9496" s="763"/>
      <c r="M9496" s="549"/>
      <c r="N9496" s="549"/>
      <c r="O9496" s="549"/>
      <c r="P9496" s="549"/>
      <c r="Q9496" s="1358"/>
      <c r="R9496" s="1358"/>
    </row>
    <row r="9497" spans="1:18" s="497" customFormat="1" ht="17.399999999999999">
      <c r="A9497" s="547" t="s">
        <v>445</v>
      </c>
      <c r="B9497" s="547" t="s">
        <v>1016</v>
      </c>
      <c r="C9497" s="547" t="s">
        <v>19</v>
      </c>
      <c r="D9497" s="547" t="s">
        <v>20</v>
      </c>
      <c r="E9497" s="550" t="s">
        <v>367</v>
      </c>
      <c r="F9497" s="1376">
        <v>16</v>
      </c>
      <c r="G9497" s="549" t="s">
        <v>21</v>
      </c>
      <c r="H9497" s="599" t="s">
        <v>176</v>
      </c>
      <c r="I9497" s="558">
        <v>23</v>
      </c>
      <c r="J9497" s="567">
        <v>7.6</v>
      </c>
      <c r="K9497" s="648">
        <v>20</v>
      </c>
      <c r="L9497" s="552">
        <f t="shared" ref="L9497:L9498" si="1966">(I9497*J9497*K9497/1000)</f>
        <v>3.4959999999999996</v>
      </c>
      <c r="M9497" s="549"/>
      <c r="N9497" s="549"/>
      <c r="O9497" s="549"/>
      <c r="P9497" s="549"/>
      <c r="Q9497" s="1358" t="s">
        <v>1223</v>
      </c>
      <c r="R9497" s="1358"/>
    </row>
    <row r="9498" spans="1:18" s="497" customFormat="1" ht="17.399999999999999">
      <c r="A9498" s="549"/>
      <c r="B9498" s="560" t="s">
        <v>88</v>
      </c>
      <c r="C9498" s="549"/>
      <c r="D9498" s="549"/>
      <c r="E9498" s="549"/>
      <c r="F9498" s="549"/>
      <c r="G9498" s="549" t="s">
        <v>21</v>
      </c>
      <c r="H9498" s="549" t="s">
        <v>176</v>
      </c>
      <c r="I9498" s="558">
        <v>23</v>
      </c>
      <c r="J9498" s="567">
        <v>11.7</v>
      </c>
      <c r="K9498" s="648">
        <v>5</v>
      </c>
      <c r="L9498" s="552">
        <f t="shared" si="1966"/>
        <v>1.3454999999999997</v>
      </c>
      <c r="M9498" s="549"/>
      <c r="N9498" s="549"/>
      <c r="O9498" s="549"/>
      <c r="P9498" s="549"/>
      <c r="Q9498" s="1358"/>
      <c r="R9498" s="1358"/>
    </row>
    <row r="9499" spans="1:18" s="497" customFormat="1" ht="17.399999999999999">
      <c r="A9499" s="549"/>
      <c r="B9499" s="549"/>
      <c r="C9499" s="549"/>
      <c r="D9499" s="549"/>
      <c r="E9499" s="549"/>
      <c r="F9499" s="549"/>
      <c r="G9499" s="549"/>
      <c r="H9499" s="549"/>
      <c r="I9499" s="558"/>
      <c r="J9499" s="567"/>
      <c r="K9499" s="648">
        <f t="shared" ref="K9499:L9499" si="1967">SUM(K9497:K9498)</f>
        <v>25</v>
      </c>
      <c r="L9499" s="1192">
        <f t="shared" si="1967"/>
        <v>4.841499999999999</v>
      </c>
      <c r="M9499" s="549"/>
      <c r="N9499" s="549"/>
      <c r="O9499" s="549"/>
      <c r="P9499" s="549" t="s">
        <v>1063</v>
      </c>
      <c r="Q9499" s="1358"/>
      <c r="R9499" s="1358"/>
    </row>
    <row r="9500" spans="1:18" s="497" customFormat="1" ht="17.399999999999999">
      <c r="A9500" s="549"/>
      <c r="B9500" s="549"/>
      <c r="C9500" s="549"/>
      <c r="D9500" s="549"/>
      <c r="E9500" s="549"/>
      <c r="F9500" s="549"/>
      <c r="G9500" s="549"/>
      <c r="H9500" s="549"/>
      <c r="I9500" s="558"/>
      <c r="J9500" s="567"/>
      <c r="K9500" s="648"/>
      <c r="L9500" s="567"/>
      <c r="M9500" s="549"/>
      <c r="N9500" s="549"/>
      <c r="O9500" s="549"/>
      <c r="P9500" s="549"/>
      <c r="Q9500" s="1358"/>
      <c r="R9500" s="1358"/>
    </row>
    <row r="9501" spans="1:18" s="497" customFormat="1" ht="17.399999999999999">
      <c r="A9501" s="547" t="s">
        <v>523</v>
      </c>
      <c r="B9501" s="547" t="s">
        <v>1026</v>
      </c>
      <c r="C9501" s="547" t="s">
        <v>19</v>
      </c>
      <c r="D9501" s="547" t="s">
        <v>20</v>
      </c>
      <c r="E9501" s="547" t="s">
        <v>359</v>
      </c>
      <c r="F9501" s="1376">
        <v>16</v>
      </c>
      <c r="G9501" s="549" t="s">
        <v>21</v>
      </c>
      <c r="H9501" s="599" t="s">
        <v>176</v>
      </c>
      <c r="I9501" s="560">
        <v>22.93</v>
      </c>
      <c r="J9501" s="567">
        <v>6</v>
      </c>
      <c r="K9501" s="648">
        <v>3</v>
      </c>
      <c r="L9501" s="725">
        <f>(I9501*J9501*K9501/1000)</f>
        <v>0.41273999999999994</v>
      </c>
      <c r="M9501" s="549"/>
      <c r="N9501" s="549"/>
      <c r="O9501" s="549"/>
      <c r="P9501" s="549"/>
      <c r="Q9501" s="1358" t="s">
        <v>1223</v>
      </c>
      <c r="R9501" s="1358"/>
    </row>
    <row r="9502" spans="1:18" s="497" customFormat="1" ht="17.399999999999999">
      <c r="A9502" s="549"/>
      <c r="B9502" s="549" t="s">
        <v>1027</v>
      </c>
      <c r="C9502" s="549"/>
      <c r="D9502" s="549"/>
      <c r="E9502" s="549"/>
      <c r="F9502" s="549"/>
      <c r="G9502" s="549"/>
      <c r="H9502" s="549"/>
      <c r="I9502" s="560"/>
      <c r="J9502" s="567"/>
      <c r="K9502" s="648">
        <f t="shared" ref="K9502:L9502" si="1968">SUM(K9501)</f>
        <v>3</v>
      </c>
      <c r="L9502" s="1190">
        <f t="shared" si="1968"/>
        <v>0.41273999999999994</v>
      </c>
      <c r="M9502" s="549"/>
      <c r="N9502" s="549"/>
      <c r="O9502" s="549"/>
      <c r="P9502" s="549" t="s">
        <v>1064</v>
      </c>
      <c r="Q9502" s="1358"/>
      <c r="R9502" s="1358"/>
    </row>
    <row r="9503" spans="1:18" s="497" customFormat="1" ht="17.399999999999999">
      <c r="A9503" s="549"/>
      <c r="B9503" s="549"/>
      <c r="C9503" s="549"/>
      <c r="D9503" s="549"/>
      <c r="E9503" s="549"/>
      <c r="F9503" s="549"/>
      <c r="G9503" s="549"/>
      <c r="H9503" s="549"/>
      <c r="I9503" s="560"/>
      <c r="J9503" s="567"/>
      <c r="K9503" s="648"/>
      <c r="L9503" s="710"/>
      <c r="M9503" s="549"/>
      <c r="N9503" s="549"/>
      <c r="O9503" s="549"/>
      <c r="P9503" s="549"/>
      <c r="Q9503" s="1358"/>
      <c r="R9503" s="1358"/>
    </row>
    <row r="9504" spans="1:18" s="497" customFormat="1" ht="17.399999999999999">
      <c r="A9504" s="547" t="s">
        <v>523</v>
      </c>
      <c r="B9504" s="547" t="s">
        <v>1026</v>
      </c>
      <c r="C9504" s="547" t="s">
        <v>19</v>
      </c>
      <c r="D9504" s="547" t="s">
        <v>20</v>
      </c>
      <c r="E9504" s="755" t="s">
        <v>1028</v>
      </c>
      <c r="F9504" s="1376">
        <v>16</v>
      </c>
      <c r="G9504" s="549" t="s">
        <v>21</v>
      </c>
      <c r="H9504" s="599" t="s">
        <v>176</v>
      </c>
      <c r="I9504" s="560">
        <v>22.93</v>
      </c>
      <c r="J9504" s="567">
        <v>10</v>
      </c>
      <c r="K9504" s="648">
        <v>2</v>
      </c>
      <c r="L9504" s="725">
        <f>(I9504*J9504*K9504/1000)</f>
        <v>0.45860000000000001</v>
      </c>
      <c r="M9504" s="549"/>
      <c r="N9504" s="549"/>
      <c r="O9504" s="549"/>
      <c r="P9504" s="549"/>
      <c r="Q9504" s="1358" t="s">
        <v>1223</v>
      </c>
      <c r="R9504" s="1358"/>
    </row>
    <row r="9505" spans="1:18" s="497" customFormat="1" ht="17.399999999999999">
      <c r="A9505" s="549"/>
      <c r="B9505" s="549" t="s">
        <v>1027</v>
      </c>
      <c r="C9505" s="549"/>
      <c r="D9505" s="549"/>
      <c r="E9505" s="549"/>
      <c r="F9505" s="549"/>
      <c r="G9505" s="549"/>
      <c r="H9505" s="549"/>
      <c r="I9505" s="560"/>
      <c r="J9505" s="567"/>
      <c r="K9505" s="648">
        <f t="shared" ref="K9505:L9505" si="1969">SUM(K9504)</f>
        <v>2</v>
      </c>
      <c r="L9505" s="1190">
        <f t="shared" si="1969"/>
        <v>0.45860000000000001</v>
      </c>
      <c r="M9505" s="549"/>
      <c r="N9505" s="549"/>
      <c r="O9505" s="549"/>
      <c r="P9505" s="549" t="s">
        <v>1065</v>
      </c>
      <c r="Q9505" s="1358"/>
      <c r="R9505" s="1358"/>
    </row>
    <row r="9506" spans="1:18" s="497" customFormat="1" ht="17.399999999999999">
      <c r="A9506" s="549"/>
      <c r="B9506" s="549"/>
      <c r="C9506" s="549"/>
      <c r="D9506" s="549"/>
      <c r="E9506" s="549"/>
      <c r="F9506" s="549"/>
      <c r="G9506" s="549"/>
      <c r="H9506" s="549"/>
      <c r="I9506" s="560"/>
      <c r="J9506" s="567"/>
      <c r="K9506" s="648"/>
      <c r="L9506" s="763"/>
      <c r="M9506" s="549"/>
      <c r="N9506" s="549"/>
      <c r="O9506" s="549"/>
      <c r="P9506" s="549"/>
      <c r="Q9506" s="1358"/>
      <c r="R9506" s="1358"/>
    </row>
    <row r="9507" spans="1:18" s="497" customFormat="1" ht="17.399999999999999">
      <c r="A9507" s="547" t="s">
        <v>395</v>
      </c>
      <c r="B9507" s="547" t="s">
        <v>1029</v>
      </c>
      <c r="C9507" s="547" t="s">
        <v>446</v>
      </c>
      <c r="D9507" s="813" t="s">
        <v>447</v>
      </c>
      <c r="E9507" s="547" t="s">
        <v>359</v>
      </c>
      <c r="F9507" s="1376">
        <v>16</v>
      </c>
      <c r="G9507" s="549" t="s">
        <v>21</v>
      </c>
      <c r="H9507" s="599" t="s">
        <v>176</v>
      </c>
      <c r="I9507" s="560">
        <v>22.93</v>
      </c>
      <c r="J9507" s="567">
        <v>6</v>
      </c>
      <c r="K9507" s="648">
        <v>1</v>
      </c>
      <c r="L9507" s="725">
        <f>(I9507*J9507*K9507/1000)</f>
        <v>0.13757999999999998</v>
      </c>
      <c r="M9507" s="549"/>
      <c r="N9507" s="549"/>
      <c r="O9507" s="549"/>
      <c r="P9507" s="549"/>
      <c r="Q9507" s="1358" t="s">
        <v>1223</v>
      </c>
      <c r="R9507" s="1358"/>
    </row>
    <row r="9508" spans="1:18" s="497" customFormat="1" ht="17.399999999999999">
      <c r="A9508" s="550"/>
      <c r="B9508" s="550"/>
      <c r="C9508" s="550"/>
      <c r="D9508" s="550"/>
      <c r="E9508" s="1376"/>
      <c r="F9508" s="550"/>
      <c r="G9508" s="549"/>
      <c r="H9508" s="549"/>
      <c r="I9508" s="560"/>
      <c r="J9508" s="567"/>
      <c r="K9508" s="648">
        <f t="shared" ref="K9508" si="1970">SUM(K9507)</f>
        <v>1</v>
      </c>
      <c r="L9508" s="710">
        <f>SUM(L9507)</f>
        <v>0.13757999999999998</v>
      </c>
      <c r="M9508" s="549"/>
      <c r="N9508" s="549"/>
      <c r="O9508" s="549"/>
      <c r="P9508" s="549"/>
      <c r="Q9508" s="1358"/>
      <c r="R9508" s="1358"/>
    </row>
    <row r="9509" spans="1:18" s="497" customFormat="1" ht="17.399999999999999">
      <c r="A9509" s="549"/>
      <c r="B9509" s="549"/>
      <c r="C9509" s="549"/>
      <c r="D9509" s="549"/>
      <c r="E9509" s="549"/>
      <c r="F9509" s="549"/>
      <c r="G9509" s="549"/>
      <c r="H9509" s="549"/>
      <c r="I9509" s="558"/>
      <c r="J9509" s="567"/>
      <c r="K9509" s="648">
        <f>SUM(K9497:K9508)/2</f>
        <v>31</v>
      </c>
      <c r="L9509" s="567">
        <f>SUM(L9497:L9508)/2</f>
        <v>5.8504199999999988</v>
      </c>
      <c r="M9509" s="549"/>
      <c r="N9509" s="549"/>
      <c r="O9509" s="549"/>
      <c r="P9509" s="549" t="s">
        <v>1066</v>
      </c>
      <c r="Q9509" s="1358"/>
      <c r="R9509" s="1358"/>
    </row>
    <row r="9510" spans="1:18" s="497" customFormat="1" ht="17.399999999999999">
      <c r="A9510" s="549"/>
      <c r="B9510" s="549"/>
      <c r="C9510" s="549"/>
      <c r="D9510" s="549"/>
      <c r="E9510" s="549"/>
      <c r="F9510" s="549"/>
      <c r="G9510" s="549"/>
      <c r="H9510" s="549"/>
      <c r="I9510" s="558"/>
      <c r="J9510" s="567"/>
      <c r="K9510" s="648"/>
      <c r="L9510" s="567"/>
      <c r="M9510" s="549"/>
      <c r="N9510" s="549"/>
      <c r="O9510" s="549"/>
      <c r="P9510" s="549"/>
      <c r="Q9510" s="1358"/>
      <c r="R9510" s="1358"/>
    </row>
    <row r="9511" spans="1:18" s="497" customFormat="1" ht="17.399999999999999">
      <c r="A9511" s="549"/>
      <c r="B9511" s="560"/>
      <c r="C9511" s="549"/>
      <c r="D9511" s="549"/>
      <c r="E9511" s="549"/>
      <c r="F9511" s="549"/>
      <c r="G9511" s="549"/>
      <c r="H9511" s="549"/>
      <c r="I9511" s="558"/>
      <c r="J9511" s="567"/>
      <c r="K9511" s="648"/>
      <c r="L9511" s="567"/>
      <c r="M9511" s="549"/>
      <c r="N9511" s="549"/>
      <c r="O9511" s="549"/>
      <c r="P9511" s="549"/>
      <c r="Q9511" s="1358"/>
      <c r="R9511" s="1358"/>
    </row>
    <row r="9512" spans="1:18" s="497" customFormat="1" ht="17.399999999999999">
      <c r="A9512" s="547" t="s">
        <v>395</v>
      </c>
      <c r="B9512" s="547" t="s">
        <v>1029</v>
      </c>
      <c r="C9512" s="547" t="s">
        <v>446</v>
      </c>
      <c r="D9512" s="813" t="s">
        <v>447</v>
      </c>
      <c r="E9512" s="547" t="s">
        <v>359</v>
      </c>
      <c r="F9512" s="1376">
        <v>16</v>
      </c>
      <c r="G9512" s="549" t="s">
        <v>21</v>
      </c>
      <c r="H9512" s="599" t="s">
        <v>260</v>
      </c>
      <c r="I9512" s="558">
        <v>38</v>
      </c>
      <c r="J9512" s="567">
        <v>9.75</v>
      </c>
      <c r="K9512" s="648">
        <v>1</v>
      </c>
      <c r="L9512" s="725">
        <f>(I9512*J9512*K9512/1000)</f>
        <v>0.3705</v>
      </c>
      <c r="M9512" s="549">
        <v>1</v>
      </c>
      <c r="N9512" s="567">
        <f t="shared" ref="N9512" si="1971">J9512*M9512*I9512/1000</f>
        <v>0.3705</v>
      </c>
      <c r="O9512" s="549"/>
      <c r="P9512" s="549"/>
      <c r="Q9512" s="1358" t="s">
        <v>1223</v>
      </c>
      <c r="R9512" s="1358"/>
    </row>
    <row r="9513" spans="1:18" s="497" customFormat="1" ht="17.399999999999999">
      <c r="A9513" s="550"/>
      <c r="B9513" s="550"/>
      <c r="C9513" s="550"/>
      <c r="D9513" s="550"/>
      <c r="E9513" s="1376"/>
      <c r="F9513" s="550"/>
      <c r="G9513" s="549"/>
      <c r="H9513" s="549"/>
      <c r="I9513" s="560"/>
      <c r="J9513" s="567"/>
      <c r="K9513" s="648">
        <f t="shared" ref="K9513:N9513" si="1972">SUM(K9512)</f>
        <v>1</v>
      </c>
      <c r="L9513" s="1190">
        <f t="shared" si="1972"/>
        <v>0.3705</v>
      </c>
      <c r="M9513" s="648">
        <f t="shared" si="1972"/>
        <v>1</v>
      </c>
      <c r="N9513" s="710">
        <f t="shared" si="1972"/>
        <v>0.3705</v>
      </c>
      <c r="O9513" s="549"/>
      <c r="P9513" s="549"/>
      <c r="Q9513" s="1358"/>
      <c r="R9513" s="1358"/>
    </row>
    <row r="9514" spans="1:18" s="497" customFormat="1" ht="17.399999999999999">
      <c r="A9514" s="549"/>
      <c r="B9514" s="549"/>
      <c r="C9514" s="549"/>
      <c r="D9514" s="549"/>
      <c r="E9514" s="549"/>
      <c r="F9514" s="549"/>
      <c r="G9514" s="549"/>
      <c r="H9514" s="549"/>
      <c r="I9514" s="560"/>
      <c r="J9514" s="549"/>
      <c r="K9514" s="561"/>
      <c r="L9514" s="710"/>
      <c r="M9514" s="549"/>
      <c r="N9514" s="549"/>
      <c r="O9514" s="549"/>
      <c r="P9514" s="549"/>
      <c r="Q9514" s="1358"/>
      <c r="R9514" s="1358"/>
    </row>
    <row r="9515" spans="1:18" s="497" customFormat="1" ht="17.399999999999999">
      <c r="A9515" s="549"/>
      <c r="B9515" s="549"/>
      <c r="C9515" s="549"/>
      <c r="D9515" s="549"/>
      <c r="E9515" s="549"/>
      <c r="F9515" s="549"/>
      <c r="G9515" s="549"/>
      <c r="H9515" s="549"/>
      <c r="I9515" s="560"/>
      <c r="J9515" s="549"/>
      <c r="K9515" s="561"/>
      <c r="L9515" s="710"/>
      <c r="M9515" s="549"/>
      <c r="N9515" s="549"/>
      <c r="O9515" s="549"/>
      <c r="P9515" s="549"/>
      <c r="Q9515" s="1358"/>
      <c r="R9515" s="1358"/>
    </row>
    <row r="9516" spans="1:18" ht="17.399999999999999">
      <c r="A9516" s="549"/>
      <c r="B9516" s="549"/>
      <c r="C9516" s="549"/>
      <c r="D9516" s="549"/>
      <c r="E9516" s="549"/>
      <c r="F9516" s="549"/>
      <c r="G9516" s="549"/>
      <c r="H9516" s="549"/>
      <c r="I9516" s="560"/>
      <c r="J9516" s="549"/>
      <c r="K9516" s="561"/>
      <c r="L9516" s="560"/>
      <c r="M9516" s="549"/>
      <c r="N9516" s="549"/>
      <c r="O9516" s="549"/>
      <c r="P9516" s="549"/>
      <c r="Q9516" s="1358"/>
      <c r="R9516" s="1358"/>
    </row>
    <row r="9517" spans="1:18" ht="17.399999999999999">
      <c r="A9517" s="549"/>
      <c r="B9517" s="549"/>
      <c r="C9517" s="549"/>
      <c r="D9517" s="549"/>
      <c r="E9517" s="549"/>
      <c r="F9517" s="549"/>
      <c r="G9517" s="549"/>
      <c r="H9517" s="549"/>
      <c r="I9517" s="560"/>
      <c r="J9517" s="549"/>
      <c r="K9517" s="561"/>
      <c r="L9517" s="565">
        <f>+L9513+L9509+L9494+L9477+L9461+L9453+L9441+L9436+L9431+L9415+L9410+L9404+L9467</f>
        <v>227.95248899999996</v>
      </c>
      <c r="M9517" s="549"/>
      <c r="N9517" s="565">
        <f>+N9513+N9509+N9494+N9477+N9461+N9453+N9441+N9436+N9431+N9415+N9410+N9404+N9467</f>
        <v>0.3705</v>
      </c>
      <c r="O9517" s="549"/>
      <c r="P9517" s="549"/>
      <c r="Q9517" s="1358"/>
      <c r="R9517" s="1358"/>
    </row>
    <row r="9518" spans="1:18" ht="17.399999999999999">
      <c r="A9518" s="653" t="s">
        <v>48</v>
      </c>
      <c r="B9518" s="653"/>
      <c r="C9518" s="654"/>
      <c r="D9518" s="654"/>
      <c r="E9518" s="654"/>
      <c r="F9518" s="1374"/>
      <c r="G9518" s="654"/>
      <c r="H9518" s="1374"/>
      <c r="I9518" s="656"/>
      <c r="J9518" s="654"/>
      <c r="K9518" s="657"/>
      <c r="L9518" s="2003" t="s">
        <v>0</v>
      </c>
      <c r="M9518" s="2003"/>
      <c r="N9518" s="2003"/>
      <c r="O9518" s="2004"/>
      <c r="P9518" s="2010"/>
      <c r="Q9518" s="1358"/>
      <c r="R9518" s="1358"/>
    </row>
    <row r="9519" spans="1:18" ht="17.399999999999999">
      <c r="A9519" s="658" t="s">
        <v>1</v>
      </c>
      <c r="B9519" s="658"/>
      <c r="C9519" s="658"/>
      <c r="D9519" s="659" t="s">
        <v>2</v>
      </c>
      <c r="E9519" s="659"/>
      <c r="F9519" s="660"/>
      <c r="G9519" s="660"/>
      <c r="H9519" s="660"/>
      <c r="I9519" s="661"/>
      <c r="J9519" s="660"/>
      <c r="K9519" s="662" t="s">
        <v>3</v>
      </c>
      <c r="L9519" s="660"/>
      <c r="M9519" s="658"/>
      <c r="N9519" s="660"/>
      <c r="O9519" s="663"/>
      <c r="P9519" s="2010"/>
      <c r="Q9519" s="1358"/>
      <c r="R9519" s="1358"/>
    </row>
    <row r="9520" spans="1:18" ht="17.399999999999999">
      <c r="A9520" s="1374" t="s">
        <v>22</v>
      </c>
      <c r="B9520" s="1990" t="s">
        <v>23</v>
      </c>
      <c r="C9520" s="2005"/>
      <c r="D9520" s="1989"/>
      <c r="E9520" s="1374" t="s">
        <v>24</v>
      </c>
      <c r="F9520" s="1990" t="s">
        <v>25</v>
      </c>
      <c r="G9520" s="1989"/>
      <c r="H9520" s="1990" t="s">
        <v>26</v>
      </c>
      <c r="I9520" s="2005"/>
      <c r="J9520" s="2005"/>
      <c r="K9520" s="1989"/>
      <c r="L9520" s="2006" t="s">
        <v>27</v>
      </c>
      <c r="M9520" s="2006"/>
      <c r="N9520" s="2006"/>
      <c r="O9520" s="1990"/>
      <c r="P9520" s="2010"/>
      <c r="Q9520" s="1358"/>
      <c r="R9520" s="1358"/>
    </row>
    <row r="9521" spans="1:18" ht="17.399999999999999">
      <c r="A9521" s="664"/>
      <c r="B9521" s="1975"/>
      <c r="C9521" s="1976"/>
      <c r="D9521" s="1977"/>
      <c r="E9521" s="665"/>
      <c r="F9521" s="1975"/>
      <c r="G9521" s="1977"/>
      <c r="H9521" s="1975"/>
      <c r="I9521" s="1976"/>
      <c r="J9521" s="1976"/>
      <c r="K9521" s="1977"/>
      <c r="L9521" s="1975"/>
      <c r="M9521" s="1976"/>
      <c r="N9521" s="1976"/>
      <c r="O9521" s="1976"/>
      <c r="P9521" s="2010"/>
      <c r="Q9521" s="1358"/>
      <c r="R9521" s="1358"/>
    </row>
    <row r="9522" spans="1:18" ht="17.399999999999999">
      <c r="A9522" s="664"/>
      <c r="B9522" s="1368"/>
      <c r="C9522" s="1369"/>
      <c r="D9522" s="1370"/>
      <c r="E9522" s="665"/>
      <c r="F9522" s="1368"/>
      <c r="G9522" s="1370"/>
      <c r="H9522" s="1368"/>
      <c r="I9522" s="1842"/>
      <c r="J9522" s="1369"/>
      <c r="K9522" s="1370"/>
      <c r="L9522" s="1369"/>
      <c r="M9522" s="1369"/>
      <c r="N9522" s="1369"/>
      <c r="O9522" s="1369"/>
      <c r="P9522" s="2010"/>
      <c r="Q9522" s="1358"/>
      <c r="R9522" s="1358"/>
    </row>
    <row r="9523" spans="1:18" s="497" customFormat="1" ht="17.399999999999999">
      <c r="A9523" s="664" t="s">
        <v>28</v>
      </c>
      <c r="B9523" s="1975" t="s">
        <v>187</v>
      </c>
      <c r="C9523" s="1976"/>
      <c r="D9523" s="1977"/>
      <c r="E9523" s="665">
        <f>+L9404</f>
        <v>45.563538999999999</v>
      </c>
      <c r="F9523" s="1973">
        <v>16</v>
      </c>
      <c r="G9523" s="1974"/>
      <c r="H9523" s="1975" t="s">
        <v>49</v>
      </c>
      <c r="I9523" s="1976"/>
      <c r="J9523" s="1976"/>
      <c r="K9523" s="1977"/>
      <c r="L9523" s="1976" t="s">
        <v>1025</v>
      </c>
      <c r="M9523" s="1976"/>
      <c r="N9523" s="1976"/>
      <c r="O9523" s="1976"/>
      <c r="P9523" s="2010"/>
      <c r="Q9523" s="1358"/>
      <c r="R9523" s="1358"/>
    </row>
    <row r="9524" spans="1:18" s="497" customFormat="1" ht="17.399999999999999">
      <c r="A9524" s="664" t="s">
        <v>29</v>
      </c>
      <c r="B9524" s="1975" t="s">
        <v>184</v>
      </c>
      <c r="C9524" s="1976"/>
      <c r="D9524" s="1977"/>
      <c r="E9524" s="665">
        <f>+L9410</f>
        <v>62.358299999999993</v>
      </c>
      <c r="F9524" s="1973">
        <v>16</v>
      </c>
      <c r="G9524" s="1974"/>
      <c r="H9524" s="1975" t="s">
        <v>49</v>
      </c>
      <c r="I9524" s="1976"/>
      <c r="J9524" s="1976"/>
      <c r="K9524" s="1977"/>
      <c r="L9524" s="1976" t="s">
        <v>1025</v>
      </c>
      <c r="M9524" s="1976"/>
      <c r="N9524" s="1976"/>
      <c r="O9524" s="1976"/>
      <c r="P9524" s="2010"/>
      <c r="Q9524" s="1358"/>
      <c r="R9524" s="1358"/>
    </row>
    <row r="9525" spans="1:18" ht="17.399999999999999">
      <c r="A9525" s="664" t="s">
        <v>30</v>
      </c>
      <c r="B9525" s="1975" t="s">
        <v>183</v>
      </c>
      <c r="C9525" s="1976"/>
      <c r="D9525" s="1977"/>
      <c r="E9525" s="665">
        <f>+L9415</f>
        <v>16.360800000000001</v>
      </c>
      <c r="F9525" s="1973">
        <v>16</v>
      </c>
      <c r="G9525" s="1974"/>
      <c r="H9525" s="1975" t="s">
        <v>49</v>
      </c>
      <c r="I9525" s="1976"/>
      <c r="J9525" s="1976"/>
      <c r="K9525" s="1977"/>
      <c r="L9525" s="1976" t="s">
        <v>1025</v>
      </c>
      <c r="M9525" s="1976"/>
      <c r="N9525" s="1976"/>
      <c r="O9525" s="1976"/>
      <c r="P9525" s="2010"/>
      <c r="Q9525" s="1358"/>
      <c r="R9525" s="1358"/>
    </row>
    <row r="9526" spans="1:18" ht="17.399999999999999">
      <c r="A9526" s="664"/>
      <c r="B9526" s="1975"/>
      <c r="C9526" s="1976"/>
      <c r="D9526" s="1977"/>
      <c r="E9526" s="665"/>
      <c r="F9526" s="1973"/>
      <c r="G9526" s="1974"/>
      <c r="H9526" s="1975"/>
      <c r="I9526" s="1976"/>
      <c r="J9526" s="1976"/>
      <c r="K9526" s="1977"/>
      <c r="L9526" s="1976"/>
      <c r="M9526" s="1976"/>
      <c r="N9526" s="1976"/>
      <c r="O9526" s="1976"/>
      <c r="P9526" s="2010"/>
      <c r="Q9526" s="1358"/>
      <c r="R9526" s="1358"/>
    </row>
    <row r="9527" spans="1:18" s="497" customFormat="1" ht="17.399999999999999">
      <c r="A9527" s="664"/>
      <c r="B9527" s="1368"/>
      <c r="C9527" s="1369"/>
      <c r="D9527" s="1370"/>
      <c r="E9527" s="665"/>
      <c r="F9527" s="1366"/>
      <c r="G9527" s="1367"/>
      <c r="H9527" s="1368"/>
      <c r="I9527" s="1842"/>
      <c r="J9527" s="1369"/>
      <c r="K9527" s="1370"/>
      <c r="L9527" s="1369"/>
      <c r="M9527" s="1369"/>
      <c r="N9527" s="1369"/>
      <c r="O9527" s="1369"/>
      <c r="P9527" s="2010"/>
      <c r="Q9527" s="1358"/>
      <c r="R9527" s="1358"/>
    </row>
    <row r="9528" spans="1:18" ht="17.399999999999999">
      <c r="A9528" s="664" t="s">
        <v>46</v>
      </c>
      <c r="B9528" s="1975" t="s">
        <v>301</v>
      </c>
      <c r="C9528" s="1976"/>
      <c r="D9528" s="1977"/>
      <c r="E9528" s="665">
        <f>+L9431</f>
        <v>20.57095</v>
      </c>
      <c r="F9528" s="1973">
        <v>16</v>
      </c>
      <c r="G9528" s="1974"/>
      <c r="H9528" s="1975" t="s">
        <v>447</v>
      </c>
      <c r="I9528" s="1976"/>
      <c r="J9528" s="1976"/>
      <c r="K9528" s="1977"/>
      <c r="L9528" s="1976" t="s">
        <v>1025</v>
      </c>
      <c r="M9528" s="1976"/>
      <c r="N9528" s="1976"/>
      <c r="O9528" s="1976"/>
      <c r="P9528" s="2010"/>
      <c r="Q9528" s="1358"/>
      <c r="R9528" s="1358"/>
    </row>
    <row r="9529" spans="1:18" ht="17.399999999999999">
      <c r="A9529" s="664" t="s">
        <v>58</v>
      </c>
      <c r="B9529" s="1975" t="s">
        <v>183</v>
      </c>
      <c r="C9529" s="1976"/>
      <c r="D9529" s="1977"/>
      <c r="E9529" s="665">
        <f>+L9436</f>
        <v>6.4636154999999995</v>
      </c>
      <c r="F9529" s="1973">
        <v>16</v>
      </c>
      <c r="G9529" s="1974"/>
      <c r="H9529" s="1975" t="s">
        <v>447</v>
      </c>
      <c r="I9529" s="1976"/>
      <c r="J9529" s="1976"/>
      <c r="K9529" s="1977"/>
      <c r="L9529" s="1976" t="s">
        <v>1025</v>
      </c>
      <c r="M9529" s="1976"/>
      <c r="N9529" s="1976"/>
      <c r="O9529" s="1976"/>
      <c r="P9529" s="2010"/>
      <c r="Q9529" s="1358"/>
      <c r="R9529" s="1358"/>
    </row>
    <row r="9530" spans="1:18" s="497" customFormat="1" ht="17.399999999999999">
      <c r="A9530" s="664" t="s">
        <v>163</v>
      </c>
      <c r="B9530" s="1975" t="s">
        <v>184</v>
      </c>
      <c r="C9530" s="1976"/>
      <c r="D9530" s="1977"/>
      <c r="E9530" s="665">
        <f>+L9441</f>
        <v>7.65184</v>
      </c>
      <c r="F9530" s="1973">
        <v>16</v>
      </c>
      <c r="G9530" s="1974"/>
      <c r="H9530" s="1975" t="s">
        <v>447</v>
      </c>
      <c r="I9530" s="1976"/>
      <c r="J9530" s="1976"/>
      <c r="K9530" s="1977"/>
      <c r="L9530" s="1976" t="s">
        <v>1025</v>
      </c>
      <c r="M9530" s="1976"/>
      <c r="N9530" s="1976"/>
      <c r="O9530" s="1976"/>
      <c r="P9530" s="2010"/>
      <c r="Q9530" s="1358"/>
      <c r="R9530" s="1358"/>
    </row>
    <row r="9531" spans="1:18" s="497" customFormat="1" ht="17.399999999999999">
      <c r="A9531" s="664" t="s">
        <v>302</v>
      </c>
      <c r="B9531" s="1975" t="s">
        <v>185</v>
      </c>
      <c r="C9531" s="1976"/>
      <c r="D9531" s="1977"/>
      <c r="E9531" s="665">
        <f>+L9453</f>
        <v>9.1752119999999984</v>
      </c>
      <c r="F9531" s="1973">
        <v>16</v>
      </c>
      <c r="G9531" s="1974"/>
      <c r="H9531" s="1975" t="s">
        <v>447</v>
      </c>
      <c r="I9531" s="1976"/>
      <c r="J9531" s="1976"/>
      <c r="K9531" s="1977"/>
      <c r="L9531" s="1976" t="s">
        <v>1025</v>
      </c>
      <c r="M9531" s="1976"/>
      <c r="N9531" s="1976"/>
      <c r="O9531" s="1976"/>
      <c r="P9531" s="2010"/>
      <c r="Q9531" s="1358"/>
      <c r="R9531" s="1358"/>
    </row>
    <row r="9532" spans="1:18" s="497" customFormat="1" ht="17.399999999999999">
      <c r="A9532" s="664" t="s">
        <v>380</v>
      </c>
      <c r="B9532" s="1975" t="s">
        <v>186</v>
      </c>
      <c r="C9532" s="1976"/>
      <c r="D9532" s="1977"/>
      <c r="E9532" s="665">
        <f>+L9461</f>
        <v>14.776159999999999</v>
      </c>
      <c r="F9532" s="1973">
        <v>16</v>
      </c>
      <c r="G9532" s="1974"/>
      <c r="H9532" s="1975" t="s">
        <v>447</v>
      </c>
      <c r="I9532" s="1976"/>
      <c r="J9532" s="1976"/>
      <c r="K9532" s="1977"/>
      <c r="L9532" s="1976" t="s">
        <v>1025</v>
      </c>
      <c r="M9532" s="1976"/>
      <c r="N9532" s="1976"/>
      <c r="O9532" s="1976"/>
      <c r="P9532" s="2010"/>
      <c r="Q9532" s="1358"/>
      <c r="R9532" s="1358"/>
    </row>
    <row r="9533" spans="1:18" s="497" customFormat="1" ht="17.399999999999999">
      <c r="A9533" s="664" t="s">
        <v>434</v>
      </c>
      <c r="B9533" s="1975" t="s">
        <v>555</v>
      </c>
      <c r="C9533" s="1976"/>
      <c r="D9533" s="1977"/>
      <c r="E9533" s="665">
        <f>+L9467</f>
        <v>8.0122</v>
      </c>
      <c r="F9533" s="1973">
        <v>16</v>
      </c>
      <c r="G9533" s="1974"/>
      <c r="H9533" s="1975" t="s">
        <v>447</v>
      </c>
      <c r="I9533" s="1976"/>
      <c r="J9533" s="1976"/>
      <c r="K9533" s="1977"/>
      <c r="L9533" s="1976" t="s">
        <v>1025</v>
      </c>
      <c r="M9533" s="1976"/>
      <c r="N9533" s="1976"/>
      <c r="O9533" s="1976"/>
      <c r="P9533" s="2010"/>
      <c r="Q9533" s="1358"/>
      <c r="R9533" s="1358"/>
    </row>
    <row r="9534" spans="1:18" s="497" customFormat="1" ht="17.399999999999999">
      <c r="A9534" s="664" t="s">
        <v>474</v>
      </c>
      <c r="B9534" s="1975" t="s">
        <v>187</v>
      </c>
      <c r="C9534" s="1976"/>
      <c r="D9534" s="1977"/>
      <c r="E9534" s="665">
        <f>+L9477</f>
        <v>7.3478324999999991</v>
      </c>
      <c r="F9534" s="1973">
        <v>16</v>
      </c>
      <c r="G9534" s="1974"/>
      <c r="H9534" s="1975" t="s">
        <v>447</v>
      </c>
      <c r="I9534" s="1976"/>
      <c r="J9534" s="1976"/>
      <c r="K9534" s="1977"/>
      <c r="L9534" s="1976" t="s">
        <v>1025</v>
      </c>
      <c r="M9534" s="1976"/>
      <c r="N9534" s="1976"/>
      <c r="O9534" s="1976"/>
      <c r="P9534" s="2010"/>
      <c r="Q9534" s="1358"/>
      <c r="R9534" s="1358"/>
    </row>
    <row r="9535" spans="1:18" s="497" customFormat="1" ht="17.399999999999999">
      <c r="A9535" s="664" t="s">
        <v>475</v>
      </c>
      <c r="B9535" s="1975" t="s">
        <v>556</v>
      </c>
      <c r="C9535" s="1976"/>
      <c r="D9535" s="1977"/>
      <c r="E9535" s="665">
        <f>+L9494-11</f>
        <v>12.451119999999996</v>
      </c>
      <c r="F9535" s="1973">
        <v>16</v>
      </c>
      <c r="G9535" s="1974"/>
      <c r="H9535" s="1975" t="s">
        <v>447</v>
      </c>
      <c r="I9535" s="1976"/>
      <c r="J9535" s="1976"/>
      <c r="K9535" s="1977"/>
      <c r="L9535" s="1976" t="s">
        <v>1025</v>
      </c>
      <c r="M9535" s="1976"/>
      <c r="N9535" s="1976"/>
      <c r="O9535" s="1976"/>
      <c r="P9535" s="2010"/>
      <c r="Q9535" s="1358"/>
      <c r="R9535" s="1358"/>
    </row>
    <row r="9536" spans="1:18" s="497" customFormat="1" ht="17.399999999999999">
      <c r="A9536" s="664"/>
      <c r="B9536" s="1975"/>
      <c r="C9536" s="1976"/>
      <c r="D9536" s="1977"/>
      <c r="E9536" s="665"/>
      <c r="F9536" s="1973"/>
      <c r="G9536" s="1974"/>
      <c r="H9536" s="1975"/>
      <c r="I9536" s="1976"/>
      <c r="J9536" s="1976"/>
      <c r="K9536" s="1977"/>
      <c r="L9536" s="1976"/>
      <c r="M9536" s="1976"/>
      <c r="N9536" s="1976"/>
      <c r="O9536" s="1976"/>
      <c r="P9536" s="2010"/>
      <c r="Q9536" s="1358"/>
      <c r="R9536" s="1358"/>
    </row>
    <row r="9537" spans="1:18" s="497" customFormat="1" ht="17.399999999999999">
      <c r="A9537" s="664"/>
      <c r="B9537" s="1975"/>
      <c r="C9537" s="1976"/>
      <c r="D9537" s="1977"/>
      <c r="E9537" s="665"/>
      <c r="F9537" s="1973"/>
      <c r="G9537" s="1974"/>
      <c r="H9537" s="1975"/>
      <c r="I9537" s="1976"/>
      <c r="J9537" s="1976"/>
      <c r="K9537" s="1977"/>
      <c r="L9537" s="1976"/>
      <c r="M9537" s="1976"/>
      <c r="N9537" s="1976"/>
      <c r="O9537" s="1976"/>
      <c r="P9537" s="2010"/>
      <c r="Q9537" s="1358"/>
      <c r="R9537" s="1358"/>
    </row>
    <row r="9538" spans="1:18" ht="18" thickBot="1">
      <c r="A9538" s="664"/>
      <c r="B9538" s="1368"/>
      <c r="C9538" s="1369"/>
      <c r="D9538" s="1369"/>
      <c r="E9538" s="665"/>
      <c r="F9538" s="1369"/>
      <c r="G9538" s="1370"/>
      <c r="H9538" s="1368"/>
      <c r="I9538" s="1842"/>
      <c r="J9538" s="1369"/>
      <c r="K9538" s="669"/>
      <c r="L9538" s="672"/>
      <c r="M9538" s="673"/>
      <c r="N9538" s="673"/>
      <c r="O9538" s="673"/>
      <c r="P9538" s="2010"/>
      <c r="Q9538" s="1358"/>
      <c r="R9538" s="1358"/>
    </row>
    <row r="9539" spans="1:18" ht="17.399999999999999">
      <c r="A9539" s="674"/>
      <c r="B9539" s="675"/>
      <c r="C9539" s="676"/>
      <c r="D9539" s="676"/>
      <c r="E9539" s="1980">
        <f>SUM(E9521:E9538)</f>
        <v>210.73156900000001</v>
      </c>
      <c r="F9539" s="677"/>
      <c r="G9539" s="678"/>
      <c r="H9539" s="679"/>
      <c r="I9539" s="1848"/>
      <c r="J9539" s="676"/>
      <c r="K9539" s="680"/>
      <c r="L9539" s="679"/>
      <c r="M9539" s="676"/>
      <c r="N9539" s="677"/>
      <c r="O9539" s="676"/>
      <c r="P9539" s="2010"/>
      <c r="Q9539" s="1358"/>
      <c r="R9539" s="1358"/>
    </row>
    <row r="9540" spans="1:18" ht="18" thickBot="1">
      <c r="A9540" s="681"/>
      <c r="B9540" s="682"/>
      <c r="C9540" s="683"/>
      <c r="D9540" s="683"/>
      <c r="E9540" s="1981"/>
      <c r="F9540" s="684"/>
      <c r="G9540" s="685"/>
      <c r="H9540" s="686"/>
      <c r="I9540" s="1850"/>
      <c r="J9540" s="683"/>
      <c r="K9540" s="687"/>
      <c r="L9540" s="686"/>
      <c r="M9540" s="683"/>
      <c r="N9540" s="684"/>
      <c r="O9540" s="683"/>
      <c r="P9540" s="2010"/>
      <c r="Q9540" s="1358"/>
      <c r="R9540" s="1358"/>
    </row>
    <row r="9541" spans="1:18" ht="17.399999999999999">
      <c r="A9541" s="688" t="s">
        <v>31</v>
      </c>
      <c r="B9541" s="676"/>
      <c r="C9541" s="676"/>
      <c r="D9541" s="676"/>
      <c r="E9541" s="676"/>
      <c r="F9541" s="677"/>
      <c r="G9541" s="676"/>
      <c r="H9541" s="677"/>
      <c r="I9541" s="1848"/>
      <c r="J9541" s="676"/>
      <c r="K9541" s="689"/>
      <c r="L9541" s="677"/>
      <c r="M9541" s="676"/>
      <c r="N9541" s="677"/>
      <c r="O9541" s="676"/>
      <c r="P9541" s="2010"/>
      <c r="Q9541" s="1358"/>
      <c r="R9541" s="1358"/>
    </row>
    <row r="9542" spans="1:18" ht="17.399999999999999">
      <c r="A9542" s="690"/>
      <c r="B9542" s="691"/>
      <c r="C9542" s="691"/>
      <c r="D9542" s="691"/>
      <c r="E9542" s="691"/>
      <c r="F9542" s="1375"/>
      <c r="G9542" s="691"/>
      <c r="H9542" s="1375"/>
      <c r="I9542" s="1849"/>
      <c r="J9542" s="691"/>
      <c r="K9542" s="693"/>
      <c r="L9542" s="1375"/>
      <c r="M9542" s="691"/>
      <c r="N9542" s="1375"/>
      <c r="O9542" s="691"/>
      <c r="P9542" s="2010"/>
      <c r="Q9542" s="1358"/>
      <c r="R9542" s="1358"/>
    </row>
    <row r="9543" spans="1:18" ht="18" thickBot="1">
      <c r="A9543" s="1982" t="s">
        <v>32</v>
      </c>
      <c r="B9543" s="1983"/>
      <c r="C9543" s="1984" t="s">
        <v>33</v>
      </c>
      <c r="D9543" s="1985"/>
      <c r="E9543" s="694" t="s">
        <v>34</v>
      </c>
      <c r="F9543" s="694" t="s">
        <v>35</v>
      </c>
      <c r="G9543" s="1986" t="s">
        <v>36</v>
      </c>
      <c r="H9543" s="1987"/>
      <c r="I9543" s="1987"/>
      <c r="J9543" s="1987"/>
      <c r="K9543" s="1987"/>
      <c r="L9543" s="1987"/>
      <c r="M9543" s="1987"/>
      <c r="N9543" s="1987"/>
      <c r="O9543" s="1987"/>
      <c r="P9543" s="2010"/>
      <c r="Q9543" s="1358"/>
      <c r="R9543" s="1358"/>
    </row>
    <row r="9544" spans="1:18" ht="17.399999999999999">
      <c r="A9544" s="1988"/>
      <c r="B9544" s="1989"/>
      <c r="C9544" s="1990"/>
      <c r="D9544" s="1989"/>
      <c r="E9544" s="1374"/>
      <c r="F9544" s="1372"/>
      <c r="G9544" s="1991"/>
      <c r="H9544" s="1992"/>
      <c r="I9544" s="1992"/>
      <c r="J9544" s="1992"/>
      <c r="K9544" s="1992"/>
      <c r="L9544" s="1992"/>
      <c r="M9544" s="1992"/>
      <c r="N9544" s="1992"/>
      <c r="O9544" s="1992"/>
      <c r="P9544" s="2010"/>
      <c r="Q9544" s="1358"/>
      <c r="R9544" s="1358"/>
    </row>
    <row r="9545" spans="1:18" ht="17.399999999999999">
      <c r="A9545" s="1997" t="s">
        <v>37</v>
      </c>
      <c r="B9545" s="1998"/>
      <c r="C9545" s="1990"/>
      <c r="D9545" s="1989"/>
      <c r="E9545" s="1374"/>
      <c r="F9545" s="1372"/>
      <c r="G9545" s="1993"/>
      <c r="H9545" s="1994"/>
      <c r="I9545" s="1994"/>
      <c r="J9545" s="1994"/>
      <c r="K9545" s="1994"/>
      <c r="L9545" s="1994"/>
      <c r="M9545" s="1994"/>
      <c r="N9545" s="1994"/>
      <c r="O9545" s="1994"/>
      <c r="P9545" s="2010"/>
      <c r="Q9545" s="1358"/>
      <c r="R9545" s="1358"/>
    </row>
    <row r="9546" spans="1:18" ht="17.399999999999999">
      <c r="A9546" s="1997" t="s">
        <v>38</v>
      </c>
      <c r="B9546" s="1998"/>
      <c r="C9546" s="1990"/>
      <c r="D9546" s="1989"/>
      <c r="E9546" s="1374"/>
      <c r="F9546" s="1372"/>
      <c r="G9546" s="1993"/>
      <c r="H9546" s="1994"/>
      <c r="I9546" s="1994"/>
      <c r="J9546" s="1994"/>
      <c r="K9546" s="1994"/>
      <c r="L9546" s="1994"/>
      <c r="M9546" s="1994"/>
      <c r="N9546" s="1994"/>
      <c r="O9546" s="1994"/>
      <c r="P9546" s="2010"/>
      <c r="Q9546" s="1358"/>
      <c r="R9546" s="1358"/>
    </row>
    <row r="9547" spans="1:18" ht="17.399999999999999">
      <c r="A9547" s="1997" t="s">
        <v>39</v>
      </c>
      <c r="B9547" s="1998"/>
      <c r="C9547" s="1990"/>
      <c r="D9547" s="1989"/>
      <c r="E9547" s="1374"/>
      <c r="F9547" s="1372"/>
      <c r="G9547" s="1993"/>
      <c r="H9547" s="1994"/>
      <c r="I9547" s="1994"/>
      <c r="J9547" s="1994"/>
      <c r="K9547" s="1994"/>
      <c r="L9547" s="1994"/>
      <c r="M9547" s="1994"/>
      <c r="N9547" s="1994"/>
      <c r="O9547" s="1994"/>
      <c r="P9547" s="2010"/>
      <c r="Q9547" s="1358"/>
      <c r="R9547" s="1358"/>
    </row>
    <row r="9548" spans="1:18" ht="17.399999999999999">
      <c r="A9548" s="1997" t="s">
        <v>40</v>
      </c>
      <c r="B9548" s="1998"/>
      <c r="C9548" s="1990"/>
      <c r="D9548" s="1989"/>
      <c r="E9548" s="1374"/>
      <c r="F9548" s="1372"/>
      <c r="G9548" s="1993"/>
      <c r="H9548" s="1994"/>
      <c r="I9548" s="1994"/>
      <c r="J9548" s="1994"/>
      <c r="K9548" s="1994"/>
      <c r="L9548" s="1994"/>
      <c r="M9548" s="1994"/>
      <c r="N9548" s="1994"/>
      <c r="O9548" s="1994"/>
      <c r="P9548" s="2010"/>
      <c r="Q9548" s="1358"/>
      <c r="R9548" s="1358"/>
    </row>
    <row r="9549" spans="1:18" ht="18" thickBot="1">
      <c r="A9549" s="1999" t="s">
        <v>41</v>
      </c>
      <c r="B9549" s="2000"/>
      <c r="C9549" s="2001"/>
      <c r="D9549" s="2002"/>
      <c r="E9549" s="696"/>
      <c r="F9549" s="1373"/>
      <c r="G9549" s="1995"/>
      <c r="H9549" s="1996"/>
      <c r="I9549" s="1996"/>
      <c r="J9549" s="1996"/>
      <c r="K9549" s="1996"/>
      <c r="L9549" s="1996"/>
      <c r="M9549" s="1996"/>
      <c r="N9549" s="1996"/>
      <c r="O9549" s="1996"/>
      <c r="P9549" s="2010"/>
      <c r="Q9549" s="1358"/>
      <c r="R9549" s="1358"/>
    </row>
    <row r="9550" spans="1:18" ht="18">
      <c r="A9550" s="690"/>
      <c r="B9550" s="691"/>
      <c r="C9550" s="691"/>
      <c r="D9550" s="691"/>
      <c r="E9550" s="691"/>
      <c r="F9550" s="1375"/>
      <c r="G9550" s="691"/>
      <c r="H9550" s="698"/>
      <c r="I9550" s="699"/>
      <c r="J9550" s="700"/>
      <c r="K9550" s="701"/>
      <c r="L9550" s="702"/>
      <c r="M9550" s="691"/>
      <c r="N9550" s="1375"/>
      <c r="O9550" s="691"/>
      <c r="P9550" s="2010"/>
      <c r="Q9550" s="1358"/>
      <c r="R9550" s="1358"/>
    </row>
    <row r="9551" spans="1:18" ht="18">
      <c r="A9551" s="703" t="s">
        <v>42</v>
      </c>
      <c r="B9551" s="704"/>
      <c r="C9551" s="691"/>
      <c r="D9551" s="691"/>
      <c r="E9551" s="691"/>
      <c r="F9551" s="1375"/>
      <c r="G9551" s="704"/>
      <c r="H9551" s="698"/>
      <c r="I9551" s="699"/>
      <c r="J9551" s="700"/>
      <c r="K9551" s="693"/>
      <c r="L9551" s="705"/>
      <c r="M9551" s="691"/>
      <c r="N9551" s="1979" t="s">
        <v>43</v>
      </c>
      <c r="O9551" s="1979"/>
      <c r="P9551" s="2010"/>
      <c r="Q9551" s="1358"/>
      <c r="R9551" s="1358"/>
    </row>
    <row r="9552" spans="1:18" ht="17.399999999999999">
      <c r="A9552" s="703"/>
      <c r="B9552" s="704"/>
      <c r="C9552" s="691"/>
      <c r="D9552" s="691"/>
      <c r="E9552" s="691"/>
      <c r="F9552" s="1375"/>
      <c r="G9552" s="691"/>
      <c r="H9552" s="1375"/>
      <c r="I9552" s="1849"/>
      <c r="J9552" s="691"/>
      <c r="K9552" s="693"/>
      <c r="L9552" s="1375"/>
      <c r="M9552" s="691"/>
      <c r="N9552" s="1375"/>
      <c r="O9552" s="704"/>
      <c r="P9552" s="2010"/>
      <c r="Q9552" s="1358"/>
      <c r="R9552" s="1358"/>
    </row>
    <row r="9553" spans="1:18" ht="17.399999999999999">
      <c r="A9553" s="703" t="s">
        <v>44</v>
      </c>
      <c r="B9553" s="704"/>
      <c r="C9553" s="691"/>
      <c r="D9553" s="691"/>
      <c r="E9553" s="691"/>
      <c r="F9553" s="1375"/>
      <c r="G9553" s="691"/>
      <c r="H9553" s="1375"/>
      <c r="I9553" s="1849"/>
      <c r="J9553" s="691"/>
      <c r="K9553" s="693"/>
      <c r="L9553" s="1375"/>
      <c r="M9553" s="691"/>
      <c r="N9553" s="1979" t="s">
        <v>45</v>
      </c>
      <c r="O9553" s="1979"/>
      <c r="P9553" s="2010"/>
      <c r="Q9553" s="1358"/>
      <c r="R9553" s="1358"/>
    </row>
    <row r="9554" spans="1:18" ht="18" thickBot="1">
      <c r="A9554" s="682"/>
      <c r="B9554" s="683"/>
      <c r="C9554" s="683"/>
      <c r="D9554" s="683"/>
      <c r="E9554" s="683"/>
      <c r="F9554" s="684"/>
      <c r="G9554" s="683"/>
      <c r="H9554" s="684"/>
      <c r="I9554" s="1850"/>
      <c r="J9554" s="683"/>
      <c r="K9554" s="706"/>
      <c r="L9554" s="684"/>
      <c r="M9554" s="683"/>
      <c r="N9554" s="684"/>
      <c r="O9554" s="683"/>
      <c r="P9554" s="2010"/>
      <c r="Q9554" s="1358"/>
      <c r="R9554" s="1358"/>
    </row>
    <row r="9557" spans="1:18">
      <c r="A9557" s="497"/>
      <c r="B9557" s="497"/>
      <c r="C9557" s="497"/>
      <c r="D9557" s="497"/>
      <c r="E9557" s="497"/>
      <c r="F9557" s="497"/>
      <c r="G9557" s="497"/>
      <c r="H9557" s="497"/>
      <c r="J9557" s="497"/>
      <c r="L9557" s="1328"/>
      <c r="M9557" s="497"/>
      <c r="N9557" s="497"/>
      <c r="O9557" s="497"/>
      <c r="P9557" s="497"/>
    </row>
    <row r="9558" spans="1:18">
      <c r="A9558" s="497"/>
      <c r="B9558" s="497"/>
      <c r="C9558" s="497"/>
      <c r="D9558" s="497"/>
      <c r="E9558" s="497"/>
      <c r="F9558" s="497"/>
      <c r="G9558" s="497"/>
      <c r="H9558" s="497"/>
      <c r="J9558" s="497"/>
      <c r="L9558" s="1328"/>
      <c r="M9558" s="497"/>
      <c r="N9558" s="497"/>
      <c r="O9558" s="497"/>
      <c r="P9558" s="497"/>
    </row>
    <row r="9559" spans="1:18" ht="17.399999999999999">
      <c r="A9559" s="653" t="s">
        <v>48</v>
      </c>
      <c r="B9559" s="653"/>
      <c r="C9559" s="654"/>
      <c r="D9559" s="654"/>
      <c r="E9559" s="654"/>
      <c r="F9559" s="1326"/>
      <c r="G9559" s="654"/>
      <c r="H9559" s="1326"/>
      <c r="I9559" s="656"/>
      <c r="J9559" s="654"/>
      <c r="K9559" s="657"/>
      <c r="L9559" s="2003" t="s">
        <v>0</v>
      </c>
      <c r="M9559" s="2003"/>
      <c r="N9559" s="2003"/>
      <c r="O9559" s="2004"/>
      <c r="P9559" s="2010"/>
    </row>
    <row r="9560" spans="1:18" ht="17.399999999999999">
      <c r="A9560" s="658" t="s">
        <v>1</v>
      </c>
      <c r="B9560" s="658"/>
      <c r="C9560" s="658"/>
      <c r="D9560" s="659" t="s">
        <v>2</v>
      </c>
      <c r="E9560" s="659"/>
      <c r="F9560" s="660"/>
      <c r="G9560" s="660"/>
      <c r="H9560" s="660"/>
      <c r="I9560" s="661"/>
      <c r="J9560" s="660"/>
      <c r="K9560" s="662" t="s">
        <v>3</v>
      </c>
      <c r="L9560" s="660"/>
      <c r="M9560" s="658"/>
      <c r="N9560" s="660"/>
      <c r="O9560" s="663"/>
      <c r="P9560" s="2010"/>
    </row>
    <row r="9561" spans="1:18" ht="17.399999999999999">
      <c r="A9561" s="1326" t="s">
        <v>22</v>
      </c>
      <c r="B9561" s="1990" t="s">
        <v>23</v>
      </c>
      <c r="C9561" s="2005"/>
      <c r="D9561" s="1989"/>
      <c r="E9561" s="1326" t="s">
        <v>24</v>
      </c>
      <c r="F9561" s="1990" t="s">
        <v>25</v>
      </c>
      <c r="G9561" s="1989"/>
      <c r="H9561" s="1990" t="s">
        <v>26</v>
      </c>
      <c r="I9561" s="2005"/>
      <c r="J9561" s="2005"/>
      <c r="K9561" s="1989"/>
      <c r="L9561" s="2006" t="s">
        <v>27</v>
      </c>
      <c r="M9561" s="2006"/>
      <c r="N9561" s="2006"/>
      <c r="O9561" s="1990"/>
      <c r="P9561" s="2010"/>
    </row>
    <row r="9562" spans="1:18" ht="17.399999999999999">
      <c r="A9562" s="664"/>
      <c r="B9562" s="1975"/>
      <c r="C9562" s="1976"/>
      <c r="D9562" s="1977"/>
      <c r="E9562" s="665"/>
      <c r="F9562" s="1975"/>
      <c r="G9562" s="1977"/>
      <c r="H9562" s="1975"/>
      <c r="I9562" s="1976"/>
      <c r="J9562" s="1976"/>
      <c r="K9562" s="1977"/>
      <c r="L9562" s="1975"/>
      <c r="M9562" s="1976"/>
      <c r="N9562" s="1976"/>
      <c r="O9562" s="1976"/>
      <c r="P9562" s="2010"/>
    </row>
    <row r="9563" spans="1:18" ht="17.399999999999999">
      <c r="A9563" s="664"/>
      <c r="B9563" s="1321"/>
      <c r="C9563" s="1322"/>
      <c r="D9563" s="1323"/>
      <c r="E9563" s="665"/>
      <c r="F9563" s="1321"/>
      <c r="G9563" s="1323"/>
      <c r="H9563" s="1321"/>
      <c r="I9563" s="1842"/>
      <c r="J9563" s="1322"/>
      <c r="K9563" s="1323"/>
      <c r="L9563" s="1322"/>
      <c r="M9563" s="1322"/>
      <c r="N9563" s="1322"/>
      <c r="O9563" s="1322"/>
      <c r="P9563" s="2010"/>
    </row>
    <row r="9564" spans="1:18" ht="17.399999999999999">
      <c r="A9564" s="664" t="s">
        <v>28</v>
      </c>
      <c r="B9564" s="1975" t="s">
        <v>56</v>
      </c>
      <c r="C9564" s="1976"/>
      <c r="D9564" s="1977"/>
      <c r="E9564" s="665">
        <v>6.6529999999999996</v>
      </c>
      <c r="F9564" s="1973">
        <v>11</v>
      </c>
      <c r="G9564" s="1974"/>
      <c r="H9564" s="1975" t="s">
        <v>447</v>
      </c>
      <c r="I9564" s="1976"/>
      <c r="J9564" s="1976"/>
      <c r="K9564" s="1977"/>
      <c r="L9564" s="1976" t="s">
        <v>65</v>
      </c>
      <c r="M9564" s="1976"/>
      <c r="N9564" s="1976"/>
      <c r="O9564" s="1976"/>
      <c r="P9564" s="2010"/>
    </row>
    <row r="9565" spans="1:18" ht="17.399999999999999">
      <c r="A9565" s="664" t="s">
        <v>29</v>
      </c>
      <c r="B9565" s="1975" t="s">
        <v>55</v>
      </c>
      <c r="C9565" s="1976"/>
      <c r="D9565" s="1977"/>
      <c r="E9565" s="665">
        <f>94.351</f>
        <v>94.350999999999999</v>
      </c>
      <c r="F9565" s="1973">
        <v>11</v>
      </c>
      <c r="G9565" s="1974"/>
      <c r="H9565" s="1975" t="s">
        <v>447</v>
      </c>
      <c r="I9565" s="1976"/>
      <c r="J9565" s="1976"/>
      <c r="K9565" s="1977"/>
      <c r="L9565" s="1976" t="s">
        <v>1044</v>
      </c>
      <c r="M9565" s="1976"/>
      <c r="N9565" s="1976"/>
      <c r="O9565" s="1976"/>
      <c r="P9565" s="2010"/>
    </row>
    <row r="9566" spans="1:18" ht="17.399999999999999">
      <c r="A9566" s="664" t="s">
        <v>30</v>
      </c>
      <c r="B9566" s="1975" t="s">
        <v>79</v>
      </c>
      <c r="C9566" s="1976"/>
      <c r="D9566" s="1977"/>
      <c r="E9566" s="665">
        <f>46.915</f>
        <v>46.914999999999999</v>
      </c>
      <c r="F9566" s="1973">
        <v>11</v>
      </c>
      <c r="G9566" s="1974"/>
      <c r="H9566" s="1975" t="s">
        <v>447</v>
      </c>
      <c r="I9566" s="1976"/>
      <c r="J9566" s="1976"/>
      <c r="K9566" s="1977"/>
      <c r="L9566" s="1976" t="s">
        <v>1045</v>
      </c>
      <c r="M9566" s="1976"/>
      <c r="N9566" s="1976"/>
      <c r="O9566" s="1976"/>
      <c r="P9566" s="2010"/>
    </row>
    <row r="9567" spans="1:18" ht="17.399999999999999">
      <c r="A9567" s="664"/>
      <c r="B9567" s="1321"/>
      <c r="C9567" s="1322"/>
      <c r="D9567" s="1323"/>
      <c r="E9567" s="665"/>
      <c r="F9567" s="1319"/>
      <c r="G9567" s="1320"/>
      <c r="H9567" s="1321"/>
      <c r="I9567" s="1842"/>
      <c r="J9567" s="1322"/>
      <c r="K9567" s="1323"/>
      <c r="L9567" s="1322"/>
      <c r="M9567" s="1322"/>
      <c r="N9567" s="1322"/>
      <c r="O9567" s="1322"/>
      <c r="P9567" s="2010"/>
    </row>
    <row r="9568" spans="1:18" s="497" customFormat="1" ht="17.399999999999999">
      <c r="A9568" s="664" t="s">
        <v>46</v>
      </c>
      <c r="B9568" s="1975" t="s">
        <v>413</v>
      </c>
      <c r="C9568" s="1976"/>
      <c r="D9568" s="1977"/>
      <c r="E9568" s="665">
        <v>65.295000000000002</v>
      </c>
      <c r="F9568" s="1973">
        <v>11</v>
      </c>
      <c r="G9568" s="1974"/>
      <c r="H9568" s="1975" t="s">
        <v>854</v>
      </c>
      <c r="I9568" s="1976"/>
      <c r="J9568" s="1976"/>
      <c r="K9568" s="1977"/>
      <c r="L9568" s="1976" t="s">
        <v>1046</v>
      </c>
      <c r="M9568" s="1976"/>
      <c r="N9568" s="1976"/>
      <c r="O9568" s="1976"/>
      <c r="P9568" s="2010"/>
    </row>
    <row r="9569" spans="1:16" s="497" customFormat="1" ht="17.399999999999999">
      <c r="A9569" s="664" t="s">
        <v>58</v>
      </c>
      <c r="B9569" s="1975" t="s">
        <v>56</v>
      </c>
      <c r="C9569" s="1976"/>
      <c r="D9569" s="1977"/>
      <c r="E9569" s="665">
        <v>6.391</v>
      </c>
      <c r="F9569" s="1973">
        <v>11</v>
      </c>
      <c r="G9569" s="1974"/>
      <c r="H9569" s="1975" t="s">
        <v>854</v>
      </c>
      <c r="I9569" s="1976"/>
      <c r="J9569" s="1976"/>
      <c r="K9569" s="1977"/>
      <c r="L9569" s="1976" t="s">
        <v>1046</v>
      </c>
      <c r="M9569" s="1976"/>
      <c r="N9569" s="1976"/>
      <c r="O9569" s="1976"/>
      <c r="P9569" s="2010"/>
    </row>
    <row r="9570" spans="1:16" s="497" customFormat="1" ht="17.399999999999999">
      <c r="A9570" s="664"/>
      <c r="B9570" s="1321"/>
      <c r="C9570" s="1322"/>
      <c r="D9570" s="1323"/>
      <c r="E9570" s="665"/>
      <c r="F9570" s="1319"/>
      <c r="G9570" s="1320"/>
      <c r="H9570" s="1321"/>
      <c r="I9570" s="1842"/>
      <c r="J9570" s="1322"/>
      <c r="K9570" s="1323"/>
      <c r="L9570" s="1322"/>
      <c r="M9570" s="1322"/>
      <c r="N9570" s="1322"/>
      <c r="O9570" s="1322"/>
      <c r="P9570" s="2010"/>
    </row>
    <row r="9571" spans="1:16" ht="17.399999999999999">
      <c r="A9571" s="664"/>
      <c r="B9571" s="1321"/>
      <c r="C9571" s="1322"/>
      <c r="D9571" s="1323"/>
      <c r="E9571" s="665"/>
      <c r="F9571" s="1319"/>
      <c r="G9571" s="1320"/>
      <c r="H9571" s="1321"/>
      <c r="I9571" s="1842"/>
      <c r="J9571" s="1322"/>
      <c r="K9571" s="1323"/>
      <c r="L9571" s="1322"/>
      <c r="M9571" s="1322"/>
      <c r="N9571" s="1322"/>
      <c r="O9571" s="1322"/>
      <c r="P9571" s="2010"/>
    </row>
    <row r="9572" spans="1:16" ht="17.399999999999999">
      <c r="A9572" s="664" t="s">
        <v>163</v>
      </c>
      <c r="B9572" s="1975" t="s">
        <v>280</v>
      </c>
      <c r="C9572" s="1976"/>
      <c r="D9572" s="1977"/>
      <c r="E9572" s="665">
        <v>21.29</v>
      </c>
      <c r="F9572" s="1973">
        <v>11</v>
      </c>
      <c r="G9572" s="1974"/>
      <c r="H9572" s="1975" t="s">
        <v>582</v>
      </c>
      <c r="I9572" s="1976"/>
      <c r="J9572" s="1976"/>
      <c r="K9572" s="1977"/>
      <c r="L9572" s="1976" t="s">
        <v>64</v>
      </c>
      <c r="M9572" s="1976"/>
      <c r="N9572" s="1976"/>
      <c r="O9572" s="1976"/>
      <c r="P9572" s="2010"/>
    </row>
    <row r="9573" spans="1:16" ht="17.399999999999999">
      <c r="A9573" s="664"/>
      <c r="B9573" s="1975"/>
      <c r="C9573" s="1976"/>
      <c r="D9573" s="1977"/>
      <c r="E9573" s="665"/>
      <c r="F9573" s="1973"/>
      <c r="G9573" s="1974"/>
      <c r="H9573" s="1975"/>
      <c r="I9573" s="1976"/>
      <c r="J9573" s="1976"/>
      <c r="K9573" s="1977"/>
      <c r="L9573" s="1976"/>
      <c r="M9573" s="1976"/>
      <c r="N9573" s="1976"/>
      <c r="O9573" s="1976"/>
      <c r="P9573" s="2010"/>
    </row>
    <row r="9574" spans="1:16" ht="17.399999999999999">
      <c r="A9574" s="664" t="s">
        <v>302</v>
      </c>
      <c r="B9574" s="1975" t="s">
        <v>676</v>
      </c>
      <c r="C9574" s="1976"/>
      <c r="D9574" s="1977"/>
      <c r="E9574" s="665">
        <v>17.309000000000001</v>
      </c>
      <c r="F9574" s="1973">
        <v>11</v>
      </c>
      <c r="G9574" s="1974"/>
      <c r="H9574" s="1975" t="s">
        <v>450</v>
      </c>
      <c r="I9574" s="1976"/>
      <c r="J9574" s="1976"/>
      <c r="K9574" s="1977"/>
      <c r="L9574" s="1976" t="s">
        <v>64</v>
      </c>
      <c r="M9574" s="1976"/>
      <c r="N9574" s="1976"/>
      <c r="O9574" s="1976"/>
      <c r="P9574" s="2010"/>
    </row>
    <row r="9575" spans="1:16" ht="17.399999999999999">
      <c r="A9575" s="664"/>
      <c r="B9575" s="1321"/>
      <c r="C9575" s="1322"/>
      <c r="D9575" s="1323"/>
      <c r="E9575" s="665"/>
      <c r="F9575" s="1319"/>
      <c r="G9575" s="1320"/>
      <c r="H9575" s="1321"/>
      <c r="I9575" s="1842"/>
      <c r="J9575" s="1322"/>
      <c r="K9575" s="1323"/>
      <c r="L9575" s="1322"/>
      <c r="M9575" s="1322"/>
      <c r="N9575" s="1322"/>
      <c r="O9575" s="1322"/>
      <c r="P9575" s="2010"/>
    </row>
    <row r="9576" spans="1:16" ht="17.399999999999999">
      <c r="A9576" s="664"/>
      <c r="B9576" s="1321"/>
      <c r="C9576" s="1322"/>
      <c r="D9576" s="1323"/>
      <c r="E9576" s="665"/>
      <c r="F9576" s="1319"/>
      <c r="G9576" s="1320"/>
      <c r="H9576" s="1321"/>
      <c r="I9576" s="1842"/>
      <c r="J9576" s="1322"/>
      <c r="K9576" s="1323"/>
      <c r="L9576" s="1322"/>
      <c r="M9576" s="1322"/>
      <c r="N9576" s="1322"/>
      <c r="O9576" s="1322"/>
      <c r="P9576" s="2010"/>
    </row>
    <row r="9577" spans="1:16" ht="17.399999999999999">
      <c r="A9577" s="664" t="s">
        <v>380</v>
      </c>
      <c r="B9577" s="1975" t="s">
        <v>280</v>
      </c>
      <c r="C9577" s="1976"/>
      <c r="D9577" s="1977"/>
      <c r="E9577" s="665">
        <v>43.079000000000001</v>
      </c>
      <c r="F9577" s="1973">
        <v>8.5</v>
      </c>
      <c r="G9577" s="1974"/>
      <c r="H9577" s="1975" t="s">
        <v>450</v>
      </c>
      <c r="I9577" s="1976"/>
      <c r="J9577" s="1976"/>
      <c r="K9577" s="1977"/>
      <c r="L9577" s="1976" t="s">
        <v>64</v>
      </c>
      <c r="M9577" s="1976"/>
      <c r="N9577" s="1976"/>
      <c r="O9577" s="1976"/>
      <c r="P9577" s="2010"/>
    </row>
    <row r="9578" spans="1:16" ht="17.399999999999999">
      <c r="A9578" s="664"/>
      <c r="B9578" s="1975"/>
      <c r="C9578" s="1976"/>
      <c r="D9578" s="1977"/>
      <c r="E9578" s="665"/>
      <c r="F9578" s="1973"/>
      <c r="G9578" s="1974"/>
      <c r="H9578" s="1975"/>
      <c r="I9578" s="1976"/>
      <c r="J9578" s="1976"/>
      <c r="K9578" s="1977"/>
      <c r="L9578" s="1976"/>
      <c r="M9578" s="1976"/>
      <c r="N9578" s="1976"/>
      <c r="O9578" s="1976"/>
      <c r="P9578" s="2010"/>
    </row>
    <row r="9579" spans="1:16" ht="17.399999999999999">
      <c r="A9579" s="664"/>
      <c r="B9579" s="1975"/>
      <c r="C9579" s="1976"/>
      <c r="D9579" s="1977"/>
      <c r="E9579" s="665"/>
      <c r="F9579" s="1973"/>
      <c r="G9579" s="1974"/>
      <c r="H9579" s="1975"/>
      <c r="I9579" s="1976"/>
      <c r="J9579" s="1976"/>
      <c r="K9579" s="1977"/>
      <c r="L9579" s="1976"/>
      <c r="M9579" s="1976"/>
      <c r="N9579" s="1976"/>
      <c r="O9579" s="1976"/>
      <c r="P9579" s="2010"/>
    </row>
    <row r="9580" spans="1:16" ht="18" thickBot="1">
      <c r="A9580" s="664"/>
      <c r="B9580" s="1321"/>
      <c r="C9580" s="1322"/>
      <c r="D9580" s="1322"/>
      <c r="E9580" s="665"/>
      <c r="F9580" s="1322"/>
      <c r="G9580" s="1323"/>
      <c r="H9580" s="1321"/>
      <c r="I9580" s="1842"/>
      <c r="J9580" s="1322"/>
      <c r="K9580" s="669"/>
      <c r="L9580" s="672"/>
      <c r="M9580" s="673"/>
      <c r="N9580" s="673"/>
      <c r="O9580" s="673"/>
      <c r="P9580" s="2010"/>
    </row>
    <row r="9581" spans="1:16" ht="17.399999999999999">
      <c r="A9581" s="674"/>
      <c r="B9581" s="675"/>
      <c r="C9581" s="676"/>
      <c r="D9581" s="676"/>
      <c r="E9581" s="1980">
        <f>SUM(E9562:E9580)</f>
        <v>301.28300000000002</v>
      </c>
      <c r="F9581" s="677"/>
      <c r="G9581" s="678"/>
      <c r="H9581" s="679"/>
      <c r="I9581" s="1848"/>
      <c r="J9581" s="676"/>
      <c r="K9581" s="680"/>
      <c r="L9581" s="679"/>
      <c r="M9581" s="676"/>
      <c r="N9581" s="677"/>
      <c r="O9581" s="676"/>
      <c r="P9581" s="2010"/>
    </row>
    <row r="9582" spans="1:16" ht="18" thickBot="1">
      <c r="A9582" s="681"/>
      <c r="B9582" s="682"/>
      <c r="C9582" s="683"/>
      <c r="D9582" s="683"/>
      <c r="E9582" s="1981"/>
      <c r="F9582" s="684"/>
      <c r="G9582" s="685"/>
      <c r="H9582" s="686"/>
      <c r="I9582" s="1850"/>
      <c r="J9582" s="683"/>
      <c r="K9582" s="687"/>
      <c r="L9582" s="686"/>
      <c r="M9582" s="683"/>
      <c r="N9582" s="684"/>
      <c r="O9582" s="683"/>
      <c r="P9582" s="2010"/>
    </row>
    <row r="9583" spans="1:16" ht="17.399999999999999">
      <c r="A9583" s="688" t="s">
        <v>31</v>
      </c>
      <c r="B9583" s="676"/>
      <c r="C9583" s="676"/>
      <c r="D9583" s="676"/>
      <c r="E9583" s="676"/>
      <c r="F9583" s="677"/>
      <c r="G9583" s="676"/>
      <c r="H9583" s="677"/>
      <c r="I9583" s="1848"/>
      <c r="J9583" s="676"/>
      <c r="K9583" s="689"/>
      <c r="L9583" s="677"/>
      <c r="M9583" s="676"/>
      <c r="N9583" s="677"/>
      <c r="O9583" s="676"/>
      <c r="P9583" s="2010"/>
    </row>
    <row r="9584" spans="1:16" ht="17.399999999999999">
      <c r="A9584" s="690"/>
      <c r="B9584" s="691"/>
      <c r="C9584" s="691"/>
      <c r="D9584" s="691"/>
      <c r="E9584" s="691"/>
      <c r="F9584" s="1327"/>
      <c r="G9584" s="691"/>
      <c r="H9584" s="1327"/>
      <c r="I9584" s="1849"/>
      <c r="J9584" s="691"/>
      <c r="K9584" s="693"/>
      <c r="L9584" s="1327"/>
      <c r="M9584" s="691"/>
      <c r="N9584" s="1327"/>
      <c r="O9584" s="691"/>
      <c r="P9584" s="2010"/>
    </row>
    <row r="9585" spans="1:16" ht="18" thickBot="1">
      <c r="A9585" s="1982" t="s">
        <v>32</v>
      </c>
      <c r="B9585" s="1983"/>
      <c r="C9585" s="1984" t="s">
        <v>33</v>
      </c>
      <c r="D9585" s="1985"/>
      <c r="E9585" s="694" t="s">
        <v>34</v>
      </c>
      <c r="F9585" s="694" t="s">
        <v>35</v>
      </c>
      <c r="G9585" s="1986" t="s">
        <v>36</v>
      </c>
      <c r="H9585" s="1987"/>
      <c r="I9585" s="1987"/>
      <c r="J9585" s="1987"/>
      <c r="K9585" s="1987"/>
      <c r="L9585" s="1987"/>
      <c r="M9585" s="1987"/>
      <c r="N9585" s="1987"/>
      <c r="O9585" s="1987"/>
      <c r="P9585" s="2010"/>
    </row>
    <row r="9586" spans="1:16" ht="17.399999999999999">
      <c r="A9586" s="1988"/>
      <c r="B9586" s="1989"/>
      <c r="C9586" s="1990"/>
      <c r="D9586" s="1989"/>
      <c r="E9586" s="1326"/>
      <c r="F9586" s="1324"/>
      <c r="G9586" s="1991"/>
      <c r="H9586" s="1992"/>
      <c r="I9586" s="1992"/>
      <c r="J9586" s="1992"/>
      <c r="K9586" s="1992"/>
      <c r="L9586" s="1992"/>
      <c r="M9586" s="1992"/>
      <c r="N9586" s="1992"/>
      <c r="O9586" s="1992"/>
      <c r="P9586" s="2010"/>
    </row>
    <row r="9587" spans="1:16" ht="17.399999999999999">
      <c r="A9587" s="1997" t="s">
        <v>37</v>
      </c>
      <c r="B9587" s="1998"/>
      <c r="C9587" s="1990"/>
      <c r="D9587" s="1989"/>
      <c r="E9587" s="1326"/>
      <c r="F9587" s="1324"/>
      <c r="G9587" s="1993"/>
      <c r="H9587" s="1994"/>
      <c r="I9587" s="1994"/>
      <c r="J9587" s="1994"/>
      <c r="K9587" s="1994"/>
      <c r="L9587" s="1994"/>
      <c r="M9587" s="1994"/>
      <c r="N9587" s="1994"/>
      <c r="O9587" s="1994"/>
      <c r="P9587" s="2010"/>
    </row>
    <row r="9588" spans="1:16" ht="17.399999999999999">
      <c r="A9588" s="1997" t="s">
        <v>38</v>
      </c>
      <c r="B9588" s="1998"/>
      <c r="C9588" s="1990"/>
      <c r="D9588" s="1989"/>
      <c r="E9588" s="1326"/>
      <c r="F9588" s="1324"/>
      <c r="G9588" s="1993"/>
      <c r="H9588" s="1994"/>
      <c r="I9588" s="1994"/>
      <c r="J9588" s="1994"/>
      <c r="K9588" s="1994"/>
      <c r="L9588" s="1994"/>
      <c r="M9588" s="1994"/>
      <c r="N9588" s="1994"/>
      <c r="O9588" s="1994"/>
      <c r="P9588" s="2010"/>
    </row>
    <row r="9589" spans="1:16" ht="17.399999999999999">
      <c r="A9589" s="1997" t="s">
        <v>39</v>
      </c>
      <c r="B9589" s="1998"/>
      <c r="C9589" s="1990"/>
      <c r="D9589" s="1989"/>
      <c r="E9589" s="1326"/>
      <c r="F9589" s="1324"/>
      <c r="G9589" s="1993"/>
      <c r="H9589" s="1994"/>
      <c r="I9589" s="1994"/>
      <c r="J9589" s="1994"/>
      <c r="K9589" s="1994"/>
      <c r="L9589" s="1994"/>
      <c r="M9589" s="1994"/>
      <c r="N9589" s="1994"/>
      <c r="O9589" s="1994"/>
      <c r="P9589" s="2010"/>
    </row>
    <row r="9590" spans="1:16" ht="17.399999999999999">
      <c r="A9590" s="1997" t="s">
        <v>40</v>
      </c>
      <c r="B9590" s="1998"/>
      <c r="C9590" s="1990"/>
      <c r="D9590" s="1989"/>
      <c r="E9590" s="1326"/>
      <c r="F9590" s="1324"/>
      <c r="G9590" s="1993"/>
      <c r="H9590" s="1994"/>
      <c r="I9590" s="1994"/>
      <c r="J9590" s="1994"/>
      <c r="K9590" s="1994"/>
      <c r="L9590" s="1994"/>
      <c r="M9590" s="1994"/>
      <c r="N9590" s="1994"/>
      <c r="O9590" s="1994"/>
      <c r="P9590" s="2010"/>
    </row>
    <row r="9591" spans="1:16" ht="18" thickBot="1">
      <c r="A9591" s="1999" t="s">
        <v>41</v>
      </c>
      <c r="B9591" s="2000"/>
      <c r="C9591" s="2001"/>
      <c r="D9591" s="2002"/>
      <c r="E9591" s="696"/>
      <c r="F9591" s="1325"/>
      <c r="G9591" s="1995"/>
      <c r="H9591" s="1996"/>
      <c r="I9591" s="1996"/>
      <c r="J9591" s="1996"/>
      <c r="K9591" s="1996"/>
      <c r="L9591" s="1996"/>
      <c r="M9591" s="1996"/>
      <c r="N9591" s="1996"/>
      <c r="O9591" s="1996"/>
      <c r="P9591" s="2010"/>
    </row>
    <row r="9592" spans="1:16" ht="18">
      <c r="A9592" s="690"/>
      <c r="B9592" s="691"/>
      <c r="C9592" s="691"/>
      <c r="D9592" s="691"/>
      <c r="E9592" s="691"/>
      <c r="F9592" s="1327"/>
      <c r="G9592" s="691"/>
      <c r="H9592" s="698"/>
      <c r="I9592" s="699"/>
      <c r="J9592" s="700"/>
      <c r="K9592" s="701"/>
      <c r="L9592" s="702"/>
      <c r="M9592" s="691"/>
      <c r="N9592" s="1327"/>
      <c r="O9592" s="691"/>
      <c r="P9592" s="2010"/>
    </row>
    <row r="9593" spans="1:16" ht="18">
      <c r="A9593" s="703" t="s">
        <v>42</v>
      </c>
      <c r="B9593" s="704"/>
      <c r="C9593" s="691"/>
      <c r="D9593" s="691"/>
      <c r="E9593" s="691"/>
      <c r="F9593" s="1327"/>
      <c r="G9593" s="704"/>
      <c r="H9593" s="698"/>
      <c r="I9593" s="699"/>
      <c r="J9593" s="700"/>
      <c r="K9593" s="693"/>
      <c r="L9593" s="705"/>
      <c r="M9593" s="691"/>
      <c r="N9593" s="1979" t="s">
        <v>43</v>
      </c>
      <c r="O9593" s="1979"/>
      <c r="P9593" s="2010"/>
    </row>
    <row r="9594" spans="1:16" ht="17.399999999999999">
      <c r="A9594" s="703"/>
      <c r="B9594" s="704"/>
      <c r="C9594" s="691"/>
      <c r="D9594" s="691"/>
      <c r="E9594" s="691"/>
      <c r="F9594" s="1327"/>
      <c r="G9594" s="691"/>
      <c r="H9594" s="1327"/>
      <c r="I9594" s="1849"/>
      <c r="J9594" s="691"/>
      <c r="K9594" s="693"/>
      <c r="L9594" s="1327"/>
      <c r="M9594" s="691"/>
      <c r="N9594" s="1327"/>
      <c r="O9594" s="704"/>
      <c r="P9594" s="2010"/>
    </row>
    <row r="9595" spans="1:16" ht="17.399999999999999">
      <c r="A9595" s="703" t="s">
        <v>44</v>
      </c>
      <c r="B9595" s="704"/>
      <c r="C9595" s="691"/>
      <c r="D9595" s="691"/>
      <c r="E9595" s="691"/>
      <c r="F9595" s="1327"/>
      <c r="G9595" s="691"/>
      <c r="H9595" s="1327"/>
      <c r="I9595" s="1849"/>
      <c r="J9595" s="691"/>
      <c r="K9595" s="693"/>
      <c r="L9595" s="1327"/>
      <c r="M9595" s="691"/>
      <c r="N9595" s="1979" t="s">
        <v>45</v>
      </c>
      <c r="O9595" s="1979"/>
      <c r="P9595" s="2010"/>
    </row>
    <row r="9596" spans="1:16" ht="18" thickBot="1">
      <c r="A9596" s="682"/>
      <c r="B9596" s="683"/>
      <c r="C9596" s="683"/>
      <c r="D9596" s="683"/>
      <c r="E9596" s="683"/>
      <c r="F9596" s="684"/>
      <c r="G9596" s="683"/>
      <c r="H9596" s="684"/>
      <c r="I9596" s="1850"/>
      <c r="J9596" s="683"/>
      <c r="K9596" s="706"/>
      <c r="L9596" s="684"/>
      <c r="M9596" s="683"/>
      <c r="N9596" s="684"/>
      <c r="O9596" s="683"/>
      <c r="P9596" s="2010"/>
    </row>
    <row r="9600" spans="1:16" ht="17.399999999999999">
      <c r="A9600" s="711" t="s">
        <v>48</v>
      </c>
      <c r="B9600" s="711"/>
      <c r="C9600" s="712"/>
      <c r="D9600" s="712"/>
      <c r="E9600" s="712"/>
      <c r="F9600" s="713"/>
      <c r="G9600" s="712"/>
      <c r="H9600" s="712"/>
      <c r="I9600" s="714"/>
      <c r="J9600" s="715"/>
      <c r="K9600" s="716"/>
      <c r="L9600" s="1978" t="s">
        <v>0</v>
      </c>
      <c r="M9600" s="1978"/>
      <c r="N9600" s="1978"/>
      <c r="O9600" s="1978"/>
      <c r="P9600" s="717"/>
    </row>
    <row r="9601" spans="1:17" ht="17.399999999999999">
      <c r="A9601" s="718" t="s">
        <v>1</v>
      </c>
      <c r="B9601" s="718"/>
      <c r="C9601" s="718"/>
      <c r="D9601" s="719" t="s">
        <v>2</v>
      </c>
      <c r="E9601" s="719"/>
      <c r="F9601" s="720"/>
      <c r="G9601" s="720"/>
      <c r="H9601" s="720"/>
      <c r="I9601" s="721"/>
      <c r="J9601" s="1339"/>
      <c r="K9601" s="723" t="s">
        <v>3</v>
      </c>
      <c r="L9601" s="1339"/>
      <c r="M9601" s="718"/>
      <c r="N9601" s="720"/>
      <c r="O9601" s="718"/>
      <c r="P9601" s="724"/>
    </row>
    <row r="9602" spans="1:17" ht="52.2">
      <c r="A9602" s="640" t="s">
        <v>4</v>
      </c>
      <c r="B9602" s="640" t="s">
        <v>5</v>
      </c>
      <c r="C9602" s="640" t="s">
        <v>6</v>
      </c>
      <c r="D9602" s="640" t="s">
        <v>7</v>
      </c>
      <c r="E9602" s="640" t="s">
        <v>8</v>
      </c>
      <c r="F9602" s="641" t="s">
        <v>9</v>
      </c>
      <c r="G9602" s="642" t="s">
        <v>10</v>
      </c>
      <c r="H9602" s="642" t="s">
        <v>11</v>
      </c>
      <c r="I9602" s="643" t="s">
        <v>12</v>
      </c>
      <c r="J9602" s="644" t="s">
        <v>13</v>
      </c>
      <c r="K9602" s="645" t="s">
        <v>14</v>
      </c>
      <c r="L9602" s="646" t="s">
        <v>15</v>
      </c>
      <c r="M9602" s="641" t="s">
        <v>16</v>
      </c>
      <c r="N9602" s="641" t="s">
        <v>17</v>
      </c>
      <c r="O9602" s="642" t="s">
        <v>18</v>
      </c>
      <c r="P9602" s="641" t="s">
        <v>192</v>
      </c>
    </row>
    <row r="9603" spans="1:17" ht="17.399999999999999">
      <c r="A9603" s="547" t="s">
        <v>395</v>
      </c>
      <c r="B9603" s="852" t="s">
        <v>1093</v>
      </c>
      <c r="C9603" s="547" t="s">
        <v>446</v>
      </c>
      <c r="D9603" s="813" t="s">
        <v>450</v>
      </c>
      <c r="E9603" s="547" t="s">
        <v>270</v>
      </c>
      <c r="F9603" s="1340">
        <v>8.5</v>
      </c>
      <c r="G9603" s="792" t="s">
        <v>61</v>
      </c>
      <c r="H9603" s="1247" t="s">
        <v>53</v>
      </c>
      <c r="I9603" s="773">
        <v>8.32</v>
      </c>
      <c r="J9603" s="774">
        <v>8.1</v>
      </c>
      <c r="K9603" s="775">
        <v>124</v>
      </c>
      <c r="L9603" s="552">
        <f t="shared" ref="L9603:L9606" si="1973">(I9603*J9603*K9603/1000)</f>
        <v>8.3566079999999996</v>
      </c>
      <c r="M9603" s="549"/>
      <c r="N9603" s="549"/>
      <c r="O9603" s="549"/>
      <c r="P9603" s="549"/>
      <c r="Q9603" s="1358" t="s">
        <v>1230</v>
      </c>
    </row>
    <row r="9604" spans="1:17" ht="17.399999999999999">
      <c r="A9604" s="549"/>
      <c r="B9604" s="549"/>
      <c r="C9604" s="549"/>
      <c r="D9604" s="549"/>
      <c r="E9604" s="549"/>
      <c r="F9604" s="549"/>
      <c r="G9604" s="792" t="s">
        <v>61</v>
      </c>
      <c r="H9604" s="1227" t="s">
        <v>53</v>
      </c>
      <c r="I9604" s="773">
        <v>8.32</v>
      </c>
      <c r="J9604" s="774">
        <v>10.7</v>
      </c>
      <c r="K9604" s="775">
        <v>47</v>
      </c>
      <c r="L9604" s="552">
        <f t="shared" si="1973"/>
        <v>4.1841279999999994</v>
      </c>
      <c r="M9604" s="549"/>
      <c r="N9604" s="549"/>
      <c r="O9604" s="549"/>
      <c r="P9604" s="549"/>
    </row>
    <row r="9605" spans="1:17" ht="17.399999999999999">
      <c r="A9605" s="549"/>
      <c r="B9605" s="549"/>
      <c r="C9605" s="549"/>
      <c r="D9605" s="549"/>
      <c r="E9605" s="549"/>
      <c r="F9605" s="549"/>
      <c r="G9605" s="792" t="s">
        <v>61</v>
      </c>
      <c r="H9605" s="1227" t="s">
        <v>53</v>
      </c>
      <c r="I9605" s="773">
        <v>8.32</v>
      </c>
      <c r="J9605" s="774">
        <v>11</v>
      </c>
      <c r="K9605" s="775">
        <v>4</v>
      </c>
      <c r="L9605" s="552">
        <f t="shared" si="1973"/>
        <v>0.36608000000000002</v>
      </c>
      <c r="M9605" s="549"/>
      <c r="N9605" s="549"/>
      <c r="O9605" s="549"/>
      <c r="P9605" s="549"/>
    </row>
    <row r="9606" spans="1:17" ht="17.399999999999999">
      <c r="A9606" s="549"/>
      <c r="B9606" s="549"/>
      <c r="C9606" s="549"/>
      <c r="D9606" s="549"/>
      <c r="E9606" s="549"/>
      <c r="F9606" s="549"/>
      <c r="G9606" s="792" t="s">
        <v>61</v>
      </c>
      <c r="H9606" s="1227" t="s">
        <v>53</v>
      </c>
      <c r="I9606" s="773">
        <v>8.32</v>
      </c>
      <c r="J9606" s="774">
        <v>11.5</v>
      </c>
      <c r="K9606" s="775">
        <v>8</v>
      </c>
      <c r="L9606" s="552">
        <f t="shared" si="1973"/>
        <v>0.76544000000000001</v>
      </c>
      <c r="M9606" s="549"/>
      <c r="N9606" s="549"/>
      <c r="O9606" s="549"/>
      <c r="P9606" s="549"/>
    </row>
    <row r="9607" spans="1:17" ht="17.399999999999999">
      <c r="A9607" s="549"/>
      <c r="B9607" s="549"/>
      <c r="C9607" s="549"/>
      <c r="D9607" s="549"/>
      <c r="E9607" s="549"/>
      <c r="F9607" s="549"/>
      <c r="G9607" s="550"/>
      <c r="H9607" s="550"/>
      <c r="I9607" s="1865"/>
      <c r="J9607" s="550"/>
      <c r="K9607" s="775">
        <f>SUM(K9603:K9606)</f>
        <v>183</v>
      </c>
      <c r="L9607" s="1226">
        <f>SUM(L9603:L9606)</f>
        <v>13.672255999999999</v>
      </c>
      <c r="M9607" s="549"/>
      <c r="N9607" s="549"/>
      <c r="O9607" s="549"/>
      <c r="P9607" s="549"/>
    </row>
    <row r="9608" spans="1:17" ht="17.399999999999999">
      <c r="A9608" s="549"/>
      <c r="B9608" s="549"/>
      <c r="C9608" s="549"/>
      <c r="D9608" s="549"/>
      <c r="E9608" s="549"/>
      <c r="F9608" s="549"/>
      <c r="G9608" s="549"/>
      <c r="H9608" s="549"/>
      <c r="I9608" s="560"/>
      <c r="J9608" s="549"/>
      <c r="K9608" s="561"/>
      <c r="L9608" s="560"/>
      <c r="M9608" s="549"/>
      <c r="N9608" s="549"/>
      <c r="O9608" s="549"/>
      <c r="P9608" s="549"/>
    </row>
    <row r="9609" spans="1:17" ht="17.399999999999999">
      <c r="A9609" s="547" t="s">
        <v>395</v>
      </c>
      <c r="B9609" s="852" t="s">
        <v>1015</v>
      </c>
      <c r="C9609" s="547" t="s">
        <v>446</v>
      </c>
      <c r="D9609" s="813" t="s">
        <v>450</v>
      </c>
      <c r="E9609" s="547" t="s">
        <v>270</v>
      </c>
      <c r="F9609" s="1340">
        <v>8.5</v>
      </c>
      <c r="G9609" s="549" t="s">
        <v>61</v>
      </c>
      <c r="H9609" s="599" t="s">
        <v>53</v>
      </c>
      <c r="I9609" s="558">
        <v>8.32</v>
      </c>
      <c r="J9609" s="567">
        <v>6.5</v>
      </c>
      <c r="K9609" s="648">
        <v>97</v>
      </c>
      <c r="L9609" s="552">
        <f t="shared" ref="L9609:L9614" si="1974">(I9609*J9609*K9609/1000)</f>
        <v>5.2457600000000006</v>
      </c>
      <c r="M9609" s="549"/>
      <c r="N9609" s="549"/>
      <c r="O9609" s="549"/>
      <c r="P9609" s="549"/>
      <c r="Q9609" s="1358" t="s">
        <v>1230</v>
      </c>
    </row>
    <row r="9610" spans="1:17" ht="17.399999999999999">
      <c r="A9610" s="549"/>
      <c r="B9610" s="549"/>
      <c r="C9610" s="549"/>
      <c r="D9610" s="549"/>
      <c r="E9610" s="549"/>
      <c r="F9610" s="549"/>
      <c r="G9610" s="549" t="s">
        <v>61</v>
      </c>
      <c r="H9610" s="549" t="s">
        <v>53</v>
      </c>
      <c r="I9610" s="558">
        <v>8.32</v>
      </c>
      <c r="J9610" s="567">
        <v>7.05</v>
      </c>
      <c r="K9610" s="648">
        <v>36</v>
      </c>
      <c r="L9610" s="552">
        <f t="shared" si="1974"/>
        <v>2.1116160000000002</v>
      </c>
      <c r="M9610" s="549"/>
      <c r="N9610" s="549"/>
      <c r="O9610" s="549"/>
      <c r="P9610" s="549"/>
    </row>
    <row r="9611" spans="1:17" ht="17.399999999999999">
      <c r="A9611" s="549"/>
      <c r="B9611" s="549"/>
      <c r="C9611" s="549"/>
      <c r="D9611" s="549"/>
      <c r="E9611" s="549"/>
      <c r="F9611" s="549"/>
      <c r="G9611" s="549" t="s">
        <v>61</v>
      </c>
      <c r="H9611" s="549" t="s">
        <v>53</v>
      </c>
      <c r="I9611" s="558">
        <v>8.32</v>
      </c>
      <c r="J9611" s="567">
        <v>9.1999999999999993</v>
      </c>
      <c r="K9611" s="648">
        <v>76</v>
      </c>
      <c r="L9611" s="552">
        <f t="shared" si="1974"/>
        <v>5.8173440000000003</v>
      </c>
      <c r="M9611" s="549"/>
      <c r="N9611" s="549"/>
      <c r="O9611" s="549"/>
      <c r="P9611" s="549"/>
    </row>
    <row r="9612" spans="1:17" ht="17.399999999999999">
      <c r="A9612" s="549"/>
      <c r="B9612" s="549"/>
      <c r="C9612" s="549"/>
      <c r="D9612" s="549"/>
      <c r="E9612" s="549"/>
      <c r="F9612" s="549"/>
      <c r="G9612" s="549" t="s">
        <v>61</v>
      </c>
      <c r="H9612" s="549" t="s">
        <v>53</v>
      </c>
      <c r="I9612" s="558">
        <v>8.32</v>
      </c>
      <c r="J9612" s="567">
        <v>10</v>
      </c>
      <c r="K9612" s="648">
        <v>43</v>
      </c>
      <c r="L9612" s="552">
        <f t="shared" si="1974"/>
        <v>3.5775999999999999</v>
      </c>
      <c r="M9612" s="549"/>
      <c r="N9612" s="549"/>
      <c r="O9612" s="549"/>
      <c r="P9612" s="549"/>
    </row>
    <row r="9613" spans="1:17" ht="17.399999999999999">
      <c r="A9613" s="549"/>
      <c r="B9613" s="549"/>
      <c r="C9613" s="549"/>
      <c r="D9613" s="549"/>
      <c r="E9613" s="549"/>
      <c r="F9613" s="549"/>
      <c r="G9613" s="549" t="s">
        <v>61</v>
      </c>
      <c r="H9613" s="549" t="s">
        <v>53</v>
      </c>
      <c r="I9613" s="558">
        <v>8.32</v>
      </c>
      <c r="J9613" s="567">
        <v>11</v>
      </c>
      <c r="K9613" s="648">
        <v>56</v>
      </c>
      <c r="L9613" s="552">
        <f t="shared" si="1974"/>
        <v>5.1251200000000008</v>
      </c>
      <c r="M9613" s="549"/>
      <c r="N9613" s="549"/>
      <c r="O9613" s="549"/>
      <c r="P9613" s="549"/>
    </row>
    <row r="9614" spans="1:17" ht="17.399999999999999">
      <c r="A9614" s="549"/>
      <c r="B9614" s="549"/>
      <c r="C9614" s="549"/>
      <c r="D9614" s="549"/>
      <c r="E9614" s="549"/>
      <c r="F9614" s="549"/>
      <c r="G9614" s="549" t="s">
        <v>61</v>
      </c>
      <c r="H9614" s="549" t="s">
        <v>53</v>
      </c>
      <c r="I9614" s="558">
        <v>8.32</v>
      </c>
      <c r="J9614" s="567">
        <v>12</v>
      </c>
      <c r="K9614" s="648">
        <v>34</v>
      </c>
      <c r="L9614" s="552">
        <f t="shared" si="1974"/>
        <v>3.3945599999999998</v>
      </c>
      <c r="M9614" s="549"/>
      <c r="N9614" s="549"/>
      <c r="O9614" s="549"/>
      <c r="P9614" s="549"/>
    </row>
    <row r="9615" spans="1:17" ht="17.399999999999999">
      <c r="A9615" s="549"/>
      <c r="B9615" s="549"/>
      <c r="C9615" s="549"/>
      <c r="D9615" s="549"/>
      <c r="E9615" s="549"/>
      <c r="F9615" s="549"/>
      <c r="G9615" s="549"/>
      <c r="H9615" s="549"/>
      <c r="I9615" s="558"/>
      <c r="J9615" s="567"/>
      <c r="K9615" s="648">
        <f>SUM(K9609:K9614)</f>
        <v>342</v>
      </c>
      <c r="L9615" s="567">
        <f>SUM(L9609:L9614)</f>
        <v>25.271999999999998</v>
      </c>
      <c r="M9615" s="549"/>
      <c r="N9615" s="549"/>
      <c r="O9615" s="549"/>
      <c r="P9615" s="549"/>
    </row>
    <row r="9616" spans="1:17" s="497" customFormat="1" ht="17.399999999999999">
      <c r="A9616" s="549"/>
      <c r="B9616" s="549"/>
      <c r="C9616" s="549"/>
      <c r="D9616" s="549"/>
      <c r="E9616" s="549"/>
      <c r="F9616" s="549"/>
      <c r="G9616" s="549"/>
      <c r="H9616" s="549"/>
      <c r="I9616" s="558"/>
      <c r="J9616" s="567"/>
      <c r="K9616" s="648"/>
      <c r="L9616" s="567"/>
      <c r="M9616" s="549"/>
      <c r="N9616" s="549"/>
      <c r="O9616" s="549"/>
      <c r="P9616" s="549"/>
    </row>
    <row r="9617" spans="1:17" ht="17.399999999999999">
      <c r="A9617" s="547" t="s">
        <v>395</v>
      </c>
      <c r="B9617" s="852" t="s">
        <v>961</v>
      </c>
      <c r="C9617" s="547" t="s">
        <v>446</v>
      </c>
      <c r="D9617" s="813" t="s">
        <v>450</v>
      </c>
      <c r="E9617" s="547" t="s">
        <v>270</v>
      </c>
      <c r="F9617" s="1340">
        <v>8.5</v>
      </c>
      <c r="G9617" s="549" t="s">
        <v>61</v>
      </c>
      <c r="H9617" s="599" t="s">
        <v>53</v>
      </c>
      <c r="I9617" s="558">
        <v>8.32</v>
      </c>
      <c r="J9617" s="710">
        <v>10</v>
      </c>
      <c r="K9617" s="648">
        <v>24</v>
      </c>
      <c r="L9617" s="552">
        <f>(I9617*J9617*K9617/1000)</f>
        <v>1.9968000000000001</v>
      </c>
      <c r="M9617" s="549"/>
      <c r="N9617" s="549"/>
      <c r="O9617" s="549"/>
      <c r="P9617" s="549"/>
      <c r="Q9617" s="1358" t="s">
        <v>1230</v>
      </c>
    </row>
    <row r="9618" spans="1:17" ht="17.399999999999999">
      <c r="A9618" s="549"/>
      <c r="B9618" s="549"/>
      <c r="C9618" s="549"/>
      <c r="D9618" s="549"/>
      <c r="E9618" s="549"/>
      <c r="F9618" s="549"/>
      <c r="G9618" s="549" t="s">
        <v>61</v>
      </c>
      <c r="H9618" s="549" t="s">
        <v>53</v>
      </c>
      <c r="I9618" s="558">
        <v>8.32</v>
      </c>
      <c r="J9618" s="710">
        <v>11.5</v>
      </c>
      <c r="K9618" s="648">
        <v>26</v>
      </c>
      <c r="L9618" s="552">
        <f>(I9618*J9618*K9618/1000)</f>
        <v>2.4876800000000001</v>
      </c>
      <c r="M9618" s="549"/>
      <c r="N9618" s="549"/>
      <c r="O9618" s="549"/>
      <c r="P9618" s="549"/>
    </row>
    <row r="9619" spans="1:17" ht="17.399999999999999">
      <c r="A9619" s="549"/>
      <c r="B9619" s="549"/>
      <c r="C9619" s="549"/>
      <c r="D9619" s="549"/>
      <c r="E9619" s="549"/>
      <c r="F9619" s="549"/>
      <c r="G9619" s="549"/>
      <c r="H9619" s="549"/>
      <c r="I9619" s="558"/>
      <c r="J9619" s="710"/>
      <c r="K9619" s="648">
        <f>SUM(K9617:K9618)</f>
        <v>50</v>
      </c>
      <c r="L9619" s="552">
        <f>SUM(L9617:L9618)</f>
        <v>4.4844800000000005</v>
      </c>
      <c r="M9619" s="549"/>
      <c r="N9619" s="549"/>
      <c r="O9619" s="549"/>
      <c r="P9619" s="549"/>
    </row>
    <row r="9620" spans="1:17" ht="17.399999999999999">
      <c r="A9620" s="549"/>
      <c r="B9620" s="549"/>
      <c r="C9620" s="549"/>
      <c r="D9620" s="549"/>
      <c r="E9620" s="549"/>
      <c r="F9620" s="549"/>
      <c r="G9620" s="549"/>
      <c r="H9620" s="549"/>
      <c r="I9620" s="560"/>
      <c r="J9620" s="549"/>
      <c r="K9620" s="652">
        <f>SUM(K9603:K9619)/2</f>
        <v>575</v>
      </c>
      <c r="L9620" s="565">
        <f>SUM(L9603:L9619)/2</f>
        <v>43.428735999999994</v>
      </c>
      <c r="M9620" s="652">
        <f>SUM(M9603:M9619)/2</f>
        <v>0</v>
      </c>
      <c r="N9620" s="565">
        <f>SUM(N9603:N9619)/2</f>
        <v>0</v>
      </c>
      <c r="O9620" s="549"/>
      <c r="P9620" s="549" t="s">
        <v>1107</v>
      </c>
    </row>
    <row r="9621" spans="1:17" s="497" customFormat="1" ht="17.399999999999999">
      <c r="A9621" s="549"/>
      <c r="B9621" s="549"/>
      <c r="C9621" s="549"/>
      <c r="D9621" s="549"/>
      <c r="E9621" s="549"/>
      <c r="F9621" s="549"/>
      <c r="G9621" s="549"/>
      <c r="H9621" s="549"/>
      <c r="I9621" s="560"/>
      <c r="J9621" s="549"/>
      <c r="K9621" s="561"/>
      <c r="L9621" s="565"/>
      <c r="M9621" s="549"/>
      <c r="N9621" s="549"/>
      <c r="O9621" s="549"/>
      <c r="P9621" s="549"/>
    </row>
    <row r="9622" spans="1:17" ht="17.399999999999999">
      <c r="A9622" s="549"/>
      <c r="B9622" s="549"/>
      <c r="C9622" s="549"/>
      <c r="D9622" s="549"/>
      <c r="E9622" s="549"/>
      <c r="F9622" s="549"/>
      <c r="G9622" s="549"/>
      <c r="H9622" s="549"/>
      <c r="I9622" s="560"/>
      <c r="J9622" s="549"/>
      <c r="K9622" s="561"/>
      <c r="L9622" s="560"/>
      <c r="M9622" s="549"/>
      <c r="N9622" s="549"/>
      <c r="O9622" s="549"/>
      <c r="P9622" s="549"/>
    </row>
    <row r="9623" spans="1:17" ht="17.399999999999999">
      <c r="A9623" s="547" t="s">
        <v>445</v>
      </c>
      <c r="B9623" s="547" t="s">
        <v>857</v>
      </c>
      <c r="C9623" s="547" t="s">
        <v>19</v>
      </c>
      <c r="D9623" s="547" t="s">
        <v>60</v>
      </c>
      <c r="E9623" s="650" t="s">
        <v>284</v>
      </c>
      <c r="F9623" s="1340">
        <v>11</v>
      </c>
      <c r="G9623" s="549" t="s">
        <v>61</v>
      </c>
      <c r="H9623" s="599" t="s">
        <v>53</v>
      </c>
      <c r="I9623" s="558">
        <v>8.3000000000000007</v>
      </c>
      <c r="J9623" s="710">
        <v>12</v>
      </c>
      <c r="K9623" s="648">
        <v>25</v>
      </c>
      <c r="L9623" s="552">
        <f>(I9623*J9623*K9623/1000)</f>
        <v>2.4900000000000002</v>
      </c>
      <c r="M9623" s="549"/>
      <c r="N9623" s="549"/>
      <c r="O9623" s="549"/>
      <c r="P9623" s="549"/>
      <c r="Q9623" s="1358" t="s">
        <v>1227</v>
      </c>
    </row>
    <row r="9624" spans="1:17" ht="17.399999999999999">
      <c r="A9624" s="549"/>
      <c r="B9624" s="832" t="s">
        <v>84</v>
      </c>
      <c r="C9624" s="549"/>
      <c r="D9624" s="549"/>
      <c r="E9624" s="549"/>
      <c r="F9624" s="549"/>
      <c r="G9624" s="549"/>
      <c r="H9624" s="650"/>
      <c r="I9624" s="560"/>
      <c r="J9624" s="710"/>
      <c r="K9624" s="648">
        <f t="shared" ref="K9624:L9624" si="1975">SUM(K9623)</f>
        <v>25</v>
      </c>
      <c r="L9624" s="765">
        <f t="shared" si="1975"/>
        <v>2.4900000000000002</v>
      </c>
      <c r="M9624" s="549"/>
      <c r="N9624" s="549"/>
      <c r="O9624" s="549"/>
      <c r="P9624" s="549" t="s">
        <v>1108</v>
      </c>
    </row>
    <row r="9625" spans="1:17" ht="17.399999999999999">
      <c r="A9625" s="549"/>
      <c r="B9625" s="549"/>
      <c r="C9625" s="549"/>
      <c r="D9625" s="549"/>
      <c r="E9625" s="549"/>
      <c r="F9625" s="549"/>
      <c r="G9625" s="549"/>
      <c r="H9625" s="549"/>
      <c r="I9625" s="560"/>
      <c r="J9625" s="549"/>
      <c r="K9625" s="561"/>
      <c r="L9625" s="560"/>
      <c r="M9625" s="549"/>
      <c r="N9625" s="549"/>
      <c r="O9625" s="549"/>
      <c r="P9625" s="549"/>
    </row>
    <row r="9626" spans="1:17" ht="17.399999999999999">
      <c r="A9626" s="547" t="s">
        <v>445</v>
      </c>
      <c r="B9626" s="547" t="s">
        <v>1016</v>
      </c>
      <c r="C9626" s="547" t="s">
        <v>19</v>
      </c>
      <c r="D9626" s="547" t="s">
        <v>60</v>
      </c>
      <c r="E9626" s="832" t="s">
        <v>285</v>
      </c>
      <c r="F9626" s="1340">
        <v>11</v>
      </c>
      <c r="G9626" s="549" t="s">
        <v>61</v>
      </c>
      <c r="H9626" s="599" t="s">
        <v>53</v>
      </c>
      <c r="I9626" s="558">
        <v>8.3000000000000007</v>
      </c>
      <c r="J9626" s="567">
        <v>10</v>
      </c>
      <c r="K9626" s="648">
        <v>71</v>
      </c>
      <c r="L9626" s="552">
        <f t="shared" ref="L9626:L9629" si="1976">(I9626*J9626*K9626/1000)</f>
        <v>5.8929999999999998</v>
      </c>
      <c r="M9626" s="549"/>
      <c r="N9626" s="549"/>
      <c r="O9626" s="549"/>
      <c r="P9626" s="549"/>
      <c r="Q9626" s="1358" t="s">
        <v>1227</v>
      </c>
    </row>
    <row r="9627" spans="1:17" ht="17.399999999999999">
      <c r="A9627" s="549"/>
      <c r="B9627" s="832" t="s">
        <v>88</v>
      </c>
      <c r="C9627" s="549"/>
      <c r="D9627" s="549"/>
      <c r="E9627" s="549"/>
      <c r="F9627" s="549"/>
      <c r="G9627" s="549" t="s">
        <v>61</v>
      </c>
      <c r="H9627" s="549" t="s">
        <v>53</v>
      </c>
      <c r="I9627" s="558">
        <v>8.3000000000000007</v>
      </c>
      <c r="J9627" s="567">
        <v>10.5</v>
      </c>
      <c r="K9627" s="648">
        <v>32</v>
      </c>
      <c r="L9627" s="552">
        <f t="shared" si="1976"/>
        <v>2.7888000000000002</v>
      </c>
      <c r="M9627" s="549"/>
      <c r="N9627" s="549"/>
      <c r="O9627" s="549"/>
      <c r="P9627" s="549"/>
    </row>
    <row r="9628" spans="1:17" ht="17.399999999999999">
      <c r="A9628" s="549"/>
      <c r="B9628" s="549"/>
      <c r="C9628" s="549"/>
      <c r="D9628" s="549"/>
      <c r="E9628" s="549"/>
      <c r="F9628" s="549"/>
      <c r="G9628" s="549" t="s">
        <v>61</v>
      </c>
      <c r="H9628" s="549" t="s">
        <v>53</v>
      </c>
      <c r="I9628" s="558">
        <v>8.3000000000000007</v>
      </c>
      <c r="J9628" s="567">
        <v>11</v>
      </c>
      <c r="K9628" s="648">
        <v>29</v>
      </c>
      <c r="L9628" s="552">
        <f t="shared" si="1976"/>
        <v>2.6477000000000004</v>
      </c>
      <c r="M9628" s="549"/>
      <c r="N9628" s="549"/>
      <c r="O9628" s="549"/>
      <c r="P9628" s="549"/>
    </row>
    <row r="9629" spans="1:17" ht="17.399999999999999">
      <c r="A9629" s="549"/>
      <c r="B9629" s="549"/>
      <c r="C9629" s="549"/>
      <c r="D9629" s="549"/>
      <c r="E9629" s="549"/>
      <c r="F9629" s="549"/>
      <c r="G9629" s="549" t="s">
        <v>61</v>
      </c>
      <c r="H9629" s="549" t="s">
        <v>53</v>
      </c>
      <c r="I9629" s="558">
        <v>8.3000000000000007</v>
      </c>
      <c r="J9629" s="567">
        <v>12</v>
      </c>
      <c r="K9629" s="648">
        <v>75</v>
      </c>
      <c r="L9629" s="552">
        <f t="shared" si="1976"/>
        <v>7.4700000000000006</v>
      </c>
      <c r="M9629" s="549"/>
      <c r="N9629" s="549"/>
      <c r="O9629" s="549"/>
      <c r="P9629" s="549"/>
    </row>
    <row r="9630" spans="1:17" ht="17.399999999999999">
      <c r="A9630" s="549"/>
      <c r="B9630" s="549"/>
      <c r="C9630" s="549"/>
      <c r="D9630" s="549"/>
      <c r="E9630" s="549"/>
      <c r="F9630" s="549"/>
      <c r="G9630" s="549"/>
      <c r="H9630" s="549"/>
      <c r="I9630" s="560"/>
      <c r="J9630" s="567"/>
      <c r="K9630" s="648">
        <f t="shared" ref="K9630:L9630" si="1977">SUM(K9626:K9629)</f>
        <v>207</v>
      </c>
      <c r="L9630" s="567">
        <f t="shared" si="1977"/>
        <v>18.799500000000002</v>
      </c>
      <c r="M9630" s="549"/>
      <c r="N9630" s="549"/>
      <c r="O9630" s="549"/>
      <c r="P9630" s="549" t="s">
        <v>1109</v>
      </c>
    </row>
    <row r="9631" spans="1:17" s="497" customFormat="1" ht="17.399999999999999">
      <c r="A9631" s="549"/>
      <c r="B9631" s="549"/>
      <c r="C9631" s="549"/>
      <c r="D9631" s="549"/>
      <c r="E9631" s="549"/>
      <c r="F9631" s="549"/>
      <c r="G9631" s="549"/>
      <c r="H9631" s="549"/>
      <c r="I9631" s="560"/>
      <c r="J9631" s="567"/>
      <c r="K9631" s="648">
        <f>SUM(K9623:K9630)/2</f>
        <v>232</v>
      </c>
      <c r="L9631" s="567">
        <f>SUM(L9623:L9630)/2</f>
        <v>21.2895</v>
      </c>
      <c r="M9631" s="648">
        <f>SUM(M9623:M9630)/2</f>
        <v>0</v>
      </c>
      <c r="N9631" s="567">
        <f>SUM(N9623:N9630)/2</f>
        <v>0</v>
      </c>
      <c r="O9631" s="549"/>
      <c r="P9631" s="549"/>
    </row>
    <row r="9632" spans="1:17" s="497" customFormat="1" ht="17.399999999999999">
      <c r="A9632" s="549"/>
      <c r="B9632" s="549"/>
      <c r="C9632" s="549"/>
      <c r="D9632" s="549"/>
      <c r="E9632" s="549"/>
      <c r="F9632" s="549"/>
      <c r="G9632" s="549"/>
      <c r="H9632" s="549"/>
      <c r="I9632" s="560"/>
      <c r="J9632" s="567"/>
      <c r="K9632" s="648"/>
      <c r="L9632" s="567"/>
      <c r="M9632" s="549"/>
      <c r="N9632" s="549"/>
      <c r="O9632" s="549"/>
      <c r="P9632" s="549"/>
    </row>
    <row r="9633" spans="1:17" s="497" customFormat="1" ht="17.399999999999999">
      <c r="A9633" s="549"/>
      <c r="B9633" s="549"/>
      <c r="C9633" s="549"/>
      <c r="D9633" s="549"/>
      <c r="E9633" s="549"/>
      <c r="F9633" s="549"/>
      <c r="G9633" s="549"/>
      <c r="H9633" s="549"/>
      <c r="I9633" s="560"/>
      <c r="J9633" s="567"/>
      <c r="K9633" s="648"/>
      <c r="L9633" s="567"/>
      <c r="M9633" s="549"/>
      <c r="N9633" s="549"/>
      <c r="O9633" s="549"/>
      <c r="P9633" s="549"/>
    </row>
    <row r="9634" spans="1:17" ht="17.399999999999999">
      <c r="A9634" s="547" t="s">
        <v>395</v>
      </c>
      <c r="B9634" s="852" t="s">
        <v>1093</v>
      </c>
      <c r="C9634" s="547" t="s">
        <v>446</v>
      </c>
      <c r="D9634" s="813" t="s">
        <v>450</v>
      </c>
      <c r="E9634" s="547" t="s">
        <v>270</v>
      </c>
      <c r="F9634" s="1340">
        <v>11</v>
      </c>
      <c r="G9634" s="792" t="s">
        <v>61</v>
      </c>
      <c r="H9634" s="1247" t="s">
        <v>91</v>
      </c>
      <c r="I9634" s="773">
        <v>6.97</v>
      </c>
      <c r="J9634" s="774">
        <v>10</v>
      </c>
      <c r="K9634" s="775">
        <v>13</v>
      </c>
      <c r="L9634" s="552">
        <f t="shared" ref="L9634:L9639" si="1978">(I9634*J9634*K9634/1000)</f>
        <v>0.90610000000000002</v>
      </c>
      <c r="M9634" s="549"/>
      <c r="N9634" s="549"/>
      <c r="O9634" s="549"/>
      <c r="P9634" s="549"/>
      <c r="Q9634" s="1358" t="s">
        <v>1230</v>
      </c>
    </row>
    <row r="9635" spans="1:17" ht="17.399999999999999">
      <c r="A9635" s="549"/>
      <c r="B9635" s="549"/>
      <c r="C9635" s="549"/>
      <c r="D9635" s="549"/>
      <c r="E9635" s="549"/>
      <c r="F9635" s="549"/>
      <c r="G9635" s="792" t="s">
        <v>61</v>
      </c>
      <c r="H9635" s="1227" t="s">
        <v>91</v>
      </c>
      <c r="I9635" s="773">
        <v>6.97</v>
      </c>
      <c r="J9635" s="774">
        <v>10.199999999999999</v>
      </c>
      <c r="K9635" s="775">
        <v>52</v>
      </c>
      <c r="L9635" s="552">
        <f t="shared" si="1978"/>
        <v>3.696888</v>
      </c>
      <c r="M9635" s="549"/>
      <c r="N9635" s="549"/>
      <c r="O9635" s="549"/>
      <c r="P9635" s="549"/>
    </row>
    <row r="9636" spans="1:17" ht="17.399999999999999">
      <c r="A9636" s="549"/>
      <c r="B9636" s="549"/>
      <c r="C9636" s="549"/>
      <c r="D9636" s="549"/>
      <c r="E9636" s="549"/>
      <c r="F9636" s="549"/>
      <c r="G9636" s="792" t="s">
        <v>61</v>
      </c>
      <c r="H9636" s="1227" t="s">
        <v>91</v>
      </c>
      <c r="I9636" s="773">
        <v>6.97</v>
      </c>
      <c r="J9636" s="774">
        <v>11.5</v>
      </c>
      <c r="K9636" s="775">
        <v>56</v>
      </c>
      <c r="L9636" s="552">
        <f t="shared" si="1978"/>
        <v>4.4886800000000004</v>
      </c>
      <c r="M9636" s="549"/>
      <c r="N9636" s="549"/>
      <c r="O9636" s="549"/>
      <c r="P9636" s="549"/>
    </row>
    <row r="9637" spans="1:17" ht="17.399999999999999">
      <c r="A9637" s="549"/>
      <c r="B9637" s="549"/>
      <c r="C9637" s="549"/>
      <c r="D9637" s="549"/>
      <c r="E9637" s="549"/>
      <c r="F9637" s="549"/>
      <c r="G9637" s="792" t="s">
        <v>61</v>
      </c>
      <c r="H9637" s="1227" t="s">
        <v>91</v>
      </c>
      <c r="I9637" s="773">
        <v>6.97</v>
      </c>
      <c r="J9637" s="774">
        <v>11.5</v>
      </c>
      <c r="K9637" s="775">
        <v>26</v>
      </c>
      <c r="L9637" s="552">
        <f t="shared" si="1978"/>
        <v>2.0840300000000003</v>
      </c>
      <c r="M9637" s="549"/>
      <c r="N9637" s="549"/>
      <c r="O9637" s="549"/>
      <c r="P9637" s="549"/>
    </row>
    <row r="9638" spans="1:17" ht="17.399999999999999">
      <c r="A9638" s="549"/>
      <c r="B9638" s="549"/>
      <c r="C9638" s="549"/>
      <c r="D9638" s="549"/>
      <c r="E9638" s="549"/>
      <c r="F9638" s="549"/>
      <c r="G9638" s="792" t="s">
        <v>61</v>
      </c>
      <c r="H9638" s="1227" t="s">
        <v>91</v>
      </c>
      <c r="I9638" s="773">
        <v>6.97</v>
      </c>
      <c r="J9638" s="774">
        <v>12</v>
      </c>
      <c r="K9638" s="775">
        <v>20</v>
      </c>
      <c r="L9638" s="552">
        <f t="shared" si="1978"/>
        <v>1.6728000000000001</v>
      </c>
      <c r="M9638" s="549"/>
      <c r="N9638" s="549"/>
      <c r="O9638" s="549"/>
      <c r="P9638" s="549"/>
    </row>
    <row r="9639" spans="1:17" ht="17.399999999999999">
      <c r="A9639" s="549"/>
      <c r="B9639" s="549"/>
      <c r="C9639" s="549"/>
      <c r="D9639" s="549"/>
      <c r="E9639" s="549"/>
      <c r="F9639" s="549"/>
      <c r="G9639" s="792" t="s">
        <v>61</v>
      </c>
      <c r="H9639" s="1227" t="s">
        <v>91</v>
      </c>
      <c r="I9639" s="773">
        <v>6.97</v>
      </c>
      <c r="J9639" s="774">
        <v>12</v>
      </c>
      <c r="K9639" s="775">
        <v>40</v>
      </c>
      <c r="L9639" s="552">
        <f t="shared" si="1978"/>
        <v>3.3456000000000001</v>
      </c>
      <c r="M9639" s="549"/>
      <c r="N9639" s="549"/>
      <c r="O9639" s="549"/>
      <c r="P9639" s="549"/>
    </row>
    <row r="9640" spans="1:17" ht="17.399999999999999">
      <c r="A9640" s="549"/>
      <c r="B9640" s="549"/>
      <c r="C9640" s="549"/>
      <c r="D9640" s="549"/>
      <c r="E9640" s="549"/>
      <c r="F9640" s="549"/>
      <c r="G9640" s="792"/>
      <c r="H9640" s="1227"/>
      <c r="I9640" s="773"/>
      <c r="J9640" s="774"/>
      <c r="K9640" s="775">
        <f t="shared" ref="K9640:L9640" si="1979">SUM(K9634:K9639)</f>
        <v>207</v>
      </c>
      <c r="L9640" s="1226">
        <f t="shared" si="1979"/>
        <v>16.194098</v>
      </c>
      <c r="M9640" s="549"/>
      <c r="N9640" s="549"/>
      <c r="O9640" s="549"/>
      <c r="P9640" s="549"/>
    </row>
    <row r="9641" spans="1:17" s="497" customFormat="1" ht="17.399999999999999">
      <c r="A9641" s="549"/>
      <c r="B9641" s="549"/>
      <c r="C9641" s="549"/>
      <c r="D9641" s="549"/>
      <c r="E9641" s="549"/>
      <c r="F9641" s="549"/>
      <c r="G9641" s="792"/>
      <c r="H9641" s="1227"/>
      <c r="I9641" s="773"/>
      <c r="J9641" s="774"/>
      <c r="K9641" s="775"/>
      <c r="L9641" s="1226"/>
      <c r="M9641" s="549"/>
      <c r="N9641" s="549"/>
      <c r="O9641" s="549"/>
      <c r="P9641" s="549"/>
    </row>
    <row r="9642" spans="1:17" ht="17.399999999999999">
      <c r="A9642" s="547" t="s">
        <v>395</v>
      </c>
      <c r="B9642" s="852" t="s">
        <v>1015</v>
      </c>
      <c r="C9642" s="547" t="s">
        <v>446</v>
      </c>
      <c r="D9642" s="813" t="s">
        <v>450</v>
      </c>
      <c r="E9642" s="547" t="s">
        <v>270</v>
      </c>
      <c r="F9642" s="1340">
        <v>11</v>
      </c>
      <c r="G9642" s="549" t="s">
        <v>61</v>
      </c>
      <c r="H9642" s="599" t="s">
        <v>91</v>
      </c>
      <c r="I9642" s="558">
        <v>6.97</v>
      </c>
      <c r="J9642" s="567">
        <v>10</v>
      </c>
      <c r="K9642" s="648">
        <v>16</v>
      </c>
      <c r="L9642" s="552">
        <f>(I9642*J9642*K9642/1000)</f>
        <v>1.1152</v>
      </c>
      <c r="M9642" s="549"/>
      <c r="N9642" s="549"/>
      <c r="O9642" s="549"/>
      <c r="P9642" s="549"/>
      <c r="Q9642" s="1358" t="s">
        <v>1230</v>
      </c>
    </row>
    <row r="9643" spans="1:17" ht="17.399999999999999">
      <c r="A9643" s="549"/>
      <c r="B9643" s="549"/>
      <c r="C9643" s="549"/>
      <c r="D9643" s="549"/>
      <c r="E9643" s="549"/>
      <c r="F9643" s="549"/>
      <c r="G9643" s="549"/>
      <c r="H9643" s="549"/>
      <c r="I9643" s="558"/>
      <c r="J9643" s="567"/>
      <c r="K9643" s="648">
        <f t="shared" ref="K9643" si="1980">SUM(K9642)</f>
        <v>16</v>
      </c>
      <c r="L9643" s="567">
        <f>SUM(L9642)</f>
        <v>1.1152</v>
      </c>
      <c r="M9643" s="549"/>
      <c r="N9643" s="549"/>
      <c r="O9643" s="549"/>
      <c r="P9643" s="549"/>
    </row>
    <row r="9644" spans="1:17" s="497" customFormat="1" ht="17.399999999999999">
      <c r="A9644" s="549"/>
      <c r="B9644" s="549"/>
      <c r="C9644" s="549"/>
      <c r="D9644" s="549"/>
      <c r="E9644" s="549"/>
      <c r="F9644" s="549"/>
      <c r="G9644" s="549"/>
      <c r="H9644" s="549"/>
      <c r="I9644" s="558"/>
      <c r="J9644" s="567"/>
      <c r="K9644" s="648">
        <f>SUM(K9634:K9643)/2</f>
        <v>223</v>
      </c>
      <c r="L9644" s="567">
        <f>SUM(L9634:L9643)/2</f>
        <v>17.309298000000002</v>
      </c>
      <c r="M9644" s="648">
        <f>SUM(M9634:M9643)/2</f>
        <v>0</v>
      </c>
      <c r="N9644" s="567">
        <f>SUM(N9634:N9643)/2</f>
        <v>0</v>
      </c>
      <c r="O9644" s="549"/>
      <c r="P9644" s="549" t="s">
        <v>1110</v>
      </c>
    </row>
    <row r="9645" spans="1:17" s="497" customFormat="1" ht="17.399999999999999">
      <c r="A9645" s="549"/>
      <c r="B9645" s="549"/>
      <c r="C9645" s="549"/>
      <c r="D9645" s="549"/>
      <c r="E9645" s="549"/>
      <c r="F9645" s="549"/>
      <c r="G9645" s="549"/>
      <c r="H9645" s="549"/>
      <c r="I9645" s="558"/>
      <c r="J9645" s="567"/>
      <c r="K9645" s="648"/>
      <c r="L9645" s="567"/>
      <c r="M9645" s="549"/>
      <c r="N9645" s="549"/>
      <c r="O9645" s="549"/>
      <c r="P9645" s="549"/>
    </row>
    <row r="9646" spans="1:17" s="497" customFormat="1" ht="17.399999999999999">
      <c r="A9646" s="549"/>
      <c r="B9646" s="549"/>
      <c r="C9646" s="549"/>
      <c r="D9646" s="549"/>
      <c r="E9646" s="549"/>
      <c r="F9646" s="549"/>
      <c r="G9646" s="549"/>
      <c r="H9646" s="549"/>
      <c r="I9646" s="558"/>
      <c r="J9646" s="567"/>
      <c r="K9646" s="648"/>
      <c r="L9646" s="567"/>
      <c r="M9646" s="549"/>
      <c r="N9646" s="549"/>
      <c r="O9646" s="549"/>
      <c r="P9646" s="549"/>
    </row>
    <row r="9647" spans="1:17" s="1358" customFormat="1" ht="17.399999999999999">
      <c r="A9647" s="547" t="s">
        <v>395</v>
      </c>
      <c r="B9647" s="547" t="s">
        <v>1121</v>
      </c>
      <c r="C9647" s="547" t="s">
        <v>19</v>
      </c>
      <c r="D9647" s="813" t="s">
        <v>582</v>
      </c>
      <c r="E9647" s="547" t="s">
        <v>270</v>
      </c>
      <c r="F9647" s="1382">
        <v>8.5</v>
      </c>
      <c r="G9647" s="549" t="s">
        <v>61</v>
      </c>
      <c r="H9647" s="599" t="s">
        <v>53</v>
      </c>
      <c r="I9647" s="558">
        <v>8.32</v>
      </c>
      <c r="J9647" s="567">
        <v>10.5</v>
      </c>
      <c r="K9647" s="648">
        <v>1</v>
      </c>
      <c r="L9647" s="552">
        <f>(I9647*J9647*K9647/1000)</f>
        <v>8.7359999999999993E-2</v>
      </c>
      <c r="M9647" s="648"/>
      <c r="N9647" s="567"/>
      <c r="O9647" s="549"/>
      <c r="P9647" s="549"/>
      <c r="Q9647" s="1358" t="s">
        <v>1227</v>
      </c>
    </row>
    <row r="9648" spans="1:17" s="1358" customFormat="1" ht="17.399999999999999">
      <c r="A9648" s="549"/>
      <c r="B9648" s="549" t="s">
        <v>271</v>
      </c>
      <c r="C9648" s="549"/>
      <c r="D9648" s="549"/>
      <c r="E9648" s="549"/>
      <c r="F9648" s="549"/>
      <c r="G9648" s="549" t="s">
        <v>61</v>
      </c>
      <c r="H9648" s="549" t="s">
        <v>53</v>
      </c>
      <c r="I9648" s="558">
        <v>8.32</v>
      </c>
      <c r="J9648" s="567">
        <v>6</v>
      </c>
      <c r="K9648" s="648">
        <v>1</v>
      </c>
      <c r="L9648" s="552">
        <f>(I9648*J9648*K9648/1000)</f>
        <v>4.9919999999999999E-2</v>
      </c>
      <c r="M9648" s="648"/>
      <c r="N9648" s="567"/>
      <c r="O9648" s="549"/>
      <c r="P9648" s="549"/>
    </row>
    <row r="9649" spans="1:17" s="1358" customFormat="1" ht="17.399999999999999">
      <c r="A9649" s="549"/>
      <c r="B9649" s="549"/>
      <c r="C9649" s="549"/>
      <c r="D9649" s="549"/>
      <c r="E9649" s="549"/>
      <c r="F9649" s="549"/>
      <c r="G9649" s="549"/>
      <c r="H9649" s="549"/>
      <c r="I9649" s="558"/>
      <c r="J9649" s="710"/>
      <c r="K9649" s="648">
        <f>SUM(K9647:K9648)</f>
        <v>2</v>
      </c>
      <c r="L9649" s="552">
        <f>SUM(L9647:L9648)</f>
        <v>0.13727999999999999</v>
      </c>
      <c r="M9649" s="648"/>
      <c r="N9649" s="567"/>
      <c r="O9649" s="549"/>
      <c r="P9649" s="549"/>
    </row>
    <row r="9650" spans="1:17" s="1358" customFormat="1" ht="17.399999999999999">
      <c r="A9650" s="549"/>
      <c r="B9650" s="549"/>
      <c r="C9650" s="549"/>
      <c r="D9650" s="549"/>
      <c r="E9650" s="549"/>
      <c r="F9650" s="549"/>
      <c r="G9650" s="549"/>
      <c r="H9650" s="549"/>
      <c r="I9650" s="558"/>
      <c r="J9650" s="567"/>
      <c r="K9650" s="648"/>
      <c r="L9650" s="567"/>
      <c r="M9650" s="648"/>
      <c r="N9650" s="567"/>
      <c r="O9650" s="549"/>
      <c r="P9650" s="549"/>
    </row>
    <row r="9651" spans="1:17" s="1358" customFormat="1" ht="17.399999999999999">
      <c r="A9651" s="547" t="s">
        <v>395</v>
      </c>
      <c r="B9651" s="547" t="s">
        <v>1122</v>
      </c>
      <c r="C9651" s="547" t="s">
        <v>19</v>
      </c>
      <c r="D9651" s="813" t="s">
        <v>582</v>
      </c>
      <c r="E9651" s="547" t="s">
        <v>270</v>
      </c>
      <c r="F9651" s="1382">
        <v>8.5</v>
      </c>
      <c r="G9651" s="549" t="s">
        <v>61</v>
      </c>
      <c r="H9651" s="599" t="s">
        <v>53</v>
      </c>
      <c r="I9651" s="558">
        <v>8.32</v>
      </c>
      <c r="J9651" s="647">
        <v>12</v>
      </c>
      <c r="K9651" s="648">
        <v>69</v>
      </c>
      <c r="L9651" s="552">
        <f>(I9651*J9651*K9651/1000)</f>
        <v>6.88896</v>
      </c>
      <c r="M9651" s="648"/>
      <c r="N9651" s="567"/>
      <c r="O9651" s="549"/>
      <c r="P9651" s="549"/>
      <c r="Q9651" s="1358" t="s">
        <v>1227</v>
      </c>
    </row>
    <row r="9652" spans="1:17" s="1358" customFormat="1" ht="17.399999999999999">
      <c r="A9652" s="549"/>
      <c r="B9652" s="549" t="s">
        <v>271</v>
      </c>
      <c r="C9652" s="549"/>
      <c r="D9652" s="549"/>
      <c r="E9652" s="549"/>
      <c r="F9652" s="549"/>
      <c r="G9652" s="549" t="s">
        <v>61</v>
      </c>
      <c r="H9652" s="549" t="s">
        <v>53</v>
      </c>
      <c r="I9652" s="558">
        <v>8.32</v>
      </c>
      <c r="J9652" s="647">
        <v>10.5</v>
      </c>
      <c r="K9652" s="648">
        <v>173</v>
      </c>
      <c r="L9652" s="552">
        <f>(I9652*J9652*K9652/1000)</f>
        <v>15.113280000000001</v>
      </c>
      <c r="M9652" s="648"/>
      <c r="N9652" s="567"/>
      <c r="O9652" s="549"/>
      <c r="P9652" s="549"/>
    </row>
    <row r="9653" spans="1:17" s="1358" customFormat="1" ht="17.399999999999999">
      <c r="A9653" s="549"/>
      <c r="B9653" s="549"/>
      <c r="C9653" s="549"/>
      <c r="D9653" s="549"/>
      <c r="E9653" s="549"/>
      <c r="F9653" s="549"/>
      <c r="G9653" s="549"/>
      <c r="H9653" s="549"/>
      <c r="I9653" s="558"/>
      <c r="J9653" s="710"/>
      <c r="K9653" s="648">
        <f>SUM(K9651:K9652)</f>
        <v>242</v>
      </c>
      <c r="L9653" s="552">
        <f>SUM(L9651:L9652)</f>
        <v>22.00224</v>
      </c>
      <c r="M9653" s="648"/>
      <c r="N9653" s="567"/>
      <c r="O9653" s="549"/>
      <c r="P9653" s="549"/>
    </row>
    <row r="9654" spans="1:17" s="1358" customFormat="1" ht="17.399999999999999">
      <c r="A9654" s="549"/>
      <c r="B9654" s="549"/>
      <c r="C9654" s="549"/>
      <c r="D9654" s="549"/>
      <c r="E9654" s="549"/>
      <c r="F9654" s="549"/>
      <c r="G9654" s="549"/>
      <c r="H9654" s="549"/>
      <c r="I9654" s="558"/>
      <c r="J9654" s="567"/>
      <c r="K9654" s="648"/>
      <c r="L9654" s="567"/>
      <c r="M9654" s="648"/>
      <c r="N9654" s="567"/>
      <c r="O9654" s="549"/>
      <c r="P9654" s="549"/>
    </row>
    <row r="9655" spans="1:17" s="1358" customFormat="1" ht="17.399999999999999">
      <c r="A9655" s="547" t="s">
        <v>395</v>
      </c>
      <c r="B9655" s="547" t="s">
        <v>1125</v>
      </c>
      <c r="C9655" s="547" t="s">
        <v>19</v>
      </c>
      <c r="D9655" s="813" t="s">
        <v>582</v>
      </c>
      <c r="E9655" s="547" t="s">
        <v>270</v>
      </c>
      <c r="F9655" s="1382">
        <v>8.5</v>
      </c>
      <c r="G9655" s="549" t="s">
        <v>61</v>
      </c>
      <c r="H9655" s="599" t="s">
        <v>53</v>
      </c>
      <c r="I9655" s="558">
        <v>8.32</v>
      </c>
      <c r="J9655" s="567">
        <v>12</v>
      </c>
      <c r="K9655" s="648">
        <v>2</v>
      </c>
      <c r="L9655" s="552">
        <f>(I9655*J9655*K9655/1000)</f>
        <v>0.19968</v>
      </c>
      <c r="M9655" s="648"/>
      <c r="N9655" s="567"/>
      <c r="O9655" s="549"/>
      <c r="P9655" s="549"/>
      <c r="Q9655" s="1358" t="s">
        <v>1227</v>
      </c>
    </row>
    <row r="9656" spans="1:17" s="1358" customFormat="1" ht="17.399999999999999">
      <c r="A9656" s="547"/>
      <c r="B9656" s="549" t="s">
        <v>271</v>
      </c>
      <c r="C9656" s="547"/>
      <c r="D9656" s="813"/>
      <c r="E9656" s="547"/>
      <c r="F9656" s="1382"/>
      <c r="G9656" s="549" t="s">
        <v>61</v>
      </c>
      <c r="H9656" s="549" t="s">
        <v>53</v>
      </c>
      <c r="I9656" s="558">
        <v>8.32</v>
      </c>
      <c r="J9656" s="567">
        <v>10.5</v>
      </c>
      <c r="K9656" s="648">
        <v>6</v>
      </c>
      <c r="L9656" s="552">
        <f>(I9656*J9656*K9656/1000)</f>
        <v>0.52415999999999996</v>
      </c>
      <c r="M9656" s="648"/>
      <c r="N9656" s="567"/>
      <c r="O9656" s="549"/>
      <c r="P9656" s="549"/>
    </row>
    <row r="9657" spans="1:17" s="1358" customFormat="1" ht="17.399999999999999">
      <c r="A9657" s="549"/>
      <c r="B9657" s="549"/>
      <c r="C9657" s="549"/>
      <c r="D9657" s="549"/>
      <c r="E9657" s="549"/>
      <c r="F9657" s="549"/>
      <c r="G9657" s="549" t="s">
        <v>61</v>
      </c>
      <c r="H9657" s="549" t="s">
        <v>53</v>
      </c>
      <c r="I9657" s="558">
        <v>8.32</v>
      </c>
      <c r="J9657" s="567">
        <v>6</v>
      </c>
      <c r="K9657" s="648">
        <v>1</v>
      </c>
      <c r="L9657" s="552">
        <f>(I9657*J9657*K9657/1000)</f>
        <v>4.9919999999999999E-2</v>
      </c>
      <c r="M9657" s="648"/>
      <c r="N9657" s="567"/>
      <c r="O9657" s="549"/>
      <c r="P9657" s="549"/>
    </row>
    <row r="9658" spans="1:17" s="1358" customFormat="1" ht="17.399999999999999">
      <c r="A9658" s="549"/>
      <c r="B9658" s="549"/>
      <c r="C9658" s="549"/>
      <c r="D9658" s="549"/>
      <c r="E9658" s="549"/>
      <c r="F9658" s="549"/>
      <c r="G9658" s="549"/>
      <c r="H9658" s="549"/>
      <c r="I9658" s="558"/>
      <c r="J9658" s="710"/>
      <c r="K9658" s="648">
        <f>SUM(K9655:K9657)</f>
        <v>9</v>
      </c>
      <c r="L9658" s="552">
        <f>SUM(L9655:L9657)</f>
        <v>0.77375999999999989</v>
      </c>
      <c r="M9658" s="648"/>
      <c r="N9658" s="567"/>
      <c r="O9658" s="549"/>
      <c r="P9658" s="549"/>
    </row>
    <row r="9659" spans="1:17" s="1358" customFormat="1" ht="17.399999999999999">
      <c r="A9659" s="549"/>
      <c r="B9659" s="549"/>
      <c r="C9659" s="549"/>
      <c r="D9659" s="549"/>
      <c r="E9659" s="549"/>
      <c r="F9659" s="549"/>
      <c r="G9659" s="549"/>
      <c r="H9659" s="549"/>
      <c r="I9659" s="558"/>
      <c r="J9659" s="710"/>
      <c r="K9659" s="848">
        <f>SUM(K9647:K9658)/2</f>
        <v>253</v>
      </c>
      <c r="L9659" s="552">
        <f>SUM(L9647:L9658)/2</f>
        <v>22.913280000000004</v>
      </c>
      <c r="M9659" s="648"/>
      <c r="N9659" s="567"/>
      <c r="O9659" s="549"/>
      <c r="P9659" s="549" t="s">
        <v>1127</v>
      </c>
    </row>
    <row r="9660" spans="1:17" s="1358" customFormat="1" ht="17.399999999999999">
      <c r="A9660" s="549"/>
      <c r="B9660" s="549"/>
      <c r="C9660" s="549"/>
      <c r="D9660" s="549"/>
      <c r="E9660" s="549"/>
      <c r="F9660" s="549"/>
      <c r="G9660" s="549"/>
      <c r="H9660" s="549"/>
      <c r="I9660" s="558"/>
      <c r="J9660" s="710"/>
      <c r="K9660" s="848"/>
      <c r="L9660" s="552"/>
      <c r="M9660" s="648"/>
      <c r="N9660" s="567"/>
      <c r="O9660" s="549"/>
      <c r="P9660" s="549"/>
    </row>
    <row r="9661" spans="1:17" s="1358" customFormat="1" ht="17.399999999999999">
      <c r="A9661" s="549"/>
      <c r="B9661" s="549"/>
      <c r="C9661" s="549"/>
      <c r="D9661" s="549"/>
      <c r="E9661" s="549"/>
      <c r="F9661" s="549"/>
      <c r="G9661" s="549"/>
      <c r="H9661" s="549"/>
      <c r="I9661" s="558"/>
      <c r="J9661" s="710"/>
      <c r="K9661" s="648"/>
      <c r="L9661" s="552"/>
      <c r="M9661" s="648"/>
      <c r="N9661" s="567"/>
      <c r="O9661" s="549"/>
      <c r="P9661" s="549"/>
    </row>
    <row r="9662" spans="1:17" s="1358" customFormat="1" ht="17.399999999999999">
      <c r="A9662" s="547" t="s">
        <v>395</v>
      </c>
      <c r="B9662" s="547" t="s">
        <v>1122</v>
      </c>
      <c r="C9662" s="547" t="s">
        <v>19</v>
      </c>
      <c r="D9662" s="813" t="s">
        <v>582</v>
      </c>
      <c r="E9662" s="547" t="s">
        <v>270</v>
      </c>
      <c r="F9662" s="1382">
        <v>8.5</v>
      </c>
      <c r="G9662" s="549" t="s">
        <v>61</v>
      </c>
      <c r="H9662" s="599" t="s">
        <v>366</v>
      </c>
      <c r="I9662" s="558">
        <v>10.92</v>
      </c>
      <c r="J9662" s="567">
        <v>10.5</v>
      </c>
      <c r="K9662" s="648">
        <v>40</v>
      </c>
      <c r="L9662" s="552">
        <f>(I9662*J9662*K9662/1000)</f>
        <v>4.5863999999999994</v>
      </c>
      <c r="M9662" s="648"/>
      <c r="N9662" s="567"/>
      <c r="O9662" s="549"/>
      <c r="P9662" s="549"/>
      <c r="Q9662" s="1358" t="s">
        <v>1227</v>
      </c>
    </row>
    <row r="9663" spans="1:17" s="1358" customFormat="1" ht="17.399999999999999">
      <c r="A9663" s="549"/>
      <c r="B9663" s="549" t="s">
        <v>271</v>
      </c>
      <c r="C9663" s="549"/>
      <c r="D9663" s="549"/>
      <c r="E9663" s="549"/>
      <c r="F9663" s="549"/>
      <c r="G9663" s="549"/>
      <c r="H9663" s="549"/>
      <c r="I9663" s="558"/>
      <c r="J9663" s="710"/>
      <c r="K9663" s="648">
        <f>SUM(K9662:K9662)</f>
        <v>40</v>
      </c>
      <c r="L9663" s="552">
        <f>SUM(L9662:L9662)</f>
        <v>4.5863999999999994</v>
      </c>
      <c r="M9663" s="648"/>
      <c r="N9663" s="567"/>
      <c r="O9663" s="549"/>
      <c r="P9663" s="549"/>
    </row>
    <row r="9664" spans="1:17" s="1358" customFormat="1" ht="17.399999999999999">
      <c r="A9664" s="549"/>
      <c r="B9664" s="549"/>
      <c r="C9664" s="549"/>
      <c r="D9664" s="549"/>
      <c r="E9664" s="549"/>
      <c r="F9664" s="549"/>
      <c r="G9664" s="549"/>
      <c r="H9664" s="549"/>
      <c r="I9664" s="558"/>
      <c r="J9664" s="567"/>
      <c r="K9664" s="648"/>
      <c r="L9664" s="567"/>
      <c r="M9664" s="648"/>
      <c r="N9664" s="567"/>
      <c r="O9664" s="549"/>
      <c r="P9664" s="549"/>
    </row>
    <row r="9665" spans="1:17" s="1358" customFormat="1" ht="17.399999999999999">
      <c r="A9665" s="547" t="s">
        <v>395</v>
      </c>
      <c r="B9665" s="547" t="s">
        <v>1123</v>
      </c>
      <c r="C9665" s="547" t="s">
        <v>19</v>
      </c>
      <c r="D9665" s="813" t="s">
        <v>582</v>
      </c>
      <c r="E9665" s="547" t="s">
        <v>270</v>
      </c>
      <c r="F9665" s="1382">
        <v>8.5</v>
      </c>
      <c r="G9665" s="549" t="s">
        <v>61</v>
      </c>
      <c r="H9665" s="599" t="s">
        <v>366</v>
      </c>
      <c r="I9665" s="558">
        <v>10.92</v>
      </c>
      <c r="J9665" s="567">
        <v>10.5</v>
      </c>
      <c r="K9665" s="648">
        <v>3</v>
      </c>
      <c r="L9665" s="552">
        <f>(I9665*J9665*K9665/1000)</f>
        <v>0.34398000000000001</v>
      </c>
      <c r="M9665" s="648"/>
      <c r="N9665" s="567"/>
      <c r="O9665" s="549"/>
      <c r="P9665" s="549"/>
      <c r="Q9665" s="1358" t="s">
        <v>1227</v>
      </c>
    </row>
    <row r="9666" spans="1:17" s="1358" customFormat="1" ht="17.399999999999999">
      <c r="A9666" s="549"/>
      <c r="B9666" s="549" t="s">
        <v>271</v>
      </c>
      <c r="C9666" s="549"/>
      <c r="D9666" s="549"/>
      <c r="E9666" s="549"/>
      <c r="F9666" s="549"/>
      <c r="G9666" s="549"/>
      <c r="H9666" s="549"/>
      <c r="I9666" s="558"/>
      <c r="J9666" s="710"/>
      <c r="K9666" s="648">
        <f>SUM(K9665:K9665)</f>
        <v>3</v>
      </c>
      <c r="L9666" s="552">
        <f>SUM(L9665:L9665)</f>
        <v>0.34398000000000001</v>
      </c>
      <c r="M9666" s="648"/>
      <c r="N9666" s="567"/>
      <c r="O9666" s="549"/>
      <c r="P9666" s="549"/>
    </row>
    <row r="9667" spans="1:17" s="1358" customFormat="1" ht="17.399999999999999">
      <c r="A9667" s="549"/>
      <c r="B9667" s="549"/>
      <c r="C9667" s="549"/>
      <c r="D9667" s="549"/>
      <c r="E9667" s="549"/>
      <c r="F9667" s="549"/>
      <c r="G9667" s="549"/>
      <c r="H9667" s="549"/>
      <c r="I9667" s="558"/>
      <c r="J9667" s="567"/>
      <c r="K9667" s="648"/>
      <c r="L9667" s="567"/>
      <c r="M9667" s="648"/>
      <c r="N9667" s="567"/>
      <c r="O9667" s="549"/>
      <c r="P9667" s="549"/>
    </row>
    <row r="9668" spans="1:17" s="1358" customFormat="1" ht="17.399999999999999">
      <c r="A9668" s="547" t="s">
        <v>395</v>
      </c>
      <c r="B9668" s="547" t="s">
        <v>1124</v>
      </c>
      <c r="C9668" s="547" t="s">
        <v>19</v>
      </c>
      <c r="D9668" s="813" t="s">
        <v>582</v>
      </c>
      <c r="E9668" s="547" t="s">
        <v>270</v>
      </c>
      <c r="F9668" s="1382">
        <v>8.5</v>
      </c>
      <c r="G9668" s="549" t="s">
        <v>61</v>
      </c>
      <c r="H9668" s="599" t="s">
        <v>366</v>
      </c>
      <c r="I9668" s="558">
        <v>10.92</v>
      </c>
      <c r="J9668" s="567">
        <v>10.6</v>
      </c>
      <c r="K9668" s="648">
        <v>26</v>
      </c>
      <c r="L9668" s="552">
        <f>(I9668*J9668*K9668/1000)</f>
        <v>3.0095519999999998</v>
      </c>
      <c r="M9668" s="648"/>
      <c r="N9668" s="567"/>
      <c r="O9668" s="549"/>
      <c r="P9668" s="549"/>
      <c r="Q9668" s="1358" t="s">
        <v>1227</v>
      </c>
    </row>
    <row r="9669" spans="1:17" s="1358" customFormat="1" ht="17.399999999999999">
      <c r="A9669" s="549"/>
      <c r="B9669" s="549" t="s">
        <v>271</v>
      </c>
      <c r="C9669" s="549"/>
      <c r="D9669" s="549"/>
      <c r="E9669" s="549"/>
      <c r="F9669" s="549"/>
      <c r="G9669" s="549"/>
      <c r="H9669" s="549"/>
      <c r="I9669" s="558"/>
      <c r="J9669" s="710"/>
      <c r="K9669" s="648">
        <f>SUM(K9668:K9668)</f>
        <v>26</v>
      </c>
      <c r="L9669" s="552">
        <f>SUM(L9668:L9668)</f>
        <v>3.0095519999999998</v>
      </c>
      <c r="M9669" s="648"/>
      <c r="N9669" s="567"/>
      <c r="O9669" s="549"/>
      <c r="P9669" s="549"/>
    </row>
    <row r="9670" spans="1:17" s="1358" customFormat="1" ht="17.399999999999999">
      <c r="A9670" s="549"/>
      <c r="B9670" s="549"/>
      <c r="C9670" s="549"/>
      <c r="D9670" s="549"/>
      <c r="E9670" s="549"/>
      <c r="F9670" s="549"/>
      <c r="G9670" s="549"/>
      <c r="H9670" s="549"/>
      <c r="I9670" s="558"/>
      <c r="J9670" s="567"/>
      <c r="K9670" s="648"/>
      <c r="L9670" s="567"/>
      <c r="M9670" s="648"/>
      <c r="N9670" s="567"/>
      <c r="O9670" s="549"/>
      <c r="P9670" s="549"/>
    </row>
    <row r="9671" spans="1:17" s="1358" customFormat="1" ht="17.399999999999999">
      <c r="A9671" s="547" t="s">
        <v>395</v>
      </c>
      <c r="B9671" s="547" t="s">
        <v>1125</v>
      </c>
      <c r="C9671" s="547" t="s">
        <v>19</v>
      </c>
      <c r="D9671" s="813" t="s">
        <v>582</v>
      </c>
      <c r="E9671" s="547" t="s">
        <v>270</v>
      </c>
      <c r="F9671" s="1382">
        <v>8.5</v>
      </c>
      <c r="G9671" s="549" t="s">
        <v>61</v>
      </c>
      <c r="H9671" s="599" t="s">
        <v>366</v>
      </c>
      <c r="I9671" s="558">
        <v>10.92</v>
      </c>
      <c r="J9671" s="567">
        <v>11.2</v>
      </c>
      <c r="K9671" s="648">
        <v>5</v>
      </c>
      <c r="L9671" s="552">
        <f>(I9671*J9671*K9671/1000)</f>
        <v>0.61151999999999995</v>
      </c>
      <c r="M9671" s="648"/>
      <c r="N9671" s="567"/>
      <c r="O9671" s="549"/>
      <c r="P9671" s="549"/>
      <c r="Q9671" s="1358" t="s">
        <v>1227</v>
      </c>
    </row>
    <row r="9672" spans="1:17" ht="17.399999999999999">
      <c r="A9672" s="549"/>
      <c r="B9672" s="549" t="s">
        <v>271</v>
      </c>
      <c r="C9672" s="549"/>
      <c r="D9672" s="549"/>
      <c r="E9672" s="549"/>
      <c r="F9672" s="549"/>
      <c r="G9672" s="549"/>
      <c r="H9672" s="549"/>
      <c r="I9672" s="558"/>
      <c r="J9672" s="710"/>
      <c r="K9672" s="648">
        <f>SUM(K9671:K9671)</f>
        <v>5</v>
      </c>
      <c r="L9672" s="552">
        <f>SUM(L9671:L9671)</f>
        <v>0.61151999999999995</v>
      </c>
      <c r="M9672" s="549"/>
      <c r="N9672" s="549"/>
      <c r="O9672" s="549"/>
      <c r="P9672" s="549"/>
    </row>
    <row r="9673" spans="1:17" s="1358" customFormat="1" ht="17.399999999999999">
      <c r="A9673" s="549"/>
      <c r="B9673" s="549"/>
      <c r="C9673" s="549"/>
      <c r="D9673" s="549"/>
      <c r="E9673" s="549"/>
      <c r="F9673" s="549"/>
      <c r="G9673" s="549"/>
      <c r="H9673" s="549"/>
      <c r="I9673" s="558"/>
      <c r="J9673" s="710"/>
      <c r="K9673" s="848">
        <f>SUM(K9662:K9672)/2</f>
        <v>74</v>
      </c>
      <c r="L9673" s="552">
        <f>SUM(L9662:L9672)/2</f>
        <v>8.5514519999999976</v>
      </c>
      <c r="M9673" s="549"/>
      <c r="N9673" s="549"/>
      <c r="O9673" s="549"/>
      <c r="P9673" s="549" t="s">
        <v>1128</v>
      </c>
    </row>
    <row r="9674" spans="1:17" s="1358" customFormat="1" ht="17.399999999999999">
      <c r="A9674" s="549"/>
      <c r="B9674" s="549"/>
      <c r="C9674" s="549"/>
      <c r="D9674" s="549"/>
      <c r="E9674" s="549"/>
      <c r="F9674" s="549"/>
      <c r="G9674" s="549"/>
      <c r="H9674" s="549"/>
      <c r="I9674" s="558"/>
      <c r="J9674" s="710"/>
      <c r="K9674" s="848"/>
      <c r="L9674" s="552"/>
      <c r="M9674" s="549"/>
      <c r="N9674" s="549"/>
      <c r="O9674" s="549"/>
      <c r="P9674" s="549"/>
    </row>
    <row r="9675" spans="1:17" ht="17.399999999999999">
      <c r="A9675" s="549"/>
      <c r="B9675" s="549"/>
      <c r="C9675" s="549"/>
      <c r="D9675" s="549"/>
      <c r="E9675" s="549"/>
      <c r="F9675" s="549"/>
      <c r="G9675" s="549"/>
      <c r="H9675" s="549"/>
      <c r="I9675" s="560"/>
      <c r="J9675" s="549"/>
      <c r="K9675" s="561"/>
      <c r="L9675" s="560"/>
      <c r="M9675" s="549"/>
      <c r="N9675" s="549"/>
      <c r="O9675" s="549"/>
      <c r="P9675" s="549"/>
    </row>
    <row r="9676" spans="1:17" ht="17.399999999999999">
      <c r="A9676" s="547" t="s">
        <v>395</v>
      </c>
      <c r="B9676" s="852" t="s">
        <v>1015</v>
      </c>
      <c r="C9676" s="547" t="s">
        <v>446</v>
      </c>
      <c r="D9676" s="813" t="s">
        <v>447</v>
      </c>
      <c r="E9676" s="547" t="s">
        <v>359</v>
      </c>
      <c r="F9676" s="1340">
        <v>11</v>
      </c>
      <c r="G9676" s="549" t="s">
        <v>21</v>
      </c>
      <c r="H9676" s="599" t="s">
        <v>91</v>
      </c>
      <c r="I9676" s="558">
        <v>6.97</v>
      </c>
      <c r="J9676" s="567">
        <v>10</v>
      </c>
      <c r="K9676" s="648">
        <v>219</v>
      </c>
      <c r="L9676" s="552">
        <f t="shared" ref="L9676:L9678" si="1981">(I9676*J9676*K9676/1000)</f>
        <v>15.2643</v>
      </c>
      <c r="M9676" s="549"/>
      <c r="N9676" s="549"/>
      <c r="O9676" s="549"/>
      <c r="P9676" s="549"/>
      <c r="Q9676" s="1358" t="s">
        <v>1230</v>
      </c>
    </row>
    <row r="9677" spans="1:17" ht="17.399999999999999">
      <c r="A9677" s="549"/>
      <c r="B9677" s="549"/>
      <c r="C9677" s="549"/>
      <c r="D9677" s="549"/>
      <c r="E9677" s="549"/>
      <c r="F9677" s="549"/>
      <c r="G9677" s="549" t="s">
        <v>21</v>
      </c>
      <c r="H9677" s="549" t="s">
        <v>91</v>
      </c>
      <c r="I9677" s="558">
        <v>6.97</v>
      </c>
      <c r="J9677" s="567">
        <v>11</v>
      </c>
      <c r="K9677" s="648">
        <v>233</v>
      </c>
      <c r="L9677" s="552">
        <f t="shared" si="1981"/>
        <v>17.86411</v>
      </c>
      <c r="M9677" s="549"/>
      <c r="N9677" s="549"/>
      <c r="O9677" s="549"/>
      <c r="P9677" s="549"/>
    </row>
    <row r="9678" spans="1:17" ht="17.399999999999999">
      <c r="A9678" s="549"/>
      <c r="B9678" s="549"/>
      <c r="C9678" s="549"/>
      <c r="D9678" s="549"/>
      <c r="E9678" s="549"/>
      <c r="F9678" s="549"/>
      <c r="G9678" s="549" t="s">
        <v>21</v>
      </c>
      <c r="H9678" s="549" t="s">
        <v>91</v>
      </c>
      <c r="I9678" s="558">
        <v>6.97</v>
      </c>
      <c r="J9678" s="567">
        <v>11.5</v>
      </c>
      <c r="K9678" s="648">
        <v>172</v>
      </c>
      <c r="L9678" s="552">
        <f t="shared" si="1981"/>
        <v>13.786659999999999</v>
      </c>
      <c r="M9678" s="549"/>
      <c r="N9678" s="549"/>
      <c r="O9678" s="549"/>
      <c r="P9678" s="549"/>
    </row>
    <row r="9679" spans="1:17" ht="17.399999999999999">
      <c r="A9679" s="549"/>
      <c r="B9679" s="549"/>
      <c r="C9679" s="549"/>
      <c r="D9679" s="549"/>
      <c r="E9679" s="549"/>
      <c r="F9679" s="549"/>
      <c r="G9679" s="549"/>
      <c r="H9679" s="549"/>
      <c r="I9679" s="558"/>
      <c r="J9679" s="567"/>
      <c r="K9679" s="648">
        <f t="shared" ref="K9679:L9679" si="1982">SUM(K9676:K9678)</f>
        <v>624</v>
      </c>
      <c r="L9679" s="567">
        <f t="shared" si="1982"/>
        <v>46.91507</v>
      </c>
      <c r="M9679" s="549"/>
      <c r="N9679" s="549"/>
      <c r="O9679" s="549"/>
      <c r="P9679" s="549" t="s">
        <v>1111</v>
      </c>
    </row>
    <row r="9680" spans="1:17" s="497" customFormat="1" ht="17.399999999999999">
      <c r="A9680" s="549"/>
      <c r="B9680" s="549"/>
      <c r="C9680" s="549"/>
      <c r="D9680" s="549"/>
      <c r="E9680" s="549"/>
      <c r="F9680" s="549"/>
      <c r="G9680" s="549"/>
      <c r="H9680" s="549"/>
      <c r="I9680" s="558"/>
      <c r="J9680" s="567"/>
      <c r="K9680" s="648"/>
      <c r="L9680" s="567"/>
      <c r="M9680" s="549"/>
      <c r="N9680" s="549"/>
      <c r="O9680" s="549"/>
      <c r="P9680" s="549"/>
    </row>
    <row r="9681" spans="1:17" s="497" customFormat="1" ht="17.399999999999999">
      <c r="A9681" s="549"/>
      <c r="B9681" s="549"/>
      <c r="C9681" s="549"/>
      <c r="D9681" s="549"/>
      <c r="E9681" s="549"/>
      <c r="F9681" s="549"/>
      <c r="G9681" s="549"/>
      <c r="H9681" s="549"/>
      <c r="I9681" s="558"/>
      <c r="J9681" s="567"/>
      <c r="K9681" s="648"/>
      <c r="L9681" s="567"/>
      <c r="M9681" s="549"/>
      <c r="N9681" s="549"/>
      <c r="O9681" s="549"/>
      <c r="P9681" s="549"/>
    </row>
    <row r="9682" spans="1:17" ht="17.399999999999999">
      <c r="A9682" s="547" t="s">
        <v>395</v>
      </c>
      <c r="B9682" s="852" t="s">
        <v>1015</v>
      </c>
      <c r="C9682" s="547" t="s">
        <v>446</v>
      </c>
      <c r="D9682" s="813" t="s">
        <v>447</v>
      </c>
      <c r="E9682" s="547" t="s">
        <v>359</v>
      </c>
      <c r="F9682" s="1340">
        <v>11</v>
      </c>
      <c r="G9682" s="549" t="s">
        <v>21</v>
      </c>
      <c r="H9682" s="599" t="s">
        <v>53</v>
      </c>
      <c r="I9682" s="558">
        <v>8.32</v>
      </c>
      <c r="J9682" s="567">
        <v>8.25</v>
      </c>
      <c r="K9682" s="648">
        <v>110</v>
      </c>
      <c r="L9682" s="552">
        <f t="shared" ref="L9682:L9685" si="1983">(I9682*J9682*K9682/1000)</f>
        <v>7.5503999999999998</v>
      </c>
      <c r="M9682" s="549"/>
      <c r="N9682" s="567">
        <f t="shared" ref="N9682:N9685" si="1984">J9682*M9682*I9682/1000</f>
        <v>0</v>
      </c>
      <c r="O9682" s="549"/>
      <c r="P9682" s="549"/>
      <c r="Q9682" s="1358" t="s">
        <v>1230</v>
      </c>
    </row>
    <row r="9683" spans="1:17" ht="17.399999999999999">
      <c r="A9683" s="549"/>
      <c r="B9683" s="549"/>
      <c r="C9683" s="549"/>
      <c r="D9683" s="549"/>
      <c r="E9683" s="549"/>
      <c r="F9683" s="549"/>
      <c r="G9683" s="549" t="s">
        <v>21</v>
      </c>
      <c r="H9683" s="549" t="s">
        <v>53</v>
      </c>
      <c r="I9683" s="558">
        <v>8.32</v>
      </c>
      <c r="J9683" s="567">
        <v>10</v>
      </c>
      <c r="K9683" s="648">
        <v>389</v>
      </c>
      <c r="L9683" s="552">
        <f t="shared" si="1983"/>
        <v>32.364800000000002</v>
      </c>
      <c r="M9683" s="549"/>
      <c r="N9683" s="567">
        <f t="shared" si="1984"/>
        <v>0</v>
      </c>
      <c r="O9683" s="549"/>
      <c r="P9683" s="549"/>
    </row>
    <row r="9684" spans="1:17" ht="17.399999999999999">
      <c r="A9684" s="549"/>
      <c r="B9684" s="549"/>
      <c r="C9684" s="549"/>
      <c r="D9684" s="549"/>
      <c r="E9684" s="549"/>
      <c r="F9684" s="549"/>
      <c r="G9684" s="549" t="s">
        <v>21</v>
      </c>
      <c r="H9684" s="549" t="s">
        <v>53</v>
      </c>
      <c r="I9684" s="558">
        <v>8.32</v>
      </c>
      <c r="J9684" s="567">
        <v>11</v>
      </c>
      <c r="K9684" s="648">
        <v>196</v>
      </c>
      <c r="L9684" s="552">
        <f t="shared" si="1983"/>
        <v>17.937920000000002</v>
      </c>
      <c r="M9684" s="549">
        <v>6</v>
      </c>
      <c r="N9684" s="567">
        <f t="shared" si="1984"/>
        <v>0.54912000000000005</v>
      </c>
      <c r="O9684" s="549"/>
      <c r="P9684" s="549"/>
    </row>
    <row r="9685" spans="1:17" ht="17.399999999999999">
      <c r="A9685" s="549"/>
      <c r="B9685" s="549"/>
      <c r="C9685" s="549"/>
      <c r="D9685" s="549"/>
      <c r="E9685" s="549"/>
      <c r="F9685" s="549"/>
      <c r="G9685" s="549" t="s">
        <v>21</v>
      </c>
      <c r="H9685" s="549" t="s">
        <v>53</v>
      </c>
      <c r="I9685" s="558">
        <v>8.32</v>
      </c>
      <c r="J9685" s="567">
        <v>12</v>
      </c>
      <c r="K9685" s="648">
        <v>260</v>
      </c>
      <c r="L9685" s="552">
        <f t="shared" si="1983"/>
        <v>25.958400000000001</v>
      </c>
      <c r="M9685" s="549">
        <v>25</v>
      </c>
      <c r="N9685" s="567">
        <f t="shared" si="1984"/>
        <v>2.496</v>
      </c>
      <c r="O9685" s="549"/>
      <c r="P9685" s="549"/>
    </row>
    <row r="9686" spans="1:17" ht="17.399999999999999">
      <c r="A9686" s="549"/>
      <c r="B9686" s="549"/>
      <c r="C9686" s="549"/>
      <c r="D9686" s="549"/>
      <c r="E9686" s="549"/>
      <c r="F9686" s="549"/>
      <c r="G9686" s="549"/>
      <c r="H9686" s="549"/>
      <c r="I9686" s="558"/>
      <c r="J9686" s="567"/>
      <c r="K9686" s="648">
        <f>SUM(K9682:K9685)</f>
        <v>955</v>
      </c>
      <c r="L9686" s="567">
        <f>SUM(L9682:L9685)</f>
        <v>83.811520000000002</v>
      </c>
      <c r="M9686" s="648">
        <f>SUM(M9682:M9685)</f>
        <v>31</v>
      </c>
      <c r="N9686" s="567">
        <f>SUM(N9682:N9685)</f>
        <v>3.0451199999999998</v>
      </c>
      <c r="O9686" s="549"/>
      <c r="P9686" s="549" t="s">
        <v>1112</v>
      </c>
    </row>
    <row r="9687" spans="1:17" s="497" customFormat="1" ht="17.399999999999999">
      <c r="A9687" s="549"/>
      <c r="B9687" s="549"/>
      <c r="C9687" s="549"/>
      <c r="D9687" s="549"/>
      <c r="E9687" s="549"/>
      <c r="F9687" s="549"/>
      <c r="G9687" s="549"/>
      <c r="H9687" s="549"/>
      <c r="I9687" s="558"/>
      <c r="J9687" s="567"/>
      <c r="K9687" s="648"/>
      <c r="L9687" s="567"/>
      <c r="M9687" s="549"/>
      <c r="N9687" s="549"/>
      <c r="O9687" s="549"/>
      <c r="P9687" s="549"/>
    </row>
    <row r="9688" spans="1:17" ht="17.399999999999999">
      <c r="A9688" s="547" t="s">
        <v>395</v>
      </c>
      <c r="B9688" s="852" t="s">
        <v>1093</v>
      </c>
      <c r="C9688" s="547" t="s">
        <v>446</v>
      </c>
      <c r="D9688" s="813" t="s">
        <v>447</v>
      </c>
      <c r="E9688" s="547" t="s">
        <v>359</v>
      </c>
      <c r="F9688" s="1340">
        <v>11</v>
      </c>
      <c r="G9688" s="792" t="s">
        <v>21</v>
      </c>
      <c r="H9688" s="1247" t="s">
        <v>53</v>
      </c>
      <c r="I9688" s="773">
        <v>8.32</v>
      </c>
      <c r="J9688" s="774">
        <v>8.25</v>
      </c>
      <c r="K9688" s="775">
        <v>15</v>
      </c>
      <c r="L9688" s="552">
        <f t="shared" ref="L9688:L9693" si="1985">(I9688*J9688*K9688/1000)</f>
        <v>1.0295999999999998</v>
      </c>
      <c r="M9688" s="549"/>
      <c r="N9688" s="549"/>
      <c r="O9688" s="549"/>
      <c r="P9688" s="549"/>
      <c r="Q9688" s="1358" t="s">
        <v>1230</v>
      </c>
    </row>
    <row r="9689" spans="1:17" ht="17.399999999999999">
      <c r="A9689" s="549"/>
      <c r="B9689" s="549"/>
      <c r="C9689" s="549"/>
      <c r="D9689" s="549"/>
      <c r="E9689" s="549"/>
      <c r="F9689" s="549"/>
      <c r="G9689" s="792" t="s">
        <v>21</v>
      </c>
      <c r="H9689" s="1227" t="s">
        <v>53</v>
      </c>
      <c r="I9689" s="773">
        <v>8.32</v>
      </c>
      <c r="J9689" s="774">
        <v>9</v>
      </c>
      <c r="K9689" s="775">
        <v>2</v>
      </c>
      <c r="L9689" s="552">
        <f t="shared" si="1985"/>
        <v>0.14976</v>
      </c>
      <c r="M9689" s="549"/>
      <c r="N9689" s="549"/>
      <c r="O9689" s="549"/>
      <c r="P9689" s="549"/>
    </row>
    <row r="9690" spans="1:17" ht="17.399999999999999">
      <c r="A9690" s="549"/>
      <c r="B9690" s="549"/>
      <c r="C9690" s="549"/>
      <c r="D9690" s="549"/>
      <c r="E9690" s="549"/>
      <c r="F9690" s="549"/>
      <c r="G9690" s="792" t="s">
        <v>21</v>
      </c>
      <c r="H9690" s="1227" t="s">
        <v>53</v>
      </c>
      <c r="I9690" s="773">
        <v>8.32</v>
      </c>
      <c r="J9690" s="774">
        <v>9.6</v>
      </c>
      <c r="K9690" s="775">
        <v>22</v>
      </c>
      <c r="L9690" s="552">
        <f t="shared" si="1985"/>
        <v>1.7571840000000001</v>
      </c>
      <c r="M9690" s="549"/>
      <c r="N9690" s="549"/>
      <c r="O9690" s="549"/>
      <c r="P9690" s="549"/>
    </row>
    <row r="9691" spans="1:17" ht="17.399999999999999">
      <c r="A9691" s="549"/>
      <c r="B9691" s="549"/>
      <c r="C9691" s="549"/>
      <c r="D9691" s="549"/>
      <c r="E9691" s="549"/>
      <c r="F9691" s="549"/>
      <c r="G9691" s="792" t="s">
        <v>21</v>
      </c>
      <c r="H9691" s="1227" t="s">
        <v>53</v>
      </c>
      <c r="I9691" s="773">
        <v>8.32</v>
      </c>
      <c r="J9691" s="774">
        <v>10.5</v>
      </c>
      <c r="K9691" s="775">
        <v>17</v>
      </c>
      <c r="L9691" s="552">
        <f t="shared" si="1985"/>
        <v>1.48512</v>
      </c>
      <c r="M9691" s="549"/>
      <c r="N9691" s="549"/>
      <c r="O9691" s="549"/>
      <c r="P9691" s="549"/>
    </row>
    <row r="9692" spans="1:17" ht="17.399999999999999">
      <c r="A9692" s="549"/>
      <c r="B9692" s="549"/>
      <c r="C9692" s="549"/>
      <c r="D9692" s="549"/>
      <c r="E9692" s="549"/>
      <c r="F9692" s="549"/>
      <c r="G9692" s="792" t="s">
        <v>21</v>
      </c>
      <c r="H9692" s="1227" t="s">
        <v>53</v>
      </c>
      <c r="I9692" s="773">
        <v>8.32</v>
      </c>
      <c r="J9692" s="774">
        <v>11</v>
      </c>
      <c r="K9692" s="775">
        <v>38</v>
      </c>
      <c r="L9692" s="552">
        <f t="shared" si="1985"/>
        <v>3.4777600000000004</v>
      </c>
      <c r="M9692" s="549"/>
      <c r="N9692" s="549"/>
      <c r="O9692" s="549"/>
      <c r="P9692" s="549"/>
    </row>
    <row r="9693" spans="1:17" ht="17.399999999999999">
      <c r="A9693" s="549"/>
      <c r="B9693" s="549"/>
      <c r="C9693" s="549"/>
      <c r="D9693" s="549"/>
      <c r="E9693" s="549"/>
      <c r="F9693" s="549"/>
      <c r="G9693" s="792" t="s">
        <v>21</v>
      </c>
      <c r="H9693" s="1227" t="s">
        <v>53</v>
      </c>
      <c r="I9693" s="773">
        <v>8.32</v>
      </c>
      <c r="J9693" s="774">
        <v>12</v>
      </c>
      <c r="K9693" s="775">
        <v>26</v>
      </c>
      <c r="L9693" s="552">
        <f t="shared" si="1985"/>
        <v>2.5958399999999999</v>
      </c>
      <c r="M9693" s="549"/>
      <c r="N9693" s="549"/>
      <c r="O9693" s="549"/>
      <c r="P9693" s="549"/>
    </row>
    <row r="9694" spans="1:17" ht="17.399999999999999">
      <c r="A9694" s="549"/>
      <c r="B9694" s="549"/>
      <c r="C9694" s="549"/>
      <c r="D9694" s="549"/>
      <c r="E9694" s="549"/>
      <c r="F9694" s="549"/>
      <c r="G9694" s="792"/>
      <c r="H9694" s="1227"/>
      <c r="I9694" s="773"/>
      <c r="J9694" s="774"/>
      <c r="K9694" s="775">
        <f t="shared" ref="K9694:L9694" si="1986">SUM(K9688:K9693)</f>
        <v>120</v>
      </c>
      <c r="L9694" s="1226">
        <f t="shared" si="1986"/>
        <v>10.495263999999999</v>
      </c>
      <c r="M9694" s="549"/>
      <c r="N9694" s="549"/>
      <c r="O9694" s="549"/>
      <c r="P9694" s="549" t="s">
        <v>1112</v>
      </c>
    </row>
    <row r="9695" spans="1:17" ht="17.399999999999999">
      <c r="A9695" s="549"/>
      <c r="B9695" s="549"/>
      <c r="C9695" s="549"/>
      <c r="D9695" s="549"/>
      <c r="E9695" s="549"/>
      <c r="F9695" s="549"/>
      <c r="G9695" s="549"/>
      <c r="H9695" s="549"/>
      <c r="I9695" s="560"/>
      <c r="J9695" s="549"/>
      <c r="K9695" s="561"/>
      <c r="L9695" s="560"/>
      <c r="M9695" s="549"/>
      <c r="N9695" s="549"/>
      <c r="O9695" s="549"/>
      <c r="P9695" s="549"/>
    </row>
    <row r="9696" spans="1:17" ht="17.399999999999999">
      <c r="A9696" s="547" t="s">
        <v>395</v>
      </c>
      <c r="B9696" s="852" t="s">
        <v>961</v>
      </c>
      <c r="C9696" s="547" t="s">
        <v>446</v>
      </c>
      <c r="D9696" s="813" t="s">
        <v>447</v>
      </c>
      <c r="E9696" s="547" t="s">
        <v>359</v>
      </c>
      <c r="F9696" s="1340">
        <v>11</v>
      </c>
      <c r="G9696" s="549" t="s">
        <v>21</v>
      </c>
      <c r="H9696" s="599" t="s">
        <v>53</v>
      </c>
      <c r="I9696" s="560">
        <v>8.32</v>
      </c>
      <c r="J9696" s="710">
        <v>6</v>
      </c>
      <c r="K9696" s="648">
        <v>2</v>
      </c>
      <c r="L9696" s="552">
        <f>(I9696*J9696*K9696/1000)</f>
        <v>9.9839999999999998E-2</v>
      </c>
      <c r="M9696" s="549"/>
      <c r="N9696" s="549"/>
      <c r="O9696" s="549"/>
      <c r="P9696" s="549"/>
      <c r="Q9696" s="1358" t="s">
        <v>1230</v>
      </c>
    </row>
    <row r="9697" spans="1:17" ht="17.399999999999999">
      <c r="A9697" s="549"/>
      <c r="B9697" s="549"/>
      <c r="C9697" s="549"/>
      <c r="D9697" s="549"/>
      <c r="E9697" s="549"/>
      <c r="F9697" s="549"/>
      <c r="G9697" s="549"/>
      <c r="H9697" s="549"/>
      <c r="I9697" s="560"/>
      <c r="J9697" s="710"/>
      <c r="K9697" s="648">
        <f t="shared" ref="K9697:L9697" si="1987">SUM(K9696)</f>
        <v>2</v>
      </c>
      <c r="L9697" s="552">
        <f t="shared" si="1987"/>
        <v>9.9839999999999998E-2</v>
      </c>
      <c r="M9697" s="549"/>
      <c r="N9697" s="549"/>
      <c r="O9697" s="549"/>
      <c r="P9697" s="549" t="s">
        <v>1112</v>
      </c>
    </row>
    <row r="9698" spans="1:17" s="1358" customFormat="1" ht="17.399999999999999">
      <c r="A9698" s="549"/>
      <c r="B9698" s="549"/>
      <c r="C9698" s="549"/>
      <c r="D9698" s="549"/>
      <c r="E9698" s="549"/>
      <c r="F9698" s="549"/>
      <c r="G9698" s="549"/>
      <c r="H9698" s="549"/>
      <c r="I9698" s="560"/>
      <c r="J9698" s="710"/>
      <c r="K9698" s="648"/>
      <c r="L9698" s="552"/>
      <c r="M9698" s="549"/>
      <c r="N9698" s="549"/>
      <c r="O9698" s="549"/>
      <c r="P9698" s="549"/>
    </row>
    <row r="9699" spans="1:17" s="1358" customFormat="1" ht="17.399999999999999">
      <c r="A9699" s="547" t="s">
        <v>445</v>
      </c>
      <c r="B9699" s="547" t="s">
        <v>857</v>
      </c>
      <c r="C9699" s="547" t="s">
        <v>19</v>
      </c>
      <c r="D9699" s="547" t="s">
        <v>20</v>
      </c>
      <c r="E9699" s="1283" t="s">
        <v>420</v>
      </c>
      <c r="F9699" s="1388">
        <v>11</v>
      </c>
      <c r="G9699" s="549" t="s">
        <v>21</v>
      </c>
      <c r="H9699" s="599" t="s">
        <v>53</v>
      </c>
      <c r="I9699" s="558">
        <v>8.3000000000000007</v>
      </c>
      <c r="J9699" s="710">
        <v>12</v>
      </c>
      <c r="K9699" s="648">
        <v>7</v>
      </c>
      <c r="L9699" s="552">
        <f>(I9699*J9699*K9699/1000)</f>
        <v>0.69720000000000004</v>
      </c>
      <c r="M9699" s="648"/>
      <c r="N9699" s="567"/>
      <c r="O9699" s="549"/>
      <c r="P9699" s="549"/>
      <c r="Q9699" s="1358" t="s">
        <v>1230</v>
      </c>
    </row>
    <row r="9700" spans="1:17" s="1358" customFormat="1" ht="17.399999999999999">
      <c r="A9700" s="549"/>
      <c r="B9700" s="832" t="s">
        <v>84</v>
      </c>
      <c r="C9700" s="549"/>
      <c r="D9700" s="549"/>
      <c r="E9700" s="549"/>
      <c r="F9700" s="549"/>
      <c r="G9700" s="549"/>
      <c r="H9700" s="650"/>
      <c r="I9700" s="560"/>
      <c r="J9700" s="710"/>
      <c r="K9700" s="648">
        <f t="shared" ref="K9700" si="1988">SUM(K9699)</f>
        <v>7</v>
      </c>
      <c r="L9700" s="765">
        <f>SUM(L9699)</f>
        <v>0.69720000000000004</v>
      </c>
      <c r="M9700" s="648"/>
      <c r="N9700" s="567"/>
      <c r="O9700" s="549"/>
      <c r="P9700" s="549" t="s">
        <v>1132</v>
      </c>
    </row>
    <row r="9701" spans="1:17" s="497" customFormat="1" ht="17.399999999999999">
      <c r="A9701" s="549"/>
      <c r="B9701" s="549"/>
      <c r="C9701" s="549"/>
      <c r="D9701" s="549"/>
      <c r="E9701" s="549"/>
      <c r="F9701" s="549"/>
      <c r="G9701" s="549"/>
      <c r="H9701" s="549"/>
      <c r="I9701" s="560"/>
      <c r="J9701" s="710"/>
      <c r="K9701" s="848">
        <f>SUM(K9682:K9700)/2</f>
        <v>1084</v>
      </c>
      <c r="L9701" s="552">
        <f>SUM(L9682:L9700)/2</f>
        <v>95.103823999999989</v>
      </c>
      <c r="M9701" s="848">
        <f>SUM(M9682:M9697)/2</f>
        <v>31</v>
      </c>
      <c r="N9701" s="552">
        <f>SUM(N9682:N9697)/2</f>
        <v>3.0451199999999998</v>
      </c>
      <c r="O9701" s="549"/>
      <c r="P9701" s="549"/>
    </row>
    <row r="9702" spans="1:17" s="497" customFormat="1" ht="17.399999999999999">
      <c r="A9702" s="549"/>
      <c r="B9702" s="549"/>
      <c r="C9702" s="549"/>
      <c r="D9702" s="549"/>
      <c r="E9702" s="549"/>
      <c r="F9702" s="549"/>
      <c r="G9702" s="549"/>
      <c r="H9702" s="549"/>
      <c r="I9702" s="560"/>
      <c r="J9702" s="710"/>
      <c r="K9702" s="648"/>
      <c r="L9702" s="552"/>
      <c r="M9702" s="549"/>
      <c r="N9702" s="549"/>
      <c r="O9702" s="549"/>
      <c r="P9702" s="549"/>
    </row>
    <row r="9703" spans="1:17" s="497" customFormat="1" ht="17.399999999999999">
      <c r="A9703" s="549"/>
      <c r="B9703" s="549"/>
      <c r="C9703" s="549"/>
      <c r="D9703" s="549"/>
      <c r="E9703" s="549"/>
      <c r="F9703" s="549"/>
      <c r="G9703" s="549"/>
      <c r="H9703" s="549"/>
      <c r="I9703" s="560"/>
      <c r="J9703" s="710"/>
      <c r="K9703" s="648"/>
      <c r="L9703" s="552"/>
      <c r="M9703" s="549"/>
      <c r="N9703" s="549"/>
      <c r="O9703" s="549"/>
      <c r="P9703" s="549"/>
    </row>
    <row r="9704" spans="1:17" ht="17.399999999999999">
      <c r="A9704" s="547" t="s">
        <v>395</v>
      </c>
      <c r="B9704" s="852" t="s">
        <v>1015</v>
      </c>
      <c r="C9704" s="547" t="s">
        <v>446</v>
      </c>
      <c r="D9704" s="813" t="s">
        <v>447</v>
      </c>
      <c r="E9704" s="547" t="s">
        <v>359</v>
      </c>
      <c r="F9704" s="1340">
        <v>11</v>
      </c>
      <c r="G9704" s="549" t="s">
        <v>21</v>
      </c>
      <c r="H9704" s="599" t="s">
        <v>54</v>
      </c>
      <c r="I9704" s="558">
        <v>9.61</v>
      </c>
      <c r="J9704" s="567">
        <v>10</v>
      </c>
      <c r="K9704" s="648">
        <v>23</v>
      </c>
      <c r="L9704" s="552">
        <f t="shared" ref="L9704:L9705" si="1989">(I9704*J9704*K9704/1000)</f>
        <v>2.2102999999999997</v>
      </c>
      <c r="M9704" s="549"/>
      <c r="N9704" s="549"/>
      <c r="O9704" s="549"/>
      <c r="P9704" s="549"/>
      <c r="Q9704" s="1358" t="s">
        <v>1230</v>
      </c>
    </row>
    <row r="9705" spans="1:17" ht="17.399999999999999">
      <c r="A9705" s="549"/>
      <c r="B9705" s="549"/>
      <c r="C9705" s="549"/>
      <c r="D9705" s="549"/>
      <c r="E9705" s="549"/>
      <c r="F9705" s="549"/>
      <c r="G9705" s="549" t="s">
        <v>21</v>
      </c>
      <c r="H9705" s="549" t="s">
        <v>54</v>
      </c>
      <c r="I9705" s="558">
        <v>9.61</v>
      </c>
      <c r="J9705" s="567">
        <v>12</v>
      </c>
      <c r="K9705" s="648">
        <v>14</v>
      </c>
      <c r="L9705" s="552">
        <f t="shared" si="1989"/>
        <v>1.6144799999999999</v>
      </c>
      <c r="M9705" s="549"/>
      <c r="N9705" s="549"/>
      <c r="O9705" s="549"/>
      <c r="P9705" s="549"/>
    </row>
    <row r="9706" spans="1:17" ht="17.399999999999999">
      <c r="A9706" s="549"/>
      <c r="B9706" s="549"/>
      <c r="C9706" s="549"/>
      <c r="D9706" s="549"/>
      <c r="E9706" s="549"/>
      <c r="F9706" s="549"/>
      <c r="G9706" s="549"/>
      <c r="H9706" s="549"/>
      <c r="I9706" s="558"/>
      <c r="J9706" s="567"/>
      <c r="K9706" s="648">
        <f t="shared" ref="K9706:L9706" si="1990">SUM(K9704:K9705)</f>
        <v>37</v>
      </c>
      <c r="L9706" s="567">
        <f t="shared" si="1990"/>
        <v>3.8247799999999996</v>
      </c>
      <c r="M9706" s="549"/>
      <c r="N9706" s="549"/>
      <c r="O9706" s="549"/>
      <c r="P9706" s="549"/>
    </row>
    <row r="9707" spans="1:17" ht="17.399999999999999">
      <c r="A9707" s="549"/>
      <c r="B9707" s="549"/>
      <c r="C9707" s="549"/>
      <c r="D9707" s="549"/>
      <c r="E9707" s="549"/>
      <c r="F9707" s="549"/>
      <c r="G9707" s="549"/>
      <c r="H9707" s="549"/>
      <c r="I9707" s="560"/>
      <c r="J9707" s="549"/>
      <c r="K9707" s="561"/>
      <c r="L9707" s="560"/>
      <c r="M9707" s="549"/>
      <c r="N9707" s="549"/>
      <c r="O9707" s="549"/>
      <c r="P9707" s="549"/>
    </row>
    <row r="9708" spans="1:17" ht="17.399999999999999">
      <c r="A9708" s="547" t="s">
        <v>395</v>
      </c>
      <c r="B9708" s="852" t="s">
        <v>961</v>
      </c>
      <c r="C9708" s="547" t="s">
        <v>446</v>
      </c>
      <c r="D9708" s="813" t="s">
        <v>447</v>
      </c>
      <c r="E9708" s="547" t="s">
        <v>359</v>
      </c>
      <c r="F9708" s="1340">
        <v>11</v>
      </c>
      <c r="G9708" s="549" t="s">
        <v>21</v>
      </c>
      <c r="H9708" s="599" t="s">
        <v>54</v>
      </c>
      <c r="I9708" s="560">
        <v>9.61</v>
      </c>
      <c r="J9708" s="710">
        <v>6.25</v>
      </c>
      <c r="K9708" s="648">
        <v>28</v>
      </c>
      <c r="L9708" s="552">
        <f>(I9708*J9708*K9708/1000)</f>
        <v>1.6817500000000001</v>
      </c>
      <c r="M9708" s="549"/>
      <c r="N9708" s="549"/>
      <c r="O9708" s="549"/>
      <c r="P9708" s="549"/>
      <c r="Q9708" s="1358" t="s">
        <v>1230</v>
      </c>
    </row>
    <row r="9709" spans="1:17" ht="17.399999999999999">
      <c r="A9709" s="549"/>
      <c r="B9709" s="549"/>
      <c r="C9709" s="549"/>
      <c r="D9709" s="549"/>
      <c r="E9709" s="549"/>
      <c r="F9709" s="549"/>
      <c r="G9709" s="549" t="s">
        <v>21</v>
      </c>
      <c r="H9709" s="549" t="s">
        <v>54</v>
      </c>
      <c r="I9709" s="560">
        <v>9.61</v>
      </c>
      <c r="J9709" s="710">
        <v>12</v>
      </c>
      <c r="K9709" s="648">
        <v>10</v>
      </c>
      <c r="L9709" s="552">
        <f>(I9709*J9709*K9709/1000)</f>
        <v>1.1531999999999998</v>
      </c>
      <c r="M9709" s="549"/>
      <c r="N9709" s="549"/>
      <c r="O9709" s="549"/>
      <c r="P9709" s="549"/>
    </row>
    <row r="9710" spans="1:17" ht="17.399999999999999">
      <c r="A9710" s="549"/>
      <c r="B9710" s="549"/>
      <c r="C9710" s="549"/>
      <c r="D9710" s="549"/>
      <c r="E9710" s="549"/>
      <c r="F9710" s="549"/>
      <c r="G9710" s="549"/>
      <c r="H9710" s="549"/>
      <c r="I9710" s="560"/>
      <c r="J9710" s="710"/>
      <c r="K9710" s="648">
        <f t="shared" ref="K9710" si="1991">SUM(K9708:K9709)</f>
        <v>38</v>
      </c>
      <c r="L9710" s="552">
        <f>SUM(L9708:L9709)</f>
        <v>2.8349500000000001</v>
      </c>
      <c r="M9710" s="549"/>
      <c r="N9710" s="549"/>
      <c r="O9710" s="549"/>
      <c r="P9710" s="549"/>
    </row>
    <row r="9711" spans="1:17" ht="17.399999999999999">
      <c r="A9711" s="549"/>
      <c r="B9711" s="549"/>
      <c r="C9711" s="549"/>
      <c r="D9711" s="549"/>
      <c r="E9711" s="549"/>
      <c r="F9711" s="549"/>
      <c r="G9711" s="549"/>
      <c r="H9711" s="549"/>
      <c r="I9711" s="560"/>
      <c r="J9711" s="549"/>
      <c r="K9711" s="652">
        <f>SUM(K9704:K9710)/2</f>
        <v>75</v>
      </c>
      <c r="L9711" s="565">
        <f>SUM(L9704:L9710)/2</f>
        <v>6.6597299999999997</v>
      </c>
      <c r="M9711" s="652">
        <f>SUM(M9704:M9710)/2</f>
        <v>0</v>
      </c>
      <c r="N9711" s="565">
        <f>SUM(N9704:N9710)/2</f>
        <v>0</v>
      </c>
      <c r="O9711" s="549"/>
      <c r="P9711" s="549" t="s">
        <v>1113</v>
      </c>
    </row>
    <row r="9712" spans="1:17" ht="17.399999999999999">
      <c r="A9712" s="549"/>
      <c r="B9712" s="549"/>
      <c r="C9712" s="549"/>
      <c r="D9712" s="549"/>
      <c r="E9712" s="549"/>
      <c r="F9712" s="549"/>
      <c r="G9712" s="549"/>
      <c r="H9712" s="549"/>
      <c r="I9712" s="560"/>
      <c r="J9712" s="549"/>
      <c r="K9712" s="561"/>
      <c r="L9712" s="560"/>
      <c r="M9712" s="549"/>
      <c r="N9712" s="549"/>
      <c r="O9712" s="549"/>
      <c r="P9712" s="549"/>
    </row>
    <row r="9713" spans="1:21" s="497" customFormat="1" ht="17.399999999999999">
      <c r="A9713" s="549"/>
      <c r="B9713" s="549"/>
      <c r="C9713" s="549"/>
      <c r="D9713" s="549"/>
      <c r="E9713" s="549"/>
      <c r="F9713" s="549"/>
      <c r="G9713" s="549"/>
      <c r="H9713" s="549"/>
      <c r="I9713" s="560"/>
      <c r="J9713" s="549"/>
      <c r="K9713" s="561"/>
      <c r="L9713" s="560"/>
      <c r="M9713" s="549"/>
      <c r="N9713" s="549"/>
      <c r="O9713" s="549"/>
      <c r="P9713" s="549"/>
    </row>
    <row r="9714" spans="1:21" s="497" customFormat="1" ht="17.399999999999999">
      <c r="A9714" s="547" t="s">
        <v>332</v>
      </c>
      <c r="B9714" s="547" t="s">
        <v>1094</v>
      </c>
      <c r="C9714" s="547" t="s">
        <v>19</v>
      </c>
      <c r="D9714" s="547" t="s">
        <v>20</v>
      </c>
      <c r="E9714" s="650" t="s">
        <v>464</v>
      </c>
      <c r="F9714" s="1382">
        <v>11</v>
      </c>
      <c r="G9714" s="549" t="s">
        <v>21</v>
      </c>
      <c r="H9714" s="599" t="s">
        <v>54</v>
      </c>
      <c r="I9714" s="558">
        <v>9.61</v>
      </c>
      <c r="J9714" s="567">
        <v>11</v>
      </c>
      <c r="K9714" s="648">
        <v>17</v>
      </c>
      <c r="L9714" s="552">
        <f>(I9714*J9714*K9714/1000)</f>
        <v>1.7970699999999999</v>
      </c>
      <c r="M9714" s="549"/>
      <c r="N9714" s="549"/>
      <c r="O9714" s="549"/>
      <c r="P9714" s="549"/>
      <c r="Q9714" s="1358" t="s">
        <v>1230</v>
      </c>
    </row>
    <row r="9715" spans="1:21" s="497" customFormat="1" ht="17.399999999999999">
      <c r="A9715" s="549"/>
      <c r="B9715" s="1348" t="s">
        <v>585</v>
      </c>
      <c r="C9715" s="549"/>
      <c r="D9715" s="549"/>
      <c r="E9715" s="549"/>
      <c r="F9715" s="549"/>
      <c r="G9715" s="549" t="s">
        <v>21</v>
      </c>
      <c r="H9715" s="549" t="s">
        <v>54</v>
      </c>
      <c r="I9715" s="558">
        <v>9.61</v>
      </c>
      <c r="J9715" s="567">
        <v>11.5</v>
      </c>
      <c r="K9715" s="648">
        <v>28</v>
      </c>
      <c r="L9715" s="552">
        <f>(I9715*J9715*K9715/1000)</f>
        <v>3.0944199999999995</v>
      </c>
      <c r="M9715" s="549"/>
      <c r="N9715" s="549"/>
      <c r="O9715" s="549"/>
      <c r="P9715" s="549"/>
    </row>
    <row r="9716" spans="1:21" s="497" customFormat="1" ht="17.399999999999999">
      <c r="A9716" s="549"/>
      <c r="B9716" s="549"/>
      <c r="C9716" s="549"/>
      <c r="D9716" s="549"/>
      <c r="E9716" s="549"/>
      <c r="F9716" s="549"/>
      <c r="G9716" s="549" t="s">
        <v>21</v>
      </c>
      <c r="H9716" s="549" t="s">
        <v>54</v>
      </c>
      <c r="I9716" s="558">
        <v>9.61</v>
      </c>
      <c r="J9716" s="567">
        <v>12</v>
      </c>
      <c r="K9716" s="648">
        <v>13</v>
      </c>
      <c r="L9716" s="552">
        <f>(I9716*J9716*K9716/1000)</f>
        <v>1.4991599999999998</v>
      </c>
      <c r="M9716" s="549"/>
      <c r="N9716" s="549"/>
      <c r="O9716" s="549"/>
      <c r="P9716" s="549"/>
    </row>
    <row r="9717" spans="1:21" s="497" customFormat="1" ht="17.399999999999999">
      <c r="A9717" s="549"/>
      <c r="B9717" s="549"/>
      <c r="C9717" s="549"/>
      <c r="D9717" s="549"/>
      <c r="E9717" s="549"/>
      <c r="F9717" s="549"/>
      <c r="G9717" s="549"/>
      <c r="H9717" s="549"/>
      <c r="I9717" s="558"/>
      <c r="J9717" s="567"/>
      <c r="K9717" s="648">
        <f>SUM(K9714:K9716)</f>
        <v>58</v>
      </c>
      <c r="L9717" s="567">
        <f>SUM(L9714:L9716)</f>
        <v>6.3906499999999991</v>
      </c>
      <c r="M9717" s="648">
        <f>SUM(M9714:M9716)</f>
        <v>0</v>
      </c>
      <c r="N9717" s="567">
        <f>SUM(N9714:N9716)</f>
        <v>0</v>
      </c>
      <c r="O9717" s="549"/>
      <c r="P9717" s="549" t="s">
        <v>1114</v>
      </c>
    </row>
    <row r="9718" spans="1:21" s="1358" customFormat="1" ht="17.399999999999999">
      <c r="A9718" s="549"/>
      <c r="B9718" s="549"/>
      <c r="C9718" s="549"/>
      <c r="D9718" s="549"/>
      <c r="E9718" s="549"/>
      <c r="F9718" s="549"/>
      <c r="G9718" s="549"/>
      <c r="H9718" s="549"/>
      <c r="I9718" s="558"/>
      <c r="J9718" s="567"/>
      <c r="K9718" s="648"/>
      <c r="L9718" s="567"/>
      <c r="M9718" s="549"/>
      <c r="N9718" s="549"/>
      <c r="O9718" s="549"/>
      <c r="P9718" s="549"/>
    </row>
    <row r="9719" spans="1:21" s="497" customFormat="1" ht="17.399999999999999">
      <c r="A9719" s="549"/>
      <c r="B9719" s="549"/>
      <c r="C9719" s="549"/>
      <c r="D9719" s="549"/>
      <c r="E9719" s="549"/>
      <c r="F9719" s="549"/>
      <c r="G9719" s="549"/>
      <c r="H9719" s="549"/>
      <c r="I9719" s="560"/>
      <c r="J9719" s="549"/>
      <c r="K9719" s="561"/>
      <c r="L9719" s="560"/>
      <c r="M9719" s="549"/>
      <c r="N9719" s="549"/>
      <c r="O9719" s="549"/>
      <c r="P9719" s="549"/>
    </row>
    <row r="9720" spans="1:21" ht="17.399999999999999">
      <c r="A9720" s="547" t="s">
        <v>332</v>
      </c>
      <c r="B9720" s="547" t="s">
        <v>1094</v>
      </c>
      <c r="C9720" s="547" t="s">
        <v>19</v>
      </c>
      <c r="D9720" s="547" t="s">
        <v>20</v>
      </c>
      <c r="E9720" s="650" t="s">
        <v>464</v>
      </c>
      <c r="F9720" s="1382">
        <v>11</v>
      </c>
      <c r="G9720" s="549" t="s">
        <v>21</v>
      </c>
      <c r="H9720" s="599" t="s">
        <v>366</v>
      </c>
      <c r="I9720" s="558">
        <v>10.9</v>
      </c>
      <c r="J9720" s="567">
        <v>9.1999999999999993</v>
      </c>
      <c r="K9720" s="648">
        <v>85</v>
      </c>
      <c r="L9720" s="552">
        <f t="shared" ref="L9720:L9727" si="1992">(I9720*J9720*K9720/1000)</f>
        <v>8.5237999999999996</v>
      </c>
      <c r="M9720" s="549"/>
      <c r="N9720" s="549"/>
      <c r="O9720" s="549"/>
      <c r="P9720" s="549"/>
      <c r="Q9720" s="497">
        <v>23</v>
      </c>
      <c r="R9720" s="497">
        <f>J9720*Q9720*I9720/1000</f>
        <v>2.3064400000000003</v>
      </c>
      <c r="T9720" s="1358">
        <f t="shared" ref="T9720:T9726" si="1993">J9720*S9720*I9720/1000</f>
        <v>0</v>
      </c>
      <c r="U9720" s="1358" t="s">
        <v>1231</v>
      </c>
    </row>
    <row r="9721" spans="1:21" ht="17.399999999999999">
      <c r="A9721" s="549"/>
      <c r="B9721" s="1348" t="s">
        <v>585</v>
      </c>
      <c r="C9721" s="549"/>
      <c r="D9721" s="549"/>
      <c r="E9721" s="549"/>
      <c r="F9721" s="549"/>
      <c r="G9721" s="549" t="s">
        <v>21</v>
      </c>
      <c r="H9721" s="549" t="s">
        <v>366</v>
      </c>
      <c r="I9721" s="558">
        <v>10.9</v>
      </c>
      <c r="J9721" s="567">
        <v>10.199999999999999</v>
      </c>
      <c r="K9721" s="648">
        <v>10</v>
      </c>
      <c r="L9721" s="552">
        <f t="shared" si="1992"/>
        <v>1.1117999999999999</v>
      </c>
      <c r="M9721" s="549"/>
      <c r="N9721" s="549"/>
      <c r="O9721" s="549"/>
      <c r="P9721" s="549"/>
      <c r="Q9721" s="497">
        <v>5</v>
      </c>
      <c r="R9721" s="1358">
        <f t="shared" ref="R9721:R9723" si="1994">J9721*Q9721*I9721/1000</f>
        <v>0.55589999999999995</v>
      </c>
      <c r="S9721">
        <v>1</v>
      </c>
      <c r="T9721" s="1358">
        <f t="shared" si="1993"/>
        <v>0.11117999999999999</v>
      </c>
      <c r="U9721" s="1358" t="s">
        <v>1233</v>
      </c>
    </row>
    <row r="9722" spans="1:21" ht="17.399999999999999">
      <c r="A9722" s="549"/>
      <c r="B9722" s="549"/>
      <c r="C9722" s="549"/>
      <c r="D9722" s="549"/>
      <c r="E9722" s="549"/>
      <c r="F9722" s="549"/>
      <c r="G9722" s="549" t="s">
        <v>21</v>
      </c>
      <c r="H9722" s="549" t="s">
        <v>366</v>
      </c>
      <c r="I9722" s="558">
        <v>10.9</v>
      </c>
      <c r="J9722" s="567">
        <v>10.5</v>
      </c>
      <c r="K9722" s="648">
        <v>102</v>
      </c>
      <c r="L9722" s="552">
        <f t="shared" si="1992"/>
        <v>11.6739</v>
      </c>
      <c r="M9722" s="549"/>
      <c r="N9722" s="549"/>
      <c r="O9722" s="549"/>
      <c r="P9722" s="549"/>
      <c r="Q9722" s="497">
        <f>10+21+23</f>
        <v>54</v>
      </c>
      <c r="R9722" s="1358">
        <f t="shared" si="1994"/>
        <v>6.1802999999999999</v>
      </c>
      <c r="T9722" s="1358">
        <f t="shared" si="1993"/>
        <v>0</v>
      </c>
    </row>
    <row r="9723" spans="1:21" ht="17.399999999999999">
      <c r="A9723" s="549"/>
      <c r="B9723" s="549"/>
      <c r="C9723" s="549"/>
      <c r="D9723" s="549"/>
      <c r="E9723" s="549"/>
      <c r="F9723" s="549"/>
      <c r="G9723" s="549" t="s">
        <v>21</v>
      </c>
      <c r="H9723" s="549" t="s">
        <v>366</v>
      </c>
      <c r="I9723" s="558">
        <v>10.9</v>
      </c>
      <c r="J9723" s="567">
        <v>11.3</v>
      </c>
      <c r="K9723" s="648">
        <v>20</v>
      </c>
      <c r="L9723" s="552">
        <f t="shared" si="1992"/>
        <v>2.4634000000000005</v>
      </c>
      <c r="M9723" s="549"/>
      <c r="N9723" s="549"/>
      <c r="O9723" s="549"/>
      <c r="P9723" s="549"/>
      <c r="Q9723" s="497">
        <v>2</v>
      </c>
      <c r="R9723" s="1358">
        <f t="shared" si="1994"/>
        <v>0.24634000000000003</v>
      </c>
      <c r="S9723">
        <v>1</v>
      </c>
      <c r="T9723" s="1358">
        <f t="shared" si="1993"/>
        <v>0.12317000000000002</v>
      </c>
    </row>
    <row r="9724" spans="1:21" ht="17.399999999999999">
      <c r="A9724" s="549"/>
      <c r="B9724" s="549"/>
      <c r="C9724" s="549"/>
      <c r="D9724" s="549"/>
      <c r="E9724" s="549"/>
      <c r="F9724" s="549"/>
      <c r="G9724" s="549" t="s">
        <v>21</v>
      </c>
      <c r="H9724" s="549" t="s">
        <v>366</v>
      </c>
      <c r="I9724" s="558">
        <v>10.9</v>
      </c>
      <c r="J9724" s="567">
        <v>11.4</v>
      </c>
      <c r="K9724" s="648">
        <v>170</v>
      </c>
      <c r="L9724" s="552">
        <f t="shared" si="1992"/>
        <v>21.124200000000002</v>
      </c>
      <c r="M9724" s="549"/>
      <c r="N9724" s="549"/>
      <c r="O9724" s="549"/>
      <c r="P9724" s="549"/>
      <c r="S9724">
        <f>21+21+22</f>
        <v>64</v>
      </c>
      <c r="T9724" s="1358">
        <f t="shared" si="1993"/>
        <v>7.9526400000000006</v>
      </c>
    </row>
    <row r="9725" spans="1:21" ht="17.399999999999999">
      <c r="A9725" s="549"/>
      <c r="B9725" s="549"/>
      <c r="C9725" s="549"/>
      <c r="D9725" s="549"/>
      <c r="E9725" s="549"/>
      <c r="F9725" s="549"/>
      <c r="G9725" s="549" t="s">
        <v>21</v>
      </c>
      <c r="H9725" s="549" t="s">
        <v>366</v>
      </c>
      <c r="I9725" s="558">
        <v>10.9</v>
      </c>
      <c r="J9725" s="567">
        <v>11.5</v>
      </c>
      <c r="K9725" s="648">
        <v>30</v>
      </c>
      <c r="L9725" s="552">
        <f t="shared" si="1992"/>
        <v>3.7605000000000004</v>
      </c>
      <c r="M9725" s="549"/>
      <c r="N9725" s="549"/>
      <c r="O9725" s="549"/>
      <c r="P9725" s="549"/>
      <c r="S9725">
        <v>18</v>
      </c>
      <c r="T9725" s="1358">
        <f t="shared" si="1993"/>
        <v>2.2563</v>
      </c>
    </row>
    <row r="9726" spans="1:21" ht="17.399999999999999">
      <c r="A9726" s="549"/>
      <c r="B9726" s="549"/>
      <c r="C9726" s="549"/>
      <c r="D9726" s="549"/>
      <c r="E9726" s="549"/>
      <c r="F9726" s="549"/>
      <c r="G9726" s="549" t="s">
        <v>21</v>
      </c>
      <c r="H9726" s="549" t="s">
        <v>366</v>
      </c>
      <c r="I9726" s="558">
        <v>10.9</v>
      </c>
      <c r="J9726" s="567">
        <v>11.7</v>
      </c>
      <c r="K9726" s="648">
        <v>32</v>
      </c>
      <c r="L9726" s="552">
        <f t="shared" si="1992"/>
        <v>4.0809600000000001</v>
      </c>
      <c r="M9726" s="549"/>
      <c r="N9726" s="549"/>
      <c r="O9726" s="549"/>
      <c r="P9726" s="549"/>
      <c r="Q9726" s="497">
        <v>2</v>
      </c>
      <c r="R9726" s="1358">
        <f t="shared" ref="R9726:R9727" si="1995">J9726*Q9726*I9726/1000</f>
        <v>0.25506000000000001</v>
      </c>
      <c r="S9726">
        <v>21</v>
      </c>
      <c r="T9726" s="1358">
        <f t="shared" si="1993"/>
        <v>2.6781299999999999</v>
      </c>
    </row>
    <row r="9727" spans="1:21" ht="17.399999999999999">
      <c r="A9727" s="549"/>
      <c r="B9727" s="549"/>
      <c r="C9727" s="549"/>
      <c r="D9727" s="549"/>
      <c r="E9727" s="549"/>
      <c r="F9727" s="549"/>
      <c r="G9727" s="549" t="s">
        <v>21</v>
      </c>
      <c r="H9727" s="549" t="s">
        <v>366</v>
      </c>
      <c r="I9727" s="558">
        <v>10.9</v>
      </c>
      <c r="J9727" s="567">
        <v>12</v>
      </c>
      <c r="K9727" s="648">
        <v>96</v>
      </c>
      <c r="L9727" s="552">
        <f t="shared" si="1992"/>
        <v>12.556800000000001</v>
      </c>
      <c r="M9727" s="549"/>
      <c r="N9727" s="549"/>
      <c r="O9727" s="549"/>
      <c r="P9727" s="549"/>
      <c r="Q9727" s="497">
        <v>13</v>
      </c>
      <c r="R9727" s="1358">
        <f t="shared" si="1995"/>
        <v>1.7004000000000001</v>
      </c>
      <c r="S9727">
        <f>21+22</f>
        <v>43</v>
      </c>
      <c r="T9727">
        <f>J9727*S9727*I9727/1000</f>
        <v>5.6244000000000005</v>
      </c>
    </row>
    <row r="9728" spans="1:21" ht="17.399999999999999">
      <c r="A9728" s="549"/>
      <c r="B9728" s="549"/>
      <c r="C9728" s="549"/>
      <c r="D9728" s="549"/>
      <c r="E9728" s="549"/>
      <c r="F9728" s="549"/>
      <c r="G9728" s="549"/>
      <c r="H9728" s="549"/>
      <c r="I9728" s="558"/>
      <c r="J9728" s="567"/>
      <c r="K9728" s="648">
        <f>SUM(K9720:K9727)</f>
        <v>545</v>
      </c>
      <c r="L9728" s="567">
        <f>SUM(L9720:L9727)</f>
        <v>65.295360000000002</v>
      </c>
      <c r="M9728" s="648">
        <f t="shared" ref="M9728:N9728" si="1996">SUM(M9720:M9727)</f>
        <v>0</v>
      </c>
      <c r="N9728" s="567">
        <f t="shared" si="1996"/>
        <v>0</v>
      </c>
      <c r="O9728" s="549"/>
      <c r="P9728" s="549" t="s">
        <v>1115</v>
      </c>
      <c r="Q9728" s="648">
        <f>SUM(Q9720:Q9727)</f>
        <v>99</v>
      </c>
      <c r="R9728" s="567">
        <f>SUM(R9720:R9727)</f>
        <v>11.244440000000001</v>
      </c>
      <c r="S9728" s="648">
        <f>SUM(S9720:S9727)</f>
        <v>148</v>
      </c>
      <c r="T9728" s="567">
        <f>SUM(T9720:T9727)</f>
        <v>18.745819999999998</v>
      </c>
    </row>
    <row r="9729" spans="1:17" s="1358" customFormat="1" ht="17.399999999999999">
      <c r="A9729" s="549"/>
      <c r="B9729" s="549"/>
      <c r="C9729" s="549"/>
      <c r="D9729" s="549"/>
      <c r="E9729" s="549"/>
      <c r="F9729" s="549"/>
      <c r="G9729" s="549"/>
      <c r="H9729" s="549"/>
      <c r="I9729" s="558"/>
      <c r="J9729" s="567"/>
      <c r="K9729" s="648"/>
      <c r="L9729" s="567"/>
      <c r="M9729" s="648"/>
      <c r="N9729" s="567"/>
      <c r="O9729" s="549"/>
      <c r="P9729" s="549"/>
    </row>
    <row r="9730" spans="1:17" s="1358" customFormat="1" ht="17.399999999999999">
      <c r="A9730" s="549"/>
      <c r="B9730" s="549"/>
      <c r="C9730" s="549"/>
      <c r="D9730" s="549"/>
      <c r="E9730" s="549"/>
      <c r="F9730" s="549"/>
      <c r="G9730" s="549"/>
      <c r="H9730" s="549"/>
      <c r="I9730" s="558"/>
      <c r="J9730" s="567"/>
      <c r="K9730" s="648"/>
      <c r="L9730" s="567"/>
      <c r="M9730" s="648"/>
      <c r="N9730" s="567"/>
      <c r="O9730" s="549"/>
      <c r="P9730" s="549"/>
    </row>
    <row r="9731" spans="1:17" s="1358" customFormat="1" ht="17.399999999999999">
      <c r="A9731" s="549"/>
      <c r="B9731" s="549"/>
      <c r="C9731" s="549"/>
      <c r="D9731" s="549"/>
      <c r="E9731" s="549"/>
      <c r="F9731" s="549"/>
      <c r="G9731" s="549"/>
      <c r="H9731" s="549"/>
      <c r="I9731" s="558"/>
      <c r="J9731" s="567"/>
      <c r="K9731" s="648"/>
      <c r="L9731" s="567"/>
      <c r="M9731" s="648"/>
      <c r="N9731" s="567"/>
      <c r="O9731" s="549"/>
      <c r="P9731" s="549"/>
    </row>
    <row r="9732" spans="1:17" s="1358" customFormat="1" ht="17.399999999999999">
      <c r="A9732" s="547" t="s">
        <v>332</v>
      </c>
      <c r="B9732" s="547" t="s">
        <v>1119</v>
      </c>
      <c r="C9732" s="547" t="s">
        <v>19</v>
      </c>
      <c r="D9732" s="547" t="s">
        <v>20</v>
      </c>
      <c r="E9732" s="549" t="s">
        <v>878</v>
      </c>
      <c r="F9732" s="1382">
        <v>11</v>
      </c>
      <c r="G9732" s="549" t="s">
        <v>21</v>
      </c>
      <c r="H9732" s="599" t="s">
        <v>1120</v>
      </c>
      <c r="I9732" s="558">
        <v>12.2</v>
      </c>
      <c r="J9732" s="567">
        <v>10.5</v>
      </c>
      <c r="K9732" s="648">
        <v>13</v>
      </c>
      <c r="L9732" s="552">
        <f t="shared" ref="L9732:L9733" si="1997">(I9732*J9732*K9732/1000)</f>
        <v>1.6653</v>
      </c>
      <c r="M9732" s="648"/>
      <c r="N9732" s="567"/>
      <c r="O9732" s="549"/>
      <c r="P9732" s="549"/>
      <c r="Q9732" s="1358" t="s">
        <v>1230</v>
      </c>
    </row>
    <row r="9733" spans="1:17" s="1358" customFormat="1" ht="17.399999999999999">
      <c r="A9733" s="549"/>
      <c r="B9733" s="549" t="s">
        <v>421</v>
      </c>
      <c r="C9733" s="549"/>
      <c r="D9733" s="549"/>
      <c r="E9733" s="549"/>
      <c r="F9733" s="549"/>
      <c r="G9733" s="549" t="s">
        <v>21</v>
      </c>
      <c r="H9733" s="549" t="s">
        <v>1120</v>
      </c>
      <c r="I9733" s="558">
        <v>12.2</v>
      </c>
      <c r="J9733" s="567">
        <v>11.5</v>
      </c>
      <c r="K9733" s="648">
        <v>21</v>
      </c>
      <c r="L9733" s="552">
        <f t="shared" si="1997"/>
        <v>2.9462999999999999</v>
      </c>
      <c r="M9733" s="648"/>
      <c r="N9733" s="567"/>
      <c r="O9733" s="549"/>
      <c r="P9733" s="549"/>
    </row>
    <row r="9734" spans="1:17" s="1358" customFormat="1" ht="17.399999999999999">
      <c r="A9734" s="549"/>
      <c r="B9734" s="549"/>
      <c r="C9734" s="549"/>
      <c r="D9734" s="549"/>
      <c r="E9734" s="549"/>
      <c r="F9734" s="549"/>
      <c r="G9734" s="549"/>
      <c r="H9734" s="549"/>
      <c r="I9734" s="558"/>
      <c r="J9734" s="567"/>
      <c r="K9734" s="648">
        <f>SUM(K9732:K9733)</f>
        <v>34</v>
      </c>
      <c r="L9734" s="567">
        <f>SUM(L9732:L9733)</f>
        <v>4.6116000000000001</v>
      </c>
      <c r="M9734" s="648"/>
      <c r="N9734" s="567"/>
      <c r="O9734" s="549"/>
      <c r="P9734" s="549" t="s">
        <v>1126</v>
      </c>
    </row>
    <row r="9735" spans="1:17" s="1358" customFormat="1" ht="17.399999999999999">
      <c r="A9735" s="549"/>
      <c r="B9735" s="549"/>
      <c r="C9735" s="549"/>
      <c r="D9735" s="549"/>
      <c r="E9735" s="549"/>
      <c r="F9735" s="549"/>
      <c r="G9735" s="549"/>
      <c r="H9735" s="549"/>
      <c r="I9735" s="558"/>
      <c r="J9735" s="567"/>
      <c r="K9735" s="648"/>
      <c r="L9735" s="567"/>
      <c r="M9735" s="648"/>
      <c r="N9735" s="567"/>
      <c r="O9735" s="549"/>
      <c r="P9735" s="549"/>
    </row>
    <row r="9736" spans="1:17" s="1358" customFormat="1" ht="17.399999999999999">
      <c r="A9736" s="549"/>
      <c r="B9736" s="549"/>
      <c r="C9736" s="549"/>
      <c r="D9736" s="549"/>
      <c r="E9736" s="549"/>
      <c r="F9736" s="549"/>
      <c r="G9736" s="549"/>
      <c r="H9736" s="549"/>
      <c r="I9736" s="558"/>
      <c r="J9736" s="567"/>
      <c r="K9736" s="648"/>
      <c r="L9736" s="567"/>
      <c r="M9736" s="648"/>
      <c r="N9736" s="567"/>
      <c r="O9736" s="549"/>
      <c r="P9736" s="549"/>
    </row>
    <row r="9737" spans="1:17" s="1358" customFormat="1" ht="17.399999999999999">
      <c r="A9737" s="549"/>
      <c r="B9737" s="549"/>
      <c r="C9737" s="549"/>
      <c r="D9737" s="549"/>
      <c r="E9737" s="549"/>
      <c r="F9737" s="549"/>
      <c r="G9737" s="549"/>
      <c r="H9737" s="549"/>
      <c r="I9737" s="558"/>
      <c r="J9737" s="567"/>
      <c r="K9737" s="648"/>
      <c r="L9737" s="567"/>
      <c r="M9737" s="648"/>
      <c r="N9737" s="567"/>
      <c r="O9737" s="549"/>
      <c r="P9737" s="549"/>
    </row>
    <row r="9738" spans="1:17" s="497" customFormat="1" ht="17.399999999999999">
      <c r="A9738" s="549"/>
      <c r="B9738" s="832"/>
      <c r="C9738" s="549"/>
      <c r="D9738" s="549"/>
      <c r="E9738" s="549"/>
      <c r="F9738" s="549"/>
      <c r="G9738" s="549"/>
      <c r="H9738" s="650"/>
      <c r="I9738" s="560"/>
      <c r="J9738" s="710"/>
      <c r="K9738" s="648"/>
      <c r="L9738" s="765"/>
      <c r="M9738" s="549"/>
      <c r="N9738" s="549"/>
      <c r="O9738" s="549"/>
      <c r="P9738" s="549"/>
    </row>
    <row r="9739" spans="1:17" ht="17.399999999999999">
      <c r="A9739" s="549"/>
      <c r="B9739" s="549"/>
      <c r="C9739" s="549"/>
      <c r="D9739" s="549"/>
      <c r="E9739" s="549"/>
      <c r="F9739" s="549"/>
      <c r="G9739" s="549"/>
      <c r="H9739" s="549"/>
      <c r="I9739" s="560"/>
      <c r="J9739" s="549"/>
      <c r="K9739" s="561"/>
      <c r="L9739" s="560"/>
      <c r="M9739" s="549"/>
      <c r="N9739" s="549"/>
      <c r="O9739" s="549"/>
      <c r="P9739" s="549"/>
    </row>
    <row r="9740" spans="1:17" ht="17.399999999999999">
      <c r="A9740" s="549"/>
      <c r="B9740" s="549"/>
      <c r="C9740" s="549"/>
      <c r="D9740" s="549"/>
      <c r="E9740" s="549"/>
      <c r="F9740" s="549"/>
      <c r="G9740" s="549"/>
      <c r="H9740" s="549"/>
      <c r="I9740" s="560"/>
      <c r="J9740" s="549"/>
      <c r="K9740" s="652">
        <f>++K9711+K9701+K9679+K9644+K9631+K9620+K9728+K9717</f>
        <v>3416</v>
      </c>
      <c r="L9740" s="565">
        <f>++L9711+L9701+L9679+L9644+L9631+L9620+L9728+L9717+L9673+L9659+L9734</f>
        <v>338.46849999999995</v>
      </c>
      <c r="M9740" s="652">
        <f>++M9711+M9701+M9679+M9644+M9631+M9620+M9728+M9717</f>
        <v>31</v>
      </c>
      <c r="N9740" s="565">
        <f>++N9711+N9701+N9679+N9644+N9631+N9620+N9728+N9717</f>
        <v>3.0451199999999998</v>
      </c>
      <c r="O9740" s="549"/>
      <c r="P9740" s="549"/>
    </row>
    <row r="9741" spans="1:17" ht="17.399999999999999">
      <c r="A9741" s="653" t="s">
        <v>48</v>
      </c>
      <c r="B9741" s="653"/>
      <c r="C9741" s="654"/>
      <c r="D9741" s="654"/>
      <c r="E9741" s="654"/>
      <c r="F9741" s="1338"/>
      <c r="G9741" s="654"/>
      <c r="H9741" s="1338"/>
      <c r="I9741" s="656"/>
      <c r="J9741" s="654"/>
      <c r="K9741" s="657"/>
      <c r="L9741" s="2003" t="s">
        <v>0</v>
      </c>
      <c r="M9741" s="2003"/>
      <c r="N9741" s="2003"/>
      <c r="O9741" s="2004"/>
      <c r="P9741" s="2010"/>
    </row>
    <row r="9742" spans="1:17" ht="17.399999999999999">
      <c r="A9742" s="658" t="s">
        <v>1</v>
      </c>
      <c r="B9742" s="658"/>
      <c r="C9742" s="658"/>
      <c r="D9742" s="659" t="s">
        <v>2</v>
      </c>
      <c r="E9742" s="659"/>
      <c r="F9742" s="660"/>
      <c r="G9742" s="660"/>
      <c r="H9742" s="660"/>
      <c r="I9742" s="661"/>
      <c r="J9742" s="660"/>
      <c r="K9742" s="662" t="s">
        <v>3</v>
      </c>
      <c r="L9742" s="660"/>
      <c r="M9742" s="658"/>
      <c r="N9742" s="660"/>
      <c r="O9742" s="663"/>
      <c r="P9742" s="2010"/>
    </row>
    <row r="9743" spans="1:17" ht="17.399999999999999">
      <c r="A9743" s="1338" t="s">
        <v>22</v>
      </c>
      <c r="B9743" s="1990" t="s">
        <v>23</v>
      </c>
      <c r="C9743" s="2005"/>
      <c r="D9743" s="1989"/>
      <c r="E9743" s="1338" t="s">
        <v>24</v>
      </c>
      <c r="F9743" s="1990" t="s">
        <v>25</v>
      </c>
      <c r="G9743" s="1989"/>
      <c r="H9743" s="1990" t="s">
        <v>26</v>
      </c>
      <c r="I9743" s="2005"/>
      <c r="J9743" s="2005"/>
      <c r="K9743" s="1989"/>
      <c r="L9743" s="2006" t="s">
        <v>27</v>
      </c>
      <c r="M9743" s="2006"/>
      <c r="N9743" s="2006"/>
      <c r="O9743" s="1990"/>
      <c r="P9743" s="2010"/>
    </row>
    <row r="9744" spans="1:17" ht="17.399999999999999">
      <c r="A9744" s="664"/>
      <c r="B9744" s="1975"/>
      <c r="C9744" s="1976"/>
      <c r="D9744" s="1977"/>
      <c r="E9744" s="665"/>
      <c r="F9744" s="1975"/>
      <c r="G9744" s="1977"/>
      <c r="H9744" s="1975"/>
      <c r="I9744" s="1976"/>
      <c r="J9744" s="1976"/>
      <c r="K9744" s="1977"/>
      <c r="L9744" s="1975"/>
      <c r="M9744" s="1976"/>
      <c r="N9744" s="1976"/>
      <c r="O9744" s="1976"/>
      <c r="P9744" s="2010"/>
    </row>
    <row r="9745" spans="1:16" s="1358" customFormat="1" ht="17.399999999999999">
      <c r="A9745" s="664"/>
      <c r="B9745" s="1363"/>
      <c r="C9745" s="1364"/>
      <c r="D9745" s="1365"/>
      <c r="E9745" s="665"/>
      <c r="F9745" s="1363"/>
      <c r="G9745" s="1365"/>
      <c r="H9745" s="1363"/>
      <c r="I9745" s="1842"/>
      <c r="J9745" s="1364"/>
      <c r="K9745" s="1365"/>
      <c r="L9745" s="1364"/>
      <c r="M9745" s="1364"/>
      <c r="N9745" s="1364"/>
      <c r="O9745" s="1364"/>
      <c r="P9745" s="2010"/>
    </row>
    <row r="9746" spans="1:16" s="497" customFormat="1" ht="17.399999999999999">
      <c r="A9746" s="664" t="s">
        <v>28</v>
      </c>
      <c r="B9746" s="1975" t="s">
        <v>280</v>
      </c>
      <c r="C9746" s="1976"/>
      <c r="D9746" s="1977"/>
      <c r="E9746" s="665">
        <f>+L9620</f>
        <v>43.428735999999994</v>
      </c>
      <c r="F9746" s="1973">
        <v>8.5</v>
      </c>
      <c r="G9746" s="1974"/>
      <c r="H9746" s="1975" t="s">
        <v>450</v>
      </c>
      <c r="I9746" s="1976"/>
      <c r="J9746" s="1976"/>
      <c r="K9746" s="1977"/>
      <c r="L9746" s="1976" t="s">
        <v>64</v>
      </c>
      <c r="M9746" s="1976"/>
      <c r="N9746" s="1976"/>
      <c r="O9746" s="1976"/>
      <c r="P9746" s="2010"/>
    </row>
    <row r="9747" spans="1:16" ht="17.399999999999999">
      <c r="A9747" s="664"/>
      <c r="B9747" s="1335"/>
      <c r="C9747" s="1336"/>
      <c r="D9747" s="1337"/>
      <c r="E9747" s="665"/>
      <c r="F9747" s="1335"/>
      <c r="G9747" s="1337"/>
      <c r="H9747" s="1335"/>
      <c r="I9747" s="1842"/>
      <c r="J9747" s="1336"/>
      <c r="K9747" s="1337"/>
      <c r="L9747" s="1336"/>
      <c r="M9747" s="1336"/>
      <c r="N9747" s="1336"/>
      <c r="O9747" s="1336"/>
      <c r="P9747" s="2010"/>
    </row>
    <row r="9748" spans="1:16" s="497" customFormat="1" ht="17.399999999999999">
      <c r="A9748" s="664" t="s">
        <v>29</v>
      </c>
      <c r="B9748" s="1975" t="s">
        <v>280</v>
      </c>
      <c r="C9748" s="1976"/>
      <c r="D9748" s="1977"/>
      <c r="E9748" s="665">
        <f>+L9631</f>
        <v>21.2895</v>
      </c>
      <c r="F9748" s="1973">
        <v>11</v>
      </c>
      <c r="G9748" s="1974"/>
      <c r="H9748" s="1975" t="s">
        <v>582</v>
      </c>
      <c r="I9748" s="1976"/>
      <c r="J9748" s="1976"/>
      <c r="K9748" s="1977"/>
      <c r="L9748" s="1976" t="s">
        <v>64</v>
      </c>
      <c r="M9748" s="1976"/>
      <c r="N9748" s="1976"/>
      <c r="O9748" s="1976"/>
      <c r="P9748" s="2010"/>
    </row>
    <row r="9749" spans="1:16" s="1358" customFormat="1" ht="17.399999999999999">
      <c r="A9749" s="664"/>
      <c r="B9749" s="1363"/>
      <c r="C9749" s="1364"/>
      <c r="D9749" s="1365"/>
      <c r="E9749" s="665"/>
      <c r="F9749" s="1361"/>
      <c r="G9749" s="1362"/>
      <c r="H9749" s="1363"/>
      <c r="I9749" s="1842"/>
      <c r="J9749" s="1364"/>
      <c r="K9749" s="1365"/>
      <c r="L9749" s="1364"/>
      <c r="M9749" s="1364"/>
      <c r="N9749" s="1364"/>
      <c r="O9749" s="1364"/>
      <c r="P9749" s="2010"/>
    </row>
    <row r="9750" spans="1:16" s="497" customFormat="1" ht="17.399999999999999">
      <c r="A9750" s="664" t="s">
        <v>30</v>
      </c>
      <c r="B9750" s="1975" t="s">
        <v>676</v>
      </c>
      <c r="C9750" s="1976"/>
      <c r="D9750" s="1977"/>
      <c r="E9750" s="665">
        <f>+L9644</f>
        <v>17.309298000000002</v>
      </c>
      <c r="F9750" s="1973">
        <v>11</v>
      </c>
      <c r="G9750" s="1974"/>
      <c r="H9750" s="1975" t="s">
        <v>450</v>
      </c>
      <c r="I9750" s="1976"/>
      <c r="J9750" s="1976"/>
      <c r="K9750" s="1977"/>
      <c r="L9750" s="1976" t="s">
        <v>64</v>
      </c>
      <c r="M9750" s="1976"/>
      <c r="N9750" s="1976"/>
      <c r="O9750" s="1976"/>
      <c r="P9750" s="2010"/>
    </row>
    <row r="9751" spans="1:16" s="497" customFormat="1" ht="17.399999999999999">
      <c r="A9751" s="664"/>
      <c r="B9751" s="1335"/>
      <c r="C9751" s="1336"/>
      <c r="D9751" s="1337"/>
      <c r="E9751" s="665"/>
      <c r="F9751" s="1333"/>
      <c r="G9751" s="1334"/>
      <c r="H9751" s="1335"/>
      <c r="I9751" s="1842"/>
      <c r="J9751" s="1336"/>
      <c r="K9751" s="1337"/>
      <c r="L9751" s="1336"/>
      <c r="M9751" s="1336"/>
      <c r="N9751" s="1336"/>
      <c r="O9751" s="1336"/>
      <c r="P9751" s="2010"/>
    </row>
    <row r="9752" spans="1:16" s="1358" customFormat="1" ht="17.399999999999999">
      <c r="A9752" s="664"/>
      <c r="B9752" s="1383"/>
      <c r="C9752" s="1384"/>
      <c r="D9752" s="1385"/>
      <c r="E9752" s="665"/>
      <c r="F9752" s="1386"/>
      <c r="G9752" s="1387"/>
      <c r="H9752" s="1384"/>
      <c r="I9752" s="1842"/>
      <c r="J9752" s="1384"/>
      <c r="K9752" s="1384"/>
      <c r="L9752" s="1384"/>
      <c r="M9752" s="1384"/>
      <c r="N9752" s="1384"/>
      <c r="O9752" s="1384"/>
      <c r="P9752" s="2010"/>
    </row>
    <row r="9753" spans="1:16" s="1358" customFormat="1" ht="17.399999999999999">
      <c r="A9753" s="664" t="s">
        <v>46</v>
      </c>
      <c r="B9753" s="1975" t="s">
        <v>280</v>
      </c>
      <c r="C9753" s="1976"/>
      <c r="D9753" s="1977"/>
      <c r="E9753" s="665">
        <f>+L9659</f>
        <v>22.913280000000004</v>
      </c>
      <c r="F9753" s="1975">
        <v>8.5</v>
      </c>
      <c r="G9753" s="1977"/>
      <c r="H9753" s="2007" t="s">
        <v>1131</v>
      </c>
      <c r="I9753" s="2007"/>
      <c r="J9753" s="2007"/>
      <c r="K9753" s="2007"/>
      <c r="L9753" s="1976" t="s">
        <v>64</v>
      </c>
      <c r="M9753" s="1976"/>
      <c r="N9753" s="1976"/>
      <c r="O9753" s="1976"/>
      <c r="P9753" s="2010"/>
    </row>
    <row r="9754" spans="1:16" s="1358" customFormat="1" ht="17.399999999999999">
      <c r="A9754" s="664" t="s">
        <v>58</v>
      </c>
      <c r="B9754" s="1975" t="s">
        <v>1130</v>
      </c>
      <c r="C9754" s="1976"/>
      <c r="D9754" s="1977"/>
      <c r="E9754" s="665">
        <f>+L9673</f>
        <v>8.5514519999999976</v>
      </c>
      <c r="F9754" s="1975">
        <v>8.5</v>
      </c>
      <c r="G9754" s="1977"/>
      <c r="H9754" s="2007" t="s">
        <v>1131</v>
      </c>
      <c r="I9754" s="2007"/>
      <c r="J9754" s="2007"/>
      <c r="K9754" s="2007"/>
      <c r="L9754" s="1976" t="s">
        <v>64</v>
      </c>
      <c r="M9754" s="1976"/>
      <c r="N9754" s="1976"/>
      <c r="O9754" s="1976"/>
      <c r="P9754" s="2010"/>
    </row>
    <row r="9755" spans="1:16" s="497" customFormat="1" ht="17.399999999999999">
      <c r="A9755" s="664"/>
      <c r="B9755" s="1335"/>
      <c r="C9755" s="1336"/>
      <c r="D9755" s="1337"/>
      <c r="E9755" s="665"/>
      <c r="F9755" s="1333"/>
      <c r="G9755" s="1334"/>
      <c r="H9755" s="1335"/>
      <c r="I9755" s="1842"/>
      <c r="J9755" s="1336"/>
      <c r="K9755" s="1337"/>
      <c r="L9755" s="1336"/>
      <c r="M9755" s="1336"/>
      <c r="N9755" s="1336"/>
      <c r="O9755" s="1336"/>
      <c r="P9755" s="2010"/>
    </row>
    <row r="9756" spans="1:16" s="1358" customFormat="1" ht="17.399999999999999">
      <c r="A9756" s="664"/>
      <c r="B9756" s="1383"/>
      <c r="C9756" s="1384"/>
      <c r="D9756" s="1385"/>
      <c r="E9756" s="665"/>
      <c r="F9756" s="1386"/>
      <c r="G9756" s="1387"/>
      <c r="H9756" s="1383"/>
      <c r="I9756" s="1842"/>
      <c r="J9756" s="1384"/>
      <c r="K9756" s="1385"/>
      <c r="L9756" s="1384"/>
      <c r="M9756" s="1384"/>
      <c r="N9756" s="1384"/>
      <c r="O9756" s="1384"/>
      <c r="P9756" s="2010"/>
    </row>
    <row r="9757" spans="1:16" s="497" customFormat="1" ht="17.399999999999999">
      <c r="A9757" s="664" t="s">
        <v>163</v>
      </c>
      <c r="B9757" s="1975" t="s">
        <v>79</v>
      </c>
      <c r="C9757" s="1976"/>
      <c r="D9757" s="1977"/>
      <c r="E9757" s="665">
        <f>+L9679</f>
        <v>46.91507</v>
      </c>
      <c r="F9757" s="1973">
        <v>11</v>
      </c>
      <c r="G9757" s="1974"/>
      <c r="H9757" s="1975" t="s">
        <v>447</v>
      </c>
      <c r="I9757" s="1976"/>
      <c r="J9757" s="1976"/>
      <c r="K9757" s="1977"/>
      <c r="L9757" s="1976" t="s">
        <v>65</v>
      </c>
      <c r="M9757" s="1976"/>
      <c r="N9757" s="1976"/>
      <c r="O9757" s="1976"/>
      <c r="P9757" s="2010"/>
    </row>
    <row r="9758" spans="1:16" s="497" customFormat="1" ht="17.399999999999999">
      <c r="A9758" s="664" t="s">
        <v>302</v>
      </c>
      <c r="B9758" s="1975" t="s">
        <v>55</v>
      </c>
      <c r="C9758" s="1976"/>
      <c r="D9758" s="1977"/>
      <c r="E9758" s="665">
        <f>+L9701-3.045</f>
        <v>92.058823999999987</v>
      </c>
      <c r="F9758" s="1973">
        <v>11</v>
      </c>
      <c r="G9758" s="1974"/>
      <c r="H9758" s="1975" t="s">
        <v>447</v>
      </c>
      <c r="I9758" s="1976"/>
      <c r="J9758" s="1976"/>
      <c r="K9758" s="1977"/>
      <c r="L9758" s="1976" t="s">
        <v>1044</v>
      </c>
      <c r="M9758" s="1976"/>
      <c r="N9758" s="1976"/>
      <c r="O9758" s="1976"/>
      <c r="P9758" s="2010"/>
    </row>
    <row r="9759" spans="1:16" ht="17.399999999999999">
      <c r="A9759" s="664" t="s">
        <v>380</v>
      </c>
      <c r="B9759" s="1975" t="s">
        <v>56</v>
      </c>
      <c r="C9759" s="1976"/>
      <c r="D9759" s="1977"/>
      <c r="E9759" s="665">
        <f>+L9711</f>
        <v>6.6597299999999997</v>
      </c>
      <c r="F9759" s="1973">
        <v>11</v>
      </c>
      <c r="G9759" s="1974"/>
      <c r="H9759" s="1975" t="s">
        <v>447</v>
      </c>
      <c r="I9759" s="1976"/>
      <c r="J9759" s="1976"/>
      <c r="K9759" s="1977"/>
      <c r="L9759" s="1976" t="s">
        <v>1046</v>
      </c>
      <c r="M9759" s="1976"/>
      <c r="N9759" s="1976"/>
      <c r="O9759" s="1976"/>
      <c r="P9759" s="2010"/>
    </row>
    <row r="9760" spans="1:16" ht="17.399999999999999">
      <c r="A9760" s="664"/>
      <c r="B9760" s="1975"/>
      <c r="C9760" s="1976"/>
      <c r="D9760" s="1977"/>
      <c r="E9760" s="665"/>
      <c r="F9760" s="1973"/>
      <c r="G9760" s="1974"/>
      <c r="H9760" s="1975"/>
      <c r="I9760" s="1976"/>
      <c r="J9760" s="1976"/>
      <c r="K9760" s="1977"/>
      <c r="L9760" s="1976"/>
      <c r="M9760" s="1976"/>
      <c r="N9760" s="1976"/>
      <c r="O9760" s="1976"/>
      <c r="P9760" s="2010"/>
    </row>
    <row r="9761" spans="1:16" ht="17.399999999999999">
      <c r="A9761" s="664"/>
      <c r="B9761" s="1975"/>
      <c r="C9761" s="1976"/>
      <c r="D9761" s="1977"/>
      <c r="E9761" s="665"/>
      <c r="F9761" s="1973"/>
      <c r="G9761" s="1974"/>
      <c r="H9761" s="1975"/>
      <c r="I9761" s="1976"/>
      <c r="J9761" s="1976"/>
      <c r="K9761" s="1977"/>
      <c r="L9761" s="1976"/>
      <c r="M9761" s="1976"/>
      <c r="N9761" s="1976"/>
      <c r="O9761" s="1976"/>
      <c r="P9761" s="2010"/>
    </row>
    <row r="9762" spans="1:16" ht="17.399999999999999">
      <c r="A9762" s="664" t="s">
        <v>434</v>
      </c>
      <c r="B9762" s="1975" t="s">
        <v>56</v>
      </c>
      <c r="C9762" s="1976"/>
      <c r="D9762" s="1977"/>
      <c r="E9762" s="665">
        <f>+L9717</f>
        <v>6.3906499999999991</v>
      </c>
      <c r="F9762" s="1973">
        <v>11</v>
      </c>
      <c r="G9762" s="1974"/>
      <c r="H9762" s="1975" t="s">
        <v>854</v>
      </c>
      <c r="I9762" s="1976"/>
      <c r="J9762" s="1976"/>
      <c r="K9762" s="1977"/>
      <c r="L9762" s="1976" t="s">
        <v>1046</v>
      </c>
      <c r="M9762" s="1976"/>
      <c r="N9762" s="1976"/>
      <c r="O9762" s="1976"/>
      <c r="P9762" s="2010"/>
    </row>
    <row r="9763" spans="1:16" ht="17.399999999999999">
      <c r="A9763" s="664" t="s">
        <v>474</v>
      </c>
      <c r="B9763" s="1975" t="s">
        <v>413</v>
      </c>
      <c r="C9763" s="1976"/>
      <c r="D9763" s="1977"/>
      <c r="E9763" s="665">
        <f>+L9728</f>
        <v>65.295360000000002</v>
      </c>
      <c r="F9763" s="1973">
        <v>11</v>
      </c>
      <c r="G9763" s="1974"/>
      <c r="H9763" s="1975" t="s">
        <v>854</v>
      </c>
      <c r="I9763" s="1976"/>
      <c r="J9763" s="1976"/>
      <c r="K9763" s="1977"/>
      <c r="L9763" s="1976" t="s">
        <v>1046</v>
      </c>
      <c r="M9763" s="1976"/>
      <c r="N9763" s="1976"/>
      <c r="O9763" s="1976"/>
      <c r="P9763" s="2010"/>
    </row>
    <row r="9764" spans="1:16" s="1358" customFormat="1" ht="17.399999999999999">
      <c r="A9764" s="664" t="s">
        <v>475</v>
      </c>
      <c r="B9764" s="1975" t="s">
        <v>1129</v>
      </c>
      <c r="C9764" s="1976"/>
      <c r="D9764" s="1977"/>
      <c r="E9764" s="665">
        <f>+L9734</f>
        <v>4.6116000000000001</v>
      </c>
      <c r="F9764" s="1973">
        <v>11</v>
      </c>
      <c r="G9764" s="1974"/>
      <c r="H9764" s="1975" t="s">
        <v>854</v>
      </c>
      <c r="I9764" s="1976"/>
      <c r="J9764" s="1976"/>
      <c r="K9764" s="1977"/>
      <c r="L9764" s="1976" t="s">
        <v>1046</v>
      </c>
      <c r="M9764" s="1976"/>
      <c r="N9764" s="1976"/>
      <c r="O9764" s="1976"/>
      <c r="P9764" s="2010"/>
    </row>
    <row r="9765" spans="1:16" s="1358" customFormat="1" ht="17.399999999999999">
      <c r="A9765" s="664"/>
      <c r="B9765" s="1379"/>
      <c r="C9765" s="1380"/>
      <c r="D9765" s="1381"/>
      <c r="E9765" s="665"/>
      <c r="F9765" s="1377"/>
      <c r="G9765" s="1378"/>
      <c r="H9765" s="1379"/>
      <c r="I9765" s="1842"/>
      <c r="J9765" s="1380"/>
      <c r="K9765" s="1381"/>
      <c r="L9765" s="1380"/>
      <c r="M9765" s="1380"/>
      <c r="N9765" s="1380"/>
      <c r="O9765" s="1380"/>
      <c r="P9765" s="2010"/>
    </row>
    <row r="9766" spans="1:16" s="1358" customFormat="1" ht="17.399999999999999">
      <c r="A9766" s="664"/>
      <c r="B9766" s="1379"/>
      <c r="C9766" s="1380"/>
      <c r="D9766" s="1381"/>
      <c r="E9766" s="665"/>
      <c r="F9766" s="1377"/>
      <c r="G9766" s="1378"/>
      <c r="H9766" s="1379"/>
      <c r="I9766" s="1842"/>
      <c r="J9766" s="1380"/>
      <c r="K9766" s="1381"/>
      <c r="L9766" s="1380"/>
      <c r="M9766" s="1380"/>
      <c r="N9766" s="1380"/>
      <c r="O9766" s="1380"/>
      <c r="P9766" s="2010"/>
    </row>
    <row r="9767" spans="1:16" ht="18" thickBot="1">
      <c r="A9767" s="664"/>
      <c r="B9767" s="1335"/>
      <c r="C9767" s="1336"/>
      <c r="D9767" s="1336"/>
      <c r="E9767" s="665"/>
      <c r="F9767" s="1336"/>
      <c r="G9767" s="1337"/>
      <c r="H9767" s="1335"/>
      <c r="I9767" s="1842"/>
      <c r="J9767" s="1336"/>
      <c r="K9767" s="669"/>
      <c r="L9767" s="672"/>
      <c r="M9767" s="673"/>
      <c r="N9767" s="673"/>
      <c r="O9767" s="673"/>
      <c r="P9767" s="2010"/>
    </row>
    <row r="9768" spans="1:16" ht="17.399999999999999">
      <c r="A9768" s="674"/>
      <c r="B9768" s="675"/>
      <c r="C9768" s="676"/>
      <c r="D9768" s="676"/>
      <c r="E9768" s="1980">
        <f>SUM(E9744:E9767)</f>
        <v>335.42349999999999</v>
      </c>
      <c r="F9768" s="677"/>
      <c r="G9768" s="678"/>
      <c r="H9768" s="679"/>
      <c r="I9768" s="1848"/>
      <c r="J9768" s="676"/>
      <c r="K9768" s="680"/>
      <c r="L9768" s="679"/>
      <c r="M9768" s="676"/>
      <c r="N9768" s="677"/>
      <c r="O9768" s="676"/>
      <c r="P9768" s="2010"/>
    </row>
    <row r="9769" spans="1:16" ht="18" thickBot="1">
      <c r="A9769" s="681"/>
      <c r="B9769" s="682"/>
      <c r="C9769" s="683"/>
      <c r="D9769" s="683"/>
      <c r="E9769" s="1981"/>
      <c r="F9769" s="684"/>
      <c r="G9769" s="685"/>
      <c r="H9769" s="686"/>
      <c r="I9769" s="1850"/>
      <c r="J9769" s="683"/>
      <c r="K9769" s="687"/>
      <c r="L9769" s="686"/>
      <c r="M9769" s="683"/>
      <c r="N9769" s="684"/>
      <c r="O9769" s="683"/>
      <c r="P9769" s="2010"/>
    </row>
    <row r="9770" spans="1:16" ht="17.399999999999999">
      <c r="A9770" s="688" t="s">
        <v>31</v>
      </c>
      <c r="B9770" s="676"/>
      <c r="C9770" s="676"/>
      <c r="D9770" s="676"/>
      <c r="E9770" s="676"/>
      <c r="F9770" s="677"/>
      <c r="G9770" s="676"/>
      <c r="H9770" s="677"/>
      <c r="I9770" s="1848"/>
      <c r="J9770" s="676"/>
      <c r="K9770" s="689"/>
      <c r="L9770" s="677"/>
      <c r="M9770" s="676"/>
      <c r="N9770" s="677"/>
      <c r="O9770" s="676"/>
      <c r="P9770" s="2010"/>
    </row>
    <row r="9771" spans="1:16" ht="17.399999999999999">
      <c r="A9771" s="690"/>
      <c r="B9771" s="691"/>
      <c r="C9771" s="691"/>
      <c r="D9771" s="691"/>
      <c r="E9771" s="691"/>
      <c r="F9771" s="1330"/>
      <c r="G9771" s="691"/>
      <c r="H9771" s="1330"/>
      <c r="I9771" s="1849"/>
      <c r="J9771" s="691"/>
      <c r="K9771" s="693"/>
      <c r="L9771" s="1330"/>
      <c r="M9771" s="691"/>
      <c r="N9771" s="1330"/>
      <c r="O9771" s="691"/>
      <c r="P9771" s="2010"/>
    </row>
    <row r="9772" spans="1:16" ht="18" thickBot="1">
      <c r="A9772" s="1982" t="s">
        <v>32</v>
      </c>
      <c r="B9772" s="1983"/>
      <c r="C9772" s="1984" t="s">
        <v>33</v>
      </c>
      <c r="D9772" s="1985"/>
      <c r="E9772" s="694" t="s">
        <v>34</v>
      </c>
      <c r="F9772" s="694" t="s">
        <v>35</v>
      </c>
      <c r="G9772" s="1986" t="s">
        <v>36</v>
      </c>
      <c r="H9772" s="1987"/>
      <c r="I9772" s="1987"/>
      <c r="J9772" s="1987"/>
      <c r="K9772" s="1987"/>
      <c r="L9772" s="1987"/>
      <c r="M9772" s="1987"/>
      <c r="N9772" s="1987"/>
      <c r="O9772" s="1987"/>
      <c r="P9772" s="2010"/>
    </row>
    <row r="9773" spans="1:16" ht="17.399999999999999">
      <c r="A9773" s="1988"/>
      <c r="B9773" s="1989"/>
      <c r="C9773" s="1990"/>
      <c r="D9773" s="1989"/>
      <c r="E9773" s="1338"/>
      <c r="F9773" s="1331"/>
      <c r="G9773" s="1991"/>
      <c r="H9773" s="1992"/>
      <c r="I9773" s="1992"/>
      <c r="J9773" s="1992"/>
      <c r="K9773" s="1992"/>
      <c r="L9773" s="1992"/>
      <c r="M9773" s="1992"/>
      <c r="N9773" s="1992"/>
      <c r="O9773" s="1992"/>
      <c r="P9773" s="2010"/>
    </row>
    <row r="9774" spans="1:16" ht="17.399999999999999">
      <c r="A9774" s="1997" t="s">
        <v>37</v>
      </c>
      <c r="B9774" s="1998"/>
      <c r="C9774" s="1990"/>
      <c r="D9774" s="1989"/>
      <c r="E9774" s="1338"/>
      <c r="F9774" s="1331"/>
      <c r="G9774" s="1993"/>
      <c r="H9774" s="1994"/>
      <c r="I9774" s="1994"/>
      <c r="J9774" s="1994"/>
      <c r="K9774" s="1994"/>
      <c r="L9774" s="1994"/>
      <c r="M9774" s="1994"/>
      <c r="N9774" s="1994"/>
      <c r="O9774" s="1994"/>
      <c r="P9774" s="2010"/>
    </row>
    <row r="9775" spans="1:16" ht="17.399999999999999">
      <c r="A9775" s="1997" t="s">
        <v>38</v>
      </c>
      <c r="B9775" s="1998"/>
      <c r="C9775" s="1990"/>
      <c r="D9775" s="1989"/>
      <c r="E9775" s="1338"/>
      <c r="F9775" s="1331"/>
      <c r="G9775" s="1993"/>
      <c r="H9775" s="1994"/>
      <c r="I9775" s="1994"/>
      <c r="J9775" s="1994"/>
      <c r="K9775" s="1994"/>
      <c r="L9775" s="1994"/>
      <c r="M9775" s="1994"/>
      <c r="N9775" s="1994"/>
      <c r="O9775" s="1994"/>
      <c r="P9775" s="2010"/>
    </row>
    <row r="9776" spans="1:16" ht="17.399999999999999">
      <c r="A9776" s="1997" t="s">
        <v>39</v>
      </c>
      <c r="B9776" s="1998"/>
      <c r="C9776" s="1990"/>
      <c r="D9776" s="1989"/>
      <c r="E9776" s="1338"/>
      <c r="F9776" s="1331"/>
      <c r="G9776" s="1993"/>
      <c r="H9776" s="1994"/>
      <c r="I9776" s="1994"/>
      <c r="J9776" s="1994"/>
      <c r="K9776" s="1994"/>
      <c r="L9776" s="1994"/>
      <c r="M9776" s="1994"/>
      <c r="N9776" s="1994"/>
      <c r="O9776" s="1994"/>
      <c r="P9776" s="2010"/>
    </row>
    <row r="9777" spans="1:19" ht="17.399999999999999">
      <c r="A9777" s="1997" t="s">
        <v>40</v>
      </c>
      <c r="B9777" s="1998"/>
      <c r="C9777" s="1990"/>
      <c r="D9777" s="1989"/>
      <c r="E9777" s="1338"/>
      <c r="F9777" s="1331"/>
      <c r="G9777" s="1993"/>
      <c r="H9777" s="1994"/>
      <c r="I9777" s="1994"/>
      <c r="J9777" s="1994"/>
      <c r="K9777" s="1994"/>
      <c r="L9777" s="1994"/>
      <c r="M9777" s="1994"/>
      <c r="N9777" s="1994"/>
      <c r="O9777" s="1994"/>
      <c r="P9777" s="2010"/>
    </row>
    <row r="9778" spans="1:19" ht="18" thickBot="1">
      <c r="A9778" s="1999" t="s">
        <v>41</v>
      </c>
      <c r="B9778" s="2000"/>
      <c r="C9778" s="2001"/>
      <c r="D9778" s="2002"/>
      <c r="E9778" s="696"/>
      <c r="F9778" s="1332"/>
      <c r="G9778" s="1995"/>
      <c r="H9778" s="1996"/>
      <c r="I9778" s="1996"/>
      <c r="J9778" s="1996"/>
      <c r="K9778" s="1996"/>
      <c r="L9778" s="1996"/>
      <c r="M9778" s="1996"/>
      <c r="N9778" s="1996"/>
      <c r="O9778" s="1996"/>
      <c r="P9778" s="2010"/>
    </row>
    <row r="9779" spans="1:19" ht="18">
      <c r="A9779" s="690"/>
      <c r="B9779" s="691"/>
      <c r="C9779" s="691"/>
      <c r="D9779" s="691"/>
      <c r="E9779" s="691"/>
      <c r="F9779" s="1330"/>
      <c r="G9779" s="691"/>
      <c r="H9779" s="698"/>
      <c r="I9779" s="699"/>
      <c r="J9779" s="700"/>
      <c r="K9779" s="701"/>
      <c r="L9779" s="702"/>
      <c r="M9779" s="691"/>
      <c r="N9779" s="1330"/>
      <c r="O9779" s="691"/>
      <c r="P9779" s="2010"/>
    </row>
    <row r="9780" spans="1:19" ht="18">
      <c r="A9780" s="703" t="s">
        <v>42</v>
      </c>
      <c r="B9780" s="704"/>
      <c r="C9780" s="691"/>
      <c r="D9780" s="691"/>
      <c r="E9780" s="691"/>
      <c r="F9780" s="1330"/>
      <c r="G9780" s="704"/>
      <c r="H9780" s="698"/>
      <c r="I9780" s="699"/>
      <c r="J9780" s="700"/>
      <c r="K9780" s="693"/>
      <c r="L9780" s="705"/>
      <c r="M9780" s="691"/>
      <c r="N9780" s="1979" t="s">
        <v>43</v>
      </c>
      <c r="O9780" s="1979"/>
      <c r="P9780" s="2010"/>
    </row>
    <row r="9781" spans="1:19" ht="17.399999999999999">
      <c r="A9781" s="703"/>
      <c r="B9781" s="704"/>
      <c r="C9781" s="691"/>
      <c r="D9781" s="691"/>
      <c r="E9781" s="691"/>
      <c r="F9781" s="1330"/>
      <c r="G9781" s="691"/>
      <c r="H9781" s="1330"/>
      <c r="I9781" s="1849"/>
      <c r="J9781" s="691"/>
      <c r="K9781" s="693"/>
      <c r="L9781" s="1330"/>
      <c r="M9781" s="691"/>
      <c r="N9781" s="1330"/>
      <c r="O9781" s="704"/>
      <c r="P9781" s="2010"/>
    </row>
    <row r="9782" spans="1:19" ht="17.399999999999999">
      <c r="A9782" s="703" t="s">
        <v>44</v>
      </c>
      <c r="B9782" s="704"/>
      <c r="C9782" s="691"/>
      <c r="D9782" s="691"/>
      <c r="E9782" s="691"/>
      <c r="F9782" s="1330"/>
      <c r="G9782" s="691"/>
      <c r="H9782" s="1330"/>
      <c r="I9782" s="1849"/>
      <c r="J9782" s="691"/>
      <c r="K9782" s="693"/>
      <c r="L9782" s="1330"/>
      <c r="M9782" s="691"/>
      <c r="N9782" s="1979" t="s">
        <v>45</v>
      </c>
      <c r="O9782" s="1979"/>
      <c r="P9782" s="2010"/>
    </row>
    <row r="9783" spans="1:19" ht="18" thickBot="1">
      <c r="A9783" s="682"/>
      <c r="B9783" s="683"/>
      <c r="C9783" s="683"/>
      <c r="D9783" s="683"/>
      <c r="E9783" s="683"/>
      <c r="F9783" s="684"/>
      <c r="G9783" s="683"/>
      <c r="H9783" s="684"/>
      <c r="I9783" s="1850"/>
      <c r="J9783" s="683"/>
      <c r="K9783" s="706"/>
      <c r="L9783" s="684"/>
      <c r="M9783" s="683"/>
      <c r="N9783" s="684"/>
      <c r="O9783" s="683"/>
      <c r="P9783" s="2010"/>
    </row>
    <row r="9787" spans="1:19" ht="17.399999999999999">
      <c r="A9787" s="711" t="s">
        <v>48</v>
      </c>
      <c r="B9787" s="711"/>
      <c r="C9787" s="712"/>
      <c r="D9787" s="712"/>
      <c r="E9787" s="712"/>
      <c r="F9787" s="713"/>
      <c r="G9787" s="712"/>
      <c r="H9787" s="712"/>
      <c r="I9787" s="714"/>
      <c r="J9787" s="715"/>
      <c r="K9787" s="716"/>
      <c r="L9787" s="1978" t="s">
        <v>0</v>
      </c>
      <c r="M9787" s="1978"/>
      <c r="N9787" s="1978"/>
      <c r="O9787" s="1978"/>
      <c r="P9787" s="717"/>
    </row>
    <row r="9788" spans="1:19" ht="17.399999999999999">
      <c r="A9788" s="718" t="s">
        <v>1</v>
      </c>
      <c r="B9788" s="718"/>
      <c r="C9788" s="718"/>
      <c r="D9788" s="719" t="s">
        <v>2</v>
      </c>
      <c r="E9788" s="719"/>
      <c r="F9788" s="720"/>
      <c r="G9788" s="720"/>
      <c r="H9788" s="720"/>
      <c r="I9788" s="721"/>
      <c r="J9788" s="1341"/>
      <c r="K9788" s="723" t="s">
        <v>3</v>
      </c>
      <c r="L9788" s="1341"/>
      <c r="M9788" s="718"/>
      <c r="N9788" s="720"/>
      <c r="O9788" s="718"/>
      <c r="P9788" s="724"/>
    </row>
    <row r="9789" spans="1:19" ht="52.2">
      <c r="A9789" s="640" t="s">
        <v>4</v>
      </c>
      <c r="B9789" s="640" t="s">
        <v>5</v>
      </c>
      <c r="C9789" s="640" t="s">
        <v>6</v>
      </c>
      <c r="D9789" s="640" t="s">
        <v>7</v>
      </c>
      <c r="E9789" s="640" t="s">
        <v>8</v>
      </c>
      <c r="F9789" s="641" t="s">
        <v>9</v>
      </c>
      <c r="G9789" s="642" t="s">
        <v>10</v>
      </c>
      <c r="H9789" s="642" t="s">
        <v>11</v>
      </c>
      <c r="I9789" s="643" t="s">
        <v>12</v>
      </c>
      <c r="J9789" s="644" t="s">
        <v>13</v>
      </c>
      <c r="K9789" s="645" t="s">
        <v>14</v>
      </c>
      <c r="L9789" s="646" t="s">
        <v>15</v>
      </c>
      <c r="M9789" s="641" t="s">
        <v>16</v>
      </c>
      <c r="N9789" s="641" t="s">
        <v>17</v>
      </c>
      <c r="O9789" s="642" t="s">
        <v>18</v>
      </c>
      <c r="P9789" s="641" t="s">
        <v>192</v>
      </c>
    </row>
    <row r="9790" spans="1:19" ht="17.399999999999999">
      <c r="A9790" s="547" t="s">
        <v>523</v>
      </c>
      <c r="B9790" s="852" t="s">
        <v>1026</v>
      </c>
      <c r="C9790" s="547" t="s">
        <v>19</v>
      </c>
      <c r="D9790" s="547" t="s">
        <v>20</v>
      </c>
      <c r="E9790" s="547" t="s">
        <v>359</v>
      </c>
      <c r="F9790" s="1398">
        <v>13</v>
      </c>
      <c r="G9790" s="549" t="s">
        <v>21</v>
      </c>
      <c r="H9790" s="599" t="s">
        <v>92</v>
      </c>
      <c r="I9790" s="558">
        <v>16.579999999999998</v>
      </c>
      <c r="J9790" s="567">
        <v>8.25</v>
      </c>
      <c r="K9790" s="648">
        <v>10</v>
      </c>
      <c r="L9790" s="552">
        <f t="shared" ref="L9790:L9792" si="1998">(I9790*J9790*K9790/1000)</f>
        <v>1.36785</v>
      </c>
      <c r="M9790" s="549"/>
      <c r="N9790" s="549"/>
      <c r="O9790" s="549"/>
      <c r="P9790" s="549"/>
      <c r="Q9790" s="497">
        <v>2</v>
      </c>
      <c r="R9790" s="415">
        <f t="shared" ref="R9790:R9791" si="1999">J9790*Q9790*I9790/1000</f>
        <v>0.27356999999999998</v>
      </c>
      <c r="S9790" s="1358" t="s">
        <v>1230</v>
      </c>
    </row>
    <row r="9791" spans="1:19" ht="17.399999999999999">
      <c r="A9791" s="549"/>
      <c r="B9791" s="549" t="s">
        <v>1101</v>
      </c>
      <c r="C9791" s="549"/>
      <c r="D9791" s="549"/>
      <c r="E9791" s="549"/>
      <c r="F9791" s="549"/>
      <c r="G9791" s="549" t="s">
        <v>21</v>
      </c>
      <c r="H9791" s="549" t="s">
        <v>92</v>
      </c>
      <c r="I9791" s="558">
        <v>16.579999999999998</v>
      </c>
      <c r="J9791" s="567">
        <v>10.5</v>
      </c>
      <c r="K9791" s="648">
        <v>7</v>
      </c>
      <c r="L9791" s="552">
        <f t="shared" si="1998"/>
        <v>1.2186299999999999</v>
      </c>
      <c r="M9791" s="549"/>
      <c r="N9791" s="549"/>
      <c r="O9791" s="549"/>
      <c r="P9791" s="549"/>
      <c r="Q9791" s="497">
        <v>2</v>
      </c>
      <c r="R9791" s="415">
        <f t="shared" si="1999"/>
        <v>0.34817999999999993</v>
      </c>
    </row>
    <row r="9792" spans="1:19" ht="17.399999999999999">
      <c r="A9792" s="549"/>
      <c r="B9792" s="549"/>
      <c r="C9792" s="549"/>
      <c r="D9792" s="549"/>
      <c r="E9792" s="549"/>
      <c r="F9792" s="549"/>
      <c r="G9792" s="549" t="s">
        <v>21</v>
      </c>
      <c r="H9792" s="549" t="s">
        <v>92</v>
      </c>
      <c r="I9792" s="558">
        <v>16.579999999999998</v>
      </c>
      <c r="J9792" s="567">
        <v>12</v>
      </c>
      <c r="K9792" s="648">
        <v>12</v>
      </c>
      <c r="L9792" s="552">
        <f t="shared" si="1998"/>
        <v>2.3875199999999994</v>
      </c>
      <c r="M9792" s="549"/>
      <c r="N9792" s="549"/>
      <c r="O9792" s="549"/>
      <c r="P9792" s="549"/>
    </row>
    <row r="9793" spans="1:19" ht="17.399999999999999">
      <c r="A9793" s="549"/>
      <c r="B9793" s="549"/>
      <c r="C9793" s="549"/>
      <c r="D9793" s="549"/>
      <c r="E9793" s="549"/>
      <c r="F9793" s="549"/>
      <c r="G9793" s="549"/>
      <c r="H9793" s="549"/>
      <c r="I9793" s="558"/>
      <c r="J9793" s="567"/>
      <c r="K9793" s="648">
        <f>SUM(K9790:K9792)</f>
        <v>29</v>
      </c>
      <c r="L9793" s="567">
        <f>SUM(L9790:L9792)</f>
        <v>4.9739999999999993</v>
      </c>
      <c r="M9793" s="549"/>
      <c r="N9793" s="549"/>
      <c r="O9793" s="549"/>
      <c r="P9793" s="549" t="s">
        <v>1142</v>
      </c>
      <c r="Q9793" s="648">
        <f>SUM(Q9790:Q9792)</f>
        <v>4</v>
      </c>
      <c r="R9793" s="567">
        <f>SUM(R9790:R9792)</f>
        <v>0.62174999999999991</v>
      </c>
    </row>
    <row r="9794" spans="1:19" s="1358" customFormat="1" ht="17.399999999999999">
      <c r="A9794" s="549"/>
      <c r="B9794" s="549"/>
      <c r="C9794" s="549"/>
      <c r="D9794" s="549"/>
      <c r="E9794" s="549"/>
      <c r="F9794" s="549"/>
      <c r="G9794" s="549"/>
      <c r="H9794" s="549"/>
      <c r="I9794" s="558"/>
      <c r="J9794" s="567"/>
      <c r="K9794" s="648"/>
      <c r="L9794" s="567"/>
      <c r="M9794" s="549"/>
      <c r="N9794" s="549"/>
      <c r="O9794" s="549"/>
      <c r="P9794" s="549"/>
    </row>
    <row r="9795" spans="1:19" ht="17.399999999999999">
      <c r="A9795" s="547" t="s">
        <v>523</v>
      </c>
      <c r="B9795" s="852" t="s">
        <v>1026</v>
      </c>
      <c r="C9795" s="547" t="s">
        <v>19</v>
      </c>
      <c r="D9795" s="547" t="s">
        <v>20</v>
      </c>
      <c r="E9795" s="755" t="s">
        <v>1028</v>
      </c>
      <c r="F9795" s="1398">
        <v>13</v>
      </c>
      <c r="G9795" s="549" t="s">
        <v>21</v>
      </c>
      <c r="H9795" s="599" t="s">
        <v>92</v>
      </c>
      <c r="I9795" s="558">
        <v>16.579999999999998</v>
      </c>
      <c r="J9795" s="567">
        <v>10</v>
      </c>
      <c r="K9795" s="648">
        <v>6</v>
      </c>
      <c r="L9795" s="552">
        <f t="shared" ref="L9795:L9796" si="2000">(I9795*J9795*K9795/1000)</f>
        <v>0.99479999999999991</v>
      </c>
      <c r="M9795" s="549"/>
      <c r="N9795" s="549"/>
      <c r="O9795" s="549"/>
      <c r="P9795" s="549"/>
      <c r="Q9795" s="497">
        <v>3</v>
      </c>
      <c r="R9795" s="415">
        <f t="shared" ref="R9795:R9796" si="2001">J9795*Q9795*I9795/1000</f>
        <v>0.49739999999999995</v>
      </c>
      <c r="S9795" s="1358" t="s">
        <v>1230</v>
      </c>
    </row>
    <row r="9796" spans="1:19" ht="17.399999999999999">
      <c r="A9796" s="549"/>
      <c r="B9796" s="549" t="s">
        <v>1027</v>
      </c>
      <c r="C9796" s="549"/>
      <c r="D9796" s="549"/>
      <c r="E9796" s="549"/>
      <c r="F9796" s="549"/>
      <c r="G9796" s="549" t="s">
        <v>21</v>
      </c>
      <c r="H9796" s="549" t="s">
        <v>92</v>
      </c>
      <c r="I9796" s="558">
        <v>16.579999999999998</v>
      </c>
      <c r="J9796" s="567">
        <v>12</v>
      </c>
      <c r="K9796" s="648">
        <v>1</v>
      </c>
      <c r="L9796" s="552">
        <f t="shared" si="2000"/>
        <v>0.19895999999999997</v>
      </c>
      <c r="M9796" s="549"/>
      <c r="N9796" s="549"/>
      <c r="O9796" s="549"/>
      <c r="P9796" s="549"/>
      <c r="Q9796" s="497">
        <v>1</v>
      </c>
      <c r="R9796" s="415">
        <f t="shared" si="2001"/>
        <v>0.19895999999999997</v>
      </c>
    </row>
    <row r="9797" spans="1:19" ht="17.399999999999999">
      <c r="A9797" s="549"/>
      <c r="B9797" s="549"/>
      <c r="C9797" s="549"/>
      <c r="D9797" s="549"/>
      <c r="E9797" s="549"/>
      <c r="F9797" s="549"/>
      <c r="G9797" s="549"/>
      <c r="H9797" s="549"/>
      <c r="I9797" s="558"/>
      <c r="J9797" s="567"/>
      <c r="K9797" s="648">
        <f t="shared" ref="K9797" si="2002">SUM(K9795:K9796)</f>
        <v>7</v>
      </c>
      <c r="L9797" s="567">
        <f>SUM(L9795:L9796)</f>
        <v>1.1937599999999999</v>
      </c>
      <c r="M9797" s="549"/>
      <c r="N9797" s="549"/>
      <c r="O9797" s="549"/>
      <c r="P9797" s="549" t="s">
        <v>1143</v>
      </c>
      <c r="Q9797" s="648">
        <f t="shared" ref="Q9797" si="2003">SUM(Q9795:Q9796)</f>
        <v>4</v>
      </c>
      <c r="R9797" s="567">
        <f>SUM(R9795:R9796)</f>
        <v>0.69635999999999987</v>
      </c>
    </row>
    <row r="9798" spans="1:19" s="1358" customFormat="1" ht="17.399999999999999">
      <c r="A9798" s="549"/>
      <c r="B9798" s="549"/>
      <c r="C9798" s="549"/>
      <c r="D9798" s="549"/>
      <c r="E9798" s="549"/>
      <c r="F9798" s="549"/>
      <c r="G9798" s="549"/>
      <c r="H9798" s="549"/>
      <c r="I9798" s="558"/>
      <c r="J9798" s="567"/>
      <c r="K9798" s="648"/>
      <c r="L9798" s="567"/>
      <c r="M9798" s="549"/>
      <c r="N9798" s="549"/>
      <c r="O9798" s="549"/>
      <c r="P9798" s="549"/>
    </row>
    <row r="9799" spans="1:19" ht="17.399999999999999">
      <c r="A9799" s="547" t="s">
        <v>715</v>
      </c>
      <c r="B9799" s="547" t="s">
        <v>1094</v>
      </c>
      <c r="C9799" s="547" t="s">
        <v>19</v>
      </c>
      <c r="D9799" s="547" t="s">
        <v>20</v>
      </c>
      <c r="E9799" s="832" t="s">
        <v>464</v>
      </c>
      <c r="F9799" s="1398">
        <v>13</v>
      </c>
      <c r="G9799" s="549" t="s">
        <v>21</v>
      </c>
      <c r="H9799" s="599" t="s">
        <v>92</v>
      </c>
      <c r="I9799" s="558">
        <v>16.600000000000001</v>
      </c>
      <c r="J9799" s="567">
        <v>7.3</v>
      </c>
      <c r="K9799" s="648">
        <v>72</v>
      </c>
      <c r="L9799" s="552">
        <f t="shared" ref="L9799:L9800" si="2004">(I9799*J9799*K9799/1000)</f>
        <v>8.7249600000000012</v>
      </c>
      <c r="M9799" s="549"/>
      <c r="N9799" s="549"/>
      <c r="O9799" s="549"/>
      <c r="P9799" s="549"/>
      <c r="Q9799" s="497">
        <v>12</v>
      </c>
      <c r="R9799" s="415">
        <f>J9799*Q9799*I9799/1000</f>
        <v>1.4541600000000001</v>
      </c>
      <c r="S9799" s="1358" t="s">
        <v>1232</v>
      </c>
    </row>
    <row r="9800" spans="1:19" ht="17.399999999999999">
      <c r="A9800" s="549"/>
      <c r="B9800" s="1399" t="s">
        <v>585</v>
      </c>
      <c r="C9800" s="549"/>
      <c r="D9800" s="549"/>
      <c r="E9800" s="549"/>
      <c r="F9800" s="549"/>
      <c r="G9800" s="549" t="s">
        <v>21</v>
      </c>
      <c r="H9800" s="549" t="s">
        <v>92</v>
      </c>
      <c r="I9800" s="558">
        <v>16.600000000000001</v>
      </c>
      <c r="J9800" s="567">
        <v>9.6</v>
      </c>
      <c r="K9800" s="648">
        <v>340</v>
      </c>
      <c r="L9800" s="552">
        <f t="shared" si="2004"/>
        <v>54.182400000000001</v>
      </c>
      <c r="M9800" s="549"/>
      <c r="N9800" s="549"/>
      <c r="O9800" s="549"/>
      <c r="P9800" s="549"/>
      <c r="Q9800" s="497">
        <f>18+18+18+18+18+8</f>
        <v>98</v>
      </c>
      <c r="R9800" s="415">
        <f>J9800*Q9800*I9800/1000</f>
        <v>15.617280000000001</v>
      </c>
      <c r="S9800" s="1358" t="s">
        <v>1251</v>
      </c>
    </row>
    <row r="9801" spans="1:19" ht="17.399999999999999">
      <c r="A9801" s="549"/>
      <c r="B9801" s="549"/>
      <c r="C9801" s="549"/>
      <c r="D9801" s="549"/>
      <c r="E9801" s="549"/>
      <c r="F9801" s="549"/>
      <c r="G9801" s="549"/>
      <c r="H9801" s="549"/>
      <c r="I9801" s="558"/>
      <c r="J9801" s="567"/>
      <c r="K9801" s="648">
        <f t="shared" ref="K9801:L9801" si="2005">SUM(K9799:K9800)</f>
        <v>412</v>
      </c>
      <c r="L9801" s="567">
        <f t="shared" si="2005"/>
        <v>62.907360000000004</v>
      </c>
      <c r="M9801" s="549"/>
      <c r="N9801" s="549"/>
      <c r="O9801" s="549"/>
      <c r="P9801" s="549" t="s">
        <v>1144</v>
      </c>
      <c r="Q9801" s="648">
        <f t="shared" ref="Q9801:R9801" si="2006">SUM(Q9799:Q9800)</f>
        <v>110</v>
      </c>
      <c r="R9801" s="567">
        <f t="shared" si="2006"/>
        <v>17.071440000000003</v>
      </c>
    </row>
    <row r="9802" spans="1:19" s="1358" customFormat="1" ht="17.399999999999999">
      <c r="A9802" s="549"/>
      <c r="B9802" s="549"/>
      <c r="C9802" s="549"/>
      <c r="D9802" s="549"/>
      <c r="E9802" s="549"/>
      <c r="F9802" s="549"/>
      <c r="G9802" s="549"/>
      <c r="H9802" s="549"/>
      <c r="I9802" s="558"/>
      <c r="J9802" s="567"/>
      <c r="K9802" s="648"/>
      <c r="L9802" s="567"/>
      <c r="M9802" s="549"/>
      <c r="N9802" s="549"/>
      <c r="O9802" s="549"/>
      <c r="P9802" s="549"/>
    </row>
    <row r="9803" spans="1:19" ht="17.399999999999999">
      <c r="A9803" s="547" t="s">
        <v>715</v>
      </c>
      <c r="B9803" s="547" t="s">
        <v>857</v>
      </c>
      <c r="C9803" s="547" t="s">
        <v>19</v>
      </c>
      <c r="D9803" s="547" t="s">
        <v>20</v>
      </c>
      <c r="E9803" s="1360" t="s">
        <v>51</v>
      </c>
      <c r="F9803" s="1349">
        <v>13</v>
      </c>
      <c r="G9803" s="549" t="s">
        <v>21</v>
      </c>
      <c r="H9803" s="599" t="s">
        <v>92</v>
      </c>
      <c r="I9803" s="558">
        <v>16.600000000000001</v>
      </c>
      <c r="J9803" s="710">
        <v>8.3000000000000007</v>
      </c>
      <c r="K9803" s="648">
        <v>1</v>
      </c>
      <c r="L9803" s="552">
        <f>(I9803*J9803*K9803/1000)</f>
        <v>0.13778000000000004</v>
      </c>
      <c r="M9803" s="549"/>
      <c r="N9803" s="549"/>
      <c r="O9803" s="549"/>
      <c r="P9803" s="549"/>
      <c r="Q9803" s="1358" t="s">
        <v>1252</v>
      </c>
    </row>
    <row r="9804" spans="1:19" ht="17.399999999999999">
      <c r="A9804" s="549"/>
      <c r="B9804" s="650" t="s">
        <v>84</v>
      </c>
      <c r="C9804" s="549"/>
      <c r="D9804" s="549"/>
      <c r="E9804" s="549"/>
      <c r="F9804" s="549"/>
      <c r="G9804" s="549"/>
      <c r="H9804" s="650"/>
      <c r="I9804" s="558"/>
      <c r="J9804" s="710"/>
      <c r="K9804" s="648">
        <f t="shared" ref="K9804:L9804" si="2007">SUM(K9803)</f>
        <v>1</v>
      </c>
      <c r="L9804" s="765">
        <f t="shared" si="2007"/>
        <v>0.13778000000000004</v>
      </c>
      <c r="M9804" s="549"/>
      <c r="N9804" s="549"/>
      <c r="O9804" s="549"/>
      <c r="P9804" s="549" t="s">
        <v>1145</v>
      </c>
    </row>
    <row r="9805" spans="1:19" s="1358" customFormat="1" ht="17.399999999999999">
      <c r="A9805" s="549"/>
      <c r="B9805" s="650"/>
      <c r="C9805" s="549"/>
      <c r="D9805" s="549"/>
      <c r="E9805" s="549"/>
      <c r="F9805" s="549"/>
      <c r="G9805" s="549"/>
      <c r="H9805" s="650"/>
      <c r="I9805" s="558"/>
      <c r="J9805" s="710"/>
      <c r="K9805" s="648"/>
      <c r="L9805" s="765"/>
      <c r="M9805" s="549"/>
      <c r="N9805" s="549"/>
      <c r="O9805" s="549"/>
      <c r="P9805" s="549"/>
    </row>
    <row r="9806" spans="1:19" s="1358" customFormat="1" ht="17.399999999999999">
      <c r="A9806" s="547" t="s">
        <v>541</v>
      </c>
      <c r="B9806" s="979" t="s">
        <v>1163</v>
      </c>
      <c r="C9806" s="547" t="s">
        <v>19</v>
      </c>
      <c r="D9806" s="547" t="s">
        <v>20</v>
      </c>
      <c r="E9806" s="832" t="s">
        <v>990</v>
      </c>
      <c r="F9806" s="1403">
        <v>13</v>
      </c>
      <c r="G9806" s="549" t="s">
        <v>21</v>
      </c>
      <c r="H9806" s="549" t="s">
        <v>92</v>
      </c>
      <c r="I9806" s="558">
        <v>16.600000000000001</v>
      </c>
      <c r="J9806" s="709">
        <v>8.15</v>
      </c>
      <c r="K9806" s="648">
        <v>229</v>
      </c>
      <c r="L9806" s="552">
        <f>(I9806*J9806*K9806/1000)</f>
        <v>30.981410000000004</v>
      </c>
      <c r="M9806" s="549"/>
      <c r="N9806" s="549"/>
      <c r="O9806" s="549"/>
      <c r="P9806" s="549"/>
      <c r="Q9806" s="1358">
        <f>18+20</f>
        <v>38</v>
      </c>
      <c r="R9806" s="415">
        <f>J9806*Q9806*I9806/1000</f>
        <v>5.1410200000000001</v>
      </c>
    </row>
    <row r="9807" spans="1:19" s="1358" customFormat="1" ht="17.399999999999999">
      <c r="A9807" s="549"/>
      <c r="B9807" s="1399"/>
      <c r="C9807" s="549"/>
      <c r="D9807" s="549"/>
      <c r="E9807" s="549"/>
      <c r="F9807" s="549"/>
      <c r="G9807" s="549" t="s">
        <v>21</v>
      </c>
      <c r="H9807" s="549" t="s">
        <v>92</v>
      </c>
      <c r="I9807" s="558">
        <v>16.600000000000001</v>
      </c>
      <c r="J9807" s="709">
        <v>11.15</v>
      </c>
      <c r="K9807" s="648">
        <v>229</v>
      </c>
      <c r="L9807" s="552">
        <f>(I9807*J9807*K9807/1000)</f>
        <v>42.385610000000007</v>
      </c>
      <c r="M9807" s="549"/>
      <c r="N9807" s="549"/>
      <c r="O9807" s="549"/>
      <c r="P9807" s="549"/>
    </row>
    <row r="9808" spans="1:19" s="1358" customFormat="1" ht="17.399999999999999">
      <c r="A9808" s="549"/>
      <c r="B9808" s="549"/>
      <c r="C9808" s="549"/>
      <c r="D9808" s="549"/>
      <c r="E9808" s="549"/>
      <c r="F9808" s="549"/>
      <c r="G9808" s="549"/>
      <c r="H9808" s="549"/>
      <c r="I9808" s="558"/>
      <c r="J9808" s="567"/>
      <c r="K9808" s="648">
        <f>SUM(K9806:K9807)</f>
        <v>458</v>
      </c>
      <c r="L9808" s="567">
        <f>SUM(L9806:L9807)</f>
        <v>73.367020000000011</v>
      </c>
      <c r="M9808" s="549"/>
      <c r="N9808" s="549"/>
      <c r="O9808" s="549"/>
      <c r="P9808" s="549" t="s">
        <v>1164</v>
      </c>
      <c r="Q9808" s="648">
        <f>SUM(Q9806:Q9807)</f>
        <v>38</v>
      </c>
      <c r="R9808" s="567">
        <f>SUM(R9806:R9807)</f>
        <v>5.1410200000000001</v>
      </c>
    </row>
    <row r="9809" spans="1:18" s="1358" customFormat="1" ht="17.399999999999999">
      <c r="A9809" s="549"/>
      <c r="B9809" s="549"/>
      <c r="C9809" s="549"/>
      <c r="D9809" s="549"/>
      <c r="E9809" s="549"/>
      <c r="F9809" s="549"/>
      <c r="G9809" s="549"/>
      <c r="H9809" s="549"/>
      <c r="I9809" s="558"/>
      <c r="J9809" s="567"/>
      <c r="K9809" s="648">
        <f>SUM(K9790:K9808)/2</f>
        <v>907</v>
      </c>
      <c r="L9809" s="567">
        <f>SUM(L9790:L9808)/2</f>
        <v>142.57992000000002</v>
      </c>
      <c r="M9809" s="549"/>
      <c r="N9809" s="549"/>
      <c r="O9809" s="549"/>
      <c r="P9809" s="549"/>
      <c r="Q9809" s="648">
        <f>SUM(Q9790:Q9808)/2</f>
        <v>156</v>
      </c>
      <c r="R9809" s="567">
        <f>SUM(R9790:R9808)/2</f>
        <v>23.530569999999997</v>
      </c>
    </row>
    <row r="9810" spans="1:18" s="1358" customFormat="1" ht="17.399999999999999">
      <c r="A9810" s="549"/>
      <c r="B9810" s="549"/>
      <c r="C9810" s="549"/>
      <c r="D9810" s="549"/>
      <c r="E9810" s="549"/>
      <c r="F9810" s="549"/>
      <c r="G9810" s="549"/>
      <c r="H9810" s="549"/>
      <c r="I9810" s="558"/>
      <c r="J9810" s="567"/>
      <c r="K9810" s="648"/>
      <c r="L9810" s="567"/>
      <c r="M9810" s="549"/>
      <c r="N9810" s="549"/>
      <c r="O9810" s="549"/>
      <c r="P9810" s="549"/>
    </row>
    <row r="9811" spans="1:18" s="1358" customFormat="1" ht="17.399999999999999">
      <c r="A9811" s="549"/>
      <c r="B9811" s="549"/>
      <c r="C9811" s="549"/>
      <c r="D9811" s="549"/>
      <c r="E9811" s="549"/>
      <c r="F9811" s="549"/>
      <c r="G9811" s="549"/>
      <c r="H9811" s="549"/>
      <c r="I9811" s="558"/>
      <c r="J9811" s="567"/>
      <c r="K9811" s="648"/>
      <c r="L9811" s="567"/>
      <c r="M9811" s="549"/>
      <c r="N9811" s="549"/>
      <c r="O9811" s="549"/>
      <c r="P9811" s="549"/>
    </row>
    <row r="9812" spans="1:18" s="1358" customFormat="1" ht="17.399999999999999">
      <c r="A9812" s="549"/>
      <c r="B9812" s="549"/>
      <c r="C9812" s="549"/>
      <c r="D9812" s="549"/>
      <c r="E9812" s="549"/>
      <c r="F9812" s="549"/>
      <c r="G9812" s="549"/>
      <c r="H9812" s="549"/>
      <c r="I9812" s="558"/>
      <c r="J9812" s="567"/>
      <c r="K9812" s="648"/>
      <c r="L9812" s="567"/>
      <c r="M9812" s="549"/>
      <c r="N9812" s="549"/>
      <c r="O9812" s="549"/>
      <c r="P9812" s="549"/>
    </row>
    <row r="9813" spans="1:18" s="1358" customFormat="1" ht="17.399999999999999">
      <c r="A9813" s="549"/>
      <c r="B9813" s="549"/>
      <c r="C9813" s="549"/>
      <c r="D9813" s="549"/>
      <c r="E9813" s="549"/>
      <c r="F9813" s="549"/>
      <c r="G9813" s="549"/>
      <c r="H9813" s="549"/>
      <c r="I9813" s="558"/>
      <c r="J9813" s="567"/>
      <c r="K9813" s="648"/>
      <c r="L9813" s="567"/>
      <c r="M9813" s="549"/>
      <c r="N9813" s="549"/>
      <c r="O9813" s="549"/>
      <c r="P9813" s="549"/>
    </row>
    <row r="9814" spans="1:18" s="1358" customFormat="1" ht="17.399999999999999">
      <c r="A9814" s="549"/>
      <c r="B9814" s="549"/>
      <c r="C9814" s="549"/>
      <c r="D9814" s="549"/>
      <c r="E9814" s="549"/>
      <c r="F9814" s="549"/>
      <c r="G9814" s="549"/>
      <c r="H9814" s="549"/>
      <c r="I9814" s="558"/>
      <c r="J9814" s="567"/>
      <c r="K9814" s="648"/>
      <c r="L9814" s="567"/>
      <c r="M9814" s="549"/>
      <c r="N9814" s="549"/>
      <c r="O9814" s="549"/>
      <c r="P9814" s="549"/>
    </row>
    <row r="9815" spans="1:18" s="1358" customFormat="1" ht="17.399999999999999">
      <c r="A9815" s="549"/>
      <c r="B9815" s="549"/>
      <c r="C9815" s="549"/>
      <c r="D9815" s="549"/>
      <c r="E9815" s="549"/>
      <c r="F9815" s="549"/>
      <c r="G9815" s="549"/>
      <c r="H9815" s="549"/>
      <c r="I9815" s="558"/>
      <c r="J9815" s="567"/>
      <c r="K9815" s="648"/>
      <c r="L9815" s="567"/>
      <c r="M9815" s="549"/>
      <c r="N9815" s="549"/>
      <c r="O9815" s="549"/>
      <c r="P9815" s="549"/>
    </row>
    <row r="9816" spans="1:18" ht="17.399999999999999">
      <c r="A9816" s="547" t="s">
        <v>523</v>
      </c>
      <c r="B9816" s="852" t="s">
        <v>1026</v>
      </c>
      <c r="C9816" s="547" t="s">
        <v>19</v>
      </c>
      <c r="D9816" s="547" t="s">
        <v>20</v>
      </c>
      <c r="E9816" s="547" t="s">
        <v>359</v>
      </c>
      <c r="F9816" s="1403">
        <v>13</v>
      </c>
      <c r="G9816" s="549" t="s">
        <v>21</v>
      </c>
      <c r="H9816" s="599" t="s">
        <v>95</v>
      </c>
      <c r="I9816" s="558">
        <v>13.4</v>
      </c>
      <c r="J9816" s="567">
        <v>8.75</v>
      </c>
      <c r="K9816" s="648">
        <v>13</v>
      </c>
      <c r="L9816" s="552">
        <f t="shared" ref="L9816:L9817" si="2008">(I9816*J9816*K9816/1000)</f>
        <v>1.5242500000000001</v>
      </c>
      <c r="M9816" s="549"/>
      <c r="N9816" s="549"/>
      <c r="O9816" s="549"/>
      <c r="P9816" s="549"/>
      <c r="Q9816" s="1358" t="s">
        <v>1229</v>
      </c>
    </row>
    <row r="9817" spans="1:18" ht="17.399999999999999">
      <c r="A9817" s="549"/>
      <c r="B9817" s="549" t="s">
        <v>1027</v>
      </c>
      <c r="C9817" s="549"/>
      <c r="D9817" s="549"/>
      <c r="E9817" s="549"/>
      <c r="F9817" s="549"/>
      <c r="G9817" s="549" t="s">
        <v>21</v>
      </c>
      <c r="H9817" s="549" t="s">
        <v>95</v>
      </c>
      <c r="I9817" s="558">
        <v>13.4</v>
      </c>
      <c r="J9817" s="567">
        <v>12</v>
      </c>
      <c r="K9817" s="648">
        <v>55</v>
      </c>
      <c r="L9817" s="552">
        <f t="shared" si="2008"/>
        <v>8.8439999999999994</v>
      </c>
      <c r="M9817" s="549"/>
      <c r="N9817" s="549"/>
      <c r="O9817" s="549"/>
      <c r="P9817" s="549"/>
    </row>
    <row r="9818" spans="1:18" ht="17.399999999999999">
      <c r="A9818" s="549"/>
      <c r="B9818" s="549"/>
      <c r="C9818" s="549"/>
      <c r="D9818" s="549"/>
      <c r="E9818" s="549"/>
      <c r="F9818" s="549"/>
      <c r="G9818" s="549"/>
      <c r="H9818" s="549"/>
      <c r="I9818" s="558"/>
      <c r="J9818" s="567"/>
      <c r="K9818" s="648">
        <f t="shared" ref="K9818" si="2009">SUM(K9816:K9817)</f>
        <v>68</v>
      </c>
      <c r="L9818" s="567">
        <f>SUM(L9816:L9817)</f>
        <v>10.36825</v>
      </c>
      <c r="M9818" s="549"/>
      <c r="N9818" s="549"/>
      <c r="O9818" s="549"/>
      <c r="P9818" s="549" t="s">
        <v>1146</v>
      </c>
    </row>
    <row r="9819" spans="1:18" s="1358" customFormat="1" ht="17.399999999999999">
      <c r="A9819" s="549"/>
      <c r="B9819" s="549"/>
      <c r="C9819" s="549"/>
      <c r="D9819" s="549"/>
      <c r="E9819" s="549"/>
      <c r="F9819" s="549"/>
      <c r="G9819" s="549"/>
      <c r="H9819" s="549"/>
      <c r="I9819" s="558"/>
      <c r="J9819" s="567"/>
      <c r="K9819" s="648"/>
      <c r="L9819" s="567"/>
      <c r="M9819" s="549"/>
      <c r="N9819" s="549"/>
      <c r="O9819" s="549"/>
      <c r="P9819" s="549"/>
    </row>
    <row r="9820" spans="1:18" ht="17.399999999999999">
      <c r="A9820" s="547" t="s">
        <v>715</v>
      </c>
      <c r="B9820" s="547" t="s">
        <v>857</v>
      </c>
      <c r="C9820" s="547" t="s">
        <v>19</v>
      </c>
      <c r="D9820" s="547" t="s">
        <v>20</v>
      </c>
      <c r="E9820" s="650" t="s">
        <v>878</v>
      </c>
      <c r="F9820" s="1403">
        <v>13</v>
      </c>
      <c r="G9820" s="549" t="s">
        <v>21</v>
      </c>
      <c r="H9820" s="599" t="s">
        <v>95</v>
      </c>
      <c r="I9820" s="558">
        <v>13.4</v>
      </c>
      <c r="J9820" s="710">
        <v>8.9</v>
      </c>
      <c r="K9820" s="648">
        <v>27</v>
      </c>
      <c r="L9820" s="552">
        <f>(I9820*J9820*K9820/1000)</f>
        <v>3.2200199999999999</v>
      </c>
      <c r="M9820" s="549"/>
      <c r="N9820" s="549"/>
      <c r="O9820" s="549"/>
      <c r="P9820" s="549"/>
      <c r="Q9820" s="1358" t="s">
        <v>1230</v>
      </c>
    </row>
    <row r="9821" spans="1:18" ht="17.399999999999999">
      <c r="A9821" s="549"/>
      <c r="B9821" s="650" t="s">
        <v>84</v>
      </c>
      <c r="C9821" s="549"/>
      <c r="D9821" s="549"/>
      <c r="E9821" s="549"/>
      <c r="F9821" s="549"/>
      <c r="G9821" s="549" t="s">
        <v>21</v>
      </c>
      <c r="H9821" s="549" t="s">
        <v>95</v>
      </c>
      <c r="I9821" s="558">
        <v>13.4</v>
      </c>
      <c r="J9821" s="710">
        <v>12</v>
      </c>
      <c r="K9821" s="648">
        <v>20</v>
      </c>
      <c r="L9821" s="552">
        <f>(I9821*J9821*K9821/1000)</f>
        <v>3.2160000000000002</v>
      </c>
      <c r="M9821" s="549"/>
      <c r="N9821" s="549"/>
      <c r="O9821" s="549"/>
      <c r="P9821" s="549"/>
    </row>
    <row r="9822" spans="1:18" ht="17.399999999999999">
      <c r="A9822" s="549"/>
      <c r="B9822" s="549"/>
      <c r="C9822" s="549"/>
      <c r="D9822" s="549"/>
      <c r="E9822" s="549"/>
      <c r="F9822" s="549"/>
      <c r="G9822" s="549"/>
      <c r="H9822" s="650"/>
      <c r="I9822" s="558"/>
      <c r="J9822" s="710"/>
      <c r="K9822" s="648">
        <f t="shared" ref="K9822" si="2010">SUM(K9820:K9821)</f>
        <v>47</v>
      </c>
      <c r="L9822" s="765">
        <f>SUM(L9820:L9821)</f>
        <v>6.4360200000000001</v>
      </c>
      <c r="M9822" s="549"/>
      <c r="N9822" s="549"/>
      <c r="O9822" s="549"/>
      <c r="P9822" s="549" t="s">
        <v>1147</v>
      </c>
    </row>
    <row r="9823" spans="1:18" ht="17.399999999999999">
      <c r="A9823" s="549"/>
      <c r="B9823" s="549"/>
      <c r="C9823" s="549"/>
      <c r="D9823" s="549"/>
      <c r="E9823" s="549"/>
      <c r="F9823" s="549"/>
      <c r="G9823" s="549"/>
      <c r="H9823" s="549"/>
      <c r="I9823" s="558"/>
      <c r="J9823" s="549"/>
      <c r="K9823" s="561"/>
      <c r="L9823" s="560"/>
      <c r="M9823" s="549"/>
      <c r="N9823" s="549"/>
      <c r="O9823" s="549"/>
      <c r="P9823" s="549"/>
    </row>
    <row r="9824" spans="1:18" ht="17.399999999999999">
      <c r="A9824" s="547" t="s">
        <v>715</v>
      </c>
      <c r="B9824" s="547" t="s">
        <v>845</v>
      </c>
      <c r="C9824" s="547" t="s">
        <v>19</v>
      </c>
      <c r="D9824" s="547" t="s">
        <v>20</v>
      </c>
      <c r="E9824" s="547" t="s">
        <v>367</v>
      </c>
      <c r="F9824" s="1403">
        <v>13</v>
      </c>
      <c r="G9824" s="549" t="s">
        <v>21</v>
      </c>
      <c r="H9824" s="599" t="s">
        <v>95</v>
      </c>
      <c r="I9824" s="558">
        <v>13.4</v>
      </c>
      <c r="J9824" s="710">
        <v>10.9</v>
      </c>
      <c r="K9824" s="648">
        <v>18</v>
      </c>
      <c r="L9824" s="552">
        <f>(I9824*J9824*K9824/1000)</f>
        <v>2.6290800000000001</v>
      </c>
      <c r="M9824" s="549"/>
      <c r="N9824" s="549"/>
      <c r="O9824" s="549"/>
      <c r="P9824" s="549"/>
      <c r="Q9824" s="1358" t="s">
        <v>1230</v>
      </c>
    </row>
    <row r="9825" spans="1:17" ht="17.399999999999999">
      <c r="A9825" s="549"/>
      <c r="B9825" s="832" t="s">
        <v>88</v>
      </c>
      <c r="C9825" s="549"/>
      <c r="D9825" s="549"/>
      <c r="E9825" s="549"/>
      <c r="F9825" s="549"/>
      <c r="G9825" s="549"/>
      <c r="H9825" s="549"/>
      <c r="I9825" s="558"/>
      <c r="J9825" s="710"/>
      <c r="K9825" s="648">
        <f t="shared" ref="K9825:L9825" si="2011">SUM(K9824)</f>
        <v>18</v>
      </c>
      <c r="L9825" s="765">
        <f t="shared" si="2011"/>
        <v>2.6290800000000001</v>
      </c>
      <c r="M9825" s="549"/>
      <c r="N9825" s="549"/>
      <c r="O9825" s="549"/>
      <c r="P9825" s="549" t="s">
        <v>1148</v>
      </c>
    </row>
    <row r="9826" spans="1:17" ht="17.399999999999999">
      <c r="A9826" s="549"/>
      <c r="B9826" s="549"/>
      <c r="C9826" s="549"/>
      <c r="D9826" s="549"/>
      <c r="E9826" s="549"/>
      <c r="F9826" s="549"/>
      <c r="G9826" s="549"/>
      <c r="H9826" s="549"/>
      <c r="I9826" s="558"/>
      <c r="J9826" s="549"/>
      <c r="K9826" s="561"/>
      <c r="L9826" s="560"/>
      <c r="M9826" s="549"/>
      <c r="N9826" s="549"/>
      <c r="O9826" s="549"/>
      <c r="P9826" s="549"/>
    </row>
    <row r="9827" spans="1:17" ht="17.399999999999999">
      <c r="A9827" s="547" t="s">
        <v>523</v>
      </c>
      <c r="B9827" s="852" t="s">
        <v>1026</v>
      </c>
      <c r="C9827" s="547" t="s">
        <v>19</v>
      </c>
      <c r="D9827" s="547" t="s">
        <v>20</v>
      </c>
      <c r="E9827" s="755" t="s">
        <v>1028</v>
      </c>
      <c r="F9827" s="1403">
        <v>13</v>
      </c>
      <c r="G9827" s="549" t="s">
        <v>21</v>
      </c>
      <c r="H9827" s="599" t="s">
        <v>95</v>
      </c>
      <c r="I9827" s="558">
        <v>13.4</v>
      </c>
      <c r="J9827" s="567">
        <v>8.75</v>
      </c>
      <c r="K9827" s="648">
        <v>1</v>
      </c>
      <c r="L9827" s="552">
        <f>(I9827*J9827*K9827/1000)</f>
        <v>0.11724999999999999</v>
      </c>
      <c r="M9827" s="549"/>
      <c r="N9827" s="549"/>
      <c r="O9827" s="567">
        <v>6</v>
      </c>
      <c r="P9827" s="549"/>
      <c r="Q9827" s="1358" t="s">
        <v>1230</v>
      </c>
    </row>
    <row r="9828" spans="1:17" ht="17.399999999999999">
      <c r="A9828" s="549"/>
      <c r="B9828" s="549" t="s">
        <v>1027</v>
      </c>
      <c r="C9828" s="549"/>
      <c r="D9828" s="549"/>
      <c r="E9828" s="549"/>
      <c r="F9828" s="549"/>
      <c r="G9828" s="549"/>
      <c r="H9828" s="549"/>
      <c r="I9828" s="558"/>
      <c r="J9828" s="567"/>
      <c r="K9828" s="648">
        <f t="shared" ref="K9828" si="2012">SUM(K9827)</f>
        <v>1</v>
      </c>
      <c r="L9828" s="567">
        <f>SUM(L9827)</f>
        <v>0.11724999999999999</v>
      </c>
      <c r="M9828" s="549"/>
      <c r="N9828" s="549"/>
      <c r="O9828" s="549"/>
      <c r="P9828" s="549" t="s">
        <v>1149</v>
      </c>
    </row>
    <row r="9829" spans="1:17" s="1358" customFormat="1" ht="17.399999999999999">
      <c r="A9829" s="549"/>
      <c r="B9829" s="549"/>
      <c r="C9829" s="549"/>
      <c r="D9829" s="549"/>
      <c r="E9829" s="549"/>
      <c r="F9829" s="549"/>
      <c r="G9829" s="549"/>
      <c r="H9829" s="549"/>
      <c r="I9829" s="558"/>
      <c r="J9829" s="567"/>
      <c r="K9829" s="648"/>
      <c r="L9829" s="567"/>
      <c r="M9829" s="549"/>
      <c r="N9829" s="549"/>
      <c r="O9829" s="549"/>
      <c r="P9829" s="549"/>
    </row>
    <row r="9830" spans="1:17" ht="17.399999999999999">
      <c r="A9830" s="547" t="s">
        <v>715</v>
      </c>
      <c r="B9830" s="547" t="s">
        <v>1094</v>
      </c>
      <c r="C9830" s="547" t="s">
        <v>19</v>
      </c>
      <c r="D9830" s="547" t="s">
        <v>20</v>
      </c>
      <c r="E9830" s="832" t="s">
        <v>464</v>
      </c>
      <c r="F9830" s="1403">
        <v>13</v>
      </c>
      <c r="G9830" s="549" t="s">
        <v>21</v>
      </c>
      <c r="H9830" s="599" t="s">
        <v>95</v>
      </c>
      <c r="I9830" s="558">
        <v>13.4</v>
      </c>
      <c r="J9830" s="567">
        <v>9.1999999999999993</v>
      </c>
      <c r="K9830" s="648">
        <v>20</v>
      </c>
      <c r="L9830" s="552">
        <f>(I9830*J9830*K9830/1000)</f>
        <v>2.4655999999999998</v>
      </c>
      <c r="M9830" s="549"/>
      <c r="N9830" s="549"/>
      <c r="O9830" s="549"/>
      <c r="P9830" s="549"/>
      <c r="Q9830" s="1358" t="s">
        <v>1230</v>
      </c>
    </row>
    <row r="9831" spans="1:17" ht="17.399999999999999">
      <c r="A9831" s="549"/>
      <c r="B9831" s="1399" t="s">
        <v>585</v>
      </c>
      <c r="C9831" s="549"/>
      <c r="D9831" s="549"/>
      <c r="E9831" s="549"/>
      <c r="F9831" s="549"/>
      <c r="G9831" s="549"/>
      <c r="H9831" s="549"/>
      <c r="I9831" s="558"/>
      <c r="J9831" s="567"/>
      <c r="K9831" s="648">
        <f t="shared" ref="K9831:L9831" si="2013">SUM(K9830)</f>
        <v>20</v>
      </c>
      <c r="L9831" s="567">
        <f t="shared" si="2013"/>
        <v>2.4655999999999998</v>
      </c>
      <c r="M9831" s="549"/>
      <c r="N9831" s="549"/>
      <c r="O9831" s="549"/>
      <c r="P9831" s="549" t="s">
        <v>1150</v>
      </c>
    </row>
    <row r="9832" spans="1:17" ht="17.399999999999999">
      <c r="A9832" s="549"/>
      <c r="B9832" s="549"/>
      <c r="C9832" s="549"/>
      <c r="D9832" s="549"/>
      <c r="E9832" s="549"/>
      <c r="F9832" s="549"/>
      <c r="G9832" s="549"/>
      <c r="H9832" s="549"/>
      <c r="I9832" s="560"/>
      <c r="J9832" s="549"/>
      <c r="K9832" s="561"/>
      <c r="L9832" s="560"/>
      <c r="M9832" s="549"/>
      <c r="N9832" s="549"/>
      <c r="O9832" s="549"/>
      <c r="P9832" s="549"/>
    </row>
    <row r="9833" spans="1:17" ht="17.399999999999999">
      <c r="A9833" s="547" t="s">
        <v>715</v>
      </c>
      <c r="B9833" s="547" t="s">
        <v>857</v>
      </c>
      <c r="C9833" s="547" t="s">
        <v>19</v>
      </c>
      <c r="D9833" s="547" t="s">
        <v>20</v>
      </c>
      <c r="E9833" s="1360" t="s">
        <v>51</v>
      </c>
      <c r="F9833" s="1403">
        <v>13</v>
      </c>
      <c r="G9833" s="549" t="s">
        <v>21</v>
      </c>
      <c r="H9833" s="599" t="s">
        <v>95</v>
      </c>
      <c r="I9833" s="558">
        <v>13.4</v>
      </c>
      <c r="J9833" s="710">
        <v>11.2</v>
      </c>
      <c r="K9833" s="648">
        <v>10</v>
      </c>
      <c r="L9833" s="552">
        <f>(I9833*J9833*K9833/1000)</f>
        <v>1.5007999999999997</v>
      </c>
      <c r="M9833" s="549"/>
      <c r="N9833" s="549"/>
      <c r="O9833" s="549"/>
      <c r="P9833" s="549"/>
      <c r="Q9833" s="1358" t="s">
        <v>1229</v>
      </c>
    </row>
    <row r="9834" spans="1:17" ht="17.399999999999999">
      <c r="A9834" s="549"/>
      <c r="B9834" s="650" t="s">
        <v>84</v>
      </c>
      <c r="C9834" s="549"/>
      <c r="D9834" s="549"/>
      <c r="E9834" s="549"/>
      <c r="F9834" s="549"/>
      <c r="G9834" s="549"/>
      <c r="H9834" s="650"/>
      <c r="I9834" s="558"/>
      <c r="J9834" s="710"/>
      <c r="K9834" s="648">
        <f t="shared" ref="K9834:L9834" si="2014">SUM(K9833)</f>
        <v>10</v>
      </c>
      <c r="L9834" s="765">
        <f t="shared" si="2014"/>
        <v>1.5007999999999997</v>
      </c>
      <c r="M9834" s="549"/>
      <c r="N9834" s="549"/>
      <c r="O9834" s="549"/>
      <c r="P9834" s="549" t="s">
        <v>1151</v>
      </c>
    </row>
    <row r="9835" spans="1:17" s="1358" customFormat="1" ht="17.399999999999999">
      <c r="A9835" s="549"/>
      <c r="B9835" s="650"/>
      <c r="C9835" s="549"/>
      <c r="D9835" s="549"/>
      <c r="E9835" s="549"/>
      <c r="F9835" s="549"/>
      <c r="G9835" s="549"/>
      <c r="H9835" s="650"/>
      <c r="I9835" s="558"/>
      <c r="J9835" s="710"/>
      <c r="K9835" s="648"/>
      <c r="L9835" s="765"/>
      <c r="M9835" s="549"/>
      <c r="N9835" s="549"/>
      <c r="O9835" s="549"/>
      <c r="P9835" s="549"/>
    </row>
    <row r="9836" spans="1:17" s="1358" customFormat="1" ht="17.399999999999999">
      <c r="A9836" s="547" t="s">
        <v>715</v>
      </c>
      <c r="B9836" s="547" t="s">
        <v>1134</v>
      </c>
      <c r="C9836" s="547" t="s">
        <v>19</v>
      </c>
      <c r="D9836" s="547" t="s">
        <v>20</v>
      </c>
      <c r="E9836" s="650" t="s">
        <v>878</v>
      </c>
      <c r="F9836" s="1403">
        <v>13</v>
      </c>
      <c r="G9836" s="549" t="s">
        <v>21</v>
      </c>
      <c r="H9836" s="599" t="s">
        <v>95</v>
      </c>
      <c r="I9836" s="558">
        <v>13.4</v>
      </c>
      <c r="J9836" s="567">
        <v>8.75</v>
      </c>
      <c r="K9836" s="648">
        <v>4</v>
      </c>
      <c r="L9836" s="552">
        <f>(I9836*J9836*K9836/1000)</f>
        <v>0.46899999999999997</v>
      </c>
      <c r="M9836" s="549"/>
      <c r="N9836" s="549"/>
      <c r="O9836" s="710">
        <v>8.6999999999999993</v>
      </c>
      <c r="P9836" s="549"/>
      <c r="Q9836" s="1358" t="s">
        <v>1230</v>
      </c>
    </row>
    <row r="9837" spans="1:17" s="1358" customFormat="1" ht="17.399999999999999">
      <c r="A9837" s="549"/>
      <c r="B9837" s="549" t="s">
        <v>1135</v>
      </c>
      <c r="C9837" s="549"/>
      <c r="D9837" s="549"/>
      <c r="E9837" s="549"/>
      <c r="F9837" s="549"/>
      <c r="G9837" s="549"/>
      <c r="H9837" s="650"/>
      <c r="I9837" s="560"/>
      <c r="J9837" s="710"/>
      <c r="K9837" s="648">
        <f>SUM(K9836:K9836)</f>
        <v>4</v>
      </c>
      <c r="L9837" s="765">
        <f>SUM(L9836:L9836)</f>
        <v>0.46899999999999997</v>
      </c>
      <c r="M9837" s="549"/>
      <c r="N9837" s="549"/>
      <c r="O9837" s="549"/>
      <c r="P9837" s="549" t="s">
        <v>1147</v>
      </c>
    </row>
    <row r="9838" spans="1:17" s="1358" customFormat="1" ht="17.399999999999999">
      <c r="A9838" s="549"/>
      <c r="B9838" s="112"/>
      <c r="C9838" s="549"/>
      <c r="D9838" s="549"/>
      <c r="E9838" s="549"/>
      <c r="F9838" s="549"/>
      <c r="G9838" s="112"/>
      <c r="H9838" s="1400"/>
      <c r="I9838" s="1861"/>
      <c r="J9838" s="457"/>
      <c r="K9838" s="1402">
        <f>SUM(K9816:K9837)/2</f>
        <v>168</v>
      </c>
      <c r="L9838" s="1401">
        <f>SUM(L9816:L9837)/2</f>
        <v>23.986000000000001</v>
      </c>
      <c r="M9838" s="549"/>
      <c r="N9838" s="549"/>
      <c r="O9838" s="549"/>
      <c r="P9838" s="549"/>
    </row>
    <row r="9839" spans="1:17" s="1358" customFormat="1" ht="17.399999999999999">
      <c r="A9839" s="549"/>
      <c r="B9839" s="549"/>
      <c r="C9839" s="549"/>
      <c r="D9839" s="549"/>
      <c r="E9839" s="549"/>
      <c r="F9839" s="549"/>
      <c r="G9839" s="549"/>
      <c r="H9839" s="549"/>
      <c r="I9839" s="558"/>
      <c r="J9839" s="567"/>
      <c r="K9839" s="648"/>
      <c r="L9839" s="567"/>
      <c r="M9839" s="549"/>
      <c r="N9839" s="549"/>
      <c r="O9839" s="549"/>
      <c r="P9839" s="549"/>
    </row>
    <row r="9840" spans="1:17" s="1358" customFormat="1" ht="17.399999999999999">
      <c r="A9840" s="549"/>
      <c r="B9840" s="549"/>
      <c r="C9840" s="549"/>
      <c r="D9840" s="549"/>
      <c r="E9840" s="549"/>
      <c r="F9840" s="549"/>
      <c r="G9840" s="549"/>
      <c r="H9840" s="549"/>
      <c r="I9840" s="558"/>
      <c r="J9840" s="567"/>
      <c r="K9840" s="648"/>
      <c r="L9840" s="567"/>
      <c r="M9840" s="549"/>
      <c r="N9840" s="549"/>
      <c r="O9840" s="549"/>
      <c r="P9840" s="549"/>
    </row>
    <row r="9841" spans="1:19" ht="17.399999999999999">
      <c r="A9841" s="547" t="s">
        <v>395</v>
      </c>
      <c r="B9841" s="547" t="s">
        <v>1106</v>
      </c>
      <c r="C9841" s="547" t="s">
        <v>446</v>
      </c>
      <c r="D9841" s="813" t="s">
        <v>447</v>
      </c>
      <c r="E9841" s="547" t="s">
        <v>359</v>
      </c>
      <c r="F9841" s="1376">
        <v>12</v>
      </c>
      <c r="G9841" s="549" t="s">
        <v>21</v>
      </c>
      <c r="H9841" s="599" t="s">
        <v>95</v>
      </c>
      <c r="I9841" s="558">
        <v>13.4</v>
      </c>
      <c r="J9841" s="567">
        <v>8</v>
      </c>
      <c r="K9841" s="648">
        <v>16</v>
      </c>
      <c r="L9841" s="552">
        <f>(I9841*J9841*K9841/1000)</f>
        <v>1.7152000000000001</v>
      </c>
      <c r="M9841" s="549"/>
      <c r="N9841" s="549"/>
      <c r="O9841" s="549"/>
      <c r="P9841" s="549"/>
      <c r="Q9841" s="1358" t="s">
        <v>1229</v>
      </c>
    </row>
    <row r="9842" spans="1:19" ht="17.399999999999999">
      <c r="A9842" s="549"/>
      <c r="B9842" s="549"/>
      <c r="C9842" s="549"/>
      <c r="D9842" s="549"/>
      <c r="E9842" s="549"/>
      <c r="F9842" s="549"/>
      <c r="G9842" s="549"/>
      <c r="H9842" s="549"/>
      <c r="I9842" s="558"/>
      <c r="J9842" s="567"/>
      <c r="K9842" s="648">
        <f t="shared" ref="K9842:L9842" si="2015">SUM(K9841)</f>
        <v>16</v>
      </c>
      <c r="L9842" s="567">
        <f t="shared" si="2015"/>
        <v>1.7152000000000001</v>
      </c>
      <c r="M9842" s="549"/>
      <c r="N9842" s="549"/>
      <c r="O9842" s="549"/>
      <c r="P9842" s="549"/>
    </row>
    <row r="9843" spans="1:19" ht="17.399999999999999">
      <c r="A9843" s="549"/>
      <c r="B9843" s="549"/>
      <c r="C9843" s="549"/>
      <c r="D9843" s="549"/>
      <c r="E9843" s="549"/>
      <c r="F9843" s="549"/>
      <c r="G9843" s="549"/>
      <c r="H9843" s="549"/>
      <c r="I9843" s="558"/>
      <c r="J9843" s="549"/>
      <c r="K9843" s="561"/>
      <c r="L9843" s="560"/>
      <c r="M9843" s="549"/>
      <c r="N9843" s="549"/>
      <c r="O9843" s="549"/>
      <c r="P9843" s="549"/>
    </row>
    <row r="9844" spans="1:19" ht="17.399999999999999">
      <c r="A9844" s="547" t="s">
        <v>395</v>
      </c>
      <c r="B9844" s="547" t="s">
        <v>1105</v>
      </c>
      <c r="C9844" s="547" t="s">
        <v>446</v>
      </c>
      <c r="D9844" s="813" t="s">
        <v>447</v>
      </c>
      <c r="E9844" s="547" t="s">
        <v>359</v>
      </c>
      <c r="F9844" s="1376">
        <v>12</v>
      </c>
      <c r="G9844" s="549" t="s">
        <v>21</v>
      </c>
      <c r="H9844" s="599" t="s">
        <v>95</v>
      </c>
      <c r="I9844" s="558">
        <v>13.4</v>
      </c>
      <c r="J9844" s="567">
        <v>6.95</v>
      </c>
      <c r="K9844" s="648">
        <v>49</v>
      </c>
      <c r="L9844" s="552">
        <f t="shared" ref="L9844:L9846" si="2016">(I9844*J9844*K9844/1000)</f>
        <v>4.5633700000000008</v>
      </c>
      <c r="M9844" s="549"/>
      <c r="N9844" s="549"/>
      <c r="O9844" s="549"/>
      <c r="P9844" s="549"/>
      <c r="Q9844" s="1358" t="s">
        <v>1229</v>
      </c>
    </row>
    <row r="9845" spans="1:19" ht="17.399999999999999">
      <c r="A9845" s="549"/>
      <c r="B9845" s="549"/>
      <c r="C9845" s="549"/>
      <c r="D9845" s="549"/>
      <c r="E9845" s="549"/>
      <c r="F9845" s="549"/>
      <c r="G9845" s="549" t="s">
        <v>21</v>
      </c>
      <c r="H9845" s="549" t="s">
        <v>95</v>
      </c>
      <c r="I9845" s="558">
        <v>13.4</v>
      </c>
      <c r="J9845" s="567">
        <v>8</v>
      </c>
      <c r="K9845" s="648">
        <v>6</v>
      </c>
      <c r="L9845" s="552">
        <f t="shared" si="2016"/>
        <v>0.64319999999999999</v>
      </c>
      <c r="M9845" s="549"/>
      <c r="N9845" s="549"/>
      <c r="O9845" s="549"/>
      <c r="P9845" s="549"/>
    </row>
    <row r="9846" spans="1:19" ht="17.399999999999999">
      <c r="A9846" s="549"/>
      <c r="B9846" s="549"/>
      <c r="C9846" s="549"/>
      <c r="D9846" s="549"/>
      <c r="E9846" s="549"/>
      <c r="F9846" s="549"/>
      <c r="G9846" s="549" t="s">
        <v>21</v>
      </c>
      <c r="H9846" s="549" t="s">
        <v>95</v>
      </c>
      <c r="I9846" s="558">
        <v>13.4</v>
      </c>
      <c r="J9846" s="567">
        <v>12</v>
      </c>
      <c r="K9846" s="648">
        <v>19</v>
      </c>
      <c r="L9846" s="552">
        <f t="shared" si="2016"/>
        <v>3.0552000000000001</v>
      </c>
      <c r="M9846" s="549"/>
      <c r="N9846" s="549"/>
      <c r="O9846" s="549"/>
      <c r="P9846" s="549"/>
    </row>
    <row r="9847" spans="1:19" ht="17.399999999999999">
      <c r="A9847" s="549"/>
      <c r="B9847" s="549"/>
      <c r="C9847" s="549"/>
      <c r="D9847" s="549"/>
      <c r="E9847" s="549"/>
      <c r="F9847" s="549"/>
      <c r="G9847" s="549"/>
      <c r="H9847" s="549"/>
      <c r="I9847" s="558"/>
      <c r="J9847" s="567"/>
      <c r="K9847" s="648">
        <f t="shared" ref="K9847:L9847" si="2017">SUM(K9844:K9846)</f>
        <v>74</v>
      </c>
      <c r="L9847" s="567">
        <f t="shared" si="2017"/>
        <v>8.2617700000000021</v>
      </c>
      <c r="M9847" s="549"/>
      <c r="N9847" s="549"/>
      <c r="O9847" s="549"/>
      <c r="P9847" s="549"/>
    </row>
    <row r="9848" spans="1:19" s="1358" customFormat="1" ht="17.399999999999999">
      <c r="A9848" s="549"/>
      <c r="B9848" s="549"/>
      <c r="C9848" s="549"/>
      <c r="D9848" s="549"/>
      <c r="E9848" s="549"/>
      <c r="F9848" s="549"/>
      <c r="G9848" s="549"/>
      <c r="H9848" s="549"/>
      <c r="I9848" s="558"/>
      <c r="J9848" s="567"/>
      <c r="K9848" s="648"/>
      <c r="L9848" s="567"/>
      <c r="M9848" s="549"/>
      <c r="N9848" s="549"/>
      <c r="O9848" s="549"/>
      <c r="P9848" s="549"/>
    </row>
    <row r="9849" spans="1:19" ht="17.399999999999999">
      <c r="A9849" s="547" t="s">
        <v>395</v>
      </c>
      <c r="B9849" s="547" t="s">
        <v>1015</v>
      </c>
      <c r="C9849" s="547" t="s">
        <v>446</v>
      </c>
      <c r="D9849" s="813" t="s">
        <v>447</v>
      </c>
      <c r="E9849" s="547" t="s">
        <v>359</v>
      </c>
      <c r="F9849" s="1376">
        <v>12</v>
      </c>
      <c r="G9849" s="549" t="s">
        <v>21</v>
      </c>
      <c r="H9849" s="599" t="s">
        <v>95</v>
      </c>
      <c r="I9849" s="558">
        <v>13.4</v>
      </c>
      <c r="J9849" s="567">
        <v>10</v>
      </c>
      <c r="K9849" s="648">
        <v>150</v>
      </c>
      <c r="L9849" s="552">
        <f t="shared" ref="L9849:L9850" si="2018">(I9849*J9849*K9849/1000)</f>
        <v>20.100000000000001</v>
      </c>
      <c r="M9849" s="549"/>
      <c r="N9849" s="549"/>
      <c r="O9849" s="549"/>
      <c r="P9849" s="549"/>
      <c r="Q9849" s="1358" t="s">
        <v>1229</v>
      </c>
    </row>
    <row r="9850" spans="1:19" ht="17.399999999999999">
      <c r="A9850" s="549"/>
      <c r="B9850" s="549"/>
      <c r="C9850" s="549"/>
      <c r="D9850" s="549"/>
      <c r="E9850" s="549"/>
      <c r="F9850" s="549"/>
      <c r="G9850" s="549" t="s">
        <v>21</v>
      </c>
      <c r="H9850" s="549" t="s">
        <v>95</v>
      </c>
      <c r="I9850" s="558">
        <v>13.4</v>
      </c>
      <c r="J9850" s="567">
        <v>12</v>
      </c>
      <c r="K9850" s="648">
        <v>112</v>
      </c>
      <c r="L9850" s="552">
        <f t="shared" si="2018"/>
        <v>18.009600000000002</v>
      </c>
      <c r="M9850" s="549"/>
      <c r="N9850" s="549"/>
      <c r="O9850" s="549"/>
      <c r="P9850" s="549"/>
    </row>
    <row r="9851" spans="1:19" ht="17.399999999999999">
      <c r="A9851" s="549"/>
      <c r="B9851" s="549"/>
      <c r="C9851" s="549"/>
      <c r="D9851" s="549"/>
      <c r="E9851" s="549"/>
      <c r="F9851" s="549"/>
      <c r="G9851" s="549"/>
      <c r="H9851" s="549"/>
      <c r="I9851" s="558"/>
      <c r="J9851" s="567"/>
      <c r="K9851" s="648">
        <f>SUM(K9849:K9850)</f>
        <v>262</v>
      </c>
      <c r="L9851" s="567">
        <f>SUM(L9849:L9850)</f>
        <v>38.1096</v>
      </c>
      <c r="M9851" s="549"/>
      <c r="N9851" s="549"/>
      <c r="O9851" s="549"/>
      <c r="P9851" s="549"/>
    </row>
    <row r="9852" spans="1:19" ht="17.399999999999999">
      <c r="A9852" s="549"/>
      <c r="B9852" s="549"/>
      <c r="C9852" s="549"/>
      <c r="D9852" s="549"/>
      <c r="E9852" s="549"/>
      <c r="F9852" s="549"/>
      <c r="G9852" s="549"/>
      <c r="H9852" s="549"/>
      <c r="I9852" s="558"/>
      <c r="J9852" s="549"/>
      <c r="K9852" s="652">
        <f>SUM(K9841:K9851)/2</f>
        <v>352</v>
      </c>
      <c r="L9852" s="565">
        <f>SUM(L9841:L9851)/2</f>
        <v>48.086570000000002</v>
      </c>
      <c r="M9852" s="549"/>
      <c r="N9852" s="549"/>
      <c r="O9852" s="549"/>
      <c r="P9852" s="549" t="s">
        <v>1152</v>
      </c>
    </row>
    <row r="9853" spans="1:19" ht="17.399999999999999">
      <c r="A9853" s="549"/>
      <c r="B9853" s="549"/>
      <c r="C9853" s="549"/>
      <c r="D9853" s="549"/>
      <c r="E9853" s="549"/>
      <c r="F9853" s="549"/>
      <c r="G9853" s="549"/>
      <c r="H9853" s="549"/>
      <c r="I9853" s="558"/>
      <c r="J9853" s="549"/>
      <c r="K9853" s="561"/>
      <c r="L9853" s="560"/>
      <c r="M9853" s="549"/>
      <c r="N9853" s="549"/>
      <c r="O9853" s="549"/>
      <c r="P9853" s="549"/>
    </row>
    <row r="9854" spans="1:19" ht="17.399999999999999">
      <c r="A9854" s="549"/>
      <c r="B9854" s="549"/>
      <c r="C9854" s="549"/>
      <c r="D9854" s="549"/>
      <c r="E9854" s="549"/>
      <c r="F9854" s="549"/>
      <c r="G9854" s="549"/>
      <c r="H9854" s="549"/>
      <c r="I9854" s="558"/>
      <c r="J9854" s="549"/>
      <c r="K9854" s="561"/>
      <c r="L9854" s="560"/>
      <c r="M9854" s="549"/>
      <c r="N9854" s="549"/>
      <c r="O9854" s="549"/>
      <c r="P9854" s="549"/>
    </row>
    <row r="9855" spans="1:19" ht="17.399999999999999">
      <c r="A9855" s="547" t="s">
        <v>395</v>
      </c>
      <c r="B9855" s="547" t="s">
        <v>1015</v>
      </c>
      <c r="C9855" s="547" t="s">
        <v>446</v>
      </c>
      <c r="D9855" s="813" t="s">
        <v>447</v>
      </c>
      <c r="E9855" s="547" t="s">
        <v>359</v>
      </c>
      <c r="F9855" s="1376">
        <v>12</v>
      </c>
      <c r="G9855" s="549" t="s">
        <v>21</v>
      </c>
      <c r="H9855" s="599" t="s">
        <v>98</v>
      </c>
      <c r="I9855" s="558">
        <v>11.8</v>
      </c>
      <c r="J9855" s="567">
        <v>7.75</v>
      </c>
      <c r="K9855" s="648">
        <v>75</v>
      </c>
      <c r="L9855" s="552">
        <f t="shared" ref="L9855:L9857" si="2019">(I9855*J9855*K9855/1000)</f>
        <v>6.8587499999999997</v>
      </c>
      <c r="M9855" s="549"/>
      <c r="N9855" s="549"/>
      <c r="O9855" s="549"/>
      <c r="P9855" s="549"/>
      <c r="Q9855" s="497">
        <f>24+12+22+17</f>
        <v>75</v>
      </c>
      <c r="R9855" s="1358">
        <f t="shared" ref="R9855:R9857" si="2020">J9855*Q9855*I9855/1000</f>
        <v>6.8587499999999997</v>
      </c>
      <c r="S9855" s="1358" t="s">
        <v>1229</v>
      </c>
    </row>
    <row r="9856" spans="1:19" ht="17.399999999999999">
      <c r="A9856" s="549"/>
      <c r="B9856" s="549"/>
      <c r="C9856" s="549"/>
      <c r="D9856" s="549"/>
      <c r="E9856" s="549"/>
      <c r="F9856" s="549"/>
      <c r="G9856" s="549" t="s">
        <v>21</v>
      </c>
      <c r="H9856" s="549" t="s">
        <v>98</v>
      </c>
      <c r="I9856" s="558">
        <v>11.8</v>
      </c>
      <c r="J9856" s="567">
        <v>11.7</v>
      </c>
      <c r="K9856" s="648">
        <v>28</v>
      </c>
      <c r="L9856" s="552">
        <f t="shared" si="2019"/>
        <v>3.8656800000000002</v>
      </c>
      <c r="M9856" s="549"/>
      <c r="N9856" s="549"/>
      <c r="O9856" s="549"/>
      <c r="P9856" s="549"/>
      <c r="Q9856" s="497">
        <f>20+7+1</f>
        <v>28</v>
      </c>
      <c r="R9856" s="1358">
        <f t="shared" si="2020"/>
        <v>3.8656799999999998</v>
      </c>
    </row>
    <row r="9857" spans="1:19" ht="17.399999999999999">
      <c r="A9857" s="549"/>
      <c r="B9857" s="549"/>
      <c r="C9857" s="549"/>
      <c r="D9857" s="549"/>
      <c r="E9857" s="549"/>
      <c r="F9857" s="549"/>
      <c r="G9857" s="549" t="s">
        <v>21</v>
      </c>
      <c r="H9857" s="549" t="s">
        <v>98</v>
      </c>
      <c r="I9857" s="558">
        <v>11.8</v>
      </c>
      <c r="J9857" s="567">
        <v>12</v>
      </c>
      <c r="K9857" s="648">
        <v>34</v>
      </c>
      <c r="L9857" s="552">
        <f t="shared" si="2019"/>
        <v>4.8144000000000009</v>
      </c>
      <c r="M9857" s="549"/>
      <c r="N9857" s="549"/>
      <c r="O9857" s="549"/>
      <c r="P9857" s="549"/>
      <c r="Q9857" s="497">
        <v>34</v>
      </c>
      <c r="R9857" s="1358">
        <f t="shared" si="2020"/>
        <v>4.8144000000000009</v>
      </c>
    </row>
    <row r="9858" spans="1:19" ht="17.399999999999999">
      <c r="A9858" s="549"/>
      <c r="B9858" s="549"/>
      <c r="C9858" s="549"/>
      <c r="D9858" s="549"/>
      <c r="E9858" s="549"/>
      <c r="F9858" s="549"/>
      <c r="G9858" s="549"/>
      <c r="H9858" s="549"/>
      <c r="I9858" s="558"/>
      <c r="J9858" s="567"/>
      <c r="K9858" s="648">
        <f t="shared" ref="K9858:L9858" si="2021">SUM(K9855:K9857)</f>
        <v>137</v>
      </c>
      <c r="L9858" s="567">
        <f t="shared" si="2021"/>
        <v>15.538830000000001</v>
      </c>
      <c r="M9858" s="549"/>
      <c r="N9858" s="549"/>
      <c r="O9858" s="549"/>
      <c r="P9858" s="549" t="s">
        <v>1153</v>
      </c>
      <c r="Q9858" s="648">
        <f t="shared" ref="Q9858:R9858" si="2022">SUM(Q9855:Q9857)</f>
        <v>137</v>
      </c>
      <c r="R9858" s="567">
        <f t="shared" si="2022"/>
        <v>15.538830000000001</v>
      </c>
    </row>
    <row r="9859" spans="1:19" s="1358" customFormat="1" ht="17.399999999999999">
      <c r="A9859" s="549"/>
      <c r="B9859" s="549"/>
      <c r="C9859" s="549"/>
      <c r="D9859" s="549"/>
      <c r="E9859" s="549"/>
      <c r="F9859" s="549"/>
      <c r="G9859" s="549"/>
      <c r="H9859" s="549"/>
      <c r="I9859" s="558"/>
      <c r="J9859" s="567"/>
      <c r="K9859" s="648"/>
      <c r="L9859" s="567"/>
      <c r="M9859" s="549"/>
      <c r="N9859" s="549"/>
      <c r="O9859" s="549"/>
      <c r="P9859" s="549"/>
    </row>
    <row r="9860" spans="1:19" ht="17.399999999999999">
      <c r="A9860" s="547" t="s">
        <v>395</v>
      </c>
      <c r="B9860" s="547" t="s">
        <v>1105</v>
      </c>
      <c r="C9860" s="547" t="s">
        <v>446</v>
      </c>
      <c r="D9860" s="813" t="s">
        <v>447</v>
      </c>
      <c r="E9860" s="547" t="s">
        <v>359</v>
      </c>
      <c r="F9860" s="1376">
        <v>12</v>
      </c>
      <c r="G9860" s="549" t="s">
        <v>21</v>
      </c>
      <c r="H9860" s="599" t="s">
        <v>98</v>
      </c>
      <c r="I9860" s="558">
        <v>11.8</v>
      </c>
      <c r="J9860" s="567">
        <v>7.75</v>
      </c>
      <c r="K9860" s="648">
        <v>6</v>
      </c>
      <c r="L9860" s="552">
        <f t="shared" ref="L9860:L9862" si="2023">(I9860*J9860*K9860/1000)</f>
        <v>0.54870000000000008</v>
      </c>
      <c r="M9860" s="549"/>
      <c r="N9860" s="549"/>
      <c r="O9860" s="549"/>
      <c r="P9860" s="549"/>
      <c r="Q9860" s="497">
        <v>6</v>
      </c>
      <c r="R9860" s="1358">
        <f t="shared" ref="R9860:R9862" si="2024">J9860*Q9860*I9860/1000</f>
        <v>0.54870000000000008</v>
      </c>
      <c r="S9860" s="1358" t="s">
        <v>1229</v>
      </c>
    </row>
    <row r="9861" spans="1:19" ht="17.399999999999999">
      <c r="A9861" s="549"/>
      <c r="B9861" s="549"/>
      <c r="C9861" s="549"/>
      <c r="D9861" s="549"/>
      <c r="E9861" s="549"/>
      <c r="F9861" s="549"/>
      <c r="G9861" s="549" t="s">
        <v>21</v>
      </c>
      <c r="H9861" s="549" t="s">
        <v>98</v>
      </c>
      <c r="I9861" s="558">
        <v>11.8</v>
      </c>
      <c r="J9861" s="567">
        <v>11</v>
      </c>
      <c r="K9861" s="648">
        <v>12</v>
      </c>
      <c r="L9861" s="552">
        <f t="shared" si="2023"/>
        <v>1.5576000000000001</v>
      </c>
      <c r="M9861" s="549"/>
      <c r="N9861" s="549"/>
      <c r="O9861" s="549"/>
      <c r="P9861" s="549"/>
      <c r="Q9861" s="497">
        <f>4+8</f>
        <v>12</v>
      </c>
      <c r="R9861" s="1358">
        <f t="shared" si="2024"/>
        <v>1.5576000000000001</v>
      </c>
    </row>
    <row r="9862" spans="1:19" ht="17.399999999999999">
      <c r="A9862" s="549"/>
      <c r="B9862" s="549"/>
      <c r="C9862" s="549"/>
      <c r="D9862" s="549"/>
      <c r="E9862" s="549"/>
      <c r="F9862" s="549"/>
      <c r="G9862" s="549" t="s">
        <v>21</v>
      </c>
      <c r="H9862" s="549" t="s">
        <v>98</v>
      </c>
      <c r="I9862" s="558">
        <v>11.8</v>
      </c>
      <c r="J9862" s="567">
        <v>12</v>
      </c>
      <c r="K9862" s="648">
        <v>32</v>
      </c>
      <c r="L9862" s="552">
        <f t="shared" si="2023"/>
        <v>4.531200000000001</v>
      </c>
      <c r="M9862" s="549"/>
      <c r="N9862" s="549"/>
      <c r="O9862" s="549"/>
      <c r="P9862" s="549"/>
      <c r="Q9862" s="497">
        <v>32</v>
      </c>
      <c r="R9862" s="1358">
        <f t="shared" si="2024"/>
        <v>4.531200000000001</v>
      </c>
    </row>
    <row r="9863" spans="1:19" ht="17.399999999999999">
      <c r="A9863" s="549"/>
      <c r="B9863" s="549"/>
      <c r="C9863" s="549"/>
      <c r="D9863" s="549"/>
      <c r="E9863" s="549"/>
      <c r="F9863" s="549"/>
      <c r="G9863" s="549"/>
      <c r="H9863" s="549"/>
      <c r="I9863" s="558"/>
      <c r="J9863" s="567"/>
      <c r="K9863" s="648">
        <f>SUM(K9860:K9862)</f>
        <v>50</v>
      </c>
      <c r="L9863" s="567">
        <f>SUM(L9860:L9862)</f>
        <v>6.6375000000000011</v>
      </c>
      <c r="M9863" s="549"/>
      <c r="N9863" s="549"/>
      <c r="O9863" s="549"/>
      <c r="P9863" s="549" t="s">
        <v>1153</v>
      </c>
      <c r="Q9863" s="648">
        <f>SUM(Q9860:Q9862)</f>
        <v>50</v>
      </c>
      <c r="R9863" s="567">
        <f>SUM(R9860:R9862)</f>
        <v>6.6375000000000011</v>
      </c>
    </row>
    <row r="9864" spans="1:19" s="1358" customFormat="1" ht="17.399999999999999">
      <c r="A9864" s="549"/>
      <c r="B9864" s="549"/>
      <c r="C9864" s="549"/>
      <c r="D9864" s="549"/>
      <c r="E9864" s="549"/>
      <c r="F9864" s="549"/>
      <c r="G9864" s="549"/>
      <c r="H9864" s="549"/>
      <c r="I9864" s="558"/>
      <c r="J9864" s="567"/>
      <c r="K9864" s="648"/>
      <c r="L9864" s="567"/>
      <c r="M9864" s="549"/>
      <c r="N9864" s="549"/>
      <c r="O9864" s="549"/>
      <c r="P9864" s="549"/>
    </row>
    <row r="9865" spans="1:19" ht="17.399999999999999">
      <c r="A9865" s="547" t="s">
        <v>715</v>
      </c>
      <c r="B9865" s="547" t="s">
        <v>857</v>
      </c>
      <c r="C9865" s="547" t="s">
        <v>19</v>
      </c>
      <c r="D9865" s="547" t="s">
        <v>20</v>
      </c>
      <c r="E9865" s="1360" t="s">
        <v>51</v>
      </c>
      <c r="F9865" s="1349">
        <v>12</v>
      </c>
      <c r="G9865" s="549" t="s">
        <v>21</v>
      </c>
      <c r="H9865" s="599" t="s">
        <v>98</v>
      </c>
      <c r="I9865" s="558">
        <v>11.8</v>
      </c>
      <c r="J9865" s="710">
        <v>7</v>
      </c>
      <c r="K9865" s="648">
        <v>10</v>
      </c>
      <c r="L9865" s="552">
        <f>(I9865*J9865*K9865/1000)</f>
        <v>0.82600000000000007</v>
      </c>
      <c r="M9865" s="549"/>
      <c r="N9865" s="549"/>
      <c r="O9865" s="549"/>
      <c r="P9865" s="549"/>
      <c r="Q9865" s="1440" t="s">
        <v>1274</v>
      </c>
    </row>
    <row r="9866" spans="1:19" ht="17.399999999999999">
      <c r="A9866" s="549"/>
      <c r="B9866" s="650" t="s">
        <v>84</v>
      </c>
      <c r="C9866" s="549"/>
      <c r="D9866" s="549"/>
      <c r="E9866" s="549"/>
      <c r="F9866" s="549"/>
      <c r="G9866" s="549" t="s">
        <v>21</v>
      </c>
      <c r="H9866" s="549" t="s">
        <v>98</v>
      </c>
      <c r="I9866" s="558">
        <v>11.8</v>
      </c>
      <c r="J9866" s="710">
        <v>12</v>
      </c>
      <c r="K9866" s="648">
        <v>17</v>
      </c>
      <c r="L9866" s="552">
        <f>(I9866*J9866*K9866/1000)</f>
        <v>2.4072000000000005</v>
      </c>
      <c r="M9866" s="549"/>
      <c r="N9866" s="549"/>
      <c r="O9866" s="549"/>
      <c r="P9866" s="549"/>
    </row>
    <row r="9867" spans="1:19" ht="17.399999999999999">
      <c r="A9867" s="549"/>
      <c r="B9867" s="549"/>
      <c r="C9867" s="549"/>
      <c r="D9867" s="549"/>
      <c r="E9867" s="549"/>
      <c r="F9867" s="549"/>
      <c r="G9867" s="549"/>
      <c r="H9867" s="650"/>
      <c r="I9867" s="558"/>
      <c r="J9867" s="710"/>
      <c r="K9867" s="648">
        <f t="shared" ref="K9867" si="2025">SUM(K9865:K9866)</f>
        <v>27</v>
      </c>
      <c r="L9867" s="765">
        <f>SUM(L9865:L9866)</f>
        <v>3.2332000000000005</v>
      </c>
      <c r="M9867" s="549"/>
      <c r="N9867" s="549"/>
      <c r="O9867" s="549"/>
      <c r="P9867" s="549" t="s">
        <v>1154</v>
      </c>
    </row>
    <row r="9868" spans="1:19" ht="17.399999999999999">
      <c r="A9868" s="549"/>
      <c r="B9868" s="549"/>
      <c r="C9868" s="549"/>
      <c r="D9868" s="549"/>
      <c r="E9868" s="549"/>
      <c r="F9868" s="549"/>
      <c r="G9868" s="549"/>
      <c r="H9868" s="549"/>
      <c r="I9868" s="558"/>
      <c r="J9868" s="549"/>
      <c r="K9868" s="561"/>
      <c r="L9868" s="560"/>
      <c r="M9868" s="549"/>
      <c r="N9868" s="549"/>
      <c r="O9868" s="549"/>
      <c r="P9868" s="549"/>
    </row>
    <row r="9869" spans="1:19" ht="17.399999999999999">
      <c r="A9869" s="547" t="s">
        <v>715</v>
      </c>
      <c r="B9869" s="547" t="s">
        <v>857</v>
      </c>
      <c r="C9869" s="547" t="s">
        <v>19</v>
      </c>
      <c r="D9869" s="547" t="s">
        <v>20</v>
      </c>
      <c r="E9869" s="1360" t="s">
        <v>51</v>
      </c>
      <c r="F9869" s="1349">
        <v>12</v>
      </c>
      <c r="G9869" s="549" t="s">
        <v>21</v>
      </c>
      <c r="H9869" s="599" t="s">
        <v>98</v>
      </c>
      <c r="I9869" s="558">
        <v>11.8</v>
      </c>
      <c r="J9869" s="710">
        <v>6.2</v>
      </c>
      <c r="K9869" s="648">
        <v>4</v>
      </c>
      <c r="L9869" s="552">
        <f>(I9869*J9869*K9869/1000)</f>
        <v>0.29264000000000007</v>
      </c>
      <c r="M9869" s="549" t="s">
        <v>1133</v>
      </c>
      <c r="N9869" s="549"/>
      <c r="O9869" s="549"/>
      <c r="P9869" s="549"/>
      <c r="Q9869" s="1440" t="s">
        <v>1274</v>
      </c>
    </row>
    <row r="9870" spans="1:19" ht="17.399999999999999">
      <c r="A9870" s="549"/>
      <c r="B9870" s="650" t="s">
        <v>84</v>
      </c>
      <c r="C9870" s="549"/>
      <c r="D9870" s="549"/>
      <c r="E9870" s="549"/>
      <c r="F9870" s="549"/>
      <c r="G9870" s="549"/>
      <c r="H9870" s="650"/>
      <c r="I9870" s="558"/>
      <c r="J9870" s="710"/>
      <c r="K9870" s="648">
        <f t="shared" ref="K9870" si="2026">SUM(K9869)</f>
        <v>4</v>
      </c>
      <c r="L9870" s="765">
        <f>SUM(L9869)</f>
        <v>0.29264000000000007</v>
      </c>
      <c r="M9870" s="549"/>
      <c r="N9870" s="549"/>
      <c r="O9870" s="549"/>
      <c r="P9870" s="549" t="s">
        <v>1154</v>
      </c>
    </row>
    <row r="9871" spans="1:19" s="1358" customFormat="1" ht="17.399999999999999">
      <c r="A9871" s="549"/>
      <c r="B9871" s="549"/>
      <c r="C9871" s="549"/>
      <c r="D9871" s="549"/>
      <c r="E9871" s="549"/>
      <c r="F9871" s="549"/>
      <c r="G9871" s="549"/>
      <c r="H9871" s="549"/>
      <c r="I9871" s="558"/>
      <c r="J9871" s="567"/>
      <c r="K9871" s="648">
        <f>SUM(K9855:K9870)/2</f>
        <v>218</v>
      </c>
      <c r="L9871" s="567">
        <f>SUM(L9855:L9870)/2</f>
        <v>25.702170000000002</v>
      </c>
      <c r="M9871" s="549"/>
      <c r="N9871" s="549"/>
      <c r="O9871" s="549"/>
      <c r="P9871" s="549"/>
    </row>
    <row r="9872" spans="1:19" s="1358" customFormat="1" ht="17.399999999999999">
      <c r="A9872" s="549"/>
      <c r="B9872" s="549"/>
      <c r="C9872" s="549"/>
      <c r="D9872" s="549"/>
      <c r="E9872" s="549"/>
      <c r="F9872" s="549"/>
      <c r="G9872" s="549"/>
      <c r="H9872" s="549"/>
      <c r="I9872" s="558"/>
      <c r="J9872" s="567"/>
      <c r="K9872" s="648"/>
      <c r="L9872" s="567"/>
      <c r="M9872" s="549"/>
      <c r="N9872" s="549"/>
      <c r="O9872" s="549"/>
      <c r="P9872" s="549"/>
    </row>
    <row r="9873" spans="1:19" s="1358" customFormat="1" ht="17.399999999999999">
      <c r="A9873" s="549"/>
      <c r="B9873" s="549"/>
      <c r="C9873" s="549"/>
      <c r="D9873" s="549"/>
      <c r="E9873" s="549"/>
      <c r="F9873" s="549"/>
      <c r="G9873" s="549"/>
      <c r="H9873" s="549"/>
      <c r="I9873" s="558"/>
      <c r="J9873" s="567"/>
      <c r="K9873" s="648"/>
      <c r="L9873" s="567"/>
      <c r="M9873" s="549"/>
      <c r="N9873" s="549"/>
      <c r="O9873" s="549"/>
      <c r="P9873" s="549"/>
    </row>
    <row r="9874" spans="1:19" ht="17.399999999999999">
      <c r="A9874" s="547" t="s">
        <v>395</v>
      </c>
      <c r="B9874" s="547" t="s">
        <v>1106</v>
      </c>
      <c r="C9874" s="547" t="s">
        <v>446</v>
      </c>
      <c r="D9874" s="813" t="s">
        <v>447</v>
      </c>
      <c r="E9874" s="547" t="s">
        <v>359</v>
      </c>
      <c r="F9874" s="1376">
        <v>12</v>
      </c>
      <c r="G9874" s="549" t="s">
        <v>21</v>
      </c>
      <c r="H9874" s="599" t="s">
        <v>97</v>
      </c>
      <c r="I9874" s="558">
        <v>10.199999999999999</v>
      </c>
      <c r="J9874" s="567">
        <v>8.1999999999999993</v>
      </c>
      <c r="K9874" s="648">
        <v>33</v>
      </c>
      <c r="L9874" s="552">
        <f t="shared" ref="L9874:L9875" si="2027">(I9874*J9874*K9874/1000)</f>
        <v>2.7601199999999992</v>
      </c>
      <c r="M9874" s="549"/>
      <c r="N9874" s="549"/>
      <c r="O9874" s="549"/>
      <c r="P9874" s="549"/>
      <c r="Q9874" s="497">
        <v>24</v>
      </c>
      <c r="R9874" s="497">
        <f>J9874*Q9874*I9874/1000</f>
        <v>2.0073599999999998</v>
      </c>
      <c r="S9874" s="1358" t="s">
        <v>1229</v>
      </c>
    </row>
    <row r="9875" spans="1:19" ht="17.399999999999999">
      <c r="A9875" s="549"/>
      <c r="B9875" s="549"/>
      <c r="C9875" s="549"/>
      <c r="D9875" s="549"/>
      <c r="E9875" s="549"/>
      <c r="F9875" s="549"/>
      <c r="G9875" s="549" t="s">
        <v>21</v>
      </c>
      <c r="H9875" s="549" t="s">
        <v>97</v>
      </c>
      <c r="I9875" s="558">
        <v>10.199999999999999</v>
      </c>
      <c r="J9875" s="567">
        <v>11</v>
      </c>
      <c r="K9875" s="648">
        <v>8</v>
      </c>
      <c r="L9875" s="552">
        <f t="shared" si="2027"/>
        <v>0.89759999999999995</v>
      </c>
      <c r="M9875" s="549"/>
      <c r="N9875" s="549"/>
      <c r="O9875" s="549"/>
      <c r="P9875" s="549"/>
      <c r="Q9875" s="497">
        <v>8</v>
      </c>
      <c r="R9875" s="1358">
        <f>J9875*Q9875*I9875/1000</f>
        <v>0.89759999999999995</v>
      </c>
    </row>
    <row r="9876" spans="1:19" ht="17.399999999999999">
      <c r="A9876" s="549"/>
      <c r="B9876" s="549"/>
      <c r="C9876" s="549"/>
      <c r="D9876" s="549"/>
      <c r="E9876" s="549"/>
      <c r="F9876" s="549"/>
      <c r="G9876" s="549"/>
      <c r="H9876" s="549"/>
      <c r="I9876" s="558"/>
      <c r="J9876" s="567"/>
      <c r="K9876" s="648">
        <f t="shared" ref="K9876:L9876" si="2028">SUM(K9874:K9875)</f>
        <v>41</v>
      </c>
      <c r="L9876" s="567">
        <f t="shared" si="2028"/>
        <v>3.6577199999999994</v>
      </c>
      <c r="M9876" s="549"/>
      <c r="N9876" s="549"/>
      <c r="O9876" s="549"/>
      <c r="P9876" s="549"/>
      <c r="Q9876" s="648">
        <f>SUM(Q9874:Q9875)</f>
        <v>32</v>
      </c>
      <c r="R9876" s="567">
        <f t="shared" ref="R9876" si="2029">SUM(R9874:R9875)</f>
        <v>2.90496</v>
      </c>
    </row>
    <row r="9877" spans="1:19" ht="17.399999999999999">
      <c r="A9877" s="549"/>
      <c r="B9877" s="549"/>
      <c r="C9877" s="549"/>
      <c r="D9877" s="549"/>
      <c r="E9877" s="549"/>
      <c r="F9877" s="549"/>
      <c r="G9877" s="549"/>
      <c r="H9877" s="549"/>
      <c r="I9877" s="558"/>
      <c r="J9877" s="549"/>
      <c r="K9877" s="561"/>
      <c r="L9877" s="560"/>
      <c r="M9877" s="549"/>
      <c r="N9877" s="549"/>
      <c r="O9877" s="549"/>
      <c r="P9877" s="549"/>
    </row>
    <row r="9878" spans="1:19" ht="17.399999999999999">
      <c r="A9878" s="547" t="s">
        <v>395</v>
      </c>
      <c r="B9878" s="547" t="s">
        <v>1105</v>
      </c>
      <c r="C9878" s="547" t="s">
        <v>446</v>
      </c>
      <c r="D9878" s="813" t="s">
        <v>447</v>
      </c>
      <c r="E9878" s="547" t="s">
        <v>359</v>
      </c>
      <c r="F9878" s="1376">
        <v>12</v>
      </c>
      <c r="G9878" s="549" t="s">
        <v>21</v>
      </c>
      <c r="H9878" s="599" t="s">
        <v>97</v>
      </c>
      <c r="I9878" s="558">
        <v>10.199999999999999</v>
      </c>
      <c r="J9878" s="567">
        <v>8.1999999999999993</v>
      </c>
      <c r="K9878" s="648">
        <v>4</v>
      </c>
      <c r="L9878" s="552">
        <f t="shared" ref="L9878:L9881" si="2030">(I9878*J9878*K9878/1000)</f>
        <v>0.33455999999999997</v>
      </c>
      <c r="M9878" s="549"/>
      <c r="N9878" s="549"/>
      <c r="O9878" s="549"/>
      <c r="P9878" s="549"/>
      <c r="R9878" s="1358">
        <f t="shared" ref="R9878:R9881" si="2031">J9878*Q9878*I9878/1000</f>
        <v>0</v>
      </c>
      <c r="S9878" s="1358" t="s">
        <v>1229</v>
      </c>
    </row>
    <row r="9879" spans="1:19" ht="17.399999999999999">
      <c r="A9879" s="549"/>
      <c r="B9879" s="549"/>
      <c r="C9879" s="549"/>
      <c r="D9879" s="549"/>
      <c r="E9879" s="549"/>
      <c r="F9879" s="549"/>
      <c r="G9879" s="549" t="s">
        <v>21</v>
      </c>
      <c r="H9879" s="549" t="s">
        <v>97</v>
      </c>
      <c r="I9879" s="558">
        <v>10.199999999999999</v>
      </c>
      <c r="J9879" s="567">
        <v>8.6999999999999993</v>
      </c>
      <c r="K9879" s="648">
        <v>64</v>
      </c>
      <c r="L9879" s="552">
        <f t="shared" si="2030"/>
        <v>5.6793599999999991</v>
      </c>
      <c r="M9879" s="549"/>
      <c r="N9879" s="549"/>
      <c r="O9879" s="549"/>
      <c r="P9879" s="549"/>
      <c r="Q9879" s="497">
        <f>30+12+5</f>
        <v>47</v>
      </c>
      <c r="R9879" s="1358">
        <f t="shared" si="2031"/>
        <v>4.1707799999999997</v>
      </c>
    </row>
    <row r="9880" spans="1:19" ht="17.399999999999999">
      <c r="A9880" s="549"/>
      <c r="B9880" s="549"/>
      <c r="C9880" s="549"/>
      <c r="D9880" s="549"/>
      <c r="E9880" s="549"/>
      <c r="F9880" s="549"/>
      <c r="G9880" s="549" t="s">
        <v>21</v>
      </c>
      <c r="H9880" s="549" t="s">
        <v>97</v>
      </c>
      <c r="I9880" s="558">
        <v>10.199999999999999</v>
      </c>
      <c r="J9880" s="567">
        <v>11</v>
      </c>
      <c r="K9880" s="648">
        <v>40</v>
      </c>
      <c r="L9880" s="552">
        <f t="shared" si="2030"/>
        <v>4.4880000000000004</v>
      </c>
      <c r="M9880" s="549"/>
      <c r="N9880" s="549"/>
      <c r="O9880" s="549"/>
      <c r="P9880" s="549"/>
      <c r="R9880" s="1358">
        <f t="shared" si="2031"/>
        <v>0</v>
      </c>
    </row>
    <row r="9881" spans="1:19" ht="17.399999999999999">
      <c r="A9881" s="549"/>
      <c r="B9881" s="549"/>
      <c r="C9881" s="549"/>
      <c r="D9881" s="549"/>
      <c r="E9881" s="549"/>
      <c r="F9881" s="549"/>
      <c r="G9881" s="549" t="s">
        <v>21</v>
      </c>
      <c r="H9881" s="549" t="s">
        <v>97</v>
      </c>
      <c r="I9881" s="558">
        <v>10.199999999999999</v>
      </c>
      <c r="J9881" s="567">
        <v>11.5</v>
      </c>
      <c r="K9881" s="648">
        <v>20</v>
      </c>
      <c r="L9881" s="552">
        <f t="shared" si="2030"/>
        <v>2.3460000000000001</v>
      </c>
      <c r="M9881" s="549"/>
      <c r="N9881" s="549"/>
      <c r="O9881" s="549"/>
      <c r="P9881" s="549"/>
      <c r="Q9881" s="497">
        <v>16</v>
      </c>
      <c r="R9881" s="1358">
        <f t="shared" si="2031"/>
        <v>1.8768</v>
      </c>
    </row>
    <row r="9882" spans="1:19" ht="17.399999999999999">
      <c r="A9882" s="549"/>
      <c r="B9882" s="549"/>
      <c r="C9882" s="549"/>
      <c r="D9882" s="549"/>
      <c r="E9882" s="549"/>
      <c r="F9882" s="549"/>
      <c r="G9882" s="549"/>
      <c r="H9882" s="549"/>
      <c r="I9882" s="558"/>
      <c r="J9882" s="567"/>
      <c r="K9882" s="648">
        <f>SUM(K9878:K9881)</f>
        <v>128</v>
      </c>
      <c r="L9882" s="567">
        <f>SUM(L9878:L9881)</f>
        <v>12.847919999999998</v>
      </c>
      <c r="M9882" s="549"/>
      <c r="N9882" s="549"/>
      <c r="O9882" s="549"/>
      <c r="P9882" s="549"/>
      <c r="Q9882" s="648">
        <f>SUM(Q9878:Q9881)</f>
        <v>63</v>
      </c>
      <c r="R9882" s="567">
        <f>SUM(R9878:R9881)</f>
        <v>6.04758</v>
      </c>
    </row>
    <row r="9883" spans="1:19" s="1358" customFormat="1" ht="17.399999999999999">
      <c r="A9883" s="549"/>
      <c r="B9883" s="549"/>
      <c r="C9883" s="549"/>
      <c r="D9883" s="549"/>
      <c r="E9883" s="549"/>
      <c r="F9883" s="549"/>
      <c r="G9883" s="549"/>
      <c r="H9883" s="549"/>
      <c r="I9883" s="558"/>
      <c r="J9883" s="567"/>
      <c r="K9883" s="648">
        <f>SUM(K9874:K9882)/2</f>
        <v>169</v>
      </c>
      <c r="L9883" s="567">
        <f>SUM(L9874:L9882)/2</f>
        <v>16.50564</v>
      </c>
      <c r="M9883" s="648">
        <f>SUM(M9874:M9882)/2</f>
        <v>0</v>
      </c>
      <c r="N9883" s="567">
        <f>SUM(N9874:N9882)/2</f>
        <v>0</v>
      </c>
      <c r="O9883" s="549"/>
      <c r="P9883" s="549" t="s">
        <v>1155</v>
      </c>
      <c r="Q9883" s="648">
        <f>SUM(Q9874:Q9882)/2</f>
        <v>95</v>
      </c>
      <c r="R9883" s="567">
        <f>SUM(R9874:R9882)/2</f>
        <v>8.9525399999999991</v>
      </c>
    </row>
    <row r="9884" spans="1:19" s="1358" customFormat="1" ht="17.399999999999999">
      <c r="A9884" s="549"/>
      <c r="B9884" s="549"/>
      <c r="C9884" s="549"/>
      <c r="D9884" s="549"/>
      <c r="E9884" s="549"/>
      <c r="F9884" s="549"/>
      <c r="G9884" s="549"/>
      <c r="H9884" s="549"/>
      <c r="I9884" s="558"/>
      <c r="J9884" s="567"/>
      <c r="K9884" s="648"/>
      <c r="L9884" s="567"/>
      <c r="M9884" s="549"/>
      <c r="N9884" s="549"/>
      <c r="O9884" s="549"/>
      <c r="P9884" s="549"/>
    </row>
    <row r="9885" spans="1:19" s="1358" customFormat="1" ht="17.399999999999999">
      <c r="A9885" s="549"/>
      <c r="B9885" s="549"/>
      <c r="C9885" s="549"/>
      <c r="D9885" s="549"/>
      <c r="E9885" s="549"/>
      <c r="F9885" s="549"/>
      <c r="G9885" s="549"/>
      <c r="H9885" s="549"/>
      <c r="I9885" s="558"/>
      <c r="J9885" s="567"/>
      <c r="K9885" s="648"/>
      <c r="L9885" s="567"/>
      <c r="M9885" s="549"/>
      <c r="N9885" s="549"/>
      <c r="O9885" s="549"/>
      <c r="P9885" s="549"/>
    </row>
    <row r="9886" spans="1:19" s="1358" customFormat="1" ht="17.399999999999999">
      <c r="A9886" s="549"/>
      <c r="B9886" s="549"/>
      <c r="C9886" s="549"/>
      <c r="D9886" s="549"/>
      <c r="E9886" s="549"/>
      <c r="F9886" s="549"/>
      <c r="G9886" s="549"/>
      <c r="H9886" s="549"/>
      <c r="I9886" s="558"/>
      <c r="J9886" s="567"/>
      <c r="K9886" s="648"/>
      <c r="L9886" s="567"/>
      <c r="M9886" s="549"/>
      <c r="N9886" s="549"/>
      <c r="O9886" s="549"/>
      <c r="P9886" s="549"/>
    </row>
    <row r="9887" spans="1:19" ht="17.399999999999999">
      <c r="A9887" s="547" t="s">
        <v>523</v>
      </c>
      <c r="B9887" s="547" t="s">
        <v>1026</v>
      </c>
      <c r="C9887" s="547" t="s">
        <v>19</v>
      </c>
      <c r="D9887" s="547" t="s">
        <v>60</v>
      </c>
      <c r="E9887" s="547" t="s">
        <v>270</v>
      </c>
      <c r="F9887" s="1349">
        <v>12</v>
      </c>
      <c r="G9887" s="549" t="s">
        <v>61</v>
      </c>
      <c r="H9887" s="599" t="s">
        <v>95</v>
      </c>
      <c r="I9887" s="558">
        <v>13.4</v>
      </c>
      <c r="J9887" s="567">
        <v>9.75</v>
      </c>
      <c r="K9887" s="648">
        <v>20</v>
      </c>
      <c r="L9887" s="552">
        <f>(I9887*J9887*K9887/1000)</f>
        <v>2.613</v>
      </c>
      <c r="M9887" s="549"/>
      <c r="N9887" s="549"/>
      <c r="O9887" s="549"/>
      <c r="P9887" s="549"/>
      <c r="Q9887" s="1358" t="s">
        <v>1229</v>
      </c>
    </row>
    <row r="9888" spans="1:19" ht="17.399999999999999">
      <c r="A9888" s="549"/>
      <c r="B9888" s="549" t="s">
        <v>1103</v>
      </c>
      <c r="C9888" s="549"/>
      <c r="D9888" s="549"/>
      <c r="E9888" s="549"/>
      <c r="F9888" s="549"/>
      <c r="G9888" s="549" t="s">
        <v>61</v>
      </c>
      <c r="H9888" s="549" t="s">
        <v>95</v>
      </c>
      <c r="I9888" s="558">
        <v>13.4</v>
      </c>
      <c r="J9888" s="567">
        <v>12</v>
      </c>
      <c r="K9888" s="648">
        <v>8</v>
      </c>
      <c r="L9888" s="552">
        <f>(I9888*J9888*K9888/1000)</f>
        <v>1.2864</v>
      </c>
      <c r="M9888" s="549"/>
      <c r="N9888" s="549"/>
      <c r="O9888" s="549"/>
      <c r="P9888" s="549"/>
    </row>
    <row r="9889" spans="1:17" ht="17.399999999999999">
      <c r="A9889" s="549"/>
      <c r="B9889" s="549"/>
      <c r="C9889" s="549"/>
      <c r="D9889" s="549"/>
      <c r="E9889" s="549"/>
      <c r="F9889" s="549"/>
      <c r="G9889" s="549"/>
      <c r="H9889" s="549"/>
      <c r="I9889" s="558"/>
      <c r="J9889" s="567"/>
      <c r="K9889" s="648">
        <f>SUM(K9887:K9888)</f>
        <v>28</v>
      </c>
      <c r="L9889" s="567">
        <f>SUM(L9887:L9888)</f>
        <v>3.8994</v>
      </c>
      <c r="M9889" s="549"/>
      <c r="N9889" s="549"/>
      <c r="O9889" s="549"/>
      <c r="P9889" s="549" t="s">
        <v>1156</v>
      </c>
    </row>
    <row r="9890" spans="1:17" s="1358" customFormat="1" ht="17.399999999999999">
      <c r="A9890" s="549"/>
      <c r="B9890" s="549"/>
      <c r="C9890" s="549"/>
      <c r="D9890" s="549"/>
      <c r="E9890" s="549"/>
      <c r="F9890" s="549"/>
      <c r="G9890" s="549"/>
      <c r="H9890" s="549"/>
      <c r="I9890" s="558"/>
      <c r="J9890" s="567"/>
      <c r="K9890" s="648"/>
      <c r="L9890" s="567"/>
      <c r="M9890" s="549"/>
      <c r="N9890" s="549"/>
      <c r="O9890" s="549"/>
      <c r="P9890" s="549"/>
    </row>
    <row r="9891" spans="1:17" ht="17.399999999999999">
      <c r="A9891" s="547" t="s">
        <v>715</v>
      </c>
      <c r="B9891" s="547" t="s">
        <v>857</v>
      </c>
      <c r="C9891" s="547" t="s">
        <v>19</v>
      </c>
      <c r="D9891" s="547" t="s">
        <v>60</v>
      </c>
      <c r="E9891" s="650" t="s">
        <v>284</v>
      </c>
      <c r="F9891" s="1376">
        <v>12</v>
      </c>
      <c r="G9891" s="549" t="s">
        <v>61</v>
      </c>
      <c r="H9891" s="599" t="s">
        <v>95</v>
      </c>
      <c r="I9891" s="558">
        <v>13.4</v>
      </c>
      <c r="J9891" s="710">
        <v>10.6</v>
      </c>
      <c r="K9891" s="648">
        <v>4</v>
      </c>
      <c r="L9891" s="552">
        <f>(I9891*J9891*K9891/1000)</f>
        <v>0.56816</v>
      </c>
      <c r="M9891" s="549"/>
      <c r="N9891" s="549"/>
      <c r="O9891" s="549"/>
      <c r="P9891" s="549"/>
      <c r="Q9891" s="1358" t="s">
        <v>1229</v>
      </c>
    </row>
    <row r="9892" spans="1:17" ht="17.399999999999999">
      <c r="A9892" s="549"/>
      <c r="B9892" s="650" t="s">
        <v>84</v>
      </c>
      <c r="C9892" s="549"/>
      <c r="D9892" s="549"/>
      <c r="E9892" s="549"/>
      <c r="F9892" s="549"/>
      <c r="G9892" s="549"/>
      <c r="H9892" s="650"/>
      <c r="I9892" s="558"/>
      <c r="J9892" s="710"/>
      <c r="K9892" s="648">
        <f t="shared" ref="K9892:L9892" si="2032">SUM(K9891)</f>
        <v>4</v>
      </c>
      <c r="L9892" s="765">
        <f t="shared" si="2032"/>
        <v>0.56816</v>
      </c>
      <c r="M9892" s="549"/>
      <c r="N9892" s="549"/>
      <c r="O9892" s="549"/>
      <c r="P9892" s="549" t="s">
        <v>1157</v>
      </c>
    </row>
    <row r="9893" spans="1:17" ht="17.399999999999999">
      <c r="A9893" s="549"/>
      <c r="B9893" s="549"/>
      <c r="C9893" s="549"/>
      <c r="D9893" s="549"/>
      <c r="E9893" s="549"/>
      <c r="F9893" s="549"/>
      <c r="G9893" s="549"/>
      <c r="H9893" s="549"/>
      <c r="I9893" s="558"/>
      <c r="J9893" s="549"/>
      <c r="K9893" s="561"/>
      <c r="L9893" s="560"/>
      <c r="M9893" s="549"/>
      <c r="N9893" s="549"/>
      <c r="O9893" s="549"/>
      <c r="P9893" s="549"/>
    </row>
    <row r="9894" spans="1:17" ht="17.399999999999999">
      <c r="A9894" s="547" t="s">
        <v>715</v>
      </c>
      <c r="B9894" s="547" t="s">
        <v>845</v>
      </c>
      <c r="C9894" s="547" t="s">
        <v>19</v>
      </c>
      <c r="D9894" s="547" t="s">
        <v>60</v>
      </c>
      <c r="E9894" s="547" t="s">
        <v>62</v>
      </c>
      <c r="F9894" s="1376">
        <v>12</v>
      </c>
      <c r="G9894" s="549" t="s">
        <v>61</v>
      </c>
      <c r="H9894" s="599" t="s">
        <v>95</v>
      </c>
      <c r="I9894" s="558">
        <v>13.4</v>
      </c>
      <c r="J9894" s="710">
        <v>10.4</v>
      </c>
      <c r="K9894" s="648">
        <v>200</v>
      </c>
      <c r="L9894" s="552">
        <f>(I9894*J9894*K9894/1000)</f>
        <v>27.872000000000003</v>
      </c>
      <c r="M9894" s="549"/>
      <c r="N9894" s="549"/>
      <c r="O9894" s="549"/>
      <c r="P9894" s="549"/>
      <c r="Q9894" s="1358" t="s">
        <v>1229</v>
      </c>
    </row>
    <row r="9895" spans="1:17" ht="17.399999999999999">
      <c r="A9895" s="549"/>
      <c r="B9895" s="832" t="s">
        <v>88</v>
      </c>
      <c r="C9895" s="549"/>
      <c r="D9895" s="549"/>
      <c r="E9895" s="549"/>
      <c r="F9895" s="549"/>
      <c r="G9895" s="549"/>
      <c r="H9895" s="549"/>
      <c r="I9895" s="558"/>
      <c r="J9895" s="710"/>
      <c r="K9895" s="648">
        <f t="shared" ref="K9895:L9895" si="2033">SUM(K9894)</f>
        <v>200</v>
      </c>
      <c r="L9895" s="765">
        <f t="shared" si="2033"/>
        <v>27.872000000000003</v>
      </c>
      <c r="M9895" s="549"/>
      <c r="N9895" s="549"/>
      <c r="O9895" s="549"/>
      <c r="P9895" s="549" t="s">
        <v>1158</v>
      </c>
    </row>
    <row r="9896" spans="1:17" ht="17.399999999999999">
      <c r="A9896" s="549"/>
      <c r="B9896" s="549"/>
      <c r="C9896" s="549"/>
      <c r="D9896" s="549"/>
      <c r="E9896" s="549"/>
      <c r="F9896" s="549"/>
      <c r="G9896" s="549"/>
      <c r="H9896" s="549"/>
      <c r="I9896" s="560"/>
      <c r="J9896" s="549"/>
      <c r="K9896" s="561"/>
      <c r="L9896" s="560"/>
      <c r="M9896" s="549"/>
      <c r="N9896" s="549"/>
      <c r="O9896" s="549"/>
      <c r="P9896" s="549"/>
    </row>
    <row r="9897" spans="1:17" ht="17.399999999999999">
      <c r="A9897" s="547" t="s">
        <v>523</v>
      </c>
      <c r="B9897" s="547" t="s">
        <v>1026</v>
      </c>
      <c r="C9897" s="547" t="s">
        <v>19</v>
      </c>
      <c r="D9897" s="547" t="s">
        <v>60</v>
      </c>
      <c r="E9897" s="755" t="s">
        <v>1104</v>
      </c>
      <c r="F9897" s="1376">
        <v>12</v>
      </c>
      <c r="G9897" s="549" t="s">
        <v>61</v>
      </c>
      <c r="H9897" s="599" t="s">
        <v>95</v>
      </c>
      <c r="I9897" s="558">
        <v>13.4</v>
      </c>
      <c r="J9897" s="567">
        <v>10</v>
      </c>
      <c r="K9897" s="648">
        <v>14</v>
      </c>
      <c r="L9897" s="552">
        <f>(I9897*J9897*K9897/1000)</f>
        <v>1.8759999999999999</v>
      </c>
      <c r="M9897" s="549"/>
      <c r="N9897" s="549"/>
      <c r="O9897" s="549"/>
      <c r="P9897" s="549"/>
      <c r="Q9897" s="1358" t="s">
        <v>1229</v>
      </c>
    </row>
    <row r="9898" spans="1:17" ht="17.399999999999999">
      <c r="A9898" s="549"/>
      <c r="B9898" s="549" t="s">
        <v>1027</v>
      </c>
      <c r="C9898" s="549"/>
      <c r="D9898" s="549"/>
      <c r="E9898" s="549"/>
      <c r="F9898" s="549"/>
      <c r="G9898" s="549"/>
      <c r="H9898" s="549"/>
      <c r="I9898" s="558"/>
      <c r="J9898" s="567"/>
      <c r="K9898" s="648">
        <f t="shared" ref="K9898" si="2034">SUM(K9897)</f>
        <v>14</v>
      </c>
      <c r="L9898" s="567">
        <f>SUM(L9897)</f>
        <v>1.8759999999999999</v>
      </c>
      <c r="M9898" s="549"/>
      <c r="N9898" s="549"/>
      <c r="O9898" s="549"/>
      <c r="P9898" s="549" t="s">
        <v>1159</v>
      </c>
    </row>
    <row r="9899" spans="1:17" s="1358" customFormat="1" ht="17.399999999999999">
      <c r="A9899" s="549"/>
      <c r="B9899" s="549"/>
      <c r="C9899" s="549"/>
      <c r="D9899" s="549"/>
      <c r="E9899" s="549"/>
      <c r="F9899" s="549"/>
      <c r="G9899" s="549"/>
      <c r="H9899" s="549"/>
      <c r="I9899" s="558"/>
      <c r="J9899" s="567"/>
      <c r="K9899" s="648">
        <f>SUM(K9887:K9898)/2</f>
        <v>246</v>
      </c>
      <c r="L9899" s="567">
        <f>SUM(L9887:L9898)/2</f>
        <v>34.215560000000011</v>
      </c>
      <c r="M9899" s="549"/>
      <c r="N9899" s="549"/>
      <c r="O9899" s="549"/>
      <c r="P9899" s="549"/>
    </row>
    <row r="9900" spans="1:17" s="1358" customFormat="1" ht="17.399999999999999">
      <c r="A9900" s="549"/>
      <c r="B9900" s="549"/>
      <c r="C9900" s="549"/>
      <c r="D9900" s="549"/>
      <c r="E9900" s="549"/>
      <c r="F9900" s="549"/>
      <c r="G9900" s="549"/>
      <c r="H9900" s="549"/>
      <c r="I9900" s="558"/>
      <c r="J9900" s="567"/>
      <c r="K9900" s="648"/>
      <c r="L9900" s="567"/>
      <c r="M9900" s="549"/>
      <c r="N9900" s="549"/>
      <c r="O9900" s="549"/>
      <c r="P9900" s="549"/>
    </row>
    <row r="9901" spans="1:17" ht="17.399999999999999">
      <c r="A9901" s="549"/>
      <c r="B9901" s="549"/>
      <c r="C9901" s="549"/>
      <c r="D9901" s="549"/>
      <c r="E9901" s="549"/>
      <c r="F9901" s="549"/>
      <c r="G9901" s="549"/>
      <c r="H9901" s="549"/>
      <c r="I9901" s="558"/>
      <c r="J9901" s="549"/>
      <c r="K9901" s="561"/>
      <c r="L9901" s="560"/>
      <c r="M9901" s="549"/>
      <c r="N9901" s="549"/>
      <c r="O9901" s="549"/>
      <c r="P9901" s="549"/>
    </row>
    <row r="9902" spans="1:17" ht="17.399999999999999">
      <c r="A9902" s="547" t="s">
        <v>523</v>
      </c>
      <c r="B9902" s="547" t="s">
        <v>1026</v>
      </c>
      <c r="C9902" s="547" t="s">
        <v>19</v>
      </c>
      <c r="D9902" s="547" t="s">
        <v>60</v>
      </c>
      <c r="E9902" s="547" t="s">
        <v>270</v>
      </c>
      <c r="F9902" s="1376">
        <v>13</v>
      </c>
      <c r="G9902" s="549" t="s">
        <v>61</v>
      </c>
      <c r="H9902" s="599" t="s">
        <v>92</v>
      </c>
      <c r="I9902" s="558">
        <v>16.579999999999998</v>
      </c>
      <c r="J9902" s="567">
        <v>6.5</v>
      </c>
      <c r="K9902" s="648">
        <v>24</v>
      </c>
      <c r="L9902" s="552">
        <f>(I9902*J9902*K9902/1000)</f>
        <v>2.5864799999999994</v>
      </c>
      <c r="M9902" s="549"/>
      <c r="N9902" s="567"/>
      <c r="O9902" s="549"/>
      <c r="P9902" s="549"/>
      <c r="Q9902" s="1358" t="s">
        <v>1252</v>
      </c>
    </row>
    <row r="9903" spans="1:17" ht="17.399999999999999">
      <c r="A9903" s="549"/>
      <c r="B9903" s="549" t="s">
        <v>1102</v>
      </c>
      <c r="C9903" s="549"/>
      <c r="D9903" s="549"/>
      <c r="E9903" s="549"/>
      <c r="F9903" s="549"/>
      <c r="G9903" s="549" t="s">
        <v>61</v>
      </c>
      <c r="H9903" s="549" t="s">
        <v>92</v>
      </c>
      <c r="I9903" s="558">
        <v>16.579999999999998</v>
      </c>
      <c r="J9903" s="567">
        <v>7</v>
      </c>
      <c r="K9903" s="648">
        <v>12</v>
      </c>
      <c r="L9903" s="552">
        <f>(I9903*J9903*K9903/1000)</f>
        <v>1.3927199999999997</v>
      </c>
      <c r="M9903" s="549"/>
      <c r="N9903" s="567"/>
      <c r="O9903" s="549"/>
      <c r="P9903" s="549"/>
    </row>
    <row r="9904" spans="1:17" ht="17.399999999999999">
      <c r="A9904" s="549"/>
      <c r="B9904" s="549"/>
      <c r="C9904" s="549"/>
      <c r="D9904" s="549"/>
      <c r="E9904" s="549"/>
      <c r="F9904" s="549"/>
      <c r="G9904" s="549" t="s">
        <v>61</v>
      </c>
      <c r="H9904" s="549" t="s">
        <v>92</v>
      </c>
      <c r="I9904" s="558">
        <v>16.579999999999998</v>
      </c>
      <c r="J9904" s="567">
        <v>7.25</v>
      </c>
      <c r="K9904" s="648">
        <v>4</v>
      </c>
      <c r="L9904" s="552">
        <f>(I9904*J9904*K9904/1000)</f>
        <v>0.48081999999999991</v>
      </c>
      <c r="M9904" s="549"/>
      <c r="N9904" s="567"/>
      <c r="O9904" s="549"/>
      <c r="P9904" s="549"/>
    </row>
    <row r="9905" spans="1:21" ht="17.399999999999999">
      <c r="A9905" s="549"/>
      <c r="B9905" s="549"/>
      <c r="C9905" s="549"/>
      <c r="D9905" s="549"/>
      <c r="E9905" s="549"/>
      <c r="F9905" s="549"/>
      <c r="G9905" s="549" t="s">
        <v>61</v>
      </c>
      <c r="H9905" s="549" t="s">
        <v>92</v>
      </c>
      <c r="I9905" s="558">
        <v>16.579999999999998</v>
      </c>
      <c r="J9905" s="567">
        <v>10.1</v>
      </c>
      <c r="K9905" s="648">
        <v>4</v>
      </c>
      <c r="L9905" s="552">
        <f>(I9905*J9905*K9905/1000)</f>
        <v>0.66983199999999987</v>
      </c>
      <c r="M9905" s="549"/>
      <c r="N9905" s="567"/>
      <c r="O9905" s="549"/>
      <c r="P9905" s="549"/>
    </row>
    <row r="9906" spans="1:21" ht="17.399999999999999">
      <c r="A9906" s="549"/>
      <c r="B9906" s="549"/>
      <c r="C9906" s="549"/>
      <c r="D9906" s="549"/>
      <c r="E9906" s="549"/>
      <c r="F9906" s="549"/>
      <c r="G9906" s="549"/>
      <c r="H9906" s="549"/>
      <c r="I9906" s="558"/>
      <c r="J9906" s="567"/>
      <c r="K9906" s="648">
        <f t="shared" ref="K9906" si="2035">SUM(K9902:K9905)</f>
        <v>44</v>
      </c>
      <c r="L9906" s="567">
        <f>SUM(L9902:L9905)</f>
        <v>5.1298519999999987</v>
      </c>
      <c r="M9906" s="648"/>
      <c r="N9906" s="567"/>
      <c r="O9906" s="549"/>
      <c r="P9906" s="549" t="s">
        <v>1160</v>
      </c>
    </row>
    <row r="9907" spans="1:21" s="1358" customFormat="1" ht="17.399999999999999">
      <c r="A9907" s="549"/>
      <c r="B9907" s="549"/>
      <c r="C9907" s="549"/>
      <c r="D9907" s="549"/>
      <c r="E9907" s="549"/>
      <c r="F9907" s="549"/>
      <c r="G9907" s="549"/>
      <c r="H9907" s="549"/>
      <c r="I9907" s="558"/>
      <c r="J9907" s="567"/>
      <c r="K9907" s="648"/>
      <c r="L9907" s="567"/>
      <c r="M9907" s="648"/>
      <c r="N9907" s="567"/>
      <c r="O9907" s="549"/>
      <c r="P9907" s="549"/>
    </row>
    <row r="9908" spans="1:21" s="1358" customFormat="1" ht="17.399999999999999">
      <c r="A9908" s="549"/>
      <c r="B9908" s="549"/>
      <c r="C9908" s="549"/>
      <c r="D9908" s="549"/>
      <c r="E9908" s="549"/>
      <c r="F9908" s="549"/>
      <c r="G9908" s="549"/>
      <c r="H9908" s="549"/>
      <c r="I9908" s="558"/>
      <c r="J9908" s="567"/>
      <c r="K9908" s="648"/>
      <c r="L9908" s="567"/>
      <c r="M9908" s="648"/>
      <c r="N9908" s="567"/>
      <c r="O9908" s="549"/>
      <c r="P9908" s="549"/>
    </row>
    <row r="9909" spans="1:21" s="1358" customFormat="1" ht="17.399999999999999">
      <c r="A9909" s="549"/>
      <c r="B9909" s="549"/>
      <c r="C9909" s="549"/>
      <c r="D9909" s="549"/>
      <c r="E9909" s="549"/>
      <c r="F9909" s="549"/>
      <c r="G9909" s="549"/>
      <c r="H9909" s="549"/>
      <c r="I9909" s="558"/>
      <c r="J9909" s="567"/>
      <c r="K9909" s="648"/>
      <c r="L9909" s="567"/>
      <c r="M9909" s="549"/>
      <c r="N9909" s="549"/>
      <c r="O9909" s="549"/>
      <c r="P9909" s="549"/>
    </row>
    <row r="9910" spans="1:21" s="1358" customFormat="1" ht="17.399999999999999">
      <c r="A9910" s="549"/>
      <c r="B9910" s="549"/>
      <c r="C9910" s="549"/>
      <c r="D9910" s="549"/>
      <c r="E9910" s="549"/>
      <c r="F9910" s="549"/>
      <c r="G9910" s="549"/>
      <c r="H9910" s="549"/>
      <c r="I9910" s="558"/>
      <c r="J9910" s="567"/>
      <c r="K9910" s="648"/>
      <c r="L9910" s="567"/>
      <c r="M9910" s="549"/>
      <c r="N9910" s="549"/>
      <c r="O9910" s="549"/>
      <c r="P9910" s="549"/>
    </row>
    <row r="9911" spans="1:21" ht="17.399999999999999">
      <c r="A9911" s="547" t="s">
        <v>395</v>
      </c>
      <c r="B9911" s="547" t="s">
        <v>1105</v>
      </c>
      <c r="C9911" s="547" t="s">
        <v>446</v>
      </c>
      <c r="D9911" s="813" t="s">
        <v>450</v>
      </c>
      <c r="E9911" s="547" t="s">
        <v>270</v>
      </c>
      <c r="F9911" s="1349">
        <v>12</v>
      </c>
      <c r="G9911" s="549" t="s">
        <v>61</v>
      </c>
      <c r="H9911" s="599" t="s">
        <v>97</v>
      </c>
      <c r="I9911" s="558">
        <v>10.199999999999999</v>
      </c>
      <c r="J9911" s="567">
        <v>7</v>
      </c>
      <c r="K9911" s="648">
        <v>65</v>
      </c>
      <c r="L9911" s="552">
        <f t="shared" ref="L9911:L9912" si="2036">(I9911*J9911*K9911/1000)</f>
        <v>4.6409999999999991</v>
      </c>
      <c r="M9911" s="549"/>
      <c r="N9911" s="549"/>
      <c r="O9911" s="549"/>
      <c r="P9911" s="549"/>
      <c r="Q9911" s="1358">
        <v>24</v>
      </c>
      <c r="R9911" s="497">
        <f>J9911*Q9911*I9911/1000</f>
        <v>1.7136</v>
      </c>
      <c r="T9911" s="1358" t="s">
        <v>1229</v>
      </c>
      <c r="U9911" s="1358"/>
    </row>
    <row r="9912" spans="1:21" ht="17.399999999999999">
      <c r="A9912" s="549"/>
      <c r="B9912" s="549"/>
      <c r="C9912" s="549"/>
      <c r="D9912" s="549"/>
      <c r="E9912" s="549"/>
      <c r="F9912" s="549"/>
      <c r="G9912" s="549" t="s">
        <v>61</v>
      </c>
      <c r="H9912" s="549" t="s">
        <v>97</v>
      </c>
      <c r="I9912" s="558">
        <v>10.199999999999999</v>
      </c>
      <c r="J9912" s="567">
        <v>7.55</v>
      </c>
      <c r="K9912" s="648">
        <v>32</v>
      </c>
      <c r="L9912" s="552">
        <f t="shared" si="2036"/>
        <v>2.4643199999999998</v>
      </c>
      <c r="M9912" s="549"/>
      <c r="N9912" s="549"/>
      <c r="O9912" s="549"/>
      <c r="P9912" s="549"/>
      <c r="Q9912" s="497">
        <f>16+2+1</f>
        <v>19</v>
      </c>
      <c r="R9912" s="1358">
        <f>J9912*Q9912*I9912/1000</f>
        <v>1.4631899999999998</v>
      </c>
      <c r="T9912" s="1358"/>
      <c r="U9912" s="1358"/>
    </row>
    <row r="9913" spans="1:21" ht="17.399999999999999">
      <c r="A9913" s="549"/>
      <c r="B9913" s="549"/>
      <c r="C9913" s="549"/>
      <c r="D9913" s="549"/>
      <c r="E9913" s="549"/>
      <c r="F9913" s="549"/>
      <c r="G9913" s="549"/>
      <c r="H9913" s="549"/>
      <c r="I9913" s="558"/>
      <c r="J9913" s="567"/>
      <c r="K9913" s="648">
        <f t="shared" ref="K9913:L9913" si="2037">SUM(K9911:K9912)</f>
        <v>97</v>
      </c>
      <c r="L9913" s="567">
        <f t="shared" si="2037"/>
        <v>7.105319999999999</v>
      </c>
      <c r="M9913" s="549"/>
      <c r="N9913" s="549"/>
      <c r="O9913" s="549"/>
      <c r="P9913" s="549"/>
      <c r="Q9913" s="648">
        <f>SUM(Q9911:Q9912)</f>
        <v>43</v>
      </c>
      <c r="R9913" s="567">
        <f>SUM(R9911:R9912)</f>
        <v>3.1767899999999996</v>
      </c>
      <c r="T9913" s="1358"/>
      <c r="U9913" s="1358"/>
    </row>
    <row r="9914" spans="1:21" s="1358" customFormat="1" ht="17.399999999999999">
      <c r="A9914" s="549"/>
      <c r="B9914" s="549"/>
      <c r="C9914" s="549"/>
      <c r="D9914" s="549"/>
      <c r="E9914" s="549"/>
      <c r="F9914" s="549"/>
      <c r="G9914" s="549"/>
      <c r="H9914" s="549"/>
      <c r="I9914" s="558"/>
      <c r="J9914" s="567"/>
      <c r="K9914" s="648"/>
      <c r="L9914" s="567"/>
      <c r="M9914" s="549"/>
      <c r="N9914" s="549"/>
      <c r="O9914" s="549"/>
      <c r="P9914" s="549"/>
    </row>
    <row r="9915" spans="1:21" ht="17.399999999999999">
      <c r="A9915" s="547" t="s">
        <v>395</v>
      </c>
      <c r="B9915" s="547" t="s">
        <v>1106</v>
      </c>
      <c r="C9915" s="547" t="s">
        <v>446</v>
      </c>
      <c r="D9915" s="813" t="s">
        <v>450</v>
      </c>
      <c r="E9915" s="547" t="s">
        <v>270</v>
      </c>
      <c r="F9915" s="1376">
        <v>12</v>
      </c>
      <c r="G9915" s="549" t="s">
        <v>61</v>
      </c>
      <c r="H9915" s="599" t="s">
        <v>97</v>
      </c>
      <c r="I9915" s="558">
        <v>10.199999999999999</v>
      </c>
      <c r="J9915" s="567">
        <v>7</v>
      </c>
      <c r="K9915" s="648">
        <v>16</v>
      </c>
      <c r="L9915" s="552">
        <f t="shared" ref="L9915:L9916" si="2038">(I9915*J9915*K9915/1000)</f>
        <v>1.1423999999999999</v>
      </c>
      <c r="M9915" s="549"/>
      <c r="N9915" s="549"/>
      <c r="O9915" s="549"/>
      <c r="P9915" s="549"/>
      <c r="Q9915" s="1358"/>
      <c r="T9915" s="1358" t="s">
        <v>1229</v>
      </c>
      <c r="U9915" s="1358"/>
    </row>
    <row r="9916" spans="1:21" ht="17.399999999999999">
      <c r="A9916" s="549"/>
      <c r="B9916" s="549"/>
      <c r="C9916" s="549"/>
      <c r="D9916" s="549"/>
      <c r="E9916" s="549"/>
      <c r="F9916" s="549"/>
      <c r="G9916" s="549" t="s">
        <v>61</v>
      </c>
      <c r="H9916" s="549" t="s">
        <v>97</v>
      </c>
      <c r="I9916" s="558">
        <v>10.199999999999999</v>
      </c>
      <c r="J9916" s="567">
        <v>7.7</v>
      </c>
      <c r="K9916" s="648">
        <v>8</v>
      </c>
      <c r="L9916" s="552">
        <f t="shared" si="2038"/>
        <v>0.62831999999999999</v>
      </c>
      <c r="M9916" s="549"/>
      <c r="N9916" s="549"/>
      <c r="O9916" s="549"/>
      <c r="P9916" s="549"/>
      <c r="T9916" s="1358"/>
      <c r="U9916" s="1358"/>
    </row>
    <row r="9917" spans="1:21" ht="17.399999999999999">
      <c r="A9917" s="549"/>
      <c r="B9917" s="549"/>
      <c r="C9917" s="549"/>
      <c r="D9917" s="549"/>
      <c r="E9917" s="549"/>
      <c r="F9917" s="549"/>
      <c r="G9917" s="549"/>
      <c r="H9917" s="549"/>
      <c r="I9917" s="558"/>
      <c r="J9917" s="567"/>
      <c r="K9917" s="648">
        <f t="shared" ref="K9917:L9917" si="2039">SUM(K9915:K9916)</f>
        <v>24</v>
      </c>
      <c r="L9917" s="567">
        <f t="shared" si="2039"/>
        <v>1.7707199999999998</v>
      </c>
      <c r="M9917" s="549"/>
      <c r="N9917" s="549"/>
      <c r="O9917" s="549"/>
      <c r="P9917" s="549"/>
    </row>
    <row r="9918" spans="1:21" s="1358" customFormat="1" ht="17.399999999999999">
      <c r="A9918" s="549"/>
      <c r="B9918" s="549"/>
      <c r="C9918" s="549"/>
      <c r="D9918" s="549"/>
      <c r="E9918" s="549"/>
      <c r="F9918" s="549"/>
      <c r="G9918" s="549"/>
      <c r="H9918" s="549"/>
      <c r="I9918" s="558"/>
      <c r="J9918" s="567"/>
      <c r="K9918" s="648"/>
      <c r="L9918" s="567"/>
      <c r="M9918" s="549"/>
      <c r="N9918" s="549"/>
      <c r="O9918" s="549"/>
      <c r="P9918" s="549"/>
    </row>
    <row r="9919" spans="1:21" s="1358" customFormat="1" ht="17.399999999999999">
      <c r="A9919" s="547" t="s">
        <v>332</v>
      </c>
      <c r="B9919" s="755" t="s">
        <v>73</v>
      </c>
      <c r="C9919" s="547" t="s">
        <v>446</v>
      </c>
      <c r="D9919" s="813" t="s">
        <v>450</v>
      </c>
      <c r="E9919" s="547" t="s">
        <v>270</v>
      </c>
      <c r="F9919" s="1376">
        <v>12</v>
      </c>
      <c r="G9919" s="549" t="s">
        <v>61</v>
      </c>
      <c r="H9919" s="828" t="s">
        <v>97</v>
      </c>
      <c r="I9919" s="558">
        <v>10.199999999999999</v>
      </c>
      <c r="J9919" s="567">
        <v>8.1999999999999993</v>
      </c>
      <c r="K9919" s="648">
        <v>10</v>
      </c>
      <c r="L9919" s="552">
        <f t="shared" ref="L9919" si="2040">(I9919*J9919*K9919/1000)</f>
        <v>0.83639999999999981</v>
      </c>
      <c r="M9919" s="549"/>
      <c r="N9919" s="549"/>
      <c r="O9919" s="549"/>
      <c r="P9919" s="549"/>
    </row>
    <row r="9920" spans="1:21" s="1358" customFormat="1" ht="17.399999999999999">
      <c r="A9920" s="549"/>
      <c r="B9920" s="964" t="s">
        <v>718</v>
      </c>
      <c r="C9920" s="549"/>
      <c r="D9920" s="549"/>
      <c r="E9920" s="549"/>
      <c r="F9920" s="549"/>
      <c r="G9920" s="549"/>
      <c r="H9920" s="549"/>
      <c r="I9920" s="558"/>
      <c r="J9920" s="567"/>
      <c r="K9920" s="648">
        <f t="shared" ref="K9920" si="2041">SUM(K9919)</f>
        <v>10</v>
      </c>
      <c r="L9920" s="567">
        <f>SUM(L9919)</f>
        <v>0.83639999999999981</v>
      </c>
      <c r="M9920" s="549"/>
      <c r="N9920" s="549"/>
      <c r="O9920" s="549"/>
      <c r="P9920" s="549"/>
    </row>
    <row r="9921" spans="1:17" s="1358" customFormat="1" ht="17.399999999999999">
      <c r="A9921" s="549"/>
      <c r="B9921" s="549"/>
      <c r="C9921" s="549"/>
      <c r="D9921" s="549"/>
      <c r="E9921" s="549"/>
      <c r="F9921" s="549"/>
      <c r="G9921" s="549"/>
      <c r="H9921" s="549"/>
      <c r="I9921" s="558"/>
      <c r="J9921" s="567"/>
      <c r="K9921" s="648">
        <f>SUM(K9911:K9920)/2</f>
        <v>131</v>
      </c>
      <c r="L9921" s="567">
        <f>SUM(L9911:L9920)/2</f>
        <v>9.7124400000000009</v>
      </c>
      <c r="M9921" s="549"/>
      <c r="N9921" s="549"/>
      <c r="O9921" s="549"/>
      <c r="P9921" s="549" t="s">
        <v>1161</v>
      </c>
    </row>
    <row r="9922" spans="1:17" s="1358" customFormat="1" ht="17.399999999999999">
      <c r="A9922" s="549"/>
      <c r="B9922" s="549"/>
      <c r="C9922" s="549"/>
      <c r="D9922" s="549"/>
      <c r="E9922" s="549"/>
      <c r="F9922" s="549"/>
      <c r="G9922" s="549"/>
      <c r="H9922" s="549"/>
      <c r="I9922" s="558"/>
      <c r="J9922" s="567"/>
      <c r="K9922" s="648"/>
      <c r="L9922" s="567"/>
      <c r="M9922" s="549"/>
      <c r="N9922" s="549"/>
      <c r="O9922" s="549"/>
      <c r="P9922" s="549"/>
    </row>
    <row r="9923" spans="1:17" s="1358" customFormat="1" ht="17.399999999999999">
      <c r="A9923" s="549"/>
      <c r="B9923" s="549"/>
      <c r="C9923" s="549"/>
      <c r="D9923" s="549"/>
      <c r="E9923" s="549"/>
      <c r="F9923" s="549"/>
      <c r="G9923" s="549"/>
      <c r="H9923" s="549"/>
      <c r="I9923" s="558"/>
      <c r="J9923" s="567"/>
      <c r="K9923" s="648"/>
      <c r="L9923" s="567"/>
      <c r="M9923" s="549"/>
      <c r="N9923" s="549"/>
      <c r="O9923" s="549"/>
      <c r="P9923" s="549"/>
    </row>
    <row r="9924" spans="1:17" s="1358" customFormat="1" ht="17.399999999999999">
      <c r="A9924" s="549"/>
      <c r="B9924" s="549"/>
      <c r="C9924" s="549"/>
      <c r="D9924" s="549"/>
      <c r="E9924" s="549"/>
      <c r="F9924" s="549"/>
      <c r="G9924" s="549"/>
      <c r="H9924" s="549"/>
      <c r="I9924" s="558"/>
      <c r="J9924" s="567"/>
      <c r="K9924" s="648"/>
      <c r="L9924" s="567"/>
      <c r="M9924" s="549"/>
      <c r="N9924" s="549"/>
      <c r="O9924" s="549"/>
      <c r="P9924" s="549"/>
    </row>
    <row r="9925" spans="1:17" ht="17.399999999999999">
      <c r="A9925" s="547" t="s">
        <v>395</v>
      </c>
      <c r="B9925" s="547" t="s">
        <v>1105</v>
      </c>
      <c r="C9925" s="547" t="s">
        <v>446</v>
      </c>
      <c r="D9925" s="813" t="s">
        <v>450</v>
      </c>
      <c r="E9925" s="547" t="s">
        <v>270</v>
      </c>
      <c r="F9925" s="1349">
        <v>10</v>
      </c>
      <c r="G9925" s="549" t="s">
        <v>61</v>
      </c>
      <c r="H9925" s="599" t="s">
        <v>95</v>
      </c>
      <c r="I9925" s="558">
        <v>13.4</v>
      </c>
      <c r="J9925" s="567">
        <v>11.1</v>
      </c>
      <c r="K9925" s="648">
        <v>48</v>
      </c>
      <c r="L9925" s="552">
        <f>(I9925*J9925*K9925/1000)</f>
        <v>7.1395200000000001</v>
      </c>
      <c r="M9925" s="549"/>
      <c r="N9925" s="549"/>
      <c r="O9925" s="549"/>
      <c r="P9925" s="549"/>
      <c r="Q9925" s="1358" t="s">
        <v>1229</v>
      </c>
    </row>
    <row r="9926" spans="1:17" ht="17.399999999999999">
      <c r="A9926" s="549"/>
      <c r="B9926" s="549"/>
      <c r="C9926" s="549"/>
      <c r="D9926" s="549"/>
      <c r="E9926" s="549"/>
      <c r="F9926" s="549"/>
      <c r="G9926" s="549"/>
      <c r="H9926" s="549"/>
      <c r="I9926" s="558"/>
      <c r="J9926" s="567"/>
      <c r="K9926" s="648">
        <f t="shared" ref="K9926:L9926" si="2042">SUM(K9925)</f>
        <v>48</v>
      </c>
      <c r="L9926" s="567">
        <f t="shared" si="2042"/>
        <v>7.1395200000000001</v>
      </c>
      <c r="M9926" s="549"/>
      <c r="N9926" s="549"/>
      <c r="O9926" s="549"/>
      <c r="P9926" s="549"/>
    </row>
    <row r="9927" spans="1:17" ht="17.399999999999999">
      <c r="A9927" s="549"/>
      <c r="B9927" s="549"/>
      <c r="C9927" s="549"/>
      <c r="D9927" s="549"/>
      <c r="E9927" s="549"/>
      <c r="F9927" s="549"/>
      <c r="G9927" s="549"/>
      <c r="H9927" s="549"/>
      <c r="I9927" s="558"/>
      <c r="J9927" s="549"/>
      <c r="K9927" s="561"/>
      <c r="L9927" s="560"/>
      <c r="M9927" s="549"/>
      <c r="N9927" s="549"/>
      <c r="O9927" s="549"/>
      <c r="P9927" s="549"/>
    </row>
    <row r="9928" spans="1:17" ht="17.399999999999999">
      <c r="A9928" s="547" t="s">
        <v>395</v>
      </c>
      <c r="B9928" s="547" t="s">
        <v>1015</v>
      </c>
      <c r="C9928" s="547" t="s">
        <v>446</v>
      </c>
      <c r="D9928" s="813" t="s">
        <v>450</v>
      </c>
      <c r="E9928" s="547" t="s">
        <v>270</v>
      </c>
      <c r="F9928" s="1376">
        <v>10</v>
      </c>
      <c r="G9928" s="549" t="s">
        <v>61</v>
      </c>
      <c r="H9928" s="599" t="s">
        <v>95</v>
      </c>
      <c r="I9928" s="558">
        <v>13.4</v>
      </c>
      <c r="J9928" s="567">
        <v>10.5</v>
      </c>
      <c r="K9928" s="648">
        <v>215</v>
      </c>
      <c r="L9928" s="552">
        <f t="shared" ref="L9928:L9929" si="2043">(I9928*J9928*K9928/1000)</f>
        <v>30.250500000000002</v>
      </c>
      <c r="M9928" s="549">
        <v>4</v>
      </c>
      <c r="N9928" s="567">
        <f t="shared" ref="N9928:N9929" si="2044">J9928*M9928*I9928/1000</f>
        <v>0.56280000000000008</v>
      </c>
      <c r="O9928" s="549"/>
      <c r="P9928" s="549"/>
      <c r="Q9928" s="1358" t="s">
        <v>1229</v>
      </c>
    </row>
    <row r="9929" spans="1:17" ht="17.399999999999999">
      <c r="A9929" s="549"/>
      <c r="B9929" s="549"/>
      <c r="C9929" s="549"/>
      <c r="D9929" s="549"/>
      <c r="E9929" s="549"/>
      <c r="F9929" s="549"/>
      <c r="G9929" s="549" t="s">
        <v>61</v>
      </c>
      <c r="H9929" s="549" t="s">
        <v>95</v>
      </c>
      <c r="I9929" s="558">
        <v>13.4</v>
      </c>
      <c r="J9929" s="567">
        <v>12</v>
      </c>
      <c r="K9929" s="648">
        <v>77</v>
      </c>
      <c r="L9929" s="552">
        <f t="shared" si="2043"/>
        <v>12.381600000000001</v>
      </c>
      <c r="M9929" s="549">
        <v>14</v>
      </c>
      <c r="N9929" s="567">
        <f t="shared" si="2044"/>
        <v>2.2512000000000003</v>
      </c>
      <c r="O9929" s="549"/>
      <c r="P9929" s="549"/>
    </row>
    <row r="9930" spans="1:17" ht="17.399999999999999">
      <c r="A9930" s="549"/>
      <c r="B9930" s="549"/>
      <c r="C9930" s="549"/>
      <c r="D9930" s="549"/>
      <c r="E9930" s="549"/>
      <c r="F9930" s="549"/>
      <c r="G9930" s="549"/>
      <c r="H9930" s="549"/>
      <c r="I9930" s="558"/>
      <c r="J9930" s="567"/>
      <c r="K9930" s="648">
        <f t="shared" ref="K9930:N9930" si="2045">SUM(K9928:K9929)</f>
        <v>292</v>
      </c>
      <c r="L9930" s="567">
        <f t="shared" si="2045"/>
        <v>42.632100000000001</v>
      </c>
      <c r="M9930" s="648">
        <f t="shared" si="2045"/>
        <v>18</v>
      </c>
      <c r="N9930" s="567">
        <f t="shared" si="2045"/>
        <v>2.8140000000000005</v>
      </c>
      <c r="O9930" s="549"/>
      <c r="P9930" s="549"/>
    </row>
    <row r="9931" spans="1:17" ht="17.399999999999999">
      <c r="A9931" s="549"/>
      <c r="B9931" s="549"/>
      <c r="C9931" s="549"/>
      <c r="D9931" s="549"/>
      <c r="E9931" s="549"/>
      <c r="F9931" s="549"/>
      <c r="G9931" s="549"/>
      <c r="H9931" s="549"/>
      <c r="I9931" s="558"/>
      <c r="J9931" s="549"/>
      <c r="K9931" s="561"/>
      <c r="L9931" s="560"/>
      <c r="M9931" s="549"/>
      <c r="N9931" s="549"/>
      <c r="O9931" s="549"/>
      <c r="P9931" s="549"/>
    </row>
    <row r="9932" spans="1:17" ht="17.399999999999999">
      <c r="A9932" s="547" t="s">
        <v>395</v>
      </c>
      <c r="B9932" s="547" t="s">
        <v>1106</v>
      </c>
      <c r="C9932" s="547" t="s">
        <v>446</v>
      </c>
      <c r="D9932" s="813" t="s">
        <v>450</v>
      </c>
      <c r="E9932" s="547" t="s">
        <v>270</v>
      </c>
      <c r="F9932" s="1376">
        <v>10</v>
      </c>
      <c r="G9932" s="549" t="s">
        <v>61</v>
      </c>
      <c r="H9932" s="599" t="s">
        <v>95</v>
      </c>
      <c r="I9932" s="558">
        <v>13.4</v>
      </c>
      <c r="J9932" s="567">
        <v>11.1</v>
      </c>
      <c r="K9932" s="648">
        <v>2</v>
      </c>
      <c r="L9932" s="552">
        <f>(I9932*J9932*K9932/1000)</f>
        <v>0.29748000000000002</v>
      </c>
      <c r="M9932" s="549"/>
      <c r="N9932" s="549"/>
      <c r="O9932" s="549"/>
      <c r="P9932" s="549"/>
      <c r="Q9932" s="1358" t="s">
        <v>1229</v>
      </c>
    </row>
    <row r="9933" spans="1:17" ht="17.399999999999999">
      <c r="A9933" s="549"/>
      <c r="B9933" s="549"/>
      <c r="C9933" s="549"/>
      <c r="D9933" s="549"/>
      <c r="E9933" s="549"/>
      <c r="F9933" s="549"/>
      <c r="G9933" s="549"/>
      <c r="H9933" s="549"/>
      <c r="I9933" s="558"/>
      <c r="J9933" s="567"/>
      <c r="K9933" s="648">
        <f>SUM(K9932)</f>
        <v>2</v>
      </c>
      <c r="L9933" s="567">
        <f>SUM(L9932)</f>
        <v>0.29748000000000002</v>
      </c>
      <c r="M9933" s="549"/>
      <c r="N9933" s="549"/>
      <c r="O9933" s="549"/>
      <c r="P9933" s="549"/>
    </row>
    <row r="9934" spans="1:17" ht="17.399999999999999">
      <c r="A9934" s="549"/>
      <c r="B9934" s="549"/>
      <c r="C9934" s="549"/>
      <c r="D9934" s="549"/>
      <c r="E9934" s="549"/>
      <c r="F9934" s="549"/>
      <c r="G9934" s="549"/>
      <c r="H9934" s="549"/>
      <c r="I9934" s="558"/>
      <c r="J9934" s="549"/>
      <c r="K9934" s="652">
        <f>SUM(K9925:K9933)/2</f>
        <v>342</v>
      </c>
      <c r="L9934" s="565">
        <f>SUM(L9925:L9933)/2</f>
        <v>50.069099999999992</v>
      </c>
      <c r="M9934" s="652">
        <f>SUM(M9925:M9933)/2</f>
        <v>18</v>
      </c>
      <c r="N9934" s="565">
        <f>SUM(N9925:N9933)/2</f>
        <v>2.8140000000000005</v>
      </c>
      <c r="O9934" s="549"/>
      <c r="P9934" s="549" t="s">
        <v>1162</v>
      </c>
    </row>
    <row r="9935" spans="1:17" s="1358" customFormat="1" ht="17.399999999999999">
      <c r="A9935" s="549"/>
      <c r="B9935" s="549"/>
      <c r="C9935" s="549"/>
      <c r="D9935" s="549"/>
      <c r="E9935" s="549"/>
      <c r="F9935" s="549"/>
      <c r="G9935" s="549"/>
      <c r="H9935" s="549"/>
      <c r="I9935" s="558"/>
      <c r="J9935" s="549"/>
      <c r="K9935" s="561"/>
      <c r="L9935" s="565"/>
      <c r="M9935" s="549"/>
      <c r="N9935" s="549"/>
      <c r="O9935" s="549"/>
      <c r="P9935" s="549"/>
    </row>
    <row r="9936" spans="1:17" s="1358" customFormat="1" ht="17.399999999999999">
      <c r="A9936" s="549"/>
      <c r="B9936" s="549"/>
      <c r="C9936" s="549"/>
      <c r="D9936" s="549"/>
      <c r="E9936" s="549"/>
      <c r="F9936" s="549"/>
      <c r="G9936" s="549"/>
      <c r="H9936" s="549"/>
      <c r="I9936" s="558"/>
      <c r="J9936" s="567"/>
      <c r="K9936" s="648"/>
      <c r="L9936" s="567"/>
      <c r="M9936" s="549"/>
      <c r="N9936" s="549"/>
      <c r="O9936" s="549"/>
      <c r="P9936" s="549"/>
    </row>
    <row r="9937" spans="1:17" s="1358" customFormat="1" ht="17.399999999999999">
      <c r="A9937" s="549"/>
      <c r="B9937" s="549"/>
      <c r="C9937" s="549"/>
      <c r="D9937" s="549"/>
      <c r="E9937" s="549"/>
      <c r="F9937" s="549"/>
      <c r="G9937" s="549"/>
      <c r="H9937" s="549"/>
      <c r="I9937" s="558"/>
      <c r="J9937" s="567"/>
      <c r="K9937" s="648"/>
      <c r="L9937" s="567"/>
      <c r="M9937" s="549"/>
      <c r="N9937" s="549"/>
      <c r="O9937" s="549"/>
      <c r="P9937" s="549"/>
    </row>
    <row r="9938" spans="1:17" s="1358" customFormat="1" ht="17.399999999999999">
      <c r="A9938" s="549"/>
      <c r="B9938" s="549"/>
      <c r="C9938" s="549"/>
      <c r="D9938" s="549"/>
      <c r="E9938" s="549"/>
      <c r="F9938" s="549"/>
      <c r="G9938" s="549"/>
      <c r="H9938" s="549"/>
      <c r="I9938" s="558"/>
      <c r="J9938" s="567"/>
      <c r="K9938" s="648"/>
      <c r="L9938" s="567"/>
      <c r="M9938" s="549"/>
      <c r="N9938" s="549"/>
      <c r="O9938" s="549"/>
      <c r="P9938" s="549"/>
    </row>
    <row r="9939" spans="1:17" s="1358" customFormat="1" ht="17.399999999999999">
      <c r="A9939" s="547" t="s">
        <v>395</v>
      </c>
      <c r="B9939" s="547" t="s">
        <v>1105</v>
      </c>
      <c r="C9939" s="547" t="s">
        <v>446</v>
      </c>
      <c r="D9939" s="813" t="s">
        <v>447</v>
      </c>
      <c r="E9939" s="547" t="s">
        <v>359</v>
      </c>
      <c r="F9939" s="1398">
        <v>13</v>
      </c>
      <c r="G9939" s="549" t="s">
        <v>21</v>
      </c>
      <c r="H9939" s="599" t="s">
        <v>92</v>
      </c>
      <c r="I9939" s="558">
        <v>16.579999999999998</v>
      </c>
      <c r="J9939" s="567">
        <v>11</v>
      </c>
      <c r="K9939" s="648">
        <v>5</v>
      </c>
      <c r="L9939" s="552">
        <f>(I9939*J9939*K9939/1000)</f>
        <v>0.91189999999999993</v>
      </c>
      <c r="M9939" s="549">
        <v>5</v>
      </c>
      <c r="N9939" s="567">
        <f t="shared" ref="N9939" si="2046">J9939*M9939*I9939/1000</f>
        <v>0.91189999999999982</v>
      </c>
      <c r="O9939" s="549"/>
      <c r="P9939" s="549"/>
      <c r="Q9939" s="1358" t="s">
        <v>1229</v>
      </c>
    </row>
    <row r="9940" spans="1:17" s="1358" customFormat="1" ht="17.399999999999999">
      <c r="A9940" s="549"/>
      <c r="B9940" s="549"/>
      <c r="C9940" s="549"/>
      <c r="D9940" s="549"/>
      <c r="E9940" s="549"/>
      <c r="F9940" s="549"/>
      <c r="G9940" s="549"/>
      <c r="H9940" s="549"/>
      <c r="I9940" s="558"/>
      <c r="J9940" s="567"/>
      <c r="K9940" s="648">
        <f t="shared" ref="K9940:N9940" si="2047">SUM(K9939)</f>
        <v>5</v>
      </c>
      <c r="L9940" s="567">
        <f t="shared" si="2047"/>
        <v>0.91189999999999993</v>
      </c>
      <c r="M9940" s="648">
        <f t="shared" si="2047"/>
        <v>5</v>
      </c>
      <c r="N9940" s="567">
        <f t="shared" si="2047"/>
        <v>0.91189999999999982</v>
      </c>
      <c r="O9940" s="549"/>
      <c r="P9940" s="549"/>
    </row>
    <row r="9941" spans="1:17" s="1358" customFormat="1" ht="17.399999999999999">
      <c r="A9941" s="549"/>
      <c r="B9941" s="549"/>
      <c r="C9941" s="549"/>
      <c r="D9941" s="549"/>
      <c r="E9941" s="549"/>
      <c r="F9941" s="549"/>
      <c r="G9941" s="549"/>
      <c r="H9941" s="549"/>
      <c r="I9941" s="558"/>
      <c r="J9941" s="567"/>
      <c r="K9941" s="648"/>
      <c r="L9941" s="567"/>
      <c r="M9941" s="648"/>
      <c r="N9941" s="567"/>
      <c r="O9941" s="549"/>
      <c r="P9941" s="549"/>
    </row>
    <row r="9942" spans="1:17" ht="17.399999999999999">
      <c r="A9942" s="547" t="s">
        <v>395</v>
      </c>
      <c r="B9942" s="547" t="s">
        <v>1105</v>
      </c>
      <c r="C9942" s="547" t="s">
        <v>446</v>
      </c>
      <c r="D9942" s="813" t="s">
        <v>447</v>
      </c>
      <c r="E9942" s="547" t="s">
        <v>359</v>
      </c>
      <c r="F9942" s="1349">
        <v>13</v>
      </c>
      <c r="G9942" s="549" t="s">
        <v>21</v>
      </c>
      <c r="H9942" s="599" t="s">
        <v>92</v>
      </c>
      <c r="I9942" s="558">
        <v>16.579999999999998</v>
      </c>
      <c r="J9942" s="567">
        <v>8.25</v>
      </c>
      <c r="K9942" s="648">
        <v>2</v>
      </c>
      <c r="L9942" s="552">
        <f>(I9942*J9942*K9942/1000)</f>
        <v>0.27356999999999998</v>
      </c>
      <c r="M9942" s="549">
        <v>2</v>
      </c>
      <c r="N9942" s="567">
        <f t="shared" ref="N9942" si="2048">J9942*M9942*I9942/1000</f>
        <v>0.27356999999999998</v>
      </c>
      <c r="O9942" s="549"/>
      <c r="P9942" s="549"/>
      <c r="Q9942" s="1358" t="s">
        <v>1229</v>
      </c>
    </row>
    <row r="9943" spans="1:17" ht="17.399999999999999">
      <c r="A9943" s="549"/>
      <c r="B9943" s="549"/>
      <c r="C9943" s="549"/>
      <c r="D9943" s="549"/>
      <c r="E9943" s="549"/>
      <c r="F9943" s="549"/>
      <c r="G9943" s="549"/>
      <c r="H9943" s="549"/>
      <c r="I9943" s="558"/>
      <c r="J9943" s="567"/>
      <c r="K9943" s="648">
        <f t="shared" ref="K9943:N9943" si="2049">SUM(K9942)</f>
        <v>2</v>
      </c>
      <c r="L9943" s="567">
        <f t="shared" si="2049"/>
        <v>0.27356999999999998</v>
      </c>
      <c r="M9943" s="648">
        <f t="shared" si="2049"/>
        <v>2</v>
      </c>
      <c r="N9943" s="567">
        <f t="shared" si="2049"/>
        <v>0.27356999999999998</v>
      </c>
      <c r="O9943" s="549"/>
      <c r="P9943" s="549"/>
    </row>
    <row r="9944" spans="1:17" s="1358" customFormat="1" ht="17.399999999999999">
      <c r="A9944" s="549"/>
      <c r="B9944" s="549"/>
      <c r="C9944" s="549"/>
      <c r="D9944" s="549"/>
      <c r="E9944" s="549"/>
      <c r="F9944" s="1376"/>
      <c r="G9944" s="549"/>
      <c r="H9944" s="549"/>
      <c r="I9944" s="558"/>
      <c r="J9944" s="567"/>
      <c r="K9944" s="648"/>
      <c r="L9944" s="567"/>
      <c r="M9944" s="549"/>
      <c r="N9944" s="549"/>
      <c r="O9944" s="549"/>
      <c r="P9944" s="549"/>
    </row>
    <row r="9945" spans="1:17" ht="17.399999999999999">
      <c r="A9945" s="547" t="s">
        <v>523</v>
      </c>
      <c r="B9945" s="547" t="s">
        <v>1026</v>
      </c>
      <c r="C9945" s="547" t="s">
        <v>19</v>
      </c>
      <c r="D9945" s="547" t="s">
        <v>20</v>
      </c>
      <c r="E9945" s="547" t="s">
        <v>359</v>
      </c>
      <c r="F9945" s="1376">
        <v>13</v>
      </c>
      <c r="G9945" s="549" t="s">
        <v>21</v>
      </c>
      <c r="H9945" s="599" t="s">
        <v>1100</v>
      </c>
      <c r="I9945" s="558">
        <v>18.2</v>
      </c>
      <c r="J9945" s="567">
        <v>8.5</v>
      </c>
      <c r="K9945" s="648">
        <v>4</v>
      </c>
      <c r="L9945" s="552">
        <f>(I9945*J9945*K9945/1000)</f>
        <v>0.61879999999999991</v>
      </c>
      <c r="M9945" s="549">
        <v>4</v>
      </c>
      <c r="N9945" s="567">
        <f t="shared" ref="N9945" si="2050">J9945*M9945*I9945/1000</f>
        <v>0.61879999999999991</v>
      </c>
      <c r="O9945" s="549"/>
      <c r="P9945" s="549"/>
      <c r="Q9945" s="1358" t="s">
        <v>1229</v>
      </c>
    </row>
    <row r="9946" spans="1:17" ht="17.399999999999999">
      <c r="A9946" s="549"/>
      <c r="B9946" s="549" t="s">
        <v>277</v>
      </c>
      <c r="C9946" s="549"/>
      <c r="D9946" s="549"/>
      <c r="E9946" s="549"/>
      <c r="F9946" s="549"/>
      <c r="G9946" s="549"/>
      <c r="H9946" s="549"/>
      <c r="I9946" s="558"/>
      <c r="J9946" s="567"/>
      <c r="K9946" s="648">
        <f t="shared" ref="K9946:M9946" si="2051">SUM(K9945)</f>
        <v>4</v>
      </c>
      <c r="L9946" s="567">
        <f>SUM(L9945)</f>
        <v>0.61879999999999991</v>
      </c>
      <c r="M9946" s="648">
        <f t="shared" si="2051"/>
        <v>4</v>
      </c>
      <c r="N9946" s="567">
        <f>SUM(N9945)</f>
        <v>0.61879999999999991</v>
      </c>
      <c r="O9946" s="549"/>
      <c r="P9946" s="549"/>
    </row>
    <row r="9947" spans="1:17" s="1358" customFormat="1" ht="17.399999999999999">
      <c r="A9947" s="549"/>
      <c r="B9947" s="549"/>
      <c r="C9947" s="549"/>
      <c r="D9947" s="549"/>
      <c r="E9947" s="549"/>
      <c r="F9947" s="549"/>
      <c r="G9947" s="549"/>
      <c r="H9947" s="549"/>
      <c r="I9947" s="558"/>
      <c r="J9947" s="567"/>
      <c r="K9947" s="648"/>
      <c r="L9947" s="567"/>
      <c r="M9947" s="549"/>
      <c r="N9947" s="549"/>
      <c r="O9947" s="549"/>
      <c r="P9947" s="549"/>
    </row>
    <row r="9948" spans="1:17" s="1358" customFormat="1" ht="17.399999999999999">
      <c r="A9948" s="549"/>
      <c r="B9948" s="549"/>
      <c r="C9948" s="549"/>
      <c r="D9948" s="549"/>
      <c r="E9948" s="549"/>
      <c r="F9948" s="549"/>
      <c r="G9948" s="549"/>
      <c r="H9948" s="549"/>
      <c r="I9948" s="558"/>
      <c r="J9948" s="567"/>
      <c r="K9948" s="648"/>
      <c r="L9948" s="567"/>
      <c r="M9948" s="549"/>
      <c r="N9948" s="549"/>
      <c r="O9948" s="549"/>
      <c r="P9948" s="549"/>
    </row>
    <row r="9949" spans="1:17" ht="17.399999999999999">
      <c r="A9949" s="547" t="s">
        <v>523</v>
      </c>
      <c r="B9949" s="547" t="s">
        <v>1026</v>
      </c>
      <c r="C9949" s="547" t="s">
        <v>19</v>
      </c>
      <c r="D9949" s="547" t="s">
        <v>20</v>
      </c>
      <c r="E9949" s="547" t="s">
        <v>359</v>
      </c>
      <c r="F9949" s="1376">
        <v>13</v>
      </c>
      <c r="G9949" s="549" t="s">
        <v>21</v>
      </c>
      <c r="H9949" s="599" t="s">
        <v>494</v>
      </c>
      <c r="I9949" s="558">
        <v>19.68</v>
      </c>
      <c r="J9949" s="567">
        <v>9</v>
      </c>
      <c r="K9949" s="648">
        <v>4</v>
      </c>
      <c r="L9949" s="552">
        <f>(I9949*J9949*K9949/1000)</f>
        <v>0.70848</v>
      </c>
      <c r="M9949" s="549">
        <v>4</v>
      </c>
      <c r="N9949" s="567">
        <f t="shared" ref="N9949" si="2052">J9949*M9949*I9949/1000</f>
        <v>0.70848</v>
      </c>
      <c r="O9949" s="549"/>
      <c r="P9949" s="549"/>
      <c r="Q9949" s="1358" t="s">
        <v>1229</v>
      </c>
    </row>
    <row r="9950" spans="1:17" ht="17.399999999999999">
      <c r="A9950" s="549"/>
      <c r="B9950" s="549" t="s">
        <v>1027</v>
      </c>
      <c r="C9950" s="549"/>
      <c r="D9950" s="549"/>
      <c r="E9950" s="549"/>
      <c r="F9950" s="549"/>
      <c r="G9950" s="549"/>
      <c r="H9950" s="549"/>
      <c r="I9950" s="558"/>
      <c r="J9950" s="567"/>
      <c r="K9950" s="648">
        <f t="shared" ref="K9950:N9950" si="2053">SUM(K9949)</f>
        <v>4</v>
      </c>
      <c r="L9950" s="567">
        <f t="shared" si="2053"/>
        <v>0.70848</v>
      </c>
      <c r="M9950" s="648">
        <f t="shared" si="2053"/>
        <v>4</v>
      </c>
      <c r="N9950" s="567">
        <f t="shared" si="2053"/>
        <v>0.70848</v>
      </c>
      <c r="O9950" s="549"/>
      <c r="P9950" s="549"/>
    </row>
    <row r="9951" spans="1:17" s="1358" customFormat="1" ht="17.399999999999999">
      <c r="A9951" s="549"/>
      <c r="B9951" s="549"/>
      <c r="C9951" s="549"/>
      <c r="D9951" s="549"/>
      <c r="E9951" s="549"/>
      <c r="F9951" s="549"/>
      <c r="G9951" s="549"/>
      <c r="H9951" s="549"/>
      <c r="I9951" s="558"/>
      <c r="J9951" s="567"/>
      <c r="K9951" s="648"/>
      <c r="L9951" s="567"/>
      <c r="M9951" s="549"/>
      <c r="N9951" s="549"/>
      <c r="O9951" s="549"/>
      <c r="P9951" s="549"/>
    </row>
    <row r="9952" spans="1:17" ht="17.399999999999999">
      <c r="A9952" s="547" t="s">
        <v>523</v>
      </c>
      <c r="B9952" s="547" t="s">
        <v>1026</v>
      </c>
      <c r="C9952" s="547" t="s">
        <v>19</v>
      </c>
      <c r="D9952" s="547" t="s">
        <v>20</v>
      </c>
      <c r="E9952" s="547" t="s">
        <v>359</v>
      </c>
      <c r="F9952" s="1349">
        <v>12</v>
      </c>
      <c r="G9952" s="549" t="s">
        <v>21</v>
      </c>
      <c r="H9952" s="599" t="s">
        <v>99</v>
      </c>
      <c r="I9952" s="558">
        <v>15</v>
      </c>
      <c r="J9952" s="567">
        <v>10</v>
      </c>
      <c r="K9952" s="648">
        <v>9</v>
      </c>
      <c r="L9952" s="552">
        <f>(I9952*J9952*K9952/1000)</f>
        <v>1.35</v>
      </c>
      <c r="M9952" s="549">
        <v>9</v>
      </c>
      <c r="N9952" s="567">
        <f t="shared" ref="N9952" si="2054">J9952*M9952*I9952/1000</f>
        <v>1.35</v>
      </c>
      <c r="O9952" s="549"/>
      <c r="P9952" s="549"/>
      <c r="Q9952" s="1358" t="s">
        <v>1229</v>
      </c>
    </row>
    <row r="9953" spans="1:17" ht="17.399999999999999">
      <c r="A9953" s="549"/>
      <c r="B9953" s="549" t="s">
        <v>277</v>
      </c>
      <c r="C9953" s="549"/>
      <c r="D9953" s="549"/>
      <c r="E9953" s="549"/>
      <c r="F9953" s="549"/>
      <c r="G9953" s="549"/>
      <c r="H9953" s="549"/>
      <c r="I9953" s="558"/>
      <c r="J9953" s="567"/>
      <c r="K9953" s="648">
        <f t="shared" ref="K9953:M9953" si="2055">SUM(K9952)</f>
        <v>9</v>
      </c>
      <c r="L9953" s="567">
        <f>SUM(L9952)</f>
        <v>1.35</v>
      </c>
      <c r="M9953" s="648">
        <f t="shared" si="2055"/>
        <v>9</v>
      </c>
      <c r="N9953" s="567">
        <f>SUM(N9952)</f>
        <v>1.35</v>
      </c>
      <c r="O9953" s="549"/>
      <c r="P9953" s="549"/>
    </row>
    <row r="9954" spans="1:17" ht="17.399999999999999">
      <c r="A9954" s="549"/>
      <c r="B9954" s="549"/>
      <c r="C9954" s="549"/>
      <c r="D9954" s="549"/>
      <c r="E9954" s="549"/>
      <c r="F9954" s="549"/>
      <c r="G9954" s="549"/>
      <c r="H9954" s="549"/>
      <c r="I9954" s="558"/>
      <c r="J9954" s="549"/>
      <c r="K9954" s="561"/>
      <c r="L9954" s="560"/>
      <c r="M9954" s="549"/>
      <c r="N9954" s="549"/>
      <c r="O9954" s="549"/>
      <c r="P9954" s="549"/>
    </row>
    <row r="9955" spans="1:17" ht="17.399999999999999">
      <c r="A9955" s="549"/>
      <c r="B9955" s="549"/>
      <c r="C9955" s="549"/>
      <c r="D9955" s="549"/>
      <c r="E9955" s="549"/>
      <c r="F9955" s="549"/>
      <c r="G9955" s="549"/>
      <c r="H9955" s="549"/>
      <c r="I9955" s="558"/>
      <c r="J9955" s="549"/>
      <c r="K9955" s="561"/>
      <c r="L9955" s="560"/>
      <c r="M9955" s="549"/>
      <c r="N9955" s="549"/>
      <c r="O9955" s="549"/>
      <c r="P9955" s="549"/>
    </row>
    <row r="9956" spans="1:17" ht="17.399999999999999">
      <c r="A9956" s="547" t="s">
        <v>395</v>
      </c>
      <c r="B9956" s="547" t="s">
        <v>1105</v>
      </c>
      <c r="C9956" s="547" t="s">
        <v>446</v>
      </c>
      <c r="D9956" s="813" t="s">
        <v>450</v>
      </c>
      <c r="E9956" s="547" t="s">
        <v>270</v>
      </c>
      <c r="F9956" s="1349">
        <v>12</v>
      </c>
      <c r="G9956" s="549" t="s">
        <v>61</v>
      </c>
      <c r="H9956" s="599" t="s">
        <v>98</v>
      </c>
      <c r="I9956" s="558">
        <v>11.8</v>
      </c>
      <c r="J9956" s="567">
        <v>7.6</v>
      </c>
      <c r="K9956" s="648">
        <v>3</v>
      </c>
      <c r="L9956" s="552">
        <f>(I9956*J9956*K9956/1000)</f>
        <v>0.26904</v>
      </c>
      <c r="M9956" s="549">
        <v>3</v>
      </c>
      <c r="N9956" s="567">
        <f t="shared" ref="N9956" si="2056">J9956*M9956*I9956/1000</f>
        <v>0.26903999999999995</v>
      </c>
      <c r="O9956" s="549"/>
      <c r="P9956" s="549"/>
      <c r="Q9956" s="1358" t="s">
        <v>1229</v>
      </c>
    </row>
    <row r="9957" spans="1:17" ht="17.399999999999999">
      <c r="A9957" s="549"/>
      <c r="B9957" s="549"/>
      <c r="C9957" s="549"/>
      <c r="D9957" s="549"/>
      <c r="E9957" s="549"/>
      <c r="F9957" s="549"/>
      <c r="G9957" s="549"/>
      <c r="H9957" s="549"/>
      <c r="I9957" s="558"/>
      <c r="J9957" s="567"/>
      <c r="K9957" s="648">
        <f t="shared" ref="K9957:N9957" si="2057">SUM(K9956)</f>
        <v>3</v>
      </c>
      <c r="L9957" s="567">
        <f t="shared" si="2057"/>
        <v>0.26904</v>
      </c>
      <c r="M9957" s="648">
        <f t="shared" si="2057"/>
        <v>3</v>
      </c>
      <c r="N9957" s="567">
        <f t="shared" si="2057"/>
        <v>0.26903999999999995</v>
      </c>
      <c r="O9957" s="549"/>
      <c r="P9957" s="549"/>
    </row>
    <row r="9958" spans="1:17" s="1358" customFormat="1" ht="17.399999999999999">
      <c r="A9958" s="549"/>
      <c r="B9958" s="549"/>
      <c r="C9958" s="549"/>
      <c r="D9958" s="549"/>
      <c r="E9958" s="549"/>
      <c r="F9958" s="549"/>
      <c r="G9958" s="549"/>
      <c r="H9958" s="549"/>
      <c r="I9958" s="558"/>
      <c r="J9958" s="567"/>
      <c r="K9958" s="648"/>
      <c r="L9958" s="567"/>
      <c r="M9958" s="549"/>
      <c r="N9958" s="549"/>
      <c r="O9958" s="549"/>
      <c r="P9958" s="549"/>
    </row>
    <row r="9959" spans="1:17" s="1358" customFormat="1" ht="17.399999999999999">
      <c r="A9959" s="549"/>
      <c r="B9959" s="549"/>
      <c r="C9959" s="549"/>
      <c r="D9959" s="549"/>
      <c r="E9959" s="549"/>
      <c r="F9959" s="549"/>
      <c r="G9959" s="549"/>
      <c r="H9959" s="549"/>
      <c r="I9959" s="558"/>
      <c r="J9959" s="567"/>
      <c r="K9959" s="648"/>
      <c r="L9959" s="567"/>
      <c r="M9959" s="549"/>
      <c r="N9959" s="549"/>
      <c r="O9959" s="549"/>
      <c r="P9959" s="549"/>
    </row>
    <row r="9960" spans="1:17" ht="17.399999999999999">
      <c r="A9960" s="547" t="s">
        <v>395</v>
      </c>
      <c r="B9960" s="547" t="s">
        <v>1015</v>
      </c>
      <c r="C9960" s="547" t="s">
        <v>446</v>
      </c>
      <c r="D9960" s="813" t="s">
        <v>450</v>
      </c>
      <c r="E9960" s="547" t="s">
        <v>270</v>
      </c>
      <c r="F9960" s="1349">
        <v>10</v>
      </c>
      <c r="G9960" s="549" t="s">
        <v>61</v>
      </c>
      <c r="H9960" s="599" t="s">
        <v>92</v>
      </c>
      <c r="I9960" s="558">
        <v>16.579999999999998</v>
      </c>
      <c r="J9960" s="567">
        <v>7.35</v>
      </c>
      <c r="K9960" s="648">
        <v>5</v>
      </c>
      <c r="L9960" s="552">
        <f>(I9960*J9960*K9960/1000)</f>
        <v>0.60931499999999994</v>
      </c>
      <c r="M9960" s="549">
        <v>5</v>
      </c>
      <c r="N9960" s="567">
        <f t="shared" ref="N9960" si="2058">J9960*M9960*I9960/1000</f>
        <v>0.60931499999999994</v>
      </c>
      <c r="O9960" s="549"/>
      <c r="P9960" s="549"/>
      <c r="Q9960" s="1358" t="s">
        <v>1229</v>
      </c>
    </row>
    <row r="9961" spans="1:17" ht="17.399999999999999">
      <c r="A9961" s="549"/>
      <c r="B9961" s="549"/>
      <c r="C9961" s="549"/>
      <c r="D9961" s="549"/>
      <c r="E9961" s="549"/>
      <c r="F9961" s="549"/>
      <c r="G9961" s="549"/>
      <c r="H9961" s="549"/>
      <c r="I9961" s="558"/>
      <c r="J9961" s="567"/>
      <c r="K9961" s="648">
        <f t="shared" ref="K9961:N9961" si="2059">SUM(K9960)</f>
        <v>5</v>
      </c>
      <c r="L9961" s="567">
        <f t="shared" si="2059"/>
        <v>0.60931499999999994</v>
      </c>
      <c r="M9961" s="648">
        <f t="shared" si="2059"/>
        <v>5</v>
      </c>
      <c r="N9961" s="567">
        <f t="shared" si="2059"/>
        <v>0.60931499999999994</v>
      </c>
      <c r="O9961" s="549"/>
      <c r="P9961" s="549"/>
    </row>
    <row r="9962" spans="1:17" ht="17.399999999999999">
      <c r="A9962" s="549"/>
      <c r="B9962" s="549"/>
      <c r="C9962" s="549"/>
      <c r="D9962" s="549"/>
      <c r="E9962" s="549"/>
      <c r="F9962" s="549"/>
      <c r="G9962" s="549"/>
      <c r="H9962" s="549"/>
      <c r="I9962" s="558"/>
      <c r="J9962" s="549"/>
      <c r="K9962" s="561"/>
      <c r="L9962" s="560"/>
      <c r="M9962" s="549"/>
      <c r="N9962" s="549"/>
      <c r="O9962" s="549"/>
      <c r="P9962" s="549"/>
    </row>
    <row r="9963" spans="1:17" ht="17.399999999999999">
      <c r="A9963" s="549"/>
      <c r="B9963" s="549"/>
      <c r="C9963" s="549"/>
      <c r="D9963" s="549"/>
      <c r="E9963" s="549"/>
      <c r="F9963" s="549"/>
      <c r="G9963" s="549"/>
      <c r="H9963" s="549"/>
      <c r="I9963" s="558"/>
      <c r="J9963" s="549"/>
      <c r="K9963" s="561"/>
      <c r="L9963" s="560"/>
      <c r="M9963" s="549"/>
      <c r="N9963" s="549"/>
      <c r="O9963" s="549"/>
      <c r="P9963" s="549"/>
    </row>
    <row r="9964" spans="1:17" ht="17.399999999999999">
      <c r="A9964" s="549"/>
      <c r="B9964" s="549"/>
      <c r="C9964" s="549"/>
      <c r="D9964" s="549"/>
      <c r="E9964" s="549"/>
      <c r="F9964" s="549"/>
      <c r="G9964" s="549"/>
      <c r="H9964" s="549"/>
      <c r="I9964" s="560"/>
      <c r="J9964" s="549"/>
      <c r="K9964" s="561"/>
      <c r="L9964" s="560"/>
      <c r="M9964" s="549"/>
      <c r="N9964" s="549"/>
      <c r="O9964" s="549"/>
      <c r="P9964" s="549"/>
    </row>
    <row r="9965" spans="1:17" ht="17.399999999999999">
      <c r="A9965" s="549"/>
      <c r="B9965" s="549"/>
      <c r="C9965" s="549"/>
      <c r="D9965" s="549"/>
      <c r="E9965" s="549"/>
      <c r="F9965" s="549"/>
      <c r="G9965" s="549"/>
      <c r="H9965" s="549"/>
      <c r="I9965" s="558"/>
      <c r="J9965" s="549"/>
      <c r="K9965" s="561"/>
      <c r="L9965" s="560"/>
      <c r="M9965" s="549"/>
      <c r="N9965" s="549"/>
      <c r="O9965" s="549"/>
      <c r="P9965" s="549"/>
    </row>
    <row r="9966" spans="1:17" ht="17.399999999999999">
      <c r="A9966" s="549"/>
      <c r="B9966" s="549"/>
      <c r="C9966" s="549"/>
      <c r="D9966" s="549"/>
      <c r="E9966" s="549"/>
      <c r="F9966" s="549"/>
      <c r="G9966" s="549"/>
      <c r="H9966" s="549"/>
      <c r="I9966" s="558"/>
      <c r="J9966" s="549"/>
      <c r="K9966" s="561"/>
      <c r="L9966" s="568">
        <f>+L9961+L9957+L9953+L9950+L9946+L9943+L9940+L9934+L9921+L9906+L9899+L9883+L9871+L9852+L9838+L9809</f>
        <v>360.72835699999996</v>
      </c>
      <c r="M9966" s="549"/>
      <c r="N9966" s="568">
        <f>+N9961+N9957+N9953+N9950+N9946+N9943+N9940+N9934+N9921+N9906+N9899+N9883+N9871+N9852+N9838+N9809</f>
        <v>7.5551050000000011</v>
      </c>
      <c r="O9966" s="549"/>
      <c r="P9966" s="549"/>
    </row>
    <row r="9967" spans="1:17" ht="17.399999999999999">
      <c r="A9967" s="653" t="s">
        <v>48</v>
      </c>
      <c r="B9967" s="653"/>
      <c r="C9967" s="654"/>
      <c r="D9967" s="654"/>
      <c r="E9967" s="654"/>
      <c r="F9967" s="1397"/>
      <c r="G9967" s="654"/>
      <c r="H9967" s="1397"/>
      <c r="I9967" s="656"/>
      <c r="J9967" s="654"/>
      <c r="K9967" s="657"/>
      <c r="L9967" s="2003" t="s">
        <v>0</v>
      </c>
      <c r="M9967" s="2003"/>
      <c r="N9967" s="2003"/>
      <c r="O9967" s="2004"/>
      <c r="P9967" s="2010"/>
    </row>
    <row r="9968" spans="1:17" ht="17.399999999999999">
      <c r="A9968" s="658" t="s">
        <v>1</v>
      </c>
      <c r="B9968" s="658"/>
      <c r="C9968" s="658"/>
      <c r="D9968" s="659" t="s">
        <v>2</v>
      </c>
      <c r="E9968" s="659"/>
      <c r="F9968" s="660"/>
      <c r="G9968" s="660"/>
      <c r="H9968" s="660"/>
      <c r="I9968" s="661"/>
      <c r="J9968" s="660"/>
      <c r="K9968" s="662" t="s">
        <v>3</v>
      </c>
      <c r="L9968" s="660"/>
      <c r="M9968" s="658"/>
      <c r="N9968" s="660"/>
      <c r="O9968" s="663"/>
      <c r="P9968" s="2010"/>
    </row>
    <row r="9969" spans="1:16" ht="17.399999999999999">
      <c r="A9969" s="1397" t="s">
        <v>22</v>
      </c>
      <c r="B9969" s="1990" t="s">
        <v>23</v>
      </c>
      <c r="C9969" s="2005"/>
      <c r="D9969" s="1989"/>
      <c r="E9969" s="1397" t="s">
        <v>24</v>
      </c>
      <c r="F9969" s="1990" t="s">
        <v>25</v>
      </c>
      <c r="G9969" s="1989"/>
      <c r="H9969" s="1990" t="s">
        <v>26</v>
      </c>
      <c r="I9969" s="2005"/>
      <c r="J9969" s="2005"/>
      <c r="K9969" s="1989"/>
      <c r="L9969" s="2006" t="s">
        <v>27</v>
      </c>
      <c r="M9969" s="2006"/>
      <c r="N9969" s="2006"/>
      <c r="O9969" s="1990"/>
      <c r="P9969" s="2010"/>
    </row>
    <row r="9970" spans="1:16" ht="17.399999999999999">
      <c r="A9970" s="664"/>
      <c r="B9970" s="1975"/>
      <c r="C9970" s="1976"/>
      <c r="D9970" s="1977"/>
      <c r="E9970" s="665"/>
      <c r="F9970" s="1975"/>
      <c r="G9970" s="1977"/>
      <c r="H9970" s="1975"/>
      <c r="I9970" s="1976"/>
      <c r="J9970" s="1976"/>
      <c r="K9970" s="1977"/>
      <c r="L9970" s="1975"/>
      <c r="M9970" s="1976"/>
      <c r="N9970" s="1976"/>
      <c r="O9970" s="1976"/>
      <c r="P9970" s="2010"/>
    </row>
    <row r="9971" spans="1:16" ht="17.399999999999999">
      <c r="A9971" s="664"/>
      <c r="B9971" s="1389"/>
      <c r="C9971" s="1390"/>
      <c r="D9971" s="1391"/>
      <c r="E9971" s="665"/>
      <c r="F9971" s="1389"/>
      <c r="G9971" s="1391"/>
      <c r="H9971" s="1389"/>
      <c r="I9971" s="1842"/>
      <c r="J9971" s="1390"/>
      <c r="K9971" s="1391"/>
      <c r="L9971" s="1390"/>
      <c r="M9971" s="1390"/>
      <c r="N9971" s="1390"/>
      <c r="O9971" s="1390"/>
      <c r="P9971" s="2010"/>
    </row>
    <row r="9972" spans="1:16" s="1358" customFormat="1" ht="17.399999999999999">
      <c r="A9972" s="664" t="s">
        <v>28</v>
      </c>
      <c r="B9972" s="1975" t="s">
        <v>104</v>
      </c>
      <c r="C9972" s="1976"/>
      <c r="D9972" s="1977"/>
      <c r="E9972" s="665">
        <f>+L9809-50</f>
        <v>92.579920000000016</v>
      </c>
      <c r="F9972" s="1973">
        <v>13</v>
      </c>
      <c r="G9972" s="1974"/>
      <c r="H9972" s="1975" t="s">
        <v>854</v>
      </c>
      <c r="I9972" s="1976"/>
      <c r="J9972" s="1976"/>
      <c r="K9972" s="1977"/>
      <c r="L9972" s="1976" t="s">
        <v>1046</v>
      </c>
      <c r="M9972" s="1976"/>
      <c r="N9972" s="1976"/>
      <c r="O9972" s="1976"/>
      <c r="P9972" s="2010"/>
    </row>
    <row r="9973" spans="1:16" s="1358" customFormat="1" ht="17.399999999999999">
      <c r="A9973" s="664" t="s">
        <v>29</v>
      </c>
      <c r="B9973" s="1975" t="s">
        <v>102</v>
      </c>
      <c r="C9973" s="1976"/>
      <c r="D9973" s="1977"/>
      <c r="E9973" s="665">
        <f>+L9838</f>
        <v>23.986000000000001</v>
      </c>
      <c r="F9973" s="1973">
        <v>13</v>
      </c>
      <c r="G9973" s="1974"/>
      <c r="H9973" s="1975" t="s">
        <v>854</v>
      </c>
      <c r="I9973" s="1976"/>
      <c r="J9973" s="1976"/>
      <c r="K9973" s="1977"/>
      <c r="L9973" s="1976" t="s">
        <v>1046</v>
      </c>
      <c r="M9973" s="1976"/>
      <c r="N9973" s="1976"/>
      <c r="O9973" s="1976"/>
      <c r="P9973" s="2010"/>
    </row>
    <row r="9974" spans="1:16" s="1358" customFormat="1" ht="17.399999999999999">
      <c r="A9974" s="664"/>
      <c r="B9974" s="1389"/>
      <c r="C9974" s="1390"/>
      <c r="D9974" s="1391"/>
      <c r="E9974" s="665"/>
      <c r="F9974" s="1392"/>
      <c r="G9974" s="1393"/>
      <c r="H9974" s="1389"/>
      <c r="I9974" s="1842"/>
      <c r="J9974" s="1390"/>
      <c r="K9974" s="1391"/>
      <c r="L9974" s="1390"/>
      <c r="M9974" s="1390"/>
      <c r="N9974" s="1390"/>
      <c r="O9974" s="1390"/>
      <c r="P9974" s="2010"/>
    </row>
    <row r="9975" spans="1:16" s="1358" customFormat="1" ht="17.399999999999999">
      <c r="A9975" s="664" t="s">
        <v>30</v>
      </c>
      <c r="B9975" s="1975" t="s">
        <v>102</v>
      </c>
      <c r="C9975" s="1976"/>
      <c r="D9975" s="1977"/>
      <c r="E9975" s="665">
        <f>+L9852</f>
        <v>48.086570000000002</v>
      </c>
      <c r="F9975" s="1973">
        <v>12</v>
      </c>
      <c r="G9975" s="1974"/>
      <c r="H9975" s="1975" t="s">
        <v>447</v>
      </c>
      <c r="I9975" s="1976"/>
      <c r="J9975" s="1976"/>
      <c r="K9975" s="1977"/>
      <c r="L9975" s="1976" t="s">
        <v>1046</v>
      </c>
      <c r="M9975" s="1976"/>
      <c r="N9975" s="1976"/>
      <c r="O9975" s="1976"/>
      <c r="P9975" s="2010"/>
    </row>
    <row r="9976" spans="1:16" s="1358" customFormat="1" ht="17.399999999999999">
      <c r="A9976" s="664" t="s">
        <v>46</v>
      </c>
      <c r="B9976" s="1975" t="s">
        <v>101</v>
      </c>
      <c r="C9976" s="1976"/>
      <c r="D9976" s="1977"/>
      <c r="E9976" s="665">
        <f>+L9871</f>
        <v>25.702170000000002</v>
      </c>
      <c r="F9976" s="1973">
        <v>12</v>
      </c>
      <c r="G9976" s="1974"/>
      <c r="H9976" s="1975" t="s">
        <v>447</v>
      </c>
      <c r="I9976" s="1976"/>
      <c r="J9976" s="1976"/>
      <c r="K9976" s="1977"/>
      <c r="L9976" s="1976" t="s">
        <v>1046</v>
      </c>
      <c r="M9976" s="1976"/>
      <c r="N9976" s="1976"/>
      <c r="O9976" s="1976"/>
      <c r="P9976" s="2010"/>
    </row>
    <row r="9977" spans="1:16" s="1358" customFormat="1" ht="17.399999999999999">
      <c r="A9977" s="664" t="s">
        <v>58</v>
      </c>
      <c r="B9977" s="1975" t="s">
        <v>100</v>
      </c>
      <c r="C9977" s="1976"/>
      <c r="D9977" s="1977"/>
      <c r="E9977" s="665">
        <f>+L9883</f>
        <v>16.50564</v>
      </c>
      <c r="F9977" s="1973">
        <v>12</v>
      </c>
      <c r="G9977" s="1974"/>
      <c r="H9977" s="1975" t="s">
        <v>447</v>
      </c>
      <c r="I9977" s="1976"/>
      <c r="J9977" s="1976"/>
      <c r="K9977" s="1977"/>
      <c r="L9977" s="1976" t="s">
        <v>1046</v>
      </c>
      <c r="M9977" s="1976"/>
      <c r="N9977" s="1976"/>
      <c r="O9977" s="1976"/>
      <c r="P9977" s="2010"/>
    </row>
    <row r="9978" spans="1:16" s="1358" customFormat="1" ht="17.399999999999999">
      <c r="A9978" s="664"/>
      <c r="B9978" s="1389"/>
      <c r="C9978" s="1390"/>
      <c r="D9978" s="1391"/>
      <c r="E9978" s="665"/>
      <c r="F9978" s="1392"/>
      <c r="G9978" s="1393"/>
      <c r="H9978" s="1389"/>
      <c r="I9978" s="1842"/>
      <c r="J9978" s="1390"/>
      <c r="K9978" s="1391"/>
      <c r="L9978" s="1390"/>
      <c r="M9978" s="1390"/>
      <c r="N9978" s="1390"/>
      <c r="O9978" s="1390"/>
      <c r="P9978" s="2010"/>
    </row>
    <row r="9979" spans="1:16" s="1358" customFormat="1" ht="17.399999999999999">
      <c r="A9979" s="664"/>
      <c r="B9979" s="1975"/>
      <c r="C9979" s="1976"/>
      <c r="D9979" s="1977"/>
      <c r="E9979" s="665"/>
      <c r="F9979" s="1973"/>
      <c r="G9979" s="1974"/>
      <c r="H9979" s="1975"/>
      <c r="I9979" s="1976"/>
      <c r="J9979" s="1976"/>
      <c r="K9979" s="1977"/>
      <c r="L9979" s="1976"/>
      <c r="M9979" s="1976"/>
      <c r="N9979" s="1976"/>
      <c r="O9979" s="1976"/>
      <c r="P9979" s="2010"/>
    </row>
    <row r="9980" spans="1:16" ht="17.399999999999999">
      <c r="A9980" s="664" t="s">
        <v>163</v>
      </c>
      <c r="B9980" s="1975" t="s">
        <v>1136</v>
      </c>
      <c r="C9980" s="1976"/>
      <c r="D9980" s="1977"/>
      <c r="E9980" s="665">
        <f>+L9899</f>
        <v>34.215560000000011</v>
      </c>
      <c r="F9980" s="1973">
        <v>12</v>
      </c>
      <c r="G9980" s="1974"/>
      <c r="H9980" s="1975" t="s">
        <v>582</v>
      </c>
      <c r="I9980" s="1976"/>
      <c r="J9980" s="1976"/>
      <c r="K9980" s="1977"/>
      <c r="L9980" s="1976" t="s">
        <v>1138</v>
      </c>
      <c r="M9980" s="1976"/>
      <c r="N9980" s="1976"/>
      <c r="O9980" s="1976"/>
      <c r="P9980" s="2010"/>
    </row>
    <row r="9981" spans="1:16" ht="17.399999999999999">
      <c r="A9981" s="664" t="s">
        <v>302</v>
      </c>
      <c r="B9981" s="1975" t="s">
        <v>1137</v>
      </c>
      <c r="C9981" s="1976"/>
      <c r="D9981" s="1977"/>
      <c r="E9981" s="665">
        <f>+L9906</f>
        <v>5.1298519999999987</v>
      </c>
      <c r="F9981" s="1973">
        <v>12</v>
      </c>
      <c r="G9981" s="1974"/>
      <c r="H9981" s="1975" t="s">
        <v>582</v>
      </c>
      <c r="I9981" s="1976"/>
      <c r="J9981" s="1976"/>
      <c r="K9981" s="1977"/>
      <c r="L9981" s="1976" t="s">
        <v>1138</v>
      </c>
      <c r="M9981" s="1976"/>
      <c r="N9981" s="1976"/>
      <c r="O9981" s="1976"/>
      <c r="P9981" s="2010"/>
    </row>
    <row r="9982" spans="1:16" ht="17.399999999999999">
      <c r="A9982" s="664"/>
      <c r="B9982" s="1975"/>
      <c r="C9982" s="1976"/>
      <c r="D9982" s="1977"/>
      <c r="E9982" s="665"/>
      <c r="F9982" s="1973"/>
      <c r="G9982" s="1974"/>
      <c r="H9982" s="1975"/>
      <c r="I9982" s="1976"/>
      <c r="J9982" s="1976"/>
      <c r="K9982" s="1977"/>
      <c r="L9982" s="1976"/>
      <c r="M9982" s="1976"/>
      <c r="N9982" s="1976"/>
      <c r="O9982" s="1976"/>
      <c r="P9982" s="2010"/>
    </row>
    <row r="9983" spans="1:16" ht="17.399999999999999">
      <c r="A9983" s="664" t="s">
        <v>380</v>
      </c>
      <c r="B9983" s="1975" t="s">
        <v>1139</v>
      </c>
      <c r="C9983" s="1976"/>
      <c r="D9983" s="1977"/>
      <c r="E9983" s="665">
        <f>+L9921</f>
        <v>9.7124400000000009</v>
      </c>
      <c r="F9983" s="1973">
        <v>12</v>
      </c>
      <c r="G9983" s="1974"/>
      <c r="H9983" s="1975" t="s">
        <v>450</v>
      </c>
      <c r="I9983" s="1976"/>
      <c r="J9983" s="1976"/>
      <c r="K9983" s="1977"/>
      <c r="L9983" s="1976" t="s">
        <v>1138</v>
      </c>
      <c r="M9983" s="1976"/>
      <c r="N9983" s="1976"/>
      <c r="O9983" s="1976"/>
      <c r="P9983" s="2010"/>
    </row>
    <row r="9984" spans="1:16" ht="17.399999999999999">
      <c r="A9984" s="664"/>
      <c r="B9984" s="1389"/>
      <c r="C9984" s="1390"/>
      <c r="D9984" s="1391"/>
      <c r="E9984" s="665"/>
      <c r="F9984" s="1392"/>
      <c r="G9984" s="1393"/>
      <c r="H9984" s="1389"/>
      <c r="I9984" s="1842"/>
      <c r="J9984" s="1390"/>
      <c r="K9984" s="1391"/>
      <c r="L9984" s="1390"/>
      <c r="M9984" s="1390"/>
      <c r="N9984" s="1390"/>
      <c r="O9984" s="1390"/>
      <c r="P9984" s="2010"/>
    </row>
    <row r="9985" spans="1:16" ht="17.399999999999999">
      <c r="A9985" s="664"/>
      <c r="B9985" s="1389"/>
      <c r="C9985" s="1390"/>
      <c r="D9985" s="1391"/>
      <c r="E9985" s="665"/>
      <c r="F9985" s="1392"/>
      <c r="G9985" s="1393"/>
      <c r="H9985" s="1390"/>
      <c r="I9985" s="1842"/>
      <c r="J9985" s="1390"/>
      <c r="K9985" s="1390"/>
      <c r="L9985" s="1390"/>
      <c r="M9985" s="1390"/>
      <c r="N9985" s="1390"/>
      <c r="O9985" s="1390"/>
      <c r="P9985" s="2010"/>
    </row>
    <row r="9986" spans="1:16" ht="17.399999999999999">
      <c r="A9986" s="664" t="s">
        <v>434</v>
      </c>
      <c r="B9986" s="1975" t="s">
        <v>1136</v>
      </c>
      <c r="C9986" s="1976"/>
      <c r="D9986" s="1977"/>
      <c r="E9986" s="665">
        <f>+L9934-2.814</f>
        <v>47.255099999999992</v>
      </c>
      <c r="F9986" s="1973">
        <v>10</v>
      </c>
      <c r="G9986" s="1974"/>
      <c r="H9986" s="1975" t="s">
        <v>450</v>
      </c>
      <c r="I9986" s="1976"/>
      <c r="J9986" s="1976"/>
      <c r="K9986" s="1977"/>
      <c r="L9986" s="1976" t="s">
        <v>1138</v>
      </c>
      <c r="M9986" s="1976"/>
      <c r="N9986" s="1976"/>
      <c r="O9986" s="1976"/>
      <c r="P9986" s="2010"/>
    </row>
    <row r="9987" spans="1:16" ht="17.399999999999999">
      <c r="A9987" s="664"/>
      <c r="B9987" s="1975"/>
      <c r="C9987" s="1976"/>
      <c r="D9987" s="1977"/>
      <c r="E9987" s="665"/>
      <c r="F9987" s="1975"/>
      <c r="G9987" s="1977"/>
      <c r="H9987" s="2007"/>
      <c r="I9987" s="2007"/>
      <c r="J9987" s="2007"/>
      <c r="K9987" s="2007"/>
      <c r="L9987" s="1976"/>
      <c r="M9987" s="1976"/>
      <c r="N9987" s="1976"/>
      <c r="O9987" s="1976"/>
      <c r="P9987" s="2010"/>
    </row>
    <row r="9988" spans="1:16" ht="17.399999999999999">
      <c r="A9988" s="664"/>
      <c r="B9988" s="1389"/>
      <c r="C9988" s="1390"/>
      <c r="D9988" s="1391"/>
      <c r="E9988" s="665"/>
      <c r="F9988" s="1392"/>
      <c r="G9988" s="1393"/>
      <c r="H9988" s="1389"/>
      <c r="I9988" s="1842"/>
      <c r="J9988" s="1390"/>
      <c r="K9988" s="1391"/>
      <c r="L9988" s="1390"/>
      <c r="M9988" s="1390"/>
      <c r="N9988" s="1390"/>
      <c r="O9988" s="1390"/>
      <c r="P9988" s="2010"/>
    </row>
    <row r="9989" spans="1:16" ht="18" thickBot="1">
      <c r="A9989" s="664"/>
      <c r="B9989" s="1389"/>
      <c r="C9989" s="1390"/>
      <c r="D9989" s="1390"/>
      <c r="E9989" s="665"/>
      <c r="F9989" s="1390"/>
      <c r="G9989" s="1391"/>
      <c r="H9989" s="1389"/>
      <c r="I9989" s="1842"/>
      <c r="J9989" s="1390"/>
      <c r="K9989" s="669"/>
      <c r="L9989" s="672"/>
      <c r="M9989" s="673"/>
      <c r="N9989" s="673"/>
      <c r="O9989" s="673"/>
      <c r="P9989" s="2010"/>
    </row>
    <row r="9990" spans="1:16" ht="17.399999999999999">
      <c r="A9990" s="674"/>
      <c r="B9990" s="675"/>
      <c r="C9990" s="676"/>
      <c r="D9990" s="676"/>
      <c r="E9990" s="1980">
        <f>SUM(E9970:E9989)</f>
        <v>303.17325199999999</v>
      </c>
      <c r="F9990" s="677"/>
      <c r="G9990" s="678"/>
      <c r="H9990" s="679"/>
      <c r="I9990" s="1848"/>
      <c r="J9990" s="676"/>
      <c r="K9990" s="680"/>
      <c r="L9990" s="679"/>
      <c r="M9990" s="676"/>
      <c r="N9990" s="677"/>
      <c r="O9990" s="676"/>
      <c r="P9990" s="2010"/>
    </row>
    <row r="9991" spans="1:16" ht="18" thickBot="1">
      <c r="A9991" s="681"/>
      <c r="B9991" s="682"/>
      <c r="C9991" s="683"/>
      <c r="D9991" s="683"/>
      <c r="E9991" s="1981"/>
      <c r="F9991" s="684"/>
      <c r="G9991" s="685"/>
      <c r="H9991" s="686"/>
      <c r="I9991" s="1850"/>
      <c r="J9991" s="683"/>
      <c r="K9991" s="687"/>
      <c r="L9991" s="686"/>
      <c r="M9991" s="683"/>
      <c r="N9991" s="684"/>
      <c r="O9991" s="683"/>
      <c r="P9991" s="2010"/>
    </row>
    <row r="9992" spans="1:16" ht="17.399999999999999">
      <c r="A9992" s="688" t="s">
        <v>31</v>
      </c>
      <c r="B9992" s="676"/>
      <c r="C9992" s="676"/>
      <c r="D9992" s="676"/>
      <c r="E9992" s="676"/>
      <c r="F9992" s="677"/>
      <c r="G9992" s="676"/>
      <c r="H9992" s="677"/>
      <c r="I9992" s="1848"/>
      <c r="J9992" s="676"/>
      <c r="K9992" s="689"/>
      <c r="L9992" s="677"/>
      <c r="M9992" s="676"/>
      <c r="N9992" s="677"/>
      <c r="O9992" s="676"/>
      <c r="P9992" s="2010"/>
    </row>
    <row r="9993" spans="1:16" ht="17.399999999999999">
      <c r="A9993" s="690"/>
      <c r="B9993" s="691"/>
      <c r="C9993" s="691"/>
      <c r="D9993" s="691"/>
      <c r="E9993" s="691"/>
      <c r="F9993" s="1395"/>
      <c r="G9993" s="691"/>
      <c r="H9993" s="1395"/>
      <c r="I9993" s="1849"/>
      <c r="J9993" s="691"/>
      <c r="K9993" s="693"/>
      <c r="L9993" s="1395"/>
      <c r="M9993" s="691"/>
      <c r="N9993" s="1395"/>
      <c r="O9993" s="691"/>
      <c r="P9993" s="2010"/>
    </row>
    <row r="9994" spans="1:16" ht="18" thickBot="1">
      <c r="A9994" s="1982" t="s">
        <v>32</v>
      </c>
      <c r="B9994" s="1983"/>
      <c r="C9994" s="1984" t="s">
        <v>33</v>
      </c>
      <c r="D9994" s="1985"/>
      <c r="E9994" s="694" t="s">
        <v>34</v>
      </c>
      <c r="F9994" s="694" t="s">
        <v>35</v>
      </c>
      <c r="G9994" s="1986" t="s">
        <v>36</v>
      </c>
      <c r="H9994" s="1987"/>
      <c r="I9994" s="1987"/>
      <c r="J9994" s="1987"/>
      <c r="K9994" s="1987"/>
      <c r="L9994" s="1987"/>
      <c r="M9994" s="1987"/>
      <c r="N9994" s="1987"/>
      <c r="O9994" s="1987"/>
      <c r="P9994" s="2010"/>
    </row>
    <row r="9995" spans="1:16" ht="17.399999999999999">
      <c r="A9995" s="1988"/>
      <c r="B9995" s="1989"/>
      <c r="C9995" s="1990"/>
      <c r="D9995" s="1989"/>
      <c r="E9995" s="1397"/>
      <c r="F9995" s="1394"/>
      <c r="G9995" s="1991"/>
      <c r="H9995" s="1992"/>
      <c r="I9995" s="1992"/>
      <c r="J9995" s="1992"/>
      <c r="K9995" s="1992"/>
      <c r="L9995" s="1992"/>
      <c r="M9995" s="1992"/>
      <c r="N9995" s="1992"/>
      <c r="O9995" s="1992"/>
      <c r="P9995" s="2010"/>
    </row>
    <row r="9996" spans="1:16" ht="17.399999999999999">
      <c r="A9996" s="1997" t="s">
        <v>37</v>
      </c>
      <c r="B9996" s="1998"/>
      <c r="C9996" s="1990"/>
      <c r="D9996" s="1989"/>
      <c r="E9996" s="1397"/>
      <c r="F9996" s="1394"/>
      <c r="G9996" s="1993"/>
      <c r="H9996" s="1994"/>
      <c r="I9996" s="1994"/>
      <c r="J9996" s="1994"/>
      <c r="K9996" s="1994"/>
      <c r="L9996" s="1994"/>
      <c r="M9996" s="1994"/>
      <c r="N9996" s="1994"/>
      <c r="O9996" s="1994"/>
      <c r="P9996" s="2010"/>
    </row>
    <row r="9997" spans="1:16" ht="17.399999999999999">
      <c r="A9997" s="1997" t="s">
        <v>38</v>
      </c>
      <c r="B9997" s="1998"/>
      <c r="C9997" s="1990"/>
      <c r="D9997" s="1989"/>
      <c r="E9997" s="1397"/>
      <c r="F9997" s="1394"/>
      <c r="G9997" s="1993"/>
      <c r="H9997" s="1994"/>
      <c r="I9997" s="1994"/>
      <c r="J9997" s="1994"/>
      <c r="K9997" s="1994"/>
      <c r="L9997" s="1994"/>
      <c r="M9997" s="1994"/>
      <c r="N9997" s="1994"/>
      <c r="O9997" s="1994"/>
      <c r="P9997" s="2010"/>
    </row>
    <row r="9998" spans="1:16" ht="17.399999999999999">
      <c r="A9998" s="1997" t="s">
        <v>39</v>
      </c>
      <c r="B9998" s="1998"/>
      <c r="C9998" s="1990"/>
      <c r="D9998" s="1989"/>
      <c r="E9998" s="1397"/>
      <c r="F9998" s="1394"/>
      <c r="G9998" s="1993"/>
      <c r="H9998" s="1994"/>
      <c r="I9998" s="1994"/>
      <c r="J9998" s="1994"/>
      <c r="K9998" s="1994"/>
      <c r="L9998" s="1994"/>
      <c r="M9998" s="1994"/>
      <c r="N9998" s="1994"/>
      <c r="O9998" s="1994"/>
      <c r="P9998" s="2010"/>
    </row>
    <row r="9999" spans="1:16" ht="17.399999999999999">
      <c r="A9999" s="1997" t="s">
        <v>40</v>
      </c>
      <c r="B9999" s="1998"/>
      <c r="C9999" s="1990"/>
      <c r="D9999" s="1989"/>
      <c r="E9999" s="1397"/>
      <c r="F9999" s="1394"/>
      <c r="G9999" s="1993"/>
      <c r="H9999" s="1994"/>
      <c r="I9999" s="1994"/>
      <c r="J9999" s="1994"/>
      <c r="K9999" s="1994"/>
      <c r="L9999" s="1994"/>
      <c r="M9999" s="1994"/>
      <c r="N9999" s="1994"/>
      <c r="O9999" s="1994"/>
      <c r="P9999" s="2010"/>
    </row>
    <row r="10000" spans="1:16" ht="18" thickBot="1">
      <c r="A10000" s="1999" t="s">
        <v>41</v>
      </c>
      <c r="B10000" s="2000"/>
      <c r="C10000" s="2001"/>
      <c r="D10000" s="2002"/>
      <c r="E10000" s="696"/>
      <c r="F10000" s="1396"/>
      <c r="G10000" s="1995"/>
      <c r="H10000" s="1996"/>
      <c r="I10000" s="1996"/>
      <c r="J10000" s="1996"/>
      <c r="K10000" s="1996"/>
      <c r="L10000" s="1996"/>
      <c r="M10000" s="1996"/>
      <c r="N10000" s="1996"/>
      <c r="O10000" s="1996"/>
      <c r="P10000" s="2010"/>
    </row>
    <row r="10001" spans="1:20" ht="18">
      <c r="A10001" s="690"/>
      <c r="B10001" s="691"/>
      <c r="C10001" s="691"/>
      <c r="D10001" s="691"/>
      <c r="E10001" s="691"/>
      <c r="F10001" s="1395"/>
      <c r="G10001" s="691"/>
      <c r="H10001" s="698"/>
      <c r="I10001" s="699"/>
      <c r="J10001" s="700"/>
      <c r="K10001" s="701"/>
      <c r="L10001" s="702"/>
      <c r="M10001" s="691"/>
      <c r="N10001" s="1395"/>
      <c r="O10001" s="691"/>
      <c r="P10001" s="2010"/>
    </row>
    <row r="10002" spans="1:20" ht="18">
      <c r="A10002" s="703" t="s">
        <v>42</v>
      </c>
      <c r="B10002" s="704"/>
      <c r="C10002" s="691"/>
      <c r="D10002" s="691"/>
      <c r="E10002" s="691"/>
      <c r="F10002" s="1395"/>
      <c r="G10002" s="704"/>
      <c r="H10002" s="698"/>
      <c r="I10002" s="699"/>
      <c r="J10002" s="700"/>
      <c r="K10002" s="693"/>
      <c r="L10002" s="705"/>
      <c r="M10002" s="691"/>
      <c r="N10002" s="1979" t="s">
        <v>43</v>
      </c>
      <c r="O10002" s="1979"/>
      <c r="P10002" s="2010"/>
    </row>
    <row r="10003" spans="1:20" ht="17.399999999999999">
      <c r="A10003" s="703"/>
      <c r="B10003" s="704"/>
      <c r="C10003" s="691"/>
      <c r="D10003" s="691"/>
      <c r="E10003" s="691"/>
      <c r="F10003" s="1395"/>
      <c r="G10003" s="691"/>
      <c r="H10003" s="1395"/>
      <c r="I10003" s="1849"/>
      <c r="J10003" s="691"/>
      <c r="K10003" s="693"/>
      <c r="L10003" s="1395"/>
      <c r="M10003" s="691"/>
      <c r="N10003" s="1395"/>
      <c r="O10003" s="704"/>
      <c r="P10003" s="2010"/>
    </row>
    <row r="10004" spans="1:20" ht="17.399999999999999">
      <c r="A10004" s="703" t="s">
        <v>44</v>
      </c>
      <c r="B10004" s="704"/>
      <c r="C10004" s="691"/>
      <c r="D10004" s="691"/>
      <c r="E10004" s="691"/>
      <c r="F10004" s="1395"/>
      <c r="G10004" s="691"/>
      <c r="H10004" s="1395"/>
      <c r="I10004" s="1849"/>
      <c r="J10004" s="691"/>
      <c r="K10004" s="693"/>
      <c r="L10004" s="1395"/>
      <c r="M10004" s="691"/>
      <c r="N10004" s="1979" t="s">
        <v>45</v>
      </c>
      <c r="O10004" s="1979"/>
      <c r="P10004" s="2010"/>
    </row>
    <row r="10005" spans="1:20" ht="18" thickBot="1">
      <c r="A10005" s="682"/>
      <c r="B10005" s="683"/>
      <c r="C10005" s="683"/>
      <c r="D10005" s="683"/>
      <c r="E10005" s="683"/>
      <c r="F10005" s="684"/>
      <c r="G10005" s="683"/>
      <c r="H10005" s="684"/>
      <c r="I10005" s="1850"/>
      <c r="J10005" s="683"/>
      <c r="K10005" s="706"/>
      <c r="L10005" s="684"/>
      <c r="M10005" s="683"/>
      <c r="N10005" s="684"/>
      <c r="O10005" s="683"/>
      <c r="P10005" s="2010"/>
    </row>
    <row r="10010" spans="1:20" s="1358" customFormat="1" ht="17.399999999999999">
      <c r="A10010" s="711" t="s">
        <v>48</v>
      </c>
      <c r="B10010" s="711"/>
      <c r="C10010" s="712"/>
      <c r="D10010" s="712"/>
      <c r="E10010" s="712"/>
      <c r="F10010" s="713"/>
      <c r="G10010" s="712"/>
      <c r="H10010" s="712"/>
      <c r="I10010" s="714"/>
      <c r="J10010" s="715"/>
      <c r="K10010" s="716"/>
      <c r="L10010" s="1978" t="s">
        <v>0</v>
      </c>
      <c r="M10010" s="1978"/>
      <c r="N10010" s="1978"/>
      <c r="O10010" s="1978"/>
      <c r="P10010" s="717"/>
    </row>
    <row r="10011" spans="1:20" s="1358" customFormat="1" ht="17.399999999999999">
      <c r="A10011" s="718" t="s">
        <v>1</v>
      </c>
      <c r="B10011" s="718"/>
      <c r="C10011" s="718"/>
      <c r="D10011" s="719" t="s">
        <v>2</v>
      </c>
      <c r="E10011" s="719"/>
      <c r="F10011" s="720"/>
      <c r="G10011" s="720"/>
      <c r="H10011" s="720"/>
      <c r="I10011" s="721"/>
      <c r="J10011" s="1406"/>
      <c r="K10011" s="723" t="s">
        <v>3</v>
      </c>
      <c r="L10011" s="1406"/>
      <c r="M10011" s="718"/>
      <c r="N10011" s="720"/>
      <c r="O10011" s="718"/>
      <c r="P10011" s="724"/>
    </row>
    <row r="10012" spans="1:20" s="1358" customFormat="1" ht="52.2">
      <c r="A10012" s="640" t="s">
        <v>4</v>
      </c>
      <c r="B10012" s="640" t="s">
        <v>5</v>
      </c>
      <c r="C10012" s="640" t="s">
        <v>6</v>
      </c>
      <c r="D10012" s="640" t="s">
        <v>7</v>
      </c>
      <c r="E10012" s="640" t="s">
        <v>8</v>
      </c>
      <c r="F10012" s="641" t="s">
        <v>9</v>
      </c>
      <c r="G10012" s="642" t="s">
        <v>10</v>
      </c>
      <c r="H10012" s="642" t="s">
        <v>11</v>
      </c>
      <c r="I10012" s="643" t="s">
        <v>12</v>
      </c>
      <c r="J10012" s="644" t="s">
        <v>13</v>
      </c>
      <c r="K10012" s="645" t="s">
        <v>14</v>
      </c>
      <c r="L10012" s="646" t="s">
        <v>15</v>
      </c>
      <c r="M10012" s="641" t="s">
        <v>16</v>
      </c>
      <c r="N10012" s="641" t="s">
        <v>17</v>
      </c>
      <c r="O10012" s="642" t="s">
        <v>18</v>
      </c>
      <c r="P10012" s="641" t="s">
        <v>192</v>
      </c>
    </row>
    <row r="10013" spans="1:20" ht="17.399999999999999">
      <c r="A10013" s="547" t="s">
        <v>83</v>
      </c>
      <c r="B10013" s="547" t="s">
        <v>885</v>
      </c>
      <c r="C10013" s="547" t="s">
        <v>446</v>
      </c>
      <c r="D10013" s="813" t="s">
        <v>447</v>
      </c>
      <c r="E10013" s="547" t="s">
        <v>359</v>
      </c>
      <c r="F10013" s="549">
        <v>12</v>
      </c>
      <c r="G10013" s="549" t="s">
        <v>21</v>
      </c>
      <c r="H10013" s="599" t="s">
        <v>118</v>
      </c>
      <c r="I10013" s="558">
        <v>9.26</v>
      </c>
      <c r="J10013" s="567">
        <v>8.6999999999999993</v>
      </c>
      <c r="K10013" s="848">
        <v>76</v>
      </c>
      <c r="L10013" s="552">
        <f t="shared" ref="L10013:L10017" si="2060">(I10013*J10013*K10013/1000)</f>
        <v>6.1227119999999999</v>
      </c>
      <c r="M10013" s="549"/>
      <c r="N10013" s="549"/>
      <c r="O10013" s="549"/>
      <c r="P10013" s="549"/>
      <c r="Q10013" s="497">
        <f>25+27</f>
        <v>52</v>
      </c>
      <c r="R10013" s="126">
        <f>J10013*Q10013*I10013/1000</f>
        <v>4.1892239999999994</v>
      </c>
      <c r="S10013" s="1358" t="s">
        <v>1253</v>
      </c>
    </row>
    <row r="10014" spans="1:20" ht="17.399999999999999">
      <c r="A10014" s="549"/>
      <c r="B10014" s="549"/>
      <c r="C10014" s="549"/>
      <c r="D10014" s="549"/>
      <c r="E10014" s="549"/>
      <c r="F10014" s="549"/>
      <c r="G10014" s="549" t="s">
        <v>21</v>
      </c>
      <c r="H10014" s="549" t="s">
        <v>118</v>
      </c>
      <c r="I10014" s="558">
        <v>9.26</v>
      </c>
      <c r="J10014" s="567">
        <v>9.6999999999999993</v>
      </c>
      <c r="K10014" s="848">
        <v>54</v>
      </c>
      <c r="L10014" s="552">
        <f t="shared" si="2060"/>
        <v>4.8503879999999988</v>
      </c>
      <c r="M10014" s="549"/>
      <c r="N10014" s="549"/>
      <c r="O10014" s="549"/>
      <c r="P10014" s="549"/>
      <c r="Q10014" s="497">
        <f>21+27</f>
        <v>48</v>
      </c>
      <c r="R10014" s="126">
        <f>J10014*Q10014*I10014/1000</f>
        <v>4.3114559999999988</v>
      </c>
    </row>
    <row r="10015" spans="1:20" ht="17.399999999999999">
      <c r="A10015" s="549"/>
      <c r="B10015" s="549"/>
      <c r="C10015" s="549"/>
      <c r="D10015" s="549"/>
      <c r="E10015" s="549"/>
      <c r="F10015" s="549"/>
      <c r="G10015" s="549" t="s">
        <v>21</v>
      </c>
      <c r="H10015" s="549" t="s">
        <v>118</v>
      </c>
      <c r="I10015" s="558">
        <v>9.26</v>
      </c>
      <c r="J10015" s="567">
        <v>9.8000000000000007</v>
      </c>
      <c r="K10015" s="848">
        <v>38</v>
      </c>
      <c r="L10015" s="552">
        <f t="shared" si="2060"/>
        <v>3.4484240000000002</v>
      </c>
      <c r="M10015" s="549"/>
      <c r="N10015" s="549"/>
      <c r="O10015" s="549"/>
      <c r="P10015" s="549"/>
      <c r="Q10015" s="497">
        <f>15+15+8</f>
        <v>38</v>
      </c>
      <c r="R10015" s="126">
        <f>J10015*Q10015*I10015/1000</f>
        <v>3.4484240000000006</v>
      </c>
      <c r="T10015">
        <v>7</v>
      </c>
    </row>
    <row r="10016" spans="1:20" ht="17.399999999999999">
      <c r="A10016" s="549"/>
      <c r="B10016" s="549"/>
      <c r="C10016" s="549"/>
      <c r="D10016" s="549"/>
      <c r="E10016" s="549"/>
      <c r="F10016" s="549"/>
      <c r="G10016" s="549" t="s">
        <v>21</v>
      </c>
      <c r="H10016" s="549" t="s">
        <v>118</v>
      </c>
      <c r="I10016" s="558">
        <v>9.26</v>
      </c>
      <c r="J10016" s="567">
        <v>11.4</v>
      </c>
      <c r="K10016" s="848">
        <v>54</v>
      </c>
      <c r="L10016" s="552">
        <f t="shared" si="2060"/>
        <v>5.700456</v>
      </c>
      <c r="M10016" s="549"/>
      <c r="N10016" s="549"/>
      <c r="O10016" s="549"/>
      <c r="P10016" s="549"/>
      <c r="Q10016" s="497">
        <f>18+20+28-12</f>
        <v>54</v>
      </c>
      <c r="R10016" s="126">
        <f>J10016*Q10016*I10016/1000</f>
        <v>5.700456</v>
      </c>
    </row>
    <row r="10017" spans="1:19" ht="17.399999999999999">
      <c r="A10017" s="549"/>
      <c r="B10017" s="549"/>
      <c r="C10017" s="549"/>
      <c r="D10017" s="549"/>
      <c r="E10017" s="549"/>
      <c r="F10017" s="549"/>
      <c r="G10017" s="549" t="s">
        <v>21</v>
      </c>
      <c r="H10017" s="549" t="s">
        <v>118</v>
      </c>
      <c r="I10017" s="558">
        <v>9.26</v>
      </c>
      <c r="J10017" s="567">
        <v>11.8</v>
      </c>
      <c r="K10017" s="848">
        <v>4</v>
      </c>
      <c r="L10017" s="552">
        <f t="shared" si="2060"/>
        <v>0.43707200000000002</v>
      </c>
      <c r="M10017" s="549"/>
      <c r="N10017" s="549"/>
      <c r="O10017" s="549"/>
      <c r="P10017" s="549"/>
      <c r="R10017" s="126">
        <f>J10017*Q10017*I10017/1000</f>
        <v>0</v>
      </c>
    </row>
    <row r="10018" spans="1:19" ht="17.399999999999999">
      <c r="A10018" s="549"/>
      <c r="B10018" s="549"/>
      <c r="C10018" s="549"/>
      <c r="D10018" s="549"/>
      <c r="E10018" s="549"/>
      <c r="F10018" s="549"/>
      <c r="G10018" s="549"/>
      <c r="H10018" s="549"/>
      <c r="I10018" s="558"/>
      <c r="J10018" s="567"/>
      <c r="K10018" s="648">
        <f>SUM(K10013:K10017)</f>
        <v>226</v>
      </c>
      <c r="L10018" s="732">
        <f>SUM(L10013:L10017)</f>
        <v>20.559051999999998</v>
      </c>
      <c r="M10018" s="549"/>
      <c r="N10018" s="549"/>
      <c r="O10018" s="549"/>
      <c r="P10018" s="549"/>
      <c r="Q10018" s="648">
        <f>SUM(Q10013:Q10017)</f>
        <v>192</v>
      </c>
      <c r="R10018" s="732">
        <f>SUM(R10013:R10017)</f>
        <v>17.649560000000001</v>
      </c>
    </row>
    <row r="10019" spans="1:19" ht="17.399999999999999">
      <c r="A10019" s="549"/>
      <c r="B10019" s="549"/>
      <c r="C10019" s="549"/>
      <c r="D10019" s="549"/>
      <c r="E10019" s="549"/>
      <c r="F10019" s="549"/>
      <c r="G10019" s="549"/>
      <c r="H10019" s="549"/>
      <c r="I10019" s="560"/>
      <c r="J10019" s="549"/>
      <c r="K10019" s="561"/>
      <c r="L10019" s="560"/>
      <c r="M10019" s="549"/>
      <c r="N10019" s="549"/>
      <c r="O10019" s="549"/>
      <c r="P10019" s="549"/>
    </row>
    <row r="10020" spans="1:19" ht="17.399999999999999">
      <c r="A10020" s="547" t="s">
        <v>272</v>
      </c>
      <c r="B10020" s="547" t="s">
        <v>1165</v>
      </c>
      <c r="C10020" s="547" t="s">
        <v>446</v>
      </c>
      <c r="D10020" s="813" t="s">
        <v>447</v>
      </c>
      <c r="E10020" s="547" t="s">
        <v>359</v>
      </c>
      <c r="F10020" s="549">
        <v>12</v>
      </c>
      <c r="G10020" s="792" t="s">
        <v>21</v>
      </c>
      <c r="H10020" s="1247" t="s">
        <v>118</v>
      </c>
      <c r="I10020" s="773">
        <v>9.26</v>
      </c>
      <c r="J10020" s="774">
        <v>8.1999999999999993</v>
      </c>
      <c r="K10020" s="775">
        <v>28</v>
      </c>
      <c r="L10020" s="552">
        <f t="shared" ref="L10020:L10026" si="2061">(I10020*J10020*K10020/1000)</f>
        <v>2.1260959999999995</v>
      </c>
      <c r="M10020" s="549"/>
      <c r="N10020" s="549"/>
      <c r="O10020" s="549"/>
      <c r="P10020" s="549"/>
      <c r="Q10020" s="497">
        <v>7</v>
      </c>
      <c r="R10020" s="126">
        <f t="shared" ref="R10020:R10026" si="2062">J10020*Q10020*I10020/1000</f>
        <v>0.53152399999999989</v>
      </c>
      <c r="S10020" s="1358" t="s">
        <v>1253</v>
      </c>
    </row>
    <row r="10021" spans="1:19" ht="17.399999999999999">
      <c r="A10021" s="549"/>
      <c r="B10021" s="549"/>
      <c r="C10021" s="549"/>
      <c r="D10021" s="549"/>
      <c r="E10021" s="549"/>
      <c r="F10021" s="549"/>
      <c r="G10021" s="792" t="s">
        <v>21</v>
      </c>
      <c r="H10021" s="1227" t="s">
        <v>118</v>
      </c>
      <c r="I10021" s="773">
        <v>9.26</v>
      </c>
      <c r="J10021" s="774">
        <v>8.6999999999999993</v>
      </c>
      <c r="K10021" s="775">
        <v>7</v>
      </c>
      <c r="L10021" s="552">
        <f t="shared" si="2061"/>
        <v>0.56393399999999994</v>
      </c>
      <c r="M10021" s="549"/>
      <c r="N10021" s="549"/>
      <c r="O10021" s="549"/>
      <c r="P10021" s="549"/>
      <c r="R10021" s="126">
        <f t="shared" si="2062"/>
        <v>0</v>
      </c>
    </row>
    <row r="10022" spans="1:19" ht="17.399999999999999">
      <c r="A10022" s="549"/>
      <c r="B10022" s="549"/>
      <c r="C10022" s="549"/>
      <c r="D10022" s="549"/>
      <c r="E10022" s="549"/>
      <c r="F10022" s="549"/>
      <c r="G10022" s="792" t="s">
        <v>21</v>
      </c>
      <c r="H10022" s="1227" t="s">
        <v>118</v>
      </c>
      <c r="I10022" s="773">
        <v>9.26</v>
      </c>
      <c r="J10022" s="774">
        <v>9.6999999999999993</v>
      </c>
      <c r="K10022" s="775">
        <v>2</v>
      </c>
      <c r="L10022" s="552">
        <f t="shared" si="2061"/>
        <v>0.17964399999999997</v>
      </c>
      <c r="M10022" s="549"/>
      <c r="N10022" s="549"/>
      <c r="O10022" s="549"/>
      <c r="P10022" s="549"/>
      <c r="R10022" s="126">
        <f t="shared" si="2062"/>
        <v>0</v>
      </c>
    </row>
    <row r="10023" spans="1:19" ht="17.399999999999999">
      <c r="A10023" s="549"/>
      <c r="B10023" s="549"/>
      <c r="C10023" s="549"/>
      <c r="D10023" s="549"/>
      <c r="E10023" s="549"/>
      <c r="F10023" s="549"/>
      <c r="G10023" s="792" t="s">
        <v>21</v>
      </c>
      <c r="H10023" s="1227" t="s">
        <v>118</v>
      </c>
      <c r="I10023" s="773">
        <v>9.26</v>
      </c>
      <c r="J10023" s="774">
        <v>10.5</v>
      </c>
      <c r="K10023" s="775">
        <v>15</v>
      </c>
      <c r="L10023" s="552">
        <f t="shared" si="2061"/>
        <v>1.45845</v>
      </c>
      <c r="M10023" s="549"/>
      <c r="N10023" s="549"/>
      <c r="O10023" s="549"/>
      <c r="P10023" s="549"/>
      <c r="Q10023" s="497">
        <v>4</v>
      </c>
      <c r="R10023" s="126">
        <f t="shared" si="2062"/>
        <v>0.38892000000000004</v>
      </c>
    </row>
    <row r="10024" spans="1:19" ht="17.399999999999999">
      <c r="A10024" s="549"/>
      <c r="B10024" s="549"/>
      <c r="C10024" s="549"/>
      <c r="D10024" s="549"/>
      <c r="E10024" s="549"/>
      <c r="F10024" s="549"/>
      <c r="G10024" s="792" t="s">
        <v>21</v>
      </c>
      <c r="H10024" s="1227" t="s">
        <v>118</v>
      </c>
      <c r="I10024" s="773">
        <v>9.26</v>
      </c>
      <c r="J10024" s="774">
        <v>10.7</v>
      </c>
      <c r="K10024" s="775">
        <v>17</v>
      </c>
      <c r="L10024" s="552">
        <f t="shared" si="2061"/>
        <v>1.6843939999999997</v>
      </c>
      <c r="M10024" s="549"/>
      <c r="N10024" s="549"/>
      <c r="O10024" s="549"/>
      <c r="P10024" s="549"/>
      <c r="Q10024" s="497">
        <f>8+6</f>
        <v>14</v>
      </c>
      <c r="R10024" s="126">
        <f t="shared" si="2062"/>
        <v>1.3871479999999998</v>
      </c>
    </row>
    <row r="10025" spans="1:19" ht="17.399999999999999">
      <c r="A10025" s="549"/>
      <c r="B10025" s="549"/>
      <c r="C10025" s="549"/>
      <c r="D10025" s="549"/>
      <c r="E10025" s="549"/>
      <c r="F10025" s="549"/>
      <c r="G10025" s="792" t="s">
        <v>21</v>
      </c>
      <c r="H10025" s="1227" t="s">
        <v>118</v>
      </c>
      <c r="I10025" s="773">
        <v>9.26</v>
      </c>
      <c r="J10025" s="774">
        <v>11.8</v>
      </c>
      <c r="K10025" s="775">
        <v>30</v>
      </c>
      <c r="L10025" s="552">
        <f t="shared" si="2061"/>
        <v>3.2780399999999998</v>
      </c>
      <c r="M10025" s="549"/>
      <c r="N10025" s="549"/>
      <c r="O10025" s="549"/>
      <c r="P10025" s="549"/>
      <c r="Q10025" s="497">
        <v>30</v>
      </c>
      <c r="R10025" s="126">
        <f t="shared" si="2062"/>
        <v>3.2780399999999998</v>
      </c>
    </row>
    <row r="10026" spans="1:19" ht="17.399999999999999">
      <c r="A10026" s="549"/>
      <c r="B10026" s="549"/>
      <c r="C10026" s="549"/>
      <c r="D10026" s="549"/>
      <c r="E10026" s="549"/>
      <c r="F10026" s="549"/>
      <c r="G10026" s="792" t="s">
        <v>21</v>
      </c>
      <c r="H10026" s="1227" t="s">
        <v>118</v>
      </c>
      <c r="I10026" s="773">
        <v>9.26</v>
      </c>
      <c r="J10026" s="774">
        <v>12</v>
      </c>
      <c r="K10026" s="775">
        <v>11</v>
      </c>
      <c r="L10026" s="552">
        <f t="shared" si="2061"/>
        <v>1.2223200000000001</v>
      </c>
      <c r="M10026" s="549"/>
      <c r="N10026" s="549"/>
      <c r="O10026" s="549"/>
      <c r="P10026" s="549"/>
      <c r="Q10026" s="497">
        <v>10</v>
      </c>
      <c r="R10026" s="126">
        <f t="shared" si="2062"/>
        <v>1.1112</v>
      </c>
    </row>
    <row r="10027" spans="1:19" ht="17.399999999999999">
      <c r="A10027" s="549"/>
      <c r="B10027" s="549"/>
      <c r="C10027" s="549"/>
      <c r="D10027" s="549"/>
      <c r="E10027" s="549"/>
      <c r="F10027" s="549"/>
      <c r="G10027" s="792"/>
      <c r="H10027" s="1227"/>
      <c r="I10027" s="773"/>
      <c r="J10027" s="774"/>
      <c r="K10027" s="775">
        <f t="shared" ref="K10027:L10027" si="2063">SUM(K10020:K10026)</f>
        <v>110</v>
      </c>
      <c r="L10027" s="1415">
        <f t="shared" si="2063"/>
        <v>10.512877999999997</v>
      </c>
      <c r="M10027" s="549"/>
      <c r="N10027" s="549"/>
      <c r="O10027" s="549"/>
      <c r="P10027" s="549"/>
      <c r="Q10027" s="775">
        <f t="shared" ref="Q10027:R10027" si="2064">SUM(Q10020:Q10026)</f>
        <v>65</v>
      </c>
      <c r="R10027" s="1415">
        <f t="shared" si="2064"/>
        <v>6.6968319999999997</v>
      </c>
    </row>
    <row r="10028" spans="1:19" s="1358" customFormat="1" ht="17.399999999999999">
      <c r="A10028" s="549"/>
      <c r="B10028" s="549"/>
      <c r="C10028" s="549"/>
      <c r="D10028" s="549"/>
      <c r="E10028" s="549"/>
      <c r="F10028" s="549"/>
      <c r="G10028" s="792"/>
      <c r="H10028" s="1227"/>
      <c r="I10028" s="773"/>
      <c r="J10028" s="774"/>
      <c r="K10028" s="775"/>
      <c r="L10028" s="1226"/>
      <c r="M10028" s="549"/>
      <c r="N10028" s="549"/>
      <c r="O10028" s="549"/>
      <c r="P10028" s="549"/>
    </row>
    <row r="10029" spans="1:19" ht="17.399999999999999">
      <c r="A10029" s="547" t="s">
        <v>272</v>
      </c>
      <c r="B10029" s="547" t="s">
        <v>1170</v>
      </c>
      <c r="C10029" s="547" t="s">
        <v>446</v>
      </c>
      <c r="D10029" s="813" t="s">
        <v>447</v>
      </c>
      <c r="E10029" s="547" t="s">
        <v>359</v>
      </c>
      <c r="F10029" s="549">
        <v>12</v>
      </c>
      <c r="G10029" s="549" t="s">
        <v>21</v>
      </c>
      <c r="H10029" s="599" t="s">
        <v>118</v>
      </c>
      <c r="I10029" s="558">
        <v>9.26</v>
      </c>
      <c r="J10029" s="567">
        <v>6.95</v>
      </c>
      <c r="K10029" s="648">
        <v>65</v>
      </c>
      <c r="L10029" s="552">
        <f t="shared" ref="L10029:L10032" si="2065">(I10029*J10029*K10029/1000)</f>
        <v>4.1832050000000001</v>
      </c>
      <c r="M10029" s="549"/>
      <c r="N10029" s="549"/>
      <c r="O10029" s="549"/>
      <c r="P10029" s="549"/>
      <c r="Q10029" s="512">
        <v>19</v>
      </c>
      <c r="R10029" s="126">
        <f t="shared" ref="R10029:R10032" si="2066">J10029*Q10029*I10029/1000</f>
        <v>1.2227830000000002</v>
      </c>
      <c r="S10029" s="1358" t="s">
        <v>1253</v>
      </c>
    </row>
    <row r="10030" spans="1:19" ht="17.399999999999999">
      <c r="A10030" s="549"/>
      <c r="B10030" s="549"/>
      <c r="C10030" s="549"/>
      <c r="D10030" s="549"/>
      <c r="E10030" s="549"/>
      <c r="F10030" s="549"/>
      <c r="G10030" s="549" t="s">
        <v>21</v>
      </c>
      <c r="H10030" s="549" t="s">
        <v>118</v>
      </c>
      <c r="I10030" s="558">
        <v>9.26</v>
      </c>
      <c r="J10030" s="567">
        <v>7.5</v>
      </c>
      <c r="K10030" s="648">
        <v>94</v>
      </c>
      <c r="L10030" s="552">
        <f t="shared" si="2065"/>
        <v>6.5282999999999998</v>
      </c>
      <c r="M10030" s="549"/>
      <c r="N10030" s="549"/>
      <c r="O10030" s="549"/>
      <c r="P10030" s="549"/>
      <c r="R10030" s="126">
        <f t="shared" si="2066"/>
        <v>0</v>
      </c>
    </row>
    <row r="10031" spans="1:19" ht="17.399999999999999">
      <c r="A10031" s="549"/>
      <c r="B10031" s="549"/>
      <c r="C10031" s="549"/>
      <c r="D10031" s="549"/>
      <c r="E10031" s="549"/>
      <c r="F10031" s="549"/>
      <c r="G10031" s="549" t="s">
        <v>21</v>
      </c>
      <c r="H10031" s="549" t="s">
        <v>118</v>
      </c>
      <c r="I10031" s="558">
        <v>9.26</v>
      </c>
      <c r="J10031" s="567">
        <v>10</v>
      </c>
      <c r="K10031" s="648">
        <f>79-29-11</f>
        <v>39</v>
      </c>
      <c r="L10031" s="552">
        <f t="shared" si="2065"/>
        <v>3.6113999999999997</v>
      </c>
      <c r="M10031" s="549"/>
      <c r="N10031" s="549"/>
      <c r="O10031" s="549"/>
      <c r="P10031" s="549"/>
      <c r="Q10031" s="497">
        <f>19+19</f>
        <v>38</v>
      </c>
      <c r="R10031" s="126">
        <f t="shared" si="2066"/>
        <v>3.5187999999999997</v>
      </c>
    </row>
    <row r="10032" spans="1:19" ht="17.399999999999999">
      <c r="A10032" s="549"/>
      <c r="B10032" s="549"/>
      <c r="C10032" s="549"/>
      <c r="D10032" s="549"/>
      <c r="E10032" s="549"/>
      <c r="F10032" s="549"/>
      <c r="G10032" s="549" t="s">
        <v>21</v>
      </c>
      <c r="H10032" s="549" t="s">
        <v>118</v>
      </c>
      <c r="I10032" s="558">
        <v>9.26</v>
      </c>
      <c r="J10032" s="567">
        <v>12</v>
      </c>
      <c r="K10032" s="648">
        <f>600-146</f>
        <v>454</v>
      </c>
      <c r="L10032" s="552">
        <f t="shared" si="2065"/>
        <v>50.448480000000004</v>
      </c>
      <c r="M10032" s="549"/>
      <c r="N10032" s="549"/>
      <c r="O10032" s="549"/>
      <c r="P10032" s="549"/>
      <c r="Q10032" s="497">
        <f>30+30+30+30+29+12+28+28+28+28+28+28+28+28+28+28+28-15</f>
        <v>454</v>
      </c>
      <c r="R10032" s="126">
        <f t="shared" si="2066"/>
        <v>50.448479999999996</v>
      </c>
    </row>
    <row r="10033" spans="1:19" ht="17.399999999999999">
      <c r="A10033" s="549"/>
      <c r="B10033" s="549"/>
      <c r="C10033" s="549"/>
      <c r="D10033" s="549"/>
      <c r="E10033" s="549"/>
      <c r="F10033" s="549"/>
      <c r="G10033" s="549"/>
      <c r="H10033" s="549"/>
      <c r="I10033" s="558"/>
      <c r="J10033" s="567"/>
      <c r="K10033" s="648">
        <f>SUM(K10029:K10032)</f>
        <v>652</v>
      </c>
      <c r="L10033" s="732">
        <f>SUM(L10029:L10032)</f>
        <v>64.771385000000009</v>
      </c>
      <c r="M10033" s="549"/>
      <c r="N10033" s="549"/>
      <c r="O10033" s="549"/>
      <c r="P10033" s="549"/>
      <c r="Q10033" s="648">
        <f>SUM(Q10029:Q10032)</f>
        <v>511</v>
      </c>
      <c r="R10033" s="732">
        <f>SUM(R10029:R10032)</f>
        <v>55.190062999999995</v>
      </c>
    </row>
    <row r="10034" spans="1:19" ht="17.399999999999999">
      <c r="A10034" s="549"/>
      <c r="B10034" s="549"/>
      <c r="C10034" s="549"/>
      <c r="D10034" s="549"/>
      <c r="E10034" s="549"/>
      <c r="F10034" s="549"/>
      <c r="G10034" s="549"/>
      <c r="H10034" s="549"/>
      <c r="I10034" s="560"/>
      <c r="J10034" s="549"/>
      <c r="K10034" s="561"/>
      <c r="L10034" s="560"/>
      <c r="M10034" s="549"/>
      <c r="N10034" s="549"/>
      <c r="O10034" s="549"/>
      <c r="P10034" s="549"/>
    </row>
    <row r="10035" spans="1:19" ht="17.399999999999999">
      <c r="A10035" s="547" t="s">
        <v>272</v>
      </c>
      <c r="B10035" s="547" t="s">
        <v>1174</v>
      </c>
      <c r="C10035" s="547" t="s">
        <v>446</v>
      </c>
      <c r="D10035" s="813" t="s">
        <v>447</v>
      </c>
      <c r="E10035" s="547" t="s">
        <v>359</v>
      </c>
      <c r="F10035" s="549">
        <v>12</v>
      </c>
      <c r="G10035" s="549" t="s">
        <v>21</v>
      </c>
      <c r="H10035" s="599" t="s">
        <v>118</v>
      </c>
      <c r="I10035" s="560">
        <v>9.26</v>
      </c>
      <c r="J10035" s="567">
        <v>7.55</v>
      </c>
      <c r="K10035" s="648">
        <v>32</v>
      </c>
      <c r="L10035" s="552">
        <f t="shared" ref="L10035:L10038" si="2067">(I10035*J10035*K10035/1000)</f>
        <v>2.2372160000000001</v>
      </c>
      <c r="M10035" s="549"/>
      <c r="N10035" s="549"/>
      <c r="O10035" s="549"/>
      <c r="P10035" s="549"/>
      <c r="Q10035" s="1358" t="s">
        <v>1253</v>
      </c>
    </row>
    <row r="10036" spans="1:19" ht="17.399999999999999">
      <c r="A10036" s="549"/>
      <c r="B10036" s="549"/>
      <c r="C10036" s="549"/>
      <c r="D10036" s="549"/>
      <c r="E10036" s="549"/>
      <c r="F10036" s="549"/>
      <c r="G10036" s="549" t="s">
        <v>21</v>
      </c>
      <c r="H10036" s="549" t="s">
        <v>118</v>
      </c>
      <c r="I10036" s="560">
        <v>9.26</v>
      </c>
      <c r="J10036" s="567">
        <v>10.5</v>
      </c>
      <c r="K10036" s="648">
        <v>8</v>
      </c>
      <c r="L10036" s="552">
        <f t="shared" si="2067"/>
        <v>0.77784000000000009</v>
      </c>
      <c r="M10036" s="549"/>
      <c r="N10036" s="549"/>
      <c r="O10036" s="549"/>
      <c r="P10036" s="549"/>
    </row>
    <row r="10037" spans="1:19" ht="17.399999999999999">
      <c r="A10037" s="549"/>
      <c r="B10037" s="549"/>
      <c r="C10037" s="549"/>
      <c r="D10037" s="549"/>
      <c r="E10037" s="549"/>
      <c r="F10037" s="549"/>
      <c r="G10037" s="549" t="s">
        <v>21</v>
      </c>
      <c r="H10037" s="549" t="s">
        <v>118</v>
      </c>
      <c r="I10037" s="560">
        <v>9.26</v>
      </c>
      <c r="J10037" s="567">
        <v>11.4</v>
      </c>
      <c r="K10037" s="648">
        <v>20</v>
      </c>
      <c r="L10037" s="552">
        <f t="shared" si="2067"/>
        <v>2.1112800000000003</v>
      </c>
      <c r="M10037" s="549"/>
      <c r="N10037" s="549"/>
      <c r="O10037" s="549"/>
      <c r="P10037" s="549"/>
      <c r="Q10037" s="497">
        <v>12</v>
      </c>
      <c r="R10037" s="126">
        <f t="shared" ref="R10037" si="2068">J10037*Q10037*I10037/1000</f>
        <v>1.2667680000000001</v>
      </c>
    </row>
    <row r="10038" spans="1:19" ht="17.399999999999999">
      <c r="A10038" s="549"/>
      <c r="B10038" s="549"/>
      <c r="C10038" s="549"/>
      <c r="D10038" s="549"/>
      <c r="E10038" s="549"/>
      <c r="F10038" s="549"/>
      <c r="G10038" s="549" t="s">
        <v>21</v>
      </c>
      <c r="H10038" s="549" t="s">
        <v>118</v>
      </c>
      <c r="I10038" s="560">
        <v>9.26</v>
      </c>
      <c r="J10038" s="567">
        <v>12</v>
      </c>
      <c r="K10038" s="648">
        <v>8</v>
      </c>
      <c r="L10038" s="552">
        <f t="shared" si="2067"/>
        <v>0.88896000000000008</v>
      </c>
      <c r="M10038" s="549"/>
      <c r="N10038" s="549"/>
      <c r="O10038" s="549"/>
      <c r="P10038" s="549"/>
    </row>
    <row r="10039" spans="1:19" ht="17.399999999999999">
      <c r="A10039" s="549"/>
      <c r="B10039" s="549"/>
      <c r="C10039" s="549"/>
      <c r="D10039" s="549"/>
      <c r="E10039" s="549"/>
      <c r="F10039" s="549"/>
      <c r="G10039" s="549"/>
      <c r="H10039" s="549"/>
      <c r="I10039" s="560"/>
      <c r="J10039" s="567"/>
      <c r="K10039" s="648">
        <f t="shared" ref="K10039:L10039" si="2069">SUM(K10035:K10038)</f>
        <v>68</v>
      </c>
      <c r="L10039" s="732">
        <f t="shared" si="2069"/>
        <v>6.0152960000000002</v>
      </c>
      <c r="M10039" s="549"/>
      <c r="N10039" s="549"/>
      <c r="O10039" s="549"/>
      <c r="P10039" s="549"/>
      <c r="Q10039" s="648">
        <f t="shared" ref="Q10039" si="2070">SUM(Q10035:Q10038)</f>
        <v>12</v>
      </c>
      <c r="R10039" s="732">
        <f>SUM(R10035:R10038)</f>
        <v>1.2667680000000001</v>
      </c>
    </row>
    <row r="10040" spans="1:19" s="1358" customFormat="1" ht="17.399999999999999">
      <c r="A10040" s="549"/>
      <c r="B10040" s="549"/>
      <c r="C10040" s="549"/>
      <c r="D10040" s="549"/>
      <c r="E10040" s="549"/>
      <c r="F10040" s="549"/>
      <c r="G10040" s="549"/>
      <c r="H10040" s="549"/>
      <c r="I10040" s="560"/>
      <c r="J10040" s="567"/>
      <c r="K10040" s="648"/>
      <c r="L10040" s="567"/>
      <c r="M10040" s="549"/>
      <c r="N10040" s="549"/>
      <c r="O10040" s="549"/>
      <c r="P10040" s="549"/>
    </row>
    <row r="10041" spans="1:19" ht="17.399999999999999">
      <c r="A10041" s="547" t="s">
        <v>272</v>
      </c>
      <c r="B10041" s="547" t="s">
        <v>1175</v>
      </c>
      <c r="C10041" s="547" t="s">
        <v>446</v>
      </c>
      <c r="D10041" s="813" t="s">
        <v>447</v>
      </c>
      <c r="E10041" s="547" t="s">
        <v>359</v>
      </c>
      <c r="F10041" s="549">
        <v>12</v>
      </c>
      <c r="G10041" s="549" t="s">
        <v>21</v>
      </c>
      <c r="H10041" s="599" t="s">
        <v>118</v>
      </c>
      <c r="I10041" s="560">
        <v>9.26</v>
      </c>
      <c r="J10041" s="567">
        <v>7.25</v>
      </c>
      <c r="K10041" s="648">
        <v>140</v>
      </c>
      <c r="L10041" s="552">
        <f t="shared" ref="L10041:L10048" si="2071">(I10041*J10041*K10041/1000)</f>
        <v>9.3989000000000011</v>
      </c>
      <c r="M10041" s="549"/>
      <c r="N10041" s="549"/>
      <c r="O10041" s="549"/>
      <c r="P10041" s="549"/>
      <c r="Q10041" s="1358">
        <f>33+4+31+30</f>
        <v>98</v>
      </c>
      <c r="R10041" s="126">
        <f t="shared" ref="R10041:R10048" si="2072">J10041*Q10041*I10041/1000</f>
        <v>6.5792299999999999</v>
      </c>
      <c r="S10041" s="1358" t="s">
        <v>1253</v>
      </c>
    </row>
    <row r="10042" spans="1:19" ht="17.399999999999999">
      <c r="A10042" s="549"/>
      <c r="B10042" s="549"/>
      <c r="C10042" s="549"/>
      <c r="D10042" s="549"/>
      <c r="E10042" s="549"/>
      <c r="F10042" s="549"/>
      <c r="G10042" s="549" t="s">
        <v>21</v>
      </c>
      <c r="H10042" s="549" t="s">
        <v>118</v>
      </c>
      <c r="I10042" s="560">
        <v>9.26</v>
      </c>
      <c r="J10042" s="567">
        <v>7.55</v>
      </c>
      <c r="K10042" s="648">
        <v>76</v>
      </c>
      <c r="L10042" s="552">
        <f t="shared" si="2071"/>
        <v>5.3133879999999998</v>
      </c>
      <c r="M10042" s="549"/>
      <c r="N10042" s="549"/>
      <c r="O10042" s="549"/>
      <c r="P10042" s="549"/>
      <c r="Q10042" s="497">
        <v>6</v>
      </c>
      <c r="R10042" s="126">
        <f t="shared" si="2072"/>
        <v>0.41947799999999996</v>
      </c>
    </row>
    <row r="10043" spans="1:19" ht="17.399999999999999">
      <c r="A10043" s="549"/>
      <c r="B10043" s="549"/>
      <c r="C10043" s="549"/>
      <c r="D10043" s="549"/>
      <c r="E10043" s="549"/>
      <c r="F10043" s="549"/>
      <c r="G10043" s="549" t="s">
        <v>21</v>
      </c>
      <c r="H10043" s="549" t="s">
        <v>118</v>
      </c>
      <c r="I10043" s="560">
        <v>9.26</v>
      </c>
      <c r="J10043" s="567">
        <v>7.95</v>
      </c>
      <c r="K10043" s="648">
        <v>76</v>
      </c>
      <c r="L10043" s="552">
        <f t="shared" si="2071"/>
        <v>5.5948920000000006</v>
      </c>
      <c r="M10043" s="549"/>
      <c r="N10043" s="549"/>
      <c r="O10043" s="549"/>
      <c r="P10043" s="549"/>
      <c r="R10043" s="126">
        <f t="shared" si="2072"/>
        <v>0</v>
      </c>
    </row>
    <row r="10044" spans="1:19" ht="17.399999999999999">
      <c r="A10044" s="549"/>
      <c r="B10044" s="549"/>
      <c r="C10044" s="549"/>
      <c r="D10044" s="549"/>
      <c r="E10044" s="549"/>
      <c r="F10044" s="549"/>
      <c r="G10044" s="549" t="s">
        <v>21</v>
      </c>
      <c r="H10044" s="549" t="s">
        <v>118</v>
      </c>
      <c r="I10044" s="560">
        <v>9.26</v>
      </c>
      <c r="J10044" s="567">
        <v>8</v>
      </c>
      <c r="K10044" s="648">
        <v>306</v>
      </c>
      <c r="L10044" s="552">
        <f t="shared" si="2071"/>
        <v>22.668479999999999</v>
      </c>
      <c r="M10044" s="549"/>
      <c r="N10044" s="549"/>
      <c r="O10044" s="549"/>
      <c r="P10044" s="549"/>
      <c r="Q10044" s="497">
        <f>24+3+32</f>
        <v>59</v>
      </c>
      <c r="R10044" s="126">
        <f t="shared" si="2072"/>
        <v>4.3707200000000004</v>
      </c>
    </row>
    <row r="10045" spans="1:19" ht="17.399999999999999">
      <c r="A10045" s="549"/>
      <c r="B10045" s="549"/>
      <c r="C10045" s="549"/>
      <c r="D10045" s="549"/>
      <c r="E10045" s="549"/>
      <c r="F10045" s="549"/>
      <c r="G10045" s="549" t="s">
        <v>21</v>
      </c>
      <c r="H10045" s="549" t="s">
        <v>118</v>
      </c>
      <c r="I10045" s="560">
        <v>9.26</v>
      </c>
      <c r="J10045" s="567">
        <v>8.5</v>
      </c>
      <c r="K10045" s="648">
        <v>116</v>
      </c>
      <c r="L10045" s="552">
        <f t="shared" si="2071"/>
        <v>9.1303599999999996</v>
      </c>
      <c r="M10045" s="549"/>
      <c r="N10045" s="549"/>
      <c r="O10045" s="549"/>
      <c r="P10045" s="549"/>
      <c r="Q10045" s="497">
        <f>29+20+30+27</f>
        <v>106</v>
      </c>
      <c r="R10045" s="126">
        <f t="shared" si="2072"/>
        <v>8.3432600000000008</v>
      </c>
    </row>
    <row r="10046" spans="1:19" ht="17.399999999999999">
      <c r="A10046" s="549"/>
      <c r="B10046" s="549"/>
      <c r="C10046" s="549"/>
      <c r="D10046" s="549"/>
      <c r="E10046" s="549"/>
      <c r="F10046" s="549"/>
      <c r="G10046" s="549" t="s">
        <v>21</v>
      </c>
      <c r="H10046" s="549" t="s">
        <v>118</v>
      </c>
      <c r="I10046" s="560">
        <v>9.26</v>
      </c>
      <c r="J10046" s="567">
        <v>10.5</v>
      </c>
      <c r="K10046" s="648">
        <v>96</v>
      </c>
      <c r="L10046" s="552">
        <f t="shared" si="2071"/>
        <v>9.3340800000000002</v>
      </c>
      <c r="M10046" s="549"/>
      <c r="N10046" s="549"/>
      <c r="O10046" s="549"/>
      <c r="P10046" s="549"/>
      <c r="Q10046" s="497">
        <f>32+31</f>
        <v>63</v>
      </c>
      <c r="R10046" s="126">
        <f t="shared" si="2072"/>
        <v>6.1254900000000001</v>
      </c>
    </row>
    <row r="10047" spans="1:19" ht="17.399999999999999">
      <c r="A10047" s="549"/>
      <c r="B10047" s="549"/>
      <c r="C10047" s="549"/>
      <c r="D10047" s="549"/>
      <c r="E10047" s="549"/>
      <c r="F10047" s="549"/>
      <c r="G10047" s="549" t="s">
        <v>21</v>
      </c>
      <c r="H10047" s="549" t="s">
        <v>118</v>
      </c>
      <c r="I10047" s="560">
        <v>9.26</v>
      </c>
      <c r="J10047" s="567">
        <v>11.4</v>
      </c>
      <c r="K10047" s="648">
        <v>9</v>
      </c>
      <c r="L10047" s="552">
        <f t="shared" si="2071"/>
        <v>0.95007600000000003</v>
      </c>
      <c r="M10047" s="549"/>
      <c r="N10047" s="549"/>
      <c r="O10047" s="549"/>
      <c r="P10047" s="549"/>
      <c r="R10047" s="126">
        <f t="shared" si="2072"/>
        <v>0</v>
      </c>
    </row>
    <row r="10048" spans="1:19" ht="17.399999999999999">
      <c r="A10048" s="549"/>
      <c r="B10048" s="549"/>
      <c r="C10048" s="549"/>
      <c r="D10048" s="549"/>
      <c r="E10048" s="549"/>
      <c r="F10048" s="549"/>
      <c r="G10048" s="549" t="s">
        <v>21</v>
      </c>
      <c r="H10048" s="549" t="s">
        <v>118</v>
      </c>
      <c r="I10048" s="560">
        <v>9.26</v>
      </c>
      <c r="J10048" s="567">
        <v>12</v>
      </c>
      <c r="K10048" s="648">
        <v>209</v>
      </c>
      <c r="L10048" s="552">
        <f t="shared" si="2071"/>
        <v>23.224080000000001</v>
      </c>
      <c r="M10048" s="549"/>
      <c r="N10048" s="549"/>
      <c r="O10048" s="549"/>
      <c r="P10048" s="549"/>
      <c r="Q10048" s="497">
        <f>26+26+27+28+15+26</f>
        <v>148</v>
      </c>
      <c r="R10048" s="126">
        <f t="shared" si="2072"/>
        <v>16.44576</v>
      </c>
    </row>
    <row r="10049" spans="1:18" ht="17.399999999999999">
      <c r="A10049" s="549"/>
      <c r="B10049" s="549"/>
      <c r="C10049" s="549"/>
      <c r="D10049" s="549"/>
      <c r="E10049" s="549"/>
      <c r="F10049" s="549"/>
      <c r="G10049" s="549"/>
      <c r="H10049" s="549"/>
      <c r="I10049" s="560"/>
      <c r="J10049" s="567"/>
      <c r="K10049" s="648">
        <f>SUM(K10041:K10048)</f>
        <v>1028</v>
      </c>
      <c r="L10049" s="732">
        <f>SUM(L10041:L10048)</f>
        <v>85.614256000000012</v>
      </c>
      <c r="M10049" s="549"/>
      <c r="N10049" s="549"/>
      <c r="O10049" s="549"/>
      <c r="P10049" s="549"/>
      <c r="Q10049" s="648">
        <f>SUM(Q10041:Q10048)</f>
        <v>480</v>
      </c>
      <c r="R10049" s="732">
        <f>SUM(R10041:R10048)</f>
        <v>42.283937999999999</v>
      </c>
    </row>
    <row r="10050" spans="1:18" s="1358" customFormat="1" ht="17.399999999999999">
      <c r="A10050" s="549"/>
      <c r="B10050" s="549"/>
      <c r="C10050" s="549"/>
      <c r="D10050" s="549"/>
      <c r="E10050" s="549"/>
      <c r="F10050" s="549"/>
      <c r="G10050" s="549"/>
      <c r="H10050" s="549"/>
      <c r="I10050" s="560"/>
      <c r="J10050" s="549"/>
      <c r="K10050" s="561"/>
      <c r="L10050" s="565">
        <f>+L10049+L10039+L10033+L10027+L10018</f>
        <v>187.47286700000004</v>
      </c>
      <c r="M10050" s="549"/>
      <c r="N10050" s="549"/>
      <c r="O10050" s="549"/>
      <c r="P10050" s="549" t="s">
        <v>1190</v>
      </c>
      <c r="R10050" s="565">
        <f>+R10049+R10039+R10033+R10027+R10018</f>
        <v>123.08716100000001</v>
      </c>
    </row>
    <row r="10051" spans="1:18" s="1358" customFormat="1" ht="17.399999999999999">
      <c r="A10051" s="549"/>
      <c r="B10051" s="549"/>
      <c r="C10051" s="549"/>
      <c r="D10051" s="549"/>
      <c r="E10051" s="549"/>
      <c r="F10051" s="549"/>
      <c r="G10051" s="549"/>
      <c r="H10051" s="549"/>
      <c r="I10051" s="560"/>
      <c r="J10051" s="549"/>
      <c r="K10051" s="561"/>
      <c r="L10051" s="565"/>
      <c r="M10051" s="549"/>
      <c r="N10051" s="549"/>
      <c r="O10051" s="549"/>
      <c r="P10051" s="549"/>
    </row>
    <row r="10052" spans="1:18" ht="17.399999999999999">
      <c r="A10052" s="547" t="s">
        <v>272</v>
      </c>
      <c r="B10052" s="547" t="s">
        <v>1165</v>
      </c>
      <c r="C10052" s="547" t="s">
        <v>446</v>
      </c>
      <c r="D10052" s="813" t="s">
        <v>447</v>
      </c>
      <c r="E10052" s="547" t="s">
        <v>359</v>
      </c>
      <c r="F10052" s="549">
        <v>12</v>
      </c>
      <c r="G10052" s="792" t="s">
        <v>21</v>
      </c>
      <c r="H10052" s="1247" t="s">
        <v>119</v>
      </c>
      <c r="I10052" s="773">
        <v>10.73</v>
      </c>
      <c r="J10052" s="774">
        <v>7.5</v>
      </c>
      <c r="K10052" s="775">
        <v>22</v>
      </c>
      <c r="L10052" s="552">
        <f t="shared" ref="L10052:L10054" si="2073">(I10052*J10052*K10052/1000)</f>
        <v>1.7704500000000003</v>
      </c>
      <c r="M10052" s="549"/>
      <c r="N10052" s="549"/>
      <c r="O10052" s="549"/>
      <c r="P10052" s="549"/>
      <c r="Q10052" s="1358" t="s">
        <v>1253</v>
      </c>
    </row>
    <row r="10053" spans="1:18" ht="17.399999999999999">
      <c r="A10053" s="549"/>
      <c r="B10053" s="549"/>
      <c r="C10053" s="549"/>
      <c r="D10053" s="549"/>
      <c r="E10053" s="549"/>
      <c r="F10053" s="549"/>
      <c r="G10053" s="792" t="s">
        <v>21</v>
      </c>
      <c r="H10053" s="1227" t="s">
        <v>119</v>
      </c>
      <c r="I10053" s="773">
        <v>10.73</v>
      </c>
      <c r="J10053" s="774">
        <v>8.6999999999999993</v>
      </c>
      <c r="K10053" s="775">
        <v>35</v>
      </c>
      <c r="L10053" s="552">
        <f t="shared" si="2073"/>
        <v>3.2672849999999998</v>
      </c>
      <c r="M10053" s="549"/>
      <c r="N10053" s="549"/>
      <c r="O10053" s="549"/>
      <c r="P10053" s="549"/>
      <c r="R10053" s="1358"/>
    </row>
    <row r="10054" spans="1:18" ht="17.399999999999999">
      <c r="A10054" s="549"/>
      <c r="B10054" s="549"/>
      <c r="C10054" s="549"/>
      <c r="D10054" s="549"/>
      <c r="E10054" s="549"/>
      <c r="F10054" s="549"/>
      <c r="G10054" s="792" t="s">
        <v>21</v>
      </c>
      <c r="H10054" s="1227" t="s">
        <v>119</v>
      </c>
      <c r="I10054" s="773">
        <v>10.73</v>
      </c>
      <c r="J10054" s="774">
        <v>11.6</v>
      </c>
      <c r="K10054" s="775">
        <v>70</v>
      </c>
      <c r="L10054" s="552">
        <f t="shared" si="2073"/>
        <v>8.7127599999999994</v>
      </c>
      <c r="M10054" s="549"/>
      <c r="N10054" s="549"/>
      <c r="O10054" s="549"/>
      <c r="P10054" s="549"/>
    </row>
    <row r="10055" spans="1:18" ht="17.399999999999999">
      <c r="A10055" s="549"/>
      <c r="B10055" s="549"/>
      <c r="C10055" s="549"/>
      <c r="D10055" s="549"/>
      <c r="E10055" s="549"/>
      <c r="F10055" s="549"/>
      <c r="G10055" s="792"/>
      <c r="H10055" s="1227"/>
      <c r="I10055" s="773"/>
      <c r="J10055" s="774"/>
      <c r="K10055" s="775">
        <f t="shared" ref="K10055:L10055" si="2074">SUM(K10052:K10054)</f>
        <v>127</v>
      </c>
      <c r="L10055" s="1226">
        <f t="shared" si="2074"/>
        <v>13.750494999999999</v>
      </c>
      <c r="M10055" s="549"/>
      <c r="N10055" s="549"/>
      <c r="O10055" s="549"/>
      <c r="P10055" s="549"/>
      <c r="Q10055" s="775">
        <f>SUM(Q10052:Q10054)</f>
        <v>0</v>
      </c>
      <c r="R10055" s="1226">
        <f t="shared" ref="R10055" si="2075">SUM(R10052:R10054)</f>
        <v>0</v>
      </c>
    </row>
    <row r="10056" spans="1:18" s="1358" customFormat="1" ht="17.399999999999999">
      <c r="A10056" s="549"/>
      <c r="B10056" s="549"/>
      <c r="C10056" s="549"/>
      <c r="D10056" s="549"/>
      <c r="E10056" s="549"/>
      <c r="F10056" s="549"/>
      <c r="G10056" s="549"/>
      <c r="H10056" s="549"/>
      <c r="I10056" s="560"/>
      <c r="J10056" s="710"/>
      <c r="K10056" s="648"/>
      <c r="L10056" s="552"/>
      <c r="M10056" s="549"/>
      <c r="N10056" s="549"/>
      <c r="O10056" s="549"/>
      <c r="P10056" s="549"/>
    </row>
    <row r="10057" spans="1:18" ht="17.399999999999999">
      <c r="A10057" s="547" t="s">
        <v>272</v>
      </c>
      <c r="B10057" s="547" t="s">
        <v>1170</v>
      </c>
      <c r="C10057" s="547" t="s">
        <v>446</v>
      </c>
      <c r="D10057" s="813" t="s">
        <v>447</v>
      </c>
      <c r="E10057" s="547" t="s">
        <v>359</v>
      </c>
      <c r="F10057" s="549">
        <v>12</v>
      </c>
      <c r="G10057" s="549" t="s">
        <v>21</v>
      </c>
      <c r="H10057" s="599" t="s">
        <v>119</v>
      </c>
      <c r="I10057" s="558">
        <v>10.73</v>
      </c>
      <c r="J10057" s="567">
        <v>6.5</v>
      </c>
      <c r="K10057" s="648">
        <v>33</v>
      </c>
      <c r="L10057" s="552">
        <f t="shared" ref="L10057:L10061" si="2076">(I10057*J10057*K10057/1000)</f>
        <v>2.3015850000000002</v>
      </c>
      <c r="M10057" s="549"/>
      <c r="N10057" s="567">
        <f>J10057*M10057*I10057/1000</f>
        <v>0</v>
      </c>
      <c r="O10057" s="549"/>
      <c r="P10057" s="549"/>
      <c r="Q10057" s="1358" t="s">
        <v>1253</v>
      </c>
    </row>
    <row r="10058" spans="1:18" ht="17.399999999999999">
      <c r="A10058" s="549"/>
      <c r="B10058" s="549"/>
      <c r="C10058" s="549"/>
      <c r="D10058" s="549"/>
      <c r="E10058" s="549"/>
      <c r="F10058" s="549"/>
      <c r="G10058" s="549" t="s">
        <v>21</v>
      </c>
      <c r="H10058" s="549" t="s">
        <v>119</v>
      </c>
      <c r="I10058" s="558">
        <v>10.73</v>
      </c>
      <c r="J10058" s="567">
        <v>9.25</v>
      </c>
      <c r="K10058" s="648">
        <v>29</v>
      </c>
      <c r="L10058" s="552">
        <f t="shared" si="2076"/>
        <v>2.8783224999999999</v>
      </c>
      <c r="M10058" s="549"/>
      <c r="N10058" s="567">
        <f t="shared" ref="N10058:N10061" si="2077">J10058*M10058*I10058/1000</f>
        <v>0</v>
      </c>
      <c r="O10058" s="549"/>
      <c r="P10058" s="549"/>
    </row>
    <row r="10059" spans="1:18" ht="17.399999999999999">
      <c r="A10059" s="549"/>
      <c r="B10059" s="549"/>
      <c r="C10059" s="549"/>
      <c r="D10059" s="549"/>
      <c r="E10059" s="549"/>
      <c r="F10059" s="549"/>
      <c r="G10059" s="549" t="s">
        <v>21</v>
      </c>
      <c r="H10059" s="549" t="s">
        <v>119</v>
      </c>
      <c r="I10059" s="558">
        <v>10.73</v>
      </c>
      <c r="J10059" s="567">
        <v>10</v>
      </c>
      <c r="K10059" s="648">
        <v>325</v>
      </c>
      <c r="L10059" s="552">
        <f t="shared" si="2076"/>
        <v>34.872500000000009</v>
      </c>
      <c r="M10059" s="549"/>
      <c r="N10059" s="567">
        <f t="shared" si="2077"/>
        <v>0</v>
      </c>
      <c r="O10059" s="549"/>
      <c r="P10059" s="549"/>
    </row>
    <row r="10060" spans="1:18" ht="17.399999999999999">
      <c r="A10060" s="549"/>
      <c r="B10060" s="549"/>
      <c r="C10060" s="549"/>
      <c r="D10060" s="549"/>
      <c r="E10060" s="549"/>
      <c r="F10060" s="549"/>
      <c r="G10060" s="549" t="s">
        <v>21</v>
      </c>
      <c r="H10060" s="549" t="s">
        <v>119</v>
      </c>
      <c r="I10060" s="558">
        <v>10.73</v>
      </c>
      <c r="J10060" s="567">
        <v>11</v>
      </c>
      <c r="K10060" s="648">
        <v>52</v>
      </c>
      <c r="L10060" s="552">
        <f t="shared" si="2076"/>
        <v>6.1375600000000006</v>
      </c>
      <c r="M10060" s="549"/>
      <c r="N10060" s="567">
        <f t="shared" si="2077"/>
        <v>0</v>
      </c>
      <c r="O10060" s="549"/>
      <c r="P10060" s="549"/>
    </row>
    <row r="10061" spans="1:18" ht="17.399999999999999">
      <c r="A10061" s="549"/>
      <c r="B10061" s="549"/>
      <c r="C10061" s="549"/>
      <c r="D10061" s="549"/>
      <c r="E10061" s="549"/>
      <c r="F10061" s="549"/>
      <c r="G10061" s="549" t="s">
        <v>21</v>
      </c>
      <c r="H10061" s="549" t="s">
        <v>119</v>
      </c>
      <c r="I10061" s="558">
        <v>10.73</v>
      </c>
      <c r="J10061" s="567">
        <v>12</v>
      </c>
      <c r="K10061" s="648">
        <v>193</v>
      </c>
      <c r="L10061" s="552">
        <f t="shared" si="2076"/>
        <v>24.850679999999997</v>
      </c>
      <c r="M10061" s="549"/>
      <c r="N10061" s="567">
        <f t="shared" si="2077"/>
        <v>0</v>
      </c>
      <c r="O10061" s="549"/>
      <c r="P10061" s="549"/>
    </row>
    <row r="10062" spans="1:18" ht="17.399999999999999">
      <c r="A10062" s="549"/>
      <c r="B10062" s="549"/>
      <c r="C10062" s="549"/>
      <c r="D10062" s="549"/>
      <c r="E10062" s="549"/>
      <c r="F10062" s="549"/>
      <c r="G10062" s="549"/>
      <c r="H10062" s="549"/>
      <c r="I10062" s="558"/>
      <c r="J10062" s="567"/>
      <c r="K10062" s="648">
        <f>SUM(K10057:K10061)</f>
        <v>632</v>
      </c>
      <c r="L10062" s="567">
        <f>SUM(L10057:L10061)</f>
        <v>71.040647500000006</v>
      </c>
      <c r="M10062" s="648">
        <f>SUM(M10057:M10061)</f>
        <v>0</v>
      </c>
      <c r="N10062" s="567">
        <f>SUM(N10057:N10061)</f>
        <v>0</v>
      </c>
      <c r="O10062" s="549"/>
      <c r="P10062" s="549"/>
    </row>
    <row r="10063" spans="1:18" s="1358" customFormat="1" ht="17.399999999999999">
      <c r="A10063" s="549"/>
      <c r="B10063" s="549"/>
      <c r="C10063" s="549"/>
      <c r="D10063" s="549"/>
      <c r="E10063" s="549"/>
      <c r="F10063" s="549"/>
      <c r="G10063" s="549"/>
      <c r="H10063" s="549"/>
      <c r="I10063" s="558"/>
      <c r="J10063" s="567"/>
      <c r="K10063" s="648"/>
      <c r="L10063" s="567"/>
      <c r="M10063" s="549"/>
      <c r="N10063" s="549"/>
      <c r="O10063" s="549"/>
      <c r="P10063" s="549"/>
    </row>
    <row r="10064" spans="1:18" ht="17.399999999999999">
      <c r="A10064" s="547" t="s">
        <v>272</v>
      </c>
      <c r="B10064" s="547" t="s">
        <v>1175</v>
      </c>
      <c r="C10064" s="547" t="s">
        <v>446</v>
      </c>
      <c r="D10064" s="813" t="s">
        <v>447</v>
      </c>
      <c r="E10064" s="547" t="s">
        <v>359</v>
      </c>
      <c r="F10064" s="549">
        <v>12</v>
      </c>
      <c r="G10064" s="549" t="s">
        <v>21</v>
      </c>
      <c r="H10064" s="599" t="s">
        <v>119</v>
      </c>
      <c r="I10064" s="560">
        <v>10.73</v>
      </c>
      <c r="J10064" s="567">
        <v>7.5</v>
      </c>
      <c r="K10064" s="648">
        <v>94</v>
      </c>
      <c r="L10064" s="552">
        <f t="shared" ref="L10064:L10066" si="2078">(I10064*J10064*K10064/1000)</f>
        <v>7.5646500000000003</v>
      </c>
      <c r="M10064" s="549"/>
      <c r="N10064" s="549"/>
      <c r="O10064" s="549"/>
      <c r="P10064" s="549"/>
      <c r="Q10064" s="1358" t="s">
        <v>1253</v>
      </c>
    </row>
    <row r="10065" spans="1:17" ht="17.399999999999999">
      <c r="A10065" s="549"/>
      <c r="B10065" s="549"/>
      <c r="C10065" s="549"/>
      <c r="D10065" s="549"/>
      <c r="E10065" s="549"/>
      <c r="F10065" s="549"/>
      <c r="G10065" s="549" t="s">
        <v>21</v>
      </c>
      <c r="H10065" s="549" t="s">
        <v>119</v>
      </c>
      <c r="I10065" s="560">
        <v>10.73</v>
      </c>
      <c r="J10065" s="567">
        <v>11</v>
      </c>
      <c r="K10065" s="648">
        <v>44</v>
      </c>
      <c r="L10065" s="552">
        <f t="shared" si="2078"/>
        <v>5.1933199999999999</v>
      </c>
      <c r="M10065" s="549"/>
      <c r="N10065" s="549"/>
      <c r="O10065" s="549"/>
      <c r="P10065" s="549"/>
    </row>
    <row r="10066" spans="1:17" ht="17.399999999999999">
      <c r="A10066" s="549"/>
      <c r="B10066" s="549"/>
      <c r="C10066" s="549"/>
      <c r="D10066" s="549"/>
      <c r="E10066" s="549"/>
      <c r="F10066" s="549"/>
      <c r="G10066" s="549" t="s">
        <v>21</v>
      </c>
      <c r="H10066" s="549" t="s">
        <v>119</v>
      </c>
      <c r="I10066" s="560">
        <v>10.73</v>
      </c>
      <c r="J10066" s="567">
        <v>12</v>
      </c>
      <c r="K10066" s="648">
        <v>98</v>
      </c>
      <c r="L10066" s="552">
        <f t="shared" si="2078"/>
        <v>12.61848</v>
      </c>
      <c r="M10066" s="549"/>
      <c r="N10066" s="549"/>
      <c r="O10066" s="549"/>
      <c r="P10066" s="549"/>
    </row>
    <row r="10067" spans="1:17" ht="17.399999999999999">
      <c r="A10067" s="549"/>
      <c r="B10067" s="549"/>
      <c r="C10067" s="549"/>
      <c r="D10067" s="549"/>
      <c r="E10067" s="549"/>
      <c r="F10067" s="549"/>
      <c r="G10067" s="549"/>
      <c r="H10067" s="549"/>
      <c r="I10067" s="560"/>
      <c r="J10067" s="567"/>
      <c r="K10067" s="648">
        <f t="shared" ref="K10067" si="2079">SUM(K10064:K10066)</f>
        <v>236</v>
      </c>
      <c r="L10067" s="567">
        <f>SUM(L10064:L10066)</f>
        <v>25.376449999999998</v>
      </c>
      <c r="M10067" s="549"/>
      <c r="N10067" s="549"/>
      <c r="O10067" s="549"/>
      <c r="P10067" s="549"/>
    </row>
    <row r="10068" spans="1:17" s="1358" customFormat="1" ht="17.399999999999999">
      <c r="A10068" s="549"/>
      <c r="B10068" s="549"/>
      <c r="C10068" s="549"/>
      <c r="D10068" s="549"/>
      <c r="E10068" s="549"/>
      <c r="F10068" s="549"/>
      <c r="G10068" s="549"/>
      <c r="H10068" s="549"/>
      <c r="I10068" s="560"/>
      <c r="J10068" s="567"/>
      <c r="K10068" s="766">
        <f>++K10067+K10062+K10055</f>
        <v>995</v>
      </c>
      <c r="L10068" s="765">
        <f>++L10067+L10062+L10055</f>
        <v>110.16759250000001</v>
      </c>
      <c r="M10068" s="766">
        <f>++M10067+M10062+M10055</f>
        <v>0</v>
      </c>
      <c r="N10068" s="765">
        <f>++N10067+N10062+N10055</f>
        <v>0</v>
      </c>
      <c r="O10068" s="549"/>
      <c r="P10068" s="549" t="s">
        <v>1191</v>
      </c>
    </row>
    <row r="10069" spans="1:17" s="1358" customFormat="1" ht="17.399999999999999">
      <c r="A10069" s="549"/>
      <c r="B10069" s="549"/>
      <c r="C10069" s="549"/>
      <c r="D10069" s="549"/>
      <c r="E10069" s="549"/>
      <c r="F10069" s="549"/>
      <c r="G10069" s="549"/>
      <c r="H10069" s="549"/>
      <c r="I10069" s="560"/>
      <c r="J10069" s="567"/>
      <c r="K10069" s="648"/>
      <c r="L10069" s="567"/>
      <c r="M10069" s="549"/>
      <c r="N10069" s="549"/>
      <c r="O10069" s="549"/>
      <c r="P10069" s="549"/>
    </row>
    <row r="10070" spans="1:17" ht="17.399999999999999">
      <c r="A10070" s="547" t="s">
        <v>272</v>
      </c>
      <c r="B10070" s="547" t="s">
        <v>1165</v>
      </c>
      <c r="C10070" s="547" t="s">
        <v>446</v>
      </c>
      <c r="D10070" s="813" t="s">
        <v>447</v>
      </c>
      <c r="E10070" s="547" t="s">
        <v>359</v>
      </c>
      <c r="F10070" s="549">
        <v>12</v>
      </c>
      <c r="G10070" s="792" t="s">
        <v>21</v>
      </c>
      <c r="H10070" s="1247" t="s">
        <v>134</v>
      </c>
      <c r="I10070" s="773">
        <v>12.18</v>
      </c>
      <c r="J10070" s="774">
        <v>7.9</v>
      </c>
      <c r="K10070" s="775">
        <v>14</v>
      </c>
      <c r="L10070" s="552">
        <f t="shared" ref="L10070:L10073" si="2080">(I10070*J10070*K10070/1000)</f>
        <v>1.3471080000000002</v>
      </c>
      <c r="M10070" s="549"/>
      <c r="N10070" s="549"/>
      <c r="O10070" s="549"/>
      <c r="P10070" s="549"/>
      <c r="Q10070" s="1440" t="s">
        <v>1274</v>
      </c>
    </row>
    <row r="10071" spans="1:17" ht="17.399999999999999">
      <c r="A10071" s="549"/>
      <c r="B10071" s="549"/>
      <c r="C10071" s="549"/>
      <c r="D10071" s="549"/>
      <c r="E10071" s="549"/>
      <c r="F10071" s="549"/>
      <c r="G10071" s="792" t="s">
        <v>21</v>
      </c>
      <c r="H10071" s="1227" t="s">
        <v>134</v>
      </c>
      <c r="I10071" s="773">
        <v>12.18</v>
      </c>
      <c r="J10071" s="774">
        <v>10.1</v>
      </c>
      <c r="K10071" s="775">
        <v>7</v>
      </c>
      <c r="L10071" s="552">
        <f t="shared" si="2080"/>
        <v>0.86112599999999984</v>
      </c>
      <c r="M10071" s="549"/>
      <c r="N10071" s="549"/>
      <c r="O10071" s="549"/>
      <c r="P10071" s="549"/>
    </row>
    <row r="10072" spans="1:17" ht="17.399999999999999">
      <c r="A10072" s="549"/>
      <c r="B10072" s="549"/>
      <c r="C10072" s="549"/>
      <c r="D10072" s="549"/>
      <c r="E10072" s="549"/>
      <c r="F10072" s="549"/>
      <c r="G10072" s="792" t="s">
        <v>21</v>
      </c>
      <c r="H10072" s="1227" t="s">
        <v>134</v>
      </c>
      <c r="I10072" s="773">
        <v>12.18</v>
      </c>
      <c r="J10072" s="774">
        <v>11.4</v>
      </c>
      <c r="K10072" s="775">
        <v>42</v>
      </c>
      <c r="L10072" s="552">
        <f t="shared" si="2080"/>
        <v>5.8317840000000007</v>
      </c>
      <c r="M10072" s="549"/>
      <c r="N10072" s="549"/>
      <c r="O10072" s="549"/>
      <c r="P10072" s="549"/>
    </row>
    <row r="10073" spans="1:17" ht="17.399999999999999">
      <c r="A10073" s="549"/>
      <c r="B10073" s="549"/>
      <c r="C10073" s="549"/>
      <c r="D10073" s="549"/>
      <c r="E10073" s="549"/>
      <c r="F10073" s="549"/>
      <c r="G10073" s="792" t="s">
        <v>21</v>
      </c>
      <c r="H10073" s="1227" t="s">
        <v>134</v>
      </c>
      <c r="I10073" s="773">
        <v>12.18</v>
      </c>
      <c r="J10073" s="774">
        <v>12</v>
      </c>
      <c r="K10073" s="775">
        <v>30</v>
      </c>
      <c r="L10073" s="552">
        <f t="shared" si="2080"/>
        <v>4.3848000000000003</v>
      </c>
      <c r="M10073" s="549"/>
      <c r="N10073" s="549"/>
      <c r="O10073" s="549"/>
      <c r="P10073" s="549"/>
    </row>
    <row r="10074" spans="1:17" ht="17.399999999999999">
      <c r="A10074" s="549"/>
      <c r="B10074" s="549"/>
      <c r="C10074" s="549"/>
      <c r="D10074" s="549"/>
      <c r="E10074" s="549"/>
      <c r="F10074" s="549"/>
      <c r="G10074" s="792"/>
      <c r="H10074" s="1227"/>
      <c r="I10074" s="773"/>
      <c r="J10074" s="774"/>
      <c r="K10074" s="775">
        <f>SUM(K10070:K10073)</f>
        <v>93</v>
      </c>
      <c r="L10074" s="1226">
        <f>SUM(L10070:L10073)</f>
        <v>12.424818</v>
      </c>
      <c r="M10074" s="549"/>
      <c r="N10074" s="549"/>
      <c r="O10074" s="549"/>
      <c r="P10074" s="549"/>
    </row>
    <row r="10075" spans="1:17" s="1358" customFormat="1" ht="17.399999999999999">
      <c r="A10075" s="549"/>
      <c r="B10075" s="549"/>
      <c r="C10075" s="549"/>
      <c r="D10075" s="549"/>
      <c r="E10075" s="549"/>
      <c r="F10075" s="549"/>
      <c r="G10075" s="792"/>
      <c r="H10075" s="1227"/>
      <c r="I10075" s="773"/>
      <c r="J10075" s="774"/>
      <c r="K10075" s="775"/>
      <c r="L10075" s="1226"/>
      <c r="M10075" s="549"/>
      <c r="N10075" s="549"/>
      <c r="O10075" s="549"/>
      <c r="P10075" s="549"/>
    </row>
    <row r="10076" spans="1:17" ht="17.399999999999999">
      <c r="A10076" s="547" t="s">
        <v>272</v>
      </c>
      <c r="B10076" s="547" t="s">
        <v>1169</v>
      </c>
      <c r="C10076" s="547" t="s">
        <v>446</v>
      </c>
      <c r="D10076" s="813" t="s">
        <v>447</v>
      </c>
      <c r="E10076" s="547" t="s">
        <v>359</v>
      </c>
      <c r="F10076" s="549">
        <v>12</v>
      </c>
      <c r="G10076" s="549" t="s">
        <v>21</v>
      </c>
      <c r="H10076" s="599" t="s">
        <v>134</v>
      </c>
      <c r="I10076" s="560">
        <v>12.18</v>
      </c>
      <c r="J10076" s="710">
        <v>12</v>
      </c>
      <c r="K10076" s="648">
        <v>4</v>
      </c>
      <c r="L10076" s="552">
        <f>(I10076*J10076*K10076/1000)</f>
        <v>0.58463999999999994</v>
      </c>
      <c r="M10076" s="549"/>
      <c r="N10076" s="549"/>
      <c r="O10076" s="549"/>
      <c r="P10076" s="549"/>
      <c r="Q10076" s="1440" t="s">
        <v>1274</v>
      </c>
    </row>
    <row r="10077" spans="1:17" ht="17.399999999999999">
      <c r="A10077" s="549"/>
      <c r="B10077" s="549"/>
      <c r="C10077" s="549"/>
      <c r="D10077" s="549"/>
      <c r="E10077" s="549"/>
      <c r="F10077" s="549"/>
      <c r="G10077" s="549"/>
      <c r="H10077" s="549"/>
      <c r="I10077" s="560"/>
      <c r="J10077" s="710"/>
      <c r="K10077" s="648">
        <f t="shared" ref="K10077:L10077" si="2081">SUM(K10076)</f>
        <v>4</v>
      </c>
      <c r="L10077" s="552">
        <f t="shared" si="2081"/>
        <v>0.58463999999999994</v>
      </c>
      <c r="M10077" s="549"/>
      <c r="N10077" s="549"/>
      <c r="O10077" s="549"/>
      <c r="P10077" s="549"/>
    </row>
    <row r="10078" spans="1:17" s="1358" customFormat="1" ht="17.399999999999999">
      <c r="A10078" s="549"/>
      <c r="B10078" s="549"/>
      <c r="C10078" s="549"/>
      <c r="D10078" s="549"/>
      <c r="E10078" s="549"/>
      <c r="F10078" s="549"/>
      <c r="G10078" s="792"/>
      <c r="H10078" s="1227"/>
      <c r="I10078" s="773"/>
      <c r="J10078" s="774"/>
      <c r="K10078" s="775"/>
      <c r="L10078" s="1226"/>
      <c r="M10078" s="549"/>
      <c r="N10078" s="549"/>
      <c r="O10078" s="549"/>
      <c r="P10078" s="549"/>
    </row>
    <row r="10079" spans="1:17" ht="17.399999999999999">
      <c r="A10079" s="547" t="s">
        <v>272</v>
      </c>
      <c r="B10079" s="547" t="s">
        <v>1170</v>
      </c>
      <c r="C10079" s="547" t="s">
        <v>446</v>
      </c>
      <c r="D10079" s="813" t="s">
        <v>447</v>
      </c>
      <c r="E10079" s="547" t="s">
        <v>359</v>
      </c>
      <c r="F10079" s="549">
        <v>12</v>
      </c>
      <c r="G10079" s="549" t="s">
        <v>21</v>
      </c>
      <c r="H10079" s="599" t="s">
        <v>134</v>
      </c>
      <c r="I10079" s="558">
        <v>12.18</v>
      </c>
      <c r="J10079" s="567">
        <v>10</v>
      </c>
      <c r="K10079" s="648">
        <v>23</v>
      </c>
      <c r="L10079" s="552">
        <f t="shared" ref="L10079:L10080" si="2082">(I10079*J10079*K10079/1000)</f>
        <v>2.8014000000000001</v>
      </c>
      <c r="M10079" s="549"/>
      <c r="N10079" s="549"/>
      <c r="O10079" s="549"/>
      <c r="P10079" s="549"/>
      <c r="Q10079" s="1440" t="s">
        <v>1274</v>
      </c>
    </row>
    <row r="10080" spans="1:17" ht="17.399999999999999">
      <c r="A10080" s="549"/>
      <c r="B10080" s="549"/>
      <c r="C10080" s="549"/>
      <c r="D10080" s="549"/>
      <c r="E10080" s="549"/>
      <c r="F10080" s="549"/>
      <c r="G10080" s="549" t="s">
        <v>21</v>
      </c>
      <c r="H10080" s="549" t="s">
        <v>134</v>
      </c>
      <c r="I10080" s="558">
        <v>12.18</v>
      </c>
      <c r="J10080" s="567">
        <v>12</v>
      </c>
      <c r="K10080" s="648">
        <v>21</v>
      </c>
      <c r="L10080" s="552">
        <f t="shared" si="2082"/>
        <v>3.0693600000000001</v>
      </c>
      <c r="M10080" s="549"/>
      <c r="N10080" s="549"/>
      <c r="O10080" s="549"/>
      <c r="P10080" s="549"/>
    </row>
    <row r="10081" spans="1:17" ht="17.399999999999999">
      <c r="A10081" s="549"/>
      <c r="B10081" s="549"/>
      <c r="C10081" s="549"/>
      <c r="D10081" s="549"/>
      <c r="E10081" s="549"/>
      <c r="F10081" s="549"/>
      <c r="G10081" s="549"/>
      <c r="H10081" s="549"/>
      <c r="I10081" s="558"/>
      <c r="J10081" s="567"/>
      <c r="K10081" s="648">
        <f t="shared" ref="K10081:L10081" si="2083">SUM(K10079:K10080)</f>
        <v>44</v>
      </c>
      <c r="L10081" s="567">
        <f t="shared" si="2083"/>
        <v>5.8707600000000006</v>
      </c>
      <c r="M10081" s="549"/>
      <c r="N10081" s="549"/>
      <c r="O10081" s="549"/>
      <c r="P10081" s="549"/>
    </row>
    <row r="10082" spans="1:17" s="1358" customFormat="1" ht="17.399999999999999">
      <c r="A10082" s="549"/>
      <c r="B10082" s="549"/>
      <c r="C10082" s="549"/>
      <c r="D10082" s="549"/>
      <c r="E10082" s="549"/>
      <c r="F10082" s="549"/>
      <c r="G10082" s="549"/>
      <c r="H10082" s="549"/>
      <c r="I10082" s="558"/>
      <c r="J10082" s="567"/>
      <c r="K10082" s="648"/>
      <c r="L10082" s="567"/>
      <c r="M10082" s="549"/>
      <c r="N10082" s="549"/>
      <c r="O10082" s="549"/>
      <c r="P10082" s="549"/>
    </row>
    <row r="10083" spans="1:17" ht="17.399999999999999">
      <c r="A10083" s="547" t="s">
        <v>272</v>
      </c>
      <c r="B10083" s="547" t="s">
        <v>1175</v>
      </c>
      <c r="C10083" s="547" t="s">
        <v>446</v>
      </c>
      <c r="D10083" s="813" t="s">
        <v>447</v>
      </c>
      <c r="E10083" s="547" t="s">
        <v>359</v>
      </c>
      <c r="F10083" s="549">
        <v>12</v>
      </c>
      <c r="G10083" s="549" t="s">
        <v>21</v>
      </c>
      <c r="H10083" s="599" t="s">
        <v>134</v>
      </c>
      <c r="I10083" s="560">
        <v>12.18</v>
      </c>
      <c r="J10083" s="567">
        <v>8.35</v>
      </c>
      <c r="K10083" s="648">
        <v>151</v>
      </c>
      <c r="L10083" s="552">
        <f>(I10083*J10083*K10083/1000)</f>
        <v>15.357152999999998</v>
      </c>
      <c r="M10083" s="549"/>
      <c r="N10083" s="549"/>
      <c r="O10083" s="549"/>
      <c r="P10083" s="549"/>
      <c r="Q10083" s="1440" t="s">
        <v>1274</v>
      </c>
    </row>
    <row r="10084" spans="1:17" ht="17.399999999999999">
      <c r="A10084" s="549"/>
      <c r="B10084" s="549"/>
      <c r="C10084" s="549"/>
      <c r="D10084" s="549"/>
      <c r="E10084" s="549"/>
      <c r="F10084" s="549"/>
      <c r="G10084" s="549"/>
      <c r="H10084" s="549"/>
      <c r="I10084" s="560"/>
      <c r="J10084" s="567"/>
      <c r="K10084" s="648">
        <f t="shared" ref="K10084:L10084" si="2084">SUM(K10083)</f>
        <v>151</v>
      </c>
      <c r="L10084" s="567">
        <f t="shared" si="2084"/>
        <v>15.357152999999998</v>
      </c>
      <c r="M10084" s="549"/>
      <c r="N10084" s="549"/>
      <c r="O10084" s="549"/>
      <c r="P10084" s="549"/>
    </row>
    <row r="10085" spans="1:17" s="1358" customFormat="1" ht="17.399999999999999">
      <c r="A10085" s="549"/>
      <c r="B10085" s="549"/>
      <c r="C10085" s="549"/>
      <c r="D10085" s="549"/>
      <c r="E10085" s="549"/>
      <c r="F10085" s="549"/>
      <c r="G10085" s="792"/>
      <c r="H10085" s="1227"/>
      <c r="I10085" s="773"/>
      <c r="J10085" s="774"/>
      <c r="K10085" s="775"/>
      <c r="L10085" s="1415">
        <f>+L10084+L10081+L10077+L10074</f>
        <v>34.237371000000003</v>
      </c>
      <c r="M10085" s="549"/>
      <c r="N10085" s="549"/>
      <c r="O10085" s="549"/>
      <c r="P10085" s="549" t="s">
        <v>1192</v>
      </c>
    </row>
    <row r="10086" spans="1:17" s="1358" customFormat="1" ht="17.399999999999999">
      <c r="A10086" s="549"/>
      <c r="B10086" s="549"/>
      <c r="C10086" s="549"/>
      <c r="D10086" s="549"/>
      <c r="E10086" s="549"/>
      <c r="F10086" s="549"/>
      <c r="G10086" s="792"/>
      <c r="H10086" s="1227"/>
      <c r="I10086" s="773"/>
      <c r="J10086" s="774"/>
      <c r="K10086" s="775"/>
      <c r="L10086" s="1226"/>
      <c r="M10086" s="549"/>
      <c r="N10086" s="549"/>
      <c r="O10086" s="549"/>
      <c r="P10086" s="549"/>
    </row>
    <row r="10087" spans="1:17" ht="17.399999999999999">
      <c r="A10087" s="547" t="s">
        <v>272</v>
      </c>
      <c r="B10087" s="547" t="s">
        <v>1169</v>
      </c>
      <c r="C10087" s="547" t="s">
        <v>446</v>
      </c>
      <c r="D10087" s="813" t="s">
        <v>447</v>
      </c>
      <c r="E10087" s="547" t="s">
        <v>359</v>
      </c>
      <c r="F10087" s="549">
        <v>12</v>
      </c>
      <c r="G10087" s="549" t="s">
        <v>21</v>
      </c>
      <c r="H10087" s="599" t="s">
        <v>133</v>
      </c>
      <c r="I10087" s="560">
        <v>15.04</v>
      </c>
      <c r="J10087" s="710">
        <v>6</v>
      </c>
      <c r="K10087" s="648">
        <v>4</v>
      </c>
      <c r="L10087" s="552">
        <f>(I10087*J10087*K10087/1000)</f>
        <v>0.36096</v>
      </c>
      <c r="M10087" s="549"/>
      <c r="N10087" s="549"/>
      <c r="O10087" s="549"/>
      <c r="P10087" s="549"/>
      <c r="Q10087" s="1440" t="s">
        <v>1274</v>
      </c>
    </row>
    <row r="10088" spans="1:17" ht="17.399999999999999">
      <c r="A10088" s="549"/>
      <c r="B10088" s="549"/>
      <c r="C10088" s="549"/>
      <c r="D10088" s="549"/>
      <c r="E10088" s="549"/>
      <c r="F10088" s="549"/>
      <c r="G10088" s="549"/>
      <c r="H10088" s="549"/>
      <c r="I10088" s="560"/>
      <c r="J10088" s="710"/>
      <c r="K10088" s="648">
        <f t="shared" ref="K10088:L10088" si="2085">SUM(K10087)</f>
        <v>4</v>
      </c>
      <c r="L10088" s="552">
        <f t="shared" si="2085"/>
        <v>0.36096</v>
      </c>
      <c r="M10088" s="549"/>
      <c r="N10088" s="549"/>
      <c r="O10088" s="549"/>
      <c r="P10088" s="549"/>
    </row>
    <row r="10089" spans="1:17" s="1358" customFormat="1" ht="17.399999999999999">
      <c r="A10089" s="549"/>
      <c r="B10089" s="549"/>
      <c r="C10089" s="549"/>
      <c r="D10089" s="549"/>
      <c r="E10089" s="549"/>
      <c r="F10089" s="549"/>
      <c r="G10089" s="549"/>
      <c r="H10089" s="549"/>
      <c r="I10089" s="560"/>
      <c r="J10089" s="710"/>
      <c r="K10089" s="648"/>
      <c r="L10089" s="552"/>
      <c r="M10089" s="549"/>
      <c r="N10089" s="549"/>
      <c r="O10089" s="549"/>
      <c r="P10089" s="549"/>
    </row>
    <row r="10090" spans="1:17" ht="17.399999999999999">
      <c r="A10090" s="547" t="s">
        <v>272</v>
      </c>
      <c r="B10090" s="547" t="s">
        <v>1170</v>
      </c>
      <c r="C10090" s="547" t="s">
        <v>446</v>
      </c>
      <c r="D10090" s="813" t="s">
        <v>447</v>
      </c>
      <c r="E10090" s="547" t="s">
        <v>359</v>
      </c>
      <c r="F10090" s="549">
        <v>12</v>
      </c>
      <c r="G10090" s="549" t="s">
        <v>21</v>
      </c>
      <c r="H10090" s="599" t="s">
        <v>133</v>
      </c>
      <c r="I10090" s="558">
        <v>15.04</v>
      </c>
      <c r="J10090" s="567">
        <v>12</v>
      </c>
      <c r="K10090" s="648">
        <v>12</v>
      </c>
      <c r="L10090" s="552">
        <f>(I10090*J10090*K10090/1000)</f>
        <v>2.1657599999999997</v>
      </c>
      <c r="M10090" s="549"/>
      <c r="N10090" s="549"/>
      <c r="O10090" s="549"/>
      <c r="P10090" s="549"/>
      <c r="Q10090" s="1440" t="s">
        <v>1274</v>
      </c>
    </row>
    <row r="10091" spans="1:17" ht="17.399999999999999">
      <c r="A10091" s="549"/>
      <c r="B10091" s="549"/>
      <c r="C10091" s="549"/>
      <c r="D10091" s="549"/>
      <c r="E10091" s="549"/>
      <c r="F10091" s="549"/>
      <c r="G10091" s="549"/>
      <c r="H10091" s="549"/>
      <c r="I10091" s="558"/>
      <c r="J10091" s="567"/>
      <c r="K10091" s="648">
        <f t="shared" ref="K10091:L10091" si="2086">SUM(K10090)</f>
        <v>12</v>
      </c>
      <c r="L10091" s="567">
        <f t="shared" si="2086"/>
        <v>2.1657599999999997</v>
      </c>
      <c r="M10091" s="549"/>
      <c r="N10091" s="549"/>
      <c r="O10091" s="549"/>
      <c r="P10091" s="549"/>
    </row>
    <row r="10092" spans="1:17" s="1358" customFormat="1" ht="17.399999999999999">
      <c r="A10092" s="549"/>
      <c r="B10092" s="549"/>
      <c r="C10092" s="549"/>
      <c r="D10092" s="549"/>
      <c r="E10092" s="549"/>
      <c r="F10092" s="549"/>
      <c r="G10092" s="549"/>
      <c r="H10092" s="549"/>
      <c r="I10092" s="558"/>
      <c r="J10092" s="567"/>
      <c r="K10092" s="648"/>
      <c r="L10092" s="567"/>
      <c r="M10092" s="549"/>
      <c r="N10092" s="549"/>
      <c r="O10092" s="549"/>
      <c r="P10092" s="549"/>
    </row>
    <row r="10093" spans="1:17" ht="17.399999999999999">
      <c r="A10093" s="547" t="s">
        <v>395</v>
      </c>
      <c r="B10093" s="547" t="s">
        <v>1179</v>
      </c>
      <c r="C10093" s="547" t="s">
        <v>446</v>
      </c>
      <c r="D10093" s="813" t="s">
        <v>447</v>
      </c>
      <c r="E10093" s="547" t="s">
        <v>359</v>
      </c>
      <c r="F10093" s="549">
        <v>12</v>
      </c>
      <c r="G10093" s="549" t="s">
        <v>21</v>
      </c>
      <c r="H10093" s="599" t="s">
        <v>133</v>
      </c>
      <c r="I10093" s="560">
        <v>15.04</v>
      </c>
      <c r="J10093" s="567">
        <v>6</v>
      </c>
      <c r="K10093" s="648">
        <v>1</v>
      </c>
      <c r="L10093" s="552">
        <f>(I10093*J10093*K10093/1000)</f>
        <v>9.0240000000000001E-2</v>
      </c>
      <c r="M10093" s="549"/>
      <c r="N10093" s="549"/>
      <c r="O10093" s="549"/>
      <c r="P10093" s="549"/>
      <c r="Q10093" s="1440" t="s">
        <v>1274</v>
      </c>
    </row>
    <row r="10094" spans="1:17" ht="17.399999999999999">
      <c r="A10094" s="549"/>
      <c r="B10094" s="549"/>
      <c r="C10094" s="549"/>
      <c r="D10094" s="549"/>
      <c r="E10094" s="549"/>
      <c r="F10094" s="549"/>
      <c r="G10094" s="549"/>
      <c r="H10094" s="549"/>
      <c r="I10094" s="560"/>
      <c r="J10094" s="567"/>
      <c r="K10094" s="648">
        <f t="shared" ref="K10094" si="2087">SUM(K10093)</f>
        <v>1</v>
      </c>
      <c r="L10094" s="567">
        <f>SUM(L10093)</f>
        <v>9.0240000000000001E-2</v>
      </c>
      <c r="M10094" s="549"/>
      <c r="N10094" s="549"/>
      <c r="O10094" s="549"/>
      <c r="P10094" s="549"/>
    </row>
    <row r="10095" spans="1:17" s="1358" customFormat="1" ht="17.399999999999999">
      <c r="A10095" s="549"/>
      <c r="B10095" s="549"/>
      <c r="C10095" s="549"/>
      <c r="D10095" s="549"/>
      <c r="E10095" s="549"/>
      <c r="F10095" s="549"/>
      <c r="G10095" s="549"/>
      <c r="H10095" s="549"/>
      <c r="I10095" s="560"/>
      <c r="J10095" s="710"/>
      <c r="K10095" s="648"/>
      <c r="L10095" s="734">
        <f>+L10091+L10088+L10094</f>
        <v>2.6169599999999997</v>
      </c>
      <c r="M10095" s="549"/>
      <c r="N10095" s="549"/>
      <c r="O10095" s="549"/>
      <c r="P10095" s="549" t="s">
        <v>1193</v>
      </c>
    </row>
    <row r="10096" spans="1:17" s="1358" customFormat="1" ht="17.399999999999999">
      <c r="A10096" s="549"/>
      <c r="B10096" s="549"/>
      <c r="C10096" s="549"/>
      <c r="D10096" s="549"/>
      <c r="E10096" s="549"/>
      <c r="F10096" s="549"/>
      <c r="G10096" s="549"/>
      <c r="H10096" s="549"/>
      <c r="I10096" s="560"/>
      <c r="J10096" s="710"/>
      <c r="K10096" s="648"/>
      <c r="L10096" s="552"/>
      <c r="M10096" s="549"/>
      <c r="N10096" s="549"/>
      <c r="O10096" s="549"/>
      <c r="P10096" s="549"/>
    </row>
    <row r="10097" spans="1:17" ht="17.399999999999999">
      <c r="A10097" s="549"/>
      <c r="B10097" s="549"/>
      <c r="C10097" s="549"/>
      <c r="D10097" s="549"/>
      <c r="E10097" s="549"/>
      <c r="F10097" s="549"/>
      <c r="G10097" s="549"/>
      <c r="H10097" s="549"/>
      <c r="I10097" s="560"/>
      <c r="J10097" s="549"/>
      <c r="K10097" s="561"/>
      <c r="L10097" s="560"/>
      <c r="M10097" s="549"/>
      <c r="N10097" s="549"/>
      <c r="O10097" s="549"/>
      <c r="P10097" s="549"/>
    </row>
    <row r="10098" spans="1:17" ht="17.399999999999999">
      <c r="A10098" s="547" t="s">
        <v>272</v>
      </c>
      <c r="B10098" s="547" t="s">
        <v>1170</v>
      </c>
      <c r="C10098" s="547" t="s">
        <v>446</v>
      </c>
      <c r="D10098" s="813" t="s">
        <v>450</v>
      </c>
      <c r="E10098" s="547" t="s">
        <v>270</v>
      </c>
      <c r="F10098" s="549">
        <v>8.5</v>
      </c>
      <c r="G10098" s="549" t="s">
        <v>61</v>
      </c>
      <c r="H10098" s="599" t="s">
        <v>134</v>
      </c>
      <c r="I10098" s="558">
        <v>12.18</v>
      </c>
      <c r="J10098" s="567">
        <v>6.6</v>
      </c>
      <c r="K10098" s="648">
        <v>66</v>
      </c>
      <c r="L10098" s="552">
        <f>(I10098*J10098*K10098/1000)</f>
        <v>5.3056079999999994</v>
      </c>
      <c r="M10098" s="549"/>
      <c r="N10098" s="567">
        <f t="shared" ref="N10098:N10099" si="2088">J10098*M10098*I10098/1000</f>
        <v>0</v>
      </c>
      <c r="O10098" s="549"/>
      <c r="P10098" s="549"/>
      <c r="Q10098" s="1358" t="s">
        <v>1253</v>
      </c>
    </row>
    <row r="10099" spans="1:17" ht="17.399999999999999">
      <c r="A10099" s="549"/>
      <c r="B10099" s="549"/>
      <c r="C10099" s="549"/>
      <c r="D10099" s="549"/>
      <c r="E10099" s="549"/>
      <c r="F10099" s="549"/>
      <c r="G10099" s="549" t="s">
        <v>61</v>
      </c>
      <c r="H10099" s="549" t="s">
        <v>134</v>
      </c>
      <c r="I10099" s="558">
        <v>12.18</v>
      </c>
      <c r="J10099" s="567">
        <v>10.1</v>
      </c>
      <c r="K10099" s="648">
        <v>26</v>
      </c>
      <c r="L10099" s="552">
        <f>(I10099*J10099*K10099/1000)</f>
        <v>3.1984679999999996</v>
      </c>
      <c r="M10099" s="549"/>
      <c r="N10099" s="567">
        <f t="shared" si="2088"/>
        <v>0</v>
      </c>
      <c r="O10099" s="549"/>
      <c r="P10099" s="549"/>
    </row>
    <row r="10100" spans="1:17" ht="17.399999999999999">
      <c r="A10100" s="549"/>
      <c r="B10100" s="549"/>
      <c r="C10100" s="549"/>
      <c r="D10100" s="549"/>
      <c r="E10100" s="549"/>
      <c r="F10100" s="549"/>
      <c r="G10100" s="549"/>
      <c r="H10100" s="549"/>
      <c r="I10100" s="558"/>
      <c r="J10100" s="567"/>
      <c r="K10100" s="648">
        <f>SUM(K10098:K10099)</f>
        <v>92</v>
      </c>
      <c r="L10100" s="567">
        <f>SUM(L10098:L10099)</f>
        <v>8.5040759999999995</v>
      </c>
      <c r="M10100" s="648">
        <f t="shared" ref="M10100" si="2089">SUM(M10098:M10099)</f>
        <v>0</v>
      </c>
      <c r="N10100" s="567">
        <f>SUM(N10098:N10099)</f>
        <v>0</v>
      </c>
      <c r="O10100" s="549"/>
      <c r="P10100" s="549"/>
    </row>
    <row r="10101" spans="1:17" s="1358" customFormat="1" ht="17.399999999999999">
      <c r="A10101" s="549"/>
      <c r="B10101" s="549"/>
      <c r="C10101" s="549"/>
      <c r="D10101" s="549"/>
      <c r="E10101" s="549"/>
      <c r="F10101" s="549"/>
      <c r="G10101" s="549"/>
      <c r="H10101" s="549"/>
      <c r="I10101" s="560"/>
      <c r="J10101" s="710"/>
      <c r="K10101" s="1417">
        <f>+K10100</f>
        <v>92</v>
      </c>
      <c r="L10101" s="734">
        <f>+L10100</f>
        <v>8.5040759999999995</v>
      </c>
      <c r="M10101" s="1417">
        <f>+M10100</f>
        <v>0</v>
      </c>
      <c r="N10101" s="734">
        <f>+N10100</f>
        <v>0</v>
      </c>
      <c r="O10101" s="549"/>
      <c r="P10101" s="549" t="s">
        <v>1228</v>
      </c>
    </row>
    <row r="10102" spans="1:17" s="1358" customFormat="1" ht="17.399999999999999">
      <c r="A10102" s="549"/>
      <c r="B10102" s="549"/>
      <c r="C10102" s="549"/>
      <c r="D10102" s="549"/>
      <c r="E10102" s="549"/>
      <c r="F10102" s="549"/>
      <c r="G10102" s="549"/>
      <c r="H10102" s="549"/>
      <c r="I10102" s="560"/>
      <c r="J10102" s="710"/>
      <c r="K10102" s="648"/>
      <c r="L10102" s="552"/>
      <c r="M10102" s="549"/>
      <c r="N10102" s="549"/>
      <c r="O10102" s="549"/>
      <c r="P10102" s="549"/>
    </row>
    <row r="10103" spans="1:17" ht="17.399999999999999">
      <c r="A10103" s="549"/>
      <c r="B10103" s="549"/>
      <c r="C10103" s="549"/>
      <c r="D10103" s="549"/>
      <c r="E10103" s="549"/>
      <c r="F10103" s="549"/>
      <c r="G10103" s="549"/>
      <c r="H10103" s="549"/>
      <c r="I10103" s="560"/>
      <c r="J10103" s="549"/>
      <c r="K10103" s="561"/>
      <c r="L10103" s="560"/>
      <c r="M10103" s="549"/>
      <c r="N10103" s="549"/>
      <c r="O10103" s="549"/>
      <c r="P10103" s="549"/>
    </row>
    <row r="10104" spans="1:17" ht="17.399999999999999">
      <c r="A10104" s="547" t="s">
        <v>272</v>
      </c>
      <c r="B10104" s="547" t="s">
        <v>1170</v>
      </c>
      <c r="C10104" s="547" t="s">
        <v>446</v>
      </c>
      <c r="D10104" s="813" t="s">
        <v>450</v>
      </c>
      <c r="E10104" s="547" t="s">
        <v>270</v>
      </c>
      <c r="F10104" s="549">
        <v>8.5</v>
      </c>
      <c r="G10104" s="549" t="s">
        <v>61</v>
      </c>
      <c r="H10104" s="599" t="s">
        <v>119</v>
      </c>
      <c r="I10104" s="558">
        <v>10.73</v>
      </c>
      <c r="J10104" s="567">
        <v>10</v>
      </c>
      <c r="K10104" s="648">
        <v>28</v>
      </c>
      <c r="L10104" s="552">
        <f t="shared" ref="L10104:L10106" si="2090">(I10104*J10104*K10104/1000)</f>
        <v>3.0044000000000004</v>
      </c>
      <c r="M10104" s="549"/>
      <c r="N10104" s="549"/>
      <c r="O10104" s="549"/>
      <c r="P10104" s="549"/>
      <c r="Q10104" s="1358" t="s">
        <v>1253</v>
      </c>
    </row>
    <row r="10105" spans="1:17" ht="17.399999999999999">
      <c r="A10105" s="549"/>
      <c r="B10105" s="549"/>
      <c r="C10105" s="549"/>
      <c r="D10105" s="549"/>
      <c r="E10105" s="549"/>
      <c r="F10105" s="549"/>
      <c r="G10105" s="549" t="s">
        <v>61</v>
      </c>
      <c r="H10105" s="549" t="s">
        <v>119</v>
      </c>
      <c r="I10105" s="558">
        <v>10.73</v>
      </c>
      <c r="J10105" s="567">
        <v>11</v>
      </c>
      <c r="K10105" s="648">
        <v>27</v>
      </c>
      <c r="L10105" s="552">
        <f t="shared" si="2090"/>
        <v>3.1868099999999999</v>
      </c>
      <c r="M10105" s="549"/>
      <c r="N10105" s="549"/>
      <c r="O10105" s="549"/>
      <c r="P10105" s="549"/>
    </row>
    <row r="10106" spans="1:17" ht="17.399999999999999">
      <c r="A10106" s="549"/>
      <c r="B10106" s="549"/>
      <c r="C10106" s="549"/>
      <c r="D10106" s="549"/>
      <c r="E10106" s="549"/>
      <c r="F10106" s="549"/>
      <c r="G10106" s="549" t="s">
        <v>61</v>
      </c>
      <c r="H10106" s="549" t="s">
        <v>119</v>
      </c>
      <c r="I10106" s="558">
        <v>10.73</v>
      </c>
      <c r="J10106" s="567">
        <v>12</v>
      </c>
      <c r="K10106" s="648">
        <v>61</v>
      </c>
      <c r="L10106" s="552">
        <f t="shared" si="2090"/>
        <v>7.8543599999999998</v>
      </c>
      <c r="M10106" s="549"/>
      <c r="N10106" s="549"/>
      <c r="O10106" s="549"/>
      <c r="P10106" s="549"/>
    </row>
    <row r="10107" spans="1:17" ht="17.399999999999999">
      <c r="A10107" s="549"/>
      <c r="B10107" s="549"/>
      <c r="C10107" s="549"/>
      <c r="D10107" s="549"/>
      <c r="E10107" s="549"/>
      <c r="F10107" s="549"/>
      <c r="G10107" s="549"/>
      <c r="H10107" s="549"/>
      <c r="I10107" s="558"/>
      <c r="J10107" s="567"/>
      <c r="K10107" s="648">
        <f t="shared" ref="K10107:L10107" si="2091">SUM(K10104:K10106)</f>
        <v>116</v>
      </c>
      <c r="L10107" s="567">
        <f t="shared" si="2091"/>
        <v>14.04557</v>
      </c>
      <c r="M10107" s="549"/>
      <c r="N10107" s="549"/>
      <c r="O10107" s="549"/>
      <c r="P10107" s="549"/>
    </row>
    <row r="10108" spans="1:17" s="1358" customFormat="1" ht="17.399999999999999">
      <c r="A10108" s="549"/>
      <c r="B10108" s="549"/>
      <c r="C10108" s="549"/>
      <c r="D10108" s="549"/>
      <c r="E10108" s="549"/>
      <c r="F10108" s="549"/>
      <c r="G10108" s="549"/>
      <c r="H10108" s="549"/>
      <c r="I10108" s="558"/>
      <c r="J10108" s="567"/>
      <c r="K10108" s="648"/>
      <c r="L10108" s="567"/>
      <c r="M10108" s="549"/>
      <c r="N10108" s="549"/>
      <c r="O10108" s="549"/>
      <c r="P10108" s="549"/>
    </row>
    <row r="10109" spans="1:17" ht="17.399999999999999">
      <c r="A10109" s="547" t="s">
        <v>272</v>
      </c>
      <c r="B10109" s="547" t="s">
        <v>1175</v>
      </c>
      <c r="C10109" s="547" t="s">
        <v>446</v>
      </c>
      <c r="D10109" s="813" t="s">
        <v>450</v>
      </c>
      <c r="E10109" s="547" t="s">
        <v>270</v>
      </c>
      <c r="F10109" s="549">
        <v>8.5</v>
      </c>
      <c r="G10109" s="549" t="s">
        <v>61</v>
      </c>
      <c r="H10109" s="599" t="s">
        <v>119</v>
      </c>
      <c r="I10109" s="560">
        <v>10.73</v>
      </c>
      <c r="J10109" s="567">
        <v>8.3000000000000007</v>
      </c>
      <c r="K10109" s="648">
        <v>48</v>
      </c>
      <c r="L10109" s="552">
        <f t="shared" ref="L10109:L10110" si="2092">(I10109*J10109*K10109/1000)</f>
        <v>4.274832</v>
      </c>
      <c r="M10109" s="549"/>
      <c r="N10109" s="549"/>
      <c r="O10109" s="549"/>
      <c r="P10109" s="549"/>
      <c r="Q10109" s="1358" t="s">
        <v>1253</v>
      </c>
    </row>
    <row r="10110" spans="1:17" ht="17.399999999999999">
      <c r="A10110" s="549"/>
      <c r="B10110" s="549"/>
      <c r="C10110" s="549"/>
      <c r="D10110" s="549"/>
      <c r="E10110" s="549"/>
      <c r="F10110" s="549"/>
      <c r="G10110" s="549" t="s">
        <v>61</v>
      </c>
      <c r="H10110" s="549" t="s">
        <v>119</v>
      </c>
      <c r="I10110" s="560">
        <v>10.73</v>
      </c>
      <c r="J10110" s="567">
        <v>9.5500000000000007</v>
      </c>
      <c r="K10110" s="648">
        <v>24</v>
      </c>
      <c r="L10110" s="552">
        <f t="shared" si="2092"/>
        <v>2.4593160000000003</v>
      </c>
      <c r="M10110" s="549"/>
      <c r="N10110" s="549"/>
      <c r="O10110" s="549"/>
      <c r="P10110" s="549"/>
    </row>
    <row r="10111" spans="1:17" ht="17.399999999999999">
      <c r="A10111" s="549"/>
      <c r="B10111" s="549"/>
      <c r="C10111" s="549"/>
      <c r="D10111" s="549"/>
      <c r="E10111" s="549"/>
      <c r="F10111" s="549"/>
      <c r="G10111" s="549"/>
      <c r="H10111" s="549"/>
      <c r="I10111" s="560"/>
      <c r="J10111" s="567"/>
      <c r="K10111" s="648">
        <f t="shared" ref="K10111:L10111" si="2093">SUM(K10109:K10110)</f>
        <v>72</v>
      </c>
      <c r="L10111" s="567">
        <f t="shared" si="2093"/>
        <v>6.7341480000000002</v>
      </c>
      <c r="M10111" s="549"/>
      <c r="N10111" s="549"/>
      <c r="O10111" s="549"/>
      <c r="P10111" s="549"/>
    </row>
    <row r="10112" spans="1:17" s="1358" customFormat="1" ht="17.399999999999999">
      <c r="A10112" s="549"/>
      <c r="B10112" s="549"/>
      <c r="C10112" s="549"/>
      <c r="D10112" s="549"/>
      <c r="E10112" s="549"/>
      <c r="F10112" s="549"/>
      <c r="G10112" s="549"/>
      <c r="H10112" s="549"/>
      <c r="I10112" s="560"/>
      <c r="J10112" s="567"/>
      <c r="K10112" s="733">
        <f>+K10111+K10107</f>
        <v>188</v>
      </c>
      <c r="L10112" s="732">
        <f>+L10111+L10107</f>
        <v>20.779717999999999</v>
      </c>
      <c r="M10112" s="733">
        <f>+M10111+M10107</f>
        <v>0</v>
      </c>
      <c r="N10112" s="732">
        <f>+N10111+N10107</f>
        <v>0</v>
      </c>
      <c r="O10112" s="549"/>
      <c r="P10112" s="549" t="s">
        <v>1194</v>
      </c>
    </row>
    <row r="10113" spans="1:17" ht="17.399999999999999">
      <c r="A10113" s="549"/>
      <c r="B10113" s="549"/>
      <c r="C10113" s="549"/>
      <c r="D10113" s="549"/>
      <c r="E10113" s="549"/>
      <c r="F10113" s="549"/>
      <c r="G10113" s="549"/>
      <c r="H10113" s="549"/>
      <c r="I10113" s="560"/>
      <c r="J10113" s="549"/>
      <c r="K10113" s="561"/>
      <c r="L10113" s="560"/>
      <c r="M10113" s="549"/>
      <c r="N10113" s="549"/>
      <c r="O10113" s="549"/>
      <c r="P10113" s="549"/>
    </row>
    <row r="10114" spans="1:17" ht="17.399999999999999">
      <c r="A10114" s="547" t="s">
        <v>272</v>
      </c>
      <c r="B10114" s="547" t="s">
        <v>1165</v>
      </c>
      <c r="C10114" s="547" t="s">
        <v>446</v>
      </c>
      <c r="D10114" s="813" t="s">
        <v>450</v>
      </c>
      <c r="E10114" s="547" t="s">
        <v>270</v>
      </c>
      <c r="F10114" s="549">
        <v>8.5</v>
      </c>
      <c r="G10114" s="792" t="s">
        <v>61</v>
      </c>
      <c r="H10114" s="1247" t="s">
        <v>118</v>
      </c>
      <c r="I10114" s="773">
        <v>9.26</v>
      </c>
      <c r="J10114" s="774">
        <v>6.3</v>
      </c>
      <c r="K10114" s="775">
        <v>40</v>
      </c>
      <c r="L10114" s="552">
        <f t="shared" ref="L10114:L10119" si="2094">(I10114*J10114*K10114/1000)</f>
        <v>2.3335199999999996</v>
      </c>
      <c r="M10114" s="549"/>
      <c r="N10114" s="549"/>
      <c r="O10114" s="549"/>
      <c r="P10114" s="549"/>
      <c r="Q10114" s="1358" t="s">
        <v>1253</v>
      </c>
    </row>
    <row r="10115" spans="1:17" ht="17.399999999999999">
      <c r="A10115" s="549"/>
      <c r="B10115" s="549"/>
      <c r="C10115" s="549"/>
      <c r="D10115" s="549"/>
      <c r="E10115" s="549"/>
      <c r="F10115" s="549"/>
      <c r="G10115" s="792" t="s">
        <v>61</v>
      </c>
      <c r="H10115" s="1227" t="s">
        <v>118</v>
      </c>
      <c r="I10115" s="773">
        <v>9.26</v>
      </c>
      <c r="J10115" s="774">
        <v>7.6</v>
      </c>
      <c r="K10115" s="775">
        <f>56-2-20-10</f>
        <v>24</v>
      </c>
      <c r="L10115" s="552">
        <f t="shared" si="2094"/>
        <v>1.6890239999999999</v>
      </c>
      <c r="M10115" s="549"/>
      <c r="N10115" s="549"/>
      <c r="O10115" s="549"/>
      <c r="P10115" s="549"/>
    </row>
    <row r="10116" spans="1:17" ht="17.399999999999999">
      <c r="A10116" s="549"/>
      <c r="B10116" s="549"/>
      <c r="C10116" s="549"/>
      <c r="D10116" s="549"/>
      <c r="E10116" s="549"/>
      <c r="F10116" s="549"/>
      <c r="G10116" s="792" t="s">
        <v>61</v>
      </c>
      <c r="H10116" s="1227" t="s">
        <v>118</v>
      </c>
      <c r="I10116" s="773">
        <v>9.26</v>
      </c>
      <c r="J10116" s="774">
        <v>9.75</v>
      </c>
      <c r="K10116" s="775">
        <f>72-72</f>
        <v>0</v>
      </c>
      <c r="L10116" s="552">
        <f t="shared" si="2094"/>
        <v>0</v>
      </c>
      <c r="M10116" s="549"/>
      <c r="N10116" s="549"/>
      <c r="O10116" s="549"/>
      <c r="P10116" s="549"/>
    </row>
    <row r="10117" spans="1:17" ht="17.399999999999999">
      <c r="A10117" s="549"/>
      <c r="B10117" s="549"/>
      <c r="C10117" s="549"/>
      <c r="D10117" s="549"/>
      <c r="E10117" s="549"/>
      <c r="F10117" s="549"/>
      <c r="G10117" s="792" t="s">
        <v>61</v>
      </c>
      <c r="H10117" s="1227" t="s">
        <v>118</v>
      </c>
      <c r="I10117" s="773">
        <v>9.26</v>
      </c>
      <c r="J10117" s="774">
        <v>11.5</v>
      </c>
      <c r="K10117" s="775">
        <f>148-13</f>
        <v>135</v>
      </c>
      <c r="L10117" s="552">
        <f t="shared" si="2094"/>
        <v>14.376149999999999</v>
      </c>
      <c r="M10117" s="549"/>
      <c r="N10117" s="549"/>
      <c r="O10117" s="549"/>
      <c r="P10117" s="549"/>
    </row>
    <row r="10118" spans="1:17" ht="17.399999999999999">
      <c r="A10118" s="549"/>
      <c r="B10118" s="549"/>
      <c r="C10118" s="549"/>
      <c r="D10118" s="549"/>
      <c r="E10118" s="549"/>
      <c r="F10118" s="549"/>
      <c r="G10118" s="792" t="s">
        <v>61</v>
      </c>
      <c r="H10118" s="1227" t="s">
        <v>118</v>
      </c>
      <c r="I10118" s="773">
        <v>9.26</v>
      </c>
      <c r="J10118" s="774">
        <v>11.7</v>
      </c>
      <c r="K10118" s="775">
        <v>52</v>
      </c>
      <c r="L10118" s="552">
        <f t="shared" si="2094"/>
        <v>5.6337839999999995</v>
      </c>
      <c r="M10118" s="549"/>
      <c r="N10118" s="549"/>
      <c r="O10118" s="549"/>
      <c r="P10118" s="549"/>
    </row>
    <row r="10119" spans="1:17" ht="17.399999999999999">
      <c r="A10119" s="549"/>
      <c r="B10119" s="549"/>
      <c r="C10119" s="549"/>
      <c r="D10119" s="549"/>
      <c r="E10119" s="549"/>
      <c r="F10119" s="549"/>
      <c r="G10119" s="792" t="s">
        <v>61</v>
      </c>
      <c r="H10119" s="1227" t="s">
        <v>118</v>
      </c>
      <c r="I10119" s="773">
        <v>9.26</v>
      </c>
      <c r="J10119" s="774">
        <v>12</v>
      </c>
      <c r="K10119" s="775">
        <f>58-57</f>
        <v>1</v>
      </c>
      <c r="L10119" s="552">
        <f t="shared" si="2094"/>
        <v>0.11112000000000001</v>
      </c>
      <c r="M10119" s="549"/>
      <c r="N10119" s="549"/>
      <c r="O10119" s="549"/>
      <c r="P10119" s="549"/>
    </row>
    <row r="10120" spans="1:17" ht="17.399999999999999">
      <c r="A10120" s="549"/>
      <c r="B10120" s="549"/>
      <c r="C10120" s="549"/>
      <c r="D10120" s="549"/>
      <c r="E10120" s="549"/>
      <c r="F10120" s="549"/>
      <c r="G10120" s="792"/>
      <c r="H10120" s="1227"/>
      <c r="I10120" s="773"/>
      <c r="J10120" s="774"/>
      <c r="K10120" s="775">
        <f t="shared" ref="K10120:L10120" si="2095">SUM(K10114:K10119)</f>
        <v>252</v>
      </c>
      <c r="L10120" s="1415">
        <f t="shared" si="2095"/>
        <v>24.143597999999997</v>
      </c>
      <c r="M10120" s="549"/>
      <c r="N10120" s="549"/>
      <c r="O10120" s="549"/>
      <c r="P10120" s="549"/>
    </row>
    <row r="10121" spans="1:17" s="1358" customFormat="1" ht="17.399999999999999">
      <c r="A10121" s="549"/>
      <c r="B10121" s="549"/>
      <c r="C10121" s="549"/>
      <c r="D10121" s="549"/>
      <c r="E10121" s="549"/>
      <c r="F10121" s="549"/>
      <c r="G10121" s="792"/>
      <c r="H10121" s="1227"/>
      <c r="I10121" s="773"/>
      <c r="J10121" s="774"/>
      <c r="K10121" s="775"/>
      <c r="L10121" s="1226"/>
      <c r="M10121" s="549"/>
      <c r="N10121" s="549"/>
      <c r="O10121" s="549"/>
      <c r="P10121" s="549"/>
    </row>
    <row r="10122" spans="1:17" ht="17.399999999999999">
      <c r="A10122" s="547" t="s">
        <v>272</v>
      </c>
      <c r="B10122" s="547" t="s">
        <v>1169</v>
      </c>
      <c r="C10122" s="547" t="s">
        <v>446</v>
      </c>
      <c r="D10122" s="813" t="s">
        <v>450</v>
      </c>
      <c r="E10122" s="547" t="s">
        <v>270</v>
      </c>
      <c r="F10122" s="549">
        <v>8.5</v>
      </c>
      <c r="G10122" s="549" t="s">
        <v>61</v>
      </c>
      <c r="H10122" s="599" t="s">
        <v>118</v>
      </c>
      <c r="I10122" s="560">
        <v>9.26</v>
      </c>
      <c r="J10122" s="710">
        <v>12</v>
      </c>
      <c r="K10122" s="648">
        <v>5</v>
      </c>
      <c r="L10122" s="552">
        <f>(I10122*J10122*K10122/1000)</f>
        <v>0.55559999999999998</v>
      </c>
      <c r="M10122" s="549"/>
      <c r="N10122" s="549"/>
      <c r="O10122" s="549"/>
      <c r="P10122" s="549"/>
      <c r="Q10122" s="1358" t="s">
        <v>1253</v>
      </c>
    </row>
    <row r="10123" spans="1:17" ht="17.399999999999999">
      <c r="A10123" s="549"/>
      <c r="B10123" s="549"/>
      <c r="C10123" s="549"/>
      <c r="D10123" s="549"/>
      <c r="E10123" s="549"/>
      <c r="F10123" s="549"/>
      <c r="G10123" s="549"/>
      <c r="H10123" s="549"/>
      <c r="I10123" s="560"/>
      <c r="J10123" s="710"/>
      <c r="K10123" s="648">
        <f t="shared" ref="K10123:L10123" si="2096">SUM(K10122)</f>
        <v>5</v>
      </c>
      <c r="L10123" s="734">
        <f t="shared" si="2096"/>
        <v>0.55559999999999998</v>
      </c>
      <c r="M10123" s="549"/>
      <c r="N10123" s="549"/>
      <c r="O10123" s="549"/>
      <c r="P10123" s="549"/>
    </row>
    <row r="10124" spans="1:17" s="1358" customFormat="1" ht="17.399999999999999">
      <c r="A10124" s="549"/>
      <c r="B10124" s="549"/>
      <c r="C10124" s="549"/>
      <c r="D10124" s="549"/>
      <c r="E10124" s="549"/>
      <c r="F10124" s="549"/>
      <c r="G10124" s="549"/>
      <c r="H10124" s="549"/>
      <c r="I10124" s="560"/>
      <c r="J10124" s="710"/>
      <c r="K10124" s="648"/>
      <c r="L10124" s="552"/>
      <c r="M10124" s="549"/>
      <c r="N10124" s="549"/>
      <c r="O10124" s="549"/>
      <c r="P10124" s="549"/>
    </row>
    <row r="10125" spans="1:17" ht="17.399999999999999">
      <c r="A10125" s="547" t="s">
        <v>272</v>
      </c>
      <c r="B10125" s="547" t="s">
        <v>1170</v>
      </c>
      <c r="C10125" s="547" t="s">
        <v>446</v>
      </c>
      <c r="D10125" s="813" t="s">
        <v>450</v>
      </c>
      <c r="E10125" s="547" t="s">
        <v>270</v>
      </c>
      <c r="F10125" s="549">
        <v>8.5</v>
      </c>
      <c r="G10125" s="549" t="s">
        <v>61</v>
      </c>
      <c r="H10125" s="599" t="s">
        <v>118</v>
      </c>
      <c r="I10125" s="558">
        <v>9.26</v>
      </c>
      <c r="J10125" s="567">
        <v>10</v>
      </c>
      <c r="K10125" s="648">
        <f>92-38</f>
        <v>54</v>
      </c>
      <c r="L10125" s="552">
        <f t="shared" ref="L10125:L10127" si="2097">(I10125*J10125*K10125/1000)</f>
        <v>5.0004</v>
      </c>
      <c r="M10125" s="549"/>
      <c r="N10125" s="549"/>
      <c r="O10125" s="549"/>
      <c r="P10125" s="549"/>
      <c r="Q10125" s="1358" t="s">
        <v>1253</v>
      </c>
    </row>
    <row r="10126" spans="1:17" ht="17.399999999999999">
      <c r="A10126" s="549"/>
      <c r="B10126" s="549"/>
      <c r="C10126" s="549"/>
      <c r="D10126" s="549"/>
      <c r="E10126" s="549"/>
      <c r="F10126" s="549"/>
      <c r="G10126" s="549" t="s">
        <v>61</v>
      </c>
      <c r="H10126" s="549" t="s">
        <v>118</v>
      </c>
      <c r="I10126" s="558">
        <v>9.26</v>
      </c>
      <c r="J10126" s="567">
        <v>11.5</v>
      </c>
      <c r="K10126" s="648">
        <v>33</v>
      </c>
      <c r="L10126" s="552">
        <f t="shared" si="2097"/>
        <v>3.5141699999999996</v>
      </c>
      <c r="M10126" s="549"/>
      <c r="N10126" s="549"/>
      <c r="O10126" s="549"/>
      <c r="P10126" s="549"/>
    </row>
    <row r="10127" spans="1:17" ht="17.399999999999999">
      <c r="A10127" s="549"/>
      <c r="B10127" s="549"/>
      <c r="C10127" s="549"/>
      <c r="D10127" s="549"/>
      <c r="E10127" s="549"/>
      <c r="F10127" s="549"/>
      <c r="G10127" s="549" t="s">
        <v>61</v>
      </c>
      <c r="H10127" s="549" t="s">
        <v>118</v>
      </c>
      <c r="I10127" s="558">
        <v>9.26</v>
      </c>
      <c r="J10127" s="567">
        <v>12</v>
      </c>
      <c r="K10127" s="648">
        <v>118</v>
      </c>
      <c r="L10127" s="552">
        <f t="shared" si="2097"/>
        <v>13.112159999999999</v>
      </c>
      <c r="M10127" s="549"/>
      <c r="N10127" s="549"/>
      <c r="O10127" s="549"/>
      <c r="P10127" s="549"/>
    </row>
    <row r="10128" spans="1:17" ht="17.399999999999999">
      <c r="A10128" s="549"/>
      <c r="B10128" s="549"/>
      <c r="C10128" s="549"/>
      <c r="D10128" s="549"/>
      <c r="E10128" s="549"/>
      <c r="F10128" s="549"/>
      <c r="G10128" s="549"/>
      <c r="H10128" s="549"/>
      <c r="I10128" s="558"/>
      <c r="J10128" s="567"/>
      <c r="K10128" s="648">
        <f>SUM(K10125:K10127)</f>
        <v>205</v>
      </c>
      <c r="L10128" s="732">
        <f>SUM(L10125:L10127)</f>
        <v>21.626729999999998</v>
      </c>
      <c r="M10128" s="549"/>
      <c r="N10128" s="549"/>
      <c r="O10128" s="549"/>
      <c r="P10128" s="549"/>
    </row>
    <row r="10129" spans="1:20" s="1358" customFormat="1" ht="17.399999999999999">
      <c r="A10129" s="549"/>
      <c r="B10129" s="549"/>
      <c r="C10129" s="549"/>
      <c r="D10129" s="549"/>
      <c r="E10129" s="549"/>
      <c r="F10129" s="549"/>
      <c r="G10129" s="549"/>
      <c r="H10129" s="549"/>
      <c r="I10129" s="560"/>
      <c r="J10129" s="710"/>
      <c r="K10129" s="648"/>
      <c r="L10129" s="552"/>
      <c r="M10129" s="549"/>
      <c r="N10129" s="549"/>
      <c r="O10129" s="549"/>
      <c r="P10129" s="549"/>
    </row>
    <row r="10130" spans="1:20" ht="17.399999999999999">
      <c r="A10130" s="547" t="s">
        <v>272</v>
      </c>
      <c r="B10130" s="547" t="s">
        <v>1174</v>
      </c>
      <c r="C10130" s="547" t="s">
        <v>446</v>
      </c>
      <c r="D10130" s="813" t="s">
        <v>450</v>
      </c>
      <c r="E10130" s="547" t="s">
        <v>270</v>
      </c>
      <c r="F10130" s="549">
        <v>8.5</v>
      </c>
      <c r="G10130" s="549" t="s">
        <v>61</v>
      </c>
      <c r="H10130" s="599" t="s">
        <v>118</v>
      </c>
      <c r="I10130" s="560">
        <v>9.26</v>
      </c>
      <c r="J10130" s="567">
        <v>6.9</v>
      </c>
      <c r="K10130" s="648">
        <v>32</v>
      </c>
      <c r="L10130" s="552">
        <f t="shared" ref="L10130:L10131" si="2098">(I10130*J10130*K10130/1000)</f>
        <v>2.0446079999999998</v>
      </c>
      <c r="M10130" s="549"/>
      <c r="N10130" s="549"/>
      <c r="O10130" s="549"/>
      <c r="P10130" s="549"/>
      <c r="Q10130" s="1358" t="s">
        <v>1253</v>
      </c>
    </row>
    <row r="10131" spans="1:20" ht="17.399999999999999">
      <c r="A10131" s="549"/>
      <c r="B10131" s="549"/>
      <c r="C10131" s="549"/>
      <c r="D10131" s="549"/>
      <c r="E10131" s="549"/>
      <c r="F10131" s="549"/>
      <c r="G10131" s="549" t="s">
        <v>61</v>
      </c>
      <c r="H10131" s="549" t="s">
        <v>118</v>
      </c>
      <c r="I10131" s="560">
        <v>9.26</v>
      </c>
      <c r="J10131" s="567">
        <v>11.7</v>
      </c>
      <c r="K10131" s="648">
        <v>32</v>
      </c>
      <c r="L10131" s="552">
        <f t="shared" si="2098"/>
        <v>3.4669439999999994</v>
      </c>
      <c r="M10131" s="549"/>
      <c r="N10131" s="549"/>
      <c r="O10131" s="549"/>
      <c r="P10131" s="549"/>
    </row>
    <row r="10132" spans="1:20" ht="17.399999999999999">
      <c r="A10132" s="549"/>
      <c r="B10132" s="549"/>
      <c r="C10132" s="549"/>
      <c r="D10132" s="549"/>
      <c r="E10132" s="549"/>
      <c r="F10132" s="549"/>
      <c r="G10132" s="549"/>
      <c r="H10132" s="549"/>
      <c r="I10132" s="560"/>
      <c r="J10132" s="567"/>
      <c r="K10132" s="648">
        <f t="shared" ref="K10132:L10132" si="2099">SUM(K10130:K10131)</f>
        <v>64</v>
      </c>
      <c r="L10132" s="732">
        <f t="shared" si="2099"/>
        <v>5.5115519999999991</v>
      </c>
      <c r="M10132" s="549"/>
      <c r="N10132" s="549"/>
      <c r="O10132" s="549"/>
      <c r="P10132" s="549"/>
    </row>
    <row r="10133" spans="1:20" s="1358" customFormat="1" ht="17.399999999999999">
      <c r="A10133" s="549"/>
      <c r="B10133" s="549"/>
      <c r="C10133" s="549"/>
      <c r="D10133" s="549"/>
      <c r="E10133" s="549"/>
      <c r="F10133" s="549"/>
      <c r="G10133" s="549"/>
      <c r="H10133" s="549"/>
      <c r="I10133" s="560"/>
      <c r="J10133" s="567"/>
      <c r="K10133" s="648"/>
      <c r="L10133" s="567"/>
      <c r="M10133" s="549"/>
      <c r="N10133" s="549"/>
      <c r="O10133" s="549"/>
      <c r="P10133" s="549"/>
    </row>
    <row r="10134" spans="1:20" ht="17.399999999999999">
      <c r="A10134" s="547" t="s">
        <v>272</v>
      </c>
      <c r="B10134" s="547" t="s">
        <v>1175</v>
      </c>
      <c r="C10134" s="547" t="s">
        <v>446</v>
      </c>
      <c r="D10134" s="813" t="s">
        <v>450</v>
      </c>
      <c r="E10134" s="547" t="s">
        <v>270</v>
      </c>
      <c r="F10134" s="549">
        <v>8.5</v>
      </c>
      <c r="G10134" s="549" t="s">
        <v>61</v>
      </c>
      <c r="H10134" s="599" t="s">
        <v>118</v>
      </c>
      <c r="I10134" s="560">
        <v>9.26</v>
      </c>
      <c r="J10134" s="567">
        <v>10</v>
      </c>
      <c r="K10134" s="648">
        <v>35</v>
      </c>
      <c r="L10134" s="552">
        <f t="shared" ref="L10134:L10135" si="2100">(I10134*J10134*K10134/1000)</f>
        <v>3.2410000000000001</v>
      </c>
      <c r="M10134" s="549"/>
      <c r="N10134" s="549"/>
      <c r="O10134" s="549"/>
      <c r="P10134" s="549"/>
      <c r="Q10134" s="1358" t="s">
        <v>1253</v>
      </c>
    </row>
    <row r="10135" spans="1:20" ht="17.399999999999999">
      <c r="A10135" s="549"/>
      <c r="B10135" s="549"/>
      <c r="C10135" s="549"/>
      <c r="D10135" s="549"/>
      <c r="E10135" s="549"/>
      <c r="F10135" s="549"/>
      <c r="G10135" s="549" t="s">
        <v>61</v>
      </c>
      <c r="H10135" s="549" t="s">
        <v>118</v>
      </c>
      <c r="I10135" s="560">
        <v>9.26</v>
      </c>
      <c r="J10135" s="567">
        <v>12</v>
      </c>
      <c r="K10135" s="648">
        <v>141</v>
      </c>
      <c r="L10135" s="552">
        <f t="shared" si="2100"/>
        <v>15.667920000000001</v>
      </c>
      <c r="M10135" s="549"/>
      <c r="N10135" s="549"/>
      <c r="O10135" s="549"/>
      <c r="P10135" s="549"/>
    </row>
    <row r="10136" spans="1:20" ht="17.399999999999999">
      <c r="A10136" s="549"/>
      <c r="B10136" s="549"/>
      <c r="C10136" s="549"/>
      <c r="D10136" s="549"/>
      <c r="E10136" s="549"/>
      <c r="F10136" s="549"/>
      <c r="G10136" s="549"/>
      <c r="H10136" s="549"/>
      <c r="I10136" s="560"/>
      <c r="J10136" s="567"/>
      <c r="K10136" s="648">
        <f t="shared" ref="K10136:L10136" si="2101">SUM(K10134:K10135)</f>
        <v>176</v>
      </c>
      <c r="L10136" s="732">
        <f t="shared" si="2101"/>
        <v>18.908920000000002</v>
      </c>
      <c r="M10136" s="549"/>
      <c r="N10136" s="549"/>
      <c r="O10136" s="549"/>
      <c r="P10136" s="549"/>
    </row>
    <row r="10137" spans="1:20" s="1358" customFormat="1" ht="17.399999999999999">
      <c r="A10137" s="549"/>
      <c r="B10137" s="549"/>
      <c r="C10137" s="549"/>
      <c r="D10137" s="549"/>
      <c r="E10137" s="549"/>
      <c r="F10137" s="549"/>
      <c r="G10137" s="549"/>
      <c r="H10137" s="549"/>
      <c r="I10137" s="560"/>
      <c r="J10137" s="710"/>
      <c r="K10137" s="648"/>
      <c r="L10137" s="552">
        <f>+L10136+L10132+L10128+L10123+L10120</f>
        <v>70.746399999999994</v>
      </c>
      <c r="M10137" s="549"/>
      <c r="N10137" s="549"/>
      <c r="O10137" s="549"/>
      <c r="P10137" s="549" t="s">
        <v>1195</v>
      </c>
    </row>
    <row r="10138" spans="1:20" s="1358" customFormat="1" ht="17.399999999999999">
      <c r="A10138" s="549"/>
      <c r="B10138" s="549"/>
      <c r="C10138" s="549"/>
      <c r="D10138" s="549"/>
      <c r="E10138" s="549"/>
      <c r="F10138" s="549"/>
      <c r="G10138" s="549"/>
      <c r="H10138" s="549"/>
      <c r="I10138" s="560"/>
      <c r="J10138" s="710"/>
      <c r="K10138" s="648"/>
      <c r="L10138" s="552"/>
      <c r="M10138" s="549"/>
      <c r="N10138" s="549"/>
      <c r="O10138" s="549"/>
      <c r="P10138" s="549"/>
    </row>
    <row r="10139" spans="1:20" s="1358" customFormat="1" ht="17.399999999999999">
      <c r="A10139" s="549"/>
      <c r="B10139" s="549"/>
      <c r="C10139" s="549"/>
      <c r="D10139" s="549"/>
      <c r="E10139" s="549"/>
      <c r="F10139" s="549"/>
      <c r="G10139" s="549"/>
      <c r="H10139" s="549"/>
      <c r="I10139" s="560"/>
      <c r="J10139" s="710"/>
      <c r="K10139" s="648"/>
      <c r="L10139" s="552"/>
      <c r="M10139" s="549"/>
      <c r="N10139" s="549"/>
      <c r="O10139" s="549"/>
      <c r="P10139" s="549"/>
    </row>
    <row r="10140" spans="1:20" s="1358" customFormat="1" ht="17.399999999999999">
      <c r="A10140" s="547" t="s">
        <v>445</v>
      </c>
      <c r="B10140" s="547" t="s">
        <v>890</v>
      </c>
      <c r="C10140" s="547" t="s">
        <v>19</v>
      </c>
      <c r="D10140" s="547" t="s">
        <v>60</v>
      </c>
      <c r="E10140" s="547" t="s">
        <v>62</v>
      </c>
      <c r="F10140" s="549">
        <v>12</v>
      </c>
      <c r="G10140" s="549" t="s">
        <v>61</v>
      </c>
      <c r="H10140" s="599" t="s">
        <v>118</v>
      </c>
      <c r="I10140" s="558">
        <v>9.26</v>
      </c>
      <c r="J10140" s="567">
        <v>8</v>
      </c>
      <c r="K10140" s="648">
        <f>69-12-1-3</f>
        <v>53</v>
      </c>
      <c r="L10140" s="552">
        <f t="shared" ref="L10140:L10145" si="2102">(I10140*J10140*K10140/1000)</f>
        <v>3.92624</v>
      </c>
      <c r="M10140" s="549">
        <v>5</v>
      </c>
      <c r="N10140" s="567">
        <f t="shared" ref="N10140:N10141" si="2103">J10140*M10140*I10140/1000</f>
        <v>0.37039999999999995</v>
      </c>
      <c r="O10140" s="549"/>
      <c r="P10140" s="549"/>
      <c r="S10140" s="831">
        <f t="shared" ref="S10140:S10141" si="2104">R10140-M10140</f>
        <v>-5</v>
      </c>
      <c r="T10140" s="1358" t="s">
        <v>1253</v>
      </c>
    </row>
    <row r="10141" spans="1:20" s="1358" customFormat="1" ht="17.399999999999999">
      <c r="A10141" s="547"/>
      <c r="B10141" s="549" t="s">
        <v>88</v>
      </c>
      <c r="C10141" s="547"/>
      <c r="D10141" s="547"/>
      <c r="E10141" s="547"/>
      <c r="F10141" s="549"/>
      <c r="G10141" s="549" t="s">
        <v>61</v>
      </c>
      <c r="H10141" s="549" t="s">
        <v>118</v>
      </c>
      <c r="I10141" s="558">
        <v>9.26</v>
      </c>
      <c r="J10141" s="567">
        <v>9.1999999999999993</v>
      </c>
      <c r="K10141" s="648">
        <f>31-1</f>
        <v>30</v>
      </c>
      <c r="L10141" s="552">
        <f t="shared" si="2102"/>
        <v>2.5557599999999998</v>
      </c>
      <c r="M10141" s="549">
        <v>9</v>
      </c>
      <c r="N10141" s="567">
        <f t="shared" si="2103"/>
        <v>0.76672799999999997</v>
      </c>
      <c r="O10141" s="549"/>
      <c r="P10141" s="549"/>
      <c r="S10141" s="831">
        <f t="shared" si="2104"/>
        <v>-9</v>
      </c>
    </row>
    <row r="10142" spans="1:20" s="1358" customFormat="1" ht="17.399999999999999">
      <c r="A10142" s="549"/>
      <c r="B10142" s="549"/>
      <c r="C10142" s="549"/>
      <c r="D10142" s="549"/>
      <c r="E10142" s="549"/>
      <c r="F10142" s="549"/>
      <c r="G10142" s="549" t="s">
        <v>61</v>
      </c>
      <c r="H10142" s="549" t="s">
        <v>118</v>
      </c>
      <c r="I10142" s="558">
        <v>9.26</v>
      </c>
      <c r="J10142" s="567">
        <v>10.5</v>
      </c>
      <c r="K10142" s="648">
        <v>36</v>
      </c>
      <c r="L10142" s="552">
        <f t="shared" si="2102"/>
        <v>3.5002800000000001</v>
      </c>
      <c r="M10142" s="549"/>
      <c r="N10142" s="549"/>
      <c r="O10142" s="549"/>
      <c r="P10142" s="549"/>
    </row>
    <row r="10143" spans="1:20" s="1358" customFormat="1" ht="17.399999999999999">
      <c r="A10143" s="549"/>
      <c r="B10143" s="549"/>
      <c r="C10143" s="549"/>
      <c r="D10143" s="549"/>
      <c r="E10143" s="549"/>
      <c r="F10143" s="549"/>
      <c r="G10143" s="549" t="s">
        <v>61</v>
      </c>
      <c r="H10143" s="549" t="s">
        <v>118</v>
      </c>
      <c r="I10143" s="558">
        <v>9.26</v>
      </c>
      <c r="J10143" s="567">
        <v>11.5</v>
      </c>
      <c r="K10143" s="648">
        <v>28</v>
      </c>
      <c r="L10143" s="552">
        <f t="shared" si="2102"/>
        <v>2.9817199999999997</v>
      </c>
      <c r="M10143" s="549"/>
      <c r="N10143" s="549"/>
      <c r="O10143" s="549"/>
      <c r="P10143" s="549"/>
    </row>
    <row r="10144" spans="1:20" s="1358" customFormat="1" ht="17.399999999999999">
      <c r="A10144" s="549"/>
      <c r="B10144" s="549"/>
      <c r="C10144" s="549"/>
      <c r="D10144" s="549"/>
      <c r="E10144" s="549"/>
      <c r="F10144" s="549"/>
      <c r="G10144" s="549" t="s">
        <v>61</v>
      </c>
      <c r="H10144" s="549" t="s">
        <v>118</v>
      </c>
      <c r="I10144" s="558">
        <v>9.26</v>
      </c>
      <c r="J10144" s="567">
        <v>11.7</v>
      </c>
      <c r="K10144" s="648">
        <f>54-41</f>
        <v>13</v>
      </c>
      <c r="L10144" s="552">
        <f t="shared" si="2102"/>
        <v>1.4084459999999999</v>
      </c>
      <c r="M10144" s="549"/>
      <c r="N10144" s="549"/>
      <c r="O10144" s="549"/>
      <c r="P10144" s="549"/>
    </row>
    <row r="10145" spans="1:20" s="1358" customFormat="1" ht="17.399999999999999">
      <c r="A10145" s="549"/>
      <c r="B10145" s="549"/>
      <c r="C10145" s="549"/>
      <c r="D10145" s="549"/>
      <c r="E10145" s="549"/>
      <c r="F10145" s="549"/>
      <c r="G10145" s="549" t="s">
        <v>61</v>
      </c>
      <c r="H10145" s="549" t="s">
        <v>118</v>
      </c>
      <c r="I10145" s="558">
        <v>9.26</v>
      </c>
      <c r="J10145" s="567">
        <v>12</v>
      </c>
      <c r="K10145" s="648">
        <f>87-1</f>
        <v>86</v>
      </c>
      <c r="L10145" s="552">
        <f t="shared" si="2102"/>
        <v>9.5563199999999995</v>
      </c>
      <c r="M10145" s="549"/>
      <c r="N10145" s="549"/>
      <c r="O10145" s="549"/>
      <c r="P10145" s="549"/>
    </row>
    <row r="10146" spans="1:20" s="1358" customFormat="1" ht="17.399999999999999">
      <c r="A10146" s="549"/>
      <c r="B10146" s="549"/>
      <c r="C10146" s="549"/>
      <c r="D10146" s="549"/>
      <c r="E10146" s="549"/>
      <c r="F10146" s="549"/>
      <c r="G10146" s="549"/>
      <c r="H10146" s="549"/>
      <c r="I10146" s="558"/>
      <c r="J10146" s="567"/>
      <c r="K10146" s="648">
        <f>SUM(K10140:K10145)</f>
        <v>246</v>
      </c>
      <c r="L10146" s="567">
        <f>SUM(L10140:L10145)</f>
        <v>23.928765999999996</v>
      </c>
      <c r="M10146" s="648">
        <f>SUM(M10140:M10145)</f>
        <v>14</v>
      </c>
      <c r="N10146" s="567">
        <f>SUM(N10140:N10145)</f>
        <v>1.1371279999999999</v>
      </c>
      <c r="O10146" s="549"/>
      <c r="P10146" s="549" t="s">
        <v>1196</v>
      </c>
    </row>
    <row r="10147" spans="1:20" s="1358" customFormat="1" ht="17.399999999999999">
      <c r="A10147" s="549"/>
      <c r="B10147" s="549"/>
      <c r="C10147" s="549"/>
      <c r="D10147" s="549"/>
      <c r="E10147" s="549"/>
      <c r="F10147" s="549"/>
      <c r="G10147" s="549"/>
      <c r="H10147" s="549"/>
      <c r="I10147" s="558"/>
      <c r="J10147" s="567"/>
      <c r="K10147" s="648"/>
      <c r="L10147" s="567"/>
      <c r="M10147" s="549"/>
      <c r="N10147" s="549"/>
      <c r="O10147" s="549"/>
      <c r="P10147" s="549"/>
    </row>
    <row r="10148" spans="1:20" ht="17.399999999999999">
      <c r="A10148" s="547" t="s">
        <v>395</v>
      </c>
      <c r="B10148" s="547" t="s">
        <v>1038</v>
      </c>
      <c r="C10148" s="547" t="s">
        <v>19</v>
      </c>
      <c r="D10148" s="547" t="s">
        <v>60</v>
      </c>
      <c r="E10148" s="547" t="s">
        <v>270</v>
      </c>
      <c r="F10148" s="549">
        <v>12</v>
      </c>
      <c r="G10148" s="549" t="s">
        <v>61</v>
      </c>
      <c r="H10148" s="599" t="s">
        <v>118</v>
      </c>
      <c r="I10148" s="560">
        <v>9.26</v>
      </c>
      <c r="J10148" s="567">
        <v>10.25</v>
      </c>
      <c r="K10148" s="648">
        <v>4</v>
      </c>
      <c r="L10148" s="552">
        <f>(I10148*J10148*K10148/1000)</f>
        <v>0.37965999999999994</v>
      </c>
      <c r="M10148" s="549"/>
      <c r="N10148" s="549"/>
      <c r="O10148" s="549"/>
      <c r="P10148" s="549"/>
      <c r="Q10148" s="1358" t="s">
        <v>1253</v>
      </c>
    </row>
    <row r="10149" spans="1:20" ht="17.399999999999999">
      <c r="A10149" s="549"/>
      <c r="B10149" s="560" t="s">
        <v>277</v>
      </c>
      <c r="C10149" s="549"/>
      <c r="D10149" s="549"/>
      <c r="E10149" s="549"/>
      <c r="F10149" s="549"/>
      <c r="G10149" s="549"/>
      <c r="H10149" s="549" t="s">
        <v>261</v>
      </c>
      <c r="I10149" s="560"/>
      <c r="J10149" s="567"/>
      <c r="K10149" s="648">
        <f t="shared" ref="K10149:L10149" si="2105">SUM(K10148)</f>
        <v>4</v>
      </c>
      <c r="L10149" s="567">
        <f t="shared" si="2105"/>
        <v>0.37965999999999994</v>
      </c>
      <c r="M10149" s="549"/>
      <c r="N10149" s="549"/>
      <c r="O10149" s="549"/>
      <c r="P10149" s="549" t="s">
        <v>1197</v>
      </c>
    </row>
    <row r="10150" spans="1:20" s="1358" customFormat="1" ht="17.399999999999999">
      <c r="A10150" s="549"/>
      <c r="B10150" s="560"/>
      <c r="C10150" s="549"/>
      <c r="D10150" s="549"/>
      <c r="E10150" s="549"/>
      <c r="F10150" s="549"/>
      <c r="G10150" s="549"/>
      <c r="H10150" s="549"/>
      <c r="I10150" s="560"/>
      <c r="J10150" s="567"/>
      <c r="K10150" s="648"/>
      <c r="L10150" s="567"/>
      <c r="M10150" s="549"/>
      <c r="N10150" s="549"/>
      <c r="O10150" s="549"/>
      <c r="P10150" s="549"/>
    </row>
    <row r="10151" spans="1:20" ht="17.399999999999999">
      <c r="A10151" s="547" t="s">
        <v>395</v>
      </c>
      <c r="B10151" s="547" t="s">
        <v>1038</v>
      </c>
      <c r="C10151" s="547" t="s">
        <v>19</v>
      </c>
      <c r="D10151" s="547" t="s">
        <v>60</v>
      </c>
      <c r="E10151" s="547" t="s">
        <v>270</v>
      </c>
      <c r="F10151" s="549">
        <v>12</v>
      </c>
      <c r="G10151" s="549" t="s">
        <v>61</v>
      </c>
      <c r="H10151" s="599" t="s">
        <v>118</v>
      </c>
      <c r="I10151" s="560">
        <v>9.26</v>
      </c>
      <c r="J10151" s="567">
        <v>11.5</v>
      </c>
      <c r="K10151" s="648">
        <v>36</v>
      </c>
      <c r="L10151" s="552">
        <f>(I10151*J10151*K10151/1000)</f>
        <v>3.8336399999999999</v>
      </c>
      <c r="M10151" s="549">
        <v>12</v>
      </c>
      <c r="N10151" s="567">
        <f>J10151*M10151*I10151/1000</f>
        <v>1.2778799999999999</v>
      </c>
      <c r="O10151" s="549"/>
      <c r="P10151" s="549"/>
      <c r="S10151" s="831">
        <f>R10151-M10151</f>
        <v>-12</v>
      </c>
      <c r="T10151" s="1358" t="s">
        <v>1253</v>
      </c>
    </row>
    <row r="10152" spans="1:20" ht="17.399999999999999">
      <c r="A10152" s="549"/>
      <c r="B10152" s="560" t="s">
        <v>277</v>
      </c>
      <c r="C10152" s="549"/>
      <c r="D10152" s="549"/>
      <c r="E10152" s="549"/>
      <c r="F10152" s="549"/>
      <c r="G10152" s="549"/>
      <c r="H10152" s="549" t="s">
        <v>261</v>
      </c>
      <c r="I10152" s="560"/>
      <c r="J10152" s="567"/>
      <c r="K10152" s="648">
        <f t="shared" ref="K10152:N10152" si="2106">SUM(K10151)</f>
        <v>36</v>
      </c>
      <c r="L10152" s="567">
        <f t="shared" si="2106"/>
        <v>3.8336399999999999</v>
      </c>
      <c r="M10152" s="648">
        <f t="shared" si="2106"/>
        <v>12</v>
      </c>
      <c r="N10152" s="567">
        <f t="shared" si="2106"/>
        <v>1.2778799999999999</v>
      </c>
      <c r="O10152" s="549"/>
      <c r="P10152" s="549" t="s">
        <v>1197</v>
      </c>
    </row>
    <row r="10153" spans="1:20" s="1358" customFormat="1" ht="17.399999999999999">
      <c r="A10153" s="549"/>
      <c r="B10153" s="560"/>
      <c r="C10153" s="549"/>
      <c r="D10153" s="549"/>
      <c r="E10153" s="549"/>
      <c r="F10153" s="549"/>
      <c r="G10153" s="549"/>
      <c r="H10153" s="549"/>
      <c r="I10153" s="560"/>
      <c r="J10153" s="567"/>
      <c r="K10153" s="648"/>
      <c r="L10153" s="567"/>
      <c r="M10153" s="549"/>
      <c r="N10153" s="549"/>
      <c r="O10153" s="549"/>
      <c r="P10153" s="549"/>
    </row>
    <row r="10154" spans="1:20" ht="17.399999999999999">
      <c r="A10154" s="547" t="s">
        <v>395</v>
      </c>
      <c r="B10154" s="547" t="s">
        <v>1038</v>
      </c>
      <c r="C10154" s="547" t="s">
        <v>19</v>
      </c>
      <c r="D10154" s="547" t="s">
        <v>60</v>
      </c>
      <c r="E10154" s="754" t="s">
        <v>1096</v>
      </c>
      <c r="F10154" s="549">
        <v>12</v>
      </c>
      <c r="G10154" s="549" t="s">
        <v>61</v>
      </c>
      <c r="H10154" s="599" t="s">
        <v>118</v>
      </c>
      <c r="I10154" s="560">
        <v>9.26</v>
      </c>
      <c r="J10154" s="567">
        <v>10.5</v>
      </c>
      <c r="K10154" s="648">
        <v>20</v>
      </c>
      <c r="L10154" s="552">
        <f>(I10154*J10154*K10154/1000)</f>
        <v>1.9446000000000001</v>
      </c>
      <c r="M10154" s="549"/>
      <c r="N10154" s="549"/>
      <c r="O10154" s="549"/>
      <c r="P10154" s="549"/>
      <c r="Q10154" s="1358" t="s">
        <v>1253</v>
      </c>
    </row>
    <row r="10155" spans="1:20" ht="17.399999999999999">
      <c r="A10155" s="549"/>
      <c r="B10155" s="560" t="s">
        <v>277</v>
      </c>
      <c r="C10155" s="549"/>
      <c r="D10155" s="549"/>
      <c r="E10155" s="549"/>
      <c r="F10155" s="549"/>
      <c r="G10155" s="549" t="s">
        <v>61</v>
      </c>
      <c r="H10155" s="549" t="s">
        <v>118</v>
      </c>
      <c r="I10155" s="560">
        <v>9.26</v>
      </c>
      <c r="J10155" s="567">
        <v>11</v>
      </c>
      <c r="K10155" s="648">
        <v>7</v>
      </c>
      <c r="L10155" s="552">
        <f>(I10155*J10155*K10155/1000)</f>
        <v>0.71301999999999999</v>
      </c>
      <c r="M10155" s="549"/>
      <c r="N10155" s="549"/>
      <c r="O10155" s="549"/>
      <c r="P10155" s="549"/>
    </row>
    <row r="10156" spans="1:20" ht="17.399999999999999">
      <c r="A10156" s="549"/>
      <c r="B10156" s="549"/>
      <c r="C10156" s="549"/>
      <c r="D10156" s="549"/>
      <c r="E10156" s="549"/>
      <c r="F10156" s="549"/>
      <c r="G10156" s="549"/>
      <c r="H10156" s="549" t="s">
        <v>1096</v>
      </c>
      <c r="I10156" s="560"/>
      <c r="J10156" s="567"/>
      <c r="K10156" s="648">
        <f t="shared" ref="K10156:M10156" si="2107">SUM(K10154:K10155)</f>
        <v>27</v>
      </c>
      <c r="L10156" s="567">
        <f>SUM(L10154:L10155)</f>
        <v>2.6576200000000001</v>
      </c>
      <c r="M10156" s="648">
        <f t="shared" si="2107"/>
        <v>0</v>
      </c>
      <c r="N10156" s="567">
        <f>SUM(N10154:N10155)</f>
        <v>0</v>
      </c>
      <c r="O10156" s="549"/>
      <c r="P10156" s="549" t="s">
        <v>1198</v>
      </c>
    </row>
    <row r="10157" spans="1:20" s="1358" customFormat="1" ht="17.399999999999999">
      <c r="A10157" s="549"/>
      <c r="B10157" s="549"/>
      <c r="C10157" s="549"/>
      <c r="D10157" s="549"/>
      <c r="E10157" s="549"/>
      <c r="F10157" s="549"/>
      <c r="G10157" s="549"/>
      <c r="H10157" s="549"/>
      <c r="I10157" s="558"/>
      <c r="J10157" s="567"/>
      <c r="K10157" s="648">
        <f>+K10156+K10152+K10149+K10146</f>
        <v>313</v>
      </c>
      <c r="L10157" s="567">
        <f>+L10156+L10152+L10149+L10146</f>
        <v>30.799685999999998</v>
      </c>
      <c r="M10157" s="648">
        <f>+M10156+M10152+M10149+M10146</f>
        <v>26</v>
      </c>
      <c r="N10157" s="567">
        <f>+N10156+N10152+N10149+N10146</f>
        <v>2.4150079999999998</v>
      </c>
      <c r="O10157" s="549"/>
      <c r="P10157" s="549"/>
    </row>
    <row r="10158" spans="1:20" s="1358" customFormat="1" ht="17.399999999999999">
      <c r="A10158" s="549"/>
      <c r="B10158" s="549"/>
      <c r="C10158" s="549"/>
      <c r="D10158" s="549"/>
      <c r="E10158" s="549"/>
      <c r="F10158" s="549"/>
      <c r="G10158" s="549"/>
      <c r="H10158" s="549"/>
      <c r="I10158" s="558"/>
      <c r="J10158" s="567"/>
      <c r="K10158" s="648"/>
      <c r="L10158" s="567"/>
      <c r="M10158" s="549"/>
      <c r="N10158" s="549"/>
      <c r="O10158" s="549"/>
      <c r="P10158" s="549"/>
    </row>
    <row r="10159" spans="1:20" s="1358" customFormat="1" ht="17.399999999999999">
      <c r="A10159" s="549"/>
      <c r="B10159" s="549"/>
      <c r="C10159" s="549"/>
      <c r="D10159" s="549"/>
      <c r="E10159" s="549"/>
      <c r="F10159" s="549"/>
      <c r="G10159" s="549"/>
      <c r="H10159" s="549"/>
      <c r="I10159" s="560"/>
      <c r="J10159" s="710"/>
      <c r="K10159" s="648"/>
      <c r="L10159" s="552"/>
      <c r="M10159" s="549"/>
      <c r="N10159" s="549"/>
      <c r="O10159" s="549"/>
      <c r="P10159" s="549"/>
    </row>
    <row r="10160" spans="1:20" ht="17.399999999999999">
      <c r="A10160" s="547" t="s">
        <v>445</v>
      </c>
      <c r="B10160" s="547" t="s">
        <v>890</v>
      </c>
      <c r="C10160" s="547" t="s">
        <v>19</v>
      </c>
      <c r="D10160" s="547" t="s">
        <v>60</v>
      </c>
      <c r="E10160" s="547" t="s">
        <v>62</v>
      </c>
      <c r="F10160" s="549">
        <v>12</v>
      </c>
      <c r="G10160" s="549" t="s">
        <v>61</v>
      </c>
      <c r="H10160" s="599" t="s">
        <v>119</v>
      </c>
      <c r="I10160" s="558">
        <v>10.7</v>
      </c>
      <c r="J10160" s="567">
        <v>6.3</v>
      </c>
      <c r="K10160" s="648">
        <v>30</v>
      </c>
      <c r="L10160" s="552">
        <f t="shared" ref="L10160:L10163" si="2108">(I10160*J10160*K10160/1000)</f>
        <v>2.0223</v>
      </c>
      <c r="M10160" s="549">
        <v>6</v>
      </c>
      <c r="N10160" s="567">
        <f>J10160*M10160*I10160/1000</f>
        <v>0.40445999999999993</v>
      </c>
      <c r="O10160" s="549"/>
      <c r="P10160" s="549"/>
      <c r="Q10160" s="549"/>
      <c r="R10160" s="549">
        <f>7+1+1+1+1+2+8</f>
        <v>21</v>
      </c>
      <c r="S10160" s="831">
        <f>R10160-M10160</f>
        <v>15</v>
      </c>
      <c r="T10160" s="1358" t="s">
        <v>1253</v>
      </c>
    </row>
    <row r="10161" spans="1:20" ht="17.399999999999999">
      <c r="A10161" s="547"/>
      <c r="B10161" s="549" t="s">
        <v>88</v>
      </c>
      <c r="C10161" s="547"/>
      <c r="D10161" s="547"/>
      <c r="E10161" s="547"/>
      <c r="F10161" s="549"/>
      <c r="G10161" s="549" t="s">
        <v>61</v>
      </c>
      <c r="H10161" s="549" t="s">
        <v>119</v>
      </c>
      <c r="I10161" s="558">
        <v>10.7</v>
      </c>
      <c r="J10161" s="567">
        <v>10</v>
      </c>
      <c r="K10161" s="648">
        <v>21</v>
      </c>
      <c r="L10161" s="552">
        <f t="shared" si="2108"/>
        <v>2.2469999999999999</v>
      </c>
      <c r="M10161" s="549">
        <v>1</v>
      </c>
      <c r="N10161" s="567">
        <f>J10161*M10161*I10161/1000</f>
        <v>0.107</v>
      </c>
      <c r="O10161" s="549"/>
      <c r="P10161" s="549"/>
      <c r="Q10161" s="549"/>
      <c r="R10161" s="549">
        <v>1</v>
      </c>
      <c r="S10161" s="1358">
        <f t="shared" ref="S10161:S10163" si="2109">R10161-M10161</f>
        <v>0</v>
      </c>
    </row>
    <row r="10162" spans="1:20" ht="17.399999999999999">
      <c r="A10162" s="549"/>
      <c r="B10162" s="549"/>
      <c r="C10162" s="549"/>
      <c r="D10162" s="549"/>
      <c r="E10162" s="549"/>
      <c r="F10162" s="549"/>
      <c r="G10162" s="549" t="s">
        <v>61</v>
      </c>
      <c r="H10162" s="549" t="s">
        <v>119</v>
      </c>
      <c r="I10162" s="558">
        <v>10.7</v>
      </c>
      <c r="J10162" s="567">
        <v>10.5</v>
      </c>
      <c r="K10162" s="648">
        <v>26</v>
      </c>
      <c r="L10162" s="552">
        <f t="shared" si="2108"/>
        <v>2.9211</v>
      </c>
      <c r="M10162" s="549">
        <v>5</v>
      </c>
      <c r="N10162" s="567">
        <f>J10162*M10162*I10162/1000</f>
        <v>0.56174999999999997</v>
      </c>
      <c r="O10162" s="549"/>
      <c r="P10162" s="549"/>
      <c r="Q10162" s="549"/>
      <c r="R10162" s="549">
        <f>1+1+3</f>
        <v>5</v>
      </c>
      <c r="S10162" s="1358">
        <f t="shared" si="2109"/>
        <v>0</v>
      </c>
    </row>
    <row r="10163" spans="1:20" ht="17.399999999999999">
      <c r="A10163" s="549"/>
      <c r="B10163" s="549"/>
      <c r="C10163" s="549"/>
      <c r="D10163" s="549"/>
      <c r="E10163" s="549"/>
      <c r="F10163" s="549"/>
      <c r="G10163" s="549" t="s">
        <v>61</v>
      </c>
      <c r="H10163" s="549" t="s">
        <v>119</v>
      </c>
      <c r="I10163" s="558">
        <v>10.7</v>
      </c>
      <c r="J10163" s="567">
        <v>11.3</v>
      </c>
      <c r="K10163" s="648">
        <v>33</v>
      </c>
      <c r="L10163" s="552">
        <f t="shared" si="2108"/>
        <v>3.99003</v>
      </c>
      <c r="M10163" s="549">
        <v>5</v>
      </c>
      <c r="N10163" s="567">
        <f>J10163*M10163*I10163/1000</f>
        <v>0.60454999999999992</v>
      </c>
      <c r="O10163" s="549"/>
      <c r="P10163" s="549"/>
      <c r="Q10163" s="549"/>
      <c r="R10163" s="549">
        <v>5</v>
      </c>
      <c r="S10163" s="1358">
        <f t="shared" si="2109"/>
        <v>0</v>
      </c>
    </row>
    <row r="10164" spans="1:20" ht="17.399999999999999">
      <c r="A10164" s="549"/>
      <c r="B10164" s="549"/>
      <c r="C10164" s="549"/>
      <c r="D10164" s="549"/>
      <c r="E10164" s="549"/>
      <c r="F10164" s="549"/>
      <c r="G10164" s="549"/>
      <c r="H10164" s="549"/>
      <c r="I10164" s="558"/>
      <c r="J10164" s="567"/>
      <c r="K10164" s="648">
        <f>SUM(K10160:K10163)</f>
        <v>110</v>
      </c>
      <c r="L10164" s="567">
        <f t="shared" ref="L10164" si="2110">SUM(L10160:L10163)</f>
        <v>11.180429999999999</v>
      </c>
      <c r="M10164" s="648">
        <f>SUM(M10160:M10163)</f>
        <v>17</v>
      </c>
      <c r="N10164" s="567">
        <f>SUM(N10160:N10163)</f>
        <v>1.6777599999999999</v>
      </c>
      <c r="O10164" s="549"/>
      <c r="P10164" s="549" t="s">
        <v>1199</v>
      </c>
      <c r="Q10164" s="648"/>
      <c r="R10164" s="648">
        <f>SUM(R10160:R10163)</f>
        <v>32</v>
      </c>
    </row>
    <row r="10165" spans="1:20" s="1358" customFormat="1" ht="17.399999999999999">
      <c r="A10165" s="549"/>
      <c r="B10165" s="549"/>
      <c r="C10165" s="549"/>
      <c r="D10165" s="549"/>
      <c r="E10165" s="549"/>
      <c r="F10165" s="549"/>
      <c r="G10165" s="549"/>
      <c r="H10165" s="549"/>
      <c r="I10165" s="558"/>
      <c r="J10165" s="567"/>
      <c r="K10165" s="648"/>
      <c r="L10165" s="567"/>
      <c r="M10165" s="549"/>
      <c r="N10165" s="549"/>
      <c r="O10165" s="549"/>
      <c r="P10165" s="549"/>
      <c r="Q10165" s="549"/>
      <c r="R10165" s="549"/>
    </row>
    <row r="10166" spans="1:20" ht="17.399999999999999">
      <c r="A10166" s="547" t="s">
        <v>1173</v>
      </c>
      <c r="B10166" s="547" t="s">
        <v>1172</v>
      </c>
      <c r="C10166" s="547" t="s">
        <v>19</v>
      </c>
      <c r="D10166" s="547" t="s">
        <v>60</v>
      </c>
      <c r="E10166" s="547" t="s">
        <v>62</v>
      </c>
      <c r="F10166" s="549">
        <v>12</v>
      </c>
      <c r="G10166" s="549" t="s">
        <v>94</v>
      </c>
      <c r="H10166" s="599" t="s">
        <v>119</v>
      </c>
      <c r="I10166" s="560">
        <v>10.7</v>
      </c>
      <c r="J10166" s="710">
        <v>9.6999999999999993</v>
      </c>
      <c r="K10166" s="648">
        <v>21</v>
      </c>
      <c r="L10166" s="552">
        <f>(I10166*J10166*K10166/1000)</f>
        <v>2.1795899999999997</v>
      </c>
      <c r="M10166" s="549"/>
      <c r="N10166" s="567">
        <f t="shared" ref="N10166:N10167" si="2111">J10166*M10166*I10166/1000</f>
        <v>0</v>
      </c>
      <c r="O10166" s="549"/>
      <c r="P10166" s="549"/>
      <c r="Q10166" s="549"/>
      <c r="R10166" s="549"/>
      <c r="T10166" s="1358" t="s">
        <v>1253</v>
      </c>
    </row>
    <row r="10167" spans="1:20" ht="17.399999999999999">
      <c r="A10167" s="549"/>
      <c r="B10167" s="560" t="s">
        <v>1030</v>
      </c>
      <c r="C10167" s="549"/>
      <c r="D10167" s="549"/>
      <c r="E10167" s="549"/>
      <c r="F10167" s="549"/>
      <c r="G10167" s="549" t="s">
        <v>94</v>
      </c>
      <c r="H10167" s="549" t="s">
        <v>119</v>
      </c>
      <c r="I10167" s="560">
        <v>10.7</v>
      </c>
      <c r="J10167" s="710">
        <v>10.9</v>
      </c>
      <c r="K10167" s="648">
        <v>50</v>
      </c>
      <c r="L10167" s="552">
        <f t="shared" ref="L10167" si="2112">(I10167*J10167*K10167/1000)</f>
        <v>5.8315000000000001</v>
      </c>
      <c r="M10167" s="549"/>
      <c r="N10167" s="567">
        <f t="shared" si="2111"/>
        <v>0</v>
      </c>
      <c r="O10167" s="549"/>
      <c r="P10167" s="549"/>
      <c r="Q10167" s="549"/>
      <c r="R10167" s="549">
        <v>7</v>
      </c>
      <c r="S10167" s="831">
        <f>R10167-M10167</f>
        <v>7</v>
      </c>
    </row>
    <row r="10168" spans="1:20" ht="17.399999999999999">
      <c r="A10168" s="549"/>
      <c r="B10168" s="549"/>
      <c r="C10168" s="549"/>
      <c r="D10168" s="549"/>
      <c r="E10168" s="549"/>
      <c r="F10168" s="549"/>
      <c r="G10168" s="549"/>
      <c r="H10168" s="650" t="s">
        <v>1171</v>
      </c>
      <c r="I10168" s="560"/>
      <c r="J10168" s="710"/>
      <c r="K10168" s="648">
        <f>SUM(K10166:K10167)</f>
        <v>71</v>
      </c>
      <c r="L10168" s="765">
        <f>SUM(L10166:L10167)</f>
        <v>8.0110899999999994</v>
      </c>
      <c r="M10168" s="648">
        <f>SUM(M10166:M10167)</f>
        <v>0</v>
      </c>
      <c r="N10168" s="765">
        <f>SUM(N10166:N10167)</f>
        <v>0</v>
      </c>
      <c r="O10168" s="549"/>
      <c r="P10168" s="549" t="s">
        <v>1199</v>
      </c>
      <c r="Q10168" s="648"/>
      <c r="R10168" s="648">
        <f>SUM(R10166:R10167)</f>
        <v>7</v>
      </c>
    </row>
    <row r="10169" spans="1:20" s="1358" customFormat="1" ht="17.399999999999999">
      <c r="A10169" s="549"/>
      <c r="B10169" s="549"/>
      <c r="C10169" s="549"/>
      <c r="D10169" s="549"/>
      <c r="E10169" s="549"/>
      <c r="F10169" s="549"/>
      <c r="G10169" s="549"/>
      <c r="H10169" s="650"/>
      <c r="I10169" s="560"/>
      <c r="J10169" s="710"/>
      <c r="K10169" s="648"/>
      <c r="L10169" s="765"/>
      <c r="M10169" s="549"/>
      <c r="N10169" s="549"/>
      <c r="O10169" s="549"/>
      <c r="P10169" s="549"/>
      <c r="Q10169" s="549"/>
      <c r="R10169" s="549"/>
    </row>
    <row r="10170" spans="1:20" ht="17.399999999999999">
      <c r="A10170" s="547" t="s">
        <v>395</v>
      </c>
      <c r="B10170" s="547" t="s">
        <v>1038</v>
      </c>
      <c r="C10170" s="547" t="s">
        <v>19</v>
      </c>
      <c r="D10170" s="547" t="s">
        <v>60</v>
      </c>
      <c r="E10170" s="547" t="s">
        <v>270</v>
      </c>
      <c r="F10170" s="549">
        <v>12</v>
      </c>
      <c r="G10170" s="549" t="s">
        <v>61</v>
      </c>
      <c r="H10170" s="599" t="s">
        <v>119</v>
      </c>
      <c r="I10170" s="560">
        <v>10.73</v>
      </c>
      <c r="J10170" s="567">
        <v>9</v>
      </c>
      <c r="K10170" s="648">
        <v>11</v>
      </c>
      <c r="L10170" s="552">
        <f t="shared" ref="L10170:L10172" si="2113">(I10170*J10170*K10170/1000)</f>
        <v>1.06227</v>
      </c>
      <c r="M10170" s="549"/>
      <c r="N10170" s="549"/>
      <c r="O10170" s="549"/>
      <c r="P10170" s="549"/>
      <c r="Q10170" s="549"/>
      <c r="R10170" s="549"/>
      <c r="S10170" s="1358" t="s">
        <v>1253</v>
      </c>
    </row>
    <row r="10171" spans="1:20" ht="17.399999999999999">
      <c r="A10171" s="549"/>
      <c r="B10171" s="560" t="s">
        <v>277</v>
      </c>
      <c r="C10171" s="549"/>
      <c r="D10171" s="549"/>
      <c r="E10171" s="549"/>
      <c r="F10171" s="549"/>
      <c r="G10171" s="549" t="s">
        <v>61</v>
      </c>
      <c r="H10171" s="549" t="s">
        <v>119</v>
      </c>
      <c r="I10171" s="560">
        <v>10.73</v>
      </c>
      <c r="J10171" s="567">
        <v>10</v>
      </c>
      <c r="K10171" s="648">
        <v>6</v>
      </c>
      <c r="L10171" s="552">
        <f t="shared" si="2113"/>
        <v>0.64380000000000004</v>
      </c>
      <c r="M10171" s="549"/>
      <c r="N10171" s="549"/>
      <c r="O10171" s="549"/>
      <c r="P10171" s="549"/>
      <c r="Q10171" s="549"/>
      <c r="R10171" s="549"/>
    </row>
    <row r="10172" spans="1:20" ht="17.399999999999999">
      <c r="A10172" s="549"/>
      <c r="B10172" s="549"/>
      <c r="C10172" s="549"/>
      <c r="D10172" s="549"/>
      <c r="E10172" s="549"/>
      <c r="F10172" s="549"/>
      <c r="G10172" s="549" t="s">
        <v>61</v>
      </c>
      <c r="H10172" s="549" t="s">
        <v>119</v>
      </c>
      <c r="I10172" s="560">
        <v>10.73</v>
      </c>
      <c r="J10172" s="567">
        <v>12</v>
      </c>
      <c r="K10172" s="648">
        <v>5</v>
      </c>
      <c r="L10172" s="552">
        <f t="shared" si="2113"/>
        <v>0.64379999999999993</v>
      </c>
      <c r="M10172" s="549"/>
      <c r="N10172" s="549"/>
      <c r="O10172" s="549"/>
      <c r="P10172" s="549"/>
      <c r="Q10172" s="549"/>
      <c r="R10172" s="549"/>
    </row>
    <row r="10173" spans="1:20" ht="17.399999999999999">
      <c r="A10173" s="549"/>
      <c r="B10173" s="549"/>
      <c r="C10173" s="549"/>
      <c r="D10173" s="549"/>
      <c r="E10173" s="549"/>
      <c r="F10173" s="549"/>
      <c r="G10173" s="549"/>
      <c r="H10173" s="549" t="s">
        <v>261</v>
      </c>
      <c r="I10173" s="560"/>
      <c r="J10173" s="567"/>
      <c r="K10173" s="648">
        <f>SUM(K10170:K10172)</f>
        <v>22</v>
      </c>
      <c r="L10173" s="567">
        <f>SUM(L10170:L10172)</f>
        <v>2.3498700000000001</v>
      </c>
      <c r="M10173" s="549"/>
      <c r="N10173" s="549"/>
      <c r="O10173" s="549"/>
      <c r="P10173" s="549" t="s">
        <v>1200</v>
      </c>
      <c r="Q10173" s="549"/>
      <c r="R10173" s="549"/>
    </row>
    <row r="10174" spans="1:20" s="1358" customFormat="1" ht="17.399999999999999">
      <c r="A10174" s="549"/>
      <c r="B10174" s="549"/>
      <c r="C10174" s="549"/>
      <c r="D10174" s="549"/>
      <c r="E10174" s="549"/>
      <c r="F10174" s="549"/>
      <c r="G10174" s="549"/>
      <c r="H10174" s="549"/>
      <c r="I10174" s="560"/>
      <c r="J10174" s="567"/>
      <c r="K10174" s="648"/>
      <c r="L10174" s="567"/>
      <c r="M10174" s="549"/>
      <c r="N10174" s="549"/>
      <c r="O10174" s="549"/>
      <c r="P10174" s="549"/>
      <c r="Q10174" s="549"/>
      <c r="R10174" s="549"/>
    </row>
    <row r="10175" spans="1:20" ht="17.399999999999999">
      <c r="A10175" s="547" t="s">
        <v>395</v>
      </c>
      <c r="B10175" s="547" t="s">
        <v>1038</v>
      </c>
      <c r="C10175" s="547" t="s">
        <v>19</v>
      </c>
      <c r="D10175" s="547" t="s">
        <v>60</v>
      </c>
      <c r="E10175" s="754" t="s">
        <v>1096</v>
      </c>
      <c r="F10175" s="549">
        <v>12</v>
      </c>
      <c r="G10175" s="549" t="s">
        <v>61</v>
      </c>
      <c r="H10175" s="599" t="s">
        <v>119</v>
      </c>
      <c r="I10175" s="560">
        <v>10.73</v>
      </c>
      <c r="J10175" s="567">
        <v>11.5</v>
      </c>
      <c r="K10175" s="648">
        <v>16</v>
      </c>
      <c r="L10175" s="552">
        <f>(I10175*J10175*K10175/1000)</f>
        <v>1.9743200000000001</v>
      </c>
      <c r="M10175" s="549"/>
      <c r="N10175" s="549"/>
      <c r="O10175" s="549"/>
      <c r="P10175" s="549"/>
      <c r="Q10175" s="549"/>
      <c r="R10175" s="549"/>
      <c r="S10175" s="1358" t="s">
        <v>1253</v>
      </c>
    </row>
    <row r="10176" spans="1:20" ht="17.399999999999999">
      <c r="A10176" s="549"/>
      <c r="B10176" s="560" t="s">
        <v>277</v>
      </c>
      <c r="C10176" s="549"/>
      <c r="D10176" s="549"/>
      <c r="E10176" s="549"/>
      <c r="F10176" s="549"/>
      <c r="G10176" s="549"/>
      <c r="H10176" s="549"/>
      <c r="I10176" s="560"/>
      <c r="J10176" s="567"/>
      <c r="K10176" s="648">
        <f t="shared" ref="K10176" si="2114">SUM(K10175)</f>
        <v>16</v>
      </c>
      <c r="L10176" s="567">
        <f>SUM(L10175)</f>
        <v>1.9743200000000001</v>
      </c>
      <c r="M10176" s="549"/>
      <c r="N10176" s="549"/>
      <c r="O10176" s="549"/>
      <c r="P10176" s="549" t="s">
        <v>1201</v>
      </c>
      <c r="Q10176" s="549"/>
      <c r="R10176" s="549"/>
    </row>
    <row r="10177" spans="1:20" s="1358" customFormat="1" ht="17.399999999999999">
      <c r="A10177" s="549"/>
      <c r="B10177" s="549"/>
      <c r="C10177" s="549"/>
      <c r="D10177" s="549"/>
      <c r="E10177" s="549"/>
      <c r="F10177" s="549"/>
      <c r="G10177" s="549"/>
      <c r="H10177" s="549"/>
      <c r="I10177" s="558"/>
      <c r="J10177" s="567"/>
      <c r="K10177" s="648">
        <f>+K10176+K10173+K10168+K10164</f>
        <v>219</v>
      </c>
      <c r="L10177" s="567">
        <f>+L10176+L10173+L10168+L10164</f>
        <v>23.515709999999999</v>
      </c>
      <c r="M10177" s="648">
        <f>+M10176+M10173+M10168+M10164</f>
        <v>17</v>
      </c>
      <c r="N10177" s="567">
        <f>+N10176+N10173+N10168+N10164</f>
        <v>1.6777599999999999</v>
      </c>
      <c r="O10177" s="549"/>
      <c r="P10177" s="549"/>
      <c r="Q10177" s="648"/>
      <c r="R10177" s="648">
        <f>+R10176+R10173+R10168+R10164</f>
        <v>39</v>
      </c>
    </row>
    <row r="10178" spans="1:20" s="1358" customFormat="1" ht="17.399999999999999">
      <c r="A10178" s="549"/>
      <c r="B10178" s="549"/>
      <c r="C10178" s="549"/>
      <c r="D10178" s="549"/>
      <c r="E10178" s="549"/>
      <c r="F10178" s="549"/>
      <c r="G10178" s="549"/>
      <c r="H10178" s="549"/>
      <c r="I10178" s="558"/>
      <c r="J10178" s="567"/>
      <c r="K10178" s="648"/>
      <c r="L10178" s="567"/>
      <c r="M10178" s="549"/>
      <c r="N10178" s="549"/>
      <c r="O10178" s="549"/>
      <c r="P10178" s="549"/>
    </row>
    <row r="10179" spans="1:20" s="1358" customFormat="1" ht="17.399999999999999">
      <c r="A10179" s="549"/>
      <c r="B10179" s="549"/>
      <c r="C10179" s="549"/>
      <c r="D10179" s="549"/>
      <c r="E10179" s="549"/>
      <c r="F10179" s="549"/>
      <c r="G10179" s="549"/>
      <c r="H10179" s="549"/>
      <c r="I10179" s="560"/>
      <c r="J10179" s="567"/>
      <c r="K10179" s="648"/>
      <c r="L10179" s="567"/>
      <c r="M10179" s="549"/>
      <c r="N10179" s="549"/>
      <c r="O10179" s="549"/>
      <c r="P10179" s="549"/>
    </row>
    <row r="10180" spans="1:20" ht="17.399999999999999">
      <c r="A10180" s="547" t="s">
        <v>445</v>
      </c>
      <c r="B10180" s="547" t="s">
        <v>890</v>
      </c>
      <c r="C10180" s="547" t="s">
        <v>19</v>
      </c>
      <c r="D10180" s="547" t="s">
        <v>60</v>
      </c>
      <c r="E10180" s="547" t="s">
        <v>62</v>
      </c>
      <c r="F10180" s="549">
        <v>12</v>
      </c>
      <c r="G10180" s="549" t="s">
        <v>61</v>
      </c>
      <c r="H10180" s="599" t="s">
        <v>134</v>
      </c>
      <c r="I10180" s="558">
        <v>12.2</v>
      </c>
      <c r="J10180" s="567">
        <v>6.2</v>
      </c>
      <c r="K10180" s="648">
        <v>73</v>
      </c>
      <c r="L10180" s="552">
        <f t="shared" ref="L10180:L10186" si="2115">(I10180*J10180*K10180/1000)</f>
        <v>5.5217200000000002</v>
      </c>
      <c r="M10180" s="549"/>
      <c r="N10180" s="567">
        <f t="shared" ref="N10180:N10186" si="2116">J10180*M10180*I10180/1000</f>
        <v>0</v>
      </c>
      <c r="O10180" s="549"/>
      <c r="P10180" s="549"/>
      <c r="Q10180" s="549"/>
      <c r="R10180" s="549"/>
      <c r="S10180" s="1358" t="s">
        <v>1253</v>
      </c>
    </row>
    <row r="10181" spans="1:20" ht="17.399999999999999">
      <c r="A10181" s="547"/>
      <c r="B10181" s="549" t="s">
        <v>88</v>
      </c>
      <c r="C10181" s="547"/>
      <c r="D10181" s="547"/>
      <c r="E10181" s="547"/>
      <c r="F10181" s="549"/>
      <c r="G10181" s="549" t="s">
        <v>61</v>
      </c>
      <c r="H10181" s="549" t="s">
        <v>134</v>
      </c>
      <c r="I10181" s="558">
        <v>12.2</v>
      </c>
      <c r="J10181" s="567">
        <v>6.9</v>
      </c>
      <c r="K10181" s="648">
        <v>33</v>
      </c>
      <c r="L10181" s="552">
        <f t="shared" si="2115"/>
        <v>2.7779399999999996</v>
      </c>
      <c r="M10181" s="549"/>
      <c r="N10181" s="567">
        <f t="shared" si="2116"/>
        <v>0</v>
      </c>
      <c r="O10181" s="549"/>
      <c r="P10181" s="549"/>
      <c r="Q10181" s="549"/>
      <c r="R10181" s="549"/>
    </row>
    <row r="10182" spans="1:20" ht="17.399999999999999">
      <c r="A10182" s="549"/>
      <c r="B10182" s="549"/>
      <c r="C10182" s="549"/>
      <c r="D10182" s="549"/>
      <c r="E10182" s="549"/>
      <c r="F10182" s="549"/>
      <c r="G10182" s="549" t="s">
        <v>61</v>
      </c>
      <c r="H10182" s="549" t="s">
        <v>134</v>
      </c>
      <c r="I10182" s="558">
        <v>12.2</v>
      </c>
      <c r="J10182" s="567">
        <v>8.5</v>
      </c>
      <c r="K10182" s="648">
        <v>23</v>
      </c>
      <c r="L10182" s="552">
        <f t="shared" si="2115"/>
        <v>2.3851</v>
      </c>
      <c r="M10182" s="549"/>
      <c r="N10182" s="567">
        <f t="shared" si="2116"/>
        <v>0</v>
      </c>
      <c r="O10182" s="549"/>
      <c r="P10182" s="549"/>
      <c r="Q10182" s="549"/>
      <c r="R10182" s="549">
        <v>3</v>
      </c>
      <c r="S10182" s="831">
        <f>R10182-M10182</f>
        <v>3</v>
      </c>
    </row>
    <row r="10183" spans="1:20" ht="17.399999999999999">
      <c r="A10183" s="549"/>
      <c r="B10183" s="549"/>
      <c r="C10183" s="549"/>
      <c r="D10183" s="549"/>
      <c r="E10183" s="549"/>
      <c r="F10183" s="549"/>
      <c r="G10183" s="549" t="s">
        <v>61</v>
      </c>
      <c r="H10183" s="549" t="s">
        <v>134</v>
      </c>
      <c r="I10183" s="558">
        <v>12.2</v>
      </c>
      <c r="J10183" s="567">
        <v>9.5</v>
      </c>
      <c r="K10183" s="648">
        <v>35</v>
      </c>
      <c r="L10183" s="552">
        <f t="shared" si="2115"/>
        <v>4.0564999999999998</v>
      </c>
      <c r="M10183" s="549"/>
      <c r="N10183" s="567">
        <f t="shared" si="2116"/>
        <v>0</v>
      </c>
      <c r="O10183" s="549"/>
      <c r="P10183" s="549"/>
      <c r="Q10183" s="549"/>
      <c r="R10183" s="549"/>
    </row>
    <row r="10184" spans="1:20" ht="17.399999999999999">
      <c r="A10184" s="549"/>
      <c r="B10184" s="549"/>
      <c r="C10184" s="549"/>
      <c r="D10184" s="549"/>
      <c r="E10184" s="549"/>
      <c r="F10184" s="549"/>
      <c r="G10184" s="549" t="s">
        <v>61</v>
      </c>
      <c r="H10184" s="549" t="s">
        <v>134</v>
      </c>
      <c r="I10184" s="558">
        <v>12.2</v>
      </c>
      <c r="J10184" s="567">
        <v>10.199999999999999</v>
      </c>
      <c r="K10184" s="648">
        <v>27</v>
      </c>
      <c r="L10184" s="552">
        <f t="shared" si="2115"/>
        <v>3.3598799999999995</v>
      </c>
      <c r="M10184" s="549"/>
      <c r="N10184" s="567">
        <f t="shared" si="2116"/>
        <v>0</v>
      </c>
      <c r="O10184" s="549"/>
      <c r="P10184" s="549"/>
      <c r="Q10184" s="549"/>
      <c r="R10184" s="549"/>
    </row>
    <row r="10185" spans="1:20" ht="17.399999999999999">
      <c r="A10185" s="549"/>
      <c r="B10185" s="549"/>
      <c r="C10185" s="549"/>
      <c r="D10185" s="549"/>
      <c r="E10185" s="549"/>
      <c r="F10185" s="549"/>
      <c r="G10185" s="549" t="s">
        <v>61</v>
      </c>
      <c r="H10185" s="549" t="s">
        <v>134</v>
      </c>
      <c r="I10185" s="558">
        <v>12.2</v>
      </c>
      <c r="J10185" s="567">
        <v>10.7</v>
      </c>
      <c r="K10185" s="648">
        <v>33</v>
      </c>
      <c r="L10185" s="552">
        <f t="shared" si="2115"/>
        <v>4.3078199999999995</v>
      </c>
      <c r="M10185" s="549">
        <v>2</v>
      </c>
      <c r="N10185" s="567">
        <f t="shared" si="2116"/>
        <v>0.26107999999999998</v>
      </c>
      <c r="O10185" s="549"/>
      <c r="P10185" s="549"/>
      <c r="Q10185" s="549"/>
      <c r="R10185" s="549">
        <f>2+7</f>
        <v>9</v>
      </c>
      <c r="S10185" s="831">
        <f t="shared" ref="S10185:S10186" si="2117">R10185-M10185</f>
        <v>7</v>
      </c>
    </row>
    <row r="10186" spans="1:20" ht="17.399999999999999">
      <c r="A10186" s="549"/>
      <c r="B10186" s="549"/>
      <c r="C10186" s="549"/>
      <c r="D10186" s="549"/>
      <c r="E10186" s="549"/>
      <c r="F10186" s="549"/>
      <c r="G10186" s="549" t="s">
        <v>61</v>
      </c>
      <c r="H10186" s="549" t="s">
        <v>134</v>
      </c>
      <c r="I10186" s="558">
        <v>12.2</v>
      </c>
      <c r="J10186" s="567">
        <v>12</v>
      </c>
      <c r="K10186" s="648">
        <v>18</v>
      </c>
      <c r="L10186" s="552">
        <f t="shared" si="2115"/>
        <v>2.6351999999999998</v>
      </c>
      <c r="M10186" s="549">
        <v>3</v>
      </c>
      <c r="N10186" s="567">
        <f t="shared" si="2116"/>
        <v>0.43919999999999998</v>
      </c>
      <c r="O10186" s="549"/>
      <c r="P10186" s="549"/>
      <c r="Q10186" s="549"/>
      <c r="R10186" s="549">
        <v>18</v>
      </c>
      <c r="S10186" s="831">
        <f t="shared" si="2117"/>
        <v>15</v>
      </c>
    </row>
    <row r="10187" spans="1:20" ht="17.399999999999999">
      <c r="A10187" s="549"/>
      <c r="B10187" s="549"/>
      <c r="C10187" s="549"/>
      <c r="D10187" s="549"/>
      <c r="E10187" s="549"/>
      <c r="F10187" s="549"/>
      <c r="G10187" s="549"/>
      <c r="H10187" s="549"/>
      <c r="I10187" s="558"/>
      <c r="J10187" s="567"/>
      <c r="K10187" s="648">
        <f t="shared" ref="K10187:N10187" si="2118">SUM(K10180:K10186)</f>
        <v>242</v>
      </c>
      <c r="L10187" s="567">
        <f t="shared" si="2118"/>
        <v>25.044159999999998</v>
      </c>
      <c r="M10187" s="648">
        <f t="shared" si="2118"/>
        <v>5</v>
      </c>
      <c r="N10187" s="567">
        <f t="shared" si="2118"/>
        <v>0.70028000000000001</v>
      </c>
      <c r="O10187" s="549"/>
      <c r="P10187" s="549"/>
      <c r="Q10187" s="648"/>
      <c r="R10187" s="648">
        <f t="shared" ref="R10187" si="2119">SUM(R10180:R10186)</f>
        <v>30</v>
      </c>
    </row>
    <row r="10188" spans="1:20" s="1358" customFormat="1" ht="17.399999999999999">
      <c r="A10188" s="549"/>
      <c r="B10188" s="549"/>
      <c r="C10188" s="549"/>
      <c r="D10188" s="549"/>
      <c r="E10188" s="549"/>
      <c r="F10188" s="549"/>
      <c r="G10188" s="549"/>
      <c r="H10188" s="549"/>
      <c r="I10188" s="558"/>
      <c r="J10188" s="567"/>
      <c r="K10188" s="648"/>
      <c r="L10188" s="567"/>
      <c r="M10188" s="549"/>
      <c r="N10188" s="549"/>
      <c r="O10188" s="549"/>
      <c r="P10188" s="549"/>
      <c r="Q10188" s="549"/>
      <c r="R10188" s="549"/>
    </row>
    <row r="10189" spans="1:20" ht="17.399999999999999">
      <c r="A10189" s="547" t="s">
        <v>1173</v>
      </c>
      <c r="B10189" s="547" t="s">
        <v>1172</v>
      </c>
      <c r="C10189" s="547" t="s">
        <v>19</v>
      </c>
      <c r="D10189" s="547" t="s">
        <v>60</v>
      </c>
      <c r="E10189" s="547" t="s">
        <v>62</v>
      </c>
      <c r="F10189" s="549">
        <v>12</v>
      </c>
      <c r="G10189" s="549" t="s">
        <v>94</v>
      </c>
      <c r="H10189" s="599" t="s">
        <v>134</v>
      </c>
      <c r="I10189" s="558">
        <v>12.2</v>
      </c>
      <c r="J10189" s="710">
        <v>7.1</v>
      </c>
      <c r="K10189" s="648">
        <v>41</v>
      </c>
      <c r="L10189" s="552">
        <f>(I10189*J10189*K10189/1000)</f>
        <v>3.5514199999999998</v>
      </c>
      <c r="M10189" s="549">
        <v>1</v>
      </c>
      <c r="N10189" s="567">
        <f t="shared" ref="N10189:N10190" si="2120">J10189*M10189*I10189/1000</f>
        <v>8.6619999999999989E-2</v>
      </c>
      <c r="O10189" s="549"/>
      <c r="P10189" s="549"/>
      <c r="Q10189" s="549"/>
      <c r="R10189" s="549">
        <v>1</v>
      </c>
      <c r="S10189" s="831">
        <f t="shared" ref="S10189:S10191" si="2121">R10189-M10189</f>
        <v>0</v>
      </c>
      <c r="T10189" s="1358" t="s">
        <v>1253</v>
      </c>
    </row>
    <row r="10190" spans="1:20" ht="17.399999999999999">
      <c r="A10190" s="549"/>
      <c r="B10190" s="560" t="s">
        <v>1030</v>
      </c>
      <c r="C10190" s="549"/>
      <c r="D10190" s="549"/>
      <c r="E10190" s="549"/>
      <c r="F10190" s="549"/>
      <c r="G10190" s="549" t="s">
        <v>94</v>
      </c>
      <c r="H10190" s="549" t="s">
        <v>134</v>
      </c>
      <c r="I10190" s="558">
        <v>12.2</v>
      </c>
      <c r="J10190" s="710">
        <v>7.9</v>
      </c>
      <c r="K10190" s="648">
        <v>72</v>
      </c>
      <c r="L10190" s="552">
        <f t="shared" ref="L10190:L10191" si="2122">(I10190*J10190*K10190/1000)</f>
        <v>6.9393599999999998</v>
      </c>
      <c r="M10190" s="549">
        <v>1</v>
      </c>
      <c r="N10190" s="567">
        <f t="shared" si="2120"/>
        <v>9.6379999999999993E-2</v>
      </c>
      <c r="O10190" s="549"/>
      <c r="P10190" s="549"/>
      <c r="Q10190" s="549"/>
      <c r="R10190" s="549">
        <v>4</v>
      </c>
      <c r="S10190" s="831">
        <f t="shared" si="2121"/>
        <v>3</v>
      </c>
    </row>
    <row r="10191" spans="1:20" ht="17.399999999999999">
      <c r="A10191" s="549"/>
      <c r="B10191" s="549"/>
      <c r="C10191" s="549"/>
      <c r="D10191" s="549"/>
      <c r="E10191" s="549"/>
      <c r="F10191" s="549"/>
      <c r="G10191" s="549" t="s">
        <v>94</v>
      </c>
      <c r="H10191" s="549" t="s">
        <v>134</v>
      </c>
      <c r="I10191" s="558">
        <v>12.2</v>
      </c>
      <c r="J10191" s="710">
        <v>8.9</v>
      </c>
      <c r="K10191" s="648">
        <v>14</v>
      </c>
      <c r="L10191" s="552">
        <f t="shared" si="2122"/>
        <v>1.5201199999999999</v>
      </c>
      <c r="M10191" s="549">
        <f>5+2</f>
        <v>7</v>
      </c>
      <c r="N10191" s="567">
        <f>J10191*M10191*I10191/1000</f>
        <v>0.76006000000000007</v>
      </c>
      <c r="O10191" s="549"/>
      <c r="P10191" s="549"/>
      <c r="Q10191" s="549"/>
      <c r="R10191" s="549">
        <v>7</v>
      </c>
      <c r="S10191" s="831">
        <f t="shared" si="2121"/>
        <v>0</v>
      </c>
    </row>
    <row r="10192" spans="1:20" ht="17.399999999999999">
      <c r="A10192" s="549"/>
      <c r="B10192" s="549"/>
      <c r="C10192" s="549"/>
      <c r="D10192" s="549"/>
      <c r="E10192" s="549"/>
      <c r="F10192" s="549"/>
      <c r="G10192" s="549" t="s">
        <v>94</v>
      </c>
      <c r="H10192" s="549" t="s">
        <v>134</v>
      </c>
      <c r="I10192" s="558">
        <v>12.2</v>
      </c>
      <c r="J10192" s="710">
        <v>10.1</v>
      </c>
      <c r="K10192" s="648">
        <v>160</v>
      </c>
      <c r="L10192" s="552">
        <f>(I10192*J10192*K10192/1000)</f>
        <v>19.715199999999996</v>
      </c>
      <c r="M10192" s="549"/>
      <c r="N10192" s="567">
        <f>J10192*M10192*I10192/1000</f>
        <v>0</v>
      </c>
      <c r="O10192" s="549"/>
      <c r="P10192" s="549"/>
      <c r="Q10192" s="549"/>
      <c r="R10192" s="549"/>
    </row>
    <row r="10193" spans="1:20" ht="17.399999999999999">
      <c r="A10193" s="549"/>
      <c r="B10193" s="549"/>
      <c r="C10193" s="549"/>
      <c r="D10193" s="549"/>
      <c r="E10193" s="549"/>
      <c r="F10193" s="549"/>
      <c r="G10193" s="549"/>
      <c r="H10193" s="650" t="s">
        <v>1171</v>
      </c>
      <c r="I10193" s="558"/>
      <c r="J10193" s="710"/>
      <c r="K10193" s="648">
        <f>SUM(K10189:K10192)</f>
        <v>287</v>
      </c>
      <c r="L10193" s="765">
        <f>SUM(L10189:L10192)</f>
        <v>31.726099999999995</v>
      </c>
      <c r="M10193" s="648">
        <f>SUM(M10189:M10192)</f>
        <v>9</v>
      </c>
      <c r="N10193" s="765">
        <f>SUM(N10189:N10192)</f>
        <v>0.94306000000000001</v>
      </c>
      <c r="O10193" s="549"/>
      <c r="P10193" s="549" t="s">
        <v>1202</v>
      </c>
      <c r="Q10193" s="648"/>
      <c r="R10193" s="648">
        <f>SUM(R10189:R10192)</f>
        <v>12</v>
      </c>
    </row>
    <row r="10194" spans="1:20" s="1358" customFormat="1" ht="17.399999999999999">
      <c r="A10194" s="549"/>
      <c r="B10194" s="549"/>
      <c r="C10194" s="549"/>
      <c r="D10194" s="549"/>
      <c r="E10194" s="549"/>
      <c r="F10194" s="549"/>
      <c r="G10194" s="549"/>
      <c r="H10194" s="650"/>
      <c r="I10194" s="558"/>
      <c r="J10194" s="710"/>
      <c r="K10194" s="648"/>
      <c r="L10194" s="765"/>
      <c r="M10194" s="549"/>
      <c r="N10194" s="549"/>
      <c r="O10194" s="549"/>
      <c r="P10194" s="549"/>
      <c r="Q10194" s="549"/>
      <c r="R10194" s="549"/>
    </row>
    <row r="10195" spans="1:20" ht="17.399999999999999">
      <c r="A10195" s="547" t="s">
        <v>395</v>
      </c>
      <c r="B10195" s="547" t="s">
        <v>1038</v>
      </c>
      <c r="C10195" s="547" t="s">
        <v>19</v>
      </c>
      <c r="D10195" s="547" t="s">
        <v>60</v>
      </c>
      <c r="E10195" s="547" t="s">
        <v>270</v>
      </c>
      <c r="F10195" s="549">
        <v>12</v>
      </c>
      <c r="G10195" s="549" t="s">
        <v>61</v>
      </c>
      <c r="H10195" s="599" t="s">
        <v>134</v>
      </c>
      <c r="I10195" s="558">
        <v>12.18</v>
      </c>
      <c r="J10195" s="567">
        <v>6.75</v>
      </c>
      <c r="K10195" s="648">
        <v>8</v>
      </c>
      <c r="L10195" s="552">
        <f t="shared" ref="L10195:L10198" si="2123">(I10195*J10195*K10195/1000)</f>
        <v>0.65772000000000008</v>
      </c>
      <c r="M10195" s="549"/>
      <c r="N10195" s="549"/>
      <c r="O10195" s="549"/>
      <c r="P10195" s="549"/>
      <c r="Q10195" s="549"/>
      <c r="R10195" s="549"/>
      <c r="S10195" s="1358" t="s">
        <v>1253</v>
      </c>
    </row>
    <row r="10196" spans="1:20" ht="17.399999999999999">
      <c r="A10196" s="549"/>
      <c r="B10196" s="560" t="s">
        <v>277</v>
      </c>
      <c r="C10196" s="549"/>
      <c r="D10196" s="549"/>
      <c r="E10196" s="549"/>
      <c r="F10196" s="549"/>
      <c r="G10196" s="549" t="s">
        <v>61</v>
      </c>
      <c r="H10196" s="549" t="s">
        <v>134</v>
      </c>
      <c r="I10196" s="558">
        <v>12.18</v>
      </c>
      <c r="J10196" s="567">
        <v>9</v>
      </c>
      <c r="K10196" s="648">
        <v>21</v>
      </c>
      <c r="L10196" s="552">
        <f t="shared" si="2123"/>
        <v>2.3020200000000002</v>
      </c>
      <c r="M10196" s="549"/>
      <c r="N10196" s="549"/>
      <c r="O10196" s="549"/>
      <c r="P10196" s="549"/>
      <c r="Q10196" s="549"/>
      <c r="R10196" s="549"/>
    </row>
    <row r="10197" spans="1:20" ht="17.399999999999999">
      <c r="A10197" s="549"/>
      <c r="B10197" s="549"/>
      <c r="C10197" s="549"/>
      <c r="D10197" s="549"/>
      <c r="E10197" s="549"/>
      <c r="F10197" s="549"/>
      <c r="G10197" s="549" t="s">
        <v>61</v>
      </c>
      <c r="H10197" s="549" t="s">
        <v>134</v>
      </c>
      <c r="I10197" s="558">
        <v>12.18</v>
      </c>
      <c r="J10197" s="567">
        <v>10.5</v>
      </c>
      <c r="K10197" s="648">
        <v>12</v>
      </c>
      <c r="L10197" s="552">
        <f t="shared" si="2123"/>
        <v>1.53468</v>
      </c>
      <c r="M10197" s="549"/>
      <c r="N10197" s="549"/>
      <c r="O10197" s="549"/>
      <c r="P10197" s="549"/>
      <c r="Q10197" s="549"/>
      <c r="R10197" s="549"/>
    </row>
    <row r="10198" spans="1:20" ht="17.399999999999999">
      <c r="A10198" s="549"/>
      <c r="B10198" s="549"/>
      <c r="C10198" s="549"/>
      <c r="D10198" s="549"/>
      <c r="E10198" s="549"/>
      <c r="F10198" s="549"/>
      <c r="G10198" s="549" t="s">
        <v>61</v>
      </c>
      <c r="H10198" s="549" t="s">
        <v>134</v>
      </c>
      <c r="I10198" s="558">
        <v>12.18</v>
      </c>
      <c r="J10198" s="567">
        <v>12</v>
      </c>
      <c r="K10198" s="648">
        <v>14</v>
      </c>
      <c r="L10198" s="552">
        <f t="shared" si="2123"/>
        <v>2.0462400000000001</v>
      </c>
      <c r="M10198" s="549"/>
      <c r="N10198" s="567">
        <f>J10198*M10198*I10198/1000</f>
        <v>0</v>
      </c>
      <c r="O10198" s="549"/>
      <c r="P10198" s="549"/>
      <c r="Q10198" s="549"/>
      <c r="R10198" s="549">
        <v>12</v>
      </c>
      <c r="S10198" s="831">
        <f>R10198-M10198</f>
        <v>12</v>
      </c>
    </row>
    <row r="10199" spans="1:20" ht="17.399999999999999">
      <c r="A10199" s="549"/>
      <c r="B10199" s="549"/>
      <c r="C10199" s="549"/>
      <c r="D10199" s="549"/>
      <c r="E10199" s="549"/>
      <c r="F10199" s="549"/>
      <c r="G10199" s="549"/>
      <c r="H10199" s="549" t="s">
        <v>261</v>
      </c>
      <c r="I10199" s="558"/>
      <c r="J10199" s="567"/>
      <c r="K10199" s="648">
        <f t="shared" ref="K10199" si="2124">SUM(K10195:K10198)</f>
        <v>55</v>
      </c>
      <c r="L10199" s="567">
        <f>SUM(L10195:L10198)</f>
        <v>6.5406599999999999</v>
      </c>
      <c r="M10199" s="648">
        <f>SUM(M10195:M10198)</f>
        <v>0</v>
      </c>
      <c r="N10199" s="567">
        <f>SUM(N10195:N10198)</f>
        <v>0</v>
      </c>
      <c r="O10199" s="549"/>
      <c r="P10199" s="549" t="s">
        <v>1203</v>
      </c>
      <c r="Q10199" s="648"/>
      <c r="R10199" s="648">
        <f>SUM(R10195:R10198)</f>
        <v>12</v>
      </c>
    </row>
    <row r="10200" spans="1:20" s="1358" customFormat="1" ht="17.399999999999999">
      <c r="A10200" s="549"/>
      <c r="B10200" s="549"/>
      <c r="C10200" s="549"/>
      <c r="D10200" s="549"/>
      <c r="E10200" s="549"/>
      <c r="F10200" s="549"/>
      <c r="G10200" s="549"/>
      <c r="H10200" s="549"/>
      <c r="I10200" s="558"/>
      <c r="J10200" s="567"/>
      <c r="K10200" s="648"/>
      <c r="L10200" s="567"/>
      <c r="M10200" s="549"/>
      <c r="N10200" s="549"/>
      <c r="O10200" s="549"/>
      <c r="P10200" s="549"/>
      <c r="Q10200" s="549"/>
      <c r="R10200" s="549"/>
    </row>
    <row r="10201" spans="1:20" ht="17.399999999999999">
      <c r="A10201" s="547" t="s">
        <v>395</v>
      </c>
      <c r="B10201" s="547" t="s">
        <v>1038</v>
      </c>
      <c r="C10201" s="547" t="s">
        <v>19</v>
      </c>
      <c r="D10201" s="547" t="s">
        <v>60</v>
      </c>
      <c r="E10201" s="754" t="s">
        <v>1096</v>
      </c>
      <c r="F10201" s="549">
        <v>12</v>
      </c>
      <c r="G10201" s="549" t="s">
        <v>61</v>
      </c>
      <c r="H10201" s="599" t="s">
        <v>134</v>
      </c>
      <c r="I10201" s="558">
        <v>12.18</v>
      </c>
      <c r="J10201" s="567">
        <v>10.5</v>
      </c>
      <c r="K10201" s="648">
        <v>4</v>
      </c>
      <c r="L10201" s="552">
        <f>(I10201*J10201*K10201/1000)</f>
        <v>0.51156000000000001</v>
      </c>
      <c r="M10201" s="549"/>
      <c r="N10201" s="549"/>
      <c r="O10201" s="549"/>
      <c r="P10201" s="549"/>
      <c r="Q10201" s="549"/>
      <c r="R10201" s="549"/>
      <c r="S10201" s="1358" t="s">
        <v>1253</v>
      </c>
    </row>
    <row r="10202" spans="1:20" ht="17.399999999999999">
      <c r="A10202" s="549"/>
      <c r="B10202" s="560" t="s">
        <v>277</v>
      </c>
      <c r="C10202" s="549"/>
      <c r="D10202" s="549"/>
      <c r="E10202" s="549"/>
      <c r="F10202" s="549"/>
      <c r="G10202" s="549"/>
      <c r="H10202" s="549" t="s">
        <v>1096</v>
      </c>
      <c r="I10202" s="560"/>
      <c r="J10202" s="567"/>
      <c r="K10202" s="648">
        <f t="shared" ref="K10202:L10202" si="2125">SUM(K10201)</f>
        <v>4</v>
      </c>
      <c r="L10202" s="567">
        <f t="shared" si="2125"/>
        <v>0.51156000000000001</v>
      </c>
      <c r="M10202" s="549"/>
      <c r="N10202" s="549"/>
      <c r="O10202" s="549"/>
      <c r="P10202" s="549" t="s">
        <v>1204</v>
      </c>
      <c r="Q10202" s="549"/>
      <c r="R10202" s="549"/>
    </row>
    <row r="10203" spans="1:20" s="1358" customFormat="1" ht="17.399999999999999">
      <c r="A10203" s="549"/>
      <c r="B10203" s="549"/>
      <c r="C10203" s="549"/>
      <c r="D10203" s="549"/>
      <c r="E10203" s="549"/>
      <c r="F10203" s="549"/>
      <c r="G10203" s="549"/>
      <c r="H10203" s="549"/>
      <c r="I10203" s="558"/>
      <c r="J10203" s="567"/>
      <c r="K10203" s="648">
        <f>+K10202+K10199+K10193+K10187</f>
        <v>588</v>
      </c>
      <c r="L10203" s="567">
        <f>+L10202+L10199+L10193+L10187</f>
        <v>63.822479999999992</v>
      </c>
      <c r="M10203" s="648">
        <f>+M10202+M10199+M10193+M10187</f>
        <v>14</v>
      </c>
      <c r="N10203" s="567">
        <f>+N10202+N10199+N10193+N10187</f>
        <v>1.64334</v>
      </c>
      <c r="O10203" s="549"/>
      <c r="P10203" s="549"/>
      <c r="Q10203" s="648"/>
      <c r="R10203" s="648">
        <f>+R10202+R10199+R10193+R10187</f>
        <v>54</v>
      </c>
      <c r="S10203" s="648">
        <f>+S10202+S10199+S10193+S10187</f>
        <v>0</v>
      </c>
    </row>
    <row r="10204" spans="1:20" s="1358" customFormat="1" ht="17.399999999999999">
      <c r="A10204" s="549"/>
      <c r="B10204" s="549"/>
      <c r="C10204" s="549"/>
      <c r="D10204" s="549"/>
      <c r="E10204" s="549"/>
      <c r="F10204" s="549"/>
      <c r="G10204" s="549"/>
      <c r="H10204" s="549"/>
      <c r="I10204" s="558"/>
      <c r="J10204" s="567"/>
      <c r="K10204" s="648"/>
      <c r="L10204" s="567"/>
      <c r="M10204" s="549"/>
      <c r="N10204" s="549"/>
      <c r="O10204" s="549"/>
      <c r="P10204" s="549"/>
    </row>
    <row r="10205" spans="1:20" s="1358" customFormat="1" ht="17.399999999999999">
      <c r="A10205" s="549"/>
      <c r="B10205" s="549"/>
      <c r="C10205" s="549"/>
      <c r="D10205" s="549"/>
      <c r="E10205" s="549"/>
      <c r="F10205" s="549"/>
      <c r="G10205" s="549"/>
      <c r="H10205" s="549"/>
      <c r="I10205" s="558"/>
      <c r="J10205" s="567"/>
      <c r="K10205" s="648"/>
      <c r="L10205" s="567"/>
      <c r="M10205" s="549"/>
      <c r="N10205" s="549"/>
      <c r="O10205" s="549"/>
      <c r="P10205" s="549"/>
    </row>
    <row r="10206" spans="1:20" s="1358" customFormat="1" ht="17.399999999999999">
      <c r="A10206" s="549"/>
      <c r="B10206" s="549"/>
      <c r="C10206" s="549"/>
      <c r="D10206" s="549"/>
      <c r="E10206" s="549"/>
      <c r="F10206" s="549"/>
      <c r="G10206" s="549"/>
      <c r="H10206" s="549"/>
      <c r="I10206" s="558"/>
      <c r="J10206" s="567"/>
      <c r="K10206" s="648"/>
      <c r="L10206" s="567"/>
      <c r="M10206" s="549"/>
      <c r="N10206" s="549"/>
      <c r="O10206" s="549"/>
      <c r="P10206" s="549"/>
    </row>
    <row r="10207" spans="1:20" ht="17.399999999999999">
      <c r="A10207" s="547" t="s">
        <v>395</v>
      </c>
      <c r="B10207" s="547" t="s">
        <v>1038</v>
      </c>
      <c r="C10207" s="547" t="s">
        <v>19</v>
      </c>
      <c r="D10207" s="547" t="s">
        <v>60</v>
      </c>
      <c r="E10207" s="547" t="s">
        <v>270</v>
      </c>
      <c r="F10207" s="549">
        <v>12</v>
      </c>
      <c r="G10207" s="549" t="s">
        <v>61</v>
      </c>
      <c r="H10207" s="599" t="s">
        <v>133</v>
      </c>
      <c r="I10207" s="560">
        <v>15.04</v>
      </c>
      <c r="J10207" s="567">
        <v>8.5</v>
      </c>
      <c r="K10207" s="648">
        <v>16</v>
      </c>
      <c r="L10207" s="552">
        <f t="shared" ref="L10207:L10209" si="2126">(I10207*J10207*K10207/1000)</f>
        <v>2.0454399999999997</v>
      </c>
      <c r="M10207" s="549"/>
      <c r="N10207" s="549"/>
      <c r="O10207" s="549"/>
      <c r="P10207" s="549"/>
      <c r="R10207" s="549"/>
      <c r="T10207" s="1358" t="s">
        <v>1254</v>
      </c>
    </row>
    <row r="10208" spans="1:20" ht="17.399999999999999">
      <c r="A10208" s="549"/>
      <c r="B10208" s="560" t="s">
        <v>277</v>
      </c>
      <c r="C10208" s="549"/>
      <c r="D10208" s="549"/>
      <c r="E10208" s="549"/>
      <c r="F10208" s="549"/>
      <c r="G10208" s="549" t="s">
        <v>61</v>
      </c>
      <c r="H10208" s="549" t="s">
        <v>133</v>
      </c>
      <c r="I10208" s="560">
        <v>15.04</v>
      </c>
      <c r="J10208" s="567">
        <v>9.75</v>
      </c>
      <c r="K10208" s="648">
        <v>8</v>
      </c>
      <c r="L10208" s="552">
        <f t="shared" si="2126"/>
        <v>1.1731199999999999</v>
      </c>
      <c r="M10208" s="549">
        <v>3</v>
      </c>
      <c r="N10208" s="567">
        <f>J10208*M10208*I10208/1000</f>
        <v>0.43991999999999998</v>
      </c>
      <c r="O10208" s="549"/>
      <c r="P10208" s="549"/>
      <c r="R10208" s="549">
        <v>3</v>
      </c>
      <c r="S10208" s="831">
        <f t="shared" ref="S10208:S10209" si="2127">R10208-M10208</f>
        <v>0</v>
      </c>
    </row>
    <row r="10209" spans="1:20" ht="17.399999999999999">
      <c r="A10209" s="549"/>
      <c r="B10209" s="549"/>
      <c r="C10209" s="549"/>
      <c r="D10209" s="549"/>
      <c r="E10209" s="549"/>
      <c r="F10209" s="549"/>
      <c r="G10209" s="549" t="s">
        <v>61</v>
      </c>
      <c r="H10209" s="549" t="s">
        <v>133</v>
      </c>
      <c r="I10209" s="560">
        <v>15.04</v>
      </c>
      <c r="J10209" s="567">
        <v>11</v>
      </c>
      <c r="K10209" s="648">
        <v>8</v>
      </c>
      <c r="L10209" s="552">
        <f t="shared" si="2126"/>
        <v>1.32352</v>
      </c>
      <c r="M10209" s="648">
        <v>8</v>
      </c>
      <c r="N10209" s="567">
        <f>J10209*M10209*I10209/1000</f>
        <v>1.32352</v>
      </c>
      <c r="O10209" s="549"/>
      <c r="P10209" s="549"/>
      <c r="R10209" s="648">
        <v>8</v>
      </c>
      <c r="S10209" s="831">
        <f t="shared" si="2127"/>
        <v>0</v>
      </c>
    </row>
    <row r="10210" spans="1:20" ht="17.399999999999999">
      <c r="A10210" s="549"/>
      <c r="B10210" s="549"/>
      <c r="C10210" s="549"/>
      <c r="D10210" s="549"/>
      <c r="E10210" s="549"/>
      <c r="F10210" s="549"/>
      <c r="G10210" s="549"/>
      <c r="H10210" s="549" t="s">
        <v>261</v>
      </c>
      <c r="I10210" s="560"/>
      <c r="J10210" s="567"/>
      <c r="K10210" s="648">
        <f t="shared" ref="K10210:L10210" si="2128">SUM(K10207:K10209)</f>
        <v>32</v>
      </c>
      <c r="L10210" s="567">
        <f t="shared" si="2128"/>
        <v>4.5420799999999995</v>
      </c>
      <c r="M10210" s="648">
        <f>SUM(M10207:M10209)</f>
        <v>11</v>
      </c>
      <c r="N10210" s="567">
        <f>SUM(N10207:N10209)</f>
        <v>1.7634400000000001</v>
      </c>
      <c r="O10210" s="549"/>
      <c r="P10210" s="549" t="s">
        <v>1205</v>
      </c>
      <c r="R10210" s="648">
        <f>SUM(R10207:R10209)</f>
        <v>11</v>
      </c>
    </row>
    <row r="10211" spans="1:20" ht="17.399999999999999">
      <c r="A10211" s="549"/>
      <c r="B10211" s="549"/>
      <c r="C10211" s="549"/>
      <c r="D10211" s="549"/>
      <c r="E10211" s="549"/>
      <c r="F10211" s="549"/>
      <c r="G10211" s="549"/>
      <c r="H10211" s="549"/>
      <c r="I10211" s="560"/>
      <c r="J10211" s="549"/>
      <c r="K10211" s="561"/>
      <c r="L10211" s="560"/>
      <c r="M10211" s="549"/>
      <c r="N10211" s="567"/>
      <c r="O10211" s="549"/>
      <c r="P10211" s="549"/>
      <c r="R10211" s="549"/>
    </row>
    <row r="10212" spans="1:20" ht="17.399999999999999">
      <c r="A10212" s="547" t="s">
        <v>395</v>
      </c>
      <c r="B10212" s="547" t="s">
        <v>1038</v>
      </c>
      <c r="C10212" s="547" t="s">
        <v>19</v>
      </c>
      <c r="D10212" s="547" t="s">
        <v>60</v>
      </c>
      <c r="E10212" s="754" t="s">
        <v>1096</v>
      </c>
      <c r="F10212" s="549">
        <v>12</v>
      </c>
      <c r="G10212" s="549" t="s">
        <v>61</v>
      </c>
      <c r="H10212" s="599" t="s">
        <v>133</v>
      </c>
      <c r="I10212" s="560">
        <v>15.04</v>
      </c>
      <c r="J10212" s="567">
        <v>11.6</v>
      </c>
      <c r="K10212" s="648">
        <v>3</v>
      </c>
      <c r="L10212" s="552">
        <f>(I10212*J10212*K10212/1000)</f>
        <v>0.52339200000000008</v>
      </c>
      <c r="M10212" s="549">
        <v>3</v>
      </c>
      <c r="N10212" s="567">
        <f t="shared" ref="N10212" si="2129">J10212*M10212*I10212/1000</f>
        <v>0.52339199999999997</v>
      </c>
      <c r="O10212" s="549"/>
      <c r="P10212" s="549"/>
      <c r="R10212" s="549">
        <v>3</v>
      </c>
      <c r="S10212" s="831">
        <f t="shared" ref="S10212:S10214" si="2130">R10212-M10212</f>
        <v>0</v>
      </c>
      <c r="T10212" s="1358" t="s">
        <v>1254</v>
      </c>
    </row>
    <row r="10213" spans="1:20" ht="17.399999999999999">
      <c r="A10213" s="549"/>
      <c r="B10213" s="560" t="s">
        <v>277</v>
      </c>
      <c r="C10213" s="549"/>
      <c r="D10213" s="549"/>
      <c r="E10213" s="549"/>
      <c r="F10213" s="549"/>
      <c r="G10213" s="549"/>
      <c r="H10213" s="549" t="s">
        <v>1096</v>
      </c>
      <c r="I10213" s="560"/>
      <c r="J10213" s="567"/>
      <c r="K10213" s="648">
        <f t="shared" ref="K10213:M10213" si="2131">SUM(K10212)</f>
        <v>3</v>
      </c>
      <c r="L10213" s="567">
        <f t="shared" si="2131"/>
        <v>0.52339200000000008</v>
      </c>
      <c r="M10213" s="648">
        <f t="shared" si="2131"/>
        <v>3</v>
      </c>
      <c r="N10213" s="567">
        <f>SUM(N10212)</f>
        <v>0.52339199999999997</v>
      </c>
      <c r="O10213" s="549"/>
      <c r="P10213" s="549"/>
      <c r="R10213" s="648">
        <f t="shared" ref="R10213" si="2132">SUM(R10212)</f>
        <v>3</v>
      </c>
      <c r="S10213" s="831">
        <f t="shared" si="2130"/>
        <v>0</v>
      </c>
    </row>
    <row r="10214" spans="1:20" s="1358" customFormat="1" ht="17.399999999999999">
      <c r="A10214" s="549"/>
      <c r="B10214" s="549"/>
      <c r="C10214" s="549"/>
      <c r="D10214" s="549"/>
      <c r="E10214" s="549"/>
      <c r="F10214" s="549"/>
      <c r="G10214" s="549"/>
      <c r="H10214" s="549"/>
      <c r="I10214" s="558"/>
      <c r="J10214" s="567"/>
      <c r="K10214" s="648">
        <f>+K10213+K10210</f>
        <v>35</v>
      </c>
      <c r="L10214" s="567">
        <f>+L10213+L10210</f>
        <v>5.0654719999999998</v>
      </c>
      <c r="M10214" s="648">
        <f>+M10213+M10210</f>
        <v>14</v>
      </c>
      <c r="N10214" s="567">
        <f>+N10213+N10210</f>
        <v>2.286832</v>
      </c>
      <c r="O10214" s="549"/>
      <c r="P10214" s="549"/>
      <c r="R10214" s="648">
        <f>+R10213+R10210</f>
        <v>14</v>
      </c>
      <c r="S10214" s="831">
        <f t="shared" si="2130"/>
        <v>0</v>
      </c>
    </row>
    <row r="10215" spans="1:20" s="1358" customFormat="1" ht="17.399999999999999">
      <c r="A10215" s="549"/>
      <c r="B10215" s="549"/>
      <c r="C10215" s="549"/>
      <c r="D10215" s="549"/>
      <c r="E10215" s="549"/>
      <c r="F10215" s="549"/>
      <c r="G10215" s="549"/>
      <c r="H10215" s="549"/>
      <c r="I10215" s="558"/>
      <c r="J10215" s="567"/>
      <c r="K10215" s="648"/>
      <c r="L10215" s="567"/>
      <c r="M10215" s="549"/>
      <c r="N10215" s="549"/>
      <c r="O10215" s="549"/>
      <c r="P10215" s="549"/>
    </row>
    <row r="10216" spans="1:20" s="1358" customFormat="1" ht="17.399999999999999">
      <c r="A10216" s="549"/>
      <c r="B10216" s="549"/>
      <c r="C10216" s="549"/>
      <c r="D10216" s="549"/>
      <c r="E10216" s="549"/>
      <c r="F10216" s="549"/>
      <c r="G10216" s="549"/>
      <c r="H10216" s="549"/>
      <c r="I10216" s="558"/>
      <c r="J10216" s="567"/>
      <c r="K10216" s="648"/>
      <c r="L10216" s="567"/>
      <c r="M10216" s="549"/>
      <c r="N10216" s="549"/>
      <c r="O10216" s="549"/>
      <c r="P10216" s="549"/>
    </row>
    <row r="10217" spans="1:20" ht="17.399999999999999">
      <c r="A10217" s="547" t="s">
        <v>395</v>
      </c>
      <c r="B10217" s="547" t="s">
        <v>1038</v>
      </c>
      <c r="C10217" s="547" t="s">
        <v>19</v>
      </c>
      <c r="D10217" s="547" t="s">
        <v>20</v>
      </c>
      <c r="E10217" s="547" t="s">
        <v>359</v>
      </c>
      <c r="F10217" s="549">
        <v>12</v>
      </c>
      <c r="G10217" s="549" t="s">
        <v>21</v>
      </c>
      <c r="H10217" s="599" t="s">
        <v>133</v>
      </c>
      <c r="I10217" s="560">
        <v>15.04</v>
      </c>
      <c r="J10217" s="567">
        <v>10</v>
      </c>
      <c r="K10217" s="648">
        <v>6</v>
      </c>
      <c r="L10217" s="552">
        <f t="shared" ref="L10217:L10218" si="2133">(I10217*J10217*K10217/1000)</f>
        <v>0.90239999999999987</v>
      </c>
      <c r="M10217" s="549">
        <v>6</v>
      </c>
      <c r="N10217" s="567">
        <f t="shared" ref="N10217:N10218" si="2134">J10217*M10217*I10217/1000</f>
        <v>0.90239999999999998</v>
      </c>
      <c r="O10217" s="549"/>
      <c r="P10217" s="549"/>
      <c r="R10217" s="549">
        <v>4</v>
      </c>
      <c r="S10217" s="831">
        <f t="shared" ref="S10217" si="2135">R10217-M10217</f>
        <v>-2</v>
      </c>
      <c r="T10217" s="1358" t="s">
        <v>1254</v>
      </c>
    </row>
    <row r="10218" spans="1:20" ht="17.399999999999999">
      <c r="A10218" s="549"/>
      <c r="B10218" s="560" t="s">
        <v>277</v>
      </c>
      <c r="C10218" s="549"/>
      <c r="D10218" s="549"/>
      <c r="E10218" s="549"/>
      <c r="F10218" s="549"/>
      <c r="G10218" s="549" t="s">
        <v>21</v>
      </c>
      <c r="H10218" s="549" t="s">
        <v>133</v>
      </c>
      <c r="I10218" s="560">
        <v>15.04</v>
      </c>
      <c r="J10218" s="567">
        <v>12</v>
      </c>
      <c r="K10218" s="648">
        <v>25</v>
      </c>
      <c r="L10218" s="552">
        <f t="shared" si="2133"/>
        <v>4.5119999999999996</v>
      </c>
      <c r="M10218" s="549"/>
      <c r="N10218" s="567">
        <f t="shared" si="2134"/>
        <v>0</v>
      </c>
      <c r="O10218" s="549"/>
      <c r="P10218" s="549"/>
      <c r="R10218" s="549"/>
    </row>
    <row r="10219" spans="1:20" ht="17.399999999999999">
      <c r="A10219" s="549"/>
      <c r="B10219" s="549"/>
      <c r="C10219" s="549"/>
      <c r="D10219" s="549"/>
      <c r="E10219" s="549"/>
      <c r="F10219" s="549"/>
      <c r="G10219" s="549"/>
      <c r="H10219" s="549" t="s">
        <v>259</v>
      </c>
      <c r="I10219" s="560"/>
      <c r="J10219" s="567"/>
      <c r="K10219" s="648">
        <f>SUM(K10217:K10218)</f>
        <v>31</v>
      </c>
      <c r="L10219" s="567">
        <f>SUM(L10217:L10218)</f>
        <v>5.4143999999999997</v>
      </c>
      <c r="M10219" s="648">
        <f>SUM(M10217:M10218)</f>
        <v>6</v>
      </c>
      <c r="N10219" s="567">
        <f>SUM(N10217:N10218)</f>
        <v>0.90239999999999998</v>
      </c>
      <c r="O10219" s="549"/>
      <c r="P10219" s="549" t="s">
        <v>1234</v>
      </c>
      <c r="R10219" s="648">
        <f>SUM(R10217:R10218)</f>
        <v>4</v>
      </c>
    </row>
    <row r="10220" spans="1:20" s="1358" customFormat="1" ht="17.399999999999999">
      <c r="A10220" s="549"/>
      <c r="B10220" s="549"/>
      <c r="C10220" s="549"/>
      <c r="D10220" s="549"/>
      <c r="E10220" s="549"/>
      <c r="F10220" s="549"/>
      <c r="G10220" s="549"/>
      <c r="H10220" s="549"/>
      <c r="I10220" s="558"/>
      <c r="J10220" s="567"/>
      <c r="K10220" s="648"/>
      <c r="L10220" s="567"/>
      <c r="M10220" s="549"/>
      <c r="N10220" s="549"/>
      <c r="O10220" s="549"/>
      <c r="P10220" s="549"/>
      <c r="R10220" s="549"/>
    </row>
    <row r="10221" spans="1:20" ht="17.399999999999999">
      <c r="A10221" s="547" t="s">
        <v>395</v>
      </c>
      <c r="B10221" s="547" t="s">
        <v>1038</v>
      </c>
      <c r="C10221" s="547" t="s">
        <v>19</v>
      </c>
      <c r="D10221" s="547" t="s">
        <v>20</v>
      </c>
      <c r="E10221" s="754" t="s">
        <v>1095</v>
      </c>
      <c r="F10221" s="549">
        <v>12</v>
      </c>
      <c r="G10221" s="549" t="s">
        <v>21</v>
      </c>
      <c r="H10221" s="599" t="s">
        <v>133</v>
      </c>
      <c r="I10221" s="560">
        <v>15.04</v>
      </c>
      <c r="J10221" s="567">
        <v>12</v>
      </c>
      <c r="K10221" s="648">
        <v>12</v>
      </c>
      <c r="L10221" s="552">
        <f>(I10221*J10221*K10221/1000)</f>
        <v>2.1657599999999997</v>
      </c>
      <c r="M10221" s="549"/>
      <c r="N10221" s="549"/>
      <c r="O10221" s="549"/>
      <c r="P10221" s="549"/>
      <c r="R10221" s="549"/>
      <c r="S10221" s="1358" t="s">
        <v>1254</v>
      </c>
    </row>
    <row r="10222" spans="1:20" ht="17.399999999999999">
      <c r="A10222" s="549"/>
      <c r="B10222" s="560" t="s">
        <v>277</v>
      </c>
      <c r="C10222" s="549"/>
      <c r="D10222" s="549"/>
      <c r="E10222" s="549"/>
      <c r="F10222" s="549"/>
      <c r="G10222" s="549"/>
      <c r="H10222" s="549" t="s">
        <v>1095</v>
      </c>
      <c r="I10222" s="560"/>
      <c r="J10222" s="567"/>
      <c r="K10222" s="648">
        <f t="shared" ref="K10222:L10222" si="2136">SUM(K10221)</f>
        <v>12</v>
      </c>
      <c r="L10222" s="567">
        <f t="shared" si="2136"/>
        <v>2.1657599999999997</v>
      </c>
      <c r="M10222" s="549"/>
      <c r="N10222" s="549"/>
      <c r="O10222" s="549"/>
      <c r="P10222" s="549" t="s">
        <v>1206</v>
      </c>
      <c r="R10222" s="549"/>
    </row>
    <row r="10223" spans="1:20" s="1358" customFormat="1" ht="17.399999999999999">
      <c r="A10223" s="549"/>
      <c r="B10223" s="549"/>
      <c r="C10223" s="549"/>
      <c r="D10223" s="549"/>
      <c r="E10223" s="549"/>
      <c r="F10223" s="549"/>
      <c r="G10223" s="549"/>
      <c r="H10223" s="549"/>
      <c r="I10223" s="558"/>
      <c r="J10223" s="567"/>
      <c r="K10223" s="648"/>
      <c r="L10223" s="567"/>
      <c r="M10223" s="549"/>
      <c r="N10223" s="549"/>
      <c r="O10223" s="549"/>
      <c r="P10223" s="549"/>
      <c r="R10223" s="549"/>
    </row>
    <row r="10224" spans="1:20" ht="17.399999999999999">
      <c r="A10224" s="547" t="s">
        <v>83</v>
      </c>
      <c r="B10224" s="547" t="s">
        <v>1176</v>
      </c>
      <c r="C10224" s="547" t="s">
        <v>19</v>
      </c>
      <c r="D10224" s="547" t="s">
        <v>20</v>
      </c>
      <c r="E10224" s="547" t="s">
        <v>175</v>
      </c>
      <c r="F10224" s="549">
        <v>12</v>
      </c>
      <c r="G10224" s="549" t="s">
        <v>21</v>
      </c>
      <c r="H10224" s="599" t="s">
        <v>133</v>
      </c>
      <c r="I10224" s="558">
        <v>15</v>
      </c>
      <c r="J10224" s="567">
        <v>7.6</v>
      </c>
      <c r="K10224" s="648">
        <v>16</v>
      </c>
      <c r="L10224" s="552">
        <f>(I10224*J10224*K10224/1000)</f>
        <v>1.8240000000000001</v>
      </c>
      <c r="M10224" s="549">
        <v>6</v>
      </c>
      <c r="N10224" s="567">
        <f>J10224*M10224*I10224/1000</f>
        <v>0.68399999999999994</v>
      </c>
      <c r="O10224" s="549"/>
      <c r="P10224" s="549"/>
      <c r="R10224" s="549">
        <f>4+2</f>
        <v>6</v>
      </c>
      <c r="S10224" s="831">
        <f t="shared" ref="S10224" si="2137">R10224-M10224</f>
        <v>0</v>
      </c>
      <c r="T10224" s="1358" t="s">
        <v>1254</v>
      </c>
    </row>
    <row r="10225" spans="1:20" ht="17.399999999999999">
      <c r="A10225" s="549"/>
      <c r="B10225" s="549" t="s">
        <v>421</v>
      </c>
      <c r="C10225" s="560"/>
      <c r="D10225" s="549"/>
      <c r="E10225" s="549"/>
      <c r="F10225" s="549"/>
      <c r="G10225" s="549"/>
      <c r="H10225" s="549"/>
      <c r="I10225" s="560"/>
      <c r="J10225" s="567"/>
      <c r="K10225" s="648">
        <f t="shared" ref="K10225:M10225" si="2138">SUM(K10224)</f>
        <v>16</v>
      </c>
      <c r="L10225" s="567">
        <f t="shared" si="2138"/>
        <v>1.8240000000000001</v>
      </c>
      <c r="M10225" s="648">
        <f t="shared" si="2138"/>
        <v>6</v>
      </c>
      <c r="N10225" s="567">
        <f>SUM(N10224)</f>
        <v>0.68399999999999994</v>
      </c>
      <c r="O10225" s="549"/>
      <c r="P10225" s="549" t="s">
        <v>1207</v>
      </c>
      <c r="R10225" s="648">
        <f t="shared" ref="R10225" si="2139">SUM(R10224)</f>
        <v>6</v>
      </c>
    </row>
    <row r="10226" spans="1:20" s="1358" customFormat="1" ht="17.399999999999999">
      <c r="A10226" s="549"/>
      <c r="B10226" s="549"/>
      <c r="C10226" s="560"/>
      <c r="D10226" s="549"/>
      <c r="E10226" s="549"/>
      <c r="F10226" s="549"/>
      <c r="G10226" s="549"/>
      <c r="H10226" s="549"/>
      <c r="I10226" s="560"/>
      <c r="J10226" s="567"/>
      <c r="K10226" s="766">
        <f>+K10225+K10222+K10219</f>
        <v>59</v>
      </c>
      <c r="L10226" s="765">
        <f>+L10225+L10222+L10219</f>
        <v>9.4041599999999992</v>
      </c>
      <c r="M10226" s="766">
        <f>+M10225+M10222+M10219</f>
        <v>12</v>
      </c>
      <c r="N10226" s="765">
        <f>+N10225+N10222+N10219</f>
        <v>1.5863999999999998</v>
      </c>
      <c r="O10226" s="549"/>
      <c r="P10226" s="549"/>
      <c r="R10226" s="766">
        <f>+R10225+R10222+R10219</f>
        <v>10</v>
      </c>
    </row>
    <row r="10227" spans="1:20" s="1358" customFormat="1" ht="17.399999999999999">
      <c r="A10227" s="549"/>
      <c r="B10227" s="549"/>
      <c r="C10227" s="560"/>
      <c r="D10227" s="549"/>
      <c r="E10227" s="549"/>
      <c r="F10227" s="549"/>
      <c r="G10227" s="549"/>
      <c r="H10227" s="549"/>
      <c r="I10227" s="560"/>
      <c r="J10227" s="567"/>
      <c r="K10227" s="648"/>
      <c r="L10227" s="567"/>
      <c r="M10227" s="549"/>
      <c r="N10227" s="549"/>
      <c r="O10227" s="549"/>
      <c r="P10227" s="549"/>
    </row>
    <row r="10228" spans="1:20" s="1358" customFormat="1" ht="17.399999999999999">
      <c r="A10228" s="549"/>
      <c r="B10228" s="549"/>
      <c r="C10228" s="549"/>
      <c r="D10228" s="549"/>
      <c r="E10228" s="549"/>
      <c r="F10228" s="549"/>
      <c r="G10228" s="549"/>
      <c r="H10228" s="549"/>
      <c r="I10228" s="558"/>
      <c r="J10228" s="567"/>
      <c r="K10228" s="648"/>
      <c r="L10228" s="567"/>
      <c r="M10228" s="549"/>
      <c r="N10228" s="549"/>
      <c r="O10228" s="549"/>
      <c r="P10228" s="549"/>
    </row>
    <row r="10229" spans="1:20" ht="17.399999999999999">
      <c r="A10229" s="547" t="s">
        <v>445</v>
      </c>
      <c r="B10229" s="547" t="s">
        <v>1016</v>
      </c>
      <c r="C10229" s="547" t="s">
        <v>19</v>
      </c>
      <c r="D10229" s="547" t="s">
        <v>20</v>
      </c>
      <c r="E10229" s="550" t="s">
        <v>367</v>
      </c>
      <c r="F10229" s="549">
        <v>12</v>
      </c>
      <c r="G10229" s="549" t="s">
        <v>21</v>
      </c>
      <c r="H10229" s="599" t="s">
        <v>134</v>
      </c>
      <c r="I10229" s="558">
        <v>12.2</v>
      </c>
      <c r="J10229" s="567">
        <v>7.6</v>
      </c>
      <c r="K10229" s="648">
        <v>2</v>
      </c>
      <c r="L10229" s="552">
        <f>(I10229*J10229*K10229/1000)</f>
        <v>0.18543999999999997</v>
      </c>
      <c r="M10229" s="549"/>
      <c r="N10229" s="549"/>
      <c r="O10229" s="549"/>
      <c r="P10229" s="549"/>
      <c r="Q10229" s="1358" t="s">
        <v>1253</v>
      </c>
    </row>
    <row r="10230" spans="1:20" ht="17.399999999999999">
      <c r="A10230" s="549"/>
      <c r="B10230" s="560" t="s">
        <v>88</v>
      </c>
      <c r="C10230" s="549"/>
      <c r="D10230" s="549"/>
      <c r="E10230" s="549"/>
      <c r="F10230" s="549"/>
      <c r="G10230" s="549"/>
      <c r="H10230" s="549"/>
      <c r="I10230" s="558"/>
      <c r="J10230" s="567"/>
      <c r="K10230" s="648">
        <f t="shared" ref="K10230:L10230" si="2140">SUM(K10229)</f>
        <v>2</v>
      </c>
      <c r="L10230" s="567">
        <f t="shared" si="2140"/>
        <v>0.18543999999999997</v>
      </c>
      <c r="M10230" s="549"/>
      <c r="N10230" s="549"/>
      <c r="O10230" s="549"/>
      <c r="P10230" s="549" t="s">
        <v>1208</v>
      </c>
    </row>
    <row r="10231" spans="1:20" ht="17.399999999999999">
      <c r="A10231" s="549"/>
      <c r="B10231" s="549"/>
      <c r="C10231" s="549"/>
      <c r="D10231" s="549"/>
      <c r="E10231" s="549"/>
      <c r="F10231" s="549"/>
      <c r="G10231" s="549"/>
      <c r="H10231" s="549"/>
      <c r="I10231" s="560"/>
      <c r="J10231" s="549"/>
      <c r="K10231" s="561"/>
      <c r="L10231" s="560"/>
      <c r="M10231" s="549"/>
      <c r="N10231" s="549"/>
      <c r="O10231" s="549"/>
      <c r="P10231" s="549"/>
    </row>
    <row r="10232" spans="1:20" ht="17.399999999999999">
      <c r="A10232" s="547" t="s">
        <v>1173</v>
      </c>
      <c r="B10232" s="547" t="s">
        <v>1172</v>
      </c>
      <c r="C10232" s="547" t="s">
        <v>19</v>
      </c>
      <c r="D10232" s="547" t="s">
        <v>20</v>
      </c>
      <c r="E10232" s="550" t="s">
        <v>367</v>
      </c>
      <c r="F10232" s="549">
        <v>12</v>
      </c>
      <c r="G10232" s="549" t="s">
        <v>21</v>
      </c>
      <c r="H10232" s="599" t="s">
        <v>134</v>
      </c>
      <c r="I10232" s="558">
        <v>12.2</v>
      </c>
      <c r="J10232" s="710">
        <v>6.2</v>
      </c>
      <c r="K10232" s="648">
        <v>2</v>
      </c>
      <c r="L10232" s="552">
        <f>(I10232*J10232*K10232/1000)</f>
        <v>0.15128</v>
      </c>
      <c r="M10232" s="549"/>
      <c r="N10232" s="549"/>
      <c r="O10232" s="549"/>
      <c r="P10232" s="549"/>
      <c r="Q10232" s="1358" t="s">
        <v>1253</v>
      </c>
    </row>
    <row r="10233" spans="1:20" ht="17.399999999999999">
      <c r="A10233" s="549"/>
      <c r="B10233" s="560" t="s">
        <v>1030</v>
      </c>
      <c r="C10233" s="549"/>
      <c r="D10233" s="549"/>
      <c r="E10233" s="549"/>
      <c r="F10233" s="549"/>
      <c r="G10233" s="549"/>
      <c r="H10233" s="650"/>
      <c r="I10233" s="558"/>
      <c r="J10233" s="710"/>
      <c r="K10233" s="648">
        <f>SUM(K10232:K10232)</f>
        <v>2</v>
      </c>
      <c r="L10233" s="765">
        <f>SUM(L10232:L10232)</f>
        <v>0.15128</v>
      </c>
      <c r="M10233" s="549"/>
      <c r="N10233" s="549"/>
      <c r="O10233" s="549"/>
      <c r="P10233" s="549" t="s">
        <v>1208</v>
      </c>
    </row>
    <row r="10234" spans="1:20" s="1358" customFormat="1" ht="17.399999999999999">
      <c r="A10234" s="549"/>
      <c r="B10234" s="560"/>
      <c r="C10234" s="549"/>
      <c r="D10234" s="549"/>
      <c r="E10234" s="549"/>
      <c r="F10234" s="549"/>
      <c r="G10234" s="549"/>
      <c r="H10234" s="650"/>
      <c r="I10234" s="558"/>
      <c r="J10234" s="710"/>
      <c r="K10234" s="648"/>
      <c r="L10234" s="765"/>
      <c r="M10234" s="549"/>
      <c r="N10234" s="549"/>
      <c r="O10234" s="549"/>
      <c r="P10234" s="549"/>
    </row>
    <row r="10235" spans="1:20" ht="17.399999999999999">
      <c r="A10235" s="547" t="s">
        <v>83</v>
      </c>
      <c r="B10235" s="547" t="s">
        <v>1168</v>
      </c>
      <c r="C10235" s="547" t="s">
        <v>19</v>
      </c>
      <c r="D10235" s="813" t="s">
        <v>854</v>
      </c>
      <c r="E10235" s="780" t="s">
        <v>1167</v>
      </c>
      <c r="F10235" s="549">
        <v>12</v>
      </c>
      <c r="G10235" s="549" t="s">
        <v>21</v>
      </c>
      <c r="H10235" s="599" t="s">
        <v>134</v>
      </c>
      <c r="I10235" s="558">
        <v>12.2</v>
      </c>
      <c r="J10235" s="710">
        <v>8.5</v>
      </c>
      <c r="K10235" s="648">
        <v>1</v>
      </c>
      <c r="L10235" s="552">
        <f>(I10235*J10235*K10235/1000)</f>
        <v>0.10369999999999999</v>
      </c>
      <c r="M10235" s="549"/>
      <c r="N10235" s="549"/>
      <c r="O10235" s="549"/>
      <c r="P10235" s="549"/>
      <c r="Q10235" s="1358" t="s">
        <v>1253</v>
      </c>
    </row>
    <row r="10236" spans="1:20" ht="17.399999999999999">
      <c r="A10236" s="549"/>
      <c r="B10236" s="549" t="s">
        <v>52</v>
      </c>
      <c r="C10236" s="549"/>
      <c r="D10236" s="549"/>
      <c r="E10236" s="549"/>
      <c r="F10236" s="549"/>
      <c r="G10236" s="549"/>
      <c r="H10236" s="549"/>
      <c r="I10236" s="560"/>
      <c r="J10236" s="710"/>
      <c r="K10236" s="648">
        <f t="shared" ref="K10236" si="2141">SUM(K10235)</f>
        <v>1</v>
      </c>
      <c r="L10236" s="765">
        <f>SUM(L10235)</f>
        <v>0.10369999999999999</v>
      </c>
      <c r="M10236" s="549"/>
      <c r="N10236" s="549"/>
      <c r="O10236" s="549"/>
      <c r="P10236" s="549" t="s">
        <v>1209</v>
      </c>
    </row>
    <row r="10237" spans="1:20" s="1358" customFormat="1" ht="17.399999999999999">
      <c r="A10237" s="549"/>
      <c r="B10237" s="560"/>
      <c r="C10237" s="549"/>
      <c r="D10237" s="549"/>
      <c r="E10237" s="549"/>
      <c r="F10237" s="549"/>
      <c r="G10237" s="549"/>
      <c r="H10237" s="650"/>
      <c r="I10237" s="560"/>
      <c r="J10237" s="710"/>
      <c r="K10237" s="648"/>
      <c r="L10237" s="765"/>
      <c r="M10237" s="549"/>
      <c r="N10237" s="549"/>
      <c r="O10237" s="549"/>
      <c r="P10237" s="549"/>
    </row>
    <row r="10238" spans="1:20" ht="17.399999999999999">
      <c r="A10238" s="547" t="s">
        <v>395</v>
      </c>
      <c r="B10238" s="547" t="s">
        <v>1038</v>
      </c>
      <c r="C10238" s="547" t="s">
        <v>19</v>
      </c>
      <c r="D10238" s="547" t="s">
        <v>20</v>
      </c>
      <c r="E10238" s="547" t="s">
        <v>359</v>
      </c>
      <c r="F10238" s="549">
        <v>12</v>
      </c>
      <c r="G10238" s="549" t="s">
        <v>21</v>
      </c>
      <c r="H10238" s="599" t="s">
        <v>134</v>
      </c>
      <c r="I10238" s="560">
        <v>12.18</v>
      </c>
      <c r="J10238" s="567">
        <v>6.4</v>
      </c>
      <c r="K10238" s="648">
        <v>13</v>
      </c>
      <c r="L10238" s="552">
        <f t="shared" ref="L10238:L10240" si="2142">(I10238*J10238*K10238/1000)</f>
        <v>1.0133760000000001</v>
      </c>
      <c r="M10238" s="549">
        <v>1</v>
      </c>
      <c r="N10238" s="567">
        <f t="shared" ref="N10238:N10240" si="2143">J10238*M10238*I10238/1000</f>
        <v>7.7951999999999994E-2</v>
      </c>
      <c r="O10238" s="549"/>
      <c r="P10238" s="549"/>
      <c r="R10238" s="549">
        <v>1</v>
      </c>
      <c r="S10238" s="831">
        <f t="shared" ref="S10238:S10241" si="2144">R10238-M10238</f>
        <v>0</v>
      </c>
      <c r="T10238" s="1358" t="s">
        <v>1253</v>
      </c>
    </row>
    <row r="10239" spans="1:20" ht="17.399999999999999">
      <c r="A10239" s="549"/>
      <c r="B10239" s="560" t="s">
        <v>277</v>
      </c>
      <c r="C10239" s="549"/>
      <c r="D10239" s="549"/>
      <c r="E10239" s="549"/>
      <c r="F10239" s="549"/>
      <c r="G10239" s="549" t="s">
        <v>21</v>
      </c>
      <c r="H10239" s="549" t="s">
        <v>134</v>
      </c>
      <c r="I10239" s="560">
        <v>12.18</v>
      </c>
      <c r="J10239" s="567">
        <v>10</v>
      </c>
      <c r="K10239" s="648">
        <v>14</v>
      </c>
      <c r="L10239" s="552">
        <f t="shared" si="2142"/>
        <v>1.7052</v>
      </c>
      <c r="M10239" s="549">
        <f>2+3</f>
        <v>5</v>
      </c>
      <c r="N10239" s="567">
        <f t="shared" si="2143"/>
        <v>0.60899999999999999</v>
      </c>
      <c r="O10239" s="549"/>
      <c r="P10239" s="549"/>
      <c r="R10239" s="549">
        <f>2+3</f>
        <v>5</v>
      </c>
      <c r="S10239" s="831">
        <f t="shared" si="2144"/>
        <v>0</v>
      </c>
    </row>
    <row r="10240" spans="1:20" ht="17.399999999999999">
      <c r="A10240" s="549"/>
      <c r="B10240" s="549"/>
      <c r="C10240" s="549"/>
      <c r="D10240" s="549"/>
      <c r="E10240" s="549"/>
      <c r="F10240" s="549"/>
      <c r="G10240" s="549" t="s">
        <v>21</v>
      </c>
      <c r="H10240" s="549" t="s">
        <v>134</v>
      </c>
      <c r="I10240" s="560">
        <v>12.18</v>
      </c>
      <c r="J10240" s="567">
        <v>12</v>
      </c>
      <c r="K10240" s="648">
        <v>33</v>
      </c>
      <c r="L10240" s="552">
        <f t="shared" si="2142"/>
        <v>4.8232799999999996</v>
      </c>
      <c r="M10240" s="549">
        <v>2</v>
      </c>
      <c r="N10240" s="567">
        <f t="shared" si="2143"/>
        <v>0.29231999999999997</v>
      </c>
      <c r="O10240" s="549"/>
      <c r="P10240" s="549"/>
      <c r="R10240" s="549">
        <v>2</v>
      </c>
      <c r="S10240" s="831">
        <f t="shared" si="2144"/>
        <v>0</v>
      </c>
    </row>
    <row r="10241" spans="1:20" ht="17.399999999999999">
      <c r="A10241" s="549"/>
      <c r="B10241" s="549"/>
      <c r="C10241" s="549"/>
      <c r="D10241" s="549"/>
      <c r="E10241" s="549"/>
      <c r="F10241" s="549"/>
      <c r="G10241" s="549"/>
      <c r="H10241" s="549" t="s">
        <v>259</v>
      </c>
      <c r="I10241" s="560"/>
      <c r="J10241" s="567"/>
      <c r="K10241" s="648">
        <f t="shared" ref="K10241:N10241" si="2145">SUM(K10238:K10240)</f>
        <v>60</v>
      </c>
      <c r="L10241" s="567">
        <f t="shared" si="2145"/>
        <v>7.5418559999999992</v>
      </c>
      <c r="M10241" s="648">
        <f t="shared" si="2145"/>
        <v>8</v>
      </c>
      <c r="N10241" s="567">
        <f t="shared" si="2145"/>
        <v>0.97927199999999992</v>
      </c>
      <c r="O10241" s="549"/>
      <c r="P10241" s="549" t="s">
        <v>1210</v>
      </c>
      <c r="R10241" s="648">
        <f t="shared" ref="R10241" si="2146">SUM(R10238:R10240)</f>
        <v>8</v>
      </c>
      <c r="S10241" s="831">
        <f t="shared" si="2144"/>
        <v>0</v>
      </c>
    </row>
    <row r="10242" spans="1:20" s="1358" customFormat="1" ht="17.399999999999999">
      <c r="A10242" s="549"/>
      <c r="B10242" s="560"/>
      <c r="C10242" s="549"/>
      <c r="D10242" s="549"/>
      <c r="E10242" s="549"/>
      <c r="F10242" s="549"/>
      <c r="G10242" s="549"/>
      <c r="H10242" s="650"/>
      <c r="I10242" s="560"/>
      <c r="J10242" s="710"/>
      <c r="K10242" s="648"/>
      <c r="L10242" s="765"/>
      <c r="M10242" s="549"/>
      <c r="N10242" s="549"/>
      <c r="O10242" s="549"/>
      <c r="P10242" s="549"/>
    </row>
    <row r="10243" spans="1:20" ht="17.399999999999999">
      <c r="A10243" s="547" t="s">
        <v>395</v>
      </c>
      <c r="B10243" s="547" t="s">
        <v>1038</v>
      </c>
      <c r="C10243" s="547" t="s">
        <v>19</v>
      </c>
      <c r="D10243" s="547" t="s">
        <v>20</v>
      </c>
      <c r="E10243" s="754" t="s">
        <v>1095</v>
      </c>
      <c r="F10243" s="549">
        <v>12</v>
      </c>
      <c r="G10243" s="549" t="s">
        <v>21</v>
      </c>
      <c r="H10243" s="599" t="s">
        <v>134</v>
      </c>
      <c r="I10243" s="560">
        <v>12.18</v>
      </c>
      <c r="J10243" s="567">
        <v>10</v>
      </c>
      <c r="K10243" s="648">
        <v>38</v>
      </c>
      <c r="L10243" s="552">
        <f t="shared" ref="L10243:L10245" si="2147">(I10243*J10243*K10243/1000)</f>
        <v>4.6284000000000001</v>
      </c>
      <c r="M10243" s="549"/>
      <c r="N10243" s="549"/>
      <c r="O10243" s="549"/>
      <c r="P10243" s="549"/>
      <c r="Q10243" s="1358" t="s">
        <v>1253</v>
      </c>
    </row>
    <row r="10244" spans="1:20" ht="17.399999999999999">
      <c r="A10244" s="549"/>
      <c r="B10244" s="560" t="s">
        <v>277</v>
      </c>
      <c r="C10244" s="549"/>
      <c r="D10244" s="549"/>
      <c r="E10244" s="549"/>
      <c r="F10244" s="549"/>
      <c r="G10244" s="549" t="s">
        <v>21</v>
      </c>
      <c r="H10244" s="549" t="s">
        <v>134</v>
      </c>
      <c r="I10244" s="560">
        <v>12.18</v>
      </c>
      <c r="J10244" s="567">
        <v>11</v>
      </c>
      <c r="K10244" s="648">
        <v>34</v>
      </c>
      <c r="L10244" s="552">
        <f t="shared" si="2147"/>
        <v>4.55532</v>
      </c>
      <c r="M10244" s="549"/>
      <c r="N10244" s="549"/>
      <c r="O10244" s="549"/>
      <c r="P10244" s="549"/>
    </row>
    <row r="10245" spans="1:20" ht="17.399999999999999">
      <c r="A10245" s="549"/>
      <c r="B10245" s="549"/>
      <c r="C10245" s="549"/>
      <c r="D10245" s="549"/>
      <c r="E10245" s="549"/>
      <c r="F10245" s="549"/>
      <c r="G10245" s="549" t="s">
        <v>21</v>
      </c>
      <c r="H10245" s="549" t="s">
        <v>134</v>
      </c>
      <c r="I10245" s="560">
        <v>12.18</v>
      </c>
      <c r="J10245" s="567">
        <v>12</v>
      </c>
      <c r="K10245" s="648">
        <v>20</v>
      </c>
      <c r="L10245" s="552">
        <f t="shared" si="2147"/>
        <v>2.9232</v>
      </c>
      <c r="M10245" s="549"/>
      <c r="N10245" s="549"/>
      <c r="O10245" s="549"/>
      <c r="P10245" s="549"/>
    </row>
    <row r="10246" spans="1:20" ht="17.399999999999999">
      <c r="A10246" s="549"/>
      <c r="B10246" s="549"/>
      <c r="C10246" s="549"/>
      <c r="D10246" s="549"/>
      <c r="E10246" s="549"/>
      <c r="F10246" s="549"/>
      <c r="G10246" s="549"/>
      <c r="H10246" s="549" t="s">
        <v>1095</v>
      </c>
      <c r="I10246" s="560"/>
      <c r="J10246" s="567"/>
      <c r="K10246" s="648">
        <f t="shared" ref="K10246:L10246" si="2148">SUM(K10243:K10245)</f>
        <v>92</v>
      </c>
      <c r="L10246" s="567">
        <f t="shared" si="2148"/>
        <v>12.106920000000001</v>
      </c>
      <c r="M10246" s="549"/>
      <c r="N10246" s="549"/>
      <c r="O10246" s="549"/>
      <c r="P10246" s="549" t="s">
        <v>1211</v>
      </c>
    </row>
    <row r="10247" spans="1:20" s="1358" customFormat="1" ht="17.399999999999999">
      <c r="A10247" s="549"/>
      <c r="B10247" s="560"/>
      <c r="C10247" s="549"/>
      <c r="D10247" s="549"/>
      <c r="E10247" s="549"/>
      <c r="F10247" s="549"/>
      <c r="G10247" s="549"/>
      <c r="H10247" s="650"/>
      <c r="I10247" s="560"/>
      <c r="J10247" s="710"/>
      <c r="K10247" s="648"/>
      <c r="L10247" s="765"/>
      <c r="M10247" s="549"/>
      <c r="N10247" s="549"/>
      <c r="O10247" s="549"/>
      <c r="P10247" s="549"/>
    </row>
    <row r="10248" spans="1:20" ht="17.399999999999999">
      <c r="A10248" s="547" t="s">
        <v>83</v>
      </c>
      <c r="B10248" s="547" t="s">
        <v>1177</v>
      </c>
      <c r="C10248" s="547" t="s">
        <v>19</v>
      </c>
      <c r="D10248" s="547" t="s">
        <v>20</v>
      </c>
      <c r="E10248" s="547" t="s">
        <v>47</v>
      </c>
      <c r="F10248" s="549">
        <v>12</v>
      </c>
      <c r="G10248" s="549" t="s">
        <v>21</v>
      </c>
      <c r="H10248" s="599" t="s">
        <v>134</v>
      </c>
      <c r="I10248" s="560">
        <v>12.2</v>
      </c>
      <c r="J10248" s="567">
        <v>10.4</v>
      </c>
      <c r="K10248" s="648">
        <v>15</v>
      </c>
      <c r="L10248" s="552">
        <f>(I10248*J10248*K10248/1000)</f>
        <v>1.9031999999999998</v>
      </c>
      <c r="M10248" s="549"/>
      <c r="N10248" s="549"/>
      <c r="O10248" s="549"/>
      <c r="P10248" s="549"/>
      <c r="Q10248" s="1358" t="s">
        <v>1253</v>
      </c>
    </row>
    <row r="10249" spans="1:20" ht="17.399999999999999">
      <c r="A10249" s="549"/>
      <c r="B10249" s="549" t="s">
        <v>1178</v>
      </c>
      <c r="C10249" s="560"/>
      <c r="D10249" s="549"/>
      <c r="E10249" s="549"/>
      <c r="F10249" s="549"/>
      <c r="G10249" s="549"/>
      <c r="H10249" s="549"/>
      <c r="I10249" s="560"/>
      <c r="J10249" s="567"/>
      <c r="K10249" s="648">
        <f t="shared" ref="K10249" si="2149">SUM(K10248)</f>
        <v>15</v>
      </c>
      <c r="L10249" s="567">
        <f>SUM(L10248)</f>
        <v>1.9031999999999998</v>
      </c>
      <c r="M10249" s="549"/>
      <c r="N10249" s="549"/>
      <c r="O10249" s="549"/>
      <c r="P10249" s="549" t="s">
        <v>1212</v>
      </c>
    </row>
    <row r="10250" spans="1:20" s="1358" customFormat="1" ht="17.399999999999999">
      <c r="A10250" s="549"/>
      <c r="B10250" s="560"/>
      <c r="C10250" s="549"/>
      <c r="D10250" s="549"/>
      <c r="E10250" s="549"/>
      <c r="F10250" s="549"/>
      <c r="G10250" s="549"/>
      <c r="H10250" s="650"/>
      <c r="I10250" s="560"/>
      <c r="J10250" s="710"/>
      <c r="K10250" s="766">
        <f>+K10230+K10233+K10236+K10241+K10246+K10249</f>
        <v>172</v>
      </c>
      <c r="L10250" s="765">
        <f>+L10230+L10233+L10236+L10241+L10246+L10249</f>
        <v>21.992395999999999</v>
      </c>
      <c r="M10250" s="766">
        <f>+M10230+M10233+M10236+M10241+M10246+M10249</f>
        <v>8</v>
      </c>
      <c r="N10250" s="765">
        <f>+N10230+N10233+N10236+N10241+N10246+N10249</f>
        <v>0.97927199999999992</v>
      </c>
      <c r="O10250" s="549"/>
      <c r="P10250" s="549"/>
    </row>
    <row r="10251" spans="1:20" s="1358" customFormat="1" ht="17.399999999999999">
      <c r="A10251" s="549"/>
      <c r="B10251" s="560"/>
      <c r="C10251" s="549"/>
      <c r="D10251" s="549"/>
      <c r="E10251" s="549"/>
      <c r="F10251" s="549"/>
      <c r="G10251" s="549"/>
      <c r="H10251" s="650"/>
      <c r="I10251" s="560"/>
      <c r="J10251" s="710"/>
      <c r="K10251" s="648"/>
      <c r="L10251" s="765"/>
      <c r="M10251" s="549"/>
      <c r="N10251" s="549"/>
      <c r="O10251" s="549"/>
      <c r="P10251" s="549"/>
    </row>
    <row r="10252" spans="1:20" s="1358" customFormat="1" ht="17.399999999999999">
      <c r="A10252" s="549"/>
      <c r="B10252" s="560"/>
      <c r="C10252" s="549"/>
      <c r="D10252" s="549"/>
      <c r="E10252" s="549"/>
      <c r="F10252" s="549"/>
      <c r="G10252" s="549"/>
      <c r="H10252" s="650"/>
      <c r="I10252" s="560"/>
      <c r="J10252" s="710"/>
      <c r="K10252" s="648"/>
      <c r="L10252" s="765"/>
      <c r="M10252" s="549"/>
      <c r="N10252" s="549"/>
      <c r="O10252" s="549"/>
      <c r="P10252" s="549"/>
    </row>
    <row r="10253" spans="1:20" s="1358" customFormat="1" ht="17.399999999999999">
      <c r="A10253" s="547" t="s">
        <v>411</v>
      </c>
      <c r="B10253" s="547" t="s">
        <v>857</v>
      </c>
      <c r="C10253" s="547" t="s">
        <v>19</v>
      </c>
      <c r="D10253" s="547" t="s">
        <v>20</v>
      </c>
      <c r="E10253" s="1360" t="s">
        <v>51</v>
      </c>
      <c r="F10253" s="549">
        <v>12</v>
      </c>
      <c r="G10253" s="549" t="s">
        <v>21</v>
      </c>
      <c r="H10253" s="599" t="s">
        <v>119</v>
      </c>
      <c r="I10253" s="560">
        <v>10.7</v>
      </c>
      <c r="J10253" s="710">
        <v>12</v>
      </c>
      <c r="K10253" s="648">
        <v>8</v>
      </c>
      <c r="L10253" s="552">
        <f>(I10253*J10253*K10253/1000)</f>
        <v>1.0271999999999999</v>
      </c>
      <c r="M10253" s="549"/>
      <c r="N10253" s="549"/>
      <c r="O10253" s="549"/>
      <c r="P10253" s="549"/>
      <c r="R10253" s="549"/>
      <c r="T10253" s="1358" t="s">
        <v>1253</v>
      </c>
    </row>
    <row r="10254" spans="1:20" s="1358" customFormat="1" ht="17.399999999999999">
      <c r="A10254" s="549"/>
      <c r="B10254" s="650" t="s">
        <v>84</v>
      </c>
      <c r="C10254" s="549"/>
      <c r="D10254" s="549"/>
      <c r="E10254" s="549"/>
      <c r="F10254" s="549"/>
      <c r="G10254" s="549"/>
      <c r="H10254" s="650" t="s">
        <v>51</v>
      </c>
      <c r="I10254" s="560"/>
      <c r="J10254" s="710"/>
      <c r="K10254" s="648">
        <f t="shared" ref="K10254:L10254" si="2150">SUM(K10253)</f>
        <v>8</v>
      </c>
      <c r="L10254" s="765">
        <f t="shared" si="2150"/>
        <v>1.0271999999999999</v>
      </c>
      <c r="M10254" s="549"/>
      <c r="N10254" s="549"/>
      <c r="O10254" s="549"/>
      <c r="P10254" s="549" t="s">
        <v>1213</v>
      </c>
      <c r="R10254" s="549"/>
    </row>
    <row r="10255" spans="1:20" s="1358" customFormat="1" ht="17.399999999999999">
      <c r="A10255" s="549"/>
      <c r="B10255" s="549"/>
      <c r="C10255" s="549"/>
      <c r="D10255" s="549"/>
      <c r="E10255" s="549"/>
      <c r="F10255" s="549"/>
      <c r="G10255" s="549"/>
      <c r="H10255" s="549"/>
      <c r="I10255" s="558"/>
      <c r="J10255" s="567"/>
      <c r="K10255" s="648"/>
      <c r="L10255" s="552"/>
      <c r="M10255" s="549"/>
      <c r="N10255" s="549"/>
      <c r="O10255" s="549"/>
      <c r="P10255" s="549"/>
      <c r="R10255" s="549"/>
    </row>
    <row r="10256" spans="1:20" ht="17.399999999999999">
      <c r="A10256" s="547" t="s">
        <v>395</v>
      </c>
      <c r="B10256" s="547" t="s">
        <v>1038</v>
      </c>
      <c r="C10256" s="547" t="s">
        <v>19</v>
      </c>
      <c r="D10256" s="547" t="s">
        <v>20</v>
      </c>
      <c r="E10256" s="547" t="s">
        <v>359</v>
      </c>
      <c r="F10256" s="549">
        <v>12</v>
      </c>
      <c r="G10256" s="549" t="s">
        <v>21</v>
      </c>
      <c r="H10256" s="599" t="s">
        <v>119</v>
      </c>
      <c r="I10256" s="560">
        <v>10.73</v>
      </c>
      <c r="J10256" s="567">
        <v>7</v>
      </c>
      <c r="K10256" s="648">
        <v>32</v>
      </c>
      <c r="L10256" s="552">
        <f t="shared" ref="L10256:L10257" si="2151">(I10256*J10256*K10256/1000)</f>
        <v>2.4035199999999999</v>
      </c>
      <c r="M10256" s="549">
        <f>3+3+1+1</f>
        <v>8</v>
      </c>
      <c r="N10256" s="567">
        <f>J10256*M10256*I10256/1000</f>
        <v>0.60087999999999997</v>
      </c>
      <c r="O10256" s="549"/>
      <c r="P10256" s="549"/>
      <c r="R10256" s="549">
        <f>7+3+6</f>
        <v>16</v>
      </c>
      <c r="S10256" s="831">
        <f t="shared" ref="S10256:S10257" si="2152">R10256-M10256</f>
        <v>8</v>
      </c>
      <c r="T10256" s="1358" t="s">
        <v>1253</v>
      </c>
    </row>
    <row r="10257" spans="1:20" ht="17.399999999999999">
      <c r="A10257" s="549"/>
      <c r="B10257" s="560" t="s">
        <v>277</v>
      </c>
      <c r="C10257" s="549"/>
      <c r="D10257" s="549"/>
      <c r="E10257" s="549"/>
      <c r="F10257" s="549"/>
      <c r="G10257" s="549" t="s">
        <v>21</v>
      </c>
      <c r="H10257" s="549" t="s">
        <v>119</v>
      </c>
      <c r="I10257" s="560">
        <v>10.73</v>
      </c>
      <c r="J10257" s="567">
        <v>12</v>
      </c>
      <c r="K10257" s="648">
        <v>32</v>
      </c>
      <c r="L10257" s="552">
        <f t="shared" si="2151"/>
        <v>4.1203199999999995</v>
      </c>
      <c r="M10257" s="549">
        <f>8+3</f>
        <v>11</v>
      </c>
      <c r="N10257" s="567">
        <f>J10257*M10257*I10257/1000</f>
        <v>1.4163600000000001</v>
      </c>
      <c r="O10257" s="549"/>
      <c r="P10257" s="549"/>
      <c r="R10257" s="549">
        <f>3+8</f>
        <v>11</v>
      </c>
      <c r="S10257" s="831">
        <f t="shared" si="2152"/>
        <v>0</v>
      </c>
    </row>
    <row r="10258" spans="1:20" ht="17.399999999999999">
      <c r="A10258" s="549"/>
      <c r="B10258" s="549"/>
      <c r="C10258" s="549"/>
      <c r="D10258" s="549"/>
      <c r="E10258" s="549"/>
      <c r="F10258" s="549"/>
      <c r="G10258" s="549"/>
      <c r="H10258" s="549"/>
      <c r="I10258" s="560"/>
      <c r="J10258" s="567"/>
      <c r="K10258" s="648">
        <f t="shared" ref="K10258:L10258" si="2153">SUM(K10256:K10257)</f>
        <v>64</v>
      </c>
      <c r="L10258" s="567">
        <f t="shared" si="2153"/>
        <v>6.5238399999999999</v>
      </c>
      <c r="M10258" s="648">
        <f>SUM(M10256:M10257)</f>
        <v>19</v>
      </c>
      <c r="N10258" s="567">
        <f>SUM(N10256:N10257)</f>
        <v>2.0172400000000001</v>
      </c>
      <c r="O10258" s="549"/>
      <c r="P10258" s="549" t="s">
        <v>1214</v>
      </c>
      <c r="R10258" s="648">
        <f>SUM(R10256:R10257)</f>
        <v>27</v>
      </c>
    </row>
    <row r="10259" spans="1:20" ht="17.399999999999999">
      <c r="A10259" s="549"/>
      <c r="B10259" s="549"/>
      <c r="C10259" s="549"/>
      <c r="D10259" s="549"/>
      <c r="E10259" s="549"/>
      <c r="F10259" s="549"/>
      <c r="G10259" s="549"/>
      <c r="H10259" s="549"/>
      <c r="I10259" s="560"/>
      <c r="J10259" s="549"/>
      <c r="K10259" s="561"/>
      <c r="L10259" s="560"/>
      <c r="M10259" s="549"/>
      <c r="N10259" s="549"/>
      <c r="O10259" s="549"/>
      <c r="P10259" s="549"/>
      <c r="R10259" s="549"/>
    </row>
    <row r="10260" spans="1:20" ht="17.399999999999999">
      <c r="A10260" s="547" t="s">
        <v>395</v>
      </c>
      <c r="B10260" s="547" t="s">
        <v>1038</v>
      </c>
      <c r="C10260" s="547" t="s">
        <v>19</v>
      </c>
      <c r="D10260" s="547" t="s">
        <v>20</v>
      </c>
      <c r="E10260" s="754" t="s">
        <v>1095</v>
      </c>
      <c r="F10260" s="549">
        <v>12</v>
      </c>
      <c r="G10260" s="549" t="s">
        <v>21</v>
      </c>
      <c r="H10260" s="599" t="s">
        <v>119</v>
      </c>
      <c r="I10260" s="560">
        <v>10.73</v>
      </c>
      <c r="J10260" s="567">
        <v>8</v>
      </c>
      <c r="K10260" s="648">
        <v>12</v>
      </c>
      <c r="L10260" s="552">
        <f t="shared" ref="L10260:L10261" si="2154">(I10260*J10260*K10260/1000)</f>
        <v>1.0300799999999999</v>
      </c>
      <c r="M10260" s="549">
        <f>3+2+2+2+4+1</f>
        <v>14</v>
      </c>
      <c r="N10260" s="567">
        <f>J10260*M10260*I10260/1000</f>
        <v>1.2017599999999999</v>
      </c>
      <c r="O10260" s="549"/>
      <c r="P10260" s="549"/>
      <c r="R10260" s="549">
        <f>2+3+3+2+2</f>
        <v>12</v>
      </c>
      <c r="S10260" s="831">
        <f t="shared" ref="S10260:S10262" si="2155">R10260-M10260</f>
        <v>-2</v>
      </c>
      <c r="T10260" s="1358" t="s">
        <v>1253</v>
      </c>
    </row>
    <row r="10261" spans="1:20" ht="17.399999999999999">
      <c r="A10261" s="549"/>
      <c r="B10261" s="560" t="s">
        <v>277</v>
      </c>
      <c r="C10261" s="549"/>
      <c r="D10261" s="549"/>
      <c r="E10261" s="549"/>
      <c r="F10261" s="549"/>
      <c r="G10261" s="549" t="s">
        <v>21</v>
      </c>
      <c r="H10261" s="549" t="s">
        <v>119</v>
      </c>
      <c r="I10261" s="560">
        <v>10.73</v>
      </c>
      <c r="J10261" s="567">
        <v>12</v>
      </c>
      <c r="K10261" s="648">
        <v>22</v>
      </c>
      <c r="L10261" s="552">
        <f t="shared" si="2154"/>
        <v>2.8327199999999997</v>
      </c>
      <c r="M10261" s="549">
        <v>1</v>
      </c>
      <c r="N10261" s="567">
        <f>J10261*M10261*I10261/1000</f>
        <v>0.12875999999999999</v>
      </c>
      <c r="O10261" s="549"/>
      <c r="P10261" s="549"/>
      <c r="R10261" s="549">
        <f>1+1</f>
        <v>2</v>
      </c>
      <c r="S10261" s="831">
        <f t="shared" si="2155"/>
        <v>1</v>
      </c>
    </row>
    <row r="10262" spans="1:20" ht="17.399999999999999">
      <c r="A10262" s="549"/>
      <c r="B10262" s="549"/>
      <c r="C10262" s="549"/>
      <c r="D10262" s="549"/>
      <c r="E10262" s="549"/>
      <c r="F10262" s="549"/>
      <c r="G10262" s="549"/>
      <c r="H10262" s="549"/>
      <c r="I10262" s="560"/>
      <c r="J10262" s="567"/>
      <c r="K10262" s="648">
        <f t="shared" ref="K10262:M10262" si="2156">SUM(K10260:K10261)</f>
        <v>34</v>
      </c>
      <c r="L10262" s="567">
        <f>SUM(L10260:L10261)</f>
        <v>3.8627999999999996</v>
      </c>
      <c r="M10262" s="648">
        <f t="shared" si="2156"/>
        <v>15</v>
      </c>
      <c r="N10262" s="567">
        <f>SUM(N10260:N10261)</f>
        <v>1.3305199999999999</v>
      </c>
      <c r="O10262" s="549"/>
      <c r="P10262" s="549" t="s">
        <v>1215</v>
      </c>
      <c r="R10262" s="648">
        <f>SUM(R10260:R10261)</f>
        <v>14</v>
      </c>
      <c r="S10262" s="831">
        <f t="shared" si="2155"/>
        <v>-1</v>
      </c>
    </row>
    <row r="10263" spans="1:20" s="1358" customFormat="1" ht="17.399999999999999">
      <c r="A10263" s="549"/>
      <c r="B10263" s="549"/>
      <c r="C10263" s="549"/>
      <c r="D10263" s="549"/>
      <c r="E10263" s="549"/>
      <c r="F10263" s="549"/>
      <c r="G10263" s="549"/>
      <c r="H10263" s="549"/>
      <c r="I10263" s="560"/>
      <c r="J10263" s="567"/>
      <c r="K10263" s="766">
        <f>+K10262+K10258+K10254</f>
        <v>106</v>
      </c>
      <c r="L10263" s="765">
        <f>+L10262+L10258+L10254</f>
        <v>11.41384</v>
      </c>
      <c r="M10263" s="766">
        <f>+M10262+M10258+M10254</f>
        <v>34</v>
      </c>
      <c r="N10263" s="765">
        <f>+N10262+N10258+N10254</f>
        <v>3.3477600000000001</v>
      </c>
      <c r="O10263" s="549"/>
      <c r="P10263" s="549"/>
      <c r="R10263" s="766">
        <f>+R10262+R10258+R10254</f>
        <v>41</v>
      </c>
    </row>
    <row r="10264" spans="1:20" s="1358" customFormat="1" ht="17.399999999999999">
      <c r="A10264" s="549"/>
      <c r="B10264" s="549"/>
      <c r="C10264" s="549"/>
      <c r="D10264" s="549"/>
      <c r="E10264" s="549"/>
      <c r="F10264" s="549"/>
      <c r="G10264" s="549"/>
      <c r="H10264" s="549"/>
      <c r="I10264" s="560"/>
      <c r="J10264" s="567"/>
      <c r="K10264" s="648"/>
      <c r="L10264" s="765"/>
      <c r="M10264" s="549"/>
      <c r="N10264" s="549"/>
      <c r="O10264" s="549"/>
      <c r="P10264" s="549"/>
    </row>
    <row r="10265" spans="1:20" ht="17.399999999999999">
      <c r="A10265" s="549"/>
      <c r="B10265" s="549"/>
      <c r="C10265" s="549"/>
      <c r="D10265" s="549"/>
      <c r="E10265" s="549"/>
      <c r="F10265" s="549"/>
      <c r="G10265" s="549"/>
      <c r="H10265" s="549"/>
      <c r="I10265" s="560"/>
      <c r="J10265" s="549"/>
      <c r="K10265" s="561"/>
      <c r="L10265" s="560"/>
      <c r="M10265" s="549"/>
      <c r="N10265" s="549"/>
      <c r="O10265" s="549"/>
      <c r="P10265" s="549"/>
    </row>
    <row r="10266" spans="1:20" ht="17.399999999999999">
      <c r="A10266" s="547" t="s">
        <v>83</v>
      </c>
      <c r="B10266" s="547" t="s">
        <v>1166</v>
      </c>
      <c r="C10266" s="547" t="s">
        <v>19</v>
      </c>
      <c r="D10266" s="813" t="s">
        <v>854</v>
      </c>
      <c r="E10266" s="780" t="s">
        <v>1167</v>
      </c>
      <c r="F10266" s="549">
        <v>12</v>
      </c>
      <c r="G10266" s="549" t="s">
        <v>21</v>
      </c>
      <c r="H10266" s="599" t="s">
        <v>118</v>
      </c>
      <c r="I10266" s="560">
        <v>9.26</v>
      </c>
      <c r="J10266" s="710">
        <v>9.6</v>
      </c>
      <c r="K10266" s="648">
        <v>9</v>
      </c>
      <c r="L10266" s="552">
        <f>(I10266*J10266*K10266/1000)</f>
        <v>0.800064</v>
      </c>
      <c r="M10266" s="549"/>
      <c r="N10266" s="549"/>
      <c r="O10266" s="549"/>
      <c r="P10266" s="549"/>
      <c r="Q10266" s="1358" t="s">
        <v>1253</v>
      </c>
    </row>
    <row r="10267" spans="1:20" ht="17.399999999999999">
      <c r="A10267" s="549"/>
      <c r="B10267" s="549" t="s">
        <v>84</v>
      </c>
      <c r="C10267" s="549"/>
      <c r="D10267" s="549"/>
      <c r="E10267" s="549"/>
      <c r="F10267" s="549"/>
      <c r="G10267" s="549" t="s">
        <v>21</v>
      </c>
      <c r="H10267" s="549" t="s">
        <v>118</v>
      </c>
      <c r="I10267" s="560">
        <v>9.26</v>
      </c>
      <c r="J10267" s="710">
        <v>11.4</v>
      </c>
      <c r="K10267" s="648">
        <v>10</v>
      </c>
      <c r="L10267" s="552">
        <f>(I10267*J10267*K10267/1000)</f>
        <v>1.0556400000000001</v>
      </c>
      <c r="M10267" s="549"/>
      <c r="N10267" s="549"/>
      <c r="O10267" s="549"/>
      <c r="P10267" s="549"/>
    </row>
    <row r="10268" spans="1:20" ht="17.399999999999999">
      <c r="A10268" s="549"/>
      <c r="B10268" s="549"/>
      <c r="C10268" s="549"/>
      <c r="D10268" s="549"/>
      <c r="E10268" s="549"/>
      <c r="F10268" s="549"/>
      <c r="G10268" s="549"/>
      <c r="H10268" s="650" t="s">
        <v>51</v>
      </c>
      <c r="I10268" s="560"/>
      <c r="J10268" s="710"/>
      <c r="K10268" s="648">
        <f t="shared" ref="K10268:L10268" si="2157">SUM(K10266:K10267)</f>
        <v>19</v>
      </c>
      <c r="L10268" s="765">
        <f t="shared" si="2157"/>
        <v>1.8557040000000002</v>
      </c>
      <c r="M10268" s="549"/>
      <c r="N10268" s="549"/>
      <c r="O10268" s="549"/>
      <c r="P10268" s="549" t="s">
        <v>1250</v>
      </c>
    </row>
    <row r="10269" spans="1:20" ht="17.399999999999999">
      <c r="A10269" s="549"/>
      <c r="B10269" s="549"/>
      <c r="C10269" s="549"/>
      <c r="D10269" s="549"/>
      <c r="E10269" s="549"/>
      <c r="F10269" s="549"/>
      <c r="G10269" s="549"/>
      <c r="H10269" s="549"/>
      <c r="I10269" s="560"/>
      <c r="J10269" s="549"/>
      <c r="K10269" s="561"/>
      <c r="L10269" s="560"/>
      <c r="M10269" s="549"/>
      <c r="N10269" s="549"/>
      <c r="O10269" s="549"/>
      <c r="P10269" s="549"/>
    </row>
    <row r="10270" spans="1:20" ht="17.399999999999999">
      <c r="A10270" s="547" t="s">
        <v>395</v>
      </c>
      <c r="B10270" s="547" t="s">
        <v>1038</v>
      </c>
      <c r="C10270" s="547" t="s">
        <v>19</v>
      </c>
      <c r="D10270" s="547" t="s">
        <v>20</v>
      </c>
      <c r="E10270" s="754" t="s">
        <v>1095</v>
      </c>
      <c r="F10270" s="549">
        <v>12</v>
      </c>
      <c r="G10270" s="549" t="s">
        <v>21</v>
      </c>
      <c r="H10270" s="599" t="s">
        <v>118</v>
      </c>
      <c r="I10270" s="560">
        <v>9.26</v>
      </c>
      <c r="J10270" s="567">
        <v>6</v>
      </c>
      <c r="K10270" s="648">
        <v>3</v>
      </c>
      <c r="L10270" s="552">
        <f>(I10270*J10270*K10270/1000)</f>
        <v>0.16667999999999999</v>
      </c>
      <c r="M10270" s="549">
        <v>3</v>
      </c>
      <c r="N10270" s="567">
        <f t="shared" ref="N10270" si="2158">J10270*M10270*I10270/1000</f>
        <v>0.16667999999999999</v>
      </c>
      <c r="O10270" s="549"/>
      <c r="P10270" s="549"/>
      <c r="R10270" s="549">
        <v>3</v>
      </c>
      <c r="S10270" s="831">
        <f t="shared" ref="S10270" si="2159">R10270-M10270</f>
        <v>0</v>
      </c>
      <c r="T10270" s="1358" t="s">
        <v>1253</v>
      </c>
    </row>
    <row r="10271" spans="1:20" ht="17.399999999999999">
      <c r="A10271" s="549"/>
      <c r="B10271" s="560" t="s">
        <v>277</v>
      </c>
      <c r="C10271" s="549"/>
      <c r="D10271" s="549"/>
      <c r="E10271" s="549"/>
      <c r="F10271" s="549"/>
      <c r="G10271" s="549"/>
      <c r="H10271" s="549" t="s">
        <v>1095</v>
      </c>
      <c r="I10271" s="560"/>
      <c r="J10271" s="567"/>
      <c r="K10271" s="648">
        <f t="shared" ref="K10271:N10271" si="2160">SUM(K10270)</f>
        <v>3</v>
      </c>
      <c r="L10271" s="567">
        <f t="shared" si="2160"/>
        <v>0.16667999999999999</v>
      </c>
      <c r="M10271" s="648">
        <f t="shared" si="2160"/>
        <v>3</v>
      </c>
      <c r="N10271" s="567">
        <f t="shared" si="2160"/>
        <v>0.16667999999999999</v>
      </c>
      <c r="O10271" s="549"/>
      <c r="P10271" s="549"/>
    </row>
    <row r="10272" spans="1:20" ht="17.399999999999999">
      <c r="A10272" s="549"/>
      <c r="B10272" s="549"/>
      <c r="C10272" s="549"/>
      <c r="D10272" s="549"/>
      <c r="E10272" s="549"/>
      <c r="F10272" s="549"/>
      <c r="G10272" s="549"/>
      <c r="H10272" s="549"/>
      <c r="I10272" s="560"/>
      <c r="J10272" s="549"/>
      <c r="K10272" s="561"/>
      <c r="L10272" s="709">
        <f>+L10271+L10268</f>
        <v>2.0223840000000002</v>
      </c>
      <c r="M10272" s="708">
        <f t="shared" ref="M10272:N10272" si="2161">+M10271+M10268</f>
        <v>3</v>
      </c>
      <c r="N10272" s="709">
        <f t="shared" si="2161"/>
        <v>0.16667999999999999</v>
      </c>
      <c r="O10272" s="549"/>
      <c r="P10272" s="549"/>
    </row>
    <row r="10273" spans="1:17" ht="17.399999999999999">
      <c r="A10273" s="549"/>
      <c r="B10273" s="549"/>
      <c r="C10273" s="549"/>
      <c r="D10273" s="549"/>
      <c r="E10273" s="549"/>
      <c r="F10273" s="549"/>
      <c r="G10273" s="549"/>
      <c r="H10273" s="549"/>
      <c r="I10273" s="560"/>
      <c r="J10273" s="549"/>
      <c r="K10273" s="561"/>
      <c r="L10273" s="560"/>
      <c r="M10273" s="549"/>
      <c r="N10273" s="549"/>
      <c r="O10273" s="549"/>
      <c r="P10273" s="549"/>
    </row>
    <row r="10274" spans="1:17" ht="17.399999999999999">
      <c r="A10274" s="549"/>
      <c r="B10274" s="549"/>
      <c r="C10274" s="549"/>
      <c r="D10274" s="549"/>
      <c r="E10274" s="549"/>
      <c r="F10274" s="549"/>
      <c r="G10274" s="549"/>
      <c r="H10274" s="549"/>
      <c r="I10274" s="560"/>
      <c r="J10274" s="549"/>
      <c r="K10274" s="561"/>
      <c r="L10274" s="560"/>
      <c r="M10274" s="549"/>
      <c r="N10274" s="549"/>
      <c r="O10274" s="549"/>
      <c r="P10274" s="549"/>
    </row>
    <row r="10275" spans="1:17" ht="17.399999999999999">
      <c r="A10275" s="549"/>
      <c r="B10275" s="549"/>
      <c r="C10275" s="549"/>
      <c r="D10275" s="549"/>
      <c r="E10275" s="549"/>
      <c r="F10275" s="549"/>
      <c r="G10275" s="549"/>
      <c r="H10275" s="549"/>
      <c r="I10275" s="560"/>
      <c r="J10275" s="549"/>
      <c r="K10275" s="561"/>
      <c r="L10275" s="560"/>
      <c r="M10275" s="549"/>
      <c r="N10275" s="549"/>
      <c r="O10275" s="549"/>
      <c r="P10275" s="549"/>
    </row>
    <row r="10276" spans="1:17" ht="17.399999999999999">
      <c r="A10276" s="549"/>
      <c r="B10276" s="549"/>
      <c r="C10276" s="549"/>
      <c r="D10276" s="549"/>
      <c r="E10276" s="549"/>
      <c r="F10276" s="549"/>
      <c r="G10276" s="549"/>
      <c r="H10276" s="549"/>
      <c r="I10276" s="560"/>
      <c r="J10276" s="549"/>
      <c r="K10276" s="561"/>
      <c r="L10276" s="560"/>
      <c r="M10276" s="549"/>
      <c r="N10276" s="549"/>
      <c r="O10276" s="549"/>
      <c r="P10276" s="549"/>
    </row>
    <row r="10277" spans="1:17" ht="17.399999999999999">
      <c r="A10277" s="547" t="s">
        <v>395</v>
      </c>
      <c r="B10277" s="547" t="s">
        <v>1122</v>
      </c>
      <c r="C10277" s="547" t="s">
        <v>19</v>
      </c>
      <c r="D10277" s="813" t="s">
        <v>582</v>
      </c>
      <c r="E10277" s="547" t="s">
        <v>270</v>
      </c>
      <c r="F10277" s="549">
        <v>8.5</v>
      </c>
      <c r="G10277" s="549" t="s">
        <v>61</v>
      </c>
      <c r="H10277" s="599" t="s">
        <v>118</v>
      </c>
      <c r="I10277" s="558">
        <v>9.26</v>
      </c>
      <c r="J10277" s="567">
        <v>10</v>
      </c>
      <c r="K10277" s="648">
        <v>1</v>
      </c>
      <c r="L10277" s="552">
        <f>(I10277*J10277*K10277/1000)</f>
        <v>9.2599999999999988E-2</v>
      </c>
      <c r="M10277" s="549"/>
      <c r="N10277" s="549"/>
      <c r="O10277" s="549"/>
      <c r="P10277" s="549"/>
      <c r="Q10277" s="1358" t="s">
        <v>1254</v>
      </c>
    </row>
    <row r="10278" spans="1:17" ht="17.399999999999999">
      <c r="A10278" s="549"/>
      <c r="B10278" s="549" t="s">
        <v>271</v>
      </c>
      <c r="C10278" s="549"/>
      <c r="D10278" s="549"/>
      <c r="E10278" s="549"/>
      <c r="F10278" s="549"/>
      <c r="G10278" s="549"/>
      <c r="H10278" s="549"/>
      <c r="I10278" s="558"/>
      <c r="J10278" s="710"/>
      <c r="K10278" s="648">
        <f>SUM(K10277:K10277)</f>
        <v>1</v>
      </c>
      <c r="L10278" s="552">
        <f>SUM(L10277:L10277)</f>
        <v>9.2599999999999988E-2</v>
      </c>
      <c r="M10278" s="549"/>
      <c r="N10278" s="549"/>
      <c r="O10278" s="549"/>
      <c r="P10278" s="549" t="s">
        <v>1216</v>
      </c>
    </row>
    <row r="10279" spans="1:17" s="1358" customFormat="1" ht="17.399999999999999">
      <c r="A10279" s="549"/>
      <c r="B10279" s="549"/>
      <c r="C10279" s="549"/>
      <c r="D10279" s="549"/>
      <c r="E10279" s="549"/>
      <c r="F10279" s="549"/>
      <c r="G10279" s="549"/>
      <c r="H10279" s="549"/>
      <c r="I10279" s="558"/>
      <c r="J10279" s="710"/>
      <c r="K10279" s="648"/>
      <c r="L10279" s="552"/>
      <c r="M10279" s="549"/>
      <c r="N10279" s="549"/>
      <c r="O10279" s="549"/>
      <c r="P10279" s="549"/>
    </row>
    <row r="10280" spans="1:17" ht="17.399999999999999">
      <c r="A10280" s="549"/>
      <c r="B10280" s="549"/>
      <c r="C10280" s="549"/>
      <c r="D10280" s="549"/>
      <c r="E10280" s="549"/>
      <c r="F10280" s="549"/>
      <c r="G10280" s="549"/>
      <c r="H10280" s="549"/>
      <c r="I10280" s="558"/>
      <c r="J10280" s="567"/>
      <c r="K10280" s="648"/>
      <c r="L10280" s="567"/>
      <c r="M10280" s="549"/>
      <c r="N10280" s="549"/>
      <c r="O10280" s="549"/>
      <c r="P10280" s="549"/>
    </row>
    <row r="10281" spans="1:17" ht="17.399999999999999">
      <c r="A10281" s="547" t="s">
        <v>395</v>
      </c>
      <c r="B10281" s="547" t="s">
        <v>1125</v>
      </c>
      <c r="C10281" s="547" t="s">
        <v>19</v>
      </c>
      <c r="D10281" s="813" t="s">
        <v>582</v>
      </c>
      <c r="E10281" s="547" t="s">
        <v>270</v>
      </c>
      <c r="F10281" s="549">
        <v>8.5</v>
      </c>
      <c r="G10281" s="549" t="s">
        <v>61</v>
      </c>
      <c r="H10281" s="599" t="s">
        <v>134</v>
      </c>
      <c r="I10281" s="558">
        <v>12.18</v>
      </c>
      <c r="J10281" s="567">
        <v>11.8</v>
      </c>
      <c r="K10281" s="648">
        <v>1</v>
      </c>
      <c r="L10281" s="552">
        <f>(I10281*J10281*K10281/1000)</f>
        <v>0.14372400000000002</v>
      </c>
      <c r="M10281" s="549"/>
      <c r="N10281" s="549"/>
      <c r="O10281" s="549"/>
      <c r="P10281" s="549"/>
      <c r="Q10281" s="1358" t="s">
        <v>1254</v>
      </c>
    </row>
    <row r="10282" spans="1:17" ht="17.399999999999999">
      <c r="A10282" s="549"/>
      <c r="B10282" s="549" t="s">
        <v>271</v>
      </c>
      <c r="C10282" s="549"/>
      <c r="D10282" s="549"/>
      <c r="E10282" s="549"/>
      <c r="F10282" s="549"/>
      <c r="G10282" s="549"/>
      <c r="H10282" s="549"/>
      <c r="I10282" s="558"/>
      <c r="J10282" s="710"/>
      <c r="K10282" s="648">
        <f>SUM(K10281:K10281)</f>
        <v>1</v>
      </c>
      <c r="L10282" s="552">
        <f>SUM(L10281:L10281)</f>
        <v>0.14372400000000002</v>
      </c>
      <c r="M10282" s="549"/>
      <c r="N10282" s="549"/>
      <c r="O10282" s="549"/>
      <c r="P10282" s="549" t="s">
        <v>1217</v>
      </c>
    </row>
    <row r="10283" spans="1:17" ht="17.399999999999999">
      <c r="A10283" s="549"/>
      <c r="B10283" s="549"/>
      <c r="C10283" s="549"/>
      <c r="D10283" s="549"/>
      <c r="E10283" s="549"/>
      <c r="F10283" s="549"/>
      <c r="G10283" s="549"/>
      <c r="H10283" s="549"/>
      <c r="I10283" s="560"/>
      <c r="J10283" s="549"/>
      <c r="K10283" s="561"/>
      <c r="L10283" s="560"/>
      <c r="M10283" s="549"/>
      <c r="N10283" s="549"/>
      <c r="O10283" s="549"/>
      <c r="P10283" s="549"/>
    </row>
    <row r="10284" spans="1:17" ht="17.399999999999999">
      <c r="A10284" s="547" t="s">
        <v>395</v>
      </c>
      <c r="B10284" s="547" t="s">
        <v>1181</v>
      </c>
      <c r="C10284" s="547" t="s">
        <v>19</v>
      </c>
      <c r="D10284" s="813" t="s">
        <v>582</v>
      </c>
      <c r="E10284" s="547" t="s">
        <v>270</v>
      </c>
      <c r="F10284" s="549">
        <v>8.5</v>
      </c>
      <c r="G10284" s="549" t="s">
        <v>61</v>
      </c>
      <c r="H10284" s="599" t="s">
        <v>134</v>
      </c>
      <c r="I10284" s="558">
        <v>12.18</v>
      </c>
      <c r="J10284" s="567">
        <v>11.8</v>
      </c>
      <c r="K10284" s="648">
        <v>10</v>
      </c>
      <c r="L10284" s="552">
        <f>(I10284*J10284*K10284/1000)</f>
        <v>1.4372400000000003</v>
      </c>
      <c r="M10284" s="549"/>
      <c r="N10284" s="549"/>
      <c r="O10284" s="549"/>
      <c r="P10284" s="549"/>
      <c r="Q10284" s="1358" t="s">
        <v>1254</v>
      </c>
    </row>
    <row r="10285" spans="1:17" ht="17.399999999999999">
      <c r="A10285" s="549"/>
      <c r="B10285" s="549" t="s">
        <v>271</v>
      </c>
      <c r="C10285" s="549"/>
      <c r="D10285" s="549"/>
      <c r="E10285" s="549"/>
      <c r="F10285" s="549"/>
      <c r="G10285" s="549"/>
      <c r="H10285" s="549"/>
      <c r="I10285" s="558"/>
      <c r="J10285" s="710"/>
      <c r="K10285" s="648">
        <f>SUM(K10284:K10284)</f>
        <v>10</v>
      </c>
      <c r="L10285" s="552">
        <f>SUM(L10284:L10284)</f>
        <v>1.4372400000000003</v>
      </c>
      <c r="M10285" s="549"/>
      <c r="N10285" s="549"/>
      <c r="O10285" s="549"/>
      <c r="P10285" s="549" t="s">
        <v>1217</v>
      </c>
    </row>
    <row r="10286" spans="1:17" s="1358" customFormat="1" ht="17.399999999999999">
      <c r="A10286" s="549"/>
      <c r="B10286" s="549"/>
      <c r="C10286" s="549"/>
      <c r="D10286" s="549"/>
      <c r="E10286" s="549"/>
      <c r="F10286" s="549"/>
      <c r="G10286" s="549"/>
      <c r="H10286" s="549"/>
      <c r="I10286" s="558"/>
      <c r="J10286" s="710"/>
      <c r="K10286" s="648"/>
      <c r="L10286" s="552">
        <f>+L10285+L10282</f>
        <v>1.5809640000000003</v>
      </c>
      <c r="M10286" s="549"/>
      <c r="N10286" s="549"/>
      <c r="O10286" s="549"/>
      <c r="P10286" s="549"/>
    </row>
    <row r="10287" spans="1:17" ht="17.399999999999999">
      <c r="A10287" s="549"/>
      <c r="B10287" s="549"/>
      <c r="C10287" s="549"/>
      <c r="D10287" s="549"/>
      <c r="E10287" s="549"/>
      <c r="F10287" s="549"/>
      <c r="G10287" s="549"/>
      <c r="H10287" s="549"/>
      <c r="I10287" s="560"/>
      <c r="J10287" s="549"/>
      <c r="K10287" s="561"/>
      <c r="L10287" s="560"/>
      <c r="M10287" s="549"/>
      <c r="N10287" s="549"/>
      <c r="O10287" s="549"/>
      <c r="P10287" s="549"/>
    </row>
    <row r="10288" spans="1:17" ht="17.399999999999999">
      <c r="A10288" s="547" t="s">
        <v>395</v>
      </c>
      <c r="B10288" s="852" t="s">
        <v>1180</v>
      </c>
      <c r="C10288" s="547" t="s">
        <v>19</v>
      </c>
      <c r="D10288" s="813" t="s">
        <v>582</v>
      </c>
      <c r="E10288" s="547" t="s">
        <v>270</v>
      </c>
      <c r="F10288" s="549">
        <v>8.5</v>
      </c>
      <c r="G10288" s="549" t="s">
        <v>61</v>
      </c>
      <c r="H10288" s="599" t="s">
        <v>203</v>
      </c>
      <c r="I10288" s="558">
        <v>17.829999999999998</v>
      </c>
      <c r="J10288" s="647">
        <v>11</v>
      </c>
      <c r="K10288" s="648">
        <v>5</v>
      </c>
      <c r="L10288" s="552">
        <f>(I10288*J10288*K10288/1000)</f>
        <v>0.98065000000000002</v>
      </c>
      <c r="M10288" s="549"/>
      <c r="N10288" s="549"/>
      <c r="O10288" s="549"/>
      <c r="P10288" s="549"/>
      <c r="Q10288" s="1358" t="s">
        <v>1254</v>
      </c>
    </row>
    <row r="10289" spans="1:17" ht="17.399999999999999">
      <c r="A10289" s="549"/>
      <c r="B10289" s="549" t="s">
        <v>271</v>
      </c>
      <c r="C10289" s="549"/>
      <c r="D10289" s="549"/>
      <c r="E10289" s="549"/>
      <c r="F10289" s="549"/>
      <c r="G10289" s="549"/>
      <c r="H10289" s="549"/>
      <c r="I10289" s="558"/>
      <c r="J10289" s="710"/>
      <c r="K10289" s="648">
        <f>SUM(K10288:K10288)</f>
        <v>5</v>
      </c>
      <c r="L10289" s="552">
        <f>SUM(L10288:L10288)</f>
        <v>0.98065000000000002</v>
      </c>
      <c r="M10289" s="549"/>
      <c r="N10289" s="549"/>
      <c r="O10289" s="549"/>
      <c r="P10289" s="549" t="s">
        <v>1218</v>
      </c>
    </row>
    <row r="10290" spans="1:17" ht="17.399999999999999">
      <c r="A10290" s="549"/>
      <c r="B10290" s="549"/>
      <c r="C10290" s="549"/>
      <c r="D10290" s="549"/>
      <c r="E10290" s="549"/>
      <c r="F10290" s="549"/>
      <c r="G10290" s="549"/>
      <c r="H10290" s="549"/>
      <c r="I10290" s="558"/>
      <c r="J10290" s="567"/>
      <c r="K10290" s="648"/>
      <c r="L10290" s="567"/>
      <c r="M10290" s="549"/>
      <c r="N10290" s="549"/>
      <c r="O10290" s="549"/>
      <c r="P10290" s="549"/>
    </row>
    <row r="10291" spans="1:17" s="1358" customFormat="1" ht="17.399999999999999">
      <c r="A10291" s="547" t="s">
        <v>395</v>
      </c>
      <c r="B10291" s="852" t="s">
        <v>1125</v>
      </c>
      <c r="C10291" s="547" t="s">
        <v>19</v>
      </c>
      <c r="D10291" s="813" t="s">
        <v>582</v>
      </c>
      <c r="E10291" s="547" t="s">
        <v>270</v>
      </c>
      <c r="F10291" s="549">
        <v>8.5</v>
      </c>
      <c r="G10291" s="549" t="s">
        <v>61</v>
      </c>
      <c r="H10291" s="599" t="s">
        <v>203</v>
      </c>
      <c r="I10291" s="558">
        <v>17.829999999999998</v>
      </c>
      <c r="J10291" s="647">
        <v>11</v>
      </c>
      <c r="K10291" s="648">
        <v>3</v>
      </c>
      <c r="L10291" s="552">
        <f>(I10291*J10291*K10291/1000)</f>
        <v>0.58838999999999997</v>
      </c>
      <c r="M10291" s="549"/>
      <c r="N10291" s="549"/>
      <c r="O10291" s="549"/>
      <c r="P10291" s="549"/>
      <c r="Q10291" s="1358" t="s">
        <v>1254</v>
      </c>
    </row>
    <row r="10292" spans="1:17" s="1358" customFormat="1" ht="17.399999999999999">
      <c r="A10292" s="549"/>
      <c r="B10292" s="549" t="s">
        <v>271</v>
      </c>
      <c r="C10292" s="549"/>
      <c r="D10292" s="549"/>
      <c r="E10292" s="549"/>
      <c r="F10292" s="549"/>
      <c r="G10292" s="549"/>
      <c r="H10292" s="549"/>
      <c r="I10292" s="558"/>
      <c r="J10292" s="710"/>
      <c r="K10292" s="648">
        <f>SUM(K10291:K10291)</f>
        <v>3</v>
      </c>
      <c r="L10292" s="552">
        <f>SUM(L10291:L10291)</f>
        <v>0.58838999999999997</v>
      </c>
      <c r="M10292" s="549"/>
      <c r="N10292" s="549"/>
      <c r="O10292" s="549"/>
      <c r="P10292" s="549" t="s">
        <v>1218</v>
      </c>
    </row>
    <row r="10293" spans="1:17" ht="17.399999999999999">
      <c r="A10293" s="549"/>
      <c r="B10293" s="549"/>
      <c r="C10293" s="549"/>
      <c r="D10293" s="549"/>
      <c r="E10293" s="549"/>
      <c r="F10293" s="549"/>
      <c r="G10293" s="549"/>
      <c r="H10293" s="549"/>
      <c r="I10293" s="560"/>
      <c r="J10293" s="549"/>
      <c r="K10293" s="561"/>
      <c r="L10293" s="560"/>
      <c r="M10293" s="549"/>
      <c r="N10293" s="549"/>
      <c r="O10293" s="549"/>
      <c r="P10293" s="549"/>
    </row>
    <row r="10294" spans="1:17" ht="17.399999999999999">
      <c r="A10294" s="547" t="s">
        <v>395</v>
      </c>
      <c r="B10294" s="852" t="s">
        <v>1181</v>
      </c>
      <c r="C10294" s="547" t="s">
        <v>19</v>
      </c>
      <c r="D10294" s="813" t="s">
        <v>582</v>
      </c>
      <c r="E10294" s="547" t="s">
        <v>270</v>
      </c>
      <c r="F10294" s="549">
        <v>8.5</v>
      </c>
      <c r="G10294" s="549" t="s">
        <v>61</v>
      </c>
      <c r="H10294" s="599" t="s">
        <v>203</v>
      </c>
      <c r="I10294" s="558">
        <v>17.829999999999998</v>
      </c>
      <c r="J10294" s="647">
        <v>11</v>
      </c>
      <c r="K10294" s="648">
        <v>2</v>
      </c>
      <c r="L10294" s="552">
        <f>(I10294*J10294*K10294/1000)</f>
        <v>0.39226</v>
      </c>
      <c r="M10294" s="549"/>
      <c r="N10294" s="549"/>
      <c r="O10294" s="549"/>
      <c r="P10294" s="549"/>
      <c r="Q10294" s="1358" t="s">
        <v>1254</v>
      </c>
    </row>
    <row r="10295" spans="1:17" ht="17.399999999999999">
      <c r="A10295" s="549"/>
      <c r="B10295" s="549" t="s">
        <v>271</v>
      </c>
      <c r="C10295" s="549"/>
      <c r="D10295" s="549"/>
      <c r="E10295" s="549"/>
      <c r="F10295" s="549"/>
      <c r="G10295" s="549"/>
      <c r="H10295" s="549"/>
      <c r="I10295" s="558"/>
      <c r="J10295" s="710"/>
      <c r="K10295" s="648">
        <f>SUM(K10294:K10294)</f>
        <v>2</v>
      </c>
      <c r="L10295" s="552">
        <f>SUM(L10294:L10294)</f>
        <v>0.39226</v>
      </c>
      <c r="M10295" s="549"/>
      <c r="N10295" s="549"/>
      <c r="O10295" s="549"/>
      <c r="P10295" s="549" t="s">
        <v>1218</v>
      </c>
    </row>
    <row r="10296" spans="1:17" s="1358" customFormat="1" ht="17.399999999999999">
      <c r="A10296" s="549"/>
      <c r="B10296" s="549"/>
      <c r="C10296" s="549"/>
      <c r="D10296" s="549"/>
      <c r="E10296" s="549"/>
      <c r="F10296" s="549"/>
      <c r="G10296" s="549"/>
      <c r="H10296" s="549"/>
      <c r="I10296" s="558"/>
      <c r="J10296" s="710"/>
      <c r="K10296" s="648"/>
      <c r="L10296" s="552">
        <f>+L10295+L10292+L10289</f>
        <v>1.9613</v>
      </c>
      <c r="M10296" s="549"/>
      <c r="N10296" s="549"/>
      <c r="O10296" s="549"/>
      <c r="P10296" s="549"/>
    </row>
    <row r="10297" spans="1:17" s="1358" customFormat="1" ht="17.399999999999999">
      <c r="A10297" s="549"/>
      <c r="B10297" s="549"/>
      <c r="C10297" s="549"/>
      <c r="D10297" s="549"/>
      <c r="E10297" s="549"/>
      <c r="F10297" s="549"/>
      <c r="G10297" s="549"/>
      <c r="H10297" s="549"/>
      <c r="I10297" s="558"/>
      <c r="J10297" s="710"/>
      <c r="K10297" s="648"/>
      <c r="L10297" s="552"/>
      <c r="M10297" s="549"/>
      <c r="N10297" s="549"/>
      <c r="O10297" s="549"/>
      <c r="P10297" s="549"/>
    </row>
    <row r="10298" spans="1:17" s="1358" customFormat="1" ht="17.399999999999999">
      <c r="A10298" s="549"/>
      <c r="B10298" s="549"/>
      <c r="C10298" s="549"/>
      <c r="D10298" s="549"/>
      <c r="E10298" s="549"/>
      <c r="F10298" s="549"/>
      <c r="G10298" s="549"/>
      <c r="H10298" s="549"/>
      <c r="I10298" s="558"/>
      <c r="J10298" s="710"/>
      <c r="K10298" s="648"/>
      <c r="L10298" s="552">
        <f>+L10088+L10091+L10094+L10055+L10062+L10067+L10074+L10077+L10081+L10084+L10018+L10027+L10033+L10039+L10049+L10120+L10123+L10128+L10132+L10136+L10107+L10111+L10100+L10187+L10193+L10199+L10202+L10164+L10168+L10173+L10176+L10146+L10149+L10152+L10156+L10210+L10213+L10219+L10222+L10225+L10230+L10233+L10236+L10241+L10246+L10249+L10254+L10258+L10262+L10268+L10271+L10278+L10282+L10285+L10289+L10292+L10295</f>
        <v>606.19597649999957</v>
      </c>
      <c r="M10298" s="549"/>
      <c r="N10298" s="552">
        <f>+N10088+N10091+N10094+N10055+N10062+N10067+N10074+N10077+N10081+N10084+N10018+N10027+N10033+N10039+N10049+N10120+N10123+N10128+N10132+N10136+N10107+N10111+N10100+N10187+N10193+N10199+N10202+N10164+N10168+N10173+N10176+N10146+N10149+N10152+N10156+N10210+N10213+N10219+N10222+N10225+N10230+N10233+N10236+N10241+N10246+N10249+N10254+N10258+N10262+N10268+N10271+N10278+N10282+N10285+N10289+N10292+N10295</f>
        <v>14.103051999999998</v>
      </c>
      <c r="O10298" s="567"/>
      <c r="P10298" s="549"/>
    </row>
    <row r="10299" spans="1:17" s="1358" customFormat="1" ht="17.399999999999999">
      <c r="A10299" s="549"/>
      <c r="B10299" s="549"/>
      <c r="C10299" s="549"/>
      <c r="D10299" s="549"/>
      <c r="E10299" s="549"/>
      <c r="F10299" s="549"/>
      <c r="G10299" s="549"/>
      <c r="H10299" s="549"/>
      <c r="I10299" s="558"/>
      <c r="J10299" s="710"/>
      <c r="K10299" s="648"/>
      <c r="L10299" s="552"/>
      <c r="M10299" s="549"/>
      <c r="N10299" s="549"/>
      <c r="O10299" s="549"/>
      <c r="P10299" s="549"/>
    </row>
    <row r="10300" spans="1:17" ht="17.399999999999999">
      <c r="A10300" s="549"/>
      <c r="B10300" s="549"/>
      <c r="C10300" s="549"/>
      <c r="D10300" s="549"/>
      <c r="E10300" s="549"/>
      <c r="F10300" s="549"/>
      <c r="G10300" s="549"/>
      <c r="H10300" s="549"/>
      <c r="I10300" s="560"/>
      <c r="J10300" s="549"/>
      <c r="K10300" s="561"/>
      <c r="L10300" s="560"/>
      <c r="M10300" s="549"/>
      <c r="N10300" s="549"/>
      <c r="O10300" s="549"/>
      <c r="P10300" s="549"/>
    </row>
    <row r="10301" spans="1:17" ht="17.399999999999999">
      <c r="A10301" s="549"/>
      <c r="B10301" s="549"/>
      <c r="C10301" s="549"/>
      <c r="D10301" s="549"/>
      <c r="E10301" s="549"/>
      <c r="F10301" s="549"/>
      <c r="G10301" s="549"/>
      <c r="H10301" s="549"/>
      <c r="I10301" s="560"/>
      <c r="J10301" s="567"/>
      <c r="K10301" s="561"/>
      <c r="L10301" s="552">
        <f>+L10296+L10286+L10272+L10263+L10250+L10226+L10214+L10157+L10177+L10203+L10112+L10137+L10050+L10085+L10068+L10095+L10101+L10278</f>
        <v>606.19597650000003</v>
      </c>
      <c r="M10301" s="549"/>
      <c r="N10301" s="552">
        <f>+N10296+N10286+N10272+N10263+N10250+N10226+N10214+N10157+N10177+N10203+N10112+N10137+N10050+N10085+N10068+N10095+N10101+N10278</f>
        <v>14.103052</v>
      </c>
      <c r="O10301" s="549"/>
      <c r="P10301" s="549"/>
    </row>
    <row r="10302" spans="1:17" s="1358" customFormat="1" ht="17.399999999999999">
      <c r="I10302" s="1864"/>
      <c r="K10302" s="176"/>
      <c r="L10302" s="1414"/>
    </row>
    <row r="10303" spans="1:17" s="1358" customFormat="1" ht="18">
      <c r="A10303" s="653" t="s">
        <v>48</v>
      </c>
      <c r="B10303" s="653"/>
      <c r="C10303" s="654"/>
      <c r="D10303" s="654"/>
      <c r="E10303" s="654"/>
      <c r="F10303" s="1413"/>
      <c r="G10303" s="654"/>
      <c r="H10303" s="1413"/>
      <c r="I10303" s="656"/>
      <c r="J10303" s="654"/>
      <c r="K10303" s="657"/>
      <c r="L10303" s="2003" t="s">
        <v>0</v>
      </c>
      <c r="M10303" s="2003"/>
      <c r="N10303" s="2003"/>
      <c r="O10303" s="2004"/>
      <c r="P10303" s="1097"/>
    </row>
    <row r="10304" spans="1:17" s="1358" customFormat="1" ht="18">
      <c r="A10304" s="658" t="s">
        <v>1</v>
      </c>
      <c r="B10304" s="658"/>
      <c r="C10304" s="658"/>
      <c r="D10304" s="659" t="s">
        <v>2</v>
      </c>
      <c r="E10304" s="659"/>
      <c r="F10304" s="660"/>
      <c r="G10304" s="660"/>
      <c r="H10304" s="660"/>
      <c r="I10304" s="661"/>
      <c r="J10304" s="660"/>
      <c r="K10304" s="662" t="s">
        <v>3</v>
      </c>
      <c r="L10304" s="660"/>
      <c r="M10304" s="658"/>
      <c r="N10304" s="660"/>
      <c r="O10304" s="663"/>
      <c r="P10304" s="1098"/>
    </row>
    <row r="10305" spans="1:16" s="1358" customFormat="1" ht="18">
      <c r="A10305" s="1413" t="s">
        <v>22</v>
      </c>
      <c r="B10305" s="1990" t="s">
        <v>23</v>
      </c>
      <c r="C10305" s="2005"/>
      <c r="D10305" s="1989"/>
      <c r="E10305" s="1413" t="s">
        <v>24</v>
      </c>
      <c r="F10305" s="1990" t="s">
        <v>25</v>
      </c>
      <c r="G10305" s="1989"/>
      <c r="H10305" s="1990" t="s">
        <v>26</v>
      </c>
      <c r="I10305" s="2005"/>
      <c r="J10305" s="2005"/>
      <c r="K10305" s="1989"/>
      <c r="L10305" s="2006" t="s">
        <v>27</v>
      </c>
      <c r="M10305" s="2006"/>
      <c r="N10305" s="2006"/>
      <c r="O10305" s="1990"/>
      <c r="P10305" s="1098"/>
    </row>
    <row r="10306" spans="1:16" s="1358" customFormat="1" ht="18">
      <c r="A10306" s="664"/>
      <c r="B10306" s="1975"/>
      <c r="C10306" s="1976"/>
      <c r="D10306" s="1977"/>
      <c r="E10306" s="665"/>
      <c r="F10306" s="1975"/>
      <c r="G10306" s="1977"/>
      <c r="H10306" s="1975"/>
      <c r="I10306" s="1976"/>
      <c r="J10306" s="1976"/>
      <c r="K10306" s="1977"/>
      <c r="L10306" s="1975"/>
      <c r="M10306" s="1976"/>
      <c r="N10306" s="1976"/>
      <c r="O10306" s="1976"/>
      <c r="P10306" s="1098"/>
    </row>
    <row r="10307" spans="1:16" s="1358" customFormat="1" ht="18">
      <c r="A10307" s="664"/>
      <c r="B10307" s="1408"/>
      <c r="C10307" s="1409"/>
      <c r="D10307" s="1410"/>
      <c r="E10307" s="665"/>
      <c r="F10307" s="1408"/>
      <c r="G10307" s="1410"/>
      <c r="H10307" s="1408"/>
      <c r="I10307" s="1842"/>
      <c r="J10307" s="1409"/>
      <c r="K10307" s="1410"/>
      <c r="L10307" s="1409"/>
      <c r="M10307" s="1409"/>
      <c r="N10307" s="1409"/>
      <c r="O10307" s="1409"/>
      <c r="P10307" s="1098"/>
    </row>
    <row r="10308" spans="1:16" s="1358" customFormat="1" ht="18">
      <c r="A10308" s="664"/>
      <c r="B10308" s="1975"/>
      <c r="C10308" s="1976"/>
      <c r="D10308" s="1977"/>
      <c r="E10308" s="665"/>
      <c r="F10308" s="1973"/>
      <c r="G10308" s="1974"/>
      <c r="H10308" s="1975"/>
      <c r="I10308" s="1976"/>
      <c r="J10308" s="1976"/>
      <c r="K10308" s="1977"/>
      <c r="L10308" s="1976"/>
      <c r="M10308" s="1976"/>
      <c r="N10308" s="1976"/>
      <c r="O10308" s="1976"/>
      <c r="P10308" s="1098"/>
    </row>
    <row r="10309" spans="1:16" s="1358" customFormat="1" ht="18">
      <c r="A10309" s="664" t="s">
        <v>28</v>
      </c>
      <c r="B10309" s="1975" t="s">
        <v>137</v>
      </c>
      <c r="C10309" s="1976"/>
      <c r="D10309" s="1977"/>
      <c r="E10309" s="665">
        <f>+L10068-90</f>
        <v>20.167592500000012</v>
      </c>
      <c r="F10309" s="1973">
        <v>12</v>
      </c>
      <c r="G10309" s="1974"/>
      <c r="H10309" s="1975" t="s">
        <v>447</v>
      </c>
      <c r="I10309" s="1976"/>
      <c r="J10309" s="1976"/>
      <c r="K10309" s="1977"/>
      <c r="L10309" s="1976" t="s">
        <v>1046</v>
      </c>
      <c r="M10309" s="1976"/>
      <c r="N10309" s="1976"/>
      <c r="O10309" s="1976"/>
      <c r="P10309" s="1098"/>
    </row>
    <row r="10310" spans="1:16" s="1358" customFormat="1" ht="18">
      <c r="A10310" s="664" t="s">
        <v>29</v>
      </c>
      <c r="B10310" s="1975" t="s">
        <v>138</v>
      </c>
      <c r="C10310" s="1976"/>
      <c r="D10310" s="1977"/>
      <c r="E10310" s="665">
        <f>+L10085</f>
        <v>34.237371000000003</v>
      </c>
      <c r="F10310" s="1973">
        <v>12</v>
      </c>
      <c r="G10310" s="1974"/>
      <c r="H10310" s="1975" t="s">
        <v>447</v>
      </c>
      <c r="I10310" s="1976"/>
      <c r="J10310" s="1976"/>
      <c r="K10310" s="1977"/>
      <c r="L10310" s="1976" t="s">
        <v>1046</v>
      </c>
      <c r="M10310" s="1976"/>
      <c r="N10310" s="1976"/>
      <c r="O10310" s="1976"/>
      <c r="P10310" s="1098"/>
    </row>
    <row r="10311" spans="1:16" s="1358" customFormat="1" ht="18">
      <c r="A10311" s="664" t="s">
        <v>30</v>
      </c>
      <c r="B10311" s="1975" t="s">
        <v>159</v>
      </c>
      <c r="C10311" s="1976"/>
      <c r="D10311" s="1977"/>
      <c r="E10311" s="665">
        <f>+L10095</f>
        <v>2.6169599999999997</v>
      </c>
      <c r="F10311" s="1973">
        <v>12</v>
      </c>
      <c r="G10311" s="1974"/>
      <c r="H10311" s="1975" t="s">
        <v>447</v>
      </c>
      <c r="I10311" s="1976"/>
      <c r="J10311" s="1976"/>
      <c r="K10311" s="1977"/>
      <c r="L10311" s="1976" t="s">
        <v>1046</v>
      </c>
      <c r="M10311" s="1976"/>
      <c r="N10311" s="1976"/>
      <c r="O10311" s="1976"/>
      <c r="P10311" s="1098"/>
    </row>
    <row r="10312" spans="1:16" s="1358" customFormat="1" ht="18">
      <c r="A10312" s="664"/>
      <c r="B10312" s="1408"/>
      <c r="C10312" s="1409"/>
      <c r="D10312" s="1410"/>
      <c r="E10312" s="665"/>
      <c r="F10312" s="1411"/>
      <c r="G10312" s="1412"/>
      <c r="H10312" s="1408"/>
      <c r="I10312" s="1842"/>
      <c r="J10312" s="1409"/>
      <c r="K10312" s="1410"/>
      <c r="L10312" s="1409"/>
      <c r="M10312" s="1409"/>
      <c r="N10312" s="1409"/>
      <c r="O10312" s="1409"/>
      <c r="P10312" s="1098"/>
    </row>
    <row r="10313" spans="1:16" s="1358" customFormat="1" ht="18">
      <c r="A10313" s="664" t="s">
        <v>46</v>
      </c>
      <c r="B10313" s="1975" t="s">
        <v>1183</v>
      </c>
      <c r="C10313" s="1976"/>
      <c r="D10313" s="1977"/>
      <c r="E10313" s="665">
        <f>+L10101</f>
        <v>8.5040759999999995</v>
      </c>
      <c r="F10313" s="1973">
        <v>8.5</v>
      </c>
      <c r="G10313" s="1974"/>
      <c r="H10313" s="1975" t="s">
        <v>450</v>
      </c>
      <c r="I10313" s="1976"/>
      <c r="J10313" s="1976"/>
      <c r="K10313" s="1977"/>
      <c r="L10313" s="1976" t="s">
        <v>1138</v>
      </c>
      <c r="M10313" s="1976"/>
      <c r="N10313" s="1976"/>
      <c r="O10313" s="1976"/>
      <c r="P10313" s="1098"/>
    </row>
    <row r="10314" spans="1:16" s="1358" customFormat="1" ht="18">
      <c r="A10314" s="664" t="s">
        <v>58</v>
      </c>
      <c r="B10314" s="1975" t="s">
        <v>1182</v>
      </c>
      <c r="C10314" s="1976"/>
      <c r="D10314" s="1977"/>
      <c r="E10314" s="665">
        <f>+L10112</f>
        <v>20.779717999999999</v>
      </c>
      <c r="F10314" s="1973">
        <v>8.5</v>
      </c>
      <c r="G10314" s="1974"/>
      <c r="H10314" s="1975" t="s">
        <v>450</v>
      </c>
      <c r="I10314" s="1976"/>
      <c r="J10314" s="1976"/>
      <c r="K10314" s="1977"/>
      <c r="L10314" s="1976" t="s">
        <v>1138</v>
      </c>
      <c r="M10314" s="1976"/>
      <c r="N10314" s="1976"/>
      <c r="O10314" s="1976"/>
      <c r="P10314" s="1098"/>
    </row>
    <row r="10315" spans="1:16" s="1358" customFormat="1" ht="18">
      <c r="A10315" s="664" t="s">
        <v>163</v>
      </c>
      <c r="B10315" s="1975" t="s">
        <v>154</v>
      </c>
      <c r="C10315" s="1976"/>
      <c r="D10315" s="1977"/>
      <c r="E10315" s="665">
        <f>+L10137</f>
        <v>70.746399999999994</v>
      </c>
      <c r="F10315" s="1973">
        <v>8.5</v>
      </c>
      <c r="G10315" s="1974"/>
      <c r="H10315" s="1975" t="s">
        <v>450</v>
      </c>
      <c r="I10315" s="1976"/>
      <c r="J10315" s="1976"/>
      <c r="K10315" s="1977"/>
      <c r="L10315" s="1976" t="s">
        <v>1138</v>
      </c>
      <c r="M10315" s="1976"/>
      <c r="N10315" s="1976"/>
      <c r="O10315" s="1976"/>
      <c r="P10315" s="1098"/>
    </row>
    <row r="10316" spans="1:16" s="1358" customFormat="1" ht="18">
      <c r="A10316" s="664"/>
      <c r="B10316" s="1975"/>
      <c r="C10316" s="1976"/>
      <c r="D10316" s="1977"/>
      <c r="E10316" s="665"/>
      <c r="F10316" s="1973"/>
      <c r="G10316" s="1974"/>
      <c r="H10316" s="1975"/>
      <c r="I10316" s="1976"/>
      <c r="J10316" s="1976"/>
      <c r="K10316" s="1977"/>
      <c r="L10316" s="1976"/>
      <c r="M10316" s="1976"/>
      <c r="N10316" s="1976"/>
      <c r="O10316" s="1976"/>
      <c r="P10316" s="1098"/>
    </row>
    <row r="10317" spans="1:16" s="1358" customFormat="1" ht="18">
      <c r="A10317" s="664" t="s">
        <v>302</v>
      </c>
      <c r="B10317" s="1975" t="s">
        <v>154</v>
      </c>
      <c r="C10317" s="1976"/>
      <c r="D10317" s="1977"/>
      <c r="E10317" s="665">
        <f>+L10157-2.415</f>
        <v>28.384685999999999</v>
      </c>
      <c r="F10317" s="1973">
        <v>12</v>
      </c>
      <c r="G10317" s="1974"/>
      <c r="H10317" s="1975" t="s">
        <v>582</v>
      </c>
      <c r="I10317" s="1976"/>
      <c r="J10317" s="1976"/>
      <c r="K10317" s="1977"/>
      <c r="L10317" s="1976" t="s">
        <v>1138</v>
      </c>
      <c r="M10317" s="1976"/>
      <c r="N10317" s="1976"/>
      <c r="O10317" s="1976"/>
      <c r="P10317" s="1098"/>
    </row>
    <row r="10318" spans="1:16" s="1358" customFormat="1" ht="18">
      <c r="A10318" s="664" t="s">
        <v>380</v>
      </c>
      <c r="B10318" s="1975" t="s">
        <v>1182</v>
      </c>
      <c r="C10318" s="1976"/>
      <c r="D10318" s="1977"/>
      <c r="E10318" s="665">
        <f>+L10177-1.678</f>
        <v>21.837709999999998</v>
      </c>
      <c r="F10318" s="1973">
        <v>12</v>
      </c>
      <c r="G10318" s="1974"/>
      <c r="H10318" s="1975" t="s">
        <v>582</v>
      </c>
      <c r="I10318" s="1976"/>
      <c r="J10318" s="1976"/>
      <c r="K10318" s="1977"/>
      <c r="L10318" s="1976" t="s">
        <v>1138</v>
      </c>
      <c r="M10318" s="1976"/>
      <c r="N10318" s="1976"/>
      <c r="O10318" s="1976"/>
      <c r="P10318" s="1098"/>
    </row>
    <row r="10319" spans="1:16" s="1358" customFormat="1" ht="18">
      <c r="A10319" s="664" t="s">
        <v>434</v>
      </c>
      <c r="B10319" s="1975" t="s">
        <v>1183</v>
      </c>
      <c r="C10319" s="1976"/>
      <c r="D10319" s="1977"/>
      <c r="E10319" s="665">
        <f>+L10203-1.643</f>
        <v>62.179479999999991</v>
      </c>
      <c r="F10319" s="1973">
        <v>12</v>
      </c>
      <c r="G10319" s="1974"/>
      <c r="H10319" s="1975" t="s">
        <v>582</v>
      </c>
      <c r="I10319" s="1976"/>
      <c r="J10319" s="1976"/>
      <c r="K10319" s="1977"/>
      <c r="L10319" s="1976" t="s">
        <v>1138</v>
      </c>
      <c r="M10319" s="1976"/>
      <c r="N10319" s="1976"/>
      <c r="O10319" s="1976"/>
      <c r="P10319" s="1098"/>
    </row>
    <row r="10320" spans="1:16" s="1358" customFormat="1" ht="18">
      <c r="A10320" s="664" t="s">
        <v>474</v>
      </c>
      <c r="B10320" s="1975" t="s">
        <v>1184</v>
      </c>
      <c r="C10320" s="1976"/>
      <c r="D10320" s="1977"/>
      <c r="E10320" s="665">
        <f>+L10214-2.287</f>
        <v>2.7784719999999998</v>
      </c>
      <c r="F10320" s="1973">
        <v>12</v>
      </c>
      <c r="G10320" s="1974"/>
      <c r="H10320" s="1975" t="s">
        <v>582</v>
      </c>
      <c r="I10320" s="1976"/>
      <c r="J10320" s="1976"/>
      <c r="K10320" s="1977"/>
      <c r="L10320" s="1976" t="s">
        <v>1138</v>
      </c>
      <c r="M10320" s="1976"/>
      <c r="N10320" s="1976"/>
      <c r="O10320" s="1976"/>
      <c r="P10320" s="1098"/>
    </row>
    <row r="10321" spans="1:16" s="1358" customFormat="1" ht="18">
      <c r="A10321" s="664"/>
      <c r="B10321" s="1408"/>
      <c r="C10321" s="1409"/>
      <c r="D10321" s="1410"/>
      <c r="E10321" s="665"/>
      <c r="F10321" s="1411"/>
      <c r="G10321" s="1412"/>
      <c r="H10321" s="1408"/>
      <c r="I10321" s="1842"/>
      <c r="J10321" s="1409"/>
      <c r="K10321" s="1410"/>
      <c r="L10321" s="1409"/>
      <c r="M10321" s="1409"/>
      <c r="N10321" s="1409"/>
      <c r="O10321" s="1409"/>
      <c r="P10321" s="1098"/>
    </row>
    <row r="10322" spans="1:16" s="1358" customFormat="1" ht="18">
      <c r="A10322" s="664" t="s">
        <v>475</v>
      </c>
      <c r="B10322" s="1975" t="s">
        <v>159</v>
      </c>
      <c r="C10322" s="1976"/>
      <c r="D10322" s="1977"/>
      <c r="E10322" s="665">
        <f>+L10226-1.586</f>
        <v>7.8181599999999989</v>
      </c>
      <c r="F10322" s="1973">
        <v>12</v>
      </c>
      <c r="G10322" s="1974"/>
      <c r="H10322" s="1975" t="s">
        <v>49</v>
      </c>
      <c r="I10322" s="1976"/>
      <c r="J10322" s="1976"/>
      <c r="K10322" s="1977"/>
      <c r="L10322" s="1976" t="s">
        <v>1046</v>
      </c>
      <c r="M10322" s="1976"/>
      <c r="N10322" s="1976"/>
      <c r="O10322" s="1976"/>
      <c r="P10322" s="1098"/>
    </row>
    <row r="10323" spans="1:16" s="1358" customFormat="1" ht="18">
      <c r="A10323" s="664" t="s">
        <v>476</v>
      </c>
      <c r="B10323" s="1975" t="s">
        <v>138</v>
      </c>
      <c r="C10323" s="1976"/>
      <c r="D10323" s="1977"/>
      <c r="E10323" s="665">
        <f>+L10250-0.979</f>
        <v>21.013396</v>
      </c>
      <c r="F10323" s="1973">
        <v>12</v>
      </c>
      <c r="G10323" s="1974"/>
      <c r="H10323" s="1975" t="s">
        <v>49</v>
      </c>
      <c r="I10323" s="1976"/>
      <c r="J10323" s="1976"/>
      <c r="K10323" s="1977"/>
      <c r="L10323" s="1976" t="s">
        <v>1046</v>
      </c>
      <c r="M10323" s="1976"/>
      <c r="N10323" s="1976"/>
      <c r="O10323" s="1976"/>
      <c r="P10323" s="1098"/>
    </row>
    <row r="10324" spans="1:16" s="1358" customFormat="1" ht="18">
      <c r="A10324" s="664" t="s">
        <v>477</v>
      </c>
      <c r="B10324" s="1975" t="s">
        <v>137</v>
      </c>
      <c r="C10324" s="1976"/>
      <c r="D10324" s="1977"/>
      <c r="E10324" s="665">
        <f>+L10263-3.348</f>
        <v>8.0658400000000015</v>
      </c>
      <c r="F10324" s="1973">
        <v>12</v>
      </c>
      <c r="G10324" s="1974"/>
      <c r="H10324" s="1975" t="s">
        <v>49</v>
      </c>
      <c r="I10324" s="1976"/>
      <c r="J10324" s="1976"/>
      <c r="K10324" s="1977"/>
      <c r="L10324" s="1976" t="s">
        <v>1046</v>
      </c>
      <c r="M10324" s="1976"/>
      <c r="N10324" s="1976"/>
      <c r="O10324" s="1976"/>
      <c r="P10324" s="1098"/>
    </row>
    <row r="10325" spans="1:16" s="1358" customFormat="1" ht="18">
      <c r="A10325" s="664" t="s">
        <v>501</v>
      </c>
      <c r="B10325" s="1975" t="s">
        <v>136</v>
      </c>
      <c r="C10325" s="1976"/>
      <c r="D10325" s="1977"/>
      <c r="E10325" s="665">
        <f>+L10272-0.167</f>
        <v>1.8553840000000001</v>
      </c>
      <c r="F10325" s="1973">
        <v>12</v>
      </c>
      <c r="G10325" s="1974"/>
      <c r="H10325" s="1975" t="s">
        <v>49</v>
      </c>
      <c r="I10325" s="1976"/>
      <c r="J10325" s="1976"/>
      <c r="K10325" s="1977"/>
      <c r="L10325" s="1976" t="s">
        <v>1046</v>
      </c>
      <c r="M10325" s="1976"/>
      <c r="N10325" s="1976"/>
      <c r="O10325" s="1976"/>
      <c r="P10325" s="1098"/>
    </row>
    <row r="10326" spans="1:16" s="1358" customFormat="1" ht="18">
      <c r="A10326" s="664"/>
      <c r="B10326" s="1408"/>
      <c r="C10326" s="1409"/>
      <c r="D10326" s="1410"/>
      <c r="E10326" s="665"/>
      <c r="F10326" s="1411"/>
      <c r="G10326" s="1412"/>
      <c r="H10326" s="1408"/>
      <c r="I10326" s="1842"/>
      <c r="J10326" s="1409"/>
      <c r="K10326" s="1410"/>
      <c r="L10326" s="1409"/>
      <c r="M10326" s="1409"/>
      <c r="N10326" s="1409"/>
      <c r="O10326" s="1409"/>
      <c r="P10326" s="1098"/>
    </row>
    <row r="10327" spans="1:16" s="1358" customFormat="1" ht="18">
      <c r="A10327" s="664" t="s">
        <v>504</v>
      </c>
      <c r="B10327" s="1975" t="s">
        <v>136</v>
      </c>
      <c r="C10327" s="1976"/>
      <c r="D10327" s="1977"/>
      <c r="E10327" s="665">
        <v>6</v>
      </c>
      <c r="F10327" s="1973">
        <v>12</v>
      </c>
      <c r="G10327" s="1974"/>
      <c r="H10327" s="1975" t="s">
        <v>447</v>
      </c>
      <c r="I10327" s="1976"/>
      <c r="J10327" s="1976"/>
      <c r="K10327" s="1977"/>
      <c r="L10327" s="1976" t="s">
        <v>1046</v>
      </c>
      <c r="M10327" s="1976"/>
      <c r="N10327" s="1976"/>
      <c r="O10327" s="1976"/>
      <c r="P10327" s="1098"/>
    </row>
    <row r="10328" spans="1:16" s="1358" customFormat="1" ht="18">
      <c r="A10328" s="664"/>
      <c r="B10328" s="1408"/>
      <c r="C10328" s="1409"/>
      <c r="D10328" s="1410"/>
      <c r="E10328" s="665"/>
      <c r="F10328" s="1411"/>
      <c r="G10328" s="1412"/>
      <c r="H10328" s="1409"/>
      <c r="I10328" s="1842"/>
      <c r="J10328" s="1409"/>
      <c r="K10328" s="1409"/>
      <c r="L10328" s="1409"/>
      <c r="M10328" s="1409"/>
      <c r="N10328" s="1409"/>
      <c r="O10328" s="1409"/>
      <c r="P10328" s="1098"/>
    </row>
    <row r="10329" spans="1:16" s="1358" customFormat="1" ht="18">
      <c r="A10329" s="664" t="s">
        <v>1187</v>
      </c>
      <c r="B10329" s="1975" t="s">
        <v>154</v>
      </c>
      <c r="C10329" s="1976"/>
      <c r="D10329" s="1977"/>
      <c r="E10329" s="665">
        <v>5</v>
      </c>
      <c r="F10329" s="1975">
        <v>8.5</v>
      </c>
      <c r="G10329" s="1977"/>
      <c r="H10329" s="2007" t="s">
        <v>1185</v>
      </c>
      <c r="I10329" s="2007"/>
      <c r="J10329" s="2007"/>
      <c r="K10329" s="2007"/>
      <c r="L10329" s="1976" t="s">
        <v>1138</v>
      </c>
      <c r="M10329" s="1976"/>
      <c r="N10329" s="1976"/>
      <c r="O10329" s="1976"/>
      <c r="P10329" s="1098"/>
    </row>
    <row r="10330" spans="1:16" s="1358" customFormat="1" ht="18">
      <c r="A10330" s="664" t="s">
        <v>1188</v>
      </c>
      <c r="B10330" s="1975" t="s">
        <v>1183</v>
      </c>
      <c r="C10330" s="1976"/>
      <c r="D10330" s="1977"/>
      <c r="E10330" s="665">
        <v>5</v>
      </c>
      <c r="F10330" s="1975">
        <v>8.5</v>
      </c>
      <c r="G10330" s="1977"/>
      <c r="H10330" s="2007" t="s">
        <v>1185</v>
      </c>
      <c r="I10330" s="2007"/>
      <c r="J10330" s="2007"/>
      <c r="K10330" s="2007"/>
      <c r="L10330" s="1976" t="s">
        <v>1138</v>
      </c>
      <c r="M10330" s="1976"/>
      <c r="N10330" s="1976"/>
      <c r="O10330" s="1976"/>
      <c r="P10330" s="1098"/>
    </row>
    <row r="10331" spans="1:16" s="1358" customFormat="1" ht="18">
      <c r="A10331" s="664" t="s">
        <v>1189</v>
      </c>
      <c r="B10331" s="1975" t="s">
        <v>1186</v>
      </c>
      <c r="C10331" s="1976"/>
      <c r="D10331" s="1977"/>
      <c r="E10331" s="665">
        <v>5</v>
      </c>
      <c r="F10331" s="1975">
        <v>8.5</v>
      </c>
      <c r="G10331" s="1977"/>
      <c r="H10331" s="2007" t="s">
        <v>1185</v>
      </c>
      <c r="I10331" s="2007"/>
      <c r="J10331" s="2007"/>
      <c r="K10331" s="2007"/>
      <c r="L10331" s="1976" t="s">
        <v>1138</v>
      </c>
      <c r="M10331" s="1976"/>
      <c r="N10331" s="1976"/>
      <c r="O10331" s="1976"/>
      <c r="P10331" s="1098"/>
    </row>
    <row r="10332" spans="1:16" s="1358" customFormat="1" ht="18">
      <c r="A10332" s="664"/>
      <c r="B10332" s="1975"/>
      <c r="C10332" s="1976"/>
      <c r="D10332" s="1977"/>
      <c r="E10332" s="665"/>
      <c r="F10332" s="1975"/>
      <c r="G10332" s="1977"/>
      <c r="H10332" s="2007"/>
      <c r="I10332" s="2007"/>
      <c r="J10332" s="2007"/>
      <c r="K10332" s="2007"/>
      <c r="L10332" s="1976"/>
      <c r="M10332" s="1976"/>
      <c r="N10332" s="1976"/>
      <c r="O10332" s="1976"/>
      <c r="P10332" s="1098"/>
    </row>
    <row r="10333" spans="1:16" s="1358" customFormat="1" ht="18">
      <c r="A10333" s="664"/>
      <c r="B10333" s="1408"/>
      <c r="C10333" s="1409"/>
      <c r="D10333" s="1410"/>
      <c r="E10333" s="665"/>
      <c r="F10333" s="1411"/>
      <c r="G10333" s="1412"/>
      <c r="H10333" s="1408"/>
      <c r="I10333" s="1842"/>
      <c r="J10333" s="1409"/>
      <c r="K10333" s="1410"/>
      <c r="L10333" s="1409"/>
      <c r="M10333" s="1409"/>
      <c r="N10333" s="1409"/>
      <c r="O10333" s="1409"/>
      <c r="P10333" s="1098"/>
    </row>
    <row r="10334" spans="1:16" s="1358" customFormat="1" ht="18.600000000000001" thickBot="1">
      <c r="A10334" s="664"/>
      <c r="B10334" s="1408"/>
      <c r="C10334" s="1409"/>
      <c r="D10334" s="1409"/>
      <c r="E10334" s="665"/>
      <c r="F10334" s="1409"/>
      <c r="G10334" s="1410"/>
      <c r="H10334" s="1408"/>
      <c r="I10334" s="1842"/>
      <c r="J10334" s="1409"/>
      <c r="K10334" s="669"/>
      <c r="L10334" s="672"/>
      <c r="M10334" s="673"/>
      <c r="N10334" s="673"/>
      <c r="O10334" s="673"/>
      <c r="P10334" s="1098"/>
    </row>
    <row r="10335" spans="1:16" s="1358" customFormat="1" ht="18">
      <c r="A10335" s="674"/>
      <c r="B10335" s="675"/>
      <c r="C10335" s="676"/>
      <c r="D10335" s="676"/>
      <c r="E10335" s="1980">
        <f>SUM(E10306:E10334)</f>
        <v>331.98524549999996</v>
      </c>
      <c r="F10335" s="677"/>
      <c r="G10335" s="678"/>
      <c r="H10335" s="679"/>
      <c r="I10335" s="1848"/>
      <c r="J10335" s="676"/>
      <c r="K10335" s="680"/>
      <c r="L10335" s="679"/>
      <c r="M10335" s="676"/>
      <c r="N10335" s="677"/>
      <c r="O10335" s="676"/>
      <c r="P10335" s="1098"/>
    </row>
    <row r="10336" spans="1:16" s="1358" customFormat="1" ht="18.600000000000001" thickBot="1">
      <c r="A10336" s="681"/>
      <c r="B10336" s="682"/>
      <c r="C10336" s="683"/>
      <c r="D10336" s="683"/>
      <c r="E10336" s="1981"/>
      <c r="F10336" s="684"/>
      <c r="G10336" s="685"/>
      <c r="H10336" s="686"/>
      <c r="I10336" s="1850"/>
      <c r="J10336" s="683"/>
      <c r="K10336" s="687"/>
      <c r="L10336" s="686"/>
      <c r="M10336" s="683"/>
      <c r="N10336" s="684"/>
      <c r="O10336" s="683"/>
      <c r="P10336" s="1098"/>
    </row>
    <row r="10337" spans="1:16" s="1358" customFormat="1" ht="18">
      <c r="A10337" s="688" t="s">
        <v>31</v>
      </c>
      <c r="B10337" s="676"/>
      <c r="C10337" s="676"/>
      <c r="D10337" s="676"/>
      <c r="E10337" s="676"/>
      <c r="F10337" s="677"/>
      <c r="G10337" s="676"/>
      <c r="H10337" s="677"/>
      <c r="I10337" s="1848"/>
      <c r="J10337" s="676"/>
      <c r="K10337" s="689"/>
      <c r="L10337" s="677"/>
      <c r="M10337" s="676"/>
      <c r="N10337" s="677"/>
      <c r="O10337" s="676"/>
      <c r="P10337" s="1098"/>
    </row>
    <row r="10338" spans="1:16" s="1358" customFormat="1" ht="18">
      <c r="A10338" s="690"/>
      <c r="B10338" s="691"/>
      <c r="C10338" s="691"/>
      <c r="D10338" s="691"/>
      <c r="E10338" s="691"/>
      <c r="F10338" s="1407"/>
      <c r="G10338" s="691"/>
      <c r="H10338" s="1407"/>
      <c r="I10338" s="1849"/>
      <c r="J10338" s="691"/>
      <c r="K10338" s="693"/>
      <c r="L10338" s="1407"/>
      <c r="M10338" s="691"/>
      <c r="N10338" s="1407"/>
      <c r="O10338" s="691"/>
      <c r="P10338" s="1098"/>
    </row>
    <row r="10339" spans="1:16" s="1358" customFormat="1" ht="18.600000000000001" thickBot="1">
      <c r="A10339" s="1982" t="s">
        <v>32</v>
      </c>
      <c r="B10339" s="1983"/>
      <c r="C10339" s="1984" t="s">
        <v>33</v>
      </c>
      <c r="D10339" s="1985"/>
      <c r="E10339" s="694" t="s">
        <v>34</v>
      </c>
      <c r="F10339" s="694" t="s">
        <v>35</v>
      </c>
      <c r="G10339" s="1986" t="s">
        <v>36</v>
      </c>
      <c r="H10339" s="1987"/>
      <c r="I10339" s="1987"/>
      <c r="J10339" s="1987"/>
      <c r="K10339" s="1987"/>
      <c r="L10339" s="1987"/>
      <c r="M10339" s="1987"/>
      <c r="N10339" s="1987"/>
      <c r="O10339" s="1987"/>
      <c r="P10339" s="1098"/>
    </row>
    <row r="10340" spans="1:16" s="1358" customFormat="1" ht="18">
      <c r="A10340" s="1988"/>
      <c r="B10340" s="1989"/>
      <c r="C10340" s="1990"/>
      <c r="D10340" s="1989"/>
      <c r="E10340" s="1413"/>
      <c r="F10340" s="1404"/>
      <c r="G10340" s="1991"/>
      <c r="H10340" s="1992"/>
      <c r="I10340" s="1992"/>
      <c r="J10340" s="1992"/>
      <c r="K10340" s="1992"/>
      <c r="L10340" s="1992"/>
      <c r="M10340" s="1992"/>
      <c r="N10340" s="1992"/>
      <c r="O10340" s="1992"/>
      <c r="P10340" s="1098"/>
    </row>
    <row r="10341" spans="1:16" s="1358" customFormat="1" ht="18">
      <c r="A10341" s="1997" t="s">
        <v>37</v>
      </c>
      <c r="B10341" s="1998"/>
      <c r="C10341" s="1990"/>
      <c r="D10341" s="1989"/>
      <c r="E10341" s="1413"/>
      <c r="F10341" s="1404"/>
      <c r="G10341" s="1993"/>
      <c r="H10341" s="1994"/>
      <c r="I10341" s="1994"/>
      <c r="J10341" s="1994"/>
      <c r="K10341" s="1994"/>
      <c r="L10341" s="1994"/>
      <c r="M10341" s="1994"/>
      <c r="N10341" s="1994"/>
      <c r="O10341" s="1994"/>
      <c r="P10341" s="1098"/>
    </row>
    <row r="10342" spans="1:16" s="1358" customFormat="1" ht="18">
      <c r="A10342" s="1997" t="s">
        <v>38</v>
      </c>
      <c r="B10342" s="1998"/>
      <c r="C10342" s="1990"/>
      <c r="D10342" s="1989"/>
      <c r="E10342" s="1413"/>
      <c r="F10342" s="1404"/>
      <c r="G10342" s="1993"/>
      <c r="H10342" s="1994"/>
      <c r="I10342" s="1994"/>
      <c r="J10342" s="1994"/>
      <c r="K10342" s="1994"/>
      <c r="L10342" s="1994"/>
      <c r="M10342" s="1994"/>
      <c r="N10342" s="1994"/>
      <c r="O10342" s="1994"/>
      <c r="P10342" s="1098"/>
    </row>
    <row r="10343" spans="1:16" s="1358" customFormat="1" ht="18">
      <c r="A10343" s="1997" t="s">
        <v>39</v>
      </c>
      <c r="B10343" s="1998"/>
      <c r="C10343" s="1990"/>
      <c r="D10343" s="1989"/>
      <c r="E10343" s="1413"/>
      <c r="F10343" s="1404"/>
      <c r="G10343" s="1993"/>
      <c r="H10343" s="1994"/>
      <c r="I10343" s="1994"/>
      <c r="J10343" s="1994"/>
      <c r="K10343" s="1994"/>
      <c r="L10343" s="1994"/>
      <c r="M10343" s="1994"/>
      <c r="N10343" s="1994"/>
      <c r="O10343" s="1994"/>
      <c r="P10343" s="1098"/>
    </row>
    <row r="10344" spans="1:16" s="1358" customFormat="1" ht="18">
      <c r="A10344" s="1997" t="s">
        <v>40</v>
      </c>
      <c r="B10344" s="1998"/>
      <c r="C10344" s="1990"/>
      <c r="D10344" s="1989"/>
      <c r="E10344" s="1413"/>
      <c r="F10344" s="1404"/>
      <c r="G10344" s="1993"/>
      <c r="H10344" s="1994"/>
      <c r="I10344" s="1994"/>
      <c r="J10344" s="1994"/>
      <c r="K10344" s="1994"/>
      <c r="L10344" s="1994"/>
      <c r="M10344" s="1994"/>
      <c r="N10344" s="1994"/>
      <c r="O10344" s="1994"/>
      <c r="P10344" s="1098"/>
    </row>
    <row r="10345" spans="1:16" s="1358" customFormat="1" ht="18.600000000000001" thickBot="1">
      <c r="A10345" s="1999" t="s">
        <v>41</v>
      </c>
      <c r="B10345" s="2000"/>
      <c r="C10345" s="2001"/>
      <c r="D10345" s="2002"/>
      <c r="E10345" s="696"/>
      <c r="F10345" s="1405"/>
      <c r="G10345" s="1995"/>
      <c r="H10345" s="1996"/>
      <c r="I10345" s="1996"/>
      <c r="J10345" s="1996"/>
      <c r="K10345" s="1996"/>
      <c r="L10345" s="1996"/>
      <c r="M10345" s="1996"/>
      <c r="N10345" s="1996"/>
      <c r="O10345" s="1996"/>
      <c r="P10345" s="1098"/>
    </row>
    <row r="10346" spans="1:16" s="1358" customFormat="1" ht="18">
      <c r="A10346" s="690"/>
      <c r="B10346" s="691"/>
      <c r="C10346" s="691"/>
      <c r="D10346" s="691"/>
      <c r="E10346" s="691"/>
      <c r="F10346" s="1407"/>
      <c r="G10346" s="691"/>
      <c r="H10346" s="698"/>
      <c r="I10346" s="699"/>
      <c r="J10346" s="700"/>
      <c r="K10346" s="701"/>
      <c r="L10346" s="702"/>
      <c r="M10346" s="691"/>
      <c r="N10346" s="1407"/>
      <c r="O10346" s="691"/>
      <c r="P10346" s="1098"/>
    </row>
    <row r="10347" spans="1:16" s="1358" customFormat="1" ht="18">
      <c r="A10347" s="703" t="s">
        <v>42</v>
      </c>
      <c r="B10347" s="704"/>
      <c r="C10347" s="691"/>
      <c r="D10347" s="691"/>
      <c r="E10347" s="691"/>
      <c r="F10347" s="1407"/>
      <c r="G10347" s="704"/>
      <c r="H10347" s="698"/>
      <c r="I10347" s="699"/>
      <c r="J10347" s="700"/>
      <c r="K10347" s="693"/>
      <c r="L10347" s="705"/>
      <c r="M10347" s="691"/>
      <c r="N10347" s="1979" t="s">
        <v>43</v>
      </c>
      <c r="O10347" s="1979"/>
      <c r="P10347" s="1098"/>
    </row>
    <row r="10348" spans="1:16" s="1358" customFormat="1" ht="18">
      <c r="A10348" s="703"/>
      <c r="B10348" s="704"/>
      <c r="C10348" s="691"/>
      <c r="D10348" s="691"/>
      <c r="E10348" s="691"/>
      <c r="F10348" s="1407"/>
      <c r="G10348" s="691"/>
      <c r="H10348" s="1407"/>
      <c r="I10348" s="1849"/>
      <c r="J10348" s="691"/>
      <c r="K10348" s="693"/>
      <c r="L10348" s="1407"/>
      <c r="M10348" s="691"/>
      <c r="N10348" s="1407"/>
      <c r="O10348" s="704"/>
      <c r="P10348" s="1098"/>
    </row>
    <row r="10349" spans="1:16" s="1358" customFormat="1" ht="18">
      <c r="A10349" s="703" t="s">
        <v>44</v>
      </c>
      <c r="B10349" s="704"/>
      <c r="C10349" s="691"/>
      <c r="D10349" s="691"/>
      <c r="E10349" s="691"/>
      <c r="F10349" s="1407"/>
      <c r="G10349" s="691"/>
      <c r="H10349" s="1407"/>
      <c r="I10349" s="1849"/>
      <c r="J10349" s="691"/>
      <c r="K10349" s="693"/>
      <c r="L10349" s="1407"/>
      <c r="M10349" s="691"/>
      <c r="N10349" s="1979" t="s">
        <v>45</v>
      </c>
      <c r="O10349" s="1979"/>
      <c r="P10349" s="1098"/>
    </row>
    <row r="10350" spans="1:16" s="1358" customFormat="1" ht="18.600000000000001" thickBot="1">
      <c r="A10350" s="682"/>
      <c r="B10350" s="683"/>
      <c r="C10350" s="683"/>
      <c r="D10350" s="683"/>
      <c r="E10350" s="683"/>
      <c r="F10350" s="684"/>
      <c r="G10350" s="683"/>
      <c r="H10350" s="684"/>
      <c r="I10350" s="1850"/>
      <c r="J10350" s="683"/>
      <c r="K10350" s="706"/>
      <c r="L10350" s="684"/>
      <c r="M10350" s="683"/>
      <c r="N10350" s="684"/>
      <c r="O10350" s="683"/>
      <c r="P10350" s="1099"/>
    </row>
    <row r="10355" spans="1:17" ht="17.399999999999999">
      <c r="A10355" s="711" t="s">
        <v>48</v>
      </c>
      <c r="B10355" s="711"/>
      <c r="C10355" s="712"/>
      <c r="D10355" s="712"/>
      <c r="E10355" s="712"/>
      <c r="F10355" s="713"/>
      <c r="G10355" s="712"/>
      <c r="H10355" s="712"/>
      <c r="I10355" s="714"/>
      <c r="J10355" s="715"/>
      <c r="K10355" s="716"/>
      <c r="L10355" s="1978" t="s">
        <v>0</v>
      </c>
      <c r="M10355" s="1978"/>
      <c r="N10355" s="1978"/>
      <c r="O10355" s="1978"/>
      <c r="P10355" s="717"/>
    </row>
    <row r="10356" spans="1:17" ht="17.399999999999999">
      <c r="A10356" s="718" t="s">
        <v>1</v>
      </c>
      <c r="B10356" s="718"/>
      <c r="C10356" s="718"/>
      <c r="D10356" s="719" t="s">
        <v>2</v>
      </c>
      <c r="E10356" s="719"/>
      <c r="F10356" s="720"/>
      <c r="G10356" s="720"/>
      <c r="H10356" s="720"/>
      <c r="I10356" s="721"/>
      <c r="J10356" s="1425"/>
      <c r="K10356" s="723" t="s">
        <v>3</v>
      </c>
      <c r="L10356" s="1425"/>
      <c r="M10356" s="718"/>
      <c r="N10356" s="720"/>
      <c r="O10356" s="718"/>
      <c r="P10356" s="724"/>
    </row>
    <row r="10357" spans="1:17" ht="52.2">
      <c r="A10357" s="640" t="s">
        <v>4</v>
      </c>
      <c r="B10357" s="640" t="s">
        <v>5</v>
      </c>
      <c r="C10357" s="640" t="s">
        <v>6</v>
      </c>
      <c r="D10357" s="640" t="s">
        <v>7</v>
      </c>
      <c r="E10357" s="640" t="s">
        <v>8</v>
      </c>
      <c r="F10357" s="641" t="s">
        <v>9</v>
      </c>
      <c r="G10357" s="642" t="s">
        <v>10</v>
      </c>
      <c r="H10357" s="642" t="s">
        <v>11</v>
      </c>
      <c r="I10357" s="643" t="s">
        <v>12</v>
      </c>
      <c r="J10357" s="644" t="s">
        <v>13</v>
      </c>
      <c r="K10357" s="645" t="s">
        <v>14</v>
      </c>
      <c r="L10357" s="646" t="s">
        <v>15</v>
      </c>
      <c r="M10357" s="641" t="s">
        <v>16</v>
      </c>
      <c r="N10357" s="641" t="s">
        <v>17</v>
      </c>
      <c r="O10357" s="642" t="s">
        <v>18</v>
      </c>
      <c r="P10357" s="641" t="s">
        <v>192</v>
      </c>
    </row>
    <row r="10358" spans="1:17" ht="17.399999999999999">
      <c r="A10358" s="549"/>
      <c r="B10358" s="549"/>
      <c r="C10358" s="549"/>
      <c r="D10358" s="549"/>
      <c r="E10358" s="549"/>
      <c r="F10358" s="549"/>
      <c r="G10358" s="549"/>
      <c r="H10358" s="549"/>
      <c r="I10358" s="560"/>
      <c r="J10358" s="549"/>
      <c r="K10358" s="561"/>
      <c r="L10358" s="560"/>
      <c r="M10358" s="549"/>
      <c r="N10358" s="549"/>
      <c r="O10358" s="549"/>
      <c r="P10358" s="549"/>
    </row>
    <row r="10359" spans="1:17" ht="17.399999999999999">
      <c r="A10359" s="547" t="s">
        <v>395</v>
      </c>
      <c r="B10359" s="547" t="s">
        <v>1122</v>
      </c>
      <c r="C10359" s="547" t="s">
        <v>19</v>
      </c>
      <c r="D10359" s="813" t="s">
        <v>582</v>
      </c>
      <c r="E10359" s="547" t="s">
        <v>270</v>
      </c>
      <c r="F10359" s="549">
        <v>7</v>
      </c>
      <c r="G10359" s="549" t="s">
        <v>61</v>
      </c>
      <c r="H10359" s="599" t="s">
        <v>274</v>
      </c>
      <c r="I10359" s="1427">
        <v>9</v>
      </c>
      <c r="J10359" s="710">
        <v>10</v>
      </c>
      <c r="K10359" s="648">
        <v>1</v>
      </c>
      <c r="L10359" s="552">
        <f>(I10359*J10359*K10359/1000)</f>
        <v>0.09</v>
      </c>
      <c r="M10359" s="549"/>
      <c r="N10359" s="567">
        <f>J10359*M10359*I10359/1000</f>
        <v>0</v>
      </c>
      <c r="O10359" s="549"/>
      <c r="P10359" s="549"/>
      <c r="Q10359" s="1358" t="s">
        <v>1254</v>
      </c>
    </row>
    <row r="10360" spans="1:17" ht="17.399999999999999">
      <c r="A10360" s="549"/>
      <c r="B10360" s="549" t="s">
        <v>271</v>
      </c>
      <c r="C10360" s="549"/>
      <c r="D10360" s="549"/>
      <c r="E10360" s="549"/>
      <c r="F10360" s="549"/>
      <c r="G10360" s="549" t="s">
        <v>61</v>
      </c>
      <c r="H10360" s="549" t="s">
        <v>274</v>
      </c>
      <c r="I10360" s="1427">
        <v>9</v>
      </c>
      <c r="J10360" s="710">
        <v>11</v>
      </c>
      <c r="K10360" s="648">
        <v>8</v>
      </c>
      <c r="L10360" s="552">
        <f>(I10360*J10360*K10360/1000)</f>
        <v>0.79200000000000004</v>
      </c>
      <c r="M10360" s="549"/>
      <c r="N10360" s="567">
        <f>J10360*M10360*I10360/1000</f>
        <v>0</v>
      </c>
      <c r="O10360" s="549"/>
      <c r="P10360" s="549"/>
    </row>
    <row r="10361" spans="1:17" ht="17.399999999999999">
      <c r="A10361" s="549"/>
      <c r="B10361" s="549"/>
      <c r="C10361" s="549"/>
      <c r="D10361" s="549"/>
      <c r="E10361" s="549"/>
      <c r="F10361" s="549"/>
      <c r="G10361" s="549" t="s">
        <v>61</v>
      </c>
      <c r="H10361" s="549" t="s">
        <v>274</v>
      </c>
      <c r="I10361" s="1427">
        <v>9</v>
      </c>
      <c r="J10361" s="710">
        <v>11.5</v>
      </c>
      <c r="K10361" s="648">
        <v>446</v>
      </c>
      <c r="L10361" s="552">
        <f>(I10361*J10361*K10361/1000)</f>
        <v>46.161000000000001</v>
      </c>
      <c r="M10361" s="549"/>
      <c r="N10361" s="567">
        <f>J10361*M10361*I10361/1000</f>
        <v>0</v>
      </c>
      <c r="O10361" s="549"/>
      <c r="P10361" s="549"/>
    </row>
    <row r="10362" spans="1:17" ht="17.399999999999999">
      <c r="A10362" s="549"/>
      <c r="B10362" s="549"/>
      <c r="C10362" s="549"/>
      <c r="D10362" s="549"/>
      <c r="E10362" s="549"/>
      <c r="F10362" s="549"/>
      <c r="G10362" s="549" t="s">
        <v>61</v>
      </c>
      <c r="H10362" s="549" t="s">
        <v>274</v>
      </c>
      <c r="I10362" s="1427">
        <v>9</v>
      </c>
      <c r="J10362" s="710">
        <v>12</v>
      </c>
      <c r="K10362" s="648">
        <f>473-7</f>
        <v>466</v>
      </c>
      <c r="L10362" s="552">
        <f>(I10362*J10362*K10362/1000)</f>
        <v>50.328000000000003</v>
      </c>
      <c r="M10362" s="549">
        <v>104</v>
      </c>
      <c r="N10362" s="567">
        <f>J10362*M10362*I10362/1000</f>
        <v>11.231999999999999</v>
      </c>
      <c r="O10362" s="549"/>
      <c r="P10362" s="549"/>
    </row>
    <row r="10363" spans="1:17" ht="17.399999999999999">
      <c r="A10363" s="549"/>
      <c r="B10363" s="549"/>
      <c r="C10363" s="549"/>
      <c r="D10363" s="549"/>
      <c r="E10363" s="549"/>
      <c r="F10363" s="549"/>
      <c r="G10363" s="549"/>
      <c r="H10363" s="549"/>
      <c r="I10363" s="1427"/>
      <c r="J10363" s="710"/>
      <c r="K10363" s="648">
        <f>SUM(K10359:K10362)</f>
        <v>921</v>
      </c>
      <c r="L10363" s="765">
        <f>SUM(L10359:L10362)</f>
        <v>97.371000000000009</v>
      </c>
      <c r="M10363" s="648">
        <f>SUM(M10359:M10362)</f>
        <v>104</v>
      </c>
      <c r="N10363" s="765">
        <f>SUM(N10359:N10362)</f>
        <v>11.231999999999999</v>
      </c>
      <c r="O10363" s="549"/>
      <c r="P10363" s="549"/>
    </row>
    <row r="10364" spans="1:17" ht="17.399999999999999">
      <c r="A10364" s="549"/>
      <c r="B10364" s="549"/>
      <c r="C10364" s="549"/>
      <c r="D10364" s="549"/>
      <c r="E10364" s="549"/>
      <c r="F10364" s="549"/>
      <c r="G10364" s="549"/>
      <c r="H10364" s="549"/>
      <c r="I10364" s="1427"/>
      <c r="J10364" s="549"/>
      <c r="K10364" s="561"/>
      <c r="L10364" s="560"/>
      <c r="M10364" s="549"/>
      <c r="N10364" s="549"/>
      <c r="O10364" s="549"/>
      <c r="P10364" s="549"/>
    </row>
    <row r="10365" spans="1:17" ht="17.399999999999999">
      <c r="A10365" s="547" t="s">
        <v>395</v>
      </c>
      <c r="B10365" s="547" t="s">
        <v>1123</v>
      </c>
      <c r="C10365" s="547" t="s">
        <v>19</v>
      </c>
      <c r="D10365" s="813" t="s">
        <v>582</v>
      </c>
      <c r="E10365" s="547" t="s">
        <v>270</v>
      </c>
      <c r="F10365" s="549">
        <v>7</v>
      </c>
      <c r="G10365" s="549" t="s">
        <v>61</v>
      </c>
      <c r="H10365" s="599" t="s">
        <v>274</v>
      </c>
      <c r="I10365" s="1427">
        <v>9</v>
      </c>
      <c r="J10365" s="710">
        <v>10</v>
      </c>
      <c r="K10365" s="648">
        <v>22</v>
      </c>
      <c r="L10365" s="552">
        <f>(I10365*J10365*K10365/1000)</f>
        <v>1.98</v>
      </c>
      <c r="M10365" s="549"/>
      <c r="N10365" s="549"/>
      <c r="O10365" s="549"/>
      <c r="P10365" s="549"/>
      <c r="Q10365" s="1358" t="s">
        <v>1254</v>
      </c>
    </row>
    <row r="10366" spans="1:17" ht="17.399999999999999">
      <c r="A10366" s="549"/>
      <c r="B10366" s="549" t="s">
        <v>271</v>
      </c>
      <c r="C10366" s="549"/>
      <c r="D10366" s="549"/>
      <c r="E10366" s="549"/>
      <c r="F10366" s="549"/>
      <c r="G10366" s="549" t="s">
        <v>61</v>
      </c>
      <c r="H10366" s="549" t="s">
        <v>274</v>
      </c>
      <c r="I10366" s="1427">
        <v>9</v>
      </c>
      <c r="J10366" s="710">
        <v>11.5</v>
      </c>
      <c r="K10366" s="648">
        <v>171</v>
      </c>
      <c r="L10366" s="552">
        <f>(I10366*J10366*K10366/1000)</f>
        <v>17.698499999999999</v>
      </c>
      <c r="M10366" s="549"/>
      <c r="N10366" s="549"/>
      <c r="O10366" s="549"/>
      <c r="P10366" s="549"/>
    </row>
    <row r="10367" spans="1:17" ht="17.399999999999999">
      <c r="A10367" s="549"/>
      <c r="B10367" s="549"/>
      <c r="C10367" s="549"/>
      <c r="D10367" s="549"/>
      <c r="E10367" s="549"/>
      <c r="F10367" s="549"/>
      <c r="G10367" s="549"/>
      <c r="H10367" s="549"/>
      <c r="I10367" s="1427"/>
      <c r="J10367" s="710"/>
      <c r="K10367" s="648">
        <f>SUM(K10365:K10366)</f>
        <v>193</v>
      </c>
      <c r="L10367" s="765">
        <f>SUM(L10365:L10366)</f>
        <v>19.6785</v>
      </c>
      <c r="M10367" s="549"/>
      <c r="N10367" s="549"/>
      <c r="O10367" s="549"/>
      <c r="P10367" s="549"/>
    </row>
    <row r="10368" spans="1:17" ht="17.399999999999999">
      <c r="A10368" s="549"/>
      <c r="B10368" s="549"/>
      <c r="C10368" s="549"/>
      <c r="D10368" s="549"/>
      <c r="E10368" s="549"/>
      <c r="F10368" s="549"/>
      <c r="G10368" s="549"/>
      <c r="H10368" s="549"/>
      <c r="I10368" s="1427"/>
      <c r="J10368" s="549"/>
      <c r="K10368" s="561"/>
      <c r="L10368" s="560"/>
      <c r="M10368" s="549"/>
      <c r="N10368" s="549"/>
      <c r="O10368" s="549"/>
      <c r="P10368" s="549"/>
    </row>
    <row r="10369" spans="1:17" ht="17.399999999999999">
      <c r="A10369" s="547" t="s">
        <v>395</v>
      </c>
      <c r="B10369" s="547" t="s">
        <v>1124</v>
      </c>
      <c r="C10369" s="547" t="s">
        <v>19</v>
      </c>
      <c r="D10369" s="813" t="s">
        <v>582</v>
      </c>
      <c r="E10369" s="547" t="s">
        <v>270</v>
      </c>
      <c r="F10369" s="549">
        <v>7</v>
      </c>
      <c r="G10369" s="549" t="s">
        <v>61</v>
      </c>
      <c r="H10369" s="599" t="s">
        <v>274</v>
      </c>
      <c r="I10369" s="1427">
        <v>9</v>
      </c>
      <c r="J10369" s="710">
        <v>10</v>
      </c>
      <c r="K10369" s="648">
        <v>6</v>
      </c>
      <c r="L10369" s="552">
        <f>(I10369*J10369*K10369/1000)</f>
        <v>0.54</v>
      </c>
      <c r="M10369" s="549"/>
      <c r="N10369" s="549"/>
      <c r="O10369" s="549"/>
      <c r="P10369" s="549"/>
      <c r="Q10369" s="1358" t="s">
        <v>1254</v>
      </c>
    </row>
    <row r="10370" spans="1:17" ht="17.399999999999999">
      <c r="A10370" s="549"/>
      <c r="B10370" s="549" t="s">
        <v>271</v>
      </c>
      <c r="C10370" s="549"/>
      <c r="D10370" s="549"/>
      <c r="E10370" s="549"/>
      <c r="F10370" s="549"/>
      <c r="G10370" s="549" t="s">
        <v>61</v>
      </c>
      <c r="H10370" s="549" t="s">
        <v>274</v>
      </c>
      <c r="I10370" s="1427">
        <v>9</v>
      </c>
      <c r="J10370" s="710">
        <v>11</v>
      </c>
      <c r="K10370" s="648">
        <v>40</v>
      </c>
      <c r="L10370" s="552">
        <f t="shared" ref="L10370:L10372" si="2162">(I10370*J10370*K10370/1000)</f>
        <v>3.96</v>
      </c>
      <c r="M10370" s="549"/>
      <c r="N10370" s="549"/>
      <c r="O10370" s="549"/>
      <c r="P10370" s="549"/>
    </row>
    <row r="10371" spans="1:17" ht="17.399999999999999">
      <c r="A10371" s="549"/>
      <c r="B10371" s="549"/>
      <c r="C10371" s="549"/>
      <c r="D10371" s="549"/>
      <c r="E10371" s="549"/>
      <c r="F10371" s="549"/>
      <c r="G10371" s="549" t="s">
        <v>61</v>
      </c>
      <c r="H10371" s="549" t="s">
        <v>274</v>
      </c>
      <c r="I10371" s="1427">
        <v>9</v>
      </c>
      <c r="J10371" s="710">
        <v>11.5</v>
      </c>
      <c r="K10371" s="648">
        <v>121</v>
      </c>
      <c r="L10371" s="552">
        <f t="shared" si="2162"/>
        <v>12.5235</v>
      </c>
      <c r="M10371" s="549"/>
      <c r="N10371" s="549"/>
      <c r="O10371" s="549"/>
      <c r="P10371" s="549"/>
    </row>
    <row r="10372" spans="1:17" ht="17.399999999999999">
      <c r="A10372" s="549"/>
      <c r="B10372" s="549"/>
      <c r="C10372" s="549"/>
      <c r="D10372" s="549"/>
      <c r="E10372" s="549"/>
      <c r="F10372" s="549"/>
      <c r="G10372" s="549" t="s">
        <v>61</v>
      </c>
      <c r="H10372" s="549" t="s">
        <v>274</v>
      </c>
      <c r="I10372" s="1427">
        <v>9</v>
      </c>
      <c r="J10372" s="710">
        <v>12</v>
      </c>
      <c r="K10372" s="648">
        <v>135</v>
      </c>
      <c r="L10372" s="552">
        <f t="shared" si="2162"/>
        <v>14.58</v>
      </c>
      <c r="M10372" s="549"/>
      <c r="N10372" s="549"/>
      <c r="O10372" s="549"/>
      <c r="P10372" s="549"/>
    </row>
    <row r="10373" spans="1:17" ht="17.399999999999999">
      <c r="A10373" s="549"/>
      <c r="B10373" s="549"/>
      <c r="C10373" s="549"/>
      <c r="D10373" s="549"/>
      <c r="E10373" s="549"/>
      <c r="F10373" s="549"/>
      <c r="G10373" s="549"/>
      <c r="H10373" s="549"/>
      <c r="I10373" s="560"/>
      <c r="J10373" s="710"/>
      <c r="K10373" s="648">
        <f>SUM(K10369:K10372)</f>
        <v>302</v>
      </c>
      <c r="L10373" s="765">
        <f>SUM(L10369:L10372)</f>
        <v>31.603499999999997</v>
      </c>
      <c r="M10373" s="549"/>
      <c r="N10373" s="549"/>
      <c r="O10373" s="549"/>
      <c r="P10373" s="549"/>
    </row>
    <row r="10374" spans="1:17" ht="17.399999999999999">
      <c r="A10374" s="549"/>
      <c r="B10374" s="549"/>
      <c r="C10374" s="549"/>
      <c r="D10374" s="549"/>
      <c r="E10374" s="549"/>
      <c r="F10374" s="549"/>
      <c r="G10374" s="549"/>
      <c r="H10374" s="549"/>
      <c r="I10374" s="560"/>
      <c r="J10374" s="549"/>
      <c r="K10374" s="652">
        <f>SUM(K10359:K10373)/2</f>
        <v>1416</v>
      </c>
      <c r="L10374" s="565">
        <f>SUM(L10359:L10373)/2</f>
        <v>148.65299999999999</v>
      </c>
      <c r="M10374" s="564">
        <f>SUM(M10359:M10373)/2</f>
        <v>104</v>
      </c>
      <c r="N10374" s="565">
        <f>SUM(N10359:N10373)/2</f>
        <v>11.231999999999999</v>
      </c>
      <c r="O10374" s="549"/>
      <c r="P10374" s="549" t="s">
        <v>1235</v>
      </c>
    </row>
    <row r="10375" spans="1:17" ht="17.399999999999999">
      <c r="A10375" s="549"/>
      <c r="B10375" s="549"/>
      <c r="C10375" s="549"/>
      <c r="D10375" s="549"/>
      <c r="E10375" s="549"/>
      <c r="F10375" s="549"/>
      <c r="G10375" s="549"/>
      <c r="H10375" s="549"/>
      <c r="I10375" s="560"/>
      <c r="J10375" s="549"/>
      <c r="K10375" s="561"/>
      <c r="L10375" s="560"/>
      <c r="M10375" s="549"/>
      <c r="N10375" s="549"/>
      <c r="O10375" s="549"/>
      <c r="P10375" s="549"/>
    </row>
    <row r="10376" spans="1:17" ht="17.399999999999999">
      <c r="A10376" s="549"/>
      <c r="B10376" s="549"/>
      <c r="C10376" s="549"/>
      <c r="D10376" s="549"/>
      <c r="E10376" s="549"/>
      <c r="F10376" s="549"/>
      <c r="G10376" s="549"/>
      <c r="H10376" s="549"/>
      <c r="I10376" s="560"/>
      <c r="J10376" s="549"/>
      <c r="K10376" s="561"/>
      <c r="L10376" s="560"/>
      <c r="M10376" s="549"/>
      <c r="N10376" s="549"/>
      <c r="O10376" s="549"/>
      <c r="P10376" s="549"/>
    </row>
    <row r="10377" spans="1:17" ht="17.399999999999999">
      <c r="A10377" s="547" t="s">
        <v>395</v>
      </c>
      <c r="B10377" s="547" t="s">
        <v>1122</v>
      </c>
      <c r="C10377" s="547" t="s">
        <v>19</v>
      </c>
      <c r="D10377" s="813" t="s">
        <v>582</v>
      </c>
      <c r="E10377" s="547" t="s">
        <v>270</v>
      </c>
      <c r="F10377" s="549">
        <v>7</v>
      </c>
      <c r="G10377" s="549" t="s">
        <v>61</v>
      </c>
      <c r="H10377" s="599" t="s">
        <v>69</v>
      </c>
      <c r="I10377" s="560">
        <v>6.86</v>
      </c>
      <c r="J10377" s="710">
        <v>10.6</v>
      </c>
      <c r="K10377" s="648">
        <v>102</v>
      </c>
      <c r="L10377" s="552">
        <f>(I10377*J10377*K10377/1000)</f>
        <v>7.417031999999999</v>
      </c>
      <c r="M10377" s="549"/>
      <c r="N10377" s="549"/>
      <c r="O10377" s="549"/>
      <c r="P10377" s="549"/>
      <c r="Q10377" s="1358" t="s">
        <v>1254</v>
      </c>
    </row>
    <row r="10378" spans="1:17" ht="17.399999999999999">
      <c r="A10378" s="549"/>
      <c r="B10378" s="549" t="s">
        <v>271</v>
      </c>
      <c r="C10378" s="549"/>
      <c r="D10378" s="549"/>
      <c r="E10378" s="549"/>
      <c r="F10378" s="549"/>
      <c r="G10378" s="549"/>
      <c r="H10378" s="549"/>
      <c r="I10378" s="560"/>
      <c r="J10378" s="710"/>
      <c r="K10378" s="648">
        <f>SUM(K10377)</f>
        <v>102</v>
      </c>
      <c r="L10378" s="765">
        <f>SUM(L10377)</f>
        <v>7.417031999999999</v>
      </c>
      <c r="M10378" s="549"/>
      <c r="N10378" s="549"/>
      <c r="O10378" s="549"/>
      <c r="P10378" s="549"/>
    </row>
    <row r="10379" spans="1:17" s="1358" customFormat="1" ht="17.399999999999999">
      <c r="A10379" s="549"/>
      <c r="B10379" s="549"/>
      <c r="C10379" s="549"/>
      <c r="D10379" s="549"/>
      <c r="E10379" s="549"/>
      <c r="F10379" s="549"/>
      <c r="G10379" s="549"/>
      <c r="H10379" s="549"/>
      <c r="I10379" s="560"/>
      <c r="J10379" s="710"/>
      <c r="K10379" s="648"/>
      <c r="L10379" s="765"/>
      <c r="M10379" s="549"/>
      <c r="N10379" s="549"/>
      <c r="O10379" s="549"/>
      <c r="P10379" s="549"/>
    </row>
    <row r="10380" spans="1:17" ht="17.399999999999999">
      <c r="A10380" s="547" t="s">
        <v>395</v>
      </c>
      <c r="B10380" s="547" t="s">
        <v>1123</v>
      </c>
      <c r="C10380" s="547" t="s">
        <v>19</v>
      </c>
      <c r="D10380" s="813" t="s">
        <v>582</v>
      </c>
      <c r="E10380" s="547" t="s">
        <v>270</v>
      </c>
      <c r="F10380" s="549">
        <v>7</v>
      </c>
      <c r="G10380" s="549" t="s">
        <v>61</v>
      </c>
      <c r="H10380" s="599" t="s">
        <v>69</v>
      </c>
      <c r="I10380" s="560">
        <v>6.86</v>
      </c>
      <c r="J10380" s="710">
        <v>10.6</v>
      </c>
      <c r="K10380" s="648">
        <v>59</v>
      </c>
      <c r="L10380" s="552">
        <f>(I10380*J10380*K10380/1000)</f>
        <v>4.2902439999999995</v>
      </c>
      <c r="M10380" s="549"/>
      <c r="N10380" s="549"/>
      <c r="O10380" s="549"/>
      <c r="P10380" s="549"/>
      <c r="Q10380" s="1358" t="s">
        <v>1254</v>
      </c>
    </row>
    <row r="10381" spans="1:17" ht="17.399999999999999">
      <c r="A10381" s="549"/>
      <c r="B10381" s="549" t="s">
        <v>271</v>
      </c>
      <c r="C10381" s="549"/>
      <c r="D10381" s="549"/>
      <c r="E10381" s="549"/>
      <c r="F10381" s="549"/>
      <c r="G10381" s="549"/>
      <c r="H10381" s="549"/>
      <c r="I10381" s="560"/>
      <c r="J10381" s="710"/>
      <c r="K10381" s="648">
        <f>SUM(K10380)</f>
        <v>59</v>
      </c>
      <c r="L10381" s="765">
        <f>SUM(L10380)</f>
        <v>4.2902439999999995</v>
      </c>
      <c r="M10381" s="549"/>
      <c r="N10381" s="549"/>
      <c r="O10381" s="549"/>
      <c r="P10381" s="549"/>
    </row>
    <row r="10382" spans="1:17" s="1358" customFormat="1" ht="17.399999999999999">
      <c r="A10382" s="549"/>
      <c r="B10382" s="549"/>
      <c r="C10382" s="549"/>
      <c r="D10382" s="549"/>
      <c r="E10382" s="549"/>
      <c r="F10382" s="549"/>
      <c r="G10382" s="549"/>
      <c r="H10382" s="549"/>
      <c r="I10382" s="560"/>
      <c r="J10382" s="710"/>
      <c r="K10382" s="648"/>
      <c r="L10382" s="765"/>
      <c r="M10382" s="549"/>
      <c r="N10382" s="549"/>
      <c r="O10382" s="549"/>
      <c r="P10382" s="549"/>
    </row>
    <row r="10383" spans="1:17" ht="17.399999999999999">
      <c r="A10383" s="547" t="s">
        <v>395</v>
      </c>
      <c r="B10383" s="547" t="s">
        <v>1124</v>
      </c>
      <c r="C10383" s="547" t="s">
        <v>19</v>
      </c>
      <c r="D10383" s="813" t="s">
        <v>582</v>
      </c>
      <c r="E10383" s="547" t="s">
        <v>270</v>
      </c>
      <c r="F10383" s="549">
        <v>7</v>
      </c>
      <c r="G10383" s="549" t="s">
        <v>61</v>
      </c>
      <c r="H10383" s="599" t="s">
        <v>69</v>
      </c>
      <c r="I10383" s="560">
        <v>6.86</v>
      </c>
      <c r="J10383" s="710">
        <v>12</v>
      </c>
      <c r="K10383" s="648">
        <v>6</v>
      </c>
      <c r="L10383" s="552">
        <f>(I10383*J10383*K10383/1000)</f>
        <v>0.49392000000000008</v>
      </c>
      <c r="M10383" s="549"/>
      <c r="N10383" s="549"/>
      <c r="O10383" s="549"/>
      <c r="P10383" s="549"/>
      <c r="Q10383" s="1358" t="s">
        <v>1254</v>
      </c>
    </row>
    <row r="10384" spans="1:17" ht="17.399999999999999">
      <c r="A10384" s="549"/>
      <c r="B10384" s="549" t="s">
        <v>271</v>
      </c>
      <c r="C10384" s="549"/>
      <c r="D10384" s="549"/>
      <c r="E10384" s="549"/>
      <c r="F10384" s="549"/>
      <c r="G10384" s="549"/>
      <c r="H10384" s="549"/>
      <c r="I10384" s="560"/>
      <c r="J10384" s="710"/>
      <c r="K10384" s="648">
        <f>SUM(K10383)</f>
        <v>6</v>
      </c>
      <c r="L10384" s="765">
        <f>SUM(L10383)</f>
        <v>0.49392000000000008</v>
      </c>
      <c r="M10384" s="549"/>
      <c r="N10384" s="549"/>
      <c r="O10384" s="549"/>
      <c r="P10384" s="549"/>
    </row>
    <row r="10385" spans="1:17" s="1358" customFormat="1" ht="17.399999999999999">
      <c r="A10385" s="549"/>
      <c r="B10385" s="549"/>
      <c r="C10385" s="549"/>
      <c r="D10385" s="549"/>
      <c r="E10385" s="549"/>
      <c r="F10385" s="549"/>
      <c r="G10385" s="549"/>
      <c r="H10385" s="549"/>
      <c r="I10385" s="560"/>
      <c r="J10385" s="710"/>
      <c r="K10385" s="648"/>
      <c r="L10385" s="765"/>
      <c r="M10385" s="549"/>
      <c r="N10385" s="549"/>
      <c r="O10385" s="549"/>
      <c r="P10385" s="549"/>
    </row>
    <row r="10386" spans="1:17" ht="17.399999999999999">
      <c r="A10386" s="547" t="s">
        <v>395</v>
      </c>
      <c r="B10386" s="547" t="s">
        <v>1181</v>
      </c>
      <c r="C10386" s="547" t="s">
        <v>19</v>
      </c>
      <c r="D10386" s="813" t="s">
        <v>582</v>
      </c>
      <c r="E10386" s="547" t="s">
        <v>270</v>
      </c>
      <c r="F10386" s="549">
        <v>7</v>
      </c>
      <c r="G10386" s="549" t="s">
        <v>61</v>
      </c>
      <c r="H10386" s="599" t="s">
        <v>69</v>
      </c>
      <c r="I10386" s="560">
        <v>6.86</v>
      </c>
      <c r="J10386" s="710">
        <v>10.6</v>
      </c>
      <c r="K10386" s="648">
        <v>1</v>
      </c>
      <c r="L10386" s="552">
        <f>(I10386*J10386*K10386/1000)</f>
        <v>7.2715999999999989E-2</v>
      </c>
      <c r="M10386" s="549"/>
      <c r="N10386" s="549"/>
      <c r="O10386" s="549"/>
      <c r="P10386" s="549"/>
      <c r="Q10386" s="1358" t="s">
        <v>1254</v>
      </c>
    </row>
    <row r="10387" spans="1:17" ht="17.399999999999999">
      <c r="A10387" s="549"/>
      <c r="B10387" s="549" t="s">
        <v>271</v>
      </c>
      <c r="C10387" s="549"/>
      <c r="D10387" s="549"/>
      <c r="E10387" s="549"/>
      <c r="F10387" s="549"/>
      <c r="G10387" s="549"/>
      <c r="H10387" s="549"/>
      <c r="I10387" s="560"/>
      <c r="J10387" s="710"/>
      <c r="K10387" s="648">
        <f>SUM(K10386:K10386)</f>
        <v>1</v>
      </c>
      <c r="L10387" s="765">
        <f>SUM(L10386:L10386)</f>
        <v>7.2715999999999989E-2</v>
      </c>
      <c r="M10387" s="549"/>
      <c r="N10387" s="549"/>
      <c r="O10387" s="549"/>
      <c r="P10387" s="549"/>
    </row>
    <row r="10388" spans="1:17" s="1358" customFormat="1" ht="17.399999999999999">
      <c r="A10388" s="549"/>
      <c r="B10388" s="549"/>
      <c r="C10388" s="549"/>
      <c r="D10388" s="549"/>
      <c r="E10388" s="549"/>
      <c r="F10388" s="549"/>
      <c r="G10388" s="549"/>
      <c r="H10388" s="549"/>
      <c r="I10388" s="560"/>
      <c r="J10388" s="710"/>
      <c r="K10388" s="766">
        <f>SUM(K10377:K10387)/2</f>
        <v>168</v>
      </c>
      <c r="L10388" s="765">
        <f>SUM(L10377:L10387)/2</f>
        <v>12.273911999999999</v>
      </c>
      <c r="M10388" s="766">
        <f>SUM(M10377:M10387)/2</f>
        <v>0</v>
      </c>
      <c r="N10388" s="765">
        <f>SUM(N10377:N10387)/2</f>
        <v>0</v>
      </c>
      <c r="O10388" s="549"/>
      <c r="P10388" s="549" t="s">
        <v>1236</v>
      </c>
    </row>
    <row r="10389" spans="1:17" s="1358" customFormat="1" ht="17.399999999999999">
      <c r="A10389" s="549"/>
      <c r="B10389" s="549"/>
      <c r="C10389" s="549"/>
      <c r="D10389" s="549"/>
      <c r="E10389" s="549"/>
      <c r="F10389" s="549"/>
      <c r="G10389" s="549"/>
      <c r="H10389" s="549"/>
      <c r="I10389" s="560"/>
      <c r="J10389" s="710"/>
      <c r="K10389" s="648"/>
      <c r="L10389" s="765"/>
      <c r="M10389" s="549"/>
      <c r="N10389" s="549"/>
      <c r="O10389" s="549"/>
      <c r="P10389" s="549"/>
    </row>
    <row r="10390" spans="1:17" s="1358" customFormat="1" ht="17.399999999999999">
      <c r="A10390" s="549"/>
      <c r="B10390" s="549"/>
      <c r="C10390" s="549"/>
      <c r="D10390" s="549"/>
      <c r="E10390" s="549"/>
      <c r="F10390" s="549"/>
      <c r="G10390" s="549"/>
      <c r="H10390" s="549"/>
      <c r="I10390" s="560"/>
      <c r="J10390" s="710"/>
      <c r="K10390" s="648"/>
      <c r="L10390" s="765"/>
      <c r="M10390" s="549"/>
      <c r="N10390" s="549"/>
      <c r="O10390" s="549"/>
      <c r="P10390" s="549"/>
    </row>
    <row r="10391" spans="1:17" s="1358" customFormat="1" ht="17.399999999999999">
      <c r="A10391" s="547" t="s">
        <v>83</v>
      </c>
      <c r="B10391" s="547" t="s">
        <v>1166</v>
      </c>
      <c r="C10391" s="547" t="s">
        <v>19</v>
      </c>
      <c r="D10391" s="813" t="s">
        <v>854</v>
      </c>
      <c r="E10391" s="780" t="s">
        <v>1167</v>
      </c>
      <c r="F10391" s="772">
        <v>9</v>
      </c>
      <c r="G10391" s="549" t="s">
        <v>21</v>
      </c>
      <c r="H10391" s="599" t="s">
        <v>69</v>
      </c>
      <c r="I10391" s="560">
        <v>6.85</v>
      </c>
      <c r="J10391" s="710">
        <v>10</v>
      </c>
      <c r="K10391" s="648">
        <v>37</v>
      </c>
      <c r="L10391" s="552">
        <f>(I10391*J10391*K10391/1000)</f>
        <v>2.5345</v>
      </c>
      <c r="M10391" s="549"/>
      <c r="N10391" s="549"/>
      <c r="O10391" s="549"/>
      <c r="P10391" s="549"/>
      <c r="Q10391" s="1358" t="s">
        <v>1254</v>
      </c>
    </row>
    <row r="10392" spans="1:17" s="1358" customFormat="1" ht="17.399999999999999">
      <c r="A10392" s="549"/>
      <c r="B10392" s="549" t="s">
        <v>84</v>
      </c>
      <c r="C10392" s="549"/>
      <c r="D10392" s="549"/>
      <c r="E10392" s="549"/>
      <c r="F10392" s="561"/>
      <c r="G10392" s="549"/>
      <c r="H10392" s="650"/>
      <c r="I10392" s="560"/>
      <c r="J10392" s="710"/>
      <c r="K10392" s="648">
        <f t="shared" ref="K10392:L10392" si="2163">SUM(K10391)</f>
        <v>37</v>
      </c>
      <c r="L10392" s="765">
        <f t="shared" si="2163"/>
        <v>2.5345</v>
      </c>
      <c r="M10392" s="549"/>
      <c r="N10392" s="549"/>
      <c r="O10392" s="549"/>
      <c r="P10392" s="549" t="s">
        <v>1238</v>
      </c>
    </row>
    <row r="10393" spans="1:17" s="1358" customFormat="1" ht="17.399999999999999">
      <c r="A10393" s="549"/>
      <c r="B10393" s="549"/>
      <c r="C10393" s="549"/>
      <c r="D10393" s="549"/>
      <c r="E10393" s="549"/>
      <c r="F10393" s="561"/>
      <c r="G10393" s="549"/>
      <c r="H10393" s="549"/>
      <c r="I10393" s="560"/>
      <c r="J10393" s="710"/>
      <c r="K10393" s="648"/>
      <c r="L10393" s="765"/>
      <c r="M10393" s="549"/>
      <c r="N10393" s="549"/>
      <c r="O10393" s="549"/>
      <c r="P10393" s="549"/>
    </row>
    <row r="10394" spans="1:17" s="1358" customFormat="1" ht="17.399999999999999">
      <c r="A10394" s="549"/>
      <c r="B10394" s="549"/>
      <c r="C10394" s="549"/>
      <c r="D10394" s="549"/>
      <c r="E10394" s="549"/>
      <c r="F10394" s="561"/>
      <c r="G10394" s="549"/>
      <c r="H10394" s="549"/>
      <c r="I10394" s="560"/>
      <c r="J10394" s="710"/>
      <c r="K10394" s="648"/>
      <c r="L10394" s="765"/>
      <c r="M10394" s="549"/>
      <c r="N10394" s="549"/>
      <c r="O10394" s="549"/>
      <c r="P10394" s="549"/>
    </row>
    <row r="10395" spans="1:17" s="1358" customFormat="1" ht="17.399999999999999">
      <c r="A10395" s="549"/>
      <c r="B10395" s="549"/>
      <c r="C10395" s="549"/>
      <c r="D10395" s="549"/>
      <c r="E10395" s="549"/>
      <c r="F10395" s="561"/>
      <c r="G10395" s="549"/>
      <c r="H10395" s="549"/>
      <c r="I10395" s="560"/>
      <c r="J10395" s="710"/>
      <c r="K10395" s="648"/>
      <c r="L10395" s="765"/>
      <c r="M10395" s="549"/>
      <c r="N10395" s="549"/>
      <c r="O10395" s="549"/>
      <c r="P10395" s="549"/>
    </row>
    <row r="10396" spans="1:17" s="1358" customFormat="1" ht="17.399999999999999">
      <c r="A10396" s="547" t="s">
        <v>445</v>
      </c>
      <c r="B10396" s="547" t="s">
        <v>786</v>
      </c>
      <c r="C10396" s="547" t="s">
        <v>19</v>
      </c>
      <c r="D10396" s="547" t="s">
        <v>20</v>
      </c>
      <c r="E10396" s="560" t="s">
        <v>464</v>
      </c>
      <c r="F10396" s="772">
        <v>9</v>
      </c>
      <c r="G10396" s="549" t="s">
        <v>21</v>
      </c>
      <c r="H10396" s="599" t="s">
        <v>69</v>
      </c>
      <c r="I10396" s="558">
        <v>6.85</v>
      </c>
      <c r="J10396" s="567">
        <v>10</v>
      </c>
      <c r="K10396" s="648">
        <f>104-7</f>
        <v>97</v>
      </c>
      <c r="L10396" s="552">
        <f t="shared" ref="L10396:L10399" si="2164">(I10396*J10396*K10396/1000)</f>
        <v>6.6444999999999999</v>
      </c>
      <c r="M10396" s="549"/>
      <c r="N10396" s="549"/>
      <c r="O10396" s="549"/>
      <c r="P10396" s="549"/>
      <c r="Q10396" s="1440" t="s">
        <v>1275</v>
      </c>
    </row>
    <row r="10397" spans="1:17" s="1358" customFormat="1" ht="17.399999999999999">
      <c r="A10397" s="547"/>
      <c r="B10397" s="754" t="s">
        <v>621</v>
      </c>
      <c r="C10397" s="780"/>
      <c r="D10397" s="547"/>
      <c r="E10397" s="547"/>
      <c r="F10397" s="772"/>
      <c r="G10397" s="549" t="s">
        <v>21</v>
      </c>
      <c r="H10397" s="549" t="s">
        <v>69</v>
      </c>
      <c r="I10397" s="558">
        <v>6.85</v>
      </c>
      <c r="J10397" s="567">
        <v>11</v>
      </c>
      <c r="K10397" s="648">
        <f>4-2</f>
        <v>2</v>
      </c>
      <c r="L10397" s="552">
        <f t="shared" si="2164"/>
        <v>0.1507</v>
      </c>
      <c r="M10397" s="549"/>
      <c r="N10397" s="549"/>
      <c r="O10397" s="549"/>
      <c r="P10397" s="549"/>
    </row>
    <row r="10398" spans="1:17" s="1358" customFormat="1" ht="17.399999999999999">
      <c r="A10398" s="549"/>
      <c r="B10398" s="549"/>
      <c r="C10398" s="549"/>
      <c r="D10398" s="549"/>
      <c r="E10398" s="549"/>
      <c r="F10398" s="561"/>
      <c r="G10398" s="549" t="s">
        <v>21</v>
      </c>
      <c r="H10398" s="549" t="s">
        <v>69</v>
      </c>
      <c r="I10398" s="558">
        <v>6.85</v>
      </c>
      <c r="J10398" s="567">
        <v>11.5</v>
      </c>
      <c r="K10398" s="648">
        <f>588-8</f>
        <v>580</v>
      </c>
      <c r="L10398" s="552">
        <f t="shared" si="2164"/>
        <v>45.689499999999995</v>
      </c>
      <c r="M10398" s="549"/>
      <c r="N10398" s="549"/>
      <c r="O10398" s="549"/>
      <c r="P10398" s="549"/>
    </row>
    <row r="10399" spans="1:17" s="1358" customFormat="1" ht="17.399999999999999">
      <c r="A10399" s="549"/>
      <c r="B10399" s="549"/>
      <c r="C10399" s="549"/>
      <c r="D10399" s="549"/>
      <c r="E10399" s="549"/>
      <c r="F10399" s="561"/>
      <c r="G10399" s="549" t="s">
        <v>21</v>
      </c>
      <c r="H10399" s="549" t="s">
        <v>69</v>
      </c>
      <c r="I10399" s="558">
        <v>6.85</v>
      </c>
      <c r="J10399" s="567">
        <v>12</v>
      </c>
      <c r="K10399" s="648">
        <f>352-232</f>
        <v>120</v>
      </c>
      <c r="L10399" s="552">
        <f t="shared" si="2164"/>
        <v>9.863999999999999</v>
      </c>
      <c r="M10399" s="549"/>
      <c r="N10399" s="549"/>
      <c r="O10399" s="549"/>
      <c r="P10399" s="549"/>
    </row>
    <row r="10400" spans="1:17" s="1358" customFormat="1" ht="17.399999999999999">
      <c r="A10400" s="549"/>
      <c r="B10400" s="549"/>
      <c r="C10400" s="549"/>
      <c r="D10400" s="549"/>
      <c r="E10400" s="549"/>
      <c r="F10400" s="561"/>
      <c r="G10400" s="549"/>
      <c r="H10400" s="549"/>
      <c r="I10400" s="558"/>
      <c r="J10400" s="567"/>
      <c r="K10400" s="648">
        <f t="shared" ref="K10400" si="2165">SUM(K10396:K10399)</f>
        <v>799</v>
      </c>
      <c r="L10400" s="765">
        <f>SUM(L10396:L10399)</f>
        <v>62.348699999999994</v>
      </c>
      <c r="M10400" s="549" t="s">
        <v>1240</v>
      </c>
      <c r="N10400" s="549"/>
      <c r="O10400" s="549"/>
      <c r="P10400" s="549" t="s">
        <v>1239</v>
      </c>
    </row>
    <row r="10401" spans="1:17" s="1358" customFormat="1" ht="17.399999999999999">
      <c r="A10401" s="549"/>
      <c r="B10401" s="549"/>
      <c r="C10401" s="549"/>
      <c r="D10401" s="549"/>
      <c r="E10401" s="549"/>
      <c r="F10401" s="561"/>
      <c r="G10401" s="549"/>
      <c r="H10401" s="549"/>
      <c r="I10401" s="560"/>
      <c r="J10401" s="710"/>
      <c r="K10401" s="648"/>
      <c r="L10401" s="765"/>
      <c r="M10401" s="549"/>
      <c r="N10401" s="549"/>
      <c r="O10401" s="549"/>
      <c r="P10401" s="549"/>
    </row>
    <row r="10402" spans="1:17" s="1358" customFormat="1" ht="17.399999999999999">
      <c r="A10402" s="547" t="s">
        <v>445</v>
      </c>
      <c r="B10402" s="547" t="s">
        <v>786</v>
      </c>
      <c r="C10402" s="547" t="s">
        <v>19</v>
      </c>
      <c r="D10402" s="547" t="s">
        <v>20</v>
      </c>
      <c r="E10402" s="560" t="s">
        <v>464</v>
      </c>
      <c r="F10402" s="772">
        <v>9</v>
      </c>
      <c r="G10402" s="549" t="s">
        <v>21</v>
      </c>
      <c r="H10402" s="599" t="s">
        <v>713</v>
      </c>
      <c r="I10402" s="558">
        <v>4.6500000000000004</v>
      </c>
      <c r="J10402" s="567">
        <v>10</v>
      </c>
      <c r="K10402" s="648">
        <v>29</v>
      </c>
      <c r="L10402" s="552">
        <f t="shared" ref="L10402:L10407" si="2166">(I10402*J10402*K10402/1000)</f>
        <v>1.3485</v>
      </c>
      <c r="M10402" s="549"/>
      <c r="N10402" s="549"/>
      <c r="O10402" s="549"/>
      <c r="P10402" s="549"/>
      <c r="Q10402" s="1440" t="s">
        <v>1274</v>
      </c>
    </row>
    <row r="10403" spans="1:17" s="1358" customFormat="1" ht="17.399999999999999">
      <c r="A10403" s="547"/>
      <c r="B10403" s="754" t="s">
        <v>621</v>
      </c>
      <c r="C10403" s="780"/>
      <c r="D10403" s="547"/>
      <c r="E10403" s="547"/>
      <c r="F10403" s="772"/>
      <c r="G10403" s="549" t="s">
        <v>21</v>
      </c>
      <c r="H10403" s="549" t="s">
        <v>713</v>
      </c>
      <c r="I10403" s="558">
        <v>4.6500000000000004</v>
      </c>
      <c r="J10403" s="567">
        <v>10.3</v>
      </c>
      <c r="K10403" s="648">
        <v>147</v>
      </c>
      <c r="L10403" s="552">
        <f t="shared" si="2166"/>
        <v>7.0405650000000017</v>
      </c>
      <c r="M10403" s="549"/>
      <c r="N10403" s="549"/>
      <c r="O10403" s="549"/>
      <c r="P10403" s="549"/>
    </row>
    <row r="10404" spans="1:17" s="1358" customFormat="1" ht="17.399999999999999">
      <c r="A10404" s="549"/>
      <c r="B10404" s="549"/>
      <c r="C10404" s="549"/>
      <c r="D10404" s="549"/>
      <c r="E10404" s="549"/>
      <c r="F10404" s="561"/>
      <c r="G10404" s="549" t="s">
        <v>21</v>
      </c>
      <c r="H10404" s="549" t="s">
        <v>713</v>
      </c>
      <c r="I10404" s="558">
        <v>4.6500000000000004</v>
      </c>
      <c r="J10404" s="567">
        <v>10.5</v>
      </c>
      <c r="K10404" s="648">
        <v>5</v>
      </c>
      <c r="L10404" s="552">
        <f t="shared" si="2166"/>
        <v>0.24412500000000001</v>
      </c>
      <c r="M10404" s="549"/>
      <c r="N10404" s="549"/>
      <c r="O10404" s="549"/>
      <c r="P10404" s="549"/>
    </row>
    <row r="10405" spans="1:17" s="1358" customFormat="1" ht="17.399999999999999">
      <c r="A10405" s="549"/>
      <c r="B10405" s="549"/>
      <c r="C10405" s="549"/>
      <c r="D10405" s="549"/>
      <c r="E10405" s="549"/>
      <c r="F10405" s="561"/>
      <c r="G10405" s="549" t="s">
        <v>21</v>
      </c>
      <c r="H10405" s="549" t="s">
        <v>713</v>
      </c>
      <c r="I10405" s="558">
        <v>4.6500000000000004</v>
      </c>
      <c r="J10405" s="567">
        <v>11</v>
      </c>
      <c r="K10405" s="648">
        <v>133</v>
      </c>
      <c r="L10405" s="552">
        <f t="shared" si="2166"/>
        <v>6.8029500000000009</v>
      </c>
      <c r="M10405" s="549"/>
      <c r="N10405" s="549"/>
      <c r="O10405" s="549"/>
      <c r="P10405" s="549"/>
    </row>
    <row r="10406" spans="1:17" s="1358" customFormat="1" ht="17.399999999999999">
      <c r="A10406" s="549"/>
      <c r="B10406" s="549"/>
      <c r="C10406" s="549"/>
      <c r="D10406" s="549"/>
      <c r="E10406" s="549"/>
      <c r="F10406" s="549"/>
      <c r="G10406" s="549" t="s">
        <v>21</v>
      </c>
      <c r="H10406" s="549" t="s">
        <v>713</v>
      </c>
      <c r="I10406" s="558">
        <v>4.6500000000000004</v>
      </c>
      <c r="J10406" s="567">
        <v>11.5</v>
      </c>
      <c r="K10406" s="648">
        <v>96</v>
      </c>
      <c r="L10406" s="552">
        <f t="shared" si="2166"/>
        <v>5.1336000000000004</v>
      </c>
      <c r="M10406" s="549"/>
      <c r="N10406" s="549"/>
      <c r="O10406" s="549"/>
      <c r="P10406" s="549"/>
    </row>
    <row r="10407" spans="1:17" s="1358" customFormat="1" ht="17.399999999999999">
      <c r="A10407" s="549"/>
      <c r="B10407" s="549"/>
      <c r="C10407" s="549"/>
      <c r="D10407" s="549"/>
      <c r="E10407" s="549"/>
      <c r="F10407" s="549"/>
      <c r="G10407" s="549" t="s">
        <v>21</v>
      </c>
      <c r="H10407" s="549" t="s">
        <v>713</v>
      </c>
      <c r="I10407" s="558">
        <v>4.6500000000000004</v>
      </c>
      <c r="J10407" s="567">
        <v>12</v>
      </c>
      <c r="K10407" s="648">
        <v>56</v>
      </c>
      <c r="L10407" s="552">
        <f t="shared" si="2166"/>
        <v>3.1248</v>
      </c>
      <c r="M10407" s="549"/>
      <c r="N10407" s="549"/>
      <c r="O10407" s="549"/>
      <c r="P10407" s="549"/>
    </row>
    <row r="10408" spans="1:17" s="1358" customFormat="1" ht="17.399999999999999">
      <c r="A10408" s="549"/>
      <c r="B10408" s="549"/>
      <c r="C10408" s="549"/>
      <c r="D10408" s="549"/>
      <c r="E10408" s="549"/>
      <c r="F10408" s="549"/>
      <c r="G10408" s="549"/>
      <c r="H10408" s="549"/>
      <c r="I10408" s="558"/>
      <c r="J10408" s="567"/>
      <c r="K10408" s="648">
        <f t="shared" ref="K10408:L10408" si="2167">SUM(K10402:K10407)</f>
        <v>466</v>
      </c>
      <c r="L10408" s="567">
        <f t="shared" si="2167"/>
        <v>23.694540000000003</v>
      </c>
      <c r="M10408" s="549"/>
      <c r="N10408" s="549"/>
      <c r="O10408" s="549"/>
      <c r="P10408" s="549" t="s">
        <v>1242</v>
      </c>
    </row>
    <row r="10409" spans="1:17" s="1358" customFormat="1" ht="17.399999999999999">
      <c r="A10409" s="549"/>
      <c r="B10409" s="549"/>
      <c r="C10409" s="549"/>
      <c r="D10409" s="549"/>
      <c r="E10409" s="549"/>
      <c r="F10409" s="549"/>
      <c r="G10409" s="549"/>
      <c r="H10409" s="549"/>
      <c r="I10409" s="560"/>
      <c r="J10409" s="710"/>
      <c r="K10409" s="648"/>
      <c r="L10409" s="765"/>
      <c r="M10409" s="549"/>
      <c r="N10409" s="549"/>
      <c r="O10409" s="549"/>
      <c r="P10409" s="549"/>
    </row>
    <row r="10410" spans="1:17" s="1358" customFormat="1" ht="17.399999999999999">
      <c r="A10410" s="549"/>
      <c r="B10410" s="549"/>
      <c r="C10410" s="549"/>
      <c r="D10410" s="549"/>
      <c r="E10410" s="549"/>
      <c r="F10410" s="549"/>
      <c r="G10410" s="549"/>
      <c r="H10410" s="549"/>
      <c r="I10410" s="560"/>
      <c r="J10410" s="710"/>
      <c r="K10410" s="648"/>
      <c r="L10410" s="765"/>
      <c r="M10410" s="549"/>
      <c r="N10410" s="549"/>
      <c r="O10410" s="549"/>
      <c r="P10410" s="549"/>
    </row>
    <row r="10411" spans="1:17" ht="17.399999999999999">
      <c r="A10411" s="549"/>
      <c r="B10411" s="549"/>
      <c r="C10411" s="549"/>
      <c r="D10411" s="549"/>
      <c r="E10411" s="549"/>
      <c r="F10411" s="549"/>
      <c r="G10411" s="549"/>
      <c r="H10411" s="549"/>
      <c r="I10411" s="560"/>
      <c r="J10411" s="549"/>
      <c r="K10411" s="561"/>
      <c r="L10411" s="560"/>
      <c r="M10411" s="549"/>
      <c r="N10411" s="549"/>
      <c r="O10411" s="549"/>
      <c r="P10411" s="549"/>
    </row>
    <row r="10412" spans="1:17" ht="17.399999999999999">
      <c r="A10412" s="549"/>
      <c r="B10412" s="549"/>
      <c r="C10412" s="549"/>
      <c r="D10412" s="549"/>
      <c r="E10412" s="549"/>
      <c r="F10412" s="549"/>
      <c r="G10412" s="549"/>
      <c r="H10412" s="549"/>
      <c r="I10412" s="560"/>
      <c r="J10412" s="549"/>
      <c r="K10412" s="561"/>
      <c r="L10412" s="565">
        <f>+L10374+L10388+L10408+L10400</f>
        <v>246.97015199999998</v>
      </c>
      <c r="M10412" s="549"/>
      <c r="N10412" s="565">
        <f>+N10374+N10388</f>
        <v>11.231999999999999</v>
      </c>
      <c r="O10412" s="549"/>
      <c r="P10412" s="549"/>
    </row>
    <row r="10413" spans="1:17" ht="18">
      <c r="A10413" s="653" t="s">
        <v>48</v>
      </c>
      <c r="B10413" s="653"/>
      <c r="C10413" s="654"/>
      <c r="D10413" s="654"/>
      <c r="E10413" s="654"/>
      <c r="F10413" s="1426"/>
      <c r="G10413" s="654"/>
      <c r="H10413" s="1426"/>
      <c r="I10413" s="656"/>
      <c r="J10413" s="654"/>
      <c r="K10413" s="657"/>
      <c r="L10413" s="2003" t="s">
        <v>0</v>
      </c>
      <c r="M10413" s="2003"/>
      <c r="N10413" s="2003"/>
      <c r="O10413" s="2004"/>
      <c r="P10413" s="1097"/>
    </row>
    <row r="10414" spans="1:17" ht="18">
      <c r="A10414" s="658" t="s">
        <v>1</v>
      </c>
      <c r="B10414" s="658"/>
      <c r="C10414" s="658"/>
      <c r="D10414" s="659" t="s">
        <v>2</v>
      </c>
      <c r="E10414" s="659"/>
      <c r="F10414" s="660"/>
      <c r="G10414" s="660"/>
      <c r="H10414" s="660"/>
      <c r="I10414" s="661"/>
      <c r="J10414" s="660"/>
      <c r="K10414" s="662" t="s">
        <v>3</v>
      </c>
      <c r="L10414" s="660"/>
      <c r="M10414" s="658"/>
      <c r="N10414" s="660"/>
      <c r="O10414" s="663"/>
      <c r="P10414" s="1098"/>
    </row>
    <row r="10415" spans="1:17" ht="18">
      <c r="A10415" s="1426" t="s">
        <v>22</v>
      </c>
      <c r="B10415" s="1990" t="s">
        <v>23</v>
      </c>
      <c r="C10415" s="2005"/>
      <c r="D10415" s="1989"/>
      <c r="E10415" s="1426" t="s">
        <v>24</v>
      </c>
      <c r="F10415" s="1990" t="s">
        <v>25</v>
      </c>
      <c r="G10415" s="1989"/>
      <c r="H10415" s="1990" t="s">
        <v>26</v>
      </c>
      <c r="I10415" s="2005"/>
      <c r="J10415" s="2005"/>
      <c r="K10415" s="1989"/>
      <c r="L10415" s="2006" t="s">
        <v>27</v>
      </c>
      <c r="M10415" s="2006"/>
      <c r="N10415" s="2006"/>
      <c r="O10415" s="1990"/>
      <c r="P10415" s="1098"/>
    </row>
    <row r="10416" spans="1:17" ht="18">
      <c r="A10416" s="664"/>
      <c r="B10416" s="1975"/>
      <c r="C10416" s="1976"/>
      <c r="D10416" s="1977"/>
      <c r="E10416" s="665"/>
      <c r="F10416" s="1975"/>
      <c r="G10416" s="1977"/>
      <c r="H10416" s="1975"/>
      <c r="I10416" s="1976"/>
      <c r="J10416" s="1976"/>
      <c r="K10416" s="1977"/>
      <c r="L10416" s="1975"/>
      <c r="M10416" s="1976"/>
      <c r="N10416" s="1976"/>
      <c r="O10416" s="1976"/>
      <c r="P10416" s="1098"/>
    </row>
    <row r="10417" spans="1:16" ht="18">
      <c r="A10417" s="664"/>
      <c r="B10417" s="1419"/>
      <c r="C10417" s="1420"/>
      <c r="D10417" s="1421"/>
      <c r="E10417" s="665"/>
      <c r="F10417" s="1419"/>
      <c r="G10417" s="1421"/>
      <c r="H10417" s="1419"/>
      <c r="I10417" s="1842"/>
      <c r="J10417" s="1420"/>
      <c r="K10417" s="1421"/>
      <c r="L10417" s="1420"/>
      <c r="M10417" s="1420"/>
      <c r="N10417" s="1420"/>
      <c r="O10417" s="1420"/>
      <c r="P10417" s="1098"/>
    </row>
    <row r="10418" spans="1:16" ht="18">
      <c r="A10418" s="664" t="s">
        <v>28</v>
      </c>
      <c r="B10418" s="1975" t="s">
        <v>574</v>
      </c>
      <c r="C10418" s="1976"/>
      <c r="D10418" s="1977"/>
      <c r="E10418" s="665">
        <f>+L10374-11.232</f>
        <v>137.42099999999999</v>
      </c>
      <c r="F10418" s="1975">
        <v>7</v>
      </c>
      <c r="G10418" s="1977"/>
      <c r="H10418" s="2007" t="s">
        <v>592</v>
      </c>
      <c r="I10418" s="2007"/>
      <c r="J10418" s="2007"/>
      <c r="K10418" s="2007"/>
      <c r="L10418" s="1976" t="s">
        <v>1138</v>
      </c>
      <c r="M10418" s="1976"/>
      <c r="N10418" s="1976"/>
      <c r="O10418" s="1976"/>
      <c r="P10418" s="1098"/>
    </row>
    <row r="10419" spans="1:16" ht="18">
      <c r="A10419" s="664" t="s">
        <v>29</v>
      </c>
      <c r="B10419" s="1975" t="s">
        <v>623</v>
      </c>
      <c r="C10419" s="1976"/>
      <c r="D10419" s="1977"/>
      <c r="E10419" s="665">
        <f>+L10388</f>
        <v>12.273911999999999</v>
      </c>
      <c r="F10419" s="1975">
        <v>7</v>
      </c>
      <c r="G10419" s="1977"/>
      <c r="H10419" s="2007" t="s">
        <v>592</v>
      </c>
      <c r="I10419" s="2007"/>
      <c r="J10419" s="2007"/>
      <c r="K10419" s="2007"/>
      <c r="L10419" s="1976" t="s">
        <v>1138</v>
      </c>
      <c r="M10419" s="1976"/>
      <c r="N10419" s="1976"/>
      <c r="O10419" s="1976"/>
      <c r="P10419" s="1098"/>
    </row>
    <row r="10420" spans="1:16" ht="18">
      <c r="A10420" s="664"/>
      <c r="B10420" s="1975"/>
      <c r="C10420" s="1976"/>
      <c r="D10420" s="1977"/>
      <c r="E10420" s="665"/>
      <c r="F10420" s="1975"/>
      <c r="G10420" s="1977"/>
      <c r="H10420" s="2007"/>
      <c r="I10420" s="2007"/>
      <c r="J10420" s="2007"/>
      <c r="K10420" s="2007"/>
      <c r="L10420" s="1976"/>
      <c r="M10420" s="1976"/>
      <c r="N10420" s="1976"/>
      <c r="O10420" s="1976"/>
      <c r="P10420" s="1098"/>
    </row>
    <row r="10421" spans="1:16" s="1358" customFormat="1" ht="18">
      <c r="A10421" s="664"/>
      <c r="B10421" s="1419"/>
      <c r="C10421" s="1420"/>
      <c r="D10421" s="1421"/>
      <c r="E10421" s="665"/>
      <c r="F10421" s="1419"/>
      <c r="G10421" s="1421"/>
      <c r="H10421" s="1422"/>
      <c r="I10421" s="1852"/>
      <c r="J10421" s="1422"/>
      <c r="K10421" s="1422"/>
      <c r="L10421" s="1420"/>
      <c r="M10421" s="1420"/>
      <c r="N10421" s="1420"/>
      <c r="O10421" s="1420"/>
      <c r="P10421" s="1098"/>
    </row>
    <row r="10422" spans="1:16" s="1358" customFormat="1" ht="18">
      <c r="A10422" s="664" t="s">
        <v>30</v>
      </c>
      <c r="B10422" s="1975" t="s">
        <v>71</v>
      </c>
      <c r="C10422" s="1976"/>
      <c r="D10422" s="1977"/>
      <c r="E10422" s="665">
        <f>32+3</f>
        <v>35</v>
      </c>
      <c r="F10422" s="1973">
        <v>9</v>
      </c>
      <c r="G10422" s="1974"/>
      <c r="H10422" s="1975" t="s">
        <v>49</v>
      </c>
      <c r="I10422" s="1976"/>
      <c r="J10422" s="1976"/>
      <c r="K10422" s="1977"/>
      <c r="L10422" s="1976" t="s">
        <v>1241</v>
      </c>
      <c r="M10422" s="1976"/>
      <c r="N10422" s="1976"/>
      <c r="O10422" s="1976"/>
      <c r="P10422" s="1098"/>
    </row>
    <row r="10423" spans="1:16" s="1358" customFormat="1" ht="18">
      <c r="A10423" s="664" t="s">
        <v>46</v>
      </c>
      <c r="B10423" s="1975" t="s">
        <v>720</v>
      </c>
      <c r="C10423" s="1976"/>
      <c r="D10423" s="1977"/>
      <c r="E10423" s="665">
        <f>+L10408</f>
        <v>23.694540000000003</v>
      </c>
      <c r="F10423" s="1973">
        <v>9</v>
      </c>
      <c r="G10423" s="1974"/>
      <c r="H10423" s="1975" t="s">
        <v>49</v>
      </c>
      <c r="I10423" s="1976"/>
      <c r="J10423" s="1976"/>
      <c r="K10423" s="1977"/>
      <c r="L10423" s="1976" t="s">
        <v>1237</v>
      </c>
      <c r="M10423" s="1976"/>
      <c r="N10423" s="1976"/>
      <c r="O10423" s="1976"/>
      <c r="P10423" s="1098"/>
    </row>
    <row r="10424" spans="1:16" s="1358" customFormat="1" ht="18">
      <c r="A10424" s="664"/>
      <c r="B10424" s="1419"/>
      <c r="C10424" s="1420"/>
      <c r="D10424" s="1421"/>
      <c r="E10424" s="665"/>
      <c r="F10424" s="1419"/>
      <c r="G10424" s="1421"/>
      <c r="H10424" s="1422"/>
      <c r="I10424" s="1852"/>
      <c r="J10424" s="1422"/>
      <c r="K10424" s="1422"/>
      <c r="L10424" s="1420"/>
      <c r="M10424" s="1420"/>
      <c r="N10424" s="1420"/>
      <c r="O10424" s="1420"/>
      <c r="P10424" s="1098"/>
    </row>
    <row r="10425" spans="1:16" ht="18.600000000000001" thickBot="1">
      <c r="A10425" s="664"/>
      <c r="B10425" s="1419"/>
      <c r="C10425" s="1420"/>
      <c r="D10425" s="1420"/>
      <c r="E10425" s="665"/>
      <c r="F10425" s="1420"/>
      <c r="G10425" s="1421"/>
      <c r="H10425" s="1419"/>
      <c r="I10425" s="1842"/>
      <c r="J10425" s="1420"/>
      <c r="K10425" s="669"/>
      <c r="L10425" s="672"/>
      <c r="M10425" s="673"/>
      <c r="N10425" s="673"/>
      <c r="O10425" s="673"/>
      <c r="P10425" s="1098"/>
    </row>
    <row r="10426" spans="1:16" ht="18">
      <c r="A10426" s="674"/>
      <c r="B10426" s="675"/>
      <c r="C10426" s="676"/>
      <c r="D10426" s="676"/>
      <c r="E10426" s="1980">
        <f>SUM(E10416:E10425)</f>
        <v>208.38945200000001</v>
      </c>
      <c r="F10426" s="677"/>
      <c r="G10426" s="678"/>
      <c r="H10426" s="679"/>
      <c r="I10426" s="1848"/>
      <c r="J10426" s="676"/>
      <c r="K10426" s="680"/>
      <c r="L10426" s="679"/>
      <c r="M10426" s="676"/>
      <c r="N10426" s="677"/>
      <c r="O10426" s="676"/>
      <c r="P10426" s="1098"/>
    </row>
    <row r="10427" spans="1:16" ht="18.600000000000001" thickBot="1">
      <c r="A10427" s="681"/>
      <c r="B10427" s="682"/>
      <c r="C10427" s="683"/>
      <c r="D10427" s="683"/>
      <c r="E10427" s="1981"/>
      <c r="F10427" s="684"/>
      <c r="G10427" s="685"/>
      <c r="H10427" s="686"/>
      <c r="I10427" s="1850"/>
      <c r="J10427" s="683"/>
      <c r="K10427" s="687"/>
      <c r="L10427" s="686"/>
      <c r="M10427" s="683"/>
      <c r="N10427" s="684"/>
      <c r="O10427" s="683"/>
      <c r="P10427" s="1098"/>
    </row>
    <row r="10428" spans="1:16" ht="18">
      <c r="A10428" s="688" t="s">
        <v>31</v>
      </c>
      <c r="B10428" s="676"/>
      <c r="C10428" s="676"/>
      <c r="D10428" s="676"/>
      <c r="E10428" s="676"/>
      <c r="F10428" s="677"/>
      <c r="G10428" s="676"/>
      <c r="H10428" s="677"/>
      <c r="I10428" s="1848"/>
      <c r="J10428" s="676"/>
      <c r="K10428" s="689"/>
      <c r="L10428" s="677"/>
      <c r="M10428" s="676"/>
      <c r="N10428" s="677"/>
      <c r="O10428" s="676"/>
      <c r="P10428" s="1098"/>
    </row>
    <row r="10429" spans="1:16" ht="18">
      <c r="A10429" s="690"/>
      <c r="B10429" s="691"/>
      <c r="C10429" s="691"/>
      <c r="D10429" s="691"/>
      <c r="E10429" s="691"/>
      <c r="F10429" s="1418"/>
      <c r="G10429" s="691"/>
      <c r="H10429" s="1418"/>
      <c r="I10429" s="1849"/>
      <c r="J10429" s="691"/>
      <c r="K10429" s="693"/>
      <c r="L10429" s="1418"/>
      <c r="M10429" s="691"/>
      <c r="N10429" s="1418"/>
      <c r="O10429" s="691"/>
      <c r="P10429" s="1098"/>
    </row>
    <row r="10430" spans="1:16" ht="18.600000000000001" thickBot="1">
      <c r="A10430" s="1982" t="s">
        <v>32</v>
      </c>
      <c r="B10430" s="1983"/>
      <c r="C10430" s="1984" t="s">
        <v>33</v>
      </c>
      <c r="D10430" s="1985"/>
      <c r="E10430" s="694" t="s">
        <v>34</v>
      </c>
      <c r="F10430" s="694" t="s">
        <v>35</v>
      </c>
      <c r="G10430" s="1986" t="s">
        <v>36</v>
      </c>
      <c r="H10430" s="1987"/>
      <c r="I10430" s="1987"/>
      <c r="J10430" s="1987"/>
      <c r="K10430" s="1987"/>
      <c r="L10430" s="1987"/>
      <c r="M10430" s="1987"/>
      <c r="N10430" s="1987"/>
      <c r="O10430" s="1987"/>
      <c r="P10430" s="1098"/>
    </row>
    <row r="10431" spans="1:16" ht="18">
      <c r="A10431" s="1988"/>
      <c r="B10431" s="1989"/>
      <c r="C10431" s="1990"/>
      <c r="D10431" s="1989"/>
      <c r="E10431" s="1426"/>
      <c r="F10431" s="1423"/>
      <c r="G10431" s="1991"/>
      <c r="H10431" s="1992"/>
      <c r="I10431" s="1992"/>
      <c r="J10431" s="1992"/>
      <c r="K10431" s="1992"/>
      <c r="L10431" s="1992"/>
      <c r="M10431" s="1992"/>
      <c r="N10431" s="1992"/>
      <c r="O10431" s="1992"/>
      <c r="P10431" s="1098"/>
    </row>
    <row r="10432" spans="1:16" ht="18">
      <c r="A10432" s="1997" t="s">
        <v>37</v>
      </c>
      <c r="B10432" s="1998"/>
      <c r="C10432" s="1990"/>
      <c r="D10432" s="1989"/>
      <c r="E10432" s="1426"/>
      <c r="F10432" s="1423"/>
      <c r="G10432" s="1993"/>
      <c r="H10432" s="1994"/>
      <c r="I10432" s="1994"/>
      <c r="J10432" s="1994"/>
      <c r="K10432" s="1994"/>
      <c r="L10432" s="1994"/>
      <c r="M10432" s="1994"/>
      <c r="N10432" s="1994"/>
      <c r="O10432" s="1994"/>
      <c r="P10432" s="1098"/>
    </row>
    <row r="10433" spans="1:17" ht="18">
      <c r="A10433" s="1997" t="s">
        <v>38</v>
      </c>
      <c r="B10433" s="1998"/>
      <c r="C10433" s="1990"/>
      <c r="D10433" s="1989"/>
      <c r="E10433" s="1426"/>
      <c r="F10433" s="1423"/>
      <c r="G10433" s="1993"/>
      <c r="H10433" s="1994"/>
      <c r="I10433" s="1994"/>
      <c r="J10433" s="1994"/>
      <c r="K10433" s="1994"/>
      <c r="L10433" s="1994"/>
      <c r="M10433" s="1994"/>
      <c r="N10433" s="1994"/>
      <c r="O10433" s="1994"/>
      <c r="P10433" s="1098"/>
    </row>
    <row r="10434" spans="1:17" ht="18">
      <c r="A10434" s="1997" t="s">
        <v>39</v>
      </c>
      <c r="B10434" s="1998"/>
      <c r="C10434" s="1990"/>
      <c r="D10434" s="1989"/>
      <c r="E10434" s="1426"/>
      <c r="F10434" s="1423"/>
      <c r="G10434" s="1993"/>
      <c r="H10434" s="1994"/>
      <c r="I10434" s="1994"/>
      <c r="J10434" s="1994"/>
      <c r="K10434" s="1994"/>
      <c r="L10434" s="1994"/>
      <c r="M10434" s="1994"/>
      <c r="N10434" s="1994"/>
      <c r="O10434" s="1994"/>
      <c r="P10434" s="1098"/>
    </row>
    <row r="10435" spans="1:17" ht="18">
      <c r="A10435" s="1997" t="s">
        <v>40</v>
      </c>
      <c r="B10435" s="1998"/>
      <c r="C10435" s="1990"/>
      <c r="D10435" s="1989"/>
      <c r="E10435" s="1426"/>
      <c r="F10435" s="1423"/>
      <c r="G10435" s="1993"/>
      <c r="H10435" s="1994"/>
      <c r="I10435" s="1994"/>
      <c r="J10435" s="1994"/>
      <c r="K10435" s="1994"/>
      <c r="L10435" s="1994"/>
      <c r="M10435" s="1994"/>
      <c r="N10435" s="1994"/>
      <c r="O10435" s="1994"/>
      <c r="P10435" s="1098"/>
    </row>
    <row r="10436" spans="1:17" ht="18.600000000000001" thickBot="1">
      <c r="A10436" s="1999" t="s">
        <v>41</v>
      </c>
      <c r="B10436" s="2000"/>
      <c r="C10436" s="2001"/>
      <c r="D10436" s="2002"/>
      <c r="E10436" s="696"/>
      <c r="F10436" s="1424"/>
      <c r="G10436" s="1995"/>
      <c r="H10436" s="1996"/>
      <c r="I10436" s="1996"/>
      <c r="J10436" s="1996"/>
      <c r="K10436" s="1996"/>
      <c r="L10436" s="1996"/>
      <c r="M10436" s="1996"/>
      <c r="N10436" s="1996"/>
      <c r="O10436" s="1996"/>
      <c r="P10436" s="1098"/>
    </row>
    <row r="10437" spans="1:17" ht="18">
      <c r="A10437" s="690"/>
      <c r="B10437" s="691"/>
      <c r="C10437" s="691"/>
      <c r="D10437" s="691"/>
      <c r="E10437" s="691"/>
      <c r="F10437" s="1418"/>
      <c r="G10437" s="691"/>
      <c r="H10437" s="698"/>
      <c r="I10437" s="699"/>
      <c r="J10437" s="700"/>
      <c r="K10437" s="701"/>
      <c r="L10437" s="702"/>
      <c r="M10437" s="691"/>
      <c r="N10437" s="1418"/>
      <c r="O10437" s="691"/>
      <c r="P10437" s="1098"/>
    </row>
    <row r="10438" spans="1:17" ht="18">
      <c r="A10438" s="703" t="s">
        <v>42</v>
      </c>
      <c r="B10438" s="704"/>
      <c r="C10438" s="691"/>
      <c r="D10438" s="691"/>
      <c r="E10438" s="691"/>
      <c r="F10438" s="1418"/>
      <c r="G10438" s="704"/>
      <c r="H10438" s="698"/>
      <c r="I10438" s="699"/>
      <c r="J10438" s="700"/>
      <c r="K10438" s="693"/>
      <c r="L10438" s="705"/>
      <c r="M10438" s="691"/>
      <c r="N10438" s="1979" t="s">
        <v>43</v>
      </c>
      <c r="O10438" s="1979"/>
      <c r="P10438" s="1098"/>
    </row>
    <row r="10439" spans="1:17" ht="18">
      <c r="A10439" s="703"/>
      <c r="B10439" s="704"/>
      <c r="C10439" s="691"/>
      <c r="D10439" s="691"/>
      <c r="E10439" s="691"/>
      <c r="F10439" s="1418"/>
      <c r="G10439" s="691"/>
      <c r="H10439" s="1418"/>
      <c r="I10439" s="1849"/>
      <c r="J10439" s="691"/>
      <c r="K10439" s="693"/>
      <c r="L10439" s="1418"/>
      <c r="M10439" s="691"/>
      <c r="N10439" s="1418"/>
      <c r="O10439" s="704"/>
      <c r="P10439" s="1098"/>
    </row>
    <row r="10440" spans="1:17" ht="18">
      <c r="A10440" s="703" t="s">
        <v>44</v>
      </c>
      <c r="B10440" s="704"/>
      <c r="C10440" s="691"/>
      <c r="D10440" s="691"/>
      <c r="E10440" s="691"/>
      <c r="F10440" s="1418"/>
      <c r="G10440" s="691"/>
      <c r="H10440" s="1418"/>
      <c r="I10440" s="1849"/>
      <c r="J10440" s="691"/>
      <c r="K10440" s="693"/>
      <c r="L10440" s="1418"/>
      <c r="M10440" s="691"/>
      <c r="N10440" s="1979" t="s">
        <v>45</v>
      </c>
      <c r="O10440" s="1979"/>
      <c r="P10440" s="1098"/>
    </row>
    <row r="10441" spans="1:17" ht="18.600000000000001" thickBot="1">
      <c r="A10441" s="682"/>
      <c r="B10441" s="683"/>
      <c r="C10441" s="683"/>
      <c r="D10441" s="683"/>
      <c r="E10441" s="683"/>
      <c r="F10441" s="684"/>
      <c r="G10441" s="683"/>
      <c r="H10441" s="684"/>
      <c r="I10441" s="1850"/>
      <c r="J10441" s="683"/>
      <c r="K10441" s="706"/>
      <c r="L10441" s="684"/>
      <c r="M10441" s="683"/>
      <c r="N10441" s="684"/>
      <c r="O10441" s="683"/>
      <c r="P10441" s="1099"/>
    </row>
    <row r="10445" spans="1:17" ht="17.399999999999999">
      <c r="A10445" s="711" t="s">
        <v>48</v>
      </c>
      <c r="B10445" s="711"/>
      <c r="C10445" s="712"/>
      <c r="D10445" s="712"/>
      <c r="E10445" s="712"/>
      <c r="F10445" s="713"/>
      <c r="G10445" s="712"/>
      <c r="H10445" s="712"/>
      <c r="I10445" s="714"/>
      <c r="J10445" s="715"/>
      <c r="K10445" s="716"/>
      <c r="L10445" s="1978" t="s">
        <v>0</v>
      </c>
      <c r="M10445" s="1978"/>
      <c r="N10445" s="1978"/>
      <c r="O10445" s="1978"/>
      <c r="P10445" s="717"/>
    </row>
    <row r="10446" spans="1:17" ht="17.399999999999999">
      <c r="A10446" s="718" t="s">
        <v>1</v>
      </c>
      <c r="B10446" s="718"/>
      <c r="C10446" s="718"/>
      <c r="D10446" s="719" t="s">
        <v>2</v>
      </c>
      <c r="E10446" s="719"/>
      <c r="F10446" s="720"/>
      <c r="G10446" s="720"/>
      <c r="H10446" s="720"/>
      <c r="I10446" s="721"/>
      <c r="J10446" s="1434"/>
      <c r="K10446" s="723" t="s">
        <v>3</v>
      </c>
      <c r="L10446" s="1434"/>
      <c r="M10446" s="718"/>
      <c r="N10446" s="720"/>
      <c r="O10446" s="718"/>
      <c r="P10446" s="724"/>
    </row>
    <row r="10447" spans="1:17" ht="52.2">
      <c r="A10447" s="640" t="s">
        <v>4</v>
      </c>
      <c r="B10447" s="640" t="s">
        <v>5</v>
      </c>
      <c r="C10447" s="640" t="s">
        <v>6</v>
      </c>
      <c r="D10447" s="640" t="s">
        <v>7</v>
      </c>
      <c r="E10447" s="640" t="s">
        <v>8</v>
      </c>
      <c r="F10447" s="641" t="s">
        <v>9</v>
      </c>
      <c r="G10447" s="642" t="s">
        <v>10</v>
      </c>
      <c r="H10447" s="642" t="s">
        <v>11</v>
      </c>
      <c r="I10447" s="643" t="s">
        <v>12</v>
      </c>
      <c r="J10447" s="644" t="s">
        <v>13</v>
      </c>
      <c r="K10447" s="645" t="s">
        <v>14</v>
      </c>
      <c r="L10447" s="646" t="s">
        <v>15</v>
      </c>
      <c r="M10447" s="641" t="s">
        <v>16</v>
      </c>
      <c r="N10447" s="641" t="s">
        <v>17</v>
      </c>
      <c r="O10447" s="642" t="s">
        <v>18</v>
      </c>
      <c r="P10447" s="641" t="s">
        <v>192</v>
      </c>
    </row>
    <row r="10448" spans="1:17" ht="17.399999999999999">
      <c r="A10448" s="547" t="s">
        <v>332</v>
      </c>
      <c r="B10448" s="547" t="s">
        <v>1094</v>
      </c>
      <c r="C10448" s="547" t="s">
        <v>19</v>
      </c>
      <c r="D10448" s="547" t="s">
        <v>20</v>
      </c>
      <c r="E10448" s="1437" t="s">
        <v>464</v>
      </c>
      <c r="F10448" s="549">
        <v>14</v>
      </c>
      <c r="G10448" s="549" t="s">
        <v>21</v>
      </c>
      <c r="H10448" s="599" t="s">
        <v>126</v>
      </c>
      <c r="I10448" s="558">
        <v>23.6</v>
      </c>
      <c r="J10448" s="567">
        <v>11.3</v>
      </c>
      <c r="K10448" s="648">
        <v>52</v>
      </c>
      <c r="L10448" s="552">
        <f>(I10448*J10448*K10448/1000)</f>
        <v>13.867360000000001</v>
      </c>
      <c r="M10448" s="549"/>
      <c r="N10448" s="549"/>
      <c r="O10448" s="549"/>
      <c r="P10448" s="549"/>
      <c r="Q10448" s="1440" t="s">
        <v>1276</v>
      </c>
    </row>
    <row r="10449" spans="1:18" ht="17.399999999999999">
      <c r="A10449" s="549"/>
      <c r="B10449" s="1348" t="s">
        <v>585</v>
      </c>
      <c r="C10449" s="549"/>
      <c r="D10449" s="549"/>
      <c r="E10449" s="549"/>
      <c r="F10449" s="549"/>
      <c r="G10449" s="549" t="s">
        <v>21</v>
      </c>
      <c r="H10449" s="549" t="s">
        <v>126</v>
      </c>
      <c r="I10449" s="558">
        <v>23.6</v>
      </c>
      <c r="J10449" s="567">
        <v>11.65</v>
      </c>
      <c r="K10449" s="648">
        <v>340</v>
      </c>
      <c r="L10449" s="552">
        <f>(I10449*J10449*K10449/1000)</f>
        <v>93.479600000000005</v>
      </c>
      <c r="M10449" s="549"/>
      <c r="N10449" s="549"/>
      <c r="O10449" s="549"/>
      <c r="P10449" s="549"/>
      <c r="Q10449" s="1487" t="s">
        <v>1303</v>
      </c>
      <c r="R10449" s="126"/>
    </row>
    <row r="10450" spans="1:18" ht="17.399999999999999">
      <c r="A10450" s="549"/>
      <c r="B10450" s="549"/>
      <c r="C10450" s="549"/>
      <c r="D10450" s="549"/>
      <c r="E10450" s="549"/>
      <c r="F10450" s="549"/>
      <c r="G10450" s="549"/>
      <c r="H10450" s="549"/>
      <c r="I10450" s="558"/>
      <c r="J10450" s="567"/>
      <c r="K10450" s="648">
        <f>SUM(K10448:K10449)</f>
        <v>392</v>
      </c>
      <c r="L10450" s="567">
        <f>SUM(L10448:L10449)</f>
        <v>107.34696000000001</v>
      </c>
      <c r="M10450" s="648">
        <f>SUM(M10448:M10449)</f>
        <v>0</v>
      </c>
      <c r="N10450" s="567">
        <f>SUM(N10448:N10449)</f>
        <v>0</v>
      </c>
      <c r="O10450" s="549"/>
      <c r="P10450" s="549" t="s">
        <v>1257</v>
      </c>
    </row>
    <row r="10451" spans="1:18" s="1358" customFormat="1" ht="17.399999999999999">
      <c r="A10451" s="549"/>
      <c r="B10451" s="549"/>
      <c r="C10451" s="549"/>
      <c r="D10451" s="549"/>
      <c r="E10451" s="549"/>
      <c r="F10451" s="549"/>
      <c r="G10451" s="549"/>
      <c r="H10451" s="549"/>
      <c r="I10451" s="558"/>
      <c r="J10451" s="567"/>
      <c r="K10451" s="648"/>
      <c r="L10451" s="567"/>
      <c r="M10451" s="648"/>
      <c r="N10451" s="567"/>
      <c r="O10451" s="549"/>
      <c r="P10451" s="549"/>
    </row>
    <row r="10452" spans="1:18" s="1358" customFormat="1" ht="17.399999999999999">
      <c r="A10452" s="549"/>
      <c r="B10452" s="549"/>
      <c r="C10452" s="549"/>
      <c r="D10452" s="549"/>
      <c r="E10452" s="549"/>
      <c r="F10452" s="549"/>
      <c r="G10452" s="549"/>
      <c r="H10452" s="549"/>
      <c r="I10452" s="558"/>
      <c r="J10452" s="567"/>
      <c r="K10452" s="648"/>
      <c r="L10452" s="567"/>
      <c r="M10452" s="648"/>
      <c r="N10452" s="567"/>
      <c r="O10452" s="549"/>
      <c r="P10452" s="549"/>
    </row>
    <row r="10453" spans="1:18" s="1358" customFormat="1" ht="17.399999999999999">
      <c r="A10453" s="549"/>
      <c r="B10453" s="549"/>
      <c r="C10453" s="549"/>
      <c r="D10453" s="549"/>
      <c r="E10453" s="549"/>
      <c r="F10453" s="549"/>
      <c r="G10453" s="549"/>
      <c r="H10453" s="549"/>
      <c r="I10453" s="558"/>
      <c r="J10453" s="567"/>
      <c r="K10453" s="648"/>
      <c r="L10453" s="567"/>
      <c r="M10453" s="549"/>
      <c r="N10453" s="549"/>
      <c r="O10453" s="549"/>
      <c r="P10453" s="549"/>
    </row>
    <row r="10454" spans="1:18" ht="17.399999999999999">
      <c r="A10454" s="547" t="s">
        <v>458</v>
      </c>
      <c r="B10454" s="547" t="s">
        <v>1243</v>
      </c>
      <c r="C10454" s="547" t="s">
        <v>19</v>
      </c>
      <c r="D10454" s="547" t="s">
        <v>20</v>
      </c>
      <c r="E10454" s="547" t="s">
        <v>359</v>
      </c>
      <c r="F10454" s="549">
        <v>14</v>
      </c>
      <c r="G10454" s="549" t="s">
        <v>21</v>
      </c>
      <c r="H10454" s="900" t="s">
        <v>124</v>
      </c>
      <c r="I10454" s="1443">
        <v>19.72</v>
      </c>
      <c r="J10454" s="950">
        <v>11.9</v>
      </c>
      <c r="K10454" s="951">
        <v>240</v>
      </c>
      <c r="L10454" s="725">
        <f>(I10454*J10454*K10454/1000)</f>
        <v>56.320320000000002</v>
      </c>
      <c r="M10454" s="549"/>
      <c r="N10454" s="549"/>
      <c r="O10454" s="549"/>
      <c r="P10454" s="549"/>
      <c r="Q10454" s="1440" t="s">
        <v>1277</v>
      </c>
    </row>
    <row r="10455" spans="1:18" s="1358" customFormat="1" ht="17.399999999999999">
      <c r="A10455" s="549"/>
      <c r="B10455" s="560" t="s">
        <v>277</v>
      </c>
      <c r="C10455" s="549"/>
      <c r="D10455" s="549"/>
      <c r="E10455" s="549"/>
      <c r="F10455" s="549"/>
      <c r="G10455" s="549"/>
      <c r="H10455" s="952"/>
      <c r="I10455" s="1443"/>
      <c r="J10455" s="950"/>
      <c r="K10455" s="1438">
        <f>SUM(K10454)</f>
        <v>240</v>
      </c>
      <c r="L10455" s="1436">
        <f>SUM(L10454)</f>
        <v>56.320320000000002</v>
      </c>
      <c r="M10455" s="1438">
        <f>SUM(M10454)</f>
        <v>0</v>
      </c>
      <c r="N10455" s="1436">
        <f>SUM(N10454)</f>
        <v>0</v>
      </c>
      <c r="O10455" s="549"/>
      <c r="P10455" s="549" t="s">
        <v>1258</v>
      </c>
    </row>
    <row r="10456" spans="1:18" s="1358" customFormat="1" ht="17.399999999999999">
      <c r="A10456" s="549"/>
      <c r="B10456" s="560"/>
      <c r="C10456" s="549"/>
      <c r="D10456" s="549"/>
      <c r="E10456" s="549"/>
      <c r="F10456" s="549"/>
      <c r="G10456" s="549"/>
      <c r="H10456" s="952"/>
      <c r="I10456" s="1443"/>
      <c r="J10456" s="950"/>
      <c r="K10456" s="951"/>
      <c r="L10456" s="1436"/>
      <c r="M10456" s="549"/>
      <c r="N10456" s="549"/>
      <c r="O10456" s="549"/>
      <c r="P10456" s="549"/>
    </row>
    <row r="10457" spans="1:18" ht="17.399999999999999">
      <c r="A10457" s="549"/>
      <c r="B10457" s="549"/>
      <c r="C10457" s="549"/>
      <c r="D10457" s="549"/>
      <c r="E10457" s="549"/>
      <c r="F10457" s="549"/>
      <c r="G10457" s="549"/>
      <c r="H10457" s="549"/>
      <c r="I10457" s="560"/>
      <c r="J10457" s="549"/>
      <c r="K10457" s="561"/>
      <c r="L10457" s="560"/>
      <c r="M10457" s="549"/>
      <c r="N10457" s="549"/>
      <c r="O10457" s="549"/>
      <c r="P10457" s="549"/>
    </row>
    <row r="10458" spans="1:18" ht="17.399999999999999">
      <c r="A10458" s="547" t="s">
        <v>481</v>
      </c>
      <c r="B10458" s="547" t="s">
        <v>1244</v>
      </c>
      <c r="C10458" s="547" t="s">
        <v>19</v>
      </c>
      <c r="D10458" s="813" t="s">
        <v>854</v>
      </c>
      <c r="E10458" s="780" t="s">
        <v>1167</v>
      </c>
      <c r="F10458" s="549">
        <v>14</v>
      </c>
      <c r="G10458" s="549" t="s">
        <v>21</v>
      </c>
      <c r="H10458" s="549" t="s">
        <v>124</v>
      </c>
      <c r="I10458" s="558">
        <v>19.8</v>
      </c>
      <c r="J10458" s="567">
        <v>11.1</v>
      </c>
      <c r="K10458" s="648">
        <f>30-1</f>
        <v>29</v>
      </c>
      <c r="L10458" s="725">
        <f>(I10458*J10458*K10458/1000)</f>
        <v>6.3736199999999998</v>
      </c>
      <c r="M10458" s="549"/>
      <c r="N10458" s="549"/>
      <c r="O10458" s="549"/>
      <c r="P10458" s="549"/>
    </row>
    <row r="10459" spans="1:18" ht="17.399999999999999">
      <c r="A10459" s="549"/>
      <c r="B10459" s="549" t="s">
        <v>240</v>
      </c>
      <c r="C10459" s="549"/>
      <c r="D10459" s="549"/>
      <c r="E10459" s="549"/>
      <c r="F10459" s="549"/>
      <c r="G10459" s="549"/>
      <c r="H10459" s="549"/>
      <c r="I10459" s="560"/>
      <c r="J10459" s="549"/>
      <c r="K10459" s="652">
        <f>SUM(K10458:K10458)</f>
        <v>29</v>
      </c>
      <c r="L10459" s="710">
        <f>SUM(L10458:L10458)</f>
        <v>6.3736199999999998</v>
      </c>
      <c r="M10459" s="754" t="s">
        <v>1247</v>
      </c>
      <c r="N10459" s="754"/>
      <c r="O10459" s="549"/>
      <c r="P10459" s="549"/>
    </row>
    <row r="10460" spans="1:18" s="1358" customFormat="1" ht="17.399999999999999">
      <c r="A10460" s="549"/>
      <c r="B10460" s="549"/>
      <c r="C10460" s="549"/>
      <c r="D10460" s="549"/>
      <c r="E10460" s="549"/>
      <c r="F10460" s="549"/>
      <c r="G10460" s="549"/>
      <c r="H10460" s="549"/>
      <c r="I10460" s="560"/>
      <c r="J10460" s="549"/>
      <c r="K10460" s="652"/>
      <c r="L10460" s="565"/>
      <c r="M10460" s="549"/>
      <c r="N10460" s="549"/>
      <c r="O10460" s="549"/>
      <c r="P10460" s="549"/>
    </row>
    <row r="10461" spans="1:18" s="1358" customFormat="1" ht="17.399999999999999">
      <c r="A10461" s="547" t="s">
        <v>481</v>
      </c>
      <c r="B10461" s="547" t="s">
        <v>1245</v>
      </c>
      <c r="C10461" s="547" t="s">
        <v>19</v>
      </c>
      <c r="D10461" s="813" t="s">
        <v>854</v>
      </c>
      <c r="E10461" s="780" t="s">
        <v>1167</v>
      </c>
      <c r="F10461" s="549">
        <v>14</v>
      </c>
      <c r="G10461" s="549" t="s">
        <v>21</v>
      </c>
      <c r="H10461" s="1203" t="s">
        <v>124</v>
      </c>
      <c r="I10461" s="558">
        <v>19.8</v>
      </c>
      <c r="J10461" s="567">
        <v>7.4</v>
      </c>
      <c r="K10461" s="648">
        <v>1</v>
      </c>
      <c r="L10461" s="552">
        <f>(I10461*J10461*K10461/1000)</f>
        <v>0.14652000000000001</v>
      </c>
      <c r="M10461" s="549"/>
      <c r="N10461" s="567">
        <f t="shared" ref="N10461:N10471" si="2168">J10461*M10461*I10461/1000</f>
        <v>0</v>
      </c>
      <c r="O10461" s="549"/>
      <c r="P10461" s="549"/>
      <c r="Q10461" s="1487" t="s">
        <v>1300</v>
      </c>
    </row>
    <row r="10462" spans="1:18" s="1358" customFormat="1" ht="17.399999999999999">
      <c r="A10462" s="549"/>
      <c r="B10462" s="832" t="s">
        <v>1246</v>
      </c>
      <c r="C10462" s="549"/>
      <c r="D10462" s="549"/>
      <c r="E10462" s="549"/>
      <c r="F10462" s="549"/>
      <c r="G10462" s="549" t="s">
        <v>21</v>
      </c>
      <c r="H10462" s="549" t="s">
        <v>124</v>
      </c>
      <c r="I10462" s="558">
        <v>19.8</v>
      </c>
      <c r="J10462" s="567">
        <v>7.7</v>
      </c>
      <c r="K10462" s="648">
        <v>42</v>
      </c>
      <c r="L10462" s="552">
        <f t="shared" ref="L10462:L10470" si="2169">(I10462*J10462*K10462/1000)</f>
        <v>6.4033200000000008</v>
      </c>
      <c r="M10462" s="549"/>
      <c r="N10462" s="567">
        <f t="shared" si="2168"/>
        <v>0</v>
      </c>
      <c r="O10462" s="549"/>
      <c r="P10462" s="549"/>
    </row>
    <row r="10463" spans="1:18" s="1358" customFormat="1" ht="17.399999999999999">
      <c r="A10463" s="549"/>
      <c r="B10463" s="549"/>
      <c r="C10463" s="549"/>
      <c r="D10463" s="549"/>
      <c r="E10463" s="549"/>
      <c r="F10463" s="549"/>
      <c r="G10463" s="549" t="s">
        <v>21</v>
      </c>
      <c r="H10463" s="549" t="s">
        <v>124</v>
      </c>
      <c r="I10463" s="558">
        <v>19.8</v>
      </c>
      <c r="J10463" s="567">
        <v>8.1</v>
      </c>
      <c r="K10463" s="648">
        <v>114</v>
      </c>
      <c r="L10463" s="552">
        <f t="shared" si="2169"/>
        <v>18.28332</v>
      </c>
      <c r="M10463" s="549"/>
      <c r="N10463" s="567">
        <f t="shared" si="2168"/>
        <v>0</v>
      </c>
      <c r="O10463" s="549"/>
      <c r="P10463" s="549"/>
    </row>
    <row r="10464" spans="1:18" s="1358" customFormat="1" ht="17.399999999999999">
      <c r="A10464" s="549"/>
      <c r="B10464" s="549"/>
      <c r="C10464" s="549"/>
      <c r="D10464" s="549"/>
      <c r="E10464" s="549"/>
      <c r="F10464" s="549"/>
      <c r="G10464" s="549" t="s">
        <v>21</v>
      </c>
      <c r="H10464" s="549" t="s">
        <v>124</v>
      </c>
      <c r="I10464" s="558">
        <v>19.8</v>
      </c>
      <c r="J10464" s="567">
        <v>8.4</v>
      </c>
      <c r="K10464" s="648">
        <v>22</v>
      </c>
      <c r="L10464" s="552">
        <f t="shared" si="2169"/>
        <v>3.6590400000000005</v>
      </c>
      <c r="M10464" s="549"/>
      <c r="N10464" s="567">
        <f t="shared" si="2168"/>
        <v>0</v>
      </c>
      <c r="O10464" s="549"/>
      <c r="P10464" s="549"/>
    </row>
    <row r="10465" spans="1:24" s="1358" customFormat="1" ht="17.399999999999999">
      <c r="A10465" s="549"/>
      <c r="B10465" s="549"/>
      <c r="C10465" s="549"/>
      <c r="D10465" s="549"/>
      <c r="E10465" s="549"/>
      <c r="F10465" s="549"/>
      <c r="G10465" s="549" t="s">
        <v>21</v>
      </c>
      <c r="H10465" s="549" t="s">
        <v>124</v>
      </c>
      <c r="I10465" s="558">
        <v>19.8</v>
      </c>
      <c r="J10465" s="567">
        <v>8.5</v>
      </c>
      <c r="K10465" s="648">
        <v>38</v>
      </c>
      <c r="L10465" s="552">
        <f t="shared" si="2169"/>
        <v>6.3954000000000004</v>
      </c>
      <c r="M10465" s="549"/>
      <c r="N10465" s="567">
        <f t="shared" si="2168"/>
        <v>0</v>
      </c>
      <c r="O10465" s="549"/>
      <c r="P10465" s="549"/>
    </row>
    <row r="10466" spans="1:24" s="1358" customFormat="1" ht="17.399999999999999">
      <c r="A10466" s="549"/>
      <c r="B10466" s="549"/>
      <c r="C10466" s="549"/>
      <c r="D10466" s="549"/>
      <c r="E10466" s="549"/>
      <c r="F10466" s="549"/>
      <c r="G10466" s="549" t="s">
        <v>21</v>
      </c>
      <c r="H10466" s="549" t="s">
        <v>124</v>
      </c>
      <c r="I10466" s="558">
        <v>19.8</v>
      </c>
      <c r="J10466" s="567">
        <v>8.8000000000000007</v>
      </c>
      <c r="K10466" s="648">
        <v>12</v>
      </c>
      <c r="L10466" s="552">
        <f t="shared" si="2169"/>
        <v>2.0908800000000003</v>
      </c>
      <c r="M10466" s="549">
        <v>3</v>
      </c>
      <c r="N10466" s="567">
        <f t="shared" si="2168"/>
        <v>0.52272000000000007</v>
      </c>
      <c r="O10466" s="549"/>
      <c r="P10466" s="549"/>
    </row>
    <row r="10467" spans="1:24" s="1358" customFormat="1" ht="17.399999999999999">
      <c r="A10467" s="549"/>
      <c r="B10467" s="549"/>
      <c r="C10467" s="549"/>
      <c r="D10467" s="549"/>
      <c r="E10467" s="549"/>
      <c r="F10467" s="549"/>
      <c r="G10467" s="549" t="s">
        <v>21</v>
      </c>
      <c r="H10467" s="549" t="s">
        <v>124</v>
      </c>
      <c r="I10467" s="558">
        <v>19.8</v>
      </c>
      <c r="J10467" s="567">
        <v>8.9</v>
      </c>
      <c r="K10467" s="648">
        <v>12</v>
      </c>
      <c r="L10467" s="552">
        <f t="shared" si="2169"/>
        <v>2.1146400000000005</v>
      </c>
      <c r="M10467" s="549">
        <v>2</v>
      </c>
      <c r="N10467" s="567">
        <f t="shared" si="2168"/>
        <v>0.35244000000000003</v>
      </c>
      <c r="O10467" s="549"/>
      <c r="P10467" s="549"/>
      <c r="Q10467" s="1358">
        <v>4</v>
      </c>
      <c r="R10467" s="415">
        <f>J10467*Q10467*I10467/1000</f>
        <v>0.70488000000000006</v>
      </c>
    </row>
    <row r="10468" spans="1:24" s="1358" customFormat="1" ht="17.399999999999999">
      <c r="A10468" s="549"/>
      <c r="B10468" s="549"/>
      <c r="C10468" s="549"/>
      <c r="D10468" s="549"/>
      <c r="E10468" s="549"/>
      <c r="F10468" s="549"/>
      <c r="G10468" s="549" t="s">
        <v>21</v>
      </c>
      <c r="H10468" s="549" t="s">
        <v>124</v>
      </c>
      <c r="I10468" s="558">
        <v>19.8</v>
      </c>
      <c r="J10468" s="567">
        <v>9</v>
      </c>
      <c r="K10468" s="648">
        <v>15</v>
      </c>
      <c r="L10468" s="552">
        <f t="shared" si="2169"/>
        <v>2.6730000000000005</v>
      </c>
      <c r="M10468" s="549"/>
      <c r="N10468" s="567">
        <f t="shared" si="2168"/>
        <v>0</v>
      </c>
      <c r="O10468" s="549"/>
      <c r="P10468" s="549"/>
      <c r="Q10468" s="1358">
        <v>1</v>
      </c>
      <c r="R10468" s="415">
        <f t="shared" ref="R10468:R10469" si="2170">J10468*Q10468*I10468/1000</f>
        <v>0.17820000000000003</v>
      </c>
    </row>
    <row r="10469" spans="1:24" s="1358" customFormat="1" ht="17.399999999999999">
      <c r="A10469" s="549"/>
      <c r="B10469" s="549"/>
      <c r="C10469" s="549"/>
      <c r="D10469" s="549"/>
      <c r="E10469" s="549"/>
      <c r="F10469" s="549"/>
      <c r="G10469" s="549" t="s">
        <v>21</v>
      </c>
      <c r="H10469" s="549" t="s">
        <v>124</v>
      </c>
      <c r="I10469" s="558">
        <v>19.8</v>
      </c>
      <c r="J10469" s="567">
        <v>9.6</v>
      </c>
      <c r="K10469" s="648">
        <v>94</v>
      </c>
      <c r="L10469" s="552">
        <f t="shared" si="2169"/>
        <v>17.867519999999999</v>
      </c>
      <c r="M10469" s="549">
        <f>5+5+11+12+4</f>
        <v>37</v>
      </c>
      <c r="N10469" s="567">
        <f t="shared" si="2168"/>
        <v>7.0329600000000001</v>
      </c>
      <c r="O10469" s="549"/>
      <c r="P10469" s="549"/>
      <c r="Q10469" s="1358">
        <f>2+1+2</f>
        <v>5</v>
      </c>
      <c r="R10469" s="415">
        <f t="shared" si="2170"/>
        <v>0.95040000000000013</v>
      </c>
    </row>
    <row r="10470" spans="1:24" s="1358" customFormat="1" ht="17.399999999999999">
      <c r="A10470" s="549"/>
      <c r="B10470" s="549"/>
      <c r="C10470" s="549"/>
      <c r="D10470" s="549"/>
      <c r="E10470" s="549"/>
      <c r="F10470" s="549"/>
      <c r="G10470" s="549" t="s">
        <v>21</v>
      </c>
      <c r="H10470" s="549" t="s">
        <v>124</v>
      </c>
      <c r="I10470" s="558">
        <v>19.8</v>
      </c>
      <c r="J10470" s="567">
        <v>10.5</v>
      </c>
      <c r="K10470" s="648">
        <v>3</v>
      </c>
      <c r="L10470" s="552">
        <f t="shared" si="2169"/>
        <v>0.62370000000000003</v>
      </c>
      <c r="M10470" s="549">
        <v>3</v>
      </c>
      <c r="N10470" s="567">
        <f t="shared" si="2168"/>
        <v>0.62370000000000003</v>
      </c>
      <c r="O10470" s="549"/>
      <c r="P10470" s="549"/>
    </row>
    <row r="10471" spans="1:24" s="1358" customFormat="1" ht="17.399999999999999">
      <c r="A10471" s="549"/>
      <c r="B10471" s="549"/>
      <c r="C10471" s="549"/>
      <c r="D10471" s="549"/>
      <c r="E10471" s="549"/>
      <c r="F10471" s="549"/>
      <c r="G10471" s="549" t="s">
        <v>21</v>
      </c>
      <c r="H10471" s="549" t="s">
        <v>124</v>
      </c>
      <c r="I10471" s="558">
        <v>19.8</v>
      </c>
      <c r="J10471" s="567">
        <v>11.7</v>
      </c>
      <c r="K10471" s="648">
        <v>17</v>
      </c>
      <c r="L10471" s="552">
        <f>(I10471*J10471*K10471/1000)</f>
        <v>3.9382199999999998</v>
      </c>
      <c r="M10471" s="549"/>
      <c r="N10471" s="567">
        <f t="shared" si="2168"/>
        <v>0</v>
      </c>
      <c r="O10471" s="549"/>
      <c r="P10471" s="549"/>
    </row>
    <row r="10472" spans="1:24" s="1358" customFormat="1" ht="17.399999999999999">
      <c r="A10472" s="549"/>
      <c r="B10472" s="549"/>
      <c r="C10472" s="549"/>
      <c r="D10472" s="549"/>
      <c r="E10472" s="549"/>
      <c r="F10472" s="549"/>
      <c r="G10472" s="549"/>
      <c r="H10472" s="549"/>
      <c r="I10472" s="558"/>
      <c r="J10472" s="567"/>
      <c r="K10472" s="648">
        <f>SUM(K10461:K10471)</f>
        <v>370</v>
      </c>
      <c r="L10472" s="567">
        <f>SUM(L10461:L10471)</f>
        <v>64.19556</v>
      </c>
      <c r="M10472" s="648">
        <f t="shared" ref="M10472" si="2171">SUM(M10461:M10471)</f>
        <v>45</v>
      </c>
      <c r="N10472" s="567">
        <f>SUM(N10461:N10471)</f>
        <v>8.5318199999999997</v>
      </c>
      <c r="O10472" s="549"/>
      <c r="P10472" s="549" t="s">
        <v>1259</v>
      </c>
      <c r="Q10472" s="648">
        <f t="shared" ref="Q10472" si="2172">SUM(Q10461:Q10471)</f>
        <v>10</v>
      </c>
      <c r="R10472" s="567">
        <f>SUM(R10461:R10471)</f>
        <v>1.8334800000000002</v>
      </c>
    </row>
    <row r="10473" spans="1:24" s="1358" customFormat="1" ht="17.399999999999999">
      <c r="A10473" s="549"/>
      <c r="B10473" s="549"/>
      <c r="C10473" s="549"/>
      <c r="D10473" s="549"/>
      <c r="E10473" s="549"/>
      <c r="F10473" s="549"/>
      <c r="G10473" s="549"/>
      <c r="H10473" s="549"/>
      <c r="I10473" s="560"/>
      <c r="J10473" s="549"/>
      <c r="K10473" s="652">
        <f>+K10472+K10459</f>
        <v>399</v>
      </c>
      <c r="L10473" s="565">
        <f>+L10472+L10459</f>
        <v>70.569180000000003</v>
      </c>
      <c r="M10473" s="549"/>
      <c r="N10473" s="565">
        <f>+N10472+N10459</f>
        <v>8.5318199999999997</v>
      </c>
      <c r="O10473" s="549"/>
      <c r="P10473" s="549"/>
    </row>
    <row r="10474" spans="1:24" s="1358" customFormat="1" ht="17.399999999999999">
      <c r="A10474" s="549"/>
      <c r="B10474" s="549"/>
      <c r="C10474" s="549"/>
      <c r="D10474" s="549"/>
      <c r="E10474" s="549"/>
      <c r="F10474" s="549"/>
      <c r="G10474" s="549"/>
      <c r="H10474" s="549"/>
      <c r="I10474" s="560"/>
      <c r="J10474" s="549"/>
      <c r="K10474" s="652"/>
      <c r="L10474" s="565"/>
      <c r="M10474" s="549"/>
      <c r="N10474" s="549"/>
      <c r="O10474" s="549"/>
      <c r="P10474" s="549"/>
    </row>
    <row r="10475" spans="1:24" ht="17.399999999999999">
      <c r="A10475" s="549"/>
      <c r="B10475" s="549"/>
      <c r="C10475" s="549"/>
      <c r="D10475" s="549"/>
      <c r="E10475" s="549"/>
      <c r="F10475" s="549"/>
      <c r="G10475" s="549"/>
      <c r="H10475" s="549"/>
      <c r="I10475" s="560"/>
      <c r="J10475" s="549"/>
      <c r="K10475" s="727"/>
      <c r="L10475" s="710"/>
      <c r="M10475" s="549"/>
      <c r="N10475" s="549"/>
      <c r="O10475" s="549"/>
      <c r="P10475" s="549"/>
    </row>
    <row r="10476" spans="1:24" ht="17.399999999999999">
      <c r="A10476" s="547" t="s">
        <v>458</v>
      </c>
      <c r="B10476" s="547" t="s">
        <v>1243</v>
      </c>
      <c r="C10476" s="547" t="s">
        <v>19</v>
      </c>
      <c r="D10476" s="547" t="s">
        <v>20</v>
      </c>
      <c r="E10476" s="547" t="s">
        <v>359</v>
      </c>
      <c r="F10476" s="549">
        <v>14</v>
      </c>
      <c r="G10476" s="549" t="s">
        <v>21</v>
      </c>
      <c r="H10476" s="900" t="s">
        <v>129</v>
      </c>
      <c r="I10476" s="1443">
        <v>17.82</v>
      </c>
      <c r="J10476" s="950">
        <v>11.05</v>
      </c>
      <c r="K10476" s="951">
        <v>480</v>
      </c>
      <c r="L10476" s="725">
        <f>(I10476*J10476*K10476/1000)</f>
        <v>94.517280000000014</v>
      </c>
      <c r="M10476" s="549"/>
      <c r="N10476" s="549"/>
      <c r="O10476" s="549"/>
      <c r="P10476" s="549"/>
      <c r="Q10476" s="1440">
        <f>14+16+16</f>
        <v>46</v>
      </c>
      <c r="R10476" s="126">
        <f t="shared" ref="R10476:R10477" si="2173">J10476*Q10476*I10476/1000</f>
        <v>9.0579060000000009</v>
      </c>
      <c r="T10476" s="1440"/>
      <c r="U10476" s="1487" t="s">
        <v>1278</v>
      </c>
      <c r="V10476" s="1487"/>
      <c r="W10476" s="1487"/>
      <c r="X10476" s="1487"/>
    </row>
    <row r="10477" spans="1:24" ht="17.399999999999999">
      <c r="A10477" s="549"/>
      <c r="B10477" s="560" t="s">
        <v>277</v>
      </c>
      <c r="C10477" s="549"/>
      <c r="D10477" s="549"/>
      <c r="E10477" s="549"/>
      <c r="F10477" s="549"/>
      <c r="G10477" s="549" t="s">
        <v>21</v>
      </c>
      <c r="H10477" s="952" t="s">
        <v>129</v>
      </c>
      <c r="I10477" s="1443">
        <v>17.82</v>
      </c>
      <c r="J10477" s="950">
        <v>9.6</v>
      </c>
      <c r="K10477" s="951">
        <v>504</v>
      </c>
      <c r="L10477" s="725">
        <f>(I10477*J10477*K10477/1000)</f>
        <v>86.220287999999996</v>
      </c>
      <c r="M10477" s="549"/>
      <c r="N10477" s="549"/>
      <c r="O10477" s="549"/>
      <c r="P10477" s="549"/>
      <c r="Q10477" s="1440">
        <f>17+17+17+9+15</f>
        <v>75</v>
      </c>
      <c r="R10477" s="126">
        <f t="shared" si="2173"/>
        <v>12.830399999999999</v>
      </c>
      <c r="S10477">
        <v>7</v>
      </c>
      <c r="T10477" s="126">
        <f>J10477*S10477*I10477/1000</f>
        <v>1.1975040000000001</v>
      </c>
      <c r="U10477" s="1487" t="s">
        <v>1279</v>
      </c>
      <c r="V10477" s="1487"/>
      <c r="W10477" s="1487"/>
      <c r="X10477" s="1487"/>
    </row>
    <row r="10478" spans="1:24" ht="17.399999999999999">
      <c r="A10478" s="549"/>
      <c r="B10478" s="549"/>
      <c r="C10478" s="549"/>
      <c r="D10478" s="549"/>
      <c r="E10478" s="549"/>
      <c r="F10478" s="549"/>
      <c r="G10478" s="549"/>
      <c r="H10478" s="549"/>
      <c r="I10478" s="560"/>
      <c r="J10478" s="549"/>
      <c r="K10478" s="727">
        <f>SUM(K10476:K10477)</f>
        <v>984</v>
      </c>
      <c r="L10478" s="710">
        <f>SUM(L10476:L10477)</f>
        <v>180.73756800000001</v>
      </c>
      <c r="M10478" s="727">
        <f>SUM(M10476:M10477)</f>
        <v>0</v>
      </c>
      <c r="N10478" s="710">
        <f>SUM(N10476:N10477)</f>
        <v>0</v>
      </c>
      <c r="O10478" s="549"/>
      <c r="P10478" s="549" t="s">
        <v>1260</v>
      </c>
      <c r="Q10478" s="727">
        <f>SUM(Q10476:Q10477)</f>
        <v>121</v>
      </c>
      <c r="R10478" s="710">
        <f>SUM(R10476:R10477)</f>
        <v>21.888306</v>
      </c>
      <c r="S10478" s="727">
        <f>SUM(S10476:S10477)</f>
        <v>7</v>
      </c>
      <c r="T10478" s="710">
        <f>SUM(T10476:T10477)</f>
        <v>1.1975040000000001</v>
      </c>
      <c r="U10478" s="1487" t="s">
        <v>1298</v>
      </c>
    </row>
    <row r="10479" spans="1:24" s="1358" customFormat="1" ht="17.399999999999999">
      <c r="A10479" s="549"/>
      <c r="B10479" s="549"/>
      <c r="C10479" s="549"/>
      <c r="D10479" s="549"/>
      <c r="E10479" s="549"/>
      <c r="F10479" s="549"/>
      <c r="G10479" s="549"/>
      <c r="H10479" s="549"/>
      <c r="I10479" s="560"/>
      <c r="J10479" s="549"/>
      <c r="K10479" s="727"/>
      <c r="L10479" s="710"/>
      <c r="M10479" s="727"/>
      <c r="N10479" s="710"/>
      <c r="O10479" s="549"/>
      <c r="P10479" s="549"/>
    </row>
    <row r="10480" spans="1:24" ht="17.399999999999999">
      <c r="A10480" s="549"/>
      <c r="B10480" s="549"/>
      <c r="C10480" s="549"/>
      <c r="D10480" s="549"/>
      <c r="E10480" s="549"/>
      <c r="F10480" s="549"/>
      <c r="G10480" s="549"/>
      <c r="H10480" s="549"/>
      <c r="I10480" s="560"/>
      <c r="J10480" s="549"/>
      <c r="K10480" s="561"/>
      <c r="L10480" s="728"/>
      <c r="M10480" s="549"/>
      <c r="N10480" s="549"/>
      <c r="O10480" s="549"/>
      <c r="P10480" s="549"/>
    </row>
    <row r="10481" spans="1:19" ht="17.399999999999999">
      <c r="A10481" s="547" t="s">
        <v>481</v>
      </c>
      <c r="B10481" s="547" t="s">
        <v>1244</v>
      </c>
      <c r="C10481" s="547" t="s">
        <v>19</v>
      </c>
      <c r="D10481" s="813" t="s">
        <v>854</v>
      </c>
      <c r="E10481" s="780" t="s">
        <v>1167</v>
      </c>
      <c r="F10481" s="549">
        <v>14</v>
      </c>
      <c r="G10481" s="549" t="s">
        <v>21</v>
      </c>
      <c r="H10481" s="549" t="s">
        <v>129</v>
      </c>
      <c r="I10481" s="558">
        <v>17.899999999999999</v>
      </c>
      <c r="J10481" s="567">
        <v>7.7</v>
      </c>
      <c r="K10481" s="648">
        <v>4</v>
      </c>
      <c r="L10481" s="552">
        <f>(I10481*J10481*K10481/1000)</f>
        <v>0.55131999999999992</v>
      </c>
      <c r="M10481" s="549"/>
      <c r="N10481" s="549"/>
      <c r="O10481" s="549"/>
      <c r="P10481" s="549"/>
    </row>
    <row r="10482" spans="1:19" ht="17.399999999999999">
      <c r="A10482" s="549"/>
      <c r="B10482" s="549" t="s">
        <v>240</v>
      </c>
      <c r="C10482" s="549"/>
      <c r="D10482" s="549"/>
      <c r="E10482" s="549"/>
      <c r="F10482" s="549"/>
      <c r="G10482" s="549" t="s">
        <v>21</v>
      </c>
      <c r="H10482" s="549" t="s">
        <v>129</v>
      </c>
      <c r="I10482" s="558">
        <v>17.899999999999999</v>
      </c>
      <c r="J10482" s="567">
        <v>8</v>
      </c>
      <c r="K10482" s="648">
        <v>4</v>
      </c>
      <c r="L10482" s="552">
        <f>(I10482*J10482*K10482/1000)</f>
        <v>0.57279999999999998</v>
      </c>
      <c r="M10482" s="549"/>
      <c r="N10482" s="549"/>
      <c r="O10482" s="549"/>
      <c r="P10482" s="549"/>
    </row>
    <row r="10483" spans="1:19" ht="17.399999999999999">
      <c r="A10483" s="549"/>
      <c r="B10483" s="549"/>
      <c r="C10483" s="549"/>
      <c r="D10483" s="549"/>
      <c r="E10483" s="549"/>
      <c r="F10483" s="549"/>
      <c r="G10483" s="549"/>
      <c r="H10483" s="549"/>
      <c r="I10483" s="560"/>
      <c r="J10483" s="549"/>
      <c r="K10483" s="652">
        <f>SUM(K10481:K10482)</f>
        <v>8</v>
      </c>
      <c r="L10483" s="565">
        <f>SUM(L10481:L10482)</f>
        <v>1.12412</v>
      </c>
      <c r="M10483" s="754" t="s">
        <v>1247</v>
      </c>
      <c r="N10483" s="754"/>
      <c r="O10483" s="549"/>
      <c r="P10483" s="549"/>
    </row>
    <row r="10484" spans="1:19" ht="17.399999999999999">
      <c r="A10484" s="549"/>
      <c r="B10484" s="549"/>
      <c r="C10484" s="549"/>
      <c r="D10484" s="549"/>
      <c r="E10484" s="549"/>
      <c r="F10484" s="549"/>
      <c r="G10484" s="549"/>
      <c r="H10484" s="549"/>
      <c r="I10484" s="560"/>
      <c r="J10484" s="549"/>
      <c r="K10484" s="561"/>
      <c r="L10484" s="560"/>
      <c r="M10484" s="549"/>
      <c r="N10484" s="549"/>
      <c r="O10484" s="549"/>
      <c r="P10484" s="549"/>
    </row>
    <row r="10485" spans="1:19" ht="17.399999999999999">
      <c r="A10485" s="547" t="s">
        <v>481</v>
      </c>
      <c r="B10485" s="547" t="s">
        <v>1245</v>
      </c>
      <c r="C10485" s="547" t="s">
        <v>19</v>
      </c>
      <c r="D10485" s="813" t="s">
        <v>854</v>
      </c>
      <c r="E10485" s="780" t="s">
        <v>1167</v>
      </c>
      <c r="F10485" s="549">
        <v>14</v>
      </c>
      <c r="G10485" s="549" t="s">
        <v>21</v>
      </c>
      <c r="H10485" s="549" t="s">
        <v>129</v>
      </c>
      <c r="I10485" s="558">
        <v>17.899999999999999</v>
      </c>
      <c r="J10485" s="567">
        <v>7.7</v>
      </c>
      <c r="K10485" s="648">
        <v>12</v>
      </c>
      <c r="L10485" s="552">
        <f>(I10485*J10485*K10485/1000)</f>
        <v>1.6539599999999999</v>
      </c>
      <c r="M10485" s="549"/>
      <c r="N10485" s="549"/>
      <c r="O10485" s="549"/>
      <c r="P10485" s="549"/>
      <c r="Q10485" s="497">
        <v>10</v>
      </c>
      <c r="R10485" s="126">
        <f t="shared" ref="R10485" si="2174">J10485*Q10485*I10485/1000</f>
        <v>1.3782999999999999</v>
      </c>
      <c r="S10485" s="1487" t="s">
        <v>1304</v>
      </c>
    </row>
    <row r="10486" spans="1:19" ht="17.399999999999999">
      <c r="A10486" s="549"/>
      <c r="B10486" s="832" t="s">
        <v>1246</v>
      </c>
      <c r="C10486" s="549"/>
      <c r="D10486" s="549"/>
      <c r="E10486" s="549"/>
      <c r="F10486" s="549"/>
      <c r="G10486" s="549" t="s">
        <v>21</v>
      </c>
      <c r="H10486" s="549" t="s">
        <v>129</v>
      </c>
      <c r="I10486" s="558">
        <v>17.899999999999999</v>
      </c>
      <c r="J10486" s="567">
        <v>9.1</v>
      </c>
      <c r="K10486" s="648">
        <v>81</v>
      </c>
      <c r="L10486" s="552">
        <f>(I10486*J10486*K10486/1000)</f>
        <v>13.194089999999999</v>
      </c>
      <c r="M10486" s="549"/>
      <c r="N10486" s="549"/>
      <c r="O10486" s="549"/>
      <c r="P10486" s="549"/>
      <c r="S10486" s="1487" t="s">
        <v>1306</v>
      </c>
    </row>
    <row r="10487" spans="1:19" ht="17.399999999999999">
      <c r="A10487" s="549"/>
      <c r="B10487" s="549"/>
      <c r="C10487" s="549"/>
      <c r="D10487" s="549"/>
      <c r="E10487" s="549"/>
      <c r="F10487" s="549"/>
      <c r="G10487" s="549" t="s">
        <v>21</v>
      </c>
      <c r="H10487" s="549" t="s">
        <v>129</v>
      </c>
      <c r="I10487" s="558">
        <v>17.899999999999999</v>
      </c>
      <c r="J10487" s="567">
        <v>9.3000000000000007</v>
      </c>
      <c r="K10487" s="648">
        <v>36</v>
      </c>
      <c r="L10487" s="552">
        <f>(I10487*J10487*K10487/1000)</f>
        <v>5.9929199999999998</v>
      </c>
      <c r="M10487" s="549"/>
      <c r="N10487" s="549"/>
      <c r="O10487" s="549"/>
      <c r="P10487" s="549"/>
    </row>
    <row r="10488" spans="1:19" ht="17.399999999999999">
      <c r="A10488" s="549"/>
      <c r="B10488" s="549"/>
      <c r="C10488" s="549"/>
      <c r="D10488" s="549"/>
      <c r="E10488" s="549"/>
      <c r="F10488" s="549"/>
      <c r="G10488" s="549" t="s">
        <v>21</v>
      </c>
      <c r="H10488" s="549" t="s">
        <v>129</v>
      </c>
      <c r="I10488" s="558">
        <v>17.899999999999999</v>
      </c>
      <c r="J10488" s="567">
        <v>9.6999999999999993</v>
      </c>
      <c r="K10488" s="648">
        <v>59</v>
      </c>
      <c r="L10488" s="552">
        <f>(I10488*J10488*K10488/1000)</f>
        <v>10.244169999999999</v>
      </c>
      <c r="M10488" s="549"/>
      <c r="N10488" s="549"/>
      <c r="O10488" s="549"/>
      <c r="P10488" s="549"/>
      <c r="Q10488" s="497">
        <v>3</v>
      </c>
      <c r="R10488" s="126">
        <f t="shared" ref="R10488:R10489" si="2175">J10488*Q10488*I10488/1000</f>
        <v>0.52088999999999985</v>
      </c>
    </row>
    <row r="10489" spans="1:19" ht="17.399999999999999">
      <c r="A10489" s="549"/>
      <c r="B10489" s="549"/>
      <c r="C10489" s="549"/>
      <c r="D10489" s="549"/>
      <c r="E10489" s="549"/>
      <c r="F10489" s="549"/>
      <c r="G10489" s="549" t="s">
        <v>21</v>
      </c>
      <c r="H10489" s="549" t="s">
        <v>129</v>
      </c>
      <c r="I10489" s="558">
        <v>17.899999999999999</v>
      </c>
      <c r="J10489" s="567">
        <v>11.7</v>
      </c>
      <c r="K10489" s="648">
        <v>24</v>
      </c>
      <c r="L10489" s="552">
        <f>(I10489*J10489*K10489/1000)</f>
        <v>5.0263200000000001</v>
      </c>
      <c r="M10489" s="549"/>
      <c r="N10489" s="549"/>
      <c r="O10489" s="549"/>
      <c r="P10489" s="549"/>
      <c r="Q10489" s="497">
        <v>1</v>
      </c>
      <c r="R10489" s="126">
        <f t="shared" si="2175"/>
        <v>0.20942999999999998</v>
      </c>
    </row>
    <row r="10490" spans="1:19" ht="17.399999999999999">
      <c r="A10490" s="549"/>
      <c r="B10490" s="549"/>
      <c r="C10490" s="549"/>
      <c r="D10490" s="549"/>
      <c r="E10490" s="549"/>
      <c r="F10490" s="549"/>
      <c r="G10490" s="549"/>
      <c r="H10490" s="549"/>
      <c r="I10490" s="558"/>
      <c r="J10490" s="567"/>
      <c r="K10490" s="648">
        <f t="shared" ref="K10490" si="2176">SUM(K10485:K10489)</f>
        <v>212</v>
      </c>
      <c r="L10490" s="567">
        <f>SUM(L10485:L10489)</f>
        <v>36.111459999999994</v>
      </c>
      <c r="M10490" s="754" t="s">
        <v>1248</v>
      </c>
      <c r="N10490" s="549"/>
      <c r="O10490" s="549"/>
      <c r="P10490" s="549" t="s">
        <v>1261</v>
      </c>
      <c r="Q10490" s="648">
        <f t="shared" ref="Q10490" si="2177">SUM(Q10485:Q10489)</f>
        <v>14</v>
      </c>
      <c r="R10490" s="567">
        <f>SUM(R10485:R10489)</f>
        <v>2.1086199999999997</v>
      </c>
    </row>
    <row r="10491" spans="1:19" ht="17.399999999999999">
      <c r="A10491" s="549"/>
      <c r="B10491" s="549"/>
      <c r="C10491" s="549"/>
      <c r="D10491" s="549"/>
      <c r="E10491" s="549"/>
      <c r="F10491" s="549"/>
      <c r="G10491" s="549"/>
      <c r="H10491" s="549"/>
      <c r="I10491" s="560"/>
      <c r="J10491" s="549"/>
      <c r="K10491" s="561"/>
      <c r="L10491" s="565">
        <f>+L10490+L10483</f>
        <v>37.235579999999992</v>
      </c>
      <c r="M10491" s="549"/>
      <c r="N10491" s="549"/>
      <c r="O10491" s="549"/>
      <c r="P10491" s="549"/>
    </row>
    <row r="10492" spans="1:19" s="1358" customFormat="1" ht="17.399999999999999">
      <c r="A10492" s="549"/>
      <c r="B10492" s="549"/>
      <c r="C10492" s="549"/>
      <c r="D10492" s="549"/>
      <c r="E10492" s="549"/>
      <c r="F10492" s="549"/>
      <c r="G10492" s="549"/>
      <c r="H10492" s="549"/>
      <c r="I10492" s="560"/>
      <c r="J10492" s="549"/>
      <c r="K10492" s="561"/>
      <c r="L10492" s="565"/>
      <c r="M10492" s="549"/>
      <c r="N10492" s="549"/>
      <c r="O10492" s="549"/>
      <c r="P10492" s="549"/>
    </row>
    <row r="10493" spans="1:19" ht="17.399999999999999">
      <c r="A10493" s="549"/>
      <c r="B10493" s="549"/>
      <c r="C10493" s="549"/>
      <c r="D10493" s="549"/>
      <c r="E10493" s="549"/>
      <c r="F10493" s="549"/>
      <c r="G10493" s="549"/>
      <c r="H10493" s="549"/>
      <c r="I10493" s="560"/>
      <c r="J10493" s="549"/>
      <c r="K10493" s="561"/>
      <c r="L10493" s="560"/>
      <c r="M10493" s="549"/>
      <c r="N10493" s="549"/>
      <c r="O10493" s="549"/>
      <c r="P10493" s="549"/>
    </row>
    <row r="10494" spans="1:19" ht="17.399999999999999">
      <c r="A10494" s="549"/>
      <c r="B10494" s="549"/>
      <c r="C10494" s="549"/>
      <c r="D10494" s="549"/>
      <c r="E10494" s="549"/>
      <c r="F10494" s="549"/>
      <c r="G10494" s="549"/>
      <c r="H10494" s="549"/>
      <c r="I10494" s="560"/>
      <c r="J10494" s="549"/>
      <c r="K10494" s="561"/>
      <c r="L10494" s="560"/>
      <c r="M10494" s="549"/>
      <c r="N10494" s="549"/>
      <c r="O10494" s="549"/>
      <c r="P10494" s="549"/>
    </row>
    <row r="10495" spans="1:19" ht="17.399999999999999">
      <c r="A10495" s="547" t="s">
        <v>481</v>
      </c>
      <c r="B10495" s="547" t="s">
        <v>1244</v>
      </c>
      <c r="C10495" s="547" t="s">
        <v>19</v>
      </c>
      <c r="D10495" s="813" t="s">
        <v>854</v>
      </c>
      <c r="E10495" s="780" t="s">
        <v>1167</v>
      </c>
      <c r="F10495" s="549">
        <v>14</v>
      </c>
      <c r="G10495" s="549" t="s">
        <v>21</v>
      </c>
      <c r="H10495" s="549" t="s">
        <v>128</v>
      </c>
      <c r="I10495" s="558">
        <v>16</v>
      </c>
      <c r="J10495" s="567">
        <v>11.3</v>
      </c>
      <c r="K10495" s="648">
        <v>2</v>
      </c>
      <c r="L10495" s="552">
        <f>(I10495*J10495*K10495/1000)</f>
        <v>0.36160000000000003</v>
      </c>
      <c r="M10495" s="549"/>
      <c r="N10495" s="549"/>
      <c r="O10495" s="549"/>
      <c r="P10495" s="549"/>
    </row>
    <row r="10496" spans="1:19" ht="17.399999999999999">
      <c r="A10496" s="549"/>
      <c r="B10496" s="549" t="s">
        <v>240</v>
      </c>
      <c r="C10496" s="549"/>
      <c r="D10496" s="549"/>
      <c r="E10496" s="549"/>
      <c r="F10496" s="549"/>
      <c r="G10496" s="549"/>
      <c r="H10496" s="549"/>
      <c r="I10496" s="560"/>
      <c r="J10496" s="549"/>
      <c r="K10496" s="652">
        <f t="shared" ref="K10496" si="2178">SUM(K10495)</f>
        <v>2</v>
      </c>
      <c r="L10496" s="565">
        <f>SUM(L10495)</f>
        <v>0.36160000000000003</v>
      </c>
      <c r="M10496" s="754" t="s">
        <v>1247</v>
      </c>
      <c r="N10496" s="754"/>
      <c r="O10496" s="549"/>
      <c r="P10496" s="549"/>
    </row>
    <row r="10497" spans="1:18" s="1358" customFormat="1" ht="17.399999999999999">
      <c r="A10497" s="549"/>
      <c r="B10497" s="549"/>
      <c r="C10497" s="549"/>
      <c r="D10497" s="549"/>
      <c r="E10497" s="549"/>
      <c r="F10497" s="549"/>
      <c r="G10497" s="549"/>
      <c r="H10497" s="549"/>
      <c r="I10497" s="560"/>
      <c r="J10497" s="549"/>
      <c r="K10497" s="652"/>
      <c r="L10497" s="565"/>
      <c r="M10497" s="549"/>
      <c r="N10497" s="549"/>
      <c r="O10497" s="549"/>
      <c r="P10497" s="549"/>
    </row>
    <row r="10498" spans="1:18" s="1358" customFormat="1" ht="17.399999999999999">
      <c r="A10498" s="547" t="s">
        <v>481</v>
      </c>
      <c r="B10498" s="547" t="s">
        <v>1245</v>
      </c>
      <c r="C10498" s="547" t="s">
        <v>19</v>
      </c>
      <c r="D10498" s="813" t="s">
        <v>854</v>
      </c>
      <c r="E10498" s="780" t="s">
        <v>1167</v>
      </c>
      <c r="F10498" s="549">
        <v>14</v>
      </c>
      <c r="G10498" s="549" t="s">
        <v>21</v>
      </c>
      <c r="H10498" s="549" t="s">
        <v>128</v>
      </c>
      <c r="I10498" s="558">
        <v>16</v>
      </c>
      <c r="J10498" s="567">
        <v>6.1</v>
      </c>
      <c r="K10498" s="648">
        <v>32</v>
      </c>
      <c r="L10498" s="552">
        <f t="shared" ref="L10498:L10503" si="2179">(I10498*J10498*K10498/1000)</f>
        <v>3.1231999999999998</v>
      </c>
      <c r="M10498" s="549"/>
      <c r="N10498" s="549"/>
      <c r="O10498" s="549"/>
      <c r="P10498" s="549"/>
      <c r="Q10498" s="1487" t="s">
        <v>1304</v>
      </c>
    </row>
    <row r="10499" spans="1:18" s="1358" customFormat="1" ht="17.399999999999999">
      <c r="A10499" s="549"/>
      <c r="B10499" s="832" t="s">
        <v>1246</v>
      </c>
      <c r="C10499" s="549"/>
      <c r="D10499" s="549"/>
      <c r="E10499" s="549"/>
      <c r="F10499" s="549"/>
      <c r="G10499" s="549" t="s">
        <v>21</v>
      </c>
      <c r="H10499" s="549" t="s">
        <v>128</v>
      </c>
      <c r="I10499" s="558">
        <v>16</v>
      </c>
      <c r="J10499" s="567">
        <v>7.2</v>
      </c>
      <c r="K10499" s="648">
        <v>120</v>
      </c>
      <c r="L10499" s="552">
        <f t="shared" si="2179"/>
        <v>13.824</v>
      </c>
      <c r="M10499" s="549"/>
      <c r="N10499" s="549"/>
      <c r="O10499" s="549"/>
      <c r="P10499" s="549"/>
      <c r="Q10499" s="1487" t="s">
        <v>1306</v>
      </c>
    </row>
    <row r="10500" spans="1:18" s="1358" customFormat="1" ht="17.399999999999999">
      <c r="A10500" s="549"/>
      <c r="B10500" s="832"/>
      <c r="C10500" s="549"/>
      <c r="D10500" s="549"/>
      <c r="E10500" s="549"/>
      <c r="F10500" s="549"/>
      <c r="G10500" s="549" t="s">
        <v>21</v>
      </c>
      <c r="H10500" s="549" t="s">
        <v>128</v>
      </c>
      <c r="I10500" s="558">
        <v>16</v>
      </c>
      <c r="J10500" s="567">
        <v>7.5</v>
      </c>
      <c r="K10500" s="648">
        <v>32</v>
      </c>
      <c r="L10500" s="552">
        <f t="shared" si="2179"/>
        <v>3.84</v>
      </c>
      <c r="M10500" s="549"/>
      <c r="N10500" s="549"/>
      <c r="O10500" s="549"/>
      <c r="P10500" s="549"/>
      <c r="Q10500" s="1358">
        <f>4+2</f>
        <v>6</v>
      </c>
      <c r="R10500" s="1358">
        <f>J10500*Q10500*I10500/1000</f>
        <v>0.72</v>
      </c>
    </row>
    <row r="10501" spans="1:18" s="1358" customFormat="1" ht="17.399999999999999">
      <c r="A10501" s="549"/>
      <c r="B10501" s="832"/>
      <c r="C10501" s="549"/>
      <c r="D10501" s="549"/>
      <c r="E10501" s="549"/>
      <c r="F10501" s="549"/>
      <c r="G10501" s="549" t="s">
        <v>21</v>
      </c>
      <c r="H10501" s="549" t="s">
        <v>128</v>
      </c>
      <c r="I10501" s="558">
        <v>16</v>
      </c>
      <c r="J10501" s="567">
        <v>10</v>
      </c>
      <c r="K10501" s="648">
        <v>14</v>
      </c>
      <c r="L10501" s="552">
        <f t="shared" si="2179"/>
        <v>2.2400000000000002</v>
      </c>
      <c r="M10501" s="549"/>
      <c r="N10501" s="549"/>
      <c r="O10501" s="549"/>
      <c r="P10501" s="549"/>
      <c r="Q10501" s="1358">
        <v>3</v>
      </c>
      <c r="R10501" s="1487">
        <f t="shared" ref="R10501:R10503" si="2180">J10501*Q10501*I10501/1000</f>
        <v>0.48</v>
      </c>
    </row>
    <row r="10502" spans="1:18" s="1358" customFormat="1" ht="17.399999999999999">
      <c r="A10502" s="549"/>
      <c r="B10502" s="832"/>
      <c r="C10502" s="549"/>
      <c r="D10502" s="549"/>
      <c r="E10502" s="549"/>
      <c r="F10502" s="549"/>
      <c r="G10502" s="549" t="s">
        <v>21</v>
      </c>
      <c r="H10502" s="549" t="s">
        <v>128</v>
      </c>
      <c r="I10502" s="558">
        <v>16</v>
      </c>
      <c r="J10502" s="567">
        <v>11.3</v>
      </c>
      <c r="K10502" s="648">
        <v>40</v>
      </c>
      <c r="L10502" s="552">
        <f t="shared" si="2179"/>
        <v>7.2320000000000002</v>
      </c>
      <c r="M10502" s="549"/>
      <c r="N10502" s="549"/>
      <c r="O10502" s="549"/>
      <c r="P10502" s="549"/>
      <c r="Q10502" s="1358">
        <v>5</v>
      </c>
      <c r="R10502" s="1487">
        <f t="shared" si="2180"/>
        <v>0.90400000000000003</v>
      </c>
    </row>
    <row r="10503" spans="1:18" s="1358" customFormat="1" ht="17.399999999999999">
      <c r="A10503" s="549"/>
      <c r="B10503" s="832"/>
      <c r="C10503" s="549"/>
      <c r="D10503" s="549"/>
      <c r="E10503" s="549"/>
      <c r="F10503" s="549"/>
      <c r="G10503" s="549" t="s">
        <v>21</v>
      </c>
      <c r="H10503" s="549" t="s">
        <v>128</v>
      </c>
      <c r="I10503" s="558">
        <v>16</v>
      </c>
      <c r="J10503" s="567">
        <v>11.8</v>
      </c>
      <c r="K10503" s="648">
        <v>12</v>
      </c>
      <c r="L10503" s="552">
        <f t="shared" si="2179"/>
        <v>2.2656000000000005</v>
      </c>
      <c r="M10503" s="549"/>
      <c r="N10503" s="549"/>
      <c r="O10503" s="549"/>
      <c r="P10503" s="549"/>
      <c r="Q10503" s="1358">
        <v>10</v>
      </c>
      <c r="R10503" s="1487">
        <f t="shared" si="2180"/>
        <v>1.8879999999999999</v>
      </c>
    </row>
    <row r="10504" spans="1:18" s="1358" customFormat="1" ht="17.399999999999999">
      <c r="A10504" s="549"/>
      <c r="B10504" s="832"/>
      <c r="C10504" s="549"/>
      <c r="D10504" s="549"/>
      <c r="E10504" s="549"/>
      <c r="F10504" s="549"/>
      <c r="G10504" s="549"/>
      <c r="H10504" s="549"/>
      <c r="I10504" s="558"/>
      <c r="J10504" s="567"/>
      <c r="K10504" s="648">
        <f>SUM(K10498:K10503)</f>
        <v>250</v>
      </c>
      <c r="L10504" s="567">
        <f>SUM(L10498:L10503)</f>
        <v>32.524799999999999</v>
      </c>
      <c r="M10504" s="754" t="s">
        <v>1249</v>
      </c>
      <c r="N10504" s="549"/>
      <c r="O10504" s="549"/>
      <c r="P10504" s="549" t="s">
        <v>1262</v>
      </c>
      <c r="Q10504" s="648">
        <f>SUM(Q10498:Q10503)</f>
        <v>24</v>
      </c>
      <c r="R10504" s="567">
        <f>SUM(R10498:R10503)</f>
        <v>3.992</v>
      </c>
    </row>
    <row r="10505" spans="1:18" s="1358" customFormat="1" ht="17.399999999999999">
      <c r="A10505" s="549"/>
      <c r="B10505" s="832"/>
      <c r="C10505" s="549"/>
      <c r="D10505" s="549"/>
      <c r="E10505" s="549"/>
      <c r="F10505" s="549"/>
      <c r="G10505" s="549"/>
      <c r="H10505" s="549"/>
      <c r="I10505" s="560"/>
      <c r="J10505" s="549"/>
      <c r="K10505" s="652"/>
      <c r="L10505" s="565">
        <f>+L10504+L10496</f>
        <v>32.886400000000002</v>
      </c>
      <c r="M10505" s="549"/>
      <c r="N10505" s="549"/>
      <c r="O10505" s="549"/>
      <c r="P10505" s="549"/>
    </row>
    <row r="10506" spans="1:18" s="1358" customFormat="1" ht="17.399999999999999">
      <c r="A10506" s="549"/>
      <c r="B10506" s="832"/>
      <c r="C10506" s="549"/>
      <c r="D10506" s="549"/>
      <c r="E10506" s="549"/>
      <c r="F10506" s="549"/>
      <c r="G10506" s="549"/>
      <c r="H10506" s="549"/>
      <c r="I10506" s="560"/>
      <c r="J10506" s="549"/>
      <c r="K10506" s="652"/>
      <c r="L10506" s="565"/>
      <c r="M10506" s="549"/>
      <c r="N10506" s="549"/>
      <c r="O10506" s="549"/>
      <c r="P10506" s="549"/>
    </row>
    <row r="10507" spans="1:18" ht="17.399999999999999">
      <c r="A10507" s="549"/>
      <c r="B10507" s="549"/>
      <c r="C10507" s="549"/>
      <c r="D10507" s="549"/>
      <c r="E10507" s="549"/>
      <c r="F10507" s="549"/>
      <c r="G10507" s="549"/>
      <c r="H10507" s="549"/>
      <c r="I10507" s="560"/>
      <c r="J10507" s="549"/>
      <c r="K10507" s="561"/>
      <c r="L10507" s="560"/>
      <c r="M10507" s="549"/>
      <c r="N10507" s="549"/>
      <c r="O10507" s="549"/>
      <c r="P10507" s="549"/>
    </row>
    <row r="10508" spans="1:18" ht="17.399999999999999">
      <c r="A10508" s="549"/>
      <c r="B10508" s="549"/>
      <c r="C10508" s="549"/>
      <c r="D10508" s="549"/>
      <c r="E10508" s="549"/>
      <c r="F10508" s="549"/>
      <c r="G10508" s="549"/>
      <c r="H10508" s="549"/>
      <c r="I10508" s="560"/>
      <c r="J10508" s="549"/>
      <c r="K10508" s="561"/>
      <c r="L10508" s="560"/>
      <c r="M10508" s="549"/>
      <c r="N10508" s="549"/>
      <c r="O10508" s="549"/>
      <c r="P10508" s="549"/>
    </row>
    <row r="10509" spans="1:18" ht="17.399999999999999">
      <c r="A10509" s="549"/>
      <c r="B10509" s="549"/>
      <c r="C10509" s="549"/>
      <c r="D10509" s="549"/>
      <c r="E10509" s="549"/>
      <c r="F10509" s="549"/>
      <c r="G10509" s="549"/>
      <c r="H10509" s="549"/>
      <c r="I10509" s="560"/>
      <c r="J10509" s="549"/>
      <c r="K10509" s="561"/>
      <c r="L10509" s="568">
        <f>+L10491+L10505+L10473+L10475+L10450+L10455+L10478</f>
        <v>485.09600799999998</v>
      </c>
      <c r="M10509" s="549"/>
      <c r="N10509" s="549"/>
      <c r="O10509" s="549"/>
      <c r="P10509" s="549"/>
    </row>
    <row r="10510" spans="1:18" ht="18">
      <c r="A10510" s="653" t="s">
        <v>48</v>
      </c>
      <c r="B10510" s="653"/>
      <c r="C10510" s="654"/>
      <c r="D10510" s="654"/>
      <c r="E10510" s="654"/>
      <c r="F10510" s="1435"/>
      <c r="G10510" s="654"/>
      <c r="H10510" s="1435"/>
      <c r="I10510" s="656"/>
      <c r="J10510" s="654"/>
      <c r="K10510" s="657"/>
      <c r="L10510" s="2003" t="s">
        <v>0</v>
      </c>
      <c r="M10510" s="2003"/>
      <c r="N10510" s="2003"/>
      <c r="O10510" s="2004"/>
      <c r="P10510" s="1097"/>
    </row>
    <row r="10511" spans="1:18" ht="18">
      <c r="A10511" s="658" t="s">
        <v>1</v>
      </c>
      <c r="B10511" s="658"/>
      <c r="C10511" s="658"/>
      <c r="D10511" s="659" t="s">
        <v>2</v>
      </c>
      <c r="E10511" s="659"/>
      <c r="F10511" s="660"/>
      <c r="G10511" s="660"/>
      <c r="H10511" s="660"/>
      <c r="I10511" s="661"/>
      <c r="J10511" s="660"/>
      <c r="K10511" s="662" t="s">
        <v>3</v>
      </c>
      <c r="L10511" s="660"/>
      <c r="M10511" s="658"/>
      <c r="N10511" s="660"/>
      <c r="O10511" s="663"/>
      <c r="P10511" s="1098"/>
    </row>
    <row r="10512" spans="1:18" ht="18">
      <c r="A10512" s="1435" t="s">
        <v>22</v>
      </c>
      <c r="B10512" s="1990" t="s">
        <v>23</v>
      </c>
      <c r="C10512" s="2005"/>
      <c r="D10512" s="1989"/>
      <c r="E10512" s="1435" t="s">
        <v>24</v>
      </c>
      <c r="F10512" s="1990" t="s">
        <v>25</v>
      </c>
      <c r="G10512" s="1989"/>
      <c r="H10512" s="1990" t="s">
        <v>26</v>
      </c>
      <c r="I10512" s="2005"/>
      <c r="J10512" s="2005"/>
      <c r="K10512" s="1989"/>
      <c r="L10512" s="2006" t="s">
        <v>27</v>
      </c>
      <c r="M10512" s="2006"/>
      <c r="N10512" s="2006"/>
      <c r="O10512" s="1990"/>
      <c r="P10512" s="1098"/>
    </row>
    <row r="10513" spans="1:16" ht="18">
      <c r="A10513" s="664"/>
      <c r="B10513" s="1975"/>
      <c r="C10513" s="1976"/>
      <c r="D10513" s="1977"/>
      <c r="E10513" s="665"/>
      <c r="F10513" s="1975"/>
      <c r="G10513" s="1977"/>
      <c r="H10513" s="1975"/>
      <c r="I10513" s="1976"/>
      <c r="J10513" s="1976"/>
      <c r="K10513" s="1977"/>
      <c r="L10513" s="1975"/>
      <c r="M10513" s="1976"/>
      <c r="N10513" s="1976"/>
      <c r="O10513" s="1976"/>
      <c r="P10513" s="1098"/>
    </row>
    <row r="10514" spans="1:16" ht="18">
      <c r="A10514" s="664"/>
      <c r="B10514" s="1429"/>
      <c r="C10514" s="1430"/>
      <c r="D10514" s="1431"/>
      <c r="E10514" s="665"/>
      <c r="F10514" s="1429"/>
      <c r="G10514" s="1431"/>
      <c r="H10514" s="1429"/>
      <c r="I10514" s="1842"/>
      <c r="J10514" s="1430"/>
      <c r="K10514" s="1431"/>
      <c r="L10514" s="1430"/>
      <c r="M10514" s="1430"/>
      <c r="N10514" s="1430"/>
      <c r="O10514" s="1430"/>
      <c r="P10514" s="1098"/>
    </row>
    <row r="10515" spans="1:16" ht="18">
      <c r="A10515" s="664" t="s">
        <v>28</v>
      </c>
      <c r="B10515" s="1975" t="s">
        <v>139</v>
      </c>
      <c r="C10515" s="1976"/>
      <c r="D10515" s="1977"/>
      <c r="E10515" s="665">
        <f>+L10450</f>
        <v>107.34696000000001</v>
      </c>
      <c r="F10515" s="1973">
        <v>14</v>
      </c>
      <c r="G10515" s="1974"/>
      <c r="H10515" s="1975" t="s">
        <v>49</v>
      </c>
      <c r="I10515" s="1976"/>
      <c r="J10515" s="1976"/>
      <c r="K10515" s="1977"/>
      <c r="L10515" s="1976" t="s">
        <v>1046</v>
      </c>
      <c r="M10515" s="1976"/>
      <c r="N10515" s="1976"/>
      <c r="O10515" s="1976"/>
      <c r="P10515" s="1098"/>
    </row>
    <row r="10516" spans="1:16" ht="18">
      <c r="A10516" s="664" t="s">
        <v>29</v>
      </c>
      <c r="B10516" s="1975" t="s">
        <v>141</v>
      </c>
      <c r="C10516" s="1976"/>
      <c r="D10516" s="1977"/>
      <c r="E10516" s="665">
        <f>+L10455+8</f>
        <v>64.320320000000009</v>
      </c>
      <c r="F10516" s="1973">
        <v>14</v>
      </c>
      <c r="G10516" s="1974"/>
      <c r="H10516" s="1975" t="s">
        <v>49</v>
      </c>
      <c r="I10516" s="1976"/>
      <c r="J10516" s="1976"/>
      <c r="K10516" s="1977"/>
      <c r="L10516" s="1976" t="s">
        <v>1046</v>
      </c>
      <c r="M10516" s="1976"/>
      <c r="N10516" s="1976"/>
      <c r="O10516" s="1976"/>
      <c r="P10516" s="1098"/>
    </row>
    <row r="10517" spans="1:16" ht="18">
      <c r="A10517" s="664" t="s">
        <v>30</v>
      </c>
      <c r="B10517" s="1975" t="s">
        <v>142</v>
      </c>
      <c r="C10517" s="1976"/>
      <c r="D10517" s="1977"/>
      <c r="E10517" s="665">
        <f>+L10478+5</f>
        <v>185.73756800000001</v>
      </c>
      <c r="F10517" s="1973">
        <v>14</v>
      </c>
      <c r="G10517" s="1974"/>
      <c r="H10517" s="1975" t="s">
        <v>49</v>
      </c>
      <c r="I10517" s="1976"/>
      <c r="J10517" s="1976"/>
      <c r="K10517" s="1977"/>
      <c r="L10517" s="1976" t="s">
        <v>1046</v>
      </c>
      <c r="M10517" s="1976"/>
      <c r="N10517" s="1976"/>
      <c r="O10517" s="1976"/>
      <c r="P10517" s="1098"/>
    </row>
    <row r="10518" spans="1:16" ht="18">
      <c r="A10518" s="664" t="s">
        <v>46</v>
      </c>
      <c r="B10518" s="1975" t="s">
        <v>143</v>
      </c>
      <c r="C10518" s="1976"/>
      <c r="D10518" s="1977"/>
      <c r="E10518" s="665">
        <v>5</v>
      </c>
      <c r="F10518" s="1973">
        <v>14</v>
      </c>
      <c r="G10518" s="1974"/>
      <c r="H10518" s="1975" t="s">
        <v>49</v>
      </c>
      <c r="I10518" s="1976"/>
      <c r="J10518" s="1976"/>
      <c r="K10518" s="1977"/>
      <c r="L10518" s="1976" t="s">
        <v>1046</v>
      </c>
      <c r="M10518" s="1976"/>
      <c r="N10518" s="1976"/>
      <c r="O10518" s="1976"/>
      <c r="P10518" s="1098"/>
    </row>
    <row r="10519" spans="1:16" ht="18">
      <c r="A10519" s="664"/>
      <c r="B10519" s="1975"/>
      <c r="C10519" s="1976"/>
      <c r="D10519" s="1977"/>
      <c r="E10519" s="665"/>
      <c r="F10519" s="1973"/>
      <c r="G10519" s="1974"/>
      <c r="H10519" s="1975"/>
      <c r="I10519" s="1976"/>
      <c r="J10519" s="1976"/>
      <c r="K10519" s="1977"/>
      <c r="L10519" s="1976"/>
      <c r="M10519" s="1976"/>
      <c r="N10519" s="1976"/>
      <c r="O10519" s="1976"/>
      <c r="P10519" s="1098"/>
    </row>
    <row r="10520" spans="1:16" ht="18.600000000000001" thickBot="1">
      <c r="A10520" s="664"/>
      <c r="B10520" s="1429"/>
      <c r="C10520" s="1430"/>
      <c r="D10520" s="1430"/>
      <c r="E10520" s="665"/>
      <c r="F10520" s="1430"/>
      <c r="G10520" s="1431"/>
      <c r="H10520" s="1429"/>
      <c r="I10520" s="1842"/>
      <c r="J10520" s="1430"/>
      <c r="K10520" s="669"/>
      <c r="L10520" s="672"/>
      <c r="M10520" s="673"/>
      <c r="N10520" s="673"/>
      <c r="O10520" s="673"/>
      <c r="P10520" s="1098"/>
    </row>
    <row r="10521" spans="1:16" ht="18">
      <c r="A10521" s="674"/>
      <c r="B10521" s="675"/>
      <c r="C10521" s="676"/>
      <c r="D10521" s="676"/>
      <c r="E10521" s="1980">
        <f>SUM(E10513:E10520)</f>
        <v>362.40484800000002</v>
      </c>
      <c r="F10521" s="677"/>
      <c r="G10521" s="678"/>
      <c r="H10521" s="679"/>
      <c r="I10521" s="1848"/>
      <c r="J10521" s="676"/>
      <c r="K10521" s="680"/>
      <c r="L10521" s="679"/>
      <c r="M10521" s="676"/>
      <c r="N10521" s="677"/>
      <c r="O10521" s="676"/>
      <c r="P10521" s="1098"/>
    </row>
    <row r="10522" spans="1:16" ht="18.600000000000001" thickBot="1">
      <c r="A10522" s="681"/>
      <c r="B10522" s="682"/>
      <c r="C10522" s="683"/>
      <c r="D10522" s="683"/>
      <c r="E10522" s="1981"/>
      <c r="F10522" s="684"/>
      <c r="G10522" s="685"/>
      <c r="H10522" s="686"/>
      <c r="I10522" s="1850"/>
      <c r="J10522" s="683"/>
      <c r="K10522" s="687"/>
      <c r="L10522" s="686"/>
      <c r="M10522" s="683"/>
      <c r="N10522" s="684"/>
      <c r="O10522" s="683"/>
      <c r="P10522" s="1098"/>
    </row>
    <row r="10523" spans="1:16" ht="18">
      <c r="A10523" s="688" t="s">
        <v>31</v>
      </c>
      <c r="B10523" s="676"/>
      <c r="C10523" s="676"/>
      <c r="D10523" s="676"/>
      <c r="E10523" s="676"/>
      <c r="F10523" s="677"/>
      <c r="G10523" s="676"/>
      <c r="H10523" s="677"/>
      <c r="I10523" s="1848"/>
      <c r="J10523" s="676"/>
      <c r="K10523" s="689"/>
      <c r="L10523" s="677"/>
      <c r="M10523" s="676"/>
      <c r="N10523" s="677"/>
      <c r="O10523" s="676"/>
      <c r="P10523" s="1098"/>
    </row>
    <row r="10524" spans="1:16" ht="18">
      <c r="A10524" s="690"/>
      <c r="B10524" s="691"/>
      <c r="C10524" s="691"/>
      <c r="D10524" s="691"/>
      <c r="E10524" s="691"/>
      <c r="F10524" s="1428"/>
      <c r="G10524" s="691"/>
      <c r="H10524" s="1428"/>
      <c r="I10524" s="1849"/>
      <c r="J10524" s="691"/>
      <c r="K10524" s="693"/>
      <c r="L10524" s="1428"/>
      <c r="M10524" s="691"/>
      <c r="N10524" s="1428"/>
      <c r="O10524" s="691"/>
      <c r="P10524" s="1098"/>
    </row>
    <row r="10525" spans="1:16" ht="18.600000000000001" thickBot="1">
      <c r="A10525" s="1982" t="s">
        <v>32</v>
      </c>
      <c r="B10525" s="1983"/>
      <c r="C10525" s="1984" t="s">
        <v>33</v>
      </c>
      <c r="D10525" s="1985"/>
      <c r="E10525" s="694" t="s">
        <v>34</v>
      </c>
      <c r="F10525" s="694" t="s">
        <v>35</v>
      </c>
      <c r="G10525" s="1986" t="s">
        <v>36</v>
      </c>
      <c r="H10525" s="1987"/>
      <c r="I10525" s="1987"/>
      <c r="J10525" s="1987"/>
      <c r="K10525" s="1987"/>
      <c r="L10525" s="1987"/>
      <c r="M10525" s="1987"/>
      <c r="N10525" s="1987"/>
      <c r="O10525" s="1987"/>
      <c r="P10525" s="1098"/>
    </row>
    <row r="10526" spans="1:16" ht="18">
      <c r="A10526" s="1988"/>
      <c r="B10526" s="1989"/>
      <c r="C10526" s="1990"/>
      <c r="D10526" s="1989"/>
      <c r="E10526" s="1435"/>
      <c r="F10526" s="1432"/>
      <c r="G10526" s="1991"/>
      <c r="H10526" s="1992"/>
      <c r="I10526" s="1992"/>
      <c r="J10526" s="1992"/>
      <c r="K10526" s="1992"/>
      <c r="L10526" s="1992"/>
      <c r="M10526" s="1992"/>
      <c r="N10526" s="1992"/>
      <c r="O10526" s="1992"/>
      <c r="P10526" s="1098"/>
    </row>
    <row r="10527" spans="1:16" ht="18">
      <c r="A10527" s="1997" t="s">
        <v>37</v>
      </c>
      <c r="B10527" s="1998"/>
      <c r="C10527" s="1990"/>
      <c r="D10527" s="1989"/>
      <c r="E10527" s="1435"/>
      <c r="F10527" s="1432"/>
      <c r="G10527" s="1993"/>
      <c r="H10527" s="1994"/>
      <c r="I10527" s="1994"/>
      <c r="J10527" s="1994"/>
      <c r="K10527" s="1994"/>
      <c r="L10527" s="1994"/>
      <c r="M10527" s="1994"/>
      <c r="N10527" s="1994"/>
      <c r="O10527" s="1994"/>
      <c r="P10527" s="1098"/>
    </row>
    <row r="10528" spans="1:16" ht="18">
      <c r="A10528" s="1997" t="s">
        <v>38</v>
      </c>
      <c r="B10528" s="1998"/>
      <c r="C10528" s="1990"/>
      <c r="D10528" s="1989"/>
      <c r="E10528" s="1435"/>
      <c r="F10528" s="1432"/>
      <c r="G10528" s="1993"/>
      <c r="H10528" s="1994"/>
      <c r="I10528" s="1994"/>
      <c r="J10528" s="1994"/>
      <c r="K10528" s="1994"/>
      <c r="L10528" s="1994"/>
      <c r="M10528" s="1994"/>
      <c r="N10528" s="1994"/>
      <c r="O10528" s="1994"/>
      <c r="P10528" s="1098"/>
    </row>
    <row r="10529" spans="1:17" ht="18">
      <c r="A10529" s="1997" t="s">
        <v>39</v>
      </c>
      <c r="B10529" s="1998"/>
      <c r="C10529" s="1990"/>
      <c r="D10529" s="1989"/>
      <c r="E10529" s="1435"/>
      <c r="F10529" s="1432"/>
      <c r="G10529" s="1993"/>
      <c r="H10529" s="1994"/>
      <c r="I10529" s="1994"/>
      <c r="J10529" s="1994"/>
      <c r="K10529" s="1994"/>
      <c r="L10529" s="1994"/>
      <c r="M10529" s="1994"/>
      <c r="N10529" s="1994"/>
      <c r="O10529" s="1994"/>
      <c r="P10529" s="1098"/>
    </row>
    <row r="10530" spans="1:17" ht="18">
      <c r="A10530" s="1997" t="s">
        <v>40</v>
      </c>
      <c r="B10530" s="1998"/>
      <c r="C10530" s="1990"/>
      <c r="D10530" s="1989"/>
      <c r="E10530" s="1435"/>
      <c r="F10530" s="1432"/>
      <c r="G10530" s="1993"/>
      <c r="H10530" s="1994"/>
      <c r="I10530" s="1994"/>
      <c r="J10530" s="1994"/>
      <c r="K10530" s="1994"/>
      <c r="L10530" s="1994"/>
      <c r="M10530" s="1994"/>
      <c r="N10530" s="1994"/>
      <c r="O10530" s="1994"/>
      <c r="P10530" s="1098"/>
    </row>
    <row r="10531" spans="1:17" ht="18.600000000000001" thickBot="1">
      <c r="A10531" s="1999" t="s">
        <v>41</v>
      </c>
      <c r="B10531" s="2000"/>
      <c r="C10531" s="2001"/>
      <c r="D10531" s="2002"/>
      <c r="E10531" s="696"/>
      <c r="F10531" s="1433"/>
      <c r="G10531" s="1995"/>
      <c r="H10531" s="1996"/>
      <c r="I10531" s="1996"/>
      <c r="J10531" s="1996"/>
      <c r="K10531" s="1996"/>
      <c r="L10531" s="1996"/>
      <c r="M10531" s="1996"/>
      <c r="N10531" s="1996"/>
      <c r="O10531" s="1996"/>
      <c r="P10531" s="1098"/>
    </row>
    <row r="10532" spans="1:17" ht="18">
      <c r="A10532" s="690"/>
      <c r="B10532" s="691"/>
      <c r="C10532" s="691"/>
      <c r="D10532" s="691"/>
      <c r="E10532" s="691"/>
      <c r="F10532" s="1428"/>
      <c r="G10532" s="691"/>
      <c r="H10532" s="698"/>
      <c r="I10532" s="699"/>
      <c r="J10532" s="700"/>
      <c r="K10532" s="701"/>
      <c r="L10532" s="702"/>
      <c r="M10532" s="691"/>
      <c r="N10532" s="1428"/>
      <c r="O10532" s="691"/>
      <c r="P10532" s="1098"/>
    </row>
    <row r="10533" spans="1:17" ht="18">
      <c r="A10533" s="703" t="s">
        <v>42</v>
      </c>
      <c r="B10533" s="704"/>
      <c r="C10533" s="691"/>
      <c r="D10533" s="691"/>
      <c r="E10533" s="691"/>
      <c r="F10533" s="1428"/>
      <c r="G10533" s="704"/>
      <c r="H10533" s="698"/>
      <c r="I10533" s="699"/>
      <c r="J10533" s="700"/>
      <c r="K10533" s="693"/>
      <c r="L10533" s="705"/>
      <c r="M10533" s="691"/>
      <c r="N10533" s="1979" t="s">
        <v>43</v>
      </c>
      <c r="O10533" s="1979"/>
      <c r="P10533" s="1098"/>
    </row>
    <row r="10534" spans="1:17" ht="18">
      <c r="A10534" s="703"/>
      <c r="B10534" s="704"/>
      <c r="C10534" s="691"/>
      <c r="D10534" s="691"/>
      <c r="E10534" s="691"/>
      <c r="F10534" s="1428"/>
      <c r="G10534" s="691"/>
      <c r="H10534" s="1428"/>
      <c r="I10534" s="1849"/>
      <c r="J10534" s="691"/>
      <c r="K10534" s="693"/>
      <c r="L10534" s="1428"/>
      <c r="M10534" s="691"/>
      <c r="N10534" s="1428"/>
      <c r="O10534" s="704"/>
      <c r="P10534" s="1098"/>
    </row>
    <row r="10535" spans="1:17" ht="18">
      <c r="A10535" s="703" t="s">
        <v>44</v>
      </c>
      <c r="B10535" s="704"/>
      <c r="C10535" s="691"/>
      <c r="D10535" s="691"/>
      <c r="E10535" s="691"/>
      <c r="F10535" s="1428"/>
      <c r="G10535" s="691"/>
      <c r="H10535" s="1428"/>
      <c r="I10535" s="1849"/>
      <c r="J10535" s="691"/>
      <c r="K10535" s="693"/>
      <c r="L10535" s="1428"/>
      <c r="M10535" s="691"/>
      <c r="N10535" s="1979" t="s">
        <v>45</v>
      </c>
      <c r="O10535" s="1979"/>
      <c r="P10535" s="1098"/>
    </row>
    <row r="10536" spans="1:17" ht="18.600000000000001" thickBot="1">
      <c r="A10536" s="682"/>
      <c r="B10536" s="683"/>
      <c r="C10536" s="683"/>
      <c r="D10536" s="683"/>
      <c r="E10536" s="683"/>
      <c r="F10536" s="684"/>
      <c r="G10536" s="683"/>
      <c r="H10536" s="684"/>
      <c r="I10536" s="1850"/>
      <c r="J10536" s="683"/>
      <c r="K10536" s="706"/>
      <c r="L10536" s="684"/>
      <c r="M10536" s="683"/>
      <c r="N10536" s="684"/>
      <c r="O10536" s="683"/>
      <c r="P10536" s="1099"/>
    </row>
    <row r="10541" spans="1:17" ht="17.399999999999999">
      <c r="A10541" s="711" t="s">
        <v>48</v>
      </c>
      <c r="B10541" s="711"/>
      <c r="C10541" s="712"/>
      <c r="D10541" s="712"/>
      <c r="E10541" s="712"/>
      <c r="F10541" s="713"/>
      <c r="G10541" s="712"/>
      <c r="H10541" s="712"/>
      <c r="I10541" s="714"/>
      <c r="J10541" s="715"/>
      <c r="K10541" s="716"/>
      <c r="L10541" s="1978" t="s">
        <v>0</v>
      </c>
      <c r="M10541" s="1978"/>
      <c r="N10541" s="1978"/>
      <c r="O10541" s="1978"/>
      <c r="P10541" s="717"/>
    </row>
    <row r="10542" spans="1:17" ht="17.399999999999999">
      <c r="A10542" s="718" t="s">
        <v>1</v>
      </c>
      <c r="B10542" s="718"/>
      <c r="C10542" s="718"/>
      <c r="D10542" s="719" t="s">
        <v>2</v>
      </c>
      <c r="E10542" s="719"/>
      <c r="F10542" s="720"/>
      <c r="G10542" s="720"/>
      <c r="H10542" s="720"/>
      <c r="I10542" s="721"/>
      <c r="J10542" s="1456"/>
      <c r="K10542" s="723" t="s">
        <v>3</v>
      </c>
      <c r="L10542" s="1456"/>
      <c r="M10542" s="718"/>
      <c r="N10542" s="720"/>
      <c r="O10542" s="718"/>
      <c r="P10542" s="724"/>
    </row>
    <row r="10543" spans="1:17" ht="52.2">
      <c r="A10543" s="640" t="s">
        <v>4</v>
      </c>
      <c r="B10543" s="640" t="s">
        <v>5</v>
      </c>
      <c r="C10543" s="640" t="s">
        <v>6</v>
      </c>
      <c r="D10543" s="640" t="s">
        <v>7</v>
      </c>
      <c r="E10543" s="640" t="s">
        <v>8</v>
      </c>
      <c r="F10543" s="641" t="s">
        <v>9</v>
      </c>
      <c r="G10543" s="642" t="s">
        <v>10</v>
      </c>
      <c r="H10543" s="642" t="s">
        <v>11</v>
      </c>
      <c r="I10543" s="643" t="s">
        <v>12</v>
      </c>
      <c r="J10543" s="644" t="s">
        <v>13</v>
      </c>
      <c r="K10543" s="645" t="s">
        <v>14</v>
      </c>
      <c r="L10543" s="646" t="s">
        <v>15</v>
      </c>
      <c r="M10543" s="641" t="s">
        <v>16</v>
      </c>
      <c r="N10543" s="641" t="s">
        <v>17</v>
      </c>
      <c r="O10543" s="642" t="s">
        <v>18</v>
      </c>
      <c r="P10543" s="641" t="s">
        <v>192</v>
      </c>
    </row>
    <row r="10544" spans="1:17" ht="17.399999999999999">
      <c r="A10544" s="549"/>
      <c r="B10544" s="549"/>
      <c r="C10544" s="549"/>
      <c r="D10544" s="549"/>
      <c r="E10544" s="549"/>
      <c r="F10544" s="549"/>
      <c r="G10544" s="549"/>
      <c r="H10544" s="549"/>
      <c r="I10544" s="560"/>
      <c r="J10544" s="549"/>
      <c r="K10544" s="561"/>
      <c r="L10544" s="560"/>
      <c r="M10544" s="549"/>
      <c r="N10544" s="549"/>
      <c r="O10544" s="549"/>
      <c r="P10544" s="549"/>
      <c r="Q10544" s="1487" t="s">
        <v>1297</v>
      </c>
    </row>
    <row r="10545" spans="1:17" ht="17.399999999999999">
      <c r="A10545" s="547" t="s">
        <v>395</v>
      </c>
      <c r="B10545" s="547" t="s">
        <v>1121</v>
      </c>
      <c r="C10545" s="547" t="s">
        <v>19</v>
      </c>
      <c r="D10545" s="813" t="s">
        <v>582</v>
      </c>
      <c r="E10545" s="547" t="s">
        <v>270</v>
      </c>
      <c r="F10545" s="549">
        <v>8</v>
      </c>
      <c r="G10545" s="549" t="s">
        <v>61</v>
      </c>
      <c r="H10545" s="599" t="s">
        <v>322</v>
      </c>
      <c r="I10545" s="558">
        <v>9.65</v>
      </c>
      <c r="J10545" s="710">
        <v>12.25</v>
      </c>
      <c r="K10545" s="882">
        <v>135</v>
      </c>
      <c r="L10545" s="552">
        <f>(I10545*J10545*K10545/1000)</f>
        <v>15.9586875</v>
      </c>
      <c r="M10545" s="549"/>
      <c r="N10545" s="549"/>
      <c r="O10545" s="549"/>
      <c r="P10545" s="549"/>
    </row>
    <row r="10546" spans="1:17" ht="17.399999999999999">
      <c r="A10546" s="549"/>
      <c r="B10546" s="549" t="s">
        <v>271</v>
      </c>
      <c r="C10546" s="549"/>
      <c r="D10546" s="549"/>
      <c r="E10546" s="549"/>
      <c r="F10546" s="549"/>
      <c r="G10546" s="549"/>
      <c r="H10546" s="549"/>
      <c r="I10546" s="558"/>
      <c r="J10546" s="710"/>
      <c r="K10546" s="648">
        <f>SUM(K10545:K10545)</f>
        <v>135</v>
      </c>
      <c r="L10546" s="765">
        <f>SUM(L10545:L10545)</f>
        <v>15.9586875</v>
      </c>
      <c r="M10546" s="549"/>
      <c r="N10546" s="549"/>
      <c r="O10546" s="549"/>
      <c r="P10546" s="549"/>
    </row>
    <row r="10547" spans="1:17" ht="17.399999999999999">
      <c r="A10547" s="549"/>
      <c r="B10547" s="549"/>
      <c r="C10547" s="549"/>
      <c r="D10547" s="549"/>
      <c r="E10547" s="549"/>
      <c r="F10547" s="549"/>
      <c r="G10547" s="549"/>
      <c r="H10547" s="549"/>
      <c r="I10547" s="558"/>
      <c r="J10547" s="549"/>
      <c r="K10547" s="561"/>
      <c r="L10547" s="560"/>
      <c r="M10547" s="549"/>
      <c r="N10547" s="549"/>
      <c r="O10547" s="549"/>
      <c r="P10547" s="549"/>
    </row>
    <row r="10548" spans="1:17" ht="17.399999999999999">
      <c r="A10548" s="547" t="s">
        <v>395</v>
      </c>
      <c r="B10548" s="547" t="s">
        <v>1122</v>
      </c>
      <c r="C10548" s="547" t="s">
        <v>19</v>
      </c>
      <c r="D10548" s="813" t="s">
        <v>582</v>
      </c>
      <c r="E10548" s="547" t="s">
        <v>270</v>
      </c>
      <c r="F10548" s="549">
        <v>8</v>
      </c>
      <c r="G10548" s="549" t="s">
        <v>61</v>
      </c>
      <c r="H10548" s="599" t="s">
        <v>322</v>
      </c>
      <c r="I10548" s="558">
        <v>9.65</v>
      </c>
      <c r="J10548" s="710">
        <v>11</v>
      </c>
      <c r="K10548" s="882">
        <v>11</v>
      </c>
      <c r="L10548" s="552">
        <f>(I10548*J10548*K10548/1000)</f>
        <v>1.1676500000000001</v>
      </c>
      <c r="M10548" s="549"/>
      <c r="N10548" s="549"/>
      <c r="O10548" s="549"/>
      <c r="P10548" s="549"/>
      <c r="Q10548" s="1487" t="s">
        <v>1297</v>
      </c>
    </row>
    <row r="10549" spans="1:17" ht="17.399999999999999">
      <c r="A10549" s="549"/>
      <c r="B10549" s="549" t="s">
        <v>271</v>
      </c>
      <c r="C10549" s="549"/>
      <c r="D10549" s="549"/>
      <c r="E10549" s="549"/>
      <c r="F10549" s="549"/>
      <c r="G10549" s="549" t="s">
        <v>61</v>
      </c>
      <c r="H10549" s="549" t="s">
        <v>322</v>
      </c>
      <c r="I10549" s="558">
        <v>9.65</v>
      </c>
      <c r="J10549" s="710">
        <v>12</v>
      </c>
      <c r="K10549" s="882">
        <v>14</v>
      </c>
      <c r="L10549" s="552">
        <f t="shared" ref="L10549:L10550" si="2181">(I10549*J10549*K10549/1000)</f>
        <v>1.6212000000000002</v>
      </c>
      <c r="M10549" s="549"/>
      <c r="N10549" s="549"/>
      <c r="O10549" s="549"/>
      <c r="P10549" s="549"/>
    </row>
    <row r="10550" spans="1:17" ht="17.399999999999999">
      <c r="A10550" s="549"/>
      <c r="B10550" s="549"/>
      <c r="C10550" s="549"/>
      <c r="D10550" s="549"/>
      <c r="E10550" s="549"/>
      <c r="F10550" s="549"/>
      <c r="G10550" s="549" t="s">
        <v>61</v>
      </c>
      <c r="H10550" s="549" t="s">
        <v>322</v>
      </c>
      <c r="I10550" s="558">
        <v>9.65</v>
      </c>
      <c r="J10550" s="710">
        <v>12.25</v>
      </c>
      <c r="K10550" s="882">
        <v>13</v>
      </c>
      <c r="L10550" s="552">
        <f t="shared" si="2181"/>
        <v>1.5367625</v>
      </c>
      <c r="M10550" s="549"/>
      <c r="N10550" s="549"/>
      <c r="O10550" s="549"/>
      <c r="P10550" s="549"/>
    </row>
    <row r="10551" spans="1:17" ht="17.399999999999999">
      <c r="A10551" s="549"/>
      <c r="B10551" s="549"/>
      <c r="C10551" s="549"/>
      <c r="D10551" s="549"/>
      <c r="E10551" s="549"/>
      <c r="F10551" s="549"/>
      <c r="G10551" s="549"/>
      <c r="H10551" s="549"/>
      <c r="I10551" s="558"/>
      <c r="J10551" s="710"/>
      <c r="K10551" s="648">
        <f t="shared" ref="K10551:L10551" si="2182">SUM(K10548:K10550)</f>
        <v>38</v>
      </c>
      <c r="L10551" s="765">
        <f t="shared" si="2182"/>
        <v>4.3256125000000001</v>
      </c>
      <c r="M10551" s="549"/>
      <c r="N10551" s="549"/>
      <c r="O10551" s="549"/>
      <c r="P10551" s="549"/>
    </row>
    <row r="10552" spans="1:17" ht="17.399999999999999">
      <c r="A10552" s="549"/>
      <c r="B10552" s="549"/>
      <c r="C10552" s="549"/>
      <c r="D10552" s="549"/>
      <c r="E10552" s="549"/>
      <c r="F10552" s="549"/>
      <c r="G10552" s="549"/>
      <c r="H10552" s="549"/>
      <c r="I10552" s="558"/>
      <c r="J10552" s="549"/>
      <c r="K10552" s="561"/>
      <c r="L10552" s="560"/>
      <c r="M10552" s="549"/>
      <c r="N10552" s="549"/>
      <c r="O10552" s="549"/>
      <c r="P10552" s="549"/>
    </row>
    <row r="10553" spans="1:17" ht="17.399999999999999">
      <c r="A10553" s="547" t="s">
        <v>395</v>
      </c>
      <c r="B10553" s="547" t="s">
        <v>1255</v>
      </c>
      <c r="C10553" s="547" t="s">
        <v>19</v>
      </c>
      <c r="D10553" s="813" t="s">
        <v>582</v>
      </c>
      <c r="E10553" s="547" t="s">
        <v>270</v>
      </c>
      <c r="F10553" s="549">
        <v>8</v>
      </c>
      <c r="G10553" s="549" t="s">
        <v>61</v>
      </c>
      <c r="H10553" s="599" t="s">
        <v>322</v>
      </c>
      <c r="I10553" s="558">
        <v>9.65</v>
      </c>
      <c r="J10553" s="710">
        <v>12</v>
      </c>
      <c r="K10553" s="882">
        <v>25</v>
      </c>
      <c r="L10553" s="552">
        <f>(I10553*J10553*K10553/1000)</f>
        <v>2.8950000000000005</v>
      </c>
      <c r="M10553" s="549"/>
      <c r="N10553" s="549"/>
      <c r="O10553" s="549"/>
      <c r="P10553" s="549"/>
      <c r="Q10553" s="1487" t="s">
        <v>1297</v>
      </c>
    </row>
    <row r="10554" spans="1:17" ht="17.399999999999999">
      <c r="A10554" s="549"/>
      <c r="B10554" s="549" t="s">
        <v>271</v>
      </c>
      <c r="C10554" s="549"/>
      <c r="D10554" s="549"/>
      <c r="E10554" s="549"/>
      <c r="F10554" s="549"/>
      <c r="G10554" s="549" t="s">
        <v>61</v>
      </c>
      <c r="H10554" s="549" t="s">
        <v>322</v>
      </c>
      <c r="I10554" s="558">
        <v>9.65</v>
      </c>
      <c r="J10554" s="710">
        <v>12.25</v>
      </c>
      <c r="K10554" s="882">
        <v>31</v>
      </c>
      <c r="L10554" s="552">
        <f t="shared" ref="L10554:L10555" si="2183">(I10554*J10554*K10554/1000)</f>
        <v>3.6645875000000001</v>
      </c>
      <c r="M10554" s="549"/>
      <c r="N10554" s="549"/>
      <c r="O10554" s="549"/>
      <c r="P10554" s="549"/>
    </row>
    <row r="10555" spans="1:17" ht="17.399999999999999">
      <c r="A10555" s="549"/>
      <c r="B10555" s="549"/>
      <c r="C10555" s="549"/>
      <c r="D10555" s="549"/>
      <c r="E10555" s="549"/>
      <c r="F10555" s="549"/>
      <c r="G10555" s="549" t="s">
        <v>61</v>
      </c>
      <c r="H10555" s="549" t="s">
        <v>322</v>
      </c>
      <c r="I10555" s="558">
        <v>9.65</v>
      </c>
      <c r="J10555" s="710"/>
      <c r="K10555" s="648"/>
      <c r="L10555" s="552">
        <f t="shared" si="2183"/>
        <v>0</v>
      </c>
      <c r="M10555" s="549"/>
      <c r="N10555" s="549"/>
      <c r="O10555" s="549"/>
      <c r="P10555" s="549"/>
    </row>
    <row r="10556" spans="1:17" ht="17.399999999999999">
      <c r="A10556" s="549"/>
      <c r="B10556" s="549"/>
      <c r="C10556" s="549"/>
      <c r="D10556" s="549"/>
      <c r="E10556" s="549"/>
      <c r="F10556" s="549"/>
      <c r="G10556" s="549"/>
      <c r="H10556" s="549"/>
      <c r="I10556" s="558"/>
      <c r="J10556" s="710"/>
      <c r="K10556" s="648">
        <f t="shared" ref="K10556" si="2184">SUM(K10553:K10555)</f>
        <v>56</v>
      </c>
      <c r="L10556" s="765">
        <f>SUM(L10553:L10555)</f>
        <v>6.559587500000001</v>
      </c>
      <c r="M10556" s="549"/>
      <c r="N10556" s="549"/>
      <c r="O10556" s="549"/>
      <c r="P10556" s="549"/>
    </row>
    <row r="10557" spans="1:17" ht="17.399999999999999">
      <c r="A10557" s="549"/>
      <c r="B10557" s="549"/>
      <c r="C10557" s="549"/>
      <c r="D10557" s="549"/>
      <c r="E10557" s="549"/>
      <c r="F10557" s="549"/>
      <c r="G10557" s="549"/>
      <c r="H10557" s="549"/>
      <c r="I10557" s="558"/>
      <c r="J10557" s="549"/>
      <c r="K10557" s="561"/>
      <c r="L10557" s="560"/>
      <c r="M10557" s="549"/>
      <c r="N10557" s="549"/>
      <c r="O10557" s="549"/>
      <c r="P10557" s="549"/>
    </row>
    <row r="10558" spans="1:17" ht="17.399999999999999">
      <c r="A10558" s="547" t="s">
        <v>395</v>
      </c>
      <c r="B10558" s="547" t="s">
        <v>1123</v>
      </c>
      <c r="C10558" s="547" t="s">
        <v>19</v>
      </c>
      <c r="D10558" s="813" t="s">
        <v>582</v>
      </c>
      <c r="E10558" s="547" t="s">
        <v>270</v>
      </c>
      <c r="F10558" s="549">
        <v>8</v>
      </c>
      <c r="G10558" s="549" t="s">
        <v>61</v>
      </c>
      <c r="H10558" s="599" t="s">
        <v>322</v>
      </c>
      <c r="I10558" s="558">
        <v>9.65</v>
      </c>
      <c r="J10558" s="710">
        <v>11</v>
      </c>
      <c r="K10558" s="882">
        <v>8</v>
      </c>
      <c r="L10558" s="552">
        <f>(I10558*J10558*K10558/1000)</f>
        <v>0.84920000000000007</v>
      </c>
      <c r="M10558" s="549"/>
      <c r="N10558" s="549"/>
      <c r="O10558" s="549"/>
      <c r="P10558" s="549"/>
      <c r="Q10558" s="1487" t="s">
        <v>1297</v>
      </c>
    </row>
    <row r="10559" spans="1:17" ht="17.399999999999999">
      <c r="A10559" s="549"/>
      <c r="B10559" s="549" t="s">
        <v>271</v>
      </c>
      <c r="C10559" s="549"/>
      <c r="D10559" s="549"/>
      <c r="E10559" s="549"/>
      <c r="F10559" s="549"/>
      <c r="G10559" s="549" t="s">
        <v>61</v>
      </c>
      <c r="H10559" s="549" t="s">
        <v>322</v>
      </c>
      <c r="I10559" s="558">
        <v>9.65</v>
      </c>
      <c r="J10559" s="710">
        <v>12</v>
      </c>
      <c r="K10559" s="882">
        <v>35</v>
      </c>
      <c r="L10559" s="552">
        <f t="shared" ref="L10559:L10560" si="2185">(I10559*J10559*K10559/1000)</f>
        <v>4.0530000000000008</v>
      </c>
      <c r="M10559" s="549"/>
      <c r="N10559" s="549"/>
      <c r="O10559" s="549"/>
      <c r="P10559" s="549"/>
    </row>
    <row r="10560" spans="1:17" ht="17.399999999999999">
      <c r="A10560" s="549"/>
      <c r="B10560" s="549"/>
      <c r="C10560" s="549"/>
      <c r="D10560" s="549"/>
      <c r="E10560" s="549"/>
      <c r="F10560" s="549"/>
      <c r="G10560" s="549" t="s">
        <v>61</v>
      </c>
      <c r="H10560" s="549" t="s">
        <v>322</v>
      </c>
      <c r="I10560" s="558">
        <v>9.65</v>
      </c>
      <c r="J10560" s="710">
        <v>12.25</v>
      </c>
      <c r="K10560" s="882">
        <v>11</v>
      </c>
      <c r="L10560" s="552">
        <f t="shared" si="2185"/>
        <v>1.3003375000000001</v>
      </c>
      <c r="M10560" s="549"/>
      <c r="N10560" s="549"/>
      <c r="O10560" s="549"/>
      <c r="P10560" s="549"/>
    </row>
    <row r="10561" spans="1:17" ht="17.399999999999999">
      <c r="A10561" s="549"/>
      <c r="B10561" s="549"/>
      <c r="C10561" s="549"/>
      <c r="D10561" s="549"/>
      <c r="E10561" s="549"/>
      <c r="F10561" s="549"/>
      <c r="G10561" s="549"/>
      <c r="H10561" s="549"/>
      <c r="I10561" s="558"/>
      <c r="J10561" s="710"/>
      <c r="K10561" s="648">
        <f t="shared" ref="K10561" si="2186">SUM(K10558:K10560)</f>
        <v>54</v>
      </c>
      <c r="L10561" s="765">
        <f>SUM(L10558:L10560)</f>
        <v>6.2025375000000009</v>
      </c>
      <c r="M10561" s="549"/>
      <c r="N10561" s="549"/>
      <c r="O10561" s="549"/>
      <c r="P10561" s="549"/>
    </row>
    <row r="10562" spans="1:17" ht="17.399999999999999">
      <c r="A10562" s="549"/>
      <c r="B10562" s="549"/>
      <c r="C10562" s="549"/>
      <c r="D10562" s="549"/>
      <c r="E10562" s="549"/>
      <c r="F10562" s="549"/>
      <c r="G10562" s="549"/>
      <c r="H10562" s="549"/>
      <c r="I10562" s="558"/>
      <c r="J10562" s="549"/>
      <c r="K10562" s="561"/>
      <c r="L10562" s="560"/>
      <c r="M10562" s="549"/>
      <c r="N10562" s="549"/>
      <c r="O10562" s="549"/>
      <c r="P10562" s="549"/>
    </row>
    <row r="10563" spans="1:17" ht="17.399999999999999">
      <c r="A10563" s="547" t="s">
        <v>395</v>
      </c>
      <c r="B10563" s="547" t="s">
        <v>1124</v>
      </c>
      <c r="C10563" s="547" t="s">
        <v>19</v>
      </c>
      <c r="D10563" s="813" t="s">
        <v>582</v>
      </c>
      <c r="E10563" s="547" t="s">
        <v>270</v>
      </c>
      <c r="F10563" s="549">
        <v>8</v>
      </c>
      <c r="G10563" s="549" t="s">
        <v>61</v>
      </c>
      <c r="H10563" s="599" t="s">
        <v>322</v>
      </c>
      <c r="I10563" s="558">
        <v>9.65</v>
      </c>
      <c r="J10563" s="710">
        <v>11.5</v>
      </c>
      <c r="K10563" s="882">
        <v>61</v>
      </c>
      <c r="L10563" s="552">
        <f>(I10563*J10563*K10563/1000)</f>
        <v>6.7694750000000008</v>
      </c>
      <c r="M10563" s="549"/>
      <c r="N10563" s="549"/>
      <c r="O10563" s="549"/>
      <c r="P10563" s="549"/>
      <c r="Q10563" s="1487" t="s">
        <v>1297</v>
      </c>
    </row>
    <row r="10564" spans="1:17" ht="17.399999999999999">
      <c r="A10564" s="549"/>
      <c r="B10564" s="549" t="s">
        <v>271</v>
      </c>
      <c r="C10564" s="549"/>
      <c r="D10564" s="549"/>
      <c r="E10564" s="549"/>
      <c r="F10564" s="549"/>
      <c r="G10564" s="549" t="s">
        <v>61</v>
      </c>
      <c r="H10564" s="549" t="s">
        <v>322</v>
      </c>
      <c r="I10564" s="558">
        <v>9.65</v>
      </c>
      <c r="J10564" s="710">
        <v>12</v>
      </c>
      <c r="K10564" s="882">
        <v>9</v>
      </c>
      <c r="L10564" s="552">
        <f t="shared" ref="L10564" si="2187">(I10564*J10564*K10564/1000)</f>
        <v>1.0422</v>
      </c>
      <c r="M10564" s="549"/>
      <c r="N10564" s="549"/>
      <c r="O10564" s="549"/>
      <c r="P10564" s="549"/>
    </row>
    <row r="10565" spans="1:17" ht="17.399999999999999">
      <c r="A10565" s="549"/>
      <c r="B10565" s="549"/>
      <c r="C10565" s="549"/>
      <c r="D10565" s="549"/>
      <c r="E10565" s="549"/>
      <c r="F10565" s="549"/>
      <c r="G10565" s="549" t="s">
        <v>61</v>
      </c>
      <c r="H10565" s="549" t="s">
        <v>322</v>
      </c>
      <c r="I10565" s="558">
        <v>9.65</v>
      </c>
      <c r="J10565" s="567">
        <v>13.1</v>
      </c>
      <c r="K10565" s="882">
        <v>64</v>
      </c>
      <c r="L10565" s="552">
        <f>(I10565*J10565*K10565/1000)</f>
        <v>8.09056</v>
      </c>
      <c r="M10565" s="549"/>
      <c r="N10565" s="549"/>
      <c r="O10565" s="549"/>
      <c r="P10565" s="549"/>
    </row>
    <row r="10566" spans="1:17" ht="17.399999999999999">
      <c r="A10566" s="549"/>
      <c r="B10566" s="549"/>
      <c r="C10566" s="549"/>
      <c r="D10566" s="549"/>
      <c r="E10566" s="549"/>
      <c r="F10566" s="549"/>
      <c r="G10566" s="549"/>
      <c r="H10566" s="549"/>
      <c r="I10566" s="558"/>
      <c r="J10566" s="710"/>
      <c r="K10566" s="648">
        <f>SUM(K10563:K10565)</f>
        <v>134</v>
      </c>
      <c r="L10566" s="765">
        <f>SUM(L10563:L10565)</f>
        <v>15.902235000000001</v>
      </c>
      <c r="M10566" s="549"/>
      <c r="N10566" s="549"/>
      <c r="O10566" s="549"/>
      <c r="P10566" s="549"/>
    </row>
    <row r="10567" spans="1:17" ht="17.399999999999999">
      <c r="A10567" s="549"/>
      <c r="B10567" s="549"/>
      <c r="C10567" s="549"/>
      <c r="D10567" s="549"/>
      <c r="E10567" s="549"/>
      <c r="F10567" s="549"/>
      <c r="G10567" s="549"/>
      <c r="H10567" s="549"/>
      <c r="I10567" s="558"/>
      <c r="J10567" s="549"/>
      <c r="K10567" s="561"/>
      <c r="L10567" s="560"/>
      <c r="M10567" s="549"/>
      <c r="N10567" s="549"/>
      <c r="O10567" s="549"/>
      <c r="P10567" s="549"/>
    </row>
    <row r="10568" spans="1:17" ht="17.399999999999999">
      <c r="A10568" s="547" t="s">
        <v>395</v>
      </c>
      <c r="B10568" s="547" t="s">
        <v>1256</v>
      </c>
      <c r="C10568" s="547" t="s">
        <v>19</v>
      </c>
      <c r="D10568" s="813" t="s">
        <v>582</v>
      </c>
      <c r="E10568" s="547" t="s">
        <v>270</v>
      </c>
      <c r="F10568" s="549">
        <v>8</v>
      </c>
      <c r="G10568" s="549" t="s">
        <v>61</v>
      </c>
      <c r="H10568" s="599" t="s">
        <v>322</v>
      </c>
      <c r="I10568" s="558">
        <v>9.65</v>
      </c>
      <c r="J10568" s="710">
        <v>12</v>
      </c>
      <c r="K10568" s="882">
        <v>25</v>
      </c>
      <c r="L10568" s="552">
        <f>(I10568*J10568*K10568/1000)</f>
        <v>2.8950000000000005</v>
      </c>
      <c r="M10568" s="549"/>
      <c r="N10568" s="549"/>
      <c r="O10568" s="549"/>
      <c r="P10568" s="549"/>
      <c r="Q10568" s="1487" t="s">
        <v>1297</v>
      </c>
    </row>
    <row r="10569" spans="1:17" ht="17.399999999999999">
      <c r="A10569" s="549"/>
      <c r="B10569" s="549" t="s">
        <v>271</v>
      </c>
      <c r="C10569" s="549"/>
      <c r="D10569" s="549"/>
      <c r="E10569" s="549"/>
      <c r="F10569" s="549"/>
      <c r="G10569" s="549"/>
      <c r="H10569" s="549"/>
      <c r="I10569" s="558"/>
      <c r="J10569" s="710"/>
      <c r="K10569" s="648">
        <f>SUM(K10568)</f>
        <v>25</v>
      </c>
      <c r="L10569" s="765">
        <f>SUM(L10568)</f>
        <v>2.8950000000000005</v>
      </c>
      <c r="M10569" s="549"/>
      <c r="N10569" s="549"/>
      <c r="O10569" s="549"/>
      <c r="P10569" s="549"/>
    </row>
    <row r="10570" spans="1:17" s="1358" customFormat="1" ht="17.399999999999999">
      <c r="A10570" s="549"/>
      <c r="B10570" s="549"/>
      <c r="C10570" s="549"/>
      <c r="D10570" s="549"/>
      <c r="E10570" s="549"/>
      <c r="F10570" s="549"/>
      <c r="G10570" s="549"/>
      <c r="H10570" s="549"/>
      <c r="I10570" s="558"/>
      <c r="J10570" s="710"/>
      <c r="K10570" s="766">
        <f>SUM(K10545:K10569)/2</f>
        <v>442</v>
      </c>
      <c r="L10570" s="765">
        <f>SUM(L10545:L10569)/2</f>
        <v>51.84366</v>
      </c>
      <c r="M10570" s="549"/>
      <c r="N10570" s="549"/>
      <c r="O10570" s="549"/>
      <c r="P10570" s="549" t="s">
        <v>1263</v>
      </c>
    </row>
    <row r="10571" spans="1:17" ht="17.399999999999999">
      <c r="A10571" s="549"/>
      <c r="B10571" s="549"/>
      <c r="C10571" s="549"/>
      <c r="D10571" s="549"/>
      <c r="E10571" s="549"/>
      <c r="F10571" s="549"/>
      <c r="G10571" s="549"/>
      <c r="H10571" s="549"/>
      <c r="I10571" s="558"/>
      <c r="J10571" s="549"/>
      <c r="K10571" s="561"/>
      <c r="L10571" s="560"/>
      <c r="M10571" s="549"/>
      <c r="N10571" s="549"/>
      <c r="O10571" s="549"/>
      <c r="P10571" s="549"/>
    </row>
    <row r="10572" spans="1:17" ht="17.399999999999999">
      <c r="A10572" s="549"/>
      <c r="B10572" s="549"/>
      <c r="C10572" s="549"/>
      <c r="D10572" s="549"/>
      <c r="E10572" s="549"/>
      <c r="F10572" s="549"/>
      <c r="G10572" s="549"/>
      <c r="H10572" s="549"/>
      <c r="I10572" s="558"/>
      <c r="J10572" s="549"/>
      <c r="K10572" s="561"/>
      <c r="L10572" s="560"/>
      <c r="M10572" s="549"/>
      <c r="N10572" s="549"/>
      <c r="O10572" s="549"/>
      <c r="P10572" s="549"/>
    </row>
    <row r="10573" spans="1:17" ht="17.399999999999999">
      <c r="A10573" s="547" t="s">
        <v>395</v>
      </c>
      <c r="B10573" s="547" t="s">
        <v>1181</v>
      </c>
      <c r="C10573" s="547" t="s">
        <v>19</v>
      </c>
      <c r="D10573" s="813" t="s">
        <v>582</v>
      </c>
      <c r="E10573" s="547" t="s">
        <v>270</v>
      </c>
      <c r="F10573" s="549">
        <v>8</v>
      </c>
      <c r="G10573" s="549" t="s">
        <v>61</v>
      </c>
      <c r="H10573" s="599" t="s">
        <v>131</v>
      </c>
      <c r="I10573" s="558">
        <v>7.36</v>
      </c>
      <c r="J10573" s="710">
        <v>11</v>
      </c>
      <c r="K10573" s="648">
        <v>20</v>
      </c>
      <c r="L10573" s="552">
        <f>(I10573*J10573*K10573/1000)</f>
        <v>1.6192000000000002</v>
      </c>
      <c r="M10573" s="648">
        <v>20</v>
      </c>
      <c r="N10573" s="567">
        <f>J10573*M10573*I10573/1000</f>
        <v>1.6192</v>
      </c>
      <c r="O10573" s="549"/>
      <c r="P10573" s="549"/>
      <c r="Q10573" s="1487" t="s">
        <v>1297</v>
      </c>
    </row>
    <row r="10574" spans="1:17" ht="17.399999999999999">
      <c r="A10574" s="549"/>
      <c r="B10574" s="549" t="s">
        <v>271</v>
      </c>
      <c r="C10574" s="549"/>
      <c r="D10574" s="549"/>
      <c r="E10574" s="549"/>
      <c r="F10574" s="549"/>
      <c r="G10574" s="549"/>
      <c r="H10574" s="549"/>
      <c r="I10574" s="558"/>
      <c r="J10574" s="710"/>
      <c r="K10574" s="648">
        <f>SUM(K10573:K10573)</f>
        <v>20</v>
      </c>
      <c r="L10574" s="765">
        <f>SUM(L10573:L10573)</f>
        <v>1.6192000000000002</v>
      </c>
      <c r="M10574" s="648">
        <f>SUM(M10573:M10573)</f>
        <v>20</v>
      </c>
      <c r="N10574" s="765">
        <f>SUM(N10573:N10573)</f>
        <v>1.6192</v>
      </c>
      <c r="O10574" s="549"/>
      <c r="P10574" s="549"/>
    </row>
    <row r="10575" spans="1:17" ht="17.399999999999999">
      <c r="A10575" s="549"/>
      <c r="B10575" s="549"/>
      <c r="C10575" s="549"/>
      <c r="D10575" s="549"/>
      <c r="E10575" s="549"/>
      <c r="F10575" s="549"/>
      <c r="G10575" s="549"/>
      <c r="H10575" s="549"/>
      <c r="I10575" s="558"/>
      <c r="J10575" s="549"/>
      <c r="K10575" s="561"/>
      <c r="L10575" s="560"/>
      <c r="M10575" s="549"/>
      <c r="N10575" s="549"/>
      <c r="O10575" s="549"/>
      <c r="P10575" s="549"/>
    </row>
    <row r="10576" spans="1:17" s="1440" customFormat="1" ht="17.399999999999999">
      <c r="A10576" s="549"/>
      <c r="B10576" s="549"/>
      <c r="C10576" s="549"/>
      <c r="D10576" s="549"/>
      <c r="E10576" s="549"/>
      <c r="F10576" s="549"/>
      <c r="G10576" s="549"/>
      <c r="H10576" s="549"/>
      <c r="I10576" s="558"/>
      <c r="J10576" s="549"/>
      <c r="K10576" s="561"/>
      <c r="L10576" s="560"/>
      <c r="M10576" s="549"/>
      <c r="N10576" s="549"/>
      <c r="O10576" s="549"/>
      <c r="P10576" s="549"/>
    </row>
    <row r="10577" spans="1:21" s="1358" customFormat="1" ht="17.399999999999999">
      <c r="A10577" s="549"/>
      <c r="B10577" s="549"/>
      <c r="C10577" s="549"/>
      <c r="D10577" s="549"/>
      <c r="E10577" s="549"/>
      <c r="F10577" s="549"/>
      <c r="G10577" s="549"/>
      <c r="H10577" s="549"/>
      <c r="I10577" s="558"/>
      <c r="J10577" s="567"/>
      <c r="K10577" s="648"/>
      <c r="L10577" s="567"/>
      <c r="M10577" s="549"/>
      <c r="N10577" s="549"/>
      <c r="O10577" s="549"/>
      <c r="P10577" s="549"/>
    </row>
    <row r="10578" spans="1:21" s="1439" customFormat="1" ht="17.399999999999999">
      <c r="A10578" s="547" t="s">
        <v>458</v>
      </c>
      <c r="B10578" s="547" t="s">
        <v>1265</v>
      </c>
      <c r="C10578" s="547" t="s">
        <v>19</v>
      </c>
      <c r="D10578" s="813" t="s">
        <v>49</v>
      </c>
      <c r="E10578" s="547" t="s">
        <v>359</v>
      </c>
      <c r="F10578" s="549">
        <v>10</v>
      </c>
      <c r="G10578" s="549" t="s">
        <v>21</v>
      </c>
      <c r="H10578" s="599" t="s">
        <v>131</v>
      </c>
      <c r="I10578" s="558">
        <v>7.36</v>
      </c>
      <c r="J10578" s="1442">
        <v>11</v>
      </c>
      <c r="K10578" s="1443">
        <v>102</v>
      </c>
      <c r="L10578" s="552">
        <f>(I10578*J10578*K10578/1000)</f>
        <v>8.2579200000000004</v>
      </c>
      <c r="M10578" s="549"/>
      <c r="N10578" s="549"/>
      <c r="O10578" s="549"/>
      <c r="P10578" s="549"/>
      <c r="Q10578" s="1439">
        <f>43+32+13+14</f>
        <v>102</v>
      </c>
      <c r="R10578" s="126">
        <f>J10578*Q10578*I10578/1000</f>
        <v>8.2579200000000004</v>
      </c>
      <c r="S10578" s="1487" t="s">
        <v>1297</v>
      </c>
    </row>
    <row r="10579" spans="1:21" s="1439" customFormat="1" ht="17.399999999999999">
      <c r="A10579" s="549"/>
      <c r="B10579" s="549" t="s">
        <v>277</v>
      </c>
      <c r="C10579" s="549"/>
      <c r="D10579" s="549"/>
      <c r="E10579" s="549"/>
      <c r="F10579" s="549"/>
      <c r="G10579" s="549" t="s">
        <v>21</v>
      </c>
      <c r="H10579" s="549" t="s">
        <v>131</v>
      </c>
      <c r="I10579" s="558">
        <v>7.36</v>
      </c>
      <c r="J10579" s="1442">
        <v>11.5</v>
      </c>
      <c r="K10579" s="1443">
        <v>188</v>
      </c>
      <c r="L10579" s="552">
        <f>(I10579*J10579*K10579/1000)</f>
        <v>15.912319999999999</v>
      </c>
      <c r="M10579" s="549"/>
      <c r="N10579" s="549"/>
      <c r="O10579" s="549"/>
      <c r="P10579" s="549"/>
      <c r="Q10579" s="1439">
        <f>14+26+35+35+37+34+21-14</f>
        <v>188</v>
      </c>
      <c r="R10579" s="126">
        <f>J10579*Q10579*I10579/1000</f>
        <v>15.912320000000001</v>
      </c>
    </row>
    <row r="10580" spans="1:21" s="1439" customFormat="1" ht="17.399999999999999">
      <c r="A10580" s="549"/>
      <c r="B10580" s="549"/>
      <c r="C10580" s="549"/>
      <c r="D10580" s="549"/>
      <c r="E10580" s="549"/>
      <c r="F10580" s="549"/>
      <c r="G10580" s="549" t="s">
        <v>21</v>
      </c>
      <c r="H10580" s="549" t="s">
        <v>131</v>
      </c>
      <c r="I10580" s="558">
        <v>7.36</v>
      </c>
      <c r="J10580" s="1442">
        <v>12</v>
      </c>
      <c r="K10580" s="1443">
        <v>342</v>
      </c>
      <c r="L10580" s="552">
        <f>(I10580*J10580*K10580/1000)</f>
        <v>30.205440000000003</v>
      </c>
      <c r="M10580" s="549"/>
      <c r="N10580" s="549"/>
      <c r="O10580" s="549"/>
      <c r="P10580" s="549"/>
      <c r="Q10580" s="1439">
        <f>4+33+32+32+35+35+35+34+32+30+31</f>
        <v>333</v>
      </c>
      <c r="R10580" s="126">
        <f>J10580*Q10580*I10580/1000</f>
        <v>29.41056</v>
      </c>
    </row>
    <row r="10581" spans="1:21" s="1439" customFormat="1" ht="17.399999999999999">
      <c r="A10581" s="549"/>
      <c r="B10581" s="549"/>
      <c r="C10581" s="549"/>
      <c r="D10581" s="549"/>
      <c r="E10581" s="549"/>
      <c r="F10581" s="549"/>
      <c r="G10581" s="549"/>
      <c r="H10581" s="549"/>
      <c r="I10581" s="558"/>
      <c r="J10581" s="567"/>
      <c r="K10581" s="564">
        <f>SUM(K10578:K10580)</f>
        <v>632</v>
      </c>
      <c r="L10581" s="765">
        <f>SUM(L10578:L10580)</f>
        <v>54.375680000000003</v>
      </c>
      <c r="M10581" s="549"/>
      <c r="N10581" s="549"/>
      <c r="O10581" s="549"/>
      <c r="P10581" s="549" t="s">
        <v>1264</v>
      </c>
      <c r="Q10581" s="652">
        <f>SUM(Q10578:Q10580)</f>
        <v>623</v>
      </c>
      <c r="R10581" s="765">
        <f>SUM(R10578:R10580)</f>
        <v>53.580799999999996</v>
      </c>
    </row>
    <row r="10582" spans="1:21" s="1440" customFormat="1" ht="17.399999999999999">
      <c r="A10582" s="549"/>
      <c r="B10582" s="549"/>
      <c r="C10582" s="549"/>
      <c r="D10582" s="549"/>
      <c r="E10582" s="549"/>
      <c r="F10582" s="549"/>
      <c r="G10582" s="549"/>
      <c r="H10582" s="549"/>
      <c r="I10582" s="558"/>
      <c r="J10582" s="567"/>
      <c r="K10582" s="564"/>
      <c r="L10582" s="567"/>
      <c r="M10582" s="549"/>
      <c r="N10582" s="549"/>
      <c r="O10582" s="549"/>
      <c r="P10582" s="549"/>
    </row>
    <row r="10583" spans="1:21" s="1439" customFormat="1" ht="17.399999999999999">
      <c r="A10583" s="549"/>
      <c r="B10583" s="549"/>
      <c r="C10583" s="549"/>
      <c r="D10583" s="549"/>
      <c r="E10583" s="549"/>
      <c r="F10583" s="549"/>
      <c r="G10583" s="549"/>
      <c r="H10583" s="549"/>
      <c r="I10583" s="558"/>
      <c r="J10583" s="567"/>
      <c r="K10583" s="648"/>
      <c r="L10583" s="567"/>
      <c r="M10583" s="549"/>
      <c r="N10583" s="549"/>
      <c r="O10583" s="549"/>
      <c r="P10583" s="549"/>
    </row>
    <row r="10584" spans="1:21" s="1439" customFormat="1" ht="17.399999999999999">
      <c r="A10584" s="547" t="s">
        <v>458</v>
      </c>
      <c r="B10584" s="547" t="s">
        <v>1265</v>
      </c>
      <c r="C10584" s="547" t="s">
        <v>19</v>
      </c>
      <c r="D10584" s="813" t="s">
        <v>49</v>
      </c>
      <c r="E10584" s="547" t="s">
        <v>359</v>
      </c>
      <c r="F10584" s="549">
        <v>10</v>
      </c>
      <c r="G10584" s="549" t="s">
        <v>21</v>
      </c>
      <c r="H10584" s="599" t="s">
        <v>130</v>
      </c>
      <c r="I10584" s="558">
        <v>6.17</v>
      </c>
      <c r="J10584" s="1444">
        <v>9.6999999999999993</v>
      </c>
      <c r="K10584" s="1443">
        <v>220</v>
      </c>
      <c r="L10584" s="552">
        <f>(I10584*J10584*K10584/1000)</f>
        <v>13.166779999999999</v>
      </c>
      <c r="M10584" s="650">
        <v>220</v>
      </c>
      <c r="N10584" s="1486">
        <f>J10584*M10584*I10584/1000</f>
        <v>13.166780000000001</v>
      </c>
      <c r="O10584" s="549"/>
      <c r="P10584" s="549"/>
      <c r="Q10584" s="1439">
        <f>2+44+27-17+43+43</f>
        <v>142</v>
      </c>
      <c r="R10584" s="126">
        <f>J10584*Q10584*I10584/1000</f>
        <v>8.4985579999999992</v>
      </c>
      <c r="S10584" s="1439">
        <f>2+2+9</f>
        <v>13</v>
      </c>
      <c r="T10584" s="415">
        <f>J10584*S10584*I10584/1000</f>
        <v>0.77803699999999987</v>
      </c>
      <c r="U10584" s="1487" t="s">
        <v>1297</v>
      </c>
    </row>
    <row r="10585" spans="1:21" s="1439" customFormat="1" ht="17.399999999999999">
      <c r="A10585" s="549"/>
      <c r="B10585" s="560" t="s">
        <v>277</v>
      </c>
      <c r="C10585" s="549"/>
      <c r="D10585" s="549"/>
      <c r="E10585" s="549"/>
      <c r="F10585" s="549"/>
      <c r="G10585" s="549" t="s">
        <v>21</v>
      </c>
      <c r="H10585" s="549" t="s">
        <v>130</v>
      </c>
      <c r="I10585" s="558">
        <v>6.17</v>
      </c>
      <c r="J10585" s="1444">
        <v>9.85</v>
      </c>
      <c r="K10585" s="1443">
        <v>120</v>
      </c>
      <c r="L10585" s="552">
        <f>(I10585*J10585*K10585/1000)</f>
        <v>7.2929399999999998</v>
      </c>
      <c r="M10585" s="650">
        <v>70</v>
      </c>
      <c r="N10585" s="1486">
        <f>J10585*M10585*I10585/1000</f>
        <v>4.2542150000000003</v>
      </c>
      <c r="O10585" s="549"/>
      <c r="P10585" s="549"/>
      <c r="Q10585" s="1439">
        <f>31+31</f>
        <v>62</v>
      </c>
      <c r="R10585" s="126">
        <f>J10585*Q10585*I10585/1000</f>
        <v>3.7680189999999993</v>
      </c>
      <c r="S10585" s="1439">
        <f>22+23</f>
        <v>45</v>
      </c>
      <c r="T10585" s="415">
        <f t="shared" ref="T10585:T10586" si="2188">J10585*S10585*I10585/1000</f>
        <v>2.7348525000000001</v>
      </c>
    </row>
    <row r="10586" spans="1:21" s="1439" customFormat="1" ht="17.399999999999999">
      <c r="A10586" s="549"/>
      <c r="B10586" s="549"/>
      <c r="C10586" s="549"/>
      <c r="D10586" s="549"/>
      <c r="E10586" s="549"/>
      <c r="F10586" s="549"/>
      <c r="G10586" s="549" t="s">
        <v>21</v>
      </c>
      <c r="H10586" s="549" t="s">
        <v>130</v>
      </c>
      <c r="I10586" s="558">
        <v>6.17</v>
      </c>
      <c r="J10586" s="1444">
        <v>11.55</v>
      </c>
      <c r="K10586" s="1443">
        <v>199</v>
      </c>
      <c r="L10586" s="552">
        <f>(I10586*J10586*K10586/1000)</f>
        <v>14.181436500000002</v>
      </c>
      <c r="M10586" s="549"/>
      <c r="N10586" s="549"/>
      <c r="O10586" s="549"/>
      <c r="P10586" s="549"/>
      <c r="Q10586" s="1440">
        <f>44+36+21+34+34</f>
        <v>169</v>
      </c>
      <c r="R10586" s="126">
        <f>J10586*Q10586*I10586/1000</f>
        <v>12.0435315</v>
      </c>
      <c r="T10586" s="1440">
        <f t="shared" si="2188"/>
        <v>0</v>
      </c>
    </row>
    <row r="10587" spans="1:21" s="1439" customFormat="1" ht="17.399999999999999">
      <c r="A10587" s="549"/>
      <c r="B10587" s="549"/>
      <c r="C10587" s="549"/>
      <c r="D10587" s="549"/>
      <c r="E10587" s="549"/>
      <c r="F10587" s="549"/>
      <c r="G10587" s="549"/>
      <c r="H10587" s="549"/>
      <c r="I10587" s="558"/>
      <c r="J10587" s="567"/>
      <c r="K10587" s="564">
        <f>SUM(K10584:K10586)</f>
        <v>539</v>
      </c>
      <c r="L10587" s="765">
        <f>SUM(L10584:L10586)</f>
        <v>34.641156500000001</v>
      </c>
      <c r="M10587" s="564">
        <f>SUM(M10584:M10586)</f>
        <v>290</v>
      </c>
      <c r="N10587" s="765">
        <f>SUM(N10584:N10586)</f>
        <v>17.420995000000001</v>
      </c>
      <c r="O10587" s="549"/>
      <c r="P10587" s="549" t="s">
        <v>1267</v>
      </c>
      <c r="Q10587" s="652">
        <f>SUM(Q10584:Q10586)</f>
        <v>373</v>
      </c>
      <c r="R10587" s="765">
        <f>SUM(R10584:R10586)</f>
        <v>24.310108499999998</v>
      </c>
      <c r="S10587" s="652">
        <f>SUM(S10584:S10586)</f>
        <v>58</v>
      </c>
      <c r="T10587" s="765">
        <f>SUM(T10584:T10586)</f>
        <v>3.5128895</v>
      </c>
    </row>
    <row r="10588" spans="1:21" s="1440" customFormat="1" ht="17.399999999999999">
      <c r="A10588" s="549"/>
      <c r="B10588" s="549"/>
      <c r="C10588" s="549"/>
      <c r="D10588" s="549"/>
      <c r="E10588" s="549"/>
      <c r="F10588" s="549"/>
      <c r="G10588" s="549"/>
      <c r="H10588" s="549"/>
      <c r="I10588" s="558"/>
      <c r="J10588" s="567"/>
      <c r="K10588" s="564"/>
      <c r="L10588" s="567"/>
      <c r="M10588" s="549"/>
      <c r="N10588" s="549"/>
      <c r="O10588" s="549"/>
      <c r="P10588" s="549"/>
    </row>
    <row r="10589" spans="1:21" s="1439" customFormat="1" ht="17.399999999999999">
      <c r="A10589" s="549"/>
      <c r="B10589" s="549"/>
      <c r="C10589" s="549"/>
      <c r="D10589" s="549"/>
      <c r="E10589" s="549"/>
      <c r="F10589" s="549"/>
      <c r="G10589" s="549"/>
      <c r="H10589" s="549"/>
      <c r="I10589" s="558"/>
      <c r="J10589" s="567"/>
      <c r="K10589" s="648"/>
      <c r="L10589" s="567"/>
      <c r="M10589" s="549"/>
      <c r="N10589" s="549"/>
      <c r="O10589" s="549"/>
      <c r="P10589" s="549"/>
    </row>
    <row r="10590" spans="1:21" s="1358" customFormat="1" ht="17.399999999999999">
      <c r="A10590" s="547" t="s">
        <v>458</v>
      </c>
      <c r="B10590" s="547" t="s">
        <v>1265</v>
      </c>
      <c r="C10590" s="547" t="s">
        <v>446</v>
      </c>
      <c r="D10590" s="813" t="s">
        <v>447</v>
      </c>
      <c r="E10590" s="547" t="s">
        <v>359</v>
      </c>
      <c r="F10590" s="549">
        <v>10</v>
      </c>
      <c r="G10590" s="549" t="s">
        <v>21</v>
      </c>
      <c r="H10590" s="599" t="s">
        <v>130</v>
      </c>
      <c r="I10590" s="558">
        <v>6.17</v>
      </c>
      <c r="J10590" s="1444">
        <v>9.75</v>
      </c>
      <c r="K10590" s="1443">
        <v>17</v>
      </c>
      <c r="L10590" s="552">
        <f>(I10590*J10590*K10590/1000)</f>
        <v>1.0226774999999999</v>
      </c>
      <c r="M10590" s="549"/>
      <c r="N10590" s="549"/>
      <c r="O10590" s="549"/>
      <c r="P10590" s="549"/>
      <c r="Q10590" s="1358">
        <v>17</v>
      </c>
      <c r="R10590" s="126">
        <f t="shared" ref="R10590:R10591" si="2189">J10590*Q10590*I10590/1000</f>
        <v>1.0226774999999999</v>
      </c>
      <c r="S10590" s="1487" t="s">
        <v>1301</v>
      </c>
    </row>
    <row r="10591" spans="1:21" s="1358" customFormat="1" ht="17.399999999999999">
      <c r="A10591" s="549"/>
      <c r="B10591" s="549"/>
      <c r="C10591" s="549"/>
      <c r="D10591" s="549"/>
      <c r="E10591" s="549"/>
      <c r="F10591" s="549"/>
      <c r="G10591" s="549" t="s">
        <v>21</v>
      </c>
      <c r="H10591" s="549" t="s">
        <v>130</v>
      </c>
      <c r="I10591" s="558">
        <v>6.17</v>
      </c>
      <c r="J10591" s="1444">
        <v>12</v>
      </c>
      <c r="K10591" s="1443">
        <v>31</v>
      </c>
      <c r="L10591" s="552">
        <f>(I10591*J10591*K10591/1000)</f>
        <v>2.2952399999999997</v>
      </c>
      <c r="M10591" s="549"/>
      <c r="N10591" s="549"/>
      <c r="O10591" s="549"/>
      <c r="P10591" s="549"/>
      <c r="Q10591" s="1358">
        <v>31</v>
      </c>
      <c r="R10591" s="126">
        <f t="shared" si="2189"/>
        <v>2.2952399999999997</v>
      </c>
    </row>
    <row r="10592" spans="1:21" s="1358" customFormat="1" ht="17.399999999999999">
      <c r="A10592" s="549"/>
      <c r="B10592" s="549"/>
      <c r="C10592" s="549"/>
      <c r="D10592" s="549"/>
      <c r="E10592" s="549"/>
      <c r="F10592" s="549"/>
      <c r="G10592" s="549"/>
      <c r="H10592" s="549"/>
      <c r="I10592" s="558"/>
      <c r="J10592" s="567"/>
      <c r="K10592" s="564">
        <f>SUM(K10590:K10591)</f>
        <v>48</v>
      </c>
      <c r="L10592" s="765">
        <f>SUM(L10590:L10591)</f>
        <v>3.3179174999999996</v>
      </c>
      <c r="M10592" s="549"/>
      <c r="N10592" s="549"/>
      <c r="O10592" s="549"/>
      <c r="P10592" s="549" t="s">
        <v>1268</v>
      </c>
      <c r="Q10592" s="652">
        <f>SUM(Q10590:Q10591)</f>
        <v>48</v>
      </c>
      <c r="R10592" s="765">
        <f>SUM(R10590:R10591)</f>
        <v>3.3179174999999996</v>
      </c>
    </row>
    <row r="10593" spans="1:17" s="1358" customFormat="1" ht="17.399999999999999">
      <c r="A10593" s="549"/>
      <c r="B10593" s="549"/>
      <c r="C10593" s="549"/>
      <c r="D10593" s="549"/>
      <c r="E10593" s="549"/>
      <c r="F10593" s="549"/>
      <c r="G10593" s="549"/>
      <c r="H10593" s="549"/>
      <c r="I10593" s="558"/>
      <c r="J10593" s="567"/>
      <c r="K10593" s="648"/>
      <c r="L10593" s="567"/>
      <c r="M10593" s="549"/>
      <c r="N10593" s="549"/>
      <c r="O10593" s="549"/>
      <c r="P10593" s="549"/>
    </row>
    <row r="10594" spans="1:17" s="1358" customFormat="1" ht="17.399999999999999">
      <c r="A10594" s="549"/>
      <c r="B10594" s="549"/>
      <c r="C10594" s="549"/>
      <c r="D10594" s="549"/>
      <c r="E10594" s="549"/>
      <c r="F10594" s="549"/>
      <c r="G10594" s="549"/>
      <c r="H10594" s="549"/>
      <c r="I10594" s="558"/>
      <c r="J10594" s="567"/>
      <c r="K10594" s="648"/>
      <c r="L10594" s="567"/>
      <c r="M10594" s="549"/>
      <c r="N10594" s="549"/>
      <c r="O10594" s="549"/>
      <c r="P10594" s="549"/>
    </row>
    <row r="10595" spans="1:17" s="1358" customFormat="1" ht="17.399999999999999">
      <c r="A10595" s="547" t="s">
        <v>458</v>
      </c>
      <c r="B10595" s="547" t="s">
        <v>1265</v>
      </c>
      <c r="C10595" s="547" t="s">
        <v>446</v>
      </c>
      <c r="D10595" s="813" t="s">
        <v>447</v>
      </c>
      <c r="E10595" s="547" t="s">
        <v>359</v>
      </c>
      <c r="F10595" s="549">
        <v>10</v>
      </c>
      <c r="G10595" s="549" t="s">
        <v>21</v>
      </c>
      <c r="H10595" s="599" t="s">
        <v>131</v>
      </c>
      <c r="I10595" s="558">
        <v>7.36</v>
      </c>
      <c r="J10595" s="1444">
        <v>6.65</v>
      </c>
      <c r="K10595" s="1443">
        <v>84</v>
      </c>
      <c r="L10595" s="552">
        <f t="shared" ref="L10595:L10603" si="2190">(I10595*J10595*K10595/1000)</f>
        <v>4.1112960000000003</v>
      </c>
      <c r="M10595" s="549"/>
      <c r="N10595" s="549"/>
      <c r="O10595" s="549"/>
      <c r="P10595" s="549"/>
      <c r="Q10595" s="1487" t="s">
        <v>1301</v>
      </c>
    </row>
    <row r="10596" spans="1:17" s="1358" customFormat="1" ht="17.399999999999999">
      <c r="A10596" s="549"/>
      <c r="B10596" s="549"/>
      <c r="C10596" s="549"/>
      <c r="D10596" s="549"/>
      <c r="E10596" s="549"/>
      <c r="F10596" s="549"/>
      <c r="G10596" s="549" t="s">
        <v>21</v>
      </c>
      <c r="H10596" s="549" t="s">
        <v>131</v>
      </c>
      <c r="I10596" s="558">
        <v>7.36</v>
      </c>
      <c r="J10596" s="1444">
        <v>7.55</v>
      </c>
      <c r="K10596" s="1443">
        <v>82</v>
      </c>
      <c r="L10596" s="552">
        <f t="shared" si="2190"/>
        <v>4.5565759999999997</v>
      </c>
      <c r="M10596" s="549"/>
      <c r="N10596" s="549"/>
      <c r="O10596" s="549"/>
      <c r="P10596" s="549"/>
    </row>
    <row r="10597" spans="1:17" s="1358" customFormat="1" ht="17.399999999999999">
      <c r="A10597" s="549"/>
      <c r="B10597" s="549"/>
      <c r="C10597" s="549"/>
      <c r="D10597" s="549"/>
      <c r="E10597" s="549"/>
      <c r="F10597" s="549"/>
      <c r="G10597" s="549" t="s">
        <v>21</v>
      </c>
      <c r="H10597" s="549" t="s">
        <v>131</v>
      </c>
      <c r="I10597" s="558">
        <v>7.36</v>
      </c>
      <c r="J10597" s="1444">
        <v>8.5</v>
      </c>
      <c r="K10597" s="1443">
        <v>83</v>
      </c>
      <c r="L10597" s="552">
        <f t="shared" si="2190"/>
        <v>5.1924800000000007</v>
      </c>
      <c r="M10597" s="549"/>
      <c r="N10597" s="549"/>
      <c r="O10597" s="549"/>
      <c r="P10597" s="549"/>
    </row>
    <row r="10598" spans="1:17" s="1358" customFormat="1" ht="17.399999999999999">
      <c r="A10598" s="549"/>
      <c r="B10598" s="549"/>
      <c r="C10598" s="549"/>
      <c r="D10598" s="549"/>
      <c r="E10598" s="549"/>
      <c r="F10598" s="549"/>
      <c r="G10598" s="549" t="s">
        <v>21</v>
      </c>
      <c r="H10598" s="549" t="s">
        <v>131</v>
      </c>
      <c r="I10598" s="558">
        <v>7.36</v>
      </c>
      <c r="J10598" s="1444">
        <v>9.5</v>
      </c>
      <c r="K10598" s="1443">
        <v>55</v>
      </c>
      <c r="L10598" s="552">
        <f t="shared" si="2190"/>
        <v>3.8456000000000001</v>
      </c>
      <c r="M10598" s="549"/>
      <c r="N10598" s="549"/>
      <c r="O10598" s="549"/>
      <c r="P10598" s="549"/>
    </row>
    <row r="10599" spans="1:17" s="1358" customFormat="1" ht="17.399999999999999">
      <c r="A10599" s="549"/>
      <c r="B10599" s="549"/>
      <c r="C10599" s="549"/>
      <c r="D10599" s="549"/>
      <c r="E10599" s="549"/>
      <c r="F10599" s="549"/>
      <c r="G10599" s="549" t="s">
        <v>21</v>
      </c>
      <c r="H10599" s="549" t="s">
        <v>131</v>
      </c>
      <c r="I10599" s="558">
        <v>7.36</v>
      </c>
      <c r="J10599" s="1444">
        <v>10</v>
      </c>
      <c r="K10599" s="1443">
        <v>30</v>
      </c>
      <c r="L10599" s="552">
        <f t="shared" si="2190"/>
        <v>2.2080000000000006</v>
      </c>
      <c r="M10599" s="549"/>
      <c r="N10599" s="549"/>
      <c r="O10599" s="549"/>
      <c r="P10599" s="549"/>
    </row>
    <row r="10600" spans="1:17" s="1358" customFormat="1" ht="17.399999999999999">
      <c r="A10600" s="549"/>
      <c r="B10600" s="549"/>
      <c r="C10600" s="549"/>
      <c r="D10600" s="549"/>
      <c r="E10600" s="549"/>
      <c r="F10600" s="549"/>
      <c r="G10600" s="549" t="s">
        <v>21</v>
      </c>
      <c r="H10600" s="549" t="s">
        <v>131</v>
      </c>
      <c r="I10600" s="558">
        <v>7.36</v>
      </c>
      <c r="J10600" s="1444">
        <v>11</v>
      </c>
      <c r="K10600" s="1443">
        <v>83</v>
      </c>
      <c r="L10600" s="552">
        <f t="shared" si="2190"/>
        <v>6.7196800000000003</v>
      </c>
      <c r="M10600" s="549"/>
      <c r="N10600" s="549"/>
      <c r="O10600" s="549"/>
      <c r="P10600" s="549"/>
    </row>
    <row r="10601" spans="1:17" s="1358" customFormat="1" ht="17.399999999999999">
      <c r="A10601" s="549"/>
      <c r="B10601" s="549"/>
      <c r="C10601" s="549"/>
      <c r="D10601" s="549"/>
      <c r="E10601" s="549"/>
      <c r="F10601" s="549"/>
      <c r="G10601" s="549" t="s">
        <v>21</v>
      </c>
      <c r="H10601" s="549" t="s">
        <v>131</v>
      </c>
      <c r="I10601" s="558">
        <v>7.36</v>
      </c>
      <c r="J10601" s="1444">
        <v>11.5</v>
      </c>
      <c r="K10601" s="1443">
        <v>48</v>
      </c>
      <c r="L10601" s="552">
        <f t="shared" si="2190"/>
        <v>4.0627200000000006</v>
      </c>
      <c r="M10601" s="549"/>
      <c r="N10601" s="549"/>
      <c r="O10601" s="549"/>
      <c r="P10601" s="549"/>
    </row>
    <row r="10602" spans="1:17" s="1358" customFormat="1" ht="17.399999999999999">
      <c r="A10602" s="549"/>
      <c r="B10602" s="549"/>
      <c r="C10602" s="549"/>
      <c r="D10602" s="549"/>
      <c r="E10602" s="549"/>
      <c r="F10602" s="549"/>
      <c r="G10602" s="549" t="s">
        <v>21</v>
      </c>
      <c r="H10602" s="549" t="s">
        <v>131</v>
      </c>
      <c r="I10602" s="558">
        <v>7.36</v>
      </c>
      <c r="J10602" s="1444">
        <v>11.55</v>
      </c>
      <c r="K10602" s="1443">
        <v>129</v>
      </c>
      <c r="L10602" s="552">
        <f t="shared" si="2190"/>
        <v>10.966032</v>
      </c>
      <c r="M10602" s="549"/>
      <c r="N10602" s="549"/>
      <c r="O10602" s="549"/>
      <c r="P10602" s="549"/>
    </row>
    <row r="10603" spans="1:17" s="1358" customFormat="1" ht="17.399999999999999">
      <c r="A10603" s="549"/>
      <c r="B10603" s="549"/>
      <c r="C10603" s="549"/>
      <c r="D10603" s="549"/>
      <c r="E10603" s="549"/>
      <c r="F10603" s="549"/>
      <c r="G10603" s="549" t="s">
        <v>21</v>
      </c>
      <c r="H10603" s="549" t="s">
        <v>131</v>
      </c>
      <c r="I10603" s="558">
        <v>7.36</v>
      </c>
      <c r="J10603" s="1444">
        <v>12</v>
      </c>
      <c r="K10603" s="1443">
        <v>138</v>
      </c>
      <c r="L10603" s="552">
        <f t="shared" si="2190"/>
        <v>12.188160000000002</v>
      </c>
      <c r="M10603" s="549"/>
      <c r="N10603" s="549"/>
      <c r="O10603" s="549"/>
      <c r="P10603" s="549"/>
    </row>
    <row r="10604" spans="1:17" s="1358" customFormat="1" ht="17.399999999999999">
      <c r="A10604" s="549"/>
      <c r="B10604" s="549"/>
      <c r="C10604" s="549"/>
      <c r="D10604" s="549"/>
      <c r="E10604" s="549"/>
      <c r="F10604" s="549"/>
      <c r="G10604" s="549"/>
      <c r="H10604" s="549"/>
      <c r="I10604" s="558"/>
      <c r="J10604" s="567"/>
      <c r="K10604" s="648">
        <f>SUM(K10595:K10603)</f>
        <v>732</v>
      </c>
      <c r="L10604" s="858">
        <f>SUM(L10595:L10603)</f>
        <v>53.850544000000006</v>
      </c>
      <c r="M10604" s="549"/>
      <c r="N10604" s="549"/>
      <c r="O10604" s="549"/>
      <c r="P10604" s="549" t="s">
        <v>1269</v>
      </c>
    </row>
    <row r="10605" spans="1:17" s="1440" customFormat="1" ht="17.399999999999999">
      <c r="A10605" s="549"/>
      <c r="B10605" s="549"/>
      <c r="C10605" s="549"/>
      <c r="D10605" s="549"/>
      <c r="E10605" s="549"/>
      <c r="F10605" s="549"/>
      <c r="G10605" s="549"/>
      <c r="H10605" s="549"/>
      <c r="I10605" s="558"/>
      <c r="J10605" s="567"/>
      <c r="K10605" s="648"/>
      <c r="L10605" s="567"/>
      <c r="M10605" s="549"/>
      <c r="N10605" s="549"/>
      <c r="O10605" s="549"/>
      <c r="P10605" s="549"/>
    </row>
    <row r="10606" spans="1:17" s="1440" customFormat="1" ht="17.399999999999999">
      <c r="A10606" s="549"/>
      <c r="B10606" s="549"/>
      <c r="C10606" s="549"/>
      <c r="D10606" s="549"/>
      <c r="E10606" s="549"/>
      <c r="F10606" s="549"/>
      <c r="G10606" s="549"/>
      <c r="H10606" s="549"/>
      <c r="I10606" s="558"/>
      <c r="J10606" s="567"/>
      <c r="K10606" s="648"/>
      <c r="L10606" s="567"/>
      <c r="M10606" s="549"/>
      <c r="N10606" s="549"/>
      <c r="O10606" s="549"/>
      <c r="P10606" s="549"/>
    </row>
    <row r="10607" spans="1:17" s="1439" customFormat="1" ht="17.399999999999999">
      <c r="A10607" s="547" t="s">
        <v>458</v>
      </c>
      <c r="B10607" s="547" t="s">
        <v>1265</v>
      </c>
      <c r="C10607" s="547" t="s">
        <v>446</v>
      </c>
      <c r="D10607" s="813" t="s">
        <v>447</v>
      </c>
      <c r="E10607" s="547" t="s">
        <v>359</v>
      </c>
      <c r="F10607" s="549">
        <v>10</v>
      </c>
      <c r="G10607" s="549" t="s">
        <v>21</v>
      </c>
      <c r="H10607" s="599" t="s">
        <v>322</v>
      </c>
      <c r="I10607" s="558">
        <v>9.65</v>
      </c>
      <c r="J10607" s="1442">
        <v>8</v>
      </c>
      <c r="K10607" s="1443">
        <v>14</v>
      </c>
      <c r="L10607" s="552">
        <f>(I10607*J10607*K10607/1000)</f>
        <v>1.0808</v>
      </c>
      <c r="M10607" s="549"/>
      <c r="N10607" s="549"/>
      <c r="O10607" s="549"/>
      <c r="P10607" s="549"/>
      <c r="Q10607" s="1487" t="s">
        <v>1301</v>
      </c>
    </row>
    <row r="10608" spans="1:17" s="1439" customFormat="1" ht="17.399999999999999">
      <c r="A10608" s="549"/>
      <c r="B10608" s="549"/>
      <c r="C10608" s="549"/>
      <c r="D10608" s="549"/>
      <c r="E10608" s="549"/>
      <c r="F10608" s="549"/>
      <c r="G10608" s="549"/>
      <c r="H10608" s="549"/>
      <c r="I10608" s="558"/>
      <c r="J10608" s="567"/>
      <c r="K10608" s="564">
        <f>SUM(K10607)</f>
        <v>14</v>
      </c>
      <c r="L10608" s="858">
        <f>SUM(L10607)</f>
        <v>1.0808</v>
      </c>
      <c r="M10608" s="549"/>
      <c r="N10608" s="549"/>
      <c r="O10608" s="549"/>
      <c r="P10608" s="549" t="s">
        <v>1270</v>
      </c>
    </row>
    <row r="10609" spans="1:17" s="1439" customFormat="1" ht="17.399999999999999">
      <c r="A10609" s="549"/>
      <c r="B10609" s="549"/>
      <c r="C10609" s="549"/>
      <c r="D10609" s="549"/>
      <c r="E10609" s="549"/>
      <c r="F10609" s="549"/>
      <c r="G10609" s="549"/>
      <c r="H10609" s="549"/>
      <c r="I10609" s="558"/>
      <c r="J10609" s="567"/>
      <c r="K10609" s="648"/>
      <c r="L10609" s="567"/>
      <c r="M10609" s="549"/>
      <c r="N10609" s="549"/>
      <c r="O10609" s="549"/>
      <c r="P10609" s="549"/>
    </row>
    <row r="10610" spans="1:17" s="1358" customFormat="1" ht="17.399999999999999">
      <c r="A10610" s="549"/>
      <c r="B10610" s="549"/>
      <c r="C10610" s="549"/>
      <c r="D10610" s="549"/>
      <c r="E10610" s="549"/>
      <c r="F10610" s="549"/>
      <c r="G10610" s="549"/>
      <c r="H10610" s="549"/>
      <c r="I10610" s="558"/>
      <c r="J10610" s="567"/>
      <c r="K10610" s="648"/>
      <c r="L10610" s="567"/>
      <c r="M10610" s="549"/>
      <c r="N10610" s="549"/>
      <c r="O10610" s="549"/>
      <c r="P10610" s="549"/>
    </row>
    <row r="10611" spans="1:17" s="1358" customFormat="1" ht="17.399999999999999">
      <c r="A10611" s="547" t="s">
        <v>458</v>
      </c>
      <c r="B10611" s="1124" t="s">
        <v>1265</v>
      </c>
      <c r="C10611" s="547" t="s">
        <v>446</v>
      </c>
      <c r="D10611" s="813" t="s">
        <v>450</v>
      </c>
      <c r="E10611" s="547" t="s">
        <v>270</v>
      </c>
      <c r="F10611" s="549">
        <v>10</v>
      </c>
      <c r="G10611" s="549" t="s">
        <v>61</v>
      </c>
      <c r="H10611" s="599" t="s">
        <v>131</v>
      </c>
      <c r="I10611" s="558">
        <v>7.36</v>
      </c>
      <c r="J10611" s="1444">
        <v>7.8</v>
      </c>
      <c r="K10611" s="1443">
        <v>72</v>
      </c>
      <c r="L10611" s="552">
        <f t="shared" ref="L10611:L10615" si="2191">(I10611*J10611*K10611/1000)</f>
        <v>4.1333760000000002</v>
      </c>
      <c r="M10611" s="549"/>
      <c r="N10611" s="549"/>
      <c r="O10611" s="549"/>
      <c r="P10611" s="549"/>
      <c r="Q10611" s="1487" t="s">
        <v>1305</v>
      </c>
    </row>
    <row r="10612" spans="1:17" s="1358" customFormat="1" ht="17.399999999999999">
      <c r="A10612" s="549"/>
      <c r="B10612" s="549"/>
      <c r="C10612" s="549"/>
      <c r="D10612" s="549"/>
      <c r="E10612" s="549"/>
      <c r="F10612" s="549"/>
      <c r="G10612" s="549" t="s">
        <v>61</v>
      </c>
      <c r="H10612" s="549" t="s">
        <v>131</v>
      </c>
      <c r="I10612" s="558">
        <v>7.36</v>
      </c>
      <c r="J10612" s="1444">
        <v>8</v>
      </c>
      <c r="K10612" s="1443">
        <v>17</v>
      </c>
      <c r="L10612" s="552">
        <f t="shared" si="2191"/>
        <v>1.0009600000000001</v>
      </c>
      <c r="M10612" s="549"/>
      <c r="N10612" s="549"/>
      <c r="O10612" s="549"/>
      <c r="P10612" s="549"/>
    </row>
    <row r="10613" spans="1:17" s="1358" customFormat="1" ht="17.399999999999999">
      <c r="A10613" s="549"/>
      <c r="B10613" s="549"/>
      <c r="C10613" s="549"/>
      <c r="D10613" s="549"/>
      <c r="E10613" s="549"/>
      <c r="F10613" s="549"/>
      <c r="G10613" s="549" t="s">
        <v>61</v>
      </c>
      <c r="H10613" s="549" t="s">
        <v>131</v>
      </c>
      <c r="I10613" s="558">
        <v>7.36</v>
      </c>
      <c r="J10613" s="1444">
        <v>10</v>
      </c>
      <c r="K10613" s="1443">
        <v>16</v>
      </c>
      <c r="L10613" s="552">
        <f t="shared" si="2191"/>
        <v>1.1776000000000002</v>
      </c>
      <c r="M10613" s="549"/>
      <c r="N10613" s="549"/>
      <c r="O10613" s="549"/>
      <c r="P10613" s="549"/>
    </row>
    <row r="10614" spans="1:17" s="1358" customFormat="1" ht="17.399999999999999">
      <c r="A10614" s="549"/>
      <c r="B10614" s="549"/>
      <c r="C10614" s="549"/>
      <c r="D10614" s="549"/>
      <c r="E10614" s="549"/>
      <c r="F10614" s="549"/>
      <c r="G10614" s="549" t="s">
        <v>61</v>
      </c>
      <c r="H10614" s="549" t="s">
        <v>131</v>
      </c>
      <c r="I10614" s="558">
        <v>7.36</v>
      </c>
      <c r="J10614" s="1444">
        <v>11.6</v>
      </c>
      <c r="K10614" s="1443">
        <v>33</v>
      </c>
      <c r="L10614" s="552">
        <f t="shared" si="2191"/>
        <v>2.8174080000000004</v>
      </c>
      <c r="M10614" s="549"/>
      <c r="N10614" s="549"/>
      <c r="O10614" s="549"/>
      <c r="P10614" s="549"/>
    </row>
    <row r="10615" spans="1:17" s="1358" customFormat="1" ht="17.399999999999999">
      <c r="A10615" s="549"/>
      <c r="B10615" s="549"/>
      <c r="C10615" s="549"/>
      <c r="D10615" s="549"/>
      <c r="E10615" s="549"/>
      <c r="F10615" s="549"/>
      <c r="G10615" s="549" t="s">
        <v>61</v>
      </c>
      <c r="H10615" s="549" t="s">
        <v>131</v>
      </c>
      <c r="I10615" s="558">
        <v>7.36</v>
      </c>
      <c r="J10615" s="1444">
        <v>12</v>
      </c>
      <c r="K10615" s="1443">
        <v>18</v>
      </c>
      <c r="L10615" s="552">
        <f t="shared" si="2191"/>
        <v>1.5897600000000003</v>
      </c>
      <c r="M10615" s="549"/>
      <c r="N10615" s="549"/>
      <c r="O10615" s="549"/>
      <c r="P10615" s="549"/>
    </row>
    <row r="10616" spans="1:17" s="1358" customFormat="1" ht="17.399999999999999">
      <c r="A10616" s="549"/>
      <c r="B10616" s="549"/>
      <c r="C10616" s="549"/>
      <c r="D10616" s="549"/>
      <c r="E10616" s="549"/>
      <c r="F10616" s="549"/>
      <c r="G10616" s="549"/>
      <c r="H10616" s="549"/>
      <c r="I10616" s="558"/>
      <c r="J10616" s="567"/>
      <c r="K10616" s="648">
        <f>SUM(K10611:K10615)</f>
        <v>156</v>
      </c>
      <c r="L10616" s="567">
        <f>SUM(L10611:L10615)</f>
        <v>10.719104</v>
      </c>
      <c r="M10616" s="549"/>
      <c r="N10616" s="549"/>
      <c r="O10616" s="549"/>
      <c r="P10616" s="549" t="s">
        <v>1271</v>
      </c>
    </row>
    <row r="10617" spans="1:17" s="1358" customFormat="1" ht="17.399999999999999">
      <c r="A10617" s="549"/>
      <c r="B10617" s="549"/>
      <c r="C10617" s="549"/>
      <c r="D10617" s="549"/>
      <c r="E10617" s="549"/>
      <c r="F10617" s="549"/>
      <c r="G10617" s="549"/>
      <c r="H10617" s="549"/>
      <c r="I10617" s="558"/>
      <c r="J10617" s="567"/>
      <c r="K10617" s="648"/>
      <c r="L10617" s="567"/>
      <c r="M10617" s="549"/>
      <c r="N10617" s="549"/>
      <c r="O10617" s="549"/>
      <c r="P10617" s="549"/>
    </row>
    <row r="10618" spans="1:17" s="1440" customFormat="1" ht="17.399999999999999">
      <c r="A10618" s="549"/>
      <c r="B10618" s="549"/>
      <c r="C10618" s="549"/>
      <c r="D10618" s="549"/>
      <c r="E10618" s="549"/>
      <c r="F10618" s="549"/>
      <c r="G10618" s="549"/>
      <c r="H10618" s="549"/>
      <c r="I10618" s="558"/>
      <c r="J10618" s="567"/>
      <c r="K10618" s="648"/>
      <c r="L10618" s="567"/>
      <c r="M10618" s="549"/>
      <c r="N10618" s="549"/>
      <c r="O10618" s="549"/>
      <c r="P10618" s="549"/>
    </row>
    <row r="10619" spans="1:17" s="1358" customFormat="1" ht="17.399999999999999">
      <c r="A10619" s="547" t="s">
        <v>458</v>
      </c>
      <c r="B10619" s="1124" t="s">
        <v>1265</v>
      </c>
      <c r="C10619" s="547" t="s">
        <v>446</v>
      </c>
      <c r="D10619" s="813" t="s">
        <v>450</v>
      </c>
      <c r="E10619" s="547" t="s">
        <v>270</v>
      </c>
      <c r="F10619" s="549">
        <v>10</v>
      </c>
      <c r="G10619" s="549" t="s">
        <v>61</v>
      </c>
      <c r="H10619" s="599" t="s">
        <v>130</v>
      </c>
      <c r="I10619" s="558">
        <v>6.17</v>
      </c>
      <c r="J10619" s="1444">
        <v>10.65</v>
      </c>
      <c r="K10619" s="1443">
        <v>18</v>
      </c>
      <c r="L10619" s="552">
        <f>(I10619*J10619*K10619/1000)</f>
        <v>1.1827890000000001</v>
      </c>
      <c r="M10619" s="549"/>
      <c r="N10619" s="549"/>
      <c r="O10619" s="549"/>
      <c r="P10619" s="549"/>
      <c r="Q10619" s="1487" t="s">
        <v>1305</v>
      </c>
    </row>
    <row r="10620" spans="1:17" s="1358" customFormat="1" ht="17.399999999999999">
      <c r="A10620" s="549"/>
      <c r="B10620" s="549"/>
      <c r="C10620" s="549"/>
      <c r="D10620" s="549"/>
      <c r="E10620" s="549"/>
      <c r="F10620" s="549"/>
      <c r="G10620" s="549"/>
      <c r="H10620" s="549"/>
      <c r="I10620" s="558"/>
      <c r="J10620" s="567"/>
      <c r="K10620" s="648">
        <f>SUM(K10619:K10619)</f>
        <v>18</v>
      </c>
      <c r="L10620" s="567">
        <f>SUM(L10619:L10619)</f>
        <v>1.1827890000000001</v>
      </c>
      <c r="M10620" s="549"/>
      <c r="N10620" s="549"/>
      <c r="O10620" s="549"/>
      <c r="P10620" s="549" t="s">
        <v>1272</v>
      </c>
    </row>
    <row r="10621" spans="1:17" s="1358" customFormat="1" ht="17.399999999999999">
      <c r="A10621" s="549"/>
      <c r="B10621" s="549"/>
      <c r="C10621" s="549"/>
      <c r="D10621" s="549"/>
      <c r="E10621" s="549"/>
      <c r="F10621" s="549"/>
      <c r="G10621" s="549"/>
      <c r="H10621" s="549"/>
      <c r="I10621" s="558"/>
      <c r="J10621" s="567"/>
      <c r="K10621" s="648"/>
      <c r="L10621" s="567"/>
      <c r="M10621" s="549"/>
      <c r="N10621" s="549"/>
      <c r="O10621" s="549"/>
      <c r="P10621" s="549"/>
    </row>
    <row r="10622" spans="1:17" s="1439" customFormat="1" ht="17.399999999999999">
      <c r="A10622" s="549"/>
      <c r="B10622" s="549"/>
      <c r="C10622" s="549"/>
      <c r="D10622" s="549"/>
      <c r="E10622" s="549"/>
      <c r="F10622" s="549"/>
      <c r="G10622" s="549"/>
      <c r="H10622" s="549"/>
      <c r="I10622" s="558"/>
      <c r="J10622" s="567"/>
      <c r="K10622" s="648"/>
      <c r="L10622" s="567"/>
      <c r="M10622" s="549"/>
      <c r="N10622" s="549"/>
      <c r="O10622" s="549"/>
      <c r="P10622" s="549"/>
    </row>
    <row r="10623" spans="1:17" ht="17.399999999999999">
      <c r="A10623" s="547" t="s">
        <v>445</v>
      </c>
      <c r="B10623" s="547" t="s">
        <v>786</v>
      </c>
      <c r="C10623" s="547" t="s">
        <v>19</v>
      </c>
      <c r="D10623" s="547" t="s">
        <v>20</v>
      </c>
      <c r="E10623" s="560" t="s">
        <v>464</v>
      </c>
      <c r="F10623" s="772">
        <v>10</v>
      </c>
      <c r="G10623" s="549" t="s">
        <v>21</v>
      </c>
      <c r="H10623" s="599" t="s">
        <v>131</v>
      </c>
      <c r="I10623" s="558">
        <v>7.34</v>
      </c>
      <c r="J10623" s="567">
        <v>10</v>
      </c>
      <c r="K10623" s="648">
        <v>302</v>
      </c>
      <c r="L10623" s="552">
        <f t="shared" ref="L10623:L10629" si="2192">(I10623*J10623*K10623/1000)</f>
        <v>22.166800000000002</v>
      </c>
      <c r="M10623" s="549"/>
      <c r="N10623" s="549"/>
      <c r="O10623" s="549"/>
      <c r="P10623" s="549"/>
      <c r="Q10623" s="1487" t="s">
        <v>1299</v>
      </c>
    </row>
    <row r="10624" spans="1:17" ht="17.399999999999999">
      <c r="A10624" s="547"/>
      <c r="B10624" s="754" t="s">
        <v>621</v>
      </c>
      <c r="C10624" s="780"/>
      <c r="D10624" s="547"/>
      <c r="E10624" s="547"/>
      <c r="F10624" s="772"/>
      <c r="G10624" s="549" t="s">
        <v>21</v>
      </c>
      <c r="H10624" s="549" t="s">
        <v>131</v>
      </c>
      <c r="I10624" s="558">
        <v>7.34</v>
      </c>
      <c r="J10624" s="567">
        <v>10.5</v>
      </c>
      <c r="K10624" s="648">
        <v>566</v>
      </c>
      <c r="L10624" s="552">
        <f t="shared" si="2192"/>
        <v>43.621619999999993</v>
      </c>
      <c r="M10624" s="549"/>
      <c r="N10624" s="549"/>
      <c r="O10624" s="549"/>
      <c r="P10624" s="549"/>
    </row>
    <row r="10625" spans="1:21" ht="17.399999999999999">
      <c r="A10625" s="549"/>
      <c r="B10625" s="549"/>
      <c r="C10625" s="549"/>
      <c r="D10625" s="549"/>
      <c r="E10625" s="549"/>
      <c r="F10625" s="549"/>
      <c r="G10625" s="549" t="s">
        <v>21</v>
      </c>
      <c r="H10625" s="549" t="s">
        <v>131</v>
      </c>
      <c r="I10625" s="558">
        <v>7.34</v>
      </c>
      <c r="J10625" s="567">
        <v>11</v>
      </c>
      <c r="K10625" s="648">
        <v>168</v>
      </c>
      <c r="L10625" s="552">
        <f t="shared" si="2192"/>
        <v>13.56432</v>
      </c>
      <c r="M10625" s="549"/>
      <c r="N10625" s="549"/>
      <c r="O10625" s="549"/>
      <c r="P10625" s="549"/>
    </row>
    <row r="10626" spans="1:21" ht="17.399999999999999">
      <c r="A10626" s="549"/>
      <c r="B10626" s="549"/>
      <c r="C10626" s="549"/>
      <c r="D10626" s="549"/>
      <c r="E10626" s="549"/>
      <c r="F10626" s="549"/>
      <c r="G10626" s="549" t="s">
        <v>21</v>
      </c>
      <c r="H10626" s="549" t="s">
        <v>131</v>
      </c>
      <c r="I10626" s="558">
        <v>7.34</v>
      </c>
      <c r="J10626" s="567">
        <v>11.3</v>
      </c>
      <c r="K10626" s="648">
        <v>5</v>
      </c>
      <c r="L10626" s="552">
        <f t="shared" si="2192"/>
        <v>0.41471000000000002</v>
      </c>
      <c r="M10626" s="549"/>
      <c r="N10626" s="549"/>
      <c r="O10626" s="549"/>
      <c r="P10626" s="549"/>
    </row>
    <row r="10627" spans="1:21" ht="17.399999999999999">
      <c r="A10627" s="549"/>
      <c r="B10627" s="549"/>
      <c r="C10627" s="549"/>
      <c r="D10627" s="549"/>
      <c r="E10627" s="549"/>
      <c r="F10627" s="549"/>
      <c r="G10627" s="549" t="s">
        <v>21</v>
      </c>
      <c r="H10627" s="549" t="s">
        <v>131</v>
      </c>
      <c r="I10627" s="558">
        <v>7.34</v>
      </c>
      <c r="J10627" s="567">
        <v>11.5</v>
      </c>
      <c r="K10627" s="648">
        <v>310</v>
      </c>
      <c r="L10627" s="552">
        <f t="shared" si="2192"/>
        <v>26.167099999999998</v>
      </c>
      <c r="M10627" s="549"/>
      <c r="N10627" s="549"/>
      <c r="O10627" s="549"/>
      <c r="P10627" s="549"/>
    </row>
    <row r="10628" spans="1:21" ht="17.399999999999999">
      <c r="A10628" s="549"/>
      <c r="B10628" s="549"/>
      <c r="C10628" s="549"/>
      <c r="D10628" s="549"/>
      <c r="E10628" s="549"/>
      <c r="F10628" s="549"/>
      <c r="G10628" s="549" t="s">
        <v>21</v>
      </c>
      <c r="H10628" s="549" t="s">
        <v>131</v>
      </c>
      <c r="I10628" s="558">
        <v>7.34</v>
      </c>
      <c r="J10628" s="567">
        <v>11.7</v>
      </c>
      <c r="K10628" s="648">
        <v>36</v>
      </c>
      <c r="L10628" s="552">
        <f t="shared" si="2192"/>
        <v>3.0916080000000004</v>
      </c>
      <c r="M10628" s="549"/>
      <c r="N10628" s="549"/>
      <c r="O10628" s="549"/>
      <c r="P10628" s="549"/>
    </row>
    <row r="10629" spans="1:21" ht="17.399999999999999">
      <c r="A10629" s="549"/>
      <c r="B10629" s="549"/>
      <c r="C10629" s="549"/>
      <c r="D10629" s="549"/>
      <c r="E10629" s="549"/>
      <c r="F10629" s="549"/>
      <c r="G10629" s="549" t="s">
        <v>21</v>
      </c>
      <c r="H10629" s="549" t="s">
        <v>131</v>
      </c>
      <c r="I10629" s="558">
        <v>7.34</v>
      </c>
      <c r="J10629" s="567">
        <v>12</v>
      </c>
      <c r="K10629" s="648">
        <v>187</v>
      </c>
      <c r="L10629" s="552">
        <f t="shared" si="2192"/>
        <v>16.470959999999998</v>
      </c>
      <c r="M10629" s="549"/>
      <c r="N10629" s="549"/>
      <c r="O10629" s="549"/>
      <c r="P10629" s="549"/>
    </row>
    <row r="10630" spans="1:21" ht="17.399999999999999">
      <c r="A10630" s="549"/>
      <c r="B10630" s="549"/>
      <c r="C10630" s="549"/>
      <c r="D10630" s="549"/>
      <c r="E10630" s="549"/>
      <c r="F10630" s="549"/>
      <c r="G10630" s="549"/>
      <c r="H10630" s="549"/>
      <c r="I10630" s="558"/>
      <c r="J10630" s="567"/>
      <c r="K10630" s="648">
        <f t="shared" ref="K10630" si="2193">SUM(K10623:K10629)</f>
        <v>1574</v>
      </c>
      <c r="L10630" s="567">
        <f>SUM(L10623:L10629)</f>
        <v>125.497118</v>
      </c>
      <c r="M10630" s="549"/>
      <c r="N10630" s="549"/>
      <c r="O10630" s="549"/>
      <c r="P10630" s="549" t="s">
        <v>1273</v>
      </c>
    </row>
    <row r="10631" spans="1:21" s="1358" customFormat="1" ht="17.399999999999999">
      <c r="A10631" s="549"/>
      <c r="B10631" s="549"/>
      <c r="C10631" s="549"/>
      <c r="D10631" s="549"/>
      <c r="E10631" s="549"/>
      <c r="F10631" s="549"/>
      <c r="G10631" s="549"/>
      <c r="H10631" s="549"/>
      <c r="I10631" s="558"/>
      <c r="J10631" s="567"/>
      <c r="K10631" s="648"/>
      <c r="L10631" s="567"/>
      <c r="M10631" s="549"/>
      <c r="N10631" s="549"/>
      <c r="O10631" s="549"/>
      <c r="P10631" s="549"/>
    </row>
    <row r="10632" spans="1:21" s="1440" customFormat="1" ht="17.399999999999999">
      <c r="A10632" s="549"/>
      <c r="B10632" s="549"/>
      <c r="C10632" s="549"/>
      <c r="D10632" s="549"/>
      <c r="E10632" s="549"/>
      <c r="F10632" s="549"/>
      <c r="G10632" s="549"/>
      <c r="H10632" s="549"/>
      <c r="I10632" s="558"/>
      <c r="J10632" s="567"/>
      <c r="K10632" s="648"/>
      <c r="L10632" s="567"/>
      <c r="M10632" s="549"/>
      <c r="N10632" s="549"/>
      <c r="O10632" s="549"/>
      <c r="P10632" s="549"/>
    </row>
    <row r="10633" spans="1:21" s="1440" customFormat="1" ht="17.399999999999999">
      <c r="A10633" s="549"/>
      <c r="B10633" s="549"/>
      <c r="C10633" s="549"/>
      <c r="D10633" s="549"/>
      <c r="E10633" s="549"/>
      <c r="F10633" s="549"/>
      <c r="G10633" s="549"/>
      <c r="H10633" s="549"/>
      <c r="I10633" s="558"/>
      <c r="J10633" s="567"/>
      <c r="K10633" s="648"/>
      <c r="L10633" s="567"/>
      <c r="M10633" s="549"/>
      <c r="N10633" s="549"/>
      <c r="O10633" s="549"/>
      <c r="P10633" s="549"/>
    </row>
    <row r="10634" spans="1:21" s="1440" customFormat="1" ht="17.399999999999999">
      <c r="A10634" s="547" t="s">
        <v>272</v>
      </c>
      <c r="B10634" s="547" t="s">
        <v>1265</v>
      </c>
      <c r="C10634" s="547" t="s">
        <v>446</v>
      </c>
      <c r="D10634" s="813" t="s">
        <v>447</v>
      </c>
      <c r="E10634" s="547" t="s">
        <v>359</v>
      </c>
      <c r="F10634" s="549">
        <v>10</v>
      </c>
      <c r="G10634" s="549" t="s">
        <v>21</v>
      </c>
      <c r="H10634" s="599" t="s">
        <v>130</v>
      </c>
      <c r="I10634" s="558">
        <v>6.17</v>
      </c>
      <c r="J10634" s="1445">
        <v>7.25</v>
      </c>
      <c r="K10634" s="1446">
        <v>63</v>
      </c>
      <c r="L10634" s="552">
        <f t="shared" ref="L10634:L10638" si="2194">(I10634*J10634*K10634/1000)</f>
        <v>2.8181475000000002</v>
      </c>
      <c r="M10634" s="549"/>
      <c r="N10634" s="549"/>
      <c r="O10634" s="549"/>
      <c r="P10634" s="549"/>
      <c r="Q10634" s="1440">
        <f>34+35</f>
        <v>69</v>
      </c>
      <c r="R10634" s="126">
        <f t="shared" ref="R10634:R10638" si="2195">J10634*Q10634*I10634/1000</f>
        <v>3.0865425000000002</v>
      </c>
      <c r="S10634" s="1440">
        <f>3+1</f>
        <v>4</v>
      </c>
      <c r="T10634" s="415">
        <f t="shared" ref="T10634:T10636" si="2196">J10634*S10634*I10634/1000</f>
        <v>0.17893000000000001</v>
      </c>
      <c r="U10634" s="1487" t="s">
        <v>1301</v>
      </c>
    </row>
    <row r="10635" spans="1:21" s="1440" customFormat="1" ht="17.399999999999999">
      <c r="A10635" s="549"/>
      <c r="B10635" s="549"/>
      <c r="C10635" s="549"/>
      <c r="D10635" s="549"/>
      <c r="E10635" s="549"/>
      <c r="F10635" s="549"/>
      <c r="G10635" s="549" t="s">
        <v>21</v>
      </c>
      <c r="H10635" s="549" t="s">
        <v>130</v>
      </c>
      <c r="I10635" s="558">
        <v>6.17</v>
      </c>
      <c r="J10635" s="1445">
        <v>9.5</v>
      </c>
      <c r="K10635" s="1446">
        <v>32</v>
      </c>
      <c r="L10635" s="552">
        <f t="shared" si="2194"/>
        <v>1.87568</v>
      </c>
      <c r="M10635" s="549"/>
      <c r="N10635" s="549"/>
      <c r="O10635" s="549"/>
      <c r="P10635" s="549"/>
      <c r="R10635" s="126">
        <f t="shared" si="2195"/>
        <v>0</v>
      </c>
      <c r="S10635" s="1440">
        <f>10+5</f>
        <v>15</v>
      </c>
      <c r="T10635" s="415">
        <f t="shared" si="2196"/>
        <v>0.87922500000000003</v>
      </c>
    </row>
    <row r="10636" spans="1:21" s="1440" customFormat="1" ht="17.399999999999999">
      <c r="A10636" s="549"/>
      <c r="B10636" s="549"/>
      <c r="C10636" s="549"/>
      <c r="D10636" s="549"/>
      <c r="E10636" s="549"/>
      <c r="F10636" s="549"/>
      <c r="G10636" s="549" t="s">
        <v>21</v>
      </c>
      <c r="H10636" s="549" t="s">
        <v>130</v>
      </c>
      <c r="I10636" s="558">
        <v>6.17</v>
      </c>
      <c r="J10636" s="1445">
        <v>10.5</v>
      </c>
      <c r="K10636" s="1446">
        <v>57</v>
      </c>
      <c r="L10636" s="552">
        <f t="shared" si="2194"/>
        <v>3.6927449999999999</v>
      </c>
      <c r="M10636" s="549"/>
      <c r="N10636" s="549"/>
      <c r="O10636" s="549"/>
      <c r="P10636" s="549"/>
      <c r="Q10636" s="1440">
        <f>22+25</f>
        <v>47</v>
      </c>
      <c r="R10636" s="126">
        <f t="shared" si="2195"/>
        <v>3.0448949999999999</v>
      </c>
      <c r="S10636" s="1440">
        <f>3+15</f>
        <v>18</v>
      </c>
      <c r="T10636" s="415">
        <f t="shared" si="2196"/>
        <v>1.1661299999999999</v>
      </c>
    </row>
    <row r="10637" spans="1:21" s="1440" customFormat="1" ht="17.399999999999999">
      <c r="A10637" s="549"/>
      <c r="B10637" s="549"/>
      <c r="C10637" s="549"/>
      <c r="D10637" s="549"/>
      <c r="E10637" s="549"/>
      <c r="F10637" s="549"/>
      <c r="G10637" s="549" t="s">
        <v>21</v>
      </c>
      <c r="H10637" s="549" t="s">
        <v>130</v>
      </c>
      <c r="I10637" s="558">
        <v>6.17</v>
      </c>
      <c r="J10637" s="1445">
        <v>11</v>
      </c>
      <c r="K10637" s="1446">
        <v>40</v>
      </c>
      <c r="L10637" s="552">
        <f t="shared" si="2194"/>
        <v>2.7148000000000003</v>
      </c>
      <c r="M10637" s="549"/>
      <c r="N10637" s="549"/>
      <c r="O10637" s="549"/>
      <c r="P10637" s="549"/>
      <c r="Q10637" s="1440">
        <v>30</v>
      </c>
      <c r="R10637" s="126">
        <f t="shared" si="2195"/>
        <v>2.0360999999999998</v>
      </c>
      <c r="S10637" s="1440">
        <v>10</v>
      </c>
      <c r="T10637" s="415">
        <f>J10637*S10637*I10637/1000</f>
        <v>0.67870000000000008</v>
      </c>
    </row>
    <row r="10638" spans="1:21" s="1440" customFormat="1" ht="17.399999999999999">
      <c r="A10638" s="549"/>
      <c r="B10638" s="549"/>
      <c r="C10638" s="549"/>
      <c r="D10638" s="549"/>
      <c r="E10638" s="549"/>
      <c r="F10638" s="549"/>
      <c r="G10638" s="549" t="s">
        <v>21</v>
      </c>
      <c r="H10638" s="549" t="s">
        <v>130</v>
      </c>
      <c r="I10638" s="558">
        <v>6.17</v>
      </c>
      <c r="J10638" s="1445">
        <v>12</v>
      </c>
      <c r="K10638" s="1446">
        <v>26</v>
      </c>
      <c r="L10638" s="552">
        <f t="shared" si="2194"/>
        <v>1.9250399999999996</v>
      </c>
      <c r="M10638" s="549"/>
      <c r="N10638" s="549"/>
      <c r="O10638" s="549"/>
      <c r="P10638" s="549"/>
      <c r="R10638" s="126">
        <f t="shared" si="2195"/>
        <v>0</v>
      </c>
      <c r="S10638" s="1440">
        <v>26</v>
      </c>
      <c r="T10638" s="415">
        <f>J10638*S10638*I10638/1000</f>
        <v>1.9250399999999999</v>
      </c>
    </row>
    <row r="10639" spans="1:21" s="1440" customFormat="1" ht="17.399999999999999">
      <c r="A10639" s="549"/>
      <c r="B10639" s="549"/>
      <c r="C10639" s="549"/>
      <c r="D10639" s="549"/>
      <c r="E10639" s="549"/>
      <c r="F10639" s="549"/>
      <c r="G10639" s="549"/>
      <c r="H10639" s="549"/>
      <c r="I10639" s="558"/>
      <c r="J10639" s="567"/>
      <c r="K10639" s="648">
        <f>SUM(K10634:K10638)</f>
        <v>218</v>
      </c>
      <c r="L10639" s="567">
        <f>SUM(L10634:L10638)</f>
        <v>13.026412499999999</v>
      </c>
      <c r="M10639" s="549"/>
      <c r="N10639" s="549"/>
      <c r="O10639" s="549"/>
      <c r="P10639" s="549" t="s">
        <v>1268</v>
      </c>
      <c r="Q10639" s="648">
        <f>SUM(Q10634:Q10638)</f>
        <v>146</v>
      </c>
      <c r="R10639" s="567">
        <f>SUM(R10634:R10638)</f>
        <v>8.1675374999999999</v>
      </c>
      <c r="S10639" s="648">
        <f>SUM(S10634:S10638)</f>
        <v>73</v>
      </c>
      <c r="T10639" s="567">
        <f>SUM(T10634:T10638)</f>
        <v>4.8280250000000002</v>
      </c>
    </row>
    <row r="10640" spans="1:21" s="1440" customFormat="1" ht="17.399999999999999">
      <c r="A10640" s="549"/>
      <c r="B10640" s="549"/>
      <c r="C10640" s="549"/>
      <c r="D10640" s="549"/>
      <c r="E10640" s="549"/>
      <c r="F10640" s="549"/>
      <c r="G10640" s="549"/>
      <c r="H10640" s="549"/>
      <c r="I10640" s="558"/>
      <c r="J10640" s="567"/>
      <c r="K10640" s="648"/>
      <c r="L10640" s="567"/>
      <c r="M10640" s="549"/>
      <c r="N10640" s="549"/>
      <c r="O10640" s="549"/>
      <c r="P10640" s="549"/>
    </row>
    <row r="10641" spans="1:19" s="1440" customFormat="1" ht="17.399999999999999">
      <c r="A10641" s="547" t="s">
        <v>272</v>
      </c>
      <c r="B10641" s="547" t="s">
        <v>1265</v>
      </c>
      <c r="C10641" s="547" t="s">
        <v>446</v>
      </c>
      <c r="D10641" s="813" t="s">
        <v>447</v>
      </c>
      <c r="E10641" s="547" t="s">
        <v>359</v>
      </c>
      <c r="F10641" s="549">
        <v>10</v>
      </c>
      <c r="G10641" s="549" t="s">
        <v>21</v>
      </c>
      <c r="H10641" s="599" t="s">
        <v>131</v>
      </c>
      <c r="I10641" s="558">
        <v>7.36</v>
      </c>
      <c r="J10641" s="1447">
        <v>12</v>
      </c>
      <c r="K10641" s="1446">
        <v>41</v>
      </c>
      <c r="L10641" s="552">
        <f>(I10641*J10641*K10641/1000)</f>
        <v>3.6211200000000003</v>
      </c>
      <c r="M10641" s="549"/>
      <c r="N10641" s="549"/>
      <c r="O10641" s="549"/>
      <c r="P10641" s="549"/>
      <c r="Q10641" s="1487" t="s">
        <v>1301</v>
      </c>
    </row>
    <row r="10642" spans="1:19" s="1440" customFormat="1" ht="17.399999999999999">
      <c r="A10642" s="549"/>
      <c r="B10642" s="549"/>
      <c r="C10642" s="549"/>
      <c r="D10642" s="549"/>
      <c r="E10642" s="549"/>
      <c r="F10642" s="549"/>
      <c r="G10642" s="549"/>
      <c r="H10642" s="549"/>
      <c r="I10642" s="558"/>
      <c r="J10642" s="567"/>
      <c r="K10642" s="648">
        <f>SUM(K10641:K10641)</f>
        <v>41</v>
      </c>
      <c r="L10642" s="567">
        <f>SUM(L10641:L10641)</f>
        <v>3.6211200000000003</v>
      </c>
      <c r="M10642" s="549"/>
      <c r="N10642" s="549"/>
      <c r="O10642" s="549"/>
      <c r="P10642" s="549" t="s">
        <v>1269</v>
      </c>
    </row>
    <row r="10643" spans="1:19" s="1440" customFormat="1" ht="17.399999999999999">
      <c r="A10643" s="549"/>
      <c r="B10643" s="549"/>
      <c r="C10643" s="549"/>
      <c r="D10643" s="549"/>
      <c r="E10643" s="549"/>
      <c r="F10643" s="549"/>
      <c r="G10643" s="549"/>
      <c r="H10643" s="549"/>
      <c r="I10643" s="558"/>
      <c r="J10643" s="567"/>
      <c r="K10643" s="648"/>
      <c r="L10643" s="567"/>
      <c r="M10643" s="549"/>
      <c r="N10643" s="549"/>
      <c r="O10643" s="549"/>
      <c r="P10643" s="549"/>
    </row>
    <row r="10644" spans="1:19" s="1440" customFormat="1" ht="17.399999999999999">
      <c r="A10644" s="549"/>
      <c r="B10644" s="549"/>
      <c r="C10644" s="549"/>
      <c r="D10644" s="549"/>
      <c r="E10644" s="549"/>
      <c r="F10644" s="549"/>
      <c r="G10644" s="549"/>
      <c r="H10644" s="549"/>
      <c r="I10644" s="558"/>
      <c r="J10644" s="567"/>
      <c r="K10644" s="648"/>
      <c r="L10644" s="567"/>
      <c r="M10644" s="549"/>
      <c r="N10644" s="549"/>
      <c r="O10644" s="549"/>
      <c r="P10644" s="549"/>
    </row>
    <row r="10645" spans="1:19" s="1440" customFormat="1" ht="17.399999999999999">
      <c r="A10645" s="547" t="s">
        <v>272</v>
      </c>
      <c r="B10645" s="852" t="s">
        <v>1265</v>
      </c>
      <c r="C10645" s="547" t="s">
        <v>446</v>
      </c>
      <c r="D10645" s="813" t="s">
        <v>450</v>
      </c>
      <c r="E10645" s="547" t="s">
        <v>270</v>
      </c>
      <c r="F10645" s="549">
        <v>10</v>
      </c>
      <c r="G10645" s="549" t="s">
        <v>61</v>
      </c>
      <c r="H10645" s="599" t="s">
        <v>130</v>
      </c>
      <c r="I10645" s="558">
        <v>6.17</v>
      </c>
      <c r="J10645" s="1445">
        <v>6.7</v>
      </c>
      <c r="K10645" s="1446">
        <v>64</v>
      </c>
      <c r="L10645" s="552">
        <f>(I10645*J10645*K10645/1000)</f>
        <v>2.645696</v>
      </c>
      <c r="M10645" s="549"/>
      <c r="N10645" s="549"/>
      <c r="O10645" s="549"/>
      <c r="P10645" s="549"/>
      <c r="Q10645" s="1440">
        <v>31</v>
      </c>
      <c r="R10645" s="126">
        <f>J10645*Q10645*I10645/1000</f>
        <v>1.281509</v>
      </c>
      <c r="S10645" s="1487" t="s">
        <v>1305</v>
      </c>
    </row>
    <row r="10646" spans="1:19" s="1440" customFormat="1" ht="17.399999999999999">
      <c r="A10646" s="549"/>
      <c r="B10646" s="549"/>
      <c r="C10646" s="549"/>
      <c r="D10646" s="549"/>
      <c r="E10646" s="549"/>
      <c r="F10646" s="549"/>
      <c r="G10646" s="549" t="s">
        <v>61</v>
      </c>
      <c r="H10646" s="549" t="s">
        <v>130</v>
      </c>
      <c r="I10646" s="558">
        <v>6.17</v>
      </c>
      <c r="J10646" s="1445">
        <v>10</v>
      </c>
      <c r="K10646" s="1446">
        <v>35</v>
      </c>
      <c r="L10646" s="552">
        <f>(I10646*J10646*K10646/1000)</f>
        <v>2.1595</v>
      </c>
      <c r="M10646" s="549"/>
      <c r="N10646" s="549"/>
      <c r="O10646" s="549"/>
      <c r="P10646" s="549"/>
      <c r="Q10646" s="1440">
        <v>17</v>
      </c>
      <c r="R10646" s="126">
        <f>J10646*Q10646*I10646/1000</f>
        <v>1.0489000000000002</v>
      </c>
    </row>
    <row r="10647" spans="1:19" s="1440" customFormat="1" ht="17.399999999999999">
      <c r="A10647" s="549"/>
      <c r="B10647" s="549"/>
      <c r="C10647" s="549"/>
      <c r="D10647" s="549"/>
      <c r="E10647" s="549"/>
      <c r="F10647" s="549"/>
      <c r="G10647" s="549" t="s">
        <v>61</v>
      </c>
      <c r="H10647" s="549" t="s">
        <v>130</v>
      </c>
      <c r="I10647" s="558">
        <v>6.17</v>
      </c>
      <c r="J10647" s="1445">
        <v>11</v>
      </c>
      <c r="K10647" s="1446">
        <v>55</v>
      </c>
      <c r="L10647" s="552">
        <f>(I10647*J10647*K10647/1000)</f>
        <v>3.7328500000000004</v>
      </c>
      <c r="M10647" s="549"/>
      <c r="N10647" s="549"/>
      <c r="O10647" s="549"/>
      <c r="P10647" s="549"/>
      <c r="Q10647" s="1440">
        <v>29</v>
      </c>
      <c r="R10647" s="126">
        <f>J10647*Q10647*I10647/1000</f>
        <v>1.9682299999999999</v>
      </c>
    </row>
    <row r="10648" spans="1:19" s="1440" customFormat="1" ht="17.399999999999999">
      <c r="A10648" s="549"/>
      <c r="B10648" s="549"/>
      <c r="C10648" s="549"/>
      <c r="D10648" s="549"/>
      <c r="E10648" s="549"/>
      <c r="F10648" s="549"/>
      <c r="G10648" s="549" t="s">
        <v>61</v>
      </c>
      <c r="H10648" s="549" t="s">
        <v>130</v>
      </c>
      <c r="I10648" s="558">
        <v>6.17</v>
      </c>
      <c r="J10648" s="1445">
        <v>12</v>
      </c>
      <c r="K10648" s="1446">
        <v>54</v>
      </c>
      <c r="L10648" s="552">
        <f>(I10648*J10648*K10648/1000)</f>
        <v>3.9981599999999995</v>
      </c>
      <c r="M10648" s="549"/>
      <c r="N10648" s="549"/>
      <c r="O10648" s="549"/>
      <c r="P10648" s="549"/>
      <c r="Q10648" s="1440">
        <v>29</v>
      </c>
      <c r="R10648" s="126">
        <f>J10648*Q10648*I10648/1000</f>
        <v>2.14716</v>
      </c>
    </row>
    <row r="10649" spans="1:19" s="1440" customFormat="1" ht="17.399999999999999">
      <c r="A10649" s="549"/>
      <c r="B10649" s="549"/>
      <c r="C10649" s="549"/>
      <c r="D10649" s="549"/>
      <c r="E10649" s="549"/>
      <c r="F10649" s="549"/>
      <c r="G10649" s="549"/>
      <c r="H10649" s="549"/>
      <c r="I10649" s="558"/>
      <c r="J10649" s="567"/>
      <c r="K10649" s="648">
        <f>SUM(K10645:K10648)</f>
        <v>208</v>
      </c>
      <c r="L10649" s="567">
        <f>SUM(L10645:L10648)</f>
        <v>12.536206</v>
      </c>
      <c r="M10649" s="549"/>
      <c r="N10649" s="549"/>
      <c r="O10649" s="549"/>
      <c r="P10649" s="549" t="s">
        <v>1272</v>
      </c>
      <c r="Q10649" s="648">
        <f>SUM(Q10645:Q10648)</f>
        <v>106</v>
      </c>
      <c r="R10649" s="567">
        <f>SUM(R10645:R10648)</f>
        <v>6.4457990000000009</v>
      </c>
    </row>
    <row r="10650" spans="1:19" s="1440" customFormat="1" ht="17.399999999999999">
      <c r="A10650" s="549"/>
      <c r="B10650" s="549"/>
      <c r="C10650" s="549"/>
      <c r="D10650" s="549"/>
      <c r="E10650" s="549"/>
      <c r="F10650" s="549"/>
      <c r="G10650" s="549"/>
      <c r="H10650" s="549"/>
      <c r="I10650" s="558"/>
      <c r="J10650" s="567"/>
      <c r="K10650" s="648"/>
      <c r="L10650" s="567"/>
      <c r="M10650" s="549"/>
      <c r="N10650" s="549"/>
      <c r="O10650" s="549"/>
      <c r="P10650" s="549"/>
    </row>
    <row r="10651" spans="1:19" s="1440" customFormat="1" ht="17.399999999999999">
      <c r="A10651" s="549"/>
      <c r="B10651" s="549"/>
      <c r="C10651" s="549"/>
      <c r="D10651" s="549"/>
      <c r="E10651" s="549"/>
      <c r="F10651" s="549"/>
      <c r="G10651" s="549"/>
      <c r="H10651" s="549"/>
      <c r="I10651" s="558"/>
      <c r="J10651" s="567"/>
      <c r="K10651" s="648"/>
      <c r="L10651" s="567"/>
      <c r="M10651" s="549"/>
      <c r="N10651" s="549"/>
      <c r="O10651" s="549"/>
      <c r="P10651" s="549"/>
    </row>
    <row r="10652" spans="1:19" s="1358" customFormat="1" ht="17.399999999999999">
      <c r="A10652" s="549"/>
      <c r="B10652" s="549"/>
      <c r="C10652" s="549"/>
      <c r="D10652" s="549"/>
      <c r="E10652" s="549"/>
      <c r="F10652" s="549"/>
      <c r="G10652" s="549"/>
      <c r="H10652" s="549"/>
      <c r="I10652" s="558"/>
      <c r="J10652" s="567"/>
      <c r="K10652" s="648"/>
      <c r="L10652" s="567"/>
      <c r="M10652" s="549"/>
      <c r="N10652" s="549"/>
      <c r="O10652" s="549"/>
      <c r="P10652" s="549"/>
    </row>
    <row r="10653" spans="1:19" ht="17.399999999999999">
      <c r="A10653" s="547" t="s">
        <v>458</v>
      </c>
      <c r="B10653" s="1124" t="s">
        <v>1265</v>
      </c>
      <c r="C10653" s="547" t="s">
        <v>446</v>
      </c>
      <c r="D10653" s="813" t="s">
        <v>450</v>
      </c>
      <c r="E10653" s="547" t="s">
        <v>270</v>
      </c>
      <c r="F10653" s="549">
        <v>10</v>
      </c>
      <c r="G10653" s="549" t="s">
        <v>61</v>
      </c>
      <c r="H10653" s="599" t="s">
        <v>131</v>
      </c>
      <c r="I10653" s="558">
        <v>7.36</v>
      </c>
      <c r="J10653" s="1444">
        <v>7.7</v>
      </c>
      <c r="K10653" s="1443">
        <v>12</v>
      </c>
      <c r="L10653" s="552">
        <f>(I10653*J10653*K10653/1000)</f>
        <v>0.68006400000000011</v>
      </c>
      <c r="M10653" s="549"/>
      <c r="N10653" s="549"/>
      <c r="O10653" s="549"/>
      <c r="P10653" s="549"/>
      <c r="Q10653" s="1487" t="s">
        <v>1305</v>
      </c>
    </row>
    <row r="10654" spans="1:19" ht="17.399999999999999">
      <c r="A10654" s="549"/>
      <c r="B10654" s="549"/>
      <c r="C10654" s="549"/>
      <c r="D10654" s="549"/>
      <c r="E10654" s="549"/>
      <c r="F10654" s="549"/>
      <c r="G10654" s="549"/>
      <c r="H10654" s="549"/>
      <c r="I10654" s="558"/>
      <c r="J10654" s="567"/>
      <c r="K10654" s="564">
        <f t="shared" ref="K10654" si="2197">SUM(K10653)</f>
        <v>12</v>
      </c>
      <c r="L10654" s="567">
        <f>SUM(L10653)</f>
        <v>0.68006400000000011</v>
      </c>
      <c r="M10654" s="549"/>
      <c r="N10654" s="549"/>
      <c r="O10654" s="549"/>
      <c r="P10654" s="549" t="s">
        <v>1271</v>
      </c>
    </row>
    <row r="10655" spans="1:19" ht="17.399999999999999">
      <c r="A10655" s="549"/>
      <c r="B10655" s="549"/>
      <c r="C10655" s="549"/>
      <c r="D10655" s="549"/>
      <c r="E10655" s="549"/>
      <c r="F10655" s="549"/>
      <c r="G10655" s="549"/>
      <c r="H10655" s="549"/>
      <c r="I10655" s="558"/>
      <c r="J10655" s="567"/>
      <c r="K10655" s="564"/>
      <c r="L10655" s="567"/>
      <c r="M10655" s="549"/>
      <c r="N10655" s="549"/>
      <c r="O10655" s="549"/>
      <c r="P10655" s="549"/>
    </row>
    <row r="10656" spans="1:19" ht="17.399999999999999">
      <c r="A10656" s="549"/>
      <c r="B10656" s="549"/>
      <c r="C10656" s="549"/>
      <c r="D10656" s="549"/>
      <c r="E10656" s="549"/>
      <c r="F10656" s="549"/>
      <c r="G10656" s="549"/>
      <c r="H10656" s="549"/>
      <c r="I10656" s="558"/>
      <c r="J10656" s="567"/>
      <c r="K10656" s="564"/>
      <c r="L10656" s="567"/>
      <c r="M10656" s="549"/>
      <c r="N10656" s="549"/>
      <c r="O10656" s="549"/>
      <c r="P10656" s="549"/>
    </row>
    <row r="10657" spans="1:17" ht="17.399999999999999">
      <c r="A10657" s="547" t="s">
        <v>458</v>
      </c>
      <c r="B10657" s="547" t="s">
        <v>1265</v>
      </c>
      <c r="C10657" s="547" t="s">
        <v>446</v>
      </c>
      <c r="D10657" s="813" t="s">
        <v>447</v>
      </c>
      <c r="E10657" s="547" t="s">
        <v>359</v>
      </c>
      <c r="F10657" s="549">
        <v>10</v>
      </c>
      <c r="G10657" s="549" t="s">
        <v>21</v>
      </c>
      <c r="H10657" s="599" t="s">
        <v>131</v>
      </c>
      <c r="I10657" s="558">
        <v>7.36</v>
      </c>
      <c r="J10657" s="1444">
        <v>7.55</v>
      </c>
      <c r="K10657" s="1443">
        <v>23</v>
      </c>
      <c r="L10657" s="552">
        <f>(I10657*J10657*K10657/1000)</f>
        <v>1.2780639999999999</v>
      </c>
      <c r="M10657" s="549"/>
      <c r="N10657" s="549"/>
      <c r="O10657" s="549"/>
      <c r="P10657" s="549"/>
      <c r="Q10657" s="1487" t="s">
        <v>1301</v>
      </c>
    </row>
    <row r="10658" spans="1:17" ht="17.399999999999999">
      <c r="A10658" s="549"/>
      <c r="B10658" s="549"/>
      <c r="C10658" s="549"/>
      <c r="D10658" s="549"/>
      <c r="E10658" s="549"/>
      <c r="F10658" s="549"/>
      <c r="G10658" s="549" t="s">
        <v>21</v>
      </c>
      <c r="H10658" s="549" t="s">
        <v>131</v>
      </c>
      <c r="I10658" s="558">
        <v>7.36</v>
      </c>
      <c r="J10658" s="1460">
        <v>10.050000000000001</v>
      </c>
      <c r="K10658" s="1461">
        <v>4</v>
      </c>
      <c r="L10658" s="552">
        <f>(I10658*J10658*K10658/1000)</f>
        <v>0.29587200000000002</v>
      </c>
      <c r="M10658" s="549"/>
      <c r="N10658" s="549"/>
      <c r="O10658" s="549"/>
      <c r="P10658" s="549"/>
    </row>
    <row r="10659" spans="1:17" ht="17.399999999999999">
      <c r="A10659" s="549"/>
      <c r="B10659" s="549"/>
      <c r="C10659" s="549"/>
      <c r="D10659" s="549"/>
      <c r="E10659" s="549"/>
      <c r="F10659" s="549"/>
      <c r="G10659" s="549" t="s">
        <v>21</v>
      </c>
      <c r="H10659" s="549" t="s">
        <v>131</v>
      </c>
      <c r="I10659" s="558">
        <v>7.36</v>
      </c>
      <c r="J10659" s="1460">
        <v>9.0500000000000007</v>
      </c>
      <c r="K10659" s="1461">
        <v>11</v>
      </c>
      <c r="L10659" s="552">
        <f>(I10659*J10659*K10659/1000)</f>
        <v>0.73268800000000012</v>
      </c>
      <c r="M10659" s="549"/>
      <c r="N10659" s="549"/>
      <c r="O10659" s="549"/>
      <c r="P10659" s="549"/>
    </row>
    <row r="10660" spans="1:17" ht="17.399999999999999">
      <c r="A10660" s="549"/>
      <c r="B10660" s="549"/>
      <c r="C10660" s="549"/>
      <c r="D10660" s="549"/>
      <c r="E10660" s="549"/>
      <c r="F10660" s="549"/>
      <c r="G10660" s="549"/>
      <c r="H10660" s="549"/>
      <c r="I10660" s="558"/>
      <c r="J10660" s="1444"/>
      <c r="K10660" s="1443">
        <f>SUM(K10657:K10659)</f>
        <v>38</v>
      </c>
      <c r="L10660" s="552">
        <f>SUM(L10657:L10659)</f>
        <v>2.3066239999999998</v>
      </c>
      <c r="M10660" s="549"/>
      <c r="N10660" s="549"/>
      <c r="O10660" s="549"/>
      <c r="P10660" s="549" t="s">
        <v>1269</v>
      </c>
    </row>
    <row r="10661" spans="1:17" ht="17.399999999999999">
      <c r="A10661" s="549"/>
      <c r="B10661" s="549"/>
      <c r="C10661" s="549"/>
      <c r="D10661" s="549"/>
      <c r="E10661" s="549"/>
      <c r="F10661" s="549"/>
      <c r="G10661" s="549"/>
      <c r="H10661" s="549"/>
      <c r="I10661" s="558"/>
      <c r="J10661" s="567"/>
      <c r="K10661" s="648"/>
      <c r="L10661" s="567"/>
      <c r="M10661" s="549"/>
      <c r="N10661" s="549"/>
      <c r="O10661" s="549"/>
      <c r="P10661" s="549"/>
    </row>
    <row r="10662" spans="1:17" s="1440" customFormat="1" ht="17.399999999999999">
      <c r="A10662" s="549"/>
      <c r="B10662" s="549"/>
      <c r="C10662" s="549"/>
      <c r="D10662" s="549"/>
      <c r="E10662" s="549"/>
      <c r="F10662" s="549"/>
      <c r="G10662" s="549"/>
      <c r="H10662" s="549"/>
      <c r="I10662" s="558"/>
      <c r="J10662" s="567"/>
      <c r="K10662" s="648"/>
      <c r="L10662" s="567"/>
      <c r="M10662" s="549"/>
      <c r="N10662" s="549"/>
      <c r="O10662" s="549"/>
      <c r="P10662" s="549"/>
    </row>
    <row r="10663" spans="1:17" s="1440" customFormat="1" ht="17.399999999999999">
      <c r="A10663" s="547" t="s">
        <v>458</v>
      </c>
      <c r="B10663" s="547" t="s">
        <v>1265</v>
      </c>
      <c r="C10663" s="547" t="s">
        <v>19</v>
      </c>
      <c r="D10663" s="813" t="s">
        <v>49</v>
      </c>
      <c r="E10663" s="547" t="s">
        <v>359</v>
      </c>
      <c r="F10663" s="549">
        <v>10</v>
      </c>
      <c r="G10663" s="549" t="s">
        <v>21</v>
      </c>
      <c r="H10663" s="599" t="s">
        <v>131</v>
      </c>
      <c r="I10663" s="558">
        <v>7.36</v>
      </c>
      <c r="J10663" s="1461">
        <v>10.25</v>
      </c>
      <c r="K10663" s="1461">
        <v>2</v>
      </c>
      <c r="L10663" s="552">
        <f>(I10663*J10663*K10663/1000)</f>
        <v>0.15087999999999999</v>
      </c>
      <c r="M10663" s="549"/>
      <c r="N10663" s="549"/>
      <c r="O10663" s="549"/>
      <c r="P10663" s="549"/>
      <c r="Q10663" s="1487" t="s">
        <v>1297</v>
      </c>
    </row>
    <row r="10664" spans="1:17" s="1440" customFormat="1" ht="17.399999999999999">
      <c r="A10664" s="549"/>
      <c r="B10664" s="549" t="s">
        <v>277</v>
      </c>
      <c r="C10664" s="549"/>
      <c r="D10664" s="549"/>
      <c r="E10664" s="549"/>
      <c r="F10664" s="549"/>
      <c r="G10664" s="549"/>
      <c r="H10664" s="549"/>
      <c r="I10664" s="558"/>
      <c r="J10664" s="567"/>
      <c r="K10664" s="564">
        <f t="shared" ref="K10664:L10664" si="2198">SUM(K10663)</f>
        <v>2</v>
      </c>
      <c r="L10664" s="567">
        <f t="shared" si="2198"/>
        <v>0.15087999999999999</v>
      </c>
      <c r="M10664" s="549"/>
      <c r="N10664" s="549"/>
      <c r="O10664" s="549"/>
      <c r="P10664" s="549" t="s">
        <v>1280</v>
      </c>
    </row>
    <row r="10665" spans="1:17" s="1440" customFormat="1" ht="17.399999999999999">
      <c r="A10665" s="549"/>
      <c r="B10665" s="549"/>
      <c r="C10665" s="549"/>
      <c r="D10665" s="549"/>
      <c r="E10665" s="549"/>
      <c r="F10665" s="549"/>
      <c r="G10665" s="549"/>
      <c r="H10665" s="549"/>
      <c r="I10665" s="558"/>
      <c r="J10665" s="567"/>
      <c r="K10665" s="648"/>
      <c r="L10665" s="567"/>
      <c r="M10665" s="549"/>
      <c r="N10665" s="549"/>
      <c r="O10665" s="549"/>
      <c r="P10665" s="549"/>
    </row>
    <row r="10666" spans="1:17" s="1440" customFormat="1" ht="17.399999999999999">
      <c r="A10666" s="547" t="s">
        <v>458</v>
      </c>
      <c r="B10666" s="547" t="s">
        <v>1265</v>
      </c>
      <c r="C10666" s="547" t="s">
        <v>19</v>
      </c>
      <c r="D10666" s="813" t="s">
        <v>155</v>
      </c>
      <c r="E10666" s="547" t="s">
        <v>270</v>
      </c>
      <c r="F10666" s="549">
        <v>10</v>
      </c>
      <c r="G10666" s="549" t="s">
        <v>61</v>
      </c>
      <c r="H10666" s="599" t="s">
        <v>131</v>
      </c>
      <c r="I10666" s="558">
        <v>7.36</v>
      </c>
      <c r="J10666" s="1462">
        <v>9.5</v>
      </c>
      <c r="K10666" s="1461">
        <v>12</v>
      </c>
      <c r="L10666" s="552">
        <f>(I10666*J10666*K10666/1000)</f>
        <v>0.83904000000000001</v>
      </c>
      <c r="M10666" s="549"/>
      <c r="N10666" s="549"/>
      <c r="O10666" s="549"/>
      <c r="P10666" s="549"/>
    </row>
    <row r="10667" spans="1:17" s="1440" customFormat="1" ht="17.399999999999999">
      <c r="A10667" s="549"/>
      <c r="B10667" s="549" t="s">
        <v>277</v>
      </c>
      <c r="C10667" s="549"/>
      <c r="D10667" s="549"/>
      <c r="E10667" s="549"/>
      <c r="F10667" s="549"/>
      <c r="G10667" s="549"/>
      <c r="H10667" s="549"/>
      <c r="I10667" s="558"/>
      <c r="J10667" s="567"/>
      <c r="K10667" s="564">
        <f t="shared" ref="K10667:L10667" si="2199">SUM(K10666)</f>
        <v>12</v>
      </c>
      <c r="L10667" s="567">
        <f t="shared" si="2199"/>
        <v>0.83904000000000001</v>
      </c>
      <c r="M10667" s="549"/>
      <c r="N10667" s="549"/>
      <c r="O10667" s="549"/>
      <c r="P10667" s="549" t="s">
        <v>1281</v>
      </c>
      <c r="Q10667" s="1487" t="s">
        <v>1299</v>
      </c>
    </row>
    <row r="10668" spans="1:17" s="1440" customFormat="1" ht="17.399999999999999">
      <c r="A10668" s="549"/>
      <c r="B10668" s="549"/>
      <c r="C10668" s="549"/>
      <c r="D10668" s="549"/>
      <c r="E10668" s="549"/>
      <c r="F10668" s="549"/>
      <c r="G10668" s="549"/>
      <c r="H10668" s="549"/>
      <c r="I10668" s="558"/>
      <c r="J10668" s="567"/>
      <c r="K10668" s="648"/>
      <c r="L10668" s="567"/>
      <c r="M10668" s="549"/>
      <c r="N10668" s="549"/>
      <c r="O10668" s="549"/>
      <c r="P10668" s="549"/>
    </row>
    <row r="10669" spans="1:17" s="1440" customFormat="1" ht="17.399999999999999">
      <c r="A10669" s="547" t="s">
        <v>458</v>
      </c>
      <c r="B10669" s="547" t="s">
        <v>1265</v>
      </c>
      <c r="C10669" s="547" t="s">
        <v>19</v>
      </c>
      <c r="D10669" s="813" t="s">
        <v>155</v>
      </c>
      <c r="E10669" s="547" t="s">
        <v>270</v>
      </c>
      <c r="F10669" s="549">
        <v>10</v>
      </c>
      <c r="G10669" s="549" t="s">
        <v>61</v>
      </c>
      <c r="H10669" s="599" t="s">
        <v>130</v>
      </c>
      <c r="I10669" s="558">
        <v>6.17</v>
      </c>
      <c r="J10669" s="1462">
        <v>7.5</v>
      </c>
      <c r="K10669" s="1461">
        <v>5</v>
      </c>
      <c r="L10669" s="552">
        <f>(I10669*J10669*K10669/1000)</f>
        <v>0.231375</v>
      </c>
      <c r="M10669" s="549"/>
      <c r="N10669" s="549"/>
      <c r="O10669" s="549"/>
      <c r="P10669" s="549"/>
      <c r="Q10669" s="1487" t="s">
        <v>1299</v>
      </c>
    </row>
    <row r="10670" spans="1:17" s="1440" customFormat="1" ht="17.399999999999999">
      <c r="A10670" s="549"/>
      <c r="B10670" s="549" t="s">
        <v>277</v>
      </c>
      <c r="C10670" s="549"/>
      <c r="D10670" s="549"/>
      <c r="E10670" s="549"/>
      <c r="F10670" s="549"/>
      <c r="G10670" s="549"/>
      <c r="H10670" s="549"/>
      <c r="I10670" s="558"/>
      <c r="J10670" s="567"/>
      <c r="K10670" s="564">
        <f t="shared" ref="K10670" si="2200">SUM(K10669)</f>
        <v>5</v>
      </c>
      <c r="L10670" s="567">
        <f>SUM(L10669)</f>
        <v>0.231375</v>
      </c>
      <c r="M10670" s="549"/>
      <c r="N10670" s="549"/>
      <c r="O10670" s="549"/>
      <c r="P10670" s="549" t="s">
        <v>1282</v>
      </c>
    </row>
    <row r="10671" spans="1:17" s="1440" customFormat="1" ht="17.399999999999999">
      <c r="A10671" s="549"/>
      <c r="B10671" s="549"/>
      <c r="C10671" s="549"/>
      <c r="D10671" s="549"/>
      <c r="E10671" s="549"/>
      <c r="F10671" s="549"/>
      <c r="G10671" s="549"/>
      <c r="H10671" s="549"/>
      <c r="I10671" s="558"/>
      <c r="J10671" s="567"/>
      <c r="K10671" s="648"/>
      <c r="L10671" s="567"/>
      <c r="M10671" s="549"/>
      <c r="N10671" s="549"/>
      <c r="O10671" s="549"/>
      <c r="P10671" s="549"/>
    </row>
    <row r="10672" spans="1:17" s="1440" customFormat="1" ht="17.399999999999999">
      <c r="A10672" s="549"/>
      <c r="B10672" s="549"/>
      <c r="C10672" s="549"/>
      <c r="D10672" s="549"/>
      <c r="E10672" s="549"/>
      <c r="F10672" s="549"/>
      <c r="G10672" s="549"/>
      <c r="H10672" s="549"/>
      <c r="I10672" s="558"/>
      <c r="J10672" s="567"/>
      <c r="K10672" s="648"/>
      <c r="L10672" s="567"/>
      <c r="M10672" s="549"/>
      <c r="N10672" s="549"/>
      <c r="O10672" s="549"/>
      <c r="P10672" s="549"/>
    </row>
    <row r="10673" spans="1:16" s="1440" customFormat="1" ht="17.399999999999999">
      <c r="A10673" s="549"/>
      <c r="B10673" s="549"/>
      <c r="C10673" s="549"/>
      <c r="D10673" s="549"/>
      <c r="E10673" s="549"/>
      <c r="F10673" s="549"/>
      <c r="G10673" s="549"/>
      <c r="H10673" s="549"/>
      <c r="I10673" s="558"/>
      <c r="J10673" s="567"/>
      <c r="K10673" s="648"/>
      <c r="L10673" s="567"/>
      <c r="M10673" s="549"/>
      <c r="N10673" s="549"/>
      <c r="O10673" s="549"/>
      <c r="P10673" s="549"/>
    </row>
    <row r="10674" spans="1:16" s="1440" customFormat="1">
      <c r="A10674" s="1441"/>
      <c r="B10674" s="1441"/>
      <c r="C10674" s="1441"/>
      <c r="D10674" s="1441"/>
      <c r="E10674" s="1441"/>
      <c r="F10674" s="1441"/>
      <c r="G10674" s="1441"/>
      <c r="H10674" s="1441"/>
      <c r="I10674" s="1861"/>
      <c r="J10674" s="1441"/>
      <c r="K10674" s="429"/>
      <c r="L10674" s="1458"/>
      <c r="M10674" s="1441"/>
      <c r="N10674" s="1441"/>
      <c r="O10674" s="1441"/>
      <c r="P10674" s="1441"/>
    </row>
    <row r="10675" spans="1:16">
      <c r="A10675" s="1441"/>
      <c r="B10675" s="1441"/>
      <c r="C10675" s="1441"/>
      <c r="D10675" s="1441"/>
      <c r="E10675" s="1441"/>
      <c r="F10675" s="1441"/>
      <c r="G10675" s="1441"/>
      <c r="H10675" s="1441"/>
      <c r="I10675" s="1861"/>
      <c r="J10675" s="1441"/>
      <c r="K10675" s="429"/>
      <c r="L10675" s="596">
        <f>+L10630+L10620+L10616+L10608+L10604+L10592+L10587+L10581+L10574+L10570+L10649+L10642+L10639+L10670+L10667+L10664+L10660+L10654</f>
        <v>371.51969050000002</v>
      </c>
      <c r="M10675" s="1441"/>
      <c r="N10675" s="267">
        <f>+N10630+N10620+N10616+N10608+N10604+N10592+N10587+N10581+N10574+N10570</f>
        <v>19.040195000000001</v>
      </c>
      <c r="O10675" s="1441"/>
      <c r="P10675" s="1441"/>
    </row>
    <row r="10676" spans="1:16" ht="18">
      <c r="A10676" s="653" t="s">
        <v>48</v>
      </c>
      <c r="B10676" s="653"/>
      <c r="C10676" s="654"/>
      <c r="D10676" s="654"/>
      <c r="E10676" s="654"/>
      <c r="F10676" s="1457"/>
      <c r="G10676" s="654"/>
      <c r="H10676" s="1457"/>
      <c r="I10676" s="656"/>
      <c r="J10676" s="654"/>
      <c r="K10676" s="657"/>
      <c r="L10676" s="2003" t="s">
        <v>0</v>
      </c>
      <c r="M10676" s="2003"/>
      <c r="N10676" s="2003"/>
      <c r="O10676" s="2004"/>
      <c r="P10676" s="1097"/>
    </row>
    <row r="10677" spans="1:16" ht="18">
      <c r="A10677" s="658" t="s">
        <v>1</v>
      </c>
      <c r="B10677" s="658"/>
      <c r="C10677" s="658"/>
      <c r="D10677" s="659" t="s">
        <v>2</v>
      </c>
      <c r="E10677" s="659"/>
      <c r="F10677" s="660"/>
      <c r="G10677" s="660"/>
      <c r="H10677" s="660"/>
      <c r="I10677" s="661"/>
      <c r="J10677" s="660"/>
      <c r="K10677" s="662" t="s">
        <v>3</v>
      </c>
      <c r="L10677" s="660"/>
      <c r="M10677" s="658"/>
      <c r="N10677" s="660"/>
      <c r="O10677" s="663"/>
      <c r="P10677" s="1098"/>
    </row>
    <row r="10678" spans="1:16" ht="18">
      <c r="A10678" s="1457" t="s">
        <v>22</v>
      </c>
      <c r="B10678" s="1990" t="s">
        <v>23</v>
      </c>
      <c r="C10678" s="2005"/>
      <c r="D10678" s="1989"/>
      <c r="E10678" s="1457" t="s">
        <v>24</v>
      </c>
      <c r="F10678" s="1990" t="s">
        <v>25</v>
      </c>
      <c r="G10678" s="1989"/>
      <c r="H10678" s="1990" t="s">
        <v>26</v>
      </c>
      <c r="I10678" s="2005"/>
      <c r="J10678" s="2005"/>
      <c r="K10678" s="1989"/>
      <c r="L10678" s="2006" t="s">
        <v>27</v>
      </c>
      <c r="M10678" s="2006"/>
      <c r="N10678" s="2006"/>
      <c r="O10678" s="1990"/>
      <c r="P10678" s="1098"/>
    </row>
    <row r="10679" spans="1:16" ht="18">
      <c r="A10679" s="664"/>
      <c r="B10679" s="1975"/>
      <c r="C10679" s="1976"/>
      <c r="D10679" s="1977"/>
      <c r="E10679" s="665"/>
      <c r="F10679" s="1975"/>
      <c r="G10679" s="1977"/>
      <c r="H10679" s="1975"/>
      <c r="I10679" s="1976"/>
      <c r="J10679" s="1976"/>
      <c r="K10679" s="1977"/>
      <c r="L10679" s="1975"/>
      <c r="M10679" s="1976"/>
      <c r="N10679" s="1976"/>
      <c r="O10679" s="1976"/>
      <c r="P10679" s="1098"/>
    </row>
    <row r="10680" spans="1:16" ht="18">
      <c r="A10680" s="664"/>
      <c r="B10680" s="1449"/>
      <c r="C10680" s="1450"/>
      <c r="D10680" s="1451"/>
      <c r="E10680" s="665"/>
      <c r="F10680" s="1449"/>
      <c r="G10680" s="1451"/>
      <c r="H10680" s="1449"/>
      <c r="I10680" s="1842"/>
      <c r="J10680" s="1450"/>
      <c r="K10680" s="1451"/>
      <c r="L10680" s="1450"/>
      <c r="M10680" s="1450"/>
      <c r="N10680" s="1450"/>
      <c r="O10680" s="1450"/>
      <c r="P10680" s="1098"/>
    </row>
    <row r="10681" spans="1:16" ht="18">
      <c r="A10681" s="664" t="s">
        <v>28</v>
      </c>
      <c r="B10681" s="1975" t="s">
        <v>895</v>
      </c>
      <c r="C10681" s="1976"/>
      <c r="D10681" s="1977"/>
      <c r="E10681" s="665">
        <f>+L10570</f>
        <v>51.84366</v>
      </c>
      <c r="F10681" s="1975">
        <v>8</v>
      </c>
      <c r="G10681" s="1977"/>
      <c r="H10681" s="2007" t="s">
        <v>896</v>
      </c>
      <c r="I10681" s="2007"/>
      <c r="J10681" s="2007"/>
      <c r="K10681" s="2007"/>
      <c r="L10681" s="1976" t="s">
        <v>1138</v>
      </c>
      <c r="M10681" s="1976"/>
      <c r="N10681" s="1976"/>
      <c r="O10681" s="1976"/>
      <c r="P10681" s="1098"/>
    </row>
    <row r="10682" spans="1:16" ht="18">
      <c r="A10682" s="664"/>
      <c r="B10682" s="1975"/>
      <c r="C10682" s="1976"/>
      <c r="D10682" s="1977"/>
      <c r="E10682" s="665"/>
      <c r="F10682" s="1973"/>
      <c r="G10682" s="1974"/>
      <c r="H10682" s="1975"/>
      <c r="I10682" s="1976"/>
      <c r="J10682" s="1976"/>
      <c r="K10682" s="1977"/>
      <c r="L10682" s="1976"/>
      <c r="M10682" s="1976"/>
      <c r="N10682" s="1976"/>
      <c r="O10682" s="1976"/>
      <c r="P10682" s="1098"/>
    </row>
    <row r="10683" spans="1:16" ht="18">
      <c r="A10683" s="664" t="s">
        <v>29</v>
      </c>
      <c r="B10683" s="1975" t="s">
        <v>198</v>
      </c>
      <c r="C10683" s="1976"/>
      <c r="D10683" s="1977"/>
      <c r="E10683" s="665">
        <f>+L10581</f>
        <v>54.375680000000003</v>
      </c>
      <c r="F10683" s="1973">
        <v>10</v>
      </c>
      <c r="G10683" s="1974"/>
      <c r="H10683" s="1975" t="s">
        <v>49</v>
      </c>
      <c r="I10683" s="1976"/>
      <c r="J10683" s="1976"/>
      <c r="K10683" s="1977"/>
      <c r="L10683" s="1976" t="s">
        <v>1046</v>
      </c>
      <c r="M10683" s="1976"/>
      <c r="N10683" s="1976"/>
      <c r="O10683" s="1976"/>
      <c r="P10683" s="1098"/>
    </row>
    <row r="10684" spans="1:16" ht="18">
      <c r="A10684" s="664" t="s">
        <v>30</v>
      </c>
      <c r="B10684" s="1975" t="s">
        <v>199</v>
      </c>
      <c r="C10684" s="1976"/>
      <c r="D10684" s="1977"/>
      <c r="E10684" s="665">
        <f>+L10587-17.45</f>
        <v>17.191156500000002</v>
      </c>
      <c r="F10684" s="1973">
        <v>10</v>
      </c>
      <c r="G10684" s="1974"/>
      <c r="H10684" s="1975" t="s">
        <v>49</v>
      </c>
      <c r="I10684" s="1976"/>
      <c r="J10684" s="1976"/>
      <c r="K10684" s="1977"/>
      <c r="L10684" s="1976" t="s">
        <v>1046</v>
      </c>
      <c r="M10684" s="1976"/>
      <c r="N10684" s="1976"/>
      <c r="O10684" s="1976"/>
      <c r="P10684" s="1098"/>
    </row>
    <row r="10685" spans="1:16" ht="18">
      <c r="A10685" s="664"/>
      <c r="B10685" s="1449"/>
      <c r="C10685" s="1450"/>
      <c r="D10685" s="1451"/>
      <c r="E10685" s="665"/>
      <c r="F10685" s="1452"/>
      <c r="G10685" s="1453"/>
      <c r="H10685" s="1449"/>
      <c r="I10685" s="1842"/>
      <c r="J10685" s="1450"/>
      <c r="K10685" s="1451"/>
      <c r="L10685" s="1450"/>
      <c r="M10685" s="1450"/>
      <c r="N10685" s="1450"/>
      <c r="O10685" s="1450"/>
      <c r="P10685" s="1098"/>
    </row>
    <row r="10686" spans="1:16" ht="18">
      <c r="A10686" s="664"/>
      <c r="B10686" s="1449"/>
      <c r="C10686" s="1450"/>
      <c r="D10686" s="1451"/>
      <c r="E10686" s="665"/>
      <c r="F10686" s="1452"/>
      <c r="G10686" s="1453"/>
      <c r="H10686" s="1449"/>
      <c r="I10686" s="1842"/>
      <c r="J10686" s="1450"/>
      <c r="K10686" s="1451"/>
      <c r="L10686" s="1450"/>
      <c r="M10686" s="1450"/>
      <c r="N10686" s="1450"/>
      <c r="O10686" s="1450"/>
      <c r="P10686" s="1098"/>
    </row>
    <row r="10687" spans="1:16" ht="18">
      <c r="A10687" s="664" t="s">
        <v>46</v>
      </c>
      <c r="B10687" s="1975" t="s">
        <v>199</v>
      </c>
      <c r="C10687" s="1976"/>
      <c r="D10687" s="1977"/>
      <c r="E10687" s="665">
        <f>+L10592+L10639+17.45</f>
        <v>33.794330000000002</v>
      </c>
      <c r="F10687" s="1973">
        <v>10</v>
      </c>
      <c r="G10687" s="1974"/>
      <c r="H10687" s="1975" t="s">
        <v>447</v>
      </c>
      <c r="I10687" s="1976"/>
      <c r="J10687" s="1976"/>
      <c r="K10687" s="1977"/>
      <c r="L10687" s="1976" t="s">
        <v>1046</v>
      </c>
      <c r="M10687" s="1976"/>
      <c r="N10687" s="1976"/>
      <c r="O10687" s="1976"/>
      <c r="P10687" s="1098"/>
    </row>
    <row r="10688" spans="1:16" ht="18">
      <c r="A10688" s="664" t="s">
        <v>58</v>
      </c>
      <c r="B10688" s="1975" t="s">
        <v>198</v>
      </c>
      <c r="C10688" s="1976"/>
      <c r="D10688" s="1977"/>
      <c r="E10688" s="665">
        <f>+L10604+L10642+L10660+L10664</f>
        <v>59.929168000000004</v>
      </c>
      <c r="F10688" s="1973">
        <v>10</v>
      </c>
      <c r="G10688" s="1974"/>
      <c r="H10688" s="1975" t="s">
        <v>447</v>
      </c>
      <c r="I10688" s="1976"/>
      <c r="J10688" s="1976"/>
      <c r="K10688" s="1977"/>
      <c r="L10688" s="1976" t="s">
        <v>1046</v>
      </c>
      <c r="M10688" s="1976"/>
      <c r="N10688" s="1976"/>
      <c r="O10688" s="1976"/>
      <c r="P10688" s="1098"/>
    </row>
    <row r="10689" spans="1:16" ht="18">
      <c r="A10689" s="664" t="s">
        <v>163</v>
      </c>
      <c r="B10689" s="1975" t="s">
        <v>1266</v>
      </c>
      <c r="C10689" s="1976"/>
      <c r="D10689" s="1977"/>
      <c r="E10689" s="665">
        <v>2</v>
      </c>
      <c r="F10689" s="1973">
        <v>10</v>
      </c>
      <c r="G10689" s="1974"/>
      <c r="H10689" s="1975" t="s">
        <v>447</v>
      </c>
      <c r="I10689" s="1976"/>
      <c r="J10689" s="1976"/>
      <c r="K10689" s="1977"/>
      <c r="L10689" s="1976" t="s">
        <v>1046</v>
      </c>
      <c r="M10689" s="1976"/>
      <c r="N10689" s="1976"/>
      <c r="O10689" s="1976"/>
      <c r="P10689" s="1098"/>
    </row>
    <row r="10690" spans="1:16" ht="18">
      <c r="A10690" s="664"/>
      <c r="B10690" s="1449"/>
      <c r="C10690" s="1450"/>
      <c r="D10690" s="1451"/>
      <c r="E10690" s="665"/>
      <c r="F10690" s="1452"/>
      <c r="G10690" s="1453"/>
      <c r="H10690" s="1449"/>
      <c r="I10690" s="1842"/>
      <c r="J10690" s="1450"/>
      <c r="K10690" s="1451"/>
      <c r="L10690" s="1450"/>
      <c r="M10690" s="1450"/>
      <c r="N10690" s="1450"/>
      <c r="O10690" s="1450"/>
      <c r="P10690" s="1098"/>
    </row>
    <row r="10691" spans="1:16" ht="18">
      <c r="A10691" s="664"/>
      <c r="B10691" s="1449"/>
      <c r="C10691" s="1450"/>
      <c r="D10691" s="1451"/>
      <c r="E10691" s="665"/>
      <c r="F10691" s="1452"/>
      <c r="G10691" s="1453"/>
      <c r="H10691" s="1449"/>
      <c r="I10691" s="1842"/>
      <c r="J10691" s="1450"/>
      <c r="K10691" s="1451"/>
      <c r="L10691" s="1450"/>
      <c r="M10691" s="1450"/>
      <c r="N10691" s="1450"/>
      <c r="O10691" s="1450"/>
      <c r="P10691" s="1098"/>
    </row>
    <row r="10692" spans="1:16" ht="18">
      <c r="A10692" s="664" t="s">
        <v>302</v>
      </c>
      <c r="B10692" s="1975" t="s">
        <v>595</v>
      </c>
      <c r="C10692" s="1976"/>
      <c r="D10692" s="1977"/>
      <c r="E10692" s="665">
        <f>+L10616+L10667+L10654</f>
        <v>12.238208</v>
      </c>
      <c r="F10692" s="1973">
        <v>10</v>
      </c>
      <c r="G10692" s="1974"/>
      <c r="H10692" s="1975" t="s">
        <v>450</v>
      </c>
      <c r="I10692" s="1976"/>
      <c r="J10692" s="1976"/>
      <c r="K10692" s="1977"/>
      <c r="L10692" s="1976" t="s">
        <v>1138</v>
      </c>
      <c r="M10692" s="1976"/>
      <c r="N10692" s="1976"/>
      <c r="O10692" s="1976"/>
      <c r="P10692" s="1098"/>
    </row>
    <row r="10693" spans="1:16" ht="18">
      <c r="A10693" s="664" t="s">
        <v>380</v>
      </c>
      <c r="B10693" s="1975" t="s">
        <v>570</v>
      </c>
      <c r="C10693" s="1976"/>
      <c r="D10693" s="1977"/>
      <c r="E10693" s="665">
        <f>+L10620+L10649+L10670</f>
        <v>13.950369999999999</v>
      </c>
      <c r="F10693" s="1973">
        <v>10</v>
      </c>
      <c r="G10693" s="1974"/>
      <c r="H10693" s="1975" t="s">
        <v>450</v>
      </c>
      <c r="I10693" s="1976"/>
      <c r="J10693" s="1976"/>
      <c r="K10693" s="1977"/>
      <c r="L10693" s="1976" t="s">
        <v>1138</v>
      </c>
      <c r="M10693" s="1976"/>
      <c r="N10693" s="1976"/>
      <c r="O10693" s="1976"/>
      <c r="P10693" s="1098"/>
    </row>
    <row r="10694" spans="1:16" ht="18">
      <c r="A10694" s="664"/>
      <c r="B10694" s="1449"/>
      <c r="C10694" s="1450"/>
      <c r="D10694" s="1451"/>
      <c r="E10694" s="665"/>
      <c r="F10694" s="1452"/>
      <c r="G10694" s="1453"/>
      <c r="H10694" s="1449"/>
      <c r="I10694" s="1842"/>
      <c r="J10694" s="1450"/>
      <c r="K10694" s="1451"/>
      <c r="L10694" s="1450"/>
      <c r="M10694" s="1450"/>
      <c r="N10694" s="1450"/>
      <c r="O10694" s="1450"/>
      <c r="P10694" s="1098"/>
    </row>
    <row r="10695" spans="1:16" ht="18">
      <c r="A10695" s="664"/>
      <c r="B10695" s="1449"/>
      <c r="C10695" s="1450"/>
      <c r="D10695" s="1451"/>
      <c r="E10695" s="665"/>
      <c r="F10695" s="1452"/>
      <c r="G10695" s="1453"/>
      <c r="H10695" s="1449"/>
      <c r="I10695" s="1842"/>
      <c r="J10695" s="1450"/>
      <c r="K10695" s="1451"/>
      <c r="L10695" s="1450"/>
      <c r="M10695" s="1450"/>
      <c r="N10695" s="1450"/>
      <c r="O10695" s="1450"/>
      <c r="P10695" s="1098"/>
    </row>
    <row r="10696" spans="1:16" ht="18">
      <c r="A10696" s="664" t="s">
        <v>434</v>
      </c>
      <c r="B10696" s="1975" t="s">
        <v>198</v>
      </c>
      <c r="C10696" s="1976"/>
      <c r="D10696" s="1977"/>
      <c r="E10696" s="665">
        <f>+L10630</f>
        <v>125.497118</v>
      </c>
      <c r="F10696" s="1973">
        <v>10</v>
      </c>
      <c r="G10696" s="1974"/>
      <c r="H10696" s="1975" t="s">
        <v>49</v>
      </c>
      <c r="I10696" s="1976"/>
      <c r="J10696" s="1976"/>
      <c r="K10696" s="1977"/>
      <c r="L10696" s="1976" t="s">
        <v>1237</v>
      </c>
      <c r="M10696" s="1976"/>
      <c r="N10696" s="1976"/>
      <c r="O10696" s="1976"/>
      <c r="P10696" s="1098"/>
    </row>
    <row r="10697" spans="1:16" ht="18">
      <c r="A10697" s="664"/>
      <c r="B10697" s="1975"/>
      <c r="C10697" s="1976"/>
      <c r="D10697" s="1977"/>
      <c r="E10697" s="665"/>
      <c r="F10697" s="1973"/>
      <c r="G10697" s="1974"/>
      <c r="H10697" s="1975"/>
      <c r="I10697" s="1976"/>
      <c r="J10697" s="1976"/>
      <c r="K10697" s="1977"/>
      <c r="L10697" s="1976"/>
      <c r="M10697" s="1976"/>
      <c r="N10697" s="1976"/>
      <c r="O10697" s="1976"/>
      <c r="P10697" s="1098"/>
    </row>
    <row r="10698" spans="1:16" ht="18.600000000000001" thickBot="1">
      <c r="A10698" s="664"/>
      <c r="B10698" s="1449"/>
      <c r="C10698" s="1450"/>
      <c r="D10698" s="1450"/>
      <c r="E10698" s="665"/>
      <c r="F10698" s="1450"/>
      <c r="G10698" s="1451"/>
      <c r="H10698" s="1449"/>
      <c r="I10698" s="1842"/>
      <c r="J10698" s="1450"/>
      <c r="K10698" s="669"/>
      <c r="L10698" s="672"/>
      <c r="M10698" s="673"/>
      <c r="N10698" s="673"/>
      <c r="O10698" s="673"/>
      <c r="P10698" s="1098"/>
    </row>
    <row r="10699" spans="1:16" ht="18">
      <c r="A10699" s="674"/>
      <c r="B10699" s="675"/>
      <c r="C10699" s="676"/>
      <c r="D10699" s="676"/>
      <c r="E10699" s="1980">
        <f>SUM(E10679:E10698)</f>
        <v>370.81969049999998</v>
      </c>
      <c r="F10699" s="677"/>
      <c r="G10699" s="678"/>
      <c r="H10699" s="679"/>
      <c r="I10699" s="1848"/>
      <c r="J10699" s="676"/>
      <c r="K10699" s="680"/>
      <c r="L10699" s="679"/>
      <c r="M10699" s="676"/>
      <c r="N10699" s="677"/>
      <c r="O10699" s="676"/>
      <c r="P10699" s="1098"/>
    </row>
    <row r="10700" spans="1:16" ht="18.600000000000001" thickBot="1">
      <c r="A10700" s="681"/>
      <c r="B10700" s="682"/>
      <c r="C10700" s="683"/>
      <c r="D10700" s="683"/>
      <c r="E10700" s="1981"/>
      <c r="F10700" s="684"/>
      <c r="G10700" s="685"/>
      <c r="H10700" s="686"/>
      <c r="I10700" s="1850"/>
      <c r="J10700" s="683"/>
      <c r="K10700" s="687"/>
      <c r="L10700" s="686"/>
      <c r="M10700" s="683"/>
      <c r="N10700" s="684"/>
      <c r="O10700" s="683"/>
      <c r="P10700" s="1098"/>
    </row>
    <row r="10701" spans="1:16" ht="18">
      <c r="A10701" s="688" t="s">
        <v>31</v>
      </c>
      <c r="B10701" s="676"/>
      <c r="C10701" s="676"/>
      <c r="D10701" s="676"/>
      <c r="E10701" s="676"/>
      <c r="F10701" s="677"/>
      <c r="G10701" s="676"/>
      <c r="H10701" s="677"/>
      <c r="I10701" s="1848"/>
      <c r="J10701" s="676"/>
      <c r="K10701" s="689"/>
      <c r="L10701" s="677"/>
      <c r="M10701" s="676"/>
      <c r="N10701" s="677"/>
      <c r="O10701" s="676"/>
      <c r="P10701" s="1098"/>
    </row>
    <row r="10702" spans="1:16" ht="18">
      <c r="A10702" s="690"/>
      <c r="B10702" s="691"/>
      <c r="C10702" s="691"/>
      <c r="D10702" s="691"/>
      <c r="E10702" s="691"/>
      <c r="F10702" s="1448"/>
      <c r="G10702" s="691"/>
      <c r="H10702" s="1448"/>
      <c r="I10702" s="1849"/>
      <c r="J10702" s="691"/>
      <c r="K10702" s="693"/>
      <c r="L10702" s="1448"/>
      <c r="M10702" s="691"/>
      <c r="N10702" s="1448"/>
      <c r="O10702" s="691"/>
      <c r="P10702" s="1098"/>
    </row>
    <row r="10703" spans="1:16" ht="18.600000000000001" thickBot="1">
      <c r="A10703" s="1982" t="s">
        <v>32</v>
      </c>
      <c r="B10703" s="1983"/>
      <c r="C10703" s="1984" t="s">
        <v>33</v>
      </c>
      <c r="D10703" s="1985"/>
      <c r="E10703" s="694" t="s">
        <v>34</v>
      </c>
      <c r="F10703" s="694" t="s">
        <v>35</v>
      </c>
      <c r="G10703" s="1986" t="s">
        <v>36</v>
      </c>
      <c r="H10703" s="1987"/>
      <c r="I10703" s="1987"/>
      <c r="J10703" s="1987"/>
      <c r="K10703" s="1987"/>
      <c r="L10703" s="1987"/>
      <c r="M10703" s="1987"/>
      <c r="N10703" s="1987"/>
      <c r="O10703" s="1987"/>
      <c r="P10703" s="1098"/>
    </row>
    <row r="10704" spans="1:16" ht="18">
      <c r="A10704" s="1988"/>
      <c r="B10704" s="1989"/>
      <c r="C10704" s="1990"/>
      <c r="D10704" s="1989"/>
      <c r="E10704" s="1457"/>
      <c r="F10704" s="1454"/>
      <c r="G10704" s="1991"/>
      <c r="H10704" s="1992"/>
      <c r="I10704" s="1992"/>
      <c r="J10704" s="1992"/>
      <c r="K10704" s="1992"/>
      <c r="L10704" s="1992"/>
      <c r="M10704" s="1992"/>
      <c r="N10704" s="1992"/>
      <c r="O10704" s="1992"/>
      <c r="P10704" s="1098"/>
    </row>
    <row r="10705" spans="1:16" ht="18">
      <c r="A10705" s="1997" t="s">
        <v>37</v>
      </c>
      <c r="B10705" s="1998"/>
      <c r="C10705" s="1990"/>
      <c r="D10705" s="1989"/>
      <c r="E10705" s="1457"/>
      <c r="F10705" s="1454"/>
      <c r="G10705" s="1993"/>
      <c r="H10705" s="1994"/>
      <c r="I10705" s="1994"/>
      <c r="J10705" s="1994"/>
      <c r="K10705" s="1994"/>
      <c r="L10705" s="1994"/>
      <c r="M10705" s="1994"/>
      <c r="N10705" s="1994"/>
      <c r="O10705" s="1994"/>
      <c r="P10705" s="1098"/>
    </row>
    <row r="10706" spans="1:16" ht="18">
      <c r="A10706" s="1997" t="s">
        <v>38</v>
      </c>
      <c r="B10706" s="1998"/>
      <c r="C10706" s="1990"/>
      <c r="D10706" s="1989"/>
      <c r="E10706" s="1457"/>
      <c r="F10706" s="1454"/>
      <c r="G10706" s="1993"/>
      <c r="H10706" s="1994"/>
      <c r="I10706" s="1994"/>
      <c r="J10706" s="1994"/>
      <c r="K10706" s="1994"/>
      <c r="L10706" s="1994"/>
      <c r="M10706" s="1994"/>
      <c r="N10706" s="1994"/>
      <c r="O10706" s="1994"/>
      <c r="P10706" s="1098"/>
    </row>
    <row r="10707" spans="1:16" ht="18">
      <c r="A10707" s="1997" t="s">
        <v>39</v>
      </c>
      <c r="B10707" s="1998"/>
      <c r="C10707" s="1990"/>
      <c r="D10707" s="1989"/>
      <c r="E10707" s="1457"/>
      <c r="F10707" s="1454"/>
      <c r="G10707" s="1993"/>
      <c r="H10707" s="1994"/>
      <c r="I10707" s="1994"/>
      <c r="J10707" s="1994"/>
      <c r="K10707" s="1994"/>
      <c r="L10707" s="1994"/>
      <c r="M10707" s="1994"/>
      <c r="N10707" s="1994"/>
      <c r="O10707" s="1994"/>
      <c r="P10707" s="1098"/>
    </row>
    <row r="10708" spans="1:16" ht="18">
      <c r="A10708" s="1997" t="s">
        <v>40</v>
      </c>
      <c r="B10708" s="1998"/>
      <c r="C10708" s="1990"/>
      <c r="D10708" s="1989"/>
      <c r="E10708" s="1457"/>
      <c r="F10708" s="1454"/>
      <c r="G10708" s="1993"/>
      <c r="H10708" s="1994"/>
      <c r="I10708" s="1994"/>
      <c r="J10708" s="1994"/>
      <c r="K10708" s="1994"/>
      <c r="L10708" s="1994"/>
      <c r="M10708" s="1994"/>
      <c r="N10708" s="1994"/>
      <c r="O10708" s="1994"/>
      <c r="P10708" s="1098"/>
    </row>
    <row r="10709" spans="1:16" ht="18.600000000000001" thickBot="1">
      <c r="A10709" s="1999" t="s">
        <v>41</v>
      </c>
      <c r="B10709" s="2000"/>
      <c r="C10709" s="2001"/>
      <c r="D10709" s="2002"/>
      <c r="E10709" s="696"/>
      <c r="F10709" s="1455"/>
      <c r="G10709" s="1995"/>
      <c r="H10709" s="1996"/>
      <c r="I10709" s="1996"/>
      <c r="J10709" s="1996"/>
      <c r="K10709" s="1996"/>
      <c r="L10709" s="1996"/>
      <c r="M10709" s="1996"/>
      <c r="N10709" s="1996"/>
      <c r="O10709" s="1996"/>
      <c r="P10709" s="1098"/>
    </row>
    <row r="10710" spans="1:16" ht="18">
      <c r="A10710" s="690"/>
      <c r="B10710" s="691"/>
      <c r="C10710" s="691"/>
      <c r="D10710" s="691"/>
      <c r="E10710" s="691"/>
      <c r="F10710" s="1448"/>
      <c r="G10710" s="691"/>
      <c r="H10710" s="698"/>
      <c r="I10710" s="699"/>
      <c r="J10710" s="700"/>
      <c r="K10710" s="701"/>
      <c r="L10710" s="702"/>
      <c r="M10710" s="691"/>
      <c r="N10710" s="1448"/>
      <c r="O10710" s="691"/>
      <c r="P10710" s="1098"/>
    </row>
    <row r="10711" spans="1:16" s="1440" customFormat="1" ht="18">
      <c r="A10711" s="703" t="s">
        <v>42</v>
      </c>
      <c r="B10711" s="704"/>
      <c r="C10711" s="691"/>
      <c r="D10711" s="691"/>
      <c r="E10711" s="691"/>
      <c r="F10711" s="1448"/>
      <c r="G10711" s="704"/>
      <c r="H10711" s="698"/>
      <c r="I10711" s="699"/>
      <c r="J10711" s="700"/>
      <c r="K10711" s="693"/>
      <c r="L10711" s="705"/>
      <c r="M10711" s="691"/>
      <c r="N10711" s="1979" t="s">
        <v>43</v>
      </c>
      <c r="O10711" s="1979"/>
      <c r="P10711" s="1098"/>
    </row>
    <row r="10712" spans="1:16" ht="18">
      <c r="A10712" s="703"/>
      <c r="B10712" s="704"/>
      <c r="C10712" s="691"/>
      <c r="D10712" s="691"/>
      <c r="E10712" s="691"/>
      <c r="F10712" s="1448"/>
      <c r="G10712" s="691"/>
      <c r="H10712" s="1448"/>
      <c r="I10712" s="1849"/>
      <c r="J10712" s="691"/>
      <c r="K10712" s="693"/>
      <c r="L10712" s="1448"/>
      <c r="M10712" s="691"/>
      <c r="N10712" s="1448"/>
      <c r="O10712" s="704"/>
      <c r="P10712" s="1098"/>
    </row>
    <row r="10713" spans="1:16" ht="18">
      <c r="A10713" s="703" t="s">
        <v>44</v>
      </c>
      <c r="B10713" s="704"/>
      <c r="C10713" s="691"/>
      <c r="D10713" s="691"/>
      <c r="E10713" s="691"/>
      <c r="F10713" s="1448"/>
      <c r="G10713" s="691"/>
      <c r="H10713" s="1448"/>
      <c r="I10713" s="1849"/>
      <c r="J10713" s="691"/>
      <c r="K10713" s="693"/>
      <c r="L10713" s="1448"/>
      <c r="M10713" s="691"/>
      <c r="N10713" s="1979" t="s">
        <v>45</v>
      </c>
      <c r="O10713" s="1979"/>
      <c r="P10713" s="1098"/>
    </row>
    <row r="10714" spans="1:16" ht="18.600000000000001" thickBot="1">
      <c r="A10714" s="682"/>
      <c r="B10714" s="683"/>
      <c r="C10714" s="683"/>
      <c r="D10714" s="683"/>
      <c r="E10714" s="683"/>
      <c r="F10714" s="684"/>
      <c r="G10714" s="683"/>
      <c r="H10714" s="684"/>
      <c r="I10714" s="1850"/>
      <c r="J10714" s="683"/>
      <c r="K10714" s="706"/>
      <c r="L10714" s="684"/>
      <c r="M10714" s="683"/>
      <c r="N10714" s="684"/>
      <c r="O10714" s="683"/>
      <c r="P10714" s="1099"/>
    </row>
    <row r="10715" spans="1:16">
      <c r="A10715" s="1440"/>
      <c r="B10715" s="1440"/>
      <c r="C10715" s="1440"/>
      <c r="D10715" s="1440"/>
      <c r="E10715" s="1440"/>
      <c r="F10715" s="1440"/>
      <c r="G10715" s="1440"/>
      <c r="H10715" s="1440"/>
      <c r="J10715" s="1440"/>
      <c r="L10715" s="1459"/>
      <c r="M10715" s="1440"/>
      <c r="N10715" s="1440"/>
      <c r="O10715" s="1440"/>
      <c r="P10715" s="1440"/>
    </row>
    <row r="10716" spans="1:16">
      <c r="A10716" s="1440"/>
      <c r="B10716" s="1440"/>
      <c r="C10716" s="1440"/>
      <c r="D10716" s="1440"/>
      <c r="E10716" s="1440"/>
      <c r="F10716" s="1440"/>
      <c r="G10716" s="1440"/>
      <c r="H10716" s="1440"/>
      <c r="J10716" s="1440"/>
      <c r="L10716" s="1459"/>
      <c r="M10716" s="1440"/>
      <c r="N10716" s="1440"/>
      <c r="O10716" s="1440"/>
      <c r="P10716" s="1440"/>
    </row>
    <row r="10717" spans="1:16">
      <c r="A10717" s="1440"/>
      <c r="B10717" s="1440"/>
      <c r="C10717" s="1440"/>
      <c r="D10717" s="1440"/>
      <c r="E10717" s="1440"/>
      <c r="F10717" s="1440"/>
      <c r="G10717" s="1440"/>
      <c r="H10717" s="1440"/>
      <c r="J10717" s="1440"/>
      <c r="L10717" s="1459"/>
      <c r="M10717" s="1440"/>
      <c r="N10717" s="1440"/>
      <c r="O10717" s="1440"/>
      <c r="P10717" s="1440"/>
    </row>
    <row r="10718" spans="1:16" ht="17.399999999999999">
      <c r="A10718" s="711" t="s">
        <v>48</v>
      </c>
      <c r="B10718" s="711"/>
      <c r="C10718" s="712"/>
      <c r="D10718" s="712"/>
      <c r="E10718" s="712"/>
      <c r="F10718" s="713"/>
      <c r="G10718" s="712"/>
      <c r="H10718" s="712"/>
      <c r="I10718" s="714"/>
      <c r="J10718" s="715"/>
      <c r="K10718" s="716"/>
      <c r="L10718" s="1978" t="s">
        <v>0</v>
      </c>
      <c r="M10718" s="1978"/>
      <c r="N10718" s="1978"/>
      <c r="O10718" s="1978"/>
      <c r="P10718" s="717"/>
    </row>
    <row r="10719" spans="1:16" ht="17.399999999999999">
      <c r="A10719" s="718" t="s">
        <v>1</v>
      </c>
      <c r="B10719" s="718"/>
      <c r="C10719" s="718"/>
      <c r="D10719" s="719" t="s">
        <v>2</v>
      </c>
      <c r="E10719" s="719"/>
      <c r="F10719" s="720"/>
      <c r="G10719" s="720"/>
      <c r="H10719" s="720"/>
      <c r="I10719" s="721"/>
      <c r="J10719" s="1456"/>
      <c r="K10719" s="723" t="s">
        <v>3</v>
      </c>
      <c r="L10719" s="1456"/>
      <c r="M10719" s="718"/>
      <c r="N10719" s="720"/>
      <c r="O10719" s="718"/>
      <c r="P10719" s="724"/>
    </row>
    <row r="10720" spans="1:16" ht="52.2">
      <c r="A10720" s="640" t="s">
        <v>4</v>
      </c>
      <c r="B10720" s="640" t="s">
        <v>5</v>
      </c>
      <c r="C10720" s="640" t="s">
        <v>6</v>
      </c>
      <c r="D10720" s="640" t="s">
        <v>7</v>
      </c>
      <c r="E10720" s="640" t="s">
        <v>8</v>
      </c>
      <c r="F10720" s="641" t="s">
        <v>9</v>
      </c>
      <c r="G10720" s="642" t="s">
        <v>10</v>
      </c>
      <c r="H10720" s="642" t="s">
        <v>11</v>
      </c>
      <c r="I10720" s="643" t="s">
        <v>12</v>
      </c>
      <c r="J10720" s="644" t="s">
        <v>13</v>
      </c>
      <c r="K10720" s="645" t="s">
        <v>14</v>
      </c>
      <c r="L10720" s="646" t="s">
        <v>15</v>
      </c>
      <c r="M10720" s="641" t="s">
        <v>16</v>
      </c>
      <c r="N10720" s="641" t="s">
        <v>17</v>
      </c>
      <c r="O10720" s="642" t="s">
        <v>18</v>
      </c>
      <c r="P10720" s="641" t="s">
        <v>192</v>
      </c>
    </row>
    <row r="10721" spans="1:17" ht="17.399999999999999">
      <c r="A10721" s="547" t="s">
        <v>458</v>
      </c>
      <c r="B10721" s="547" t="s">
        <v>1283</v>
      </c>
      <c r="C10721" s="547" t="s">
        <v>19</v>
      </c>
      <c r="D10721" s="813" t="s">
        <v>49</v>
      </c>
      <c r="E10721" s="547" t="s">
        <v>359</v>
      </c>
      <c r="F10721" s="549">
        <v>11</v>
      </c>
      <c r="G10721" s="952" t="s">
        <v>21</v>
      </c>
      <c r="H10721" s="900" t="s">
        <v>53</v>
      </c>
      <c r="I10721" s="1443">
        <v>8.32</v>
      </c>
      <c r="J10721" s="567">
        <v>8.65</v>
      </c>
      <c r="K10721" s="951">
        <v>381</v>
      </c>
      <c r="L10721" s="552">
        <f t="shared" ref="L10721:L10722" si="2201">(I10721*J10721*K10721/1000)</f>
        <v>27.419808</v>
      </c>
      <c r="M10721" s="549"/>
      <c r="N10721" s="549"/>
      <c r="O10721" s="549"/>
      <c r="P10721" s="549"/>
      <c r="Q10721" s="1487" t="s">
        <v>1301</v>
      </c>
    </row>
    <row r="10722" spans="1:17" ht="17.399999999999999">
      <c r="A10722" s="549"/>
      <c r="B10722" s="549" t="s">
        <v>277</v>
      </c>
      <c r="C10722" s="549"/>
      <c r="D10722" s="549"/>
      <c r="E10722" s="549"/>
      <c r="F10722" s="549"/>
      <c r="G10722" s="952" t="s">
        <v>21</v>
      </c>
      <c r="H10722" s="952" t="s">
        <v>53</v>
      </c>
      <c r="I10722" s="1443">
        <v>8.32</v>
      </c>
      <c r="J10722" s="567">
        <v>11.2</v>
      </c>
      <c r="K10722" s="951">
        <v>210</v>
      </c>
      <c r="L10722" s="552">
        <f t="shared" si="2201"/>
        <v>19.568639999999998</v>
      </c>
      <c r="M10722" s="549"/>
      <c r="N10722" s="549"/>
      <c r="O10722" s="549"/>
      <c r="P10722" s="549"/>
    </row>
    <row r="10723" spans="1:17" ht="17.399999999999999">
      <c r="A10723" s="549"/>
      <c r="B10723" s="549"/>
      <c r="C10723" s="549"/>
      <c r="D10723" s="549"/>
      <c r="E10723" s="549"/>
      <c r="F10723" s="549"/>
      <c r="G10723" s="1463"/>
      <c r="H10723" s="1463"/>
      <c r="I10723" s="1443"/>
      <c r="J10723" s="953"/>
      <c r="K10723" s="951">
        <f>SUM(K10721:K10722)</f>
        <v>591</v>
      </c>
      <c r="L10723" s="777">
        <f>SUM(L10721:L10722)</f>
        <v>46.988447999999998</v>
      </c>
      <c r="M10723" s="549"/>
      <c r="N10723" s="549"/>
      <c r="O10723" s="549"/>
      <c r="P10723" s="549" t="s">
        <v>1284</v>
      </c>
    </row>
    <row r="10724" spans="1:17" ht="17.399999999999999">
      <c r="A10724" s="549"/>
      <c r="B10724" s="549"/>
      <c r="C10724" s="549"/>
      <c r="D10724" s="549"/>
      <c r="E10724" s="549"/>
      <c r="F10724" s="549"/>
      <c r="G10724" s="549"/>
      <c r="H10724" s="549"/>
      <c r="I10724" s="560"/>
      <c r="J10724" s="549"/>
      <c r="K10724" s="561"/>
      <c r="L10724" s="561"/>
      <c r="M10724" s="549"/>
      <c r="N10724" s="549"/>
      <c r="O10724" s="549"/>
      <c r="P10724" s="549"/>
    </row>
    <row r="10725" spans="1:17" ht="18">
      <c r="A10725" s="547" t="s">
        <v>458</v>
      </c>
      <c r="B10725" s="547" t="s">
        <v>1285</v>
      </c>
      <c r="C10725" s="547" t="s">
        <v>19</v>
      </c>
      <c r="D10725" s="813" t="s">
        <v>49</v>
      </c>
      <c r="E10725" s="547" t="s">
        <v>359</v>
      </c>
      <c r="F10725" s="549">
        <v>11</v>
      </c>
      <c r="G10725" s="952" t="s">
        <v>21</v>
      </c>
      <c r="H10725" s="900" t="s">
        <v>53</v>
      </c>
      <c r="I10725" s="560">
        <v>8.32</v>
      </c>
      <c r="J10725" s="1464">
        <v>6.45</v>
      </c>
      <c r="K10725" s="1465">
        <v>32</v>
      </c>
      <c r="L10725" s="552">
        <f t="shared" ref="L10725:L10730" si="2202">(I10725*J10725*K10725/1000)</f>
        <v>1.7172480000000001</v>
      </c>
      <c r="M10725" s="898">
        <v>7</v>
      </c>
      <c r="N10725" s="567">
        <f>J10725*M10725*I10725/1000</f>
        <v>0.37564800000000004</v>
      </c>
      <c r="O10725" s="898"/>
      <c r="P10725" s="898"/>
      <c r="Q10725" s="1487" t="s">
        <v>1301</v>
      </c>
    </row>
    <row r="10726" spans="1:17" ht="18">
      <c r="A10726" s="549"/>
      <c r="B10726" s="549" t="s">
        <v>277</v>
      </c>
      <c r="C10726" s="549"/>
      <c r="D10726" s="549"/>
      <c r="E10726" s="549"/>
      <c r="F10726" s="549"/>
      <c r="G10726" s="952" t="s">
        <v>21</v>
      </c>
      <c r="H10726" s="952" t="s">
        <v>53</v>
      </c>
      <c r="I10726" s="560">
        <v>8.32</v>
      </c>
      <c r="J10726" s="1464">
        <v>7.1</v>
      </c>
      <c r="K10726" s="1465">
        <v>64</v>
      </c>
      <c r="L10726" s="552">
        <f t="shared" si="2202"/>
        <v>3.7806079999999995</v>
      </c>
      <c r="M10726" s="898"/>
      <c r="N10726" s="898"/>
      <c r="O10726" s="898"/>
      <c r="P10726" s="898"/>
    </row>
    <row r="10727" spans="1:17" ht="18">
      <c r="A10727" s="898"/>
      <c r="B10727" s="898"/>
      <c r="C10727" s="898"/>
      <c r="D10727" s="898"/>
      <c r="E10727" s="898"/>
      <c r="F10727" s="898"/>
      <c r="G10727" s="952" t="s">
        <v>21</v>
      </c>
      <c r="H10727" s="952" t="s">
        <v>53</v>
      </c>
      <c r="I10727" s="560">
        <v>8.32</v>
      </c>
      <c r="J10727" s="1464">
        <v>8.15</v>
      </c>
      <c r="K10727" s="1465">
        <v>65</v>
      </c>
      <c r="L10727" s="552">
        <f t="shared" si="2202"/>
        <v>4.4075200000000008</v>
      </c>
      <c r="M10727" s="898">
        <v>6</v>
      </c>
      <c r="N10727" s="567">
        <f t="shared" ref="N10727:N10728" si="2203">J10727*M10727*I10727/1000</f>
        <v>0.40684800000000004</v>
      </c>
      <c r="O10727" s="898"/>
      <c r="P10727" s="898"/>
    </row>
    <row r="10728" spans="1:17" ht="18">
      <c r="A10728" s="898"/>
      <c r="B10728" s="898"/>
      <c r="C10728" s="898"/>
      <c r="D10728" s="898"/>
      <c r="E10728" s="898"/>
      <c r="F10728" s="898"/>
      <c r="G10728" s="952" t="s">
        <v>21</v>
      </c>
      <c r="H10728" s="952" t="s">
        <v>53</v>
      </c>
      <c r="I10728" s="560">
        <v>8.32</v>
      </c>
      <c r="J10728" s="1464">
        <v>11</v>
      </c>
      <c r="K10728" s="1465">
        <v>16</v>
      </c>
      <c r="L10728" s="552">
        <f t="shared" si="2202"/>
        <v>1.4643200000000001</v>
      </c>
      <c r="M10728" s="898">
        <v>1</v>
      </c>
      <c r="N10728" s="567">
        <f t="shared" si="2203"/>
        <v>9.1520000000000004E-2</v>
      </c>
      <c r="O10728" s="898"/>
      <c r="P10728" s="898"/>
    </row>
    <row r="10729" spans="1:17" ht="18">
      <c r="A10729" s="898"/>
      <c r="B10729" s="898"/>
      <c r="C10729" s="898"/>
      <c r="D10729" s="898"/>
      <c r="E10729" s="898"/>
      <c r="F10729" s="898"/>
      <c r="G10729" s="952" t="s">
        <v>21</v>
      </c>
      <c r="H10729" s="952" t="s">
        <v>53</v>
      </c>
      <c r="I10729" s="560">
        <v>8.32</v>
      </c>
      <c r="J10729" s="1464">
        <v>11.5</v>
      </c>
      <c r="K10729" s="1465">
        <v>24</v>
      </c>
      <c r="L10729" s="552">
        <f t="shared" si="2202"/>
        <v>2.2963200000000001</v>
      </c>
      <c r="M10729" s="898"/>
      <c r="N10729" s="898"/>
      <c r="O10729" s="898"/>
      <c r="P10729" s="898"/>
    </row>
    <row r="10730" spans="1:17" ht="18">
      <c r="A10730" s="898"/>
      <c r="B10730" s="898"/>
      <c r="C10730" s="898"/>
      <c r="D10730" s="898"/>
      <c r="E10730" s="898"/>
      <c r="F10730" s="898"/>
      <c r="G10730" s="952" t="s">
        <v>21</v>
      </c>
      <c r="H10730" s="952" t="s">
        <v>53</v>
      </c>
      <c r="I10730" s="560">
        <v>8.32</v>
      </c>
      <c r="J10730" s="1464">
        <v>12</v>
      </c>
      <c r="K10730" s="1465">
        <v>35</v>
      </c>
      <c r="L10730" s="552">
        <f t="shared" si="2202"/>
        <v>3.4944000000000002</v>
      </c>
      <c r="M10730" s="898"/>
      <c r="N10730" s="898"/>
      <c r="O10730" s="898"/>
      <c r="P10730" s="898"/>
    </row>
    <row r="10731" spans="1:17" ht="18">
      <c r="A10731" s="898"/>
      <c r="B10731" s="898"/>
      <c r="C10731" s="898"/>
      <c r="D10731" s="898"/>
      <c r="E10731" s="898"/>
      <c r="F10731" s="898"/>
      <c r="G10731" s="898"/>
      <c r="H10731" s="898"/>
      <c r="I10731" s="920"/>
      <c r="J10731" s="898"/>
      <c r="K10731" s="921">
        <f>SUM(K10725:K10730)</f>
        <v>236</v>
      </c>
      <c r="L10731" s="782">
        <f>SUM(L10725:L10730)</f>
        <v>17.160416000000001</v>
      </c>
      <c r="M10731" s="921">
        <f t="shared" ref="M10731" si="2204">SUM(M10725:M10730)</f>
        <v>14</v>
      </c>
      <c r="N10731" s="782">
        <f>SUM(N10725:N10730)</f>
        <v>0.87401600000000013</v>
      </c>
      <c r="O10731" s="898"/>
      <c r="P10731" s="549" t="s">
        <v>1284</v>
      </c>
    </row>
    <row r="10732" spans="1:17" ht="18">
      <c r="A10732" s="898"/>
      <c r="B10732" s="898"/>
      <c r="C10732" s="898"/>
      <c r="D10732" s="898"/>
      <c r="E10732" s="898"/>
      <c r="F10732" s="898"/>
      <c r="G10732" s="898"/>
      <c r="H10732" s="898"/>
      <c r="I10732" s="920"/>
      <c r="J10732" s="898"/>
      <c r="K10732" s="921"/>
      <c r="L10732" s="782"/>
      <c r="M10732" s="898"/>
      <c r="N10732" s="898"/>
      <c r="O10732" s="898"/>
      <c r="P10732" s="898"/>
    </row>
    <row r="10733" spans="1:17" ht="18">
      <c r="A10733" s="547" t="s">
        <v>495</v>
      </c>
      <c r="B10733" s="547" t="s">
        <v>1285</v>
      </c>
      <c r="C10733" s="547" t="s">
        <v>19</v>
      </c>
      <c r="D10733" s="813" t="s">
        <v>49</v>
      </c>
      <c r="E10733" s="547" t="s">
        <v>359</v>
      </c>
      <c r="F10733" s="549">
        <v>11</v>
      </c>
      <c r="G10733" s="952" t="s">
        <v>21</v>
      </c>
      <c r="H10733" s="900" t="s">
        <v>53</v>
      </c>
      <c r="I10733" s="560">
        <v>8.32</v>
      </c>
      <c r="J10733" s="1464">
        <v>12</v>
      </c>
      <c r="K10733" s="1465">
        <v>4</v>
      </c>
      <c r="L10733" s="552">
        <f t="shared" ref="L10733" si="2205">(I10733*J10733*K10733/1000)</f>
        <v>0.39935999999999999</v>
      </c>
      <c r="M10733" s="898"/>
      <c r="N10733" s="898"/>
      <c r="O10733" s="898"/>
      <c r="P10733" s="898"/>
      <c r="Q10733" s="1487" t="s">
        <v>1301</v>
      </c>
    </row>
    <row r="10734" spans="1:17" ht="18">
      <c r="A10734" s="549"/>
      <c r="B10734" s="549" t="s">
        <v>277</v>
      </c>
      <c r="C10734" s="549"/>
      <c r="D10734" s="549"/>
      <c r="E10734" s="549"/>
      <c r="F10734" s="549"/>
      <c r="G10734" s="952"/>
      <c r="H10734" s="952"/>
      <c r="I10734" s="560"/>
      <c r="J10734" s="1466"/>
      <c r="K10734" s="1465">
        <f t="shared" ref="K10734" si="2206">SUM(K10733)</f>
        <v>4</v>
      </c>
      <c r="L10734" s="552">
        <f>SUM(L10733)</f>
        <v>0.39935999999999999</v>
      </c>
      <c r="M10734" s="898"/>
      <c r="N10734" s="898"/>
      <c r="O10734" s="898"/>
      <c r="P10734" s="549" t="s">
        <v>1284</v>
      </c>
    </row>
    <row r="10735" spans="1:17" ht="18">
      <c r="A10735" s="549"/>
      <c r="B10735" s="549"/>
      <c r="C10735" s="549"/>
      <c r="D10735" s="549"/>
      <c r="E10735" s="549"/>
      <c r="F10735" s="549"/>
      <c r="G10735" s="952"/>
      <c r="H10735" s="952"/>
      <c r="I10735" s="560"/>
      <c r="J10735" s="1466"/>
      <c r="K10735" s="1465"/>
      <c r="L10735" s="552"/>
      <c r="M10735" s="898"/>
      <c r="N10735" s="898"/>
      <c r="O10735" s="898"/>
      <c r="P10735" s="898"/>
    </row>
    <row r="10736" spans="1:17" ht="18">
      <c r="A10736" s="898"/>
      <c r="B10736" s="898"/>
      <c r="C10736" s="898"/>
      <c r="D10736" s="898"/>
      <c r="E10736" s="898"/>
      <c r="F10736" s="898"/>
      <c r="G10736" s="898"/>
      <c r="H10736" s="898"/>
      <c r="I10736" s="920"/>
      <c r="J10736" s="898"/>
      <c r="K10736" s="921"/>
      <c r="L10736" s="921"/>
      <c r="M10736" s="898"/>
      <c r="N10736" s="898"/>
      <c r="O10736" s="898"/>
      <c r="P10736" s="898"/>
    </row>
    <row r="10737" spans="1:19" ht="17.399999999999999">
      <c r="A10737" s="547" t="s">
        <v>445</v>
      </c>
      <c r="B10737" s="547" t="s">
        <v>786</v>
      </c>
      <c r="C10737" s="547" t="s">
        <v>19</v>
      </c>
      <c r="D10737" s="547" t="s">
        <v>20</v>
      </c>
      <c r="E10737" s="1475" t="s">
        <v>464</v>
      </c>
      <c r="F10737" s="772">
        <v>11</v>
      </c>
      <c r="G10737" s="550" t="s">
        <v>21</v>
      </c>
      <c r="H10737" s="599" t="s">
        <v>53</v>
      </c>
      <c r="I10737" s="551">
        <v>8.3000000000000007</v>
      </c>
      <c r="J10737" s="765">
        <v>9</v>
      </c>
      <c r="K10737" s="766">
        <v>55</v>
      </c>
      <c r="L10737" s="552">
        <f t="shared" ref="L10737:L10740" si="2207">(I10737*J10737*K10737/1000)</f>
        <v>4.1085000000000003</v>
      </c>
      <c r="M10737" s="550"/>
      <c r="N10737" s="550"/>
      <c r="O10737" s="550"/>
      <c r="P10737" s="550"/>
      <c r="Q10737" s="497">
        <v>32</v>
      </c>
      <c r="R10737" s="497">
        <f>J10737*Q10737*I10737/1000</f>
        <v>2.3904000000000001</v>
      </c>
      <c r="S10737" s="1487" t="s">
        <v>1301</v>
      </c>
    </row>
    <row r="10738" spans="1:19" ht="17.399999999999999">
      <c r="A10738" s="547"/>
      <c r="B10738" s="550" t="s">
        <v>621</v>
      </c>
      <c r="C10738" s="547"/>
      <c r="D10738" s="547"/>
      <c r="E10738" s="547"/>
      <c r="F10738" s="772"/>
      <c r="G10738" s="550" t="s">
        <v>21</v>
      </c>
      <c r="H10738" s="550" t="s">
        <v>53</v>
      </c>
      <c r="I10738" s="551">
        <v>8.3000000000000007</v>
      </c>
      <c r="J10738" s="765">
        <v>10.8</v>
      </c>
      <c r="K10738" s="766">
        <v>4</v>
      </c>
      <c r="L10738" s="552">
        <f t="shared" si="2207"/>
        <v>0.35856000000000005</v>
      </c>
      <c r="M10738" s="550"/>
      <c r="N10738" s="550"/>
      <c r="O10738" s="550"/>
      <c r="P10738" s="550"/>
      <c r="Q10738" s="497">
        <v>4</v>
      </c>
      <c r="R10738" s="1487">
        <f t="shared" ref="R10738:R10740" si="2208">J10738*Q10738*I10738/1000</f>
        <v>0.35856000000000005</v>
      </c>
    </row>
    <row r="10739" spans="1:19" ht="17.399999999999999">
      <c r="A10739" s="550"/>
      <c r="B10739" s="550"/>
      <c r="C10739" s="550"/>
      <c r="D10739" s="550"/>
      <c r="E10739" s="550"/>
      <c r="F10739" s="550"/>
      <c r="G10739" s="550" t="s">
        <v>21</v>
      </c>
      <c r="H10739" s="550" t="s">
        <v>53</v>
      </c>
      <c r="I10739" s="551">
        <v>8.3000000000000007</v>
      </c>
      <c r="J10739" s="765">
        <v>11</v>
      </c>
      <c r="K10739" s="766">
        <v>31</v>
      </c>
      <c r="L10739" s="552">
        <f t="shared" si="2207"/>
        <v>2.8303000000000003</v>
      </c>
      <c r="M10739" s="550"/>
      <c r="N10739" s="550"/>
      <c r="O10739" s="550"/>
      <c r="P10739" s="550"/>
      <c r="Q10739" s="497">
        <v>28</v>
      </c>
      <c r="R10739" s="1487">
        <f t="shared" si="2208"/>
        <v>2.5564</v>
      </c>
    </row>
    <row r="10740" spans="1:19" ht="17.399999999999999">
      <c r="A10740" s="550"/>
      <c r="B10740" s="550"/>
      <c r="C10740" s="550"/>
      <c r="D10740" s="550"/>
      <c r="E10740" s="550"/>
      <c r="F10740" s="550"/>
      <c r="G10740" s="550" t="s">
        <v>21</v>
      </c>
      <c r="H10740" s="550" t="s">
        <v>53</v>
      </c>
      <c r="I10740" s="551">
        <v>8.3000000000000007</v>
      </c>
      <c r="J10740" s="765">
        <v>11.1</v>
      </c>
      <c r="K10740" s="766">
        <v>54</v>
      </c>
      <c r="L10740" s="552">
        <f t="shared" si="2207"/>
        <v>4.9750200000000007</v>
      </c>
      <c r="M10740" s="550"/>
      <c r="N10740" s="550"/>
      <c r="O10740" s="550"/>
      <c r="P10740" s="550"/>
      <c r="Q10740" s="497">
        <f>30+9</f>
        <v>39</v>
      </c>
      <c r="R10740" s="1487">
        <f t="shared" si="2208"/>
        <v>3.59307</v>
      </c>
    </row>
    <row r="10741" spans="1:19" ht="17.399999999999999">
      <c r="A10741" s="550"/>
      <c r="B10741" s="550"/>
      <c r="C10741" s="550"/>
      <c r="D10741" s="550"/>
      <c r="E10741" s="550"/>
      <c r="F10741" s="550"/>
      <c r="G10741" s="550"/>
      <c r="H10741" s="550"/>
      <c r="I10741" s="551"/>
      <c r="J10741" s="765"/>
      <c r="K10741" s="766">
        <f t="shared" ref="K10741" si="2209">SUM(K10737:K10740)</f>
        <v>144</v>
      </c>
      <c r="L10741" s="709">
        <f>SUM(L10737:L10740)</f>
        <v>12.272380000000002</v>
      </c>
      <c r="M10741" s="550"/>
      <c r="N10741" s="550"/>
      <c r="O10741" s="550"/>
      <c r="P10741" s="550" t="s">
        <v>1286</v>
      </c>
      <c r="Q10741" s="766">
        <f t="shared" ref="Q10741" si="2210">SUM(Q10737:Q10740)</f>
        <v>103</v>
      </c>
      <c r="R10741" s="709">
        <f>SUM(R10737:R10740)</f>
        <v>8.8984300000000012</v>
      </c>
    </row>
    <row r="10742" spans="1:19" ht="17.399999999999999">
      <c r="A10742" s="549"/>
      <c r="B10742" s="549"/>
      <c r="C10742" s="549"/>
      <c r="D10742" s="549"/>
      <c r="E10742" s="549"/>
      <c r="F10742" s="549"/>
      <c r="G10742" s="549"/>
      <c r="H10742" s="549"/>
      <c r="I10742" s="558"/>
      <c r="J10742" s="567"/>
      <c r="K10742" s="648">
        <f>SUM(K10721:K10741)/2</f>
        <v>975</v>
      </c>
      <c r="L10742" s="565">
        <f>SUM(L10721:L10741)/2</f>
        <v>76.820604000000003</v>
      </c>
      <c r="M10742" s="648">
        <f>SUM(M10721:M10741)/2</f>
        <v>14</v>
      </c>
      <c r="N10742" s="565">
        <f>SUM(N10721:N10741)/2</f>
        <v>0.87401600000000013</v>
      </c>
      <c r="O10742" s="549"/>
      <c r="P10742" s="549"/>
    </row>
    <row r="10743" spans="1:19" ht="17.399999999999999">
      <c r="A10743" s="549"/>
      <c r="B10743" s="549"/>
      <c r="C10743" s="549"/>
      <c r="D10743" s="549"/>
      <c r="E10743" s="549"/>
      <c r="F10743" s="549"/>
      <c r="G10743" s="549"/>
      <c r="H10743" s="549"/>
      <c r="I10743" s="558"/>
      <c r="J10743" s="567"/>
      <c r="K10743" s="648"/>
      <c r="L10743" s="565"/>
      <c r="M10743" s="648"/>
      <c r="N10743" s="565"/>
      <c r="O10743" s="549"/>
      <c r="P10743" s="549"/>
    </row>
    <row r="10744" spans="1:19" ht="17.399999999999999">
      <c r="A10744" s="549"/>
      <c r="B10744" s="549"/>
      <c r="C10744" s="549"/>
      <c r="D10744" s="549"/>
      <c r="E10744" s="549"/>
      <c r="F10744" s="549"/>
      <c r="G10744" s="549"/>
      <c r="H10744" s="549"/>
      <c r="I10744" s="560"/>
      <c r="J10744" s="549"/>
      <c r="K10744" s="561"/>
      <c r="L10744" s="561"/>
      <c r="M10744" s="549"/>
      <c r="N10744" s="549"/>
      <c r="O10744" s="549"/>
      <c r="P10744" s="549"/>
    </row>
    <row r="10745" spans="1:19" ht="17.399999999999999">
      <c r="A10745" s="547" t="s">
        <v>458</v>
      </c>
      <c r="B10745" s="547" t="s">
        <v>1283</v>
      </c>
      <c r="C10745" s="547" t="s">
        <v>19</v>
      </c>
      <c r="D10745" s="813" t="s">
        <v>49</v>
      </c>
      <c r="E10745" s="547" t="s">
        <v>359</v>
      </c>
      <c r="F10745" s="549">
        <v>11</v>
      </c>
      <c r="G10745" s="952" t="s">
        <v>21</v>
      </c>
      <c r="H10745" s="900" t="s">
        <v>91</v>
      </c>
      <c r="I10745" s="1443">
        <v>6.97</v>
      </c>
      <c r="J10745" s="567">
        <v>9.6</v>
      </c>
      <c r="K10745" s="951">
        <v>196</v>
      </c>
      <c r="L10745" s="552">
        <f>(I10745*J10745*K10745/1000)</f>
        <v>13.114751999999999</v>
      </c>
      <c r="M10745" s="549">
        <v>1</v>
      </c>
      <c r="N10745" s="567">
        <f>J10745*M10745*I10745/1000</f>
        <v>6.6911999999999985E-2</v>
      </c>
      <c r="O10745" s="549"/>
      <c r="P10745" s="549"/>
      <c r="Q10745" s="497">
        <f>36+37+24</f>
        <v>97</v>
      </c>
      <c r="R10745" s="126">
        <f>J10745*Q10745*I10745/1000</f>
        <v>6.4904639999999993</v>
      </c>
      <c r="S10745" s="1487" t="s">
        <v>1302</v>
      </c>
    </row>
    <row r="10746" spans="1:19" ht="17.399999999999999">
      <c r="A10746" s="549"/>
      <c r="B10746" s="549" t="s">
        <v>277</v>
      </c>
      <c r="C10746" s="549"/>
      <c r="D10746" s="549"/>
      <c r="E10746" s="549"/>
      <c r="F10746" s="549"/>
      <c r="G10746" s="952" t="s">
        <v>21</v>
      </c>
      <c r="H10746" s="952" t="s">
        <v>91</v>
      </c>
      <c r="I10746" s="1443">
        <v>6.97</v>
      </c>
      <c r="J10746" s="567">
        <v>10.1</v>
      </c>
      <c r="K10746" s="951">
        <v>188</v>
      </c>
      <c r="L10746" s="552">
        <f>(I10746*J10746*K10746/1000)</f>
        <v>13.234635999999998</v>
      </c>
      <c r="M10746" s="549"/>
      <c r="N10746" s="549"/>
      <c r="O10746" s="549"/>
      <c r="P10746" s="549"/>
      <c r="Q10746" s="497">
        <f>32+35+29</f>
        <v>96</v>
      </c>
      <c r="R10746" s="126">
        <f>J10746*Q10746*I10746/1000</f>
        <v>6.7581119999999988</v>
      </c>
      <c r="S10746" s="1487" t="s">
        <v>1317</v>
      </c>
    </row>
    <row r="10747" spans="1:19" ht="17.399999999999999">
      <c r="A10747" s="549"/>
      <c r="B10747" s="549"/>
      <c r="C10747" s="549"/>
      <c r="D10747" s="549"/>
      <c r="E10747" s="549"/>
      <c r="F10747" s="549"/>
      <c r="G10747" s="952" t="s">
        <v>21</v>
      </c>
      <c r="H10747" s="952" t="s">
        <v>91</v>
      </c>
      <c r="I10747" s="1443">
        <v>6.97</v>
      </c>
      <c r="J10747" s="567">
        <v>10.199999999999999</v>
      </c>
      <c r="K10747" s="951">
        <v>194</v>
      </c>
      <c r="L10747" s="552">
        <f>(I10747*J10747*K10747/1000)</f>
        <v>13.792235999999999</v>
      </c>
      <c r="M10747" s="549">
        <v>4</v>
      </c>
      <c r="N10747" s="567">
        <f>J10747*M10747*I10747/1000</f>
        <v>0.28437599999999996</v>
      </c>
      <c r="O10747" s="549"/>
      <c r="P10747" s="549"/>
      <c r="Q10747" s="497">
        <f>33+33+32+12</f>
        <v>110</v>
      </c>
      <c r="R10747" s="126">
        <f>J10747*Q10747*I10747/1000</f>
        <v>7.8203399999999998</v>
      </c>
    </row>
    <row r="10748" spans="1:19" ht="17.399999999999999">
      <c r="A10748" s="549"/>
      <c r="B10748" s="549"/>
      <c r="C10748" s="549"/>
      <c r="D10748" s="549"/>
      <c r="E10748" s="549"/>
      <c r="F10748" s="549"/>
      <c r="G10748" s="1463"/>
      <c r="H10748" s="1463"/>
      <c r="I10748" s="1443"/>
      <c r="J10748" s="567"/>
      <c r="K10748" s="951">
        <f>SUM(K10745:K10747)</f>
        <v>578</v>
      </c>
      <c r="L10748" s="777">
        <f>SUM(L10745:L10747)</f>
        <v>40.141623999999993</v>
      </c>
      <c r="M10748" s="951">
        <f>SUM(M10745:M10747)</f>
        <v>5</v>
      </c>
      <c r="N10748" s="777">
        <f t="shared" ref="N10748" si="2211">SUM(N10745:N10747)</f>
        <v>0.35128799999999993</v>
      </c>
      <c r="O10748" s="549"/>
      <c r="P10748" s="549" t="s">
        <v>1287</v>
      </c>
      <c r="Q10748" s="951">
        <f>SUM(Q10745:Q10747)</f>
        <v>303</v>
      </c>
      <c r="R10748" s="777">
        <f>SUM(R10745:R10747)</f>
        <v>21.068915999999998</v>
      </c>
    </row>
    <row r="10749" spans="1:19" ht="17.399999999999999">
      <c r="A10749" s="549"/>
      <c r="B10749" s="549"/>
      <c r="C10749" s="549"/>
      <c r="D10749" s="549"/>
      <c r="E10749" s="549"/>
      <c r="F10749" s="549"/>
      <c r="G10749" s="1463"/>
      <c r="H10749" s="1463"/>
      <c r="I10749" s="1443"/>
      <c r="J10749" s="567"/>
      <c r="K10749" s="951"/>
      <c r="L10749" s="777"/>
      <c r="M10749" s="549"/>
      <c r="N10749" s="549"/>
      <c r="O10749" s="549"/>
      <c r="P10749" s="549"/>
    </row>
    <row r="10750" spans="1:19" ht="18">
      <c r="A10750" s="547" t="s">
        <v>458</v>
      </c>
      <c r="B10750" s="547" t="s">
        <v>1285</v>
      </c>
      <c r="C10750" s="547" t="s">
        <v>19</v>
      </c>
      <c r="D10750" s="813" t="s">
        <v>49</v>
      </c>
      <c r="E10750" s="547" t="s">
        <v>359</v>
      </c>
      <c r="F10750" s="772">
        <v>11</v>
      </c>
      <c r="G10750" s="952" t="s">
        <v>21</v>
      </c>
      <c r="H10750" s="900" t="s">
        <v>91</v>
      </c>
      <c r="I10750" s="560">
        <v>6.97</v>
      </c>
      <c r="J10750" s="1488">
        <v>7.4</v>
      </c>
      <c r="K10750" s="1467">
        <v>16</v>
      </c>
      <c r="L10750" s="552">
        <f>(I10750*J10750*K10750/1000)</f>
        <v>0.82524800000000009</v>
      </c>
      <c r="M10750" s="898"/>
      <c r="N10750" s="898"/>
      <c r="O10750" s="898"/>
      <c r="P10750" s="898"/>
      <c r="Q10750" s="1487" t="s">
        <v>1301</v>
      </c>
    </row>
    <row r="10751" spans="1:19" ht="18">
      <c r="A10751" s="549"/>
      <c r="B10751" s="549" t="s">
        <v>277</v>
      </c>
      <c r="C10751" s="549"/>
      <c r="D10751" s="549"/>
      <c r="E10751" s="549"/>
      <c r="F10751" s="549"/>
      <c r="G10751" s="1463"/>
      <c r="H10751" s="1463"/>
      <c r="I10751" s="560"/>
      <c r="J10751" s="1468"/>
      <c r="K10751" s="951">
        <f>SUM(K10750:K10750)</f>
        <v>16</v>
      </c>
      <c r="L10751" s="950">
        <f>SUM(L10750:L10750)</f>
        <v>0.82524800000000009</v>
      </c>
      <c r="M10751" s="898"/>
      <c r="N10751" s="898"/>
      <c r="O10751" s="898"/>
      <c r="P10751" s="549" t="s">
        <v>1287</v>
      </c>
    </row>
    <row r="10752" spans="1:19" ht="18">
      <c r="A10752" s="549"/>
      <c r="B10752" s="549"/>
      <c r="C10752" s="549"/>
      <c r="D10752" s="549"/>
      <c r="E10752" s="549"/>
      <c r="F10752" s="549"/>
      <c r="G10752" s="1463"/>
      <c r="H10752" s="1463"/>
      <c r="I10752" s="560"/>
      <c r="J10752" s="1468"/>
      <c r="K10752" s="951"/>
      <c r="L10752" s="950"/>
      <c r="M10752" s="898"/>
      <c r="N10752" s="898"/>
      <c r="O10752" s="898"/>
      <c r="P10752" s="898"/>
    </row>
    <row r="10753" spans="1:19" ht="18">
      <c r="A10753" s="898"/>
      <c r="B10753" s="898"/>
      <c r="C10753" s="898"/>
      <c r="D10753" s="898"/>
      <c r="E10753" s="898"/>
      <c r="F10753" s="898"/>
      <c r="G10753" s="898"/>
      <c r="H10753" s="898"/>
      <c r="I10753" s="920"/>
      <c r="J10753" s="898"/>
      <c r="K10753" s="921"/>
      <c r="L10753" s="921"/>
      <c r="M10753" s="898"/>
      <c r="N10753" s="898"/>
      <c r="O10753" s="898"/>
      <c r="P10753" s="898"/>
    </row>
    <row r="10754" spans="1:19" ht="17.399999999999999">
      <c r="A10754" s="547" t="s">
        <v>445</v>
      </c>
      <c r="B10754" s="547" t="s">
        <v>786</v>
      </c>
      <c r="C10754" s="547" t="s">
        <v>19</v>
      </c>
      <c r="D10754" s="547" t="s">
        <v>20</v>
      </c>
      <c r="E10754" s="1475" t="s">
        <v>464</v>
      </c>
      <c r="F10754" s="772">
        <v>11</v>
      </c>
      <c r="G10754" s="550" t="s">
        <v>21</v>
      </c>
      <c r="H10754" s="599" t="s">
        <v>91</v>
      </c>
      <c r="I10754" s="551">
        <v>6.97</v>
      </c>
      <c r="J10754" s="765">
        <v>8.5</v>
      </c>
      <c r="K10754" s="766">
        <v>1</v>
      </c>
      <c r="L10754" s="552">
        <f t="shared" ref="L10754:L10758" si="2212">(I10754*J10754*K10754/1000)</f>
        <v>5.9244999999999999E-2</v>
      </c>
      <c r="M10754" s="550"/>
      <c r="N10754" s="550"/>
      <c r="O10754" s="550"/>
      <c r="P10754" s="550"/>
      <c r="R10754" s="1487">
        <f t="shared" ref="R10754:R10758" si="2213">J10754*Q10754*I10754/1000</f>
        <v>0</v>
      </c>
      <c r="S10754" s="1487" t="s">
        <v>1318</v>
      </c>
    </row>
    <row r="10755" spans="1:19" ht="17.399999999999999">
      <c r="A10755" s="547"/>
      <c r="B10755" s="550" t="s">
        <v>621</v>
      </c>
      <c r="C10755" s="547"/>
      <c r="D10755" s="547"/>
      <c r="E10755" s="547"/>
      <c r="F10755" s="772"/>
      <c r="G10755" s="550" t="s">
        <v>21</v>
      </c>
      <c r="H10755" s="550" t="s">
        <v>91</v>
      </c>
      <c r="I10755" s="551">
        <v>6.97</v>
      </c>
      <c r="J10755" s="765">
        <v>10.199999999999999</v>
      </c>
      <c r="K10755" s="766">
        <v>6</v>
      </c>
      <c r="L10755" s="552">
        <f t="shared" si="2212"/>
        <v>0.42656399999999994</v>
      </c>
      <c r="M10755" s="550"/>
      <c r="N10755" s="550"/>
      <c r="O10755" s="550"/>
      <c r="P10755" s="550"/>
      <c r="Q10755" s="497">
        <v>4</v>
      </c>
      <c r="R10755" s="126">
        <f t="shared" si="2213"/>
        <v>0.28437599999999996</v>
      </c>
    </row>
    <row r="10756" spans="1:19" ht="17.399999999999999">
      <c r="A10756" s="550"/>
      <c r="B10756" s="550"/>
      <c r="C10756" s="550"/>
      <c r="D10756" s="550"/>
      <c r="E10756" s="550"/>
      <c r="F10756" s="550"/>
      <c r="G10756" s="550" t="s">
        <v>21</v>
      </c>
      <c r="H10756" s="550" t="s">
        <v>91</v>
      </c>
      <c r="I10756" s="551">
        <v>6.97</v>
      </c>
      <c r="J10756" s="765">
        <v>10.5</v>
      </c>
      <c r="K10756" s="766">
        <v>23</v>
      </c>
      <c r="L10756" s="552">
        <f t="shared" si="2212"/>
        <v>1.6832550000000002</v>
      </c>
      <c r="M10756" s="550"/>
      <c r="N10756" s="550"/>
      <c r="O10756" s="550"/>
      <c r="P10756" s="550"/>
      <c r="Q10756" s="497">
        <v>10</v>
      </c>
      <c r="R10756" s="126">
        <f t="shared" si="2213"/>
        <v>0.73185</v>
      </c>
    </row>
    <row r="10757" spans="1:19" ht="17.399999999999999">
      <c r="A10757" s="550"/>
      <c r="B10757" s="550"/>
      <c r="C10757" s="550"/>
      <c r="D10757" s="550"/>
      <c r="E10757" s="550"/>
      <c r="F10757" s="550"/>
      <c r="G10757" s="550" t="s">
        <v>21</v>
      </c>
      <c r="H10757" s="550" t="s">
        <v>91</v>
      </c>
      <c r="I10757" s="551">
        <v>6.97</v>
      </c>
      <c r="J10757" s="765">
        <v>11.5</v>
      </c>
      <c r="K10757" s="766">
        <v>23</v>
      </c>
      <c r="L10757" s="552">
        <f t="shared" si="2212"/>
        <v>1.8435650000000001</v>
      </c>
      <c r="M10757" s="550"/>
      <c r="N10757" s="550"/>
      <c r="O10757" s="550"/>
      <c r="P10757" s="550"/>
      <c r="Q10757" s="497">
        <v>4</v>
      </c>
      <c r="R10757" s="126">
        <f t="shared" si="2213"/>
        <v>0.32062000000000002</v>
      </c>
    </row>
    <row r="10758" spans="1:19" ht="17.399999999999999">
      <c r="A10758" s="550"/>
      <c r="B10758" s="550"/>
      <c r="C10758" s="550"/>
      <c r="D10758" s="550"/>
      <c r="E10758" s="550"/>
      <c r="F10758" s="550"/>
      <c r="G10758" s="550" t="s">
        <v>21</v>
      </c>
      <c r="H10758" s="550" t="s">
        <v>91</v>
      </c>
      <c r="I10758" s="551">
        <v>6.97</v>
      </c>
      <c r="J10758" s="765">
        <v>12</v>
      </c>
      <c r="K10758" s="766">
        <v>74</v>
      </c>
      <c r="L10758" s="552">
        <f t="shared" si="2212"/>
        <v>6.1893599999999998</v>
      </c>
      <c r="M10758" s="550"/>
      <c r="N10758" s="550"/>
      <c r="O10758" s="550"/>
      <c r="P10758" s="550"/>
      <c r="Q10758" s="497">
        <v>20</v>
      </c>
      <c r="R10758" s="126">
        <f t="shared" si="2213"/>
        <v>1.6728000000000001</v>
      </c>
    </row>
    <row r="10759" spans="1:19" ht="17.399999999999999">
      <c r="A10759" s="550"/>
      <c r="B10759" s="550"/>
      <c r="C10759" s="550"/>
      <c r="D10759" s="550"/>
      <c r="E10759" s="550"/>
      <c r="F10759" s="550"/>
      <c r="G10759" s="550"/>
      <c r="H10759" s="550"/>
      <c r="I10759" s="551"/>
      <c r="J10759" s="765"/>
      <c r="K10759" s="766">
        <f t="shared" ref="K10759" si="2214">SUM(K10754:K10758)</f>
        <v>127</v>
      </c>
      <c r="L10759" s="709">
        <f>SUM(L10754:L10758)</f>
        <v>10.201989000000001</v>
      </c>
      <c r="M10759" s="550"/>
      <c r="N10759" s="550"/>
      <c r="O10759" s="550"/>
      <c r="P10759" s="550" t="s">
        <v>1288</v>
      </c>
      <c r="Q10759" s="766">
        <f t="shared" ref="Q10759" si="2215">SUM(Q10754:Q10758)</f>
        <v>38</v>
      </c>
      <c r="R10759" s="709">
        <f>SUM(R10754:R10758)</f>
        <v>3.009646</v>
      </c>
    </row>
    <row r="10760" spans="1:19" ht="17.399999999999999">
      <c r="A10760" s="550"/>
      <c r="B10760" s="550"/>
      <c r="C10760" s="550"/>
      <c r="D10760" s="550"/>
      <c r="E10760" s="550"/>
      <c r="F10760" s="550"/>
      <c r="G10760" s="550"/>
      <c r="H10760" s="550"/>
      <c r="I10760" s="551"/>
      <c r="J10760" s="765"/>
      <c r="K10760" s="766">
        <f>SUM(K10745:K10759)/2</f>
        <v>721</v>
      </c>
      <c r="L10760" s="709">
        <f>SUM(L10745:L10759)/2</f>
        <v>51.168860999999993</v>
      </c>
      <c r="M10760" s="766">
        <f>SUM(M10745:M10759)/2</f>
        <v>5</v>
      </c>
      <c r="N10760" s="709">
        <f>SUM(N10745:N10759)/2</f>
        <v>0.35128799999999993</v>
      </c>
      <c r="O10760" s="550"/>
      <c r="P10760" s="550"/>
    </row>
    <row r="10761" spans="1:19" ht="17.399999999999999">
      <c r="A10761" s="549"/>
      <c r="B10761" s="549"/>
      <c r="C10761" s="549"/>
      <c r="D10761" s="549"/>
      <c r="E10761" s="549"/>
      <c r="F10761" s="549"/>
      <c r="G10761" s="549"/>
      <c r="H10761" s="549"/>
      <c r="I10761" s="558"/>
      <c r="J10761" s="567"/>
      <c r="K10761" s="648"/>
      <c r="L10761" s="565"/>
      <c r="M10761" s="549"/>
      <c r="N10761" s="549"/>
      <c r="O10761" s="549"/>
      <c r="P10761" s="549"/>
    </row>
    <row r="10762" spans="1:19" ht="17.399999999999999">
      <c r="A10762" s="549"/>
      <c r="B10762" s="549"/>
      <c r="C10762" s="549"/>
      <c r="D10762" s="549"/>
      <c r="E10762" s="549"/>
      <c r="F10762" s="549"/>
      <c r="G10762" s="549"/>
      <c r="H10762" s="549"/>
      <c r="I10762" s="560"/>
      <c r="J10762" s="549"/>
      <c r="K10762" s="561"/>
      <c r="L10762" s="561"/>
      <c r="M10762" s="549"/>
      <c r="N10762" s="549"/>
      <c r="O10762" s="549"/>
      <c r="P10762" s="549"/>
    </row>
    <row r="10763" spans="1:19" ht="17.399999999999999">
      <c r="A10763" s="549"/>
      <c r="B10763" s="549"/>
      <c r="C10763" s="549"/>
      <c r="D10763" s="549"/>
      <c r="E10763" s="549"/>
      <c r="F10763" s="549"/>
      <c r="G10763" s="549"/>
      <c r="H10763" s="549"/>
      <c r="I10763" s="560"/>
      <c r="J10763" s="549"/>
      <c r="K10763" s="561"/>
      <c r="L10763" s="561"/>
      <c r="M10763" s="549"/>
      <c r="N10763" s="549"/>
      <c r="O10763" s="549"/>
      <c r="P10763" s="549"/>
    </row>
    <row r="10764" spans="1:19" ht="17.399999999999999">
      <c r="A10764" s="549"/>
      <c r="B10764" s="549"/>
      <c r="C10764" s="549"/>
      <c r="D10764" s="549"/>
      <c r="E10764" s="549"/>
      <c r="F10764" s="549"/>
      <c r="G10764" s="549"/>
      <c r="H10764" s="549"/>
      <c r="I10764" s="560"/>
      <c r="J10764" s="549"/>
      <c r="K10764" s="561"/>
      <c r="L10764" s="561"/>
      <c r="M10764" s="549"/>
      <c r="N10764" s="549"/>
      <c r="O10764" s="549"/>
      <c r="P10764" s="549"/>
    </row>
    <row r="10765" spans="1:19" ht="17.399999999999999">
      <c r="A10765" s="549"/>
      <c r="B10765" s="549"/>
      <c r="C10765" s="549"/>
      <c r="D10765" s="549"/>
      <c r="E10765" s="549"/>
      <c r="F10765" s="549"/>
      <c r="G10765" s="549"/>
      <c r="H10765" s="549"/>
      <c r="I10765" s="560"/>
      <c r="J10765" s="549"/>
      <c r="K10765" s="561"/>
      <c r="L10765" s="561"/>
      <c r="M10765" s="549"/>
      <c r="N10765" s="549"/>
      <c r="O10765" s="549"/>
      <c r="P10765" s="549"/>
    </row>
    <row r="10766" spans="1:19" ht="17.399999999999999">
      <c r="A10766" s="549"/>
      <c r="B10766" s="549"/>
      <c r="C10766" s="549"/>
      <c r="D10766" s="549"/>
      <c r="E10766" s="549"/>
      <c r="F10766" s="549"/>
      <c r="G10766" s="549"/>
      <c r="H10766" s="549"/>
      <c r="I10766" s="560"/>
      <c r="J10766" s="549"/>
      <c r="K10766" s="561"/>
      <c r="L10766" s="561"/>
      <c r="M10766" s="549"/>
      <c r="N10766" s="549"/>
      <c r="O10766" s="549"/>
      <c r="P10766" s="549"/>
    </row>
    <row r="10767" spans="1:19" ht="17.399999999999999">
      <c r="A10767" s="547" t="s">
        <v>458</v>
      </c>
      <c r="B10767" s="547" t="s">
        <v>1289</v>
      </c>
      <c r="C10767" s="547" t="s">
        <v>446</v>
      </c>
      <c r="D10767" s="813" t="s">
        <v>447</v>
      </c>
      <c r="E10767" s="547" t="s">
        <v>359</v>
      </c>
      <c r="F10767" s="549">
        <v>11</v>
      </c>
      <c r="G10767" s="952" t="s">
        <v>21</v>
      </c>
      <c r="H10767" s="900" t="s">
        <v>91</v>
      </c>
      <c r="I10767" s="1443">
        <v>6.97</v>
      </c>
      <c r="J10767" s="950">
        <v>8.1</v>
      </c>
      <c r="K10767" s="951">
        <v>20</v>
      </c>
      <c r="L10767" s="552">
        <f t="shared" ref="L10767:L10768" si="2216">(I10767*J10767*K10767/1000)</f>
        <v>1.1291399999999998</v>
      </c>
      <c r="M10767" s="549"/>
      <c r="N10767" s="549"/>
      <c r="O10767" s="549"/>
      <c r="P10767" s="549"/>
      <c r="Q10767" s="1487" t="s">
        <v>1305</v>
      </c>
    </row>
    <row r="10768" spans="1:19" ht="17.399999999999999">
      <c r="A10768" s="549"/>
      <c r="B10768" s="549"/>
      <c r="C10768" s="549"/>
      <c r="D10768" s="549"/>
      <c r="E10768" s="549"/>
      <c r="F10768" s="549"/>
      <c r="G10768" s="952" t="s">
        <v>21</v>
      </c>
      <c r="H10768" s="952" t="s">
        <v>91</v>
      </c>
      <c r="I10768" s="1443">
        <v>6.97</v>
      </c>
      <c r="J10768" s="950">
        <v>12</v>
      </c>
      <c r="K10768" s="951">
        <v>42</v>
      </c>
      <c r="L10768" s="552">
        <f t="shared" si="2216"/>
        <v>3.51288</v>
      </c>
      <c r="M10768" s="549"/>
      <c r="N10768" s="549"/>
      <c r="O10768" s="549"/>
      <c r="P10768" s="549"/>
    </row>
    <row r="10769" spans="1:17" ht="17.399999999999999">
      <c r="A10769" s="549"/>
      <c r="B10769" s="549"/>
      <c r="C10769" s="549"/>
      <c r="D10769" s="549"/>
      <c r="E10769" s="549"/>
      <c r="F10769" s="549"/>
      <c r="G10769" s="1463"/>
      <c r="H10769" s="1463"/>
      <c r="I10769" s="1443"/>
      <c r="J10769" s="1469"/>
      <c r="K10769" s="951">
        <f t="shared" ref="K10769:L10769" si="2217">SUM(K10767:K10768)</f>
        <v>62</v>
      </c>
      <c r="L10769" s="777">
        <f t="shared" si="2217"/>
        <v>4.6420199999999996</v>
      </c>
      <c r="M10769" s="549"/>
      <c r="N10769" s="549"/>
      <c r="O10769" s="549"/>
      <c r="P10769" s="549"/>
    </row>
    <row r="10770" spans="1:17" ht="17.399999999999999">
      <c r="A10770" s="549"/>
      <c r="B10770" s="549"/>
      <c r="C10770" s="549"/>
      <c r="D10770" s="549"/>
      <c r="E10770" s="549"/>
      <c r="F10770" s="549"/>
      <c r="G10770" s="1463"/>
      <c r="H10770" s="1463"/>
      <c r="I10770" s="1443"/>
      <c r="J10770" s="1469"/>
      <c r="K10770" s="951"/>
      <c r="L10770" s="777"/>
      <c r="M10770" s="549"/>
      <c r="N10770" s="549"/>
      <c r="O10770" s="549"/>
      <c r="P10770" s="549"/>
    </row>
    <row r="10771" spans="1:17" ht="17.399999999999999">
      <c r="A10771" s="547" t="s">
        <v>272</v>
      </c>
      <c r="B10771" s="547" t="s">
        <v>1290</v>
      </c>
      <c r="C10771" s="547" t="s">
        <v>446</v>
      </c>
      <c r="D10771" s="813" t="s">
        <v>447</v>
      </c>
      <c r="E10771" s="547" t="s">
        <v>359</v>
      </c>
      <c r="F10771" s="549">
        <v>11</v>
      </c>
      <c r="G10771" s="952" t="s">
        <v>21</v>
      </c>
      <c r="H10771" s="900" t="s">
        <v>91</v>
      </c>
      <c r="I10771" s="560">
        <v>6.97</v>
      </c>
      <c r="J10771" s="1470">
        <v>6.5</v>
      </c>
      <c r="K10771" s="951">
        <v>26</v>
      </c>
      <c r="L10771" s="552">
        <f t="shared" ref="L10771:L10775" si="2218">(I10771*J10771*K10771/1000)</f>
        <v>1.1779300000000001</v>
      </c>
      <c r="M10771" s="549"/>
      <c r="N10771" s="549"/>
      <c r="O10771" s="549"/>
      <c r="P10771" s="549"/>
      <c r="Q10771" s="1487" t="s">
        <v>1305</v>
      </c>
    </row>
    <row r="10772" spans="1:17" ht="17.399999999999999">
      <c r="A10772" s="549"/>
      <c r="B10772" s="549"/>
      <c r="C10772" s="549"/>
      <c r="D10772" s="549"/>
      <c r="E10772" s="549"/>
      <c r="F10772" s="549"/>
      <c r="G10772" s="952" t="s">
        <v>21</v>
      </c>
      <c r="H10772" s="952" t="s">
        <v>91</v>
      </c>
      <c r="I10772" s="560">
        <v>6.97</v>
      </c>
      <c r="J10772" s="1470">
        <v>8.25</v>
      </c>
      <c r="K10772" s="951">
        <v>113</v>
      </c>
      <c r="L10772" s="552">
        <f t="shared" si="2218"/>
        <v>6.4977824999999996</v>
      </c>
      <c r="M10772" s="549"/>
      <c r="N10772" s="549"/>
      <c r="O10772" s="549"/>
      <c r="P10772" s="549"/>
    </row>
    <row r="10773" spans="1:17" ht="17.399999999999999">
      <c r="A10773" s="549"/>
      <c r="B10773" s="549"/>
      <c r="C10773" s="549"/>
      <c r="D10773" s="549"/>
      <c r="E10773" s="549"/>
      <c r="F10773" s="549"/>
      <c r="G10773" s="952" t="s">
        <v>21</v>
      </c>
      <c r="H10773" s="952" t="s">
        <v>91</v>
      </c>
      <c r="I10773" s="560">
        <v>6.97</v>
      </c>
      <c r="J10773" s="1470">
        <v>10</v>
      </c>
      <c r="K10773" s="951">
        <v>24</v>
      </c>
      <c r="L10773" s="552">
        <f t="shared" si="2218"/>
        <v>1.6728000000000003</v>
      </c>
      <c r="M10773" s="549"/>
      <c r="N10773" s="549"/>
      <c r="O10773" s="549"/>
      <c r="P10773" s="549"/>
    </row>
    <row r="10774" spans="1:17" ht="17.399999999999999">
      <c r="A10774" s="549"/>
      <c r="B10774" s="549"/>
      <c r="C10774" s="549"/>
      <c r="D10774" s="549"/>
      <c r="E10774" s="549"/>
      <c r="F10774" s="549"/>
      <c r="G10774" s="952" t="s">
        <v>21</v>
      </c>
      <c r="H10774" s="952" t="s">
        <v>91</v>
      </c>
      <c r="I10774" s="560">
        <v>6.97</v>
      </c>
      <c r="J10774" s="1470">
        <v>11</v>
      </c>
      <c r="K10774" s="951">
        <v>21</v>
      </c>
      <c r="L10774" s="552">
        <f t="shared" si="2218"/>
        <v>1.6100699999999999</v>
      </c>
      <c r="M10774" s="549"/>
      <c r="N10774" s="549"/>
      <c r="O10774" s="549"/>
      <c r="P10774" s="549"/>
    </row>
    <row r="10775" spans="1:17" ht="17.399999999999999">
      <c r="A10775" s="549"/>
      <c r="B10775" s="549"/>
      <c r="C10775" s="549"/>
      <c r="D10775" s="549"/>
      <c r="E10775" s="549"/>
      <c r="F10775" s="549"/>
      <c r="G10775" s="952" t="s">
        <v>21</v>
      </c>
      <c r="H10775" s="952" t="s">
        <v>91</v>
      </c>
      <c r="I10775" s="560">
        <v>6.97</v>
      </c>
      <c r="J10775" s="1470">
        <v>12</v>
      </c>
      <c r="K10775" s="951">
        <v>92</v>
      </c>
      <c r="L10775" s="552">
        <f t="shared" si="2218"/>
        <v>7.6948800000000004</v>
      </c>
      <c r="M10775" s="549"/>
      <c r="N10775" s="549"/>
      <c r="O10775" s="549"/>
      <c r="P10775" s="549"/>
    </row>
    <row r="10776" spans="1:17" ht="17.399999999999999">
      <c r="A10776" s="549"/>
      <c r="B10776" s="549"/>
      <c r="C10776" s="549"/>
      <c r="D10776" s="549"/>
      <c r="E10776" s="549"/>
      <c r="F10776" s="549"/>
      <c r="G10776" s="1463"/>
      <c r="H10776" s="1463"/>
      <c r="I10776" s="560"/>
      <c r="J10776" s="1468"/>
      <c r="K10776" s="951">
        <f t="shared" ref="K10776:N10776" si="2219">SUM(K10771:K10775)</f>
        <v>276</v>
      </c>
      <c r="L10776" s="950">
        <f t="shared" si="2219"/>
        <v>18.6534625</v>
      </c>
      <c r="M10776" s="951">
        <f t="shared" si="2219"/>
        <v>0</v>
      </c>
      <c r="N10776" s="950">
        <f t="shared" si="2219"/>
        <v>0</v>
      </c>
      <c r="O10776" s="549"/>
      <c r="P10776" s="549"/>
    </row>
    <row r="10777" spans="1:17" ht="17.399999999999999">
      <c r="A10777" s="549"/>
      <c r="B10777" s="549"/>
      <c r="C10777" s="549"/>
      <c r="D10777" s="549"/>
      <c r="E10777" s="549"/>
      <c r="F10777" s="549"/>
      <c r="G10777" s="1463"/>
      <c r="H10777" s="1463"/>
      <c r="I10777" s="560"/>
      <c r="J10777" s="1468"/>
      <c r="K10777" s="951"/>
      <c r="L10777" s="950"/>
      <c r="M10777" s="549"/>
      <c r="N10777" s="549"/>
      <c r="O10777" s="549"/>
      <c r="P10777" s="549"/>
    </row>
    <row r="10778" spans="1:17" ht="18">
      <c r="A10778" s="547" t="s">
        <v>458</v>
      </c>
      <c r="B10778" s="547" t="s">
        <v>1285</v>
      </c>
      <c r="C10778" s="547" t="s">
        <v>446</v>
      </c>
      <c r="D10778" s="813" t="s">
        <v>447</v>
      </c>
      <c r="E10778" s="547" t="s">
        <v>359</v>
      </c>
      <c r="F10778" s="549">
        <v>11</v>
      </c>
      <c r="G10778" s="952" t="s">
        <v>21</v>
      </c>
      <c r="H10778" s="900" t="s">
        <v>91</v>
      </c>
      <c r="I10778" s="560">
        <v>6.97</v>
      </c>
      <c r="J10778" s="1464">
        <v>9.15</v>
      </c>
      <c r="K10778" s="951">
        <v>11</v>
      </c>
      <c r="L10778" s="552">
        <f>(I10778*J10778*K10778/1000)</f>
        <v>0.70153049999999995</v>
      </c>
      <c r="M10778" s="898"/>
      <c r="N10778" s="898"/>
      <c r="O10778" s="898"/>
      <c r="P10778" s="898"/>
      <c r="Q10778" s="1487" t="s">
        <v>1305</v>
      </c>
    </row>
    <row r="10779" spans="1:17" ht="18">
      <c r="A10779" s="549"/>
      <c r="B10779" s="549"/>
      <c r="C10779" s="549"/>
      <c r="D10779" s="549"/>
      <c r="E10779" s="549"/>
      <c r="F10779" s="549"/>
      <c r="G10779" s="1463"/>
      <c r="H10779" s="1463"/>
      <c r="I10779" s="560"/>
      <c r="J10779" s="1468"/>
      <c r="K10779" s="951">
        <f>SUM(K10778:K10778)</f>
        <v>11</v>
      </c>
      <c r="L10779" s="950">
        <f>SUM(L10778:L10778)</f>
        <v>0.70153049999999995</v>
      </c>
      <c r="M10779" s="898"/>
      <c r="N10779" s="898"/>
      <c r="O10779" s="898"/>
      <c r="P10779" s="898"/>
    </row>
    <row r="10780" spans="1:17" ht="18">
      <c r="A10780" s="549"/>
      <c r="B10780" s="549"/>
      <c r="C10780" s="549"/>
      <c r="D10780" s="549"/>
      <c r="E10780" s="549"/>
      <c r="F10780" s="549"/>
      <c r="G10780" s="1463"/>
      <c r="H10780" s="1463"/>
      <c r="I10780" s="560"/>
      <c r="J10780" s="1468"/>
      <c r="K10780" s="1471">
        <f>SUM(K10767:K10779)/2</f>
        <v>349</v>
      </c>
      <c r="L10780" s="950">
        <f>SUM(L10767:L10779)/2</f>
        <v>23.997012999999995</v>
      </c>
      <c r="M10780" s="898"/>
      <c r="N10780" s="898"/>
      <c r="O10780" s="898"/>
      <c r="P10780" s="549" t="s">
        <v>1291</v>
      </c>
    </row>
    <row r="10781" spans="1:17" ht="18">
      <c r="A10781" s="549"/>
      <c r="B10781" s="549"/>
      <c r="C10781" s="549"/>
      <c r="D10781" s="549"/>
      <c r="E10781" s="549"/>
      <c r="F10781" s="549"/>
      <c r="G10781" s="1463"/>
      <c r="H10781" s="1463"/>
      <c r="I10781" s="560"/>
      <c r="J10781" s="1468"/>
      <c r="K10781" s="951"/>
      <c r="L10781" s="950"/>
      <c r="M10781" s="898"/>
      <c r="N10781" s="898"/>
      <c r="O10781" s="898"/>
      <c r="P10781" s="898"/>
    </row>
    <row r="10782" spans="1:17" ht="18">
      <c r="A10782" s="898"/>
      <c r="B10782" s="898"/>
      <c r="C10782" s="898"/>
      <c r="D10782" s="898"/>
      <c r="E10782" s="898"/>
      <c r="F10782" s="898"/>
      <c r="G10782" s="898"/>
      <c r="H10782" s="898"/>
      <c r="I10782" s="920"/>
      <c r="J10782" s="898"/>
      <c r="K10782" s="921"/>
      <c r="L10782" s="921"/>
      <c r="M10782" s="898"/>
      <c r="N10782" s="898"/>
      <c r="O10782" s="898"/>
      <c r="P10782" s="898"/>
    </row>
    <row r="10783" spans="1:17" ht="17.399999999999999">
      <c r="A10783" s="547" t="s">
        <v>272</v>
      </c>
      <c r="B10783" s="547" t="s">
        <v>1290</v>
      </c>
      <c r="C10783" s="547" t="s">
        <v>446</v>
      </c>
      <c r="D10783" s="813" t="s">
        <v>447</v>
      </c>
      <c r="E10783" s="547" t="s">
        <v>359</v>
      </c>
      <c r="F10783" s="549">
        <v>11</v>
      </c>
      <c r="G10783" s="952" t="s">
        <v>21</v>
      </c>
      <c r="H10783" s="900" t="s">
        <v>53</v>
      </c>
      <c r="I10783" s="560">
        <v>8.32</v>
      </c>
      <c r="J10783" s="1470">
        <v>6.5</v>
      </c>
      <c r="K10783" s="951">
        <v>30</v>
      </c>
      <c r="L10783" s="552">
        <f t="shared" ref="L10783:L10786" si="2220">(I10783*J10783*K10783/1000)</f>
        <v>1.6223999999999998</v>
      </c>
      <c r="M10783" s="549"/>
      <c r="N10783" s="549"/>
      <c r="O10783" s="549"/>
      <c r="P10783" s="549"/>
      <c r="Q10783" s="1487" t="s">
        <v>1305</v>
      </c>
    </row>
    <row r="10784" spans="1:17" ht="17.399999999999999">
      <c r="A10784" s="549"/>
      <c r="B10784" s="549"/>
      <c r="C10784" s="549"/>
      <c r="D10784" s="549"/>
      <c r="E10784" s="549"/>
      <c r="F10784" s="549"/>
      <c r="G10784" s="952" t="s">
        <v>21</v>
      </c>
      <c r="H10784" s="952" t="s">
        <v>53</v>
      </c>
      <c r="I10784" s="560">
        <v>8.32</v>
      </c>
      <c r="J10784" s="1470">
        <v>10</v>
      </c>
      <c r="K10784" s="951">
        <v>93</v>
      </c>
      <c r="L10784" s="552">
        <f t="shared" si="2220"/>
        <v>7.7376000000000005</v>
      </c>
      <c r="M10784" s="549"/>
      <c r="N10784" s="549"/>
      <c r="O10784" s="549"/>
      <c r="P10784" s="549"/>
    </row>
    <row r="10785" spans="1:17" ht="17.399999999999999">
      <c r="A10785" s="549"/>
      <c r="B10785" s="549"/>
      <c r="C10785" s="549"/>
      <c r="D10785" s="549"/>
      <c r="E10785" s="549"/>
      <c r="F10785" s="549"/>
      <c r="G10785" s="952" t="s">
        <v>21</v>
      </c>
      <c r="H10785" s="952" t="s">
        <v>53</v>
      </c>
      <c r="I10785" s="560">
        <v>8.32</v>
      </c>
      <c r="J10785" s="1470">
        <v>10.5</v>
      </c>
      <c r="K10785" s="951">
        <v>32</v>
      </c>
      <c r="L10785" s="552">
        <f t="shared" si="2220"/>
        <v>2.7955199999999998</v>
      </c>
      <c r="M10785" s="549"/>
      <c r="N10785" s="549"/>
      <c r="O10785" s="549"/>
      <c r="P10785" s="549"/>
    </row>
    <row r="10786" spans="1:17" ht="17.399999999999999">
      <c r="A10786" s="549"/>
      <c r="B10786" s="549"/>
      <c r="C10786" s="549"/>
      <c r="D10786" s="549"/>
      <c r="E10786" s="549"/>
      <c r="F10786" s="549"/>
      <c r="G10786" s="952" t="s">
        <v>21</v>
      </c>
      <c r="H10786" s="952" t="s">
        <v>53</v>
      </c>
      <c r="I10786" s="560">
        <v>8.32</v>
      </c>
      <c r="J10786" s="1470">
        <v>12</v>
      </c>
      <c r="K10786" s="951">
        <v>139</v>
      </c>
      <c r="L10786" s="552">
        <f t="shared" si="2220"/>
        <v>13.87776</v>
      </c>
      <c r="M10786" s="549"/>
      <c r="N10786" s="549"/>
      <c r="O10786" s="549"/>
      <c r="P10786" s="549"/>
    </row>
    <row r="10787" spans="1:17" ht="17.399999999999999">
      <c r="A10787" s="549"/>
      <c r="B10787" s="549"/>
      <c r="C10787" s="549"/>
      <c r="D10787" s="549"/>
      <c r="E10787" s="549"/>
      <c r="F10787" s="549"/>
      <c r="G10787" s="1463"/>
      <c r="H10787" s="1463"/>
      <c r="I10787" s="560"/>
      <c r="J10787" s="1468"/>
      <c r="K10787" s="951">
        <f t="shared" ref="K10787:L10787" si="2221">SUM(K10783:K10786)</f>
        <v>294</v>
      </c>
      <c r="L10787" s="950">
        <f t="shared" si="2221"/>
        <v>26.033279999999998</v>
      </c>
      <c r="M10787" s="549"/>
      <c r="N10787" s="549"/>
      <c r="O10787" s="549"/>
      <c r="P10787" s="549"/>
    </row>
    <row r="10788" spans="1:17" ht="17.399999999999999">
      <c r="A10788" s="549"/>
      <c r="B10788" s="549"/>
      <c r="C10788" s="549"/>
      <c r="D10788" s="549"/>
      <c r="E10788" s="549"/>
      <c r="F10788" s="549"/>
      <c r="G10788" s="1463"/>
      <c r="H10788" s="1463"/>
      <c r="I10788" s="560"/>
      <c r="J10788" s="1468"/>
      <c r="K10788" s="951"/>
      <c r="L10788" s="950"/>
      <c r="M10788" s="549"/>
      <c r="N10788" s="549"/>
      <c r="O10788" s="549"/>
      <c r="P10788" s="549"/>
    </row>
    <row r="10789" spans="1:17" ht="17.399999999999999">
      <c r="A10789" s="547" t="s">
        <v>458</v>
      </c>
      <c r="B10789" s="547" t="s">
        <v>1289</v>
      </c>
      <c r="C10789" s="547" t="s">
        <v>446</v>
      </c>
      <c r="D10789" s="813" t="s">
        <v>447</v>
      </c>
      <c r="E10789" s="547" t="s">
        <v>359</v>
      </c>
      <c r="F10789" s="549">
        <v>11</v>
      </c>
      <c r="G10789" s="952" t="s">
        <v>21</v>
      </c>
      <c r="H10789" s="900" t="s">
        <v>53</v>
      </c>
      <c r="I10789" s="1443">
        <v>8.32</v>
      </c>
      <c r="J10789" s="950">
        <v>7.35</v>
      </c>
      <c r="K10789" s="951">
        <v>83</v>
      </c>
      <c r="L10789" s="552">
        <f t="shared" ref="L10789:L10800" si="2222">(I10789*J10789*K10789/1000)</f>
        <v>5.0756160000000001</v>
      </c>
      <c r="M10789" s="549"/>
      <c r="N10789" s="549"/>
      <c r="O10789" s="549"/>
      <c r="P10789" s="549"/>
      <c r="Q10789" s="1487" t="s">
        <v>1305</v>
      </c>
    </row>
    <row r="10790" spans="1:17" ht="17.399999999999999">
      <c r="A10790" s="549"/>
      <c r="B10790" s="549"/>
      <c r="C10790" s="549"/>
      <c r="D10790" s="549"/>
      <c r="E10790" s="549"/>
      <c r="F10790" s="549"/>
      <c r="G10790" s="952" t="s">
        <v>21</v>
      </c>
      <c r="H10790" s="952" t="s">
        <v>53</v>
      </c>
      <c r="I10790" s="1443">
        <v>8.32</v>
      </c>
      <c r="J10790" s="950">
        <v>8</v>
      </c>
      <c r="K10790" s="951">
        <v>69</v>
      </c>
      <c r="L10790" s="552">
        <f t="shared" si="2222"/>
        <v>4.5926400000000003</v>
      </c>
      <c r="M10790" s="549"/>
      <c r="N10790" s="549"/>
      <c r="O10790" s="549"/>
      <c r="P10790" s="549"/>
    </row>
    <row r="10791" spans="1:17" ht="17.399999999999999">
      <c r="A10791" s="549"/>
      <c r="B10791" s="549"/>
      <c r="C10791" s="549"/>
      <c r="D10791" s="549"/>
      <c r="E10791" s="549"/>
      <c r="F10791" s="549"/>
      <c r="G10791" s="952" t="s">
        <v>21</v>
      </c>
      <c r="H10791" s="952" t="s">
        <v>53</v>
      </c>
      <c r="I10791" s="1443">
        <v>8.32</v>
      </c>
      <c r="J10791" s="950">
        <v>8.5</v>
      </c>
      <c r="K10791" s="951">
        <v>49</v>
      </c>
      <c r="L10791" s="552">
        <f t="shared" si="2222"/>
        <v>3.4652799999999999</v>
      </c>
      <c r="M10791" s="549"/>
      <c r="N10791" s="549"/>
      <c r="O10791" s="549"/>
      <c r="P10791" s="549"/>
    </row>
    <row r="10792" spans="1:17" ht="17.399999999999999">
      <c r="A10792" s="549"/>
      <c r="B10792" s="549"/>
      <c r="C10792" s="549"/>
      <c r="D10792" s="549"/>
      <c r="E10792" s="549"/>
      <c r="F10792" s="549"/>
      <c r="G10792" s="952" t="s">
        <v>21</v>
      </c>
      <c r="H10792" s="952" t="s">
        <v>53</v>
      </c>
      <c r="I10792" s="1443">
        <v>8.32</v>
      </c>
      <c r="J10792" s="950">
        <v>9</v>
      </c>
      <c r="K10792" s="951">
        <v>57</v>
      </c>
      <c r="L10792" s="552">
        <f t="shared" si="2222"/>
        <v>4.26816</v>
      </c>
      <c r="M10792" s="549"/>
      <c r="N10792" s="549"/>
      <c r="O10792" s="549"/>
      <c r="P10792" s="549"/>
    </row>
    <row r="10793" spans="1:17" ht="17.399999999999999">
      <c r="A10793" s="549"/>
      <c r="B10793" s="549"/>
      <c r="C10793" s="549"/>
      <c r="D10793" s="549"/>
      <c r="E10793" s="549"/>
      <c r="F10793" s="549"/>
      <c r="G10793" s="952" t="s">
        <v>21</v>
      </c>
      <c r="H10793" s="952" t="s">
        <v>53</v>
      </c>
      <c r="I10793" s="1443">
        <v>8.32</v>
      </c>
      <c r="J10793" s="950">
        <v>10</v>
      </c>
      <c r="K10793" s="951">
        <v>76</v>
      </c>
      <c r="L10793" s="552">
        <f t="shared" si="2222"/>
        <v>6.3231999999999999</v>
      </c>
      <c r="M10793" s="549"/>
      <c r="N10793" s="549"/>
      <c r="O10793" s="549"/>
      <c r="P10793" s="549"/>
    </row>
    <row r="10794" spans="1:17" ht="17.399999999999999">
      <c r="A10794" s="549"/>
      <c r="B10794" s="549"/>
      <c r="C10794" s="549"/>
      <c r="D10794" s="549"/>
      <c r="E10794" s="549"/>
      <c r="F10794" s="549"/>
      <c r="G10794" s="952" t="s">
        <v>21</v>
      </c>
      <c r="H10794" s="952" t="s">
        <v>53</v>
      </c>
      <c r="I10794" s="1443">
        <v>8.32</v>
      </c>
      <c r="J10794" s="950">
        <v>10.1</v>
      </c>
      <c r="K10794" s="951">
        <v>64</v>
      </c>
      <c r="L10794" s="552">
        <f t="shared" si="2222"/>
        <v>5.3780479999999997</v>
      </c>
      <c r="M10794" s="549"/>
      <c r="N10794" s="549"/>
      <c r="O10794" s="549"/>
      <c r="P10794" s="549"/>
    </row>
    <row r="10795" spans="1:17" ht="17.399999999999999">
      <c r="A10795" s="549"/>
      <c r="B10795" s="549"/>
      <c r="C10795" s="549"/>
      <c r="D10795" s="549"/>
      <c r="E10795" s="549"/>
      <c r="F10795" s="549"/>
      <c r="G10795" s="952" t="s">
        <v>21</v>
      </c>
      <c r="H10795" s="952" t="s">
        <v>53</v>
      </c>
      <c r="I10795" s="1443">
        <v>8.32</v>
      </c>
      <c r="J10795" s="950">
        <v>10.5</v>
      </c>
      <c r="K10795" s="951">
        <v>75</v>
      </c>
      <c r="L10795" s="552">
        <f t="shared" si="2222"/>
        <v>6.5519999999999996</v>
      </c>
      <c r="M10795" s="549"/>
      <c r="N10795" s="549"/>
      <c r="O10795" s="549"/>
      <c r="P10795" s="549"/>
    </row>
    <row r="10796" spans="1:17" ht="17.399999999999999">
      <c r="A10796" s="549"/>
      <c r="B10796" s="549"/>
      <c r="C10796" s="549"/>
      <c r="D10796" s="549"/>
      <c r="E10796" s="549"/>
      <c r="F10796" s="549"/>
      <c r="G10796" s="952" t="s">
        <v>21</v>
      </c>
      <c r="H10796" s="952" t="s">
        <v>53</v>
      </c>
      <c r="I10796" s="1443">
        <v>8.32</v>
      </c>
      <c r="J10796" s="950">
        <v>11</v>
      </c>
      <c r="K10796" s="951">
        <v>87</v>
      </c>
      <c r="L10796" s="552">
        <f t="shared" si="2222"/>
        <v>7.9622400000000004</v>
      </c>
      <c r="M10796" s="549"/>
      <c r="N10796" s="549"/>
      <c r="O10796" s="549"/>
      <c r="P10796" s="549"/>
    </row>
    <row r="10797" spans="1:17" ht="17.399999999999999">
      <c r="A10797" s="549"/>
      <c r="B10797" s="549"/>
      <c r="C10797" s="549"/>
      <c r="D10797" s="549"/>
      <c r="E10797" s="549"/>
      <c r="F10797" s="549"/>
      <c r="G10797" s="952" t="s">
        <v>21</v>
      </c>
      <c r="H10797" s="952" t="s">
        <v>53</v>
      </c>
      <c r="I10797" s="1443">
        <v>8.32</v>
      </c>
      <c r="J10797" s="950">
        <v>11.5</v>
      </c>
      <c r="K10797" s="1594">
        <v>39</v>
      </c>
      <c r="L10797" s="552">
        <f t="shared" si="2222"/>
        <v>3.7315200000000006</v>
      </c>
      <c r="M10797" s="549"/>
      <c r="N10797" s="549"/>
      <c r="O10797" s="549"/>
      <c r="P10797" s="549"/>
    </row>
    <row r="10798" spans="1:17" ht="17.399999999999999">
      <c r="A10798" s="549"/>
      <c r="B10798" s="549"/>
      <c r="C10798" s="549"/>
      <c r="D10798" s="549"/>
      <c r="E10798" s="549"/>
      <c r="F10798" s="549"/>
      <c r="G10798" s="952" t="s">
        <v>21</v>
      </c>
      <c r="H10798" s="952" t="s">
        <v>53</v>
      </c>
      <c r="I10798" s="1443">
        <v>8.32</v>
      </c>
      <c r="J10798" s="950">
        <v>11.55</v>
      </c>
      <c r="K10798" s="951">
        <v>53</v>
      </c>
      <c r="L10798" s="552">
        <f t="shared" si="2222"/>
        <v>5.0930879999999998</v>
      </c>
      <c r="M10798" s="549"/>
      <c r="N10798" s="549"/>
      <c r="O10798" s="549"/>
      <c r="P10798" s="549"/>
    </row>
    <row r="10799" spans="1:17" ht="17.399999999999999">
      <c r="A10799" s="549"/>
      <c r="B10799" s="549"/>
      <c r="C10799" s="549"/>
      <c r="D10799" s="549"/>
      <c r="E10799" s="549"/>
      <c r="F10799" s="549"/>
      <c r="G10799" s="952" t="s">
        <v>21</v>
      </c>
      <c r="H10799" s="952" t="s">
        <v>53</v>
      </c>
      <c r="I10799" s="1443">
        <v>8.32</v>
      </c>
      <c r="J10799" s="950">
        <v>11.6</v>
      </c>
      <c r="K10799" s="951">
        <v>36</v>
      </c>
      <c r="L10799" s="552">
        <f t="shared" si="2222"/>
        <v>3.4744319999999997</v>
      </c>
      <c r="M10799" s="549"/>
      <c r="N10799" s="549"/>
      <c r="O10799" s="549"/>
      <c r="P10799" s="549"/>
    </row>
    <row r="10800" spans="1:17" ht="17.399999999999999">
      <c r="A10800" s="549"/>
      <c r="B10800" s="549"/>
      <c r="C10800" s="549"/>
      <c r="D10800" s="549"/>
      <c r="E10800" s="549"/>
      <c r="F10800" s="549"/>
      <c r="G10800" s="952" t="s">
        <v>21</v>
      </c>
      <c r="H10800" s="952" t="s">
        <v>53</v>
      </c>
      <c r="I10800" s="1443">
        <v>8.32</v>
      </c>
      <c r="J10800" s="950">
        <v>12</v>
      </c>
      <c r="K10800" s="951">
        <v>170</v>
      </c>
      <c r="L10800" s="552">
        <f t="shared" si="2222"/>
        <v>16.972799999999999</v>
      </c>
      <c r="M10800" s="549"/>
      <c r="N10800" s="549"/>
      <c r="O10800" s="549"/>
      <c r="P10800" s="549"/>
    </row>
    <row r="10801" spans="1:17" ht="17.399999999999999">
      <c r="A10801" s="549"/>
      <c r="B10801" s="549"/>
      <c r="C10801" s="549"/>
      <c r="D10801" s="549"/>
      <c r="E10801" s="549"/>
      <c r="F10801" s="549"/>
      <c r="G10801" s="1463"/>
      <c r="H10801" s="1463"/>
      <c r="I10801" s="1443"/>
      <c r="J10801" s="1469"/>
      <c r="K10801" s="951">
        <f t="shared" ref="K10801:L10801" si="2223">SUM(K10789:K10800)</f>
        <v>858</v>
      </c>
      <c r="L10801" s="777">
        <f t="shared" si="2223"/>
        <v>72.889024000000006</v>
      </c>
      <c r="M10801" s="549"/>
      <c r="N10801" s="549"/>
      <c r="O10801" s="549"/>
      <c r="P10801" s="549"/>
    </row>
    <row r="10802" spans="1:17" ht="17.399999999999999">
      <c r="A10802" s="549"/>
      <c r="B10802" s="549"/>
      <c r="C10802" s="549"/>
      <c r="D10802" s="549"/>
      <c r="E10802" s="549"/>
      <c r="F10802" s="549"/>
      <c r="G10802" s="1463"/>
      <c r="H10802" s="1463"/>
      <c r="I10802" s="1443"/>
      <c r="J10802" s="1469"/>
      <c r="K10802" s="951"/>
      <c r="L10802" s="777"/>
      <c r="M10802" s="549"/>
      <c r="N10802" s="549"/>
      <c r="O10802" s="549"/>
      <c r="P10802" s="549"/>
    </row>
    <row r="10803" spans="1:17" ht="18">
      <c r="A10803" s="547" t="s">
        <v>458</v>
      </c>
      <c r="B10803" s="547" t="s">
        <v>1285</v>
      </c>
      <c r="C10803" s="547" t="s">
        <v>446</v>
      </c>
      <c r="D10803" s="813" t="s">
        <v>447</v>
      </c>
      <c r="E10803" s="547" t="s">
        <v>359</v>
      </c>
      <c r="F10803" s="549">
        <v>11</v>
      </c>
      <c r="G10803" s="952" t="s">
        <v>21</v>
      </c>
      <c r="H10803" s="900" t="s">
        <v>53</v>
      </c>
      <c r="I10803" s="560">
        <v>8.32</v>
      </c>
      <c r="J10803" s="1464">
        <v>7.75</v>
      </c>
      <c r="K10803" s="951">
        <v>8</v>
      </c>
      <c r="L10803" s="552">
        <f t="shared" ref="L10803:L10808" si="2224">(I10803*J10803*K10803/1000)</f>
        <v>0.51584000000000008</v>
      </c>
      <c r="M10803" s="898"/>
      <c r="N10803" s="898"/>
      <c r="O10803" s="898"/>
      <c r="P10803" s="898"/>
      <c r="Q10803" s="1487" t="s">
        <v>1305</v>
      </c>
    </row>
    <row r="10804" spans="1:17" ht="18">
      <c r="A10804" s="549"/>
      <c r="B10804" s="549"/>
      <c r="C10804" s="549"/>
      <c r="D10804" s="549"/>
      <c r="E10804" s="549"/>
      <c r="F10804" s="549"/>
      <c r="G10804" s="952" t="s">
        <v>21</v>
      </c>
      <c r="H10804" s="952" t="s">
        <v>53</v>
      </c>
      <c r="I10804" s="560">
        <v>8.32</v>
      </c>
      <c r="J10804" s="1464">
        <v>9.5</v>
      </c>
      <c r="K10804" s="1467">
        <v>12</v>
      </c>
      <c r="L10804" s="552">
        <f t="shared" si="2224"/>
        <v>0.94847999999999999</v>
      </c>
      <c r="M10804" s="898"/>
      <c r="N10804" s="898"/>
      <c r="O10804" s="898"/>
      <c r="P10804" s="898"/>
    </row>
    <row r="10805" spans="1:17" ht="18">
      <c r="A10805" s="549"/>
      <c r="B10805" s="549"/>
      <c r="C10805" s="549"/>
      <c r="D10805" s="549"/>
      <c r="E10805" s="549"/>
      <c r="F10805" s="549"/>
      <c r="G10805" s="952" t="s">
        <v>21</v>
      </c>
      <c r="H10805" s="952" t="s">
        <v>53</v>
      </c>
      <c r="I10805" s="560">
        <v>8.32</v>
      </c>
      <c r="J10805" s="1464">
        <v>10</v>
      </c>
      <c r="K10805" s="1467">
        <v>8</v>
      </c>
      <c r="L10805" s="552">
        <f t="shared" si="2224"/>
        <v>0.66559999999999997</v>
      </c>
      <c r="M10805" s="898"/>
      <c r="N10805" s="898"/>
      <c r="O10805" s="898"/>
      <c r="P10805" s="898"/>
    </row>
    <row r="10806" spans="1:17" ht="18">
      <c r="A10806" s="549"/>
      <c r="B10806" s="549"/>
      <c r="C10806" s="549"/>
      <c r="D10806" s="549"/>
      <c r="E10806" s="549"/>
      <c r="F10806" s="549"/>
      <c r="G10806" s="952" t="s">
        <v>21</v>
      </c>
      <c r="H10806" s="952" t="s">
        <v>53</v>
      </c>
      <c r="I10806" s="560">
        <v>8.32</v>
      </c>
      <c r="J10806" s="1444">
        <v>10.55</v>
      </c>
      <c r="K10806" s="951">
        <v>8</v>
      </c>
      <c r="L10806" s="552">
        <f t="shared" si="2224"/>
        <v>0.70220800000000005</v>
      </c>
      <c r="M10806" s="898"/>
      <c r="N10806" s="898"/>
      <c r="O10806" s="898"/>
      <c r="P10806" s="898"/>
    </row>
    <row r="10807" spans="1:17" ht="18">
      <c r="A10807" s="549"/>
      <c r="B10807" s="549"/>
      <c r="C10807" s="549"/>
      <c r="D10807" s="549"/>
      <c r="E10807" s="549"/>
      <c r="F10807" s="549"/>
      <c r="G10807" s="952" t="s">
        <v>21</v>
      </c>
      <c r="H10807" s="952" t="s">
        <v>53</v>
      </c>
      <c r="I10807" s="560">
        <v>8.32</v>
      </c>
      <c r="J10807" s="1444">
        <v>11.5</v>
      </c>
      <c r="K10807" s="951">
        <v>9</v>
      </c>
      <c r="L10807" s="552">
        <f t="shared" si="2224"/>
        <v>0.86112000000000011</v>
      </c>
      <c r="M10807" s="898"/>
      <c r="N10807" s="898"/>
      <c r="O10807" s="898"/>
      <c r="P10807" s="898"/>
    </row>
    <row r="10808" spans="1:17" ht="18">
      <c r="A10808" s="549"/>
      <c r="B10808" s="549"/>
      <c r="C10808" s="549"/>
      <c r="D10808" s="549"/>
      <c r="E10808" s="549"/>
      <c r="F10808" s="549"/>
      <c r="G10808" s="952" t="s">
        <v>21</v>
      </c>
      <c r="H10808" s="952" t="s">
        <v>53</v>
      </c>
      <c r="I10808" s="560">
        <v>8.32</v>
      </c>
      <c r="J10808" s="1444">
        <v>12</v>
      </c>
      <c r="K10808" s="951">
        <v>6</v>
      </c>
      <c r="L10808" s="552">
        <f t="shared" si="2224"/>
        <v>0.59904000000000002</v>
      </c>
      <c r="M10808" s="898"/>
      <c r="N10808" s="898"/>
      <c r="O10808" s="898"/>
      <c r="P10808" s="898"/>
    </row>
    <row r="10809" spans="1:17" ht="18">
      <c r="A10809" s="549"/>
      <c r="B10809" s="549"/>
      <c r="C10809" s="549"/>
      <c r="D10809" s="549"/>
      <c r="E10809" s="549"/>
      <c r="F10809" s="549"/>
      <c r="G10809" s="1463"/>
      <c r="H10809" s="1463"/>
      <c r="I10809" s="560"/>
      <c r="J10809" s="1468"/>
      <c r="K10809" s="951">
        <f>SUM(K10803:K10808)</f>
        <v>51</v>
      </c>
      <c r="L10809" s="950">
        <f>SUM(L10803:L10808)</f>
        <v>4.292288000000001</v>
      </c>
      <c r="M10809" s="898"/>
      <c r="N10809" s="898"/>
      <c r="O10809" s="898"/>
      <c r="P10809" s="898"/>
    </row>
    <row r="10810" spans="1:17" ht="18">
      <c r="A10810" s="549"/>
      <c r="B10810" s="549"/>
      <c r="C10810" s="549"/>
      <c r="D10810" s="549"/>
      <c r="E10810" s="549"/>
      <c r="F10810" s="549"/>
      <c r="G10810" s="1463"/>
      <c r="H10810" s="1463"/>
      <c r="I10810" s="560"/>
      <c r="J10810" s="1468"/>
      <c r="K10810" s="1471">
        <f>SUM(K10783:K10809)/2</f>
        <v>1203</v>
      </c>
      <c r="L10810" s="950">
        <f>SUM(L10783:L10809)/2</f>
        <v>103.214592</v>
      </c>
      <c r="M10810" s="898"/>
      <c r="N10810" s="898"/>
      <c r="O10810" s="898"/>
      <c r="P10810" s="549" t="s">
        <v>1292</v>
      </c>
    </row>
    <row r="10811" spans="1:17" ht="18">
      <c r="A10811" s="549"/>
      <c r="B10811" s="549"/>
      <c r="C10811" s="549"/>
      <c r="D10811" s="549"/>
      <c r="E10811" s="549"/>
      <c r="F10811" s="549"/>
      <c r="G10811" s="1463"/>
      <c r="H10811" s="1463"/>
      <c r="I10811" s="560"/>
      <c r="J10811" s="1468"/>
      <c r="K10811" s="1471"/>
      <c r="L10811" s="950"/>
      <c r="M10811" s="898"/>
      <c r="N10811" s="898"/>
      <c r="O10811" s="898"/>
      <c r="P10811" s="898"/>
    </row>
    <row r="10812" spans="1:17" ht="18">
      <c r="A10812" s="549"/>
      <c r="B10812" s="549"/>
      <c r="C10812" s="549"/>
      <c r="D10812" s="549"/>
      <c r="E10812" s="549"/>
      <c r="F10812" s="549"/>
      <c r="G10812" s="1463"/>
      <c r="H10812" s="1463"/>
      <c r="I10812" s="560"/>
      <c r="J10812" s="1468"/>
      <c r="K10812" s="951"/>
      <c r="L10812" s="950"/>
      <c r="M10812" s="898"/>
      <c r="N10812" s="898"/>
      <c r="O10812" s="898"/>
      <c r="P10812" s="898"/>
    </row>
    <row r="10813" spans="1:17" ht="17.399999999999999">
      <c r="A10813" s="547" t="s">
        <v>458</v>
      </c>
      <c r="B10813" s="547" t="s">
        <v>1289</v>
      </c>
      <c r="C10813" s="547" t="s">
        <v>446</v>
      </c>
      <c r="D10813" s="813" t="s">
        <v>447</v>
      </c>
      <c r="E10813" s="547" t="s">
        <v>359</v>
      </c>
      <c r="F10813" s="549">
        <v>11</v>
      </c>
      <c r="G10813" s="952" t="s">
        <v>21</v>
      </c>
      <c r="H10813" s="900" t="s">
        <v>54</v>
      </c>
      <c r="I10813" s="1443">
        <v>9.61</v>
      </c>
      <c r="J10813" s="950">
        <v>8.75</v>
      </c>
      <c r="K10813" s="951">
        <v>56</v>
      </c>
      <c r="L10813" s="552">
        <f t="shared" ref="L10813:L10816" si="2225">(I10813*J10813*K10813/1000)</f>
        <v>4.7088999999999999</v>
      </c>
      <c r="M10813" s="549"/>
      <c r="N10813" s="549"/>
      <c r="O10813" s="549"/>
      <c r="P10813" s="549"/>
      <c r="Q10813" s="1487" t="s">
        <v>1305</v>
      </c>
    </row>
    <row r="10814" spans="1:17" ht="17.399999999999999">
      <c r="A10814" s="549"/>
      <c r="B10814" s="549"/>
      <c r="C10814" s="549"/>
      <c r="D10814" s="549"/>
      <c r="E10814" s="549"/>
      <c r="F10814" s="549"/>
      <c r="G10814" s="952" t="s">
        <v>21</v>
      </c>
      <c r="H10814" s="952" t="s">
        <v>54</v>
      </c>
      <c r="I10814" s="1443">
        <v>9.61</v>
      </c>
      <c r="J10814" s="950">
        <v>9.85</v>
      </c>
      <c r="K10814" s="951">
        <v>38</v>
      </c>
      <c r="L10814" s="552">
        <f t="shared" si="2225"/>
        <v>3.5970229999999996</v>
      </c>
      <c r="M10814" s="549"/>
      <c r="N10814" s="549"/>
      <c r="O10814" s="549"/>
      <c r="P10814" s="549"/>
    </row>
    <row r="10815" spans="1:17" ht="17.399999999999999">
      <c r="A10815" s="549"/>
      <c r="B10815" s="549"/>
      <c r="C10815" s="549"/>
      <c r="D10815" s="549"/>
      <c r="E10815" s="549"/>
      <c r="F10815" s="549"/>
      <c r="G10815" s="952" t="s">
        <v>21</v>
      </c>
      <c r="H10815" s="952" t="s">
        <v>54</v>
      </c>
      <c r="I10815" s="1443">
        <v>9.61</v>
      </c>
      <c r="J10815" s="950">
        <v>11.65</v>
      </c>
      <c r="K10815" s="951">
        <v>60</v>
      </c>
      <c r="L10815" s="552">
        <f t="shared" si="2225"/>
        <v>6.7173899999999991</v>
      </c>
      <c r="M10815" s="549"/>
      <c r="N10815" s="549"/>
      <c r="O10815" s="549"/>
      <c r="P10815" s="549"/>
    </row>
    <row r="10816" spans="1:17" ht="17.399999999999999">
      <c r="A10816" s="549"/>
      <c r="B10816" s="549"/>
      <c r="C10816" s="549"/>
      <c r="D10816" s="549"/>
      <c r="E10816" s="549"/>
      <c r="F10816" s="549"/>
      <c r="G10816" s="952" t="s">
        <v>21</v>
      </c>
      <c r="H10816" s="952" t="s">
        <v>54</v>
      </c>
      <c r="I10816" s="1443">
        <v>9.61</v>
      </c>
      <c r="J10816" s="950">
        <v>12</v>
      </c>
      <c r="K10816" s="951">
        <v>46</v>
      </c>
      <c r="L10816" s="552">
        <f t="shared" si="2225"/>
        <v>5.3047199999999997</v>
      </c>
      <c r="M10816" s="549"/>
      <c r="N10816" s="549"/>
      <c r="O10816" s="549"/>
      <c r="P10816" s="549"/>
    </row>
    <row r="10817" spans="1:17" ht="17.399999999999999">
      <c r="A10817" s="549"/>
      <c r="B10817" s="549"/>
      <c r="C10817" s="549"/>
      <c r="D10817" s="549"/>
      <c r="E10817" s="549"/>
      <c r="F10817" s="549"/>
      <c r="G10817" s="1463"/>
      <c r="H10817" s="1463"/>
      <c r="I10817" s="1443"/>
      <c r="J10817" s="1469"/>
      <c r="K10817" s="951">
        <f t="shared" ref="K10817:L10817" si="2226">SUM(K10813:K10816)</f>
        <v>200</v>
      </c>
      <c r="L10817" s="777">
        <f t="shared" si="2226"/>
        <v>20.328032999999998</v>
      </c>
      <c r="M10817" s="549"/>
      <c r="N10817" s="549"/>
      <c r="O10817" s="549"/>
      <c r="P10817" s="549"/>
    </row>
    <row r="10818" spans="1:17" ht="17.399999999999999">
      <c r="A10818" s="549"/>
      <c r="B10818" s="549"/>
      <c r="C10818" s="549"/>
      <c r="D10818" s="549"/>
      <c r="E10818" s="549"/>
      <c r="F10818" s="549"/>
      <c r="G10818" s="1463"/>
      <c r="H10818" s="1463"/>
      <c r="I10818" s="1443"/>
      <c r="J10818" s="1469"/>
      <c r="K10818" s="951"/>
      <c r="L10818" s="777"/>
      <c r="M10818" s="549"/>
      <c r="N10818" s="549"/>
      <c r="O10818" s="549"/>
      <c r="P10818" s="549"/>
    </row>
    <row r="10819" spans="1:17" ht="18">
      <c r="A10819" s="547" t="s">
        <v>458</v>
      </c>
      <c r="B10819" s="547" t="s">
        <v>1285</v>
      </c>
      <c r="C10819" s="547" t="s">
        <v>446</v>
      </c>
      <c r="D10819" s="813" t="s">
        <v>447</v>
      </c>
      <c r="E10819" s="547" t="s">
        <v>359</v>
      </c>
      <c r="F10819" s="549">
        <v>11</v>
      </c>
      <c r="G10819" s="952" t="s">
        <v>21</v>
      </c>
      <c r="H10819" s="900" t="s">
        <v>54</v>
      </c>
      <c r="I10819" s="1443">
        <v>9.61</v>
      </c>
      <c r="J10819" s="1466">
        <v>9</v>
      </c>
      <c r="K10819" s="1465">
        <v>8</v>
      </c>
      <c r="L10819" s="552">
        <f t="shared" ref="L10819" si="2227">(I10819*J10819*K10819/1000)</f>
        <v>0.69191999999999998</v>
      </c>
      <c r="M10819" s="898"/>
      <c r="N10819" s="898"/>
      <c r="O10819" s="898"/>
      <c r="P10819" s="898"/>
      <c r="Q10819" s="1487" t="s">
        <v>1305</v>
      </c>
    </row>
    <row r="10820" spans="1:17" ht="18">
      <c r="A10820" s="549"/>
      <c r="B10820" s="549"/>
      <c r="C10820" s="549"/>
      <c r="D10820" s="549"/>
      <c r="E10820" s="549"/>
      <c r="F10820" s="549"/>
      <c r="G10820" s="1463"/>
      <c r="H10820" s="1463"/>
      <c r="I10820" s="1443"/>
      <c r="J10820" s="1469"/>
      <c r="K10820" s="951">
        <f>SUM(K10819:K10819)</f>
        <v>8</v>
      </c>
      <c r="L10820" s="777">
        <f>SUM(L10819:L10819)</f>
        <v>0.69191999999999998</v>
      </c>
      <c r="M10820" s="898"/>
      <c r="N10820" s="898"/>
      <c r="O10820" s="898"/>
      <c r="P10820" s="898"/>
    </row>
    <row r="10821" spans="1:17" ht="18">
      <c r="A10821" s="549"/>
      <c r="B10821" s="549"/>
      <c r="C10821" s="549"/>
      <c r="D10821" s="549"/>
      <c r="E10821" s="549"/>
      <c r="F10821" s="549"/>
      <c r="G10821" s="1463"/>
      <c r="H10821" s="1463"/>
      <c r="I10821" s="1443"/>
      <c r="J10821" s="1469"/>
      <c r="K10821" s="933">
        <f>SUM(K10813:K10820)/2</f>
        <v>208</v>
      </c>
      <c r="L10821" s="777">
        <f>SUM(L10813:L10820)/2</f>
        <v>21.019953000000001</v>
      </c>
      <c r="M10821" s="898"/>
      <c r="N10821" s="898"/>
      <c r="O10821" s="898"/>
      <c r="P10821" s="549" t="s">
        <v>1293</v>
      </c>
    </row>
    <row r="10822" spans="1:17" ht="18">
      <c r="A10822" s="549"/>
      <c r="B10822" s="549"/>
      <c r="C10822" s="549"/>
      <c r="D10822" s="549"/>
      <c r="E10822" s="549"/>
      <c r="F10822" s="549"/>
      <c r="G10822" s="1463"/>
      <c r="H10822" s="1463"/>
      <c r="I10822" s="1443"/>
      <c r="J10822" s="1469"/>
      <c r="K10822" s="951"/>
      <c r="L10822" s="777"/>
      <c r="M10822" s="898"/>
      <c r="N10822" s="898"/>
      <c r="O10822" s="898"/>
      <c r="P10822" s="898"/>
    </row>
    <row r="10823" spans="1:17" ht="18">
      <c r="A10823" s="898"/>
      <c r="B10823" s="898"/>
      <c r="C10823" s="898"/>
      <c r="D10823" s="898"/>
      <c r="E10823" s="898"/>
      <c r="F10823" s="898"/>
      <c r="G10823" s="898"/>
      <c r="H10823" s="898"/>
      <c r="I10823" s="920"/>
      <c r="J10823" s="898"/>
      <c r="K10823" s="921"/>
      <c r="L10823" s="921"/>
      <c r="M10823" s="898"/>
      <c r="N10823" s="898"/>
      <c r="O10823" s="898"/>
      <c r="P10823" s="898"/>
    </row>
    <row r="10824" spans="1:17" ht="17.399999999999999">
      <c r="A10824" s="547" t="s">
        <v>458</v>
      </c>
      <c r="B10824" s="547" t="s">
        <v>1289</v>
      </c>
      <c r="C10824" s="547" t="s">
        <v>446</v>
      </c>
      <c r="D10824" s="813" t="s">
        <v>447</v>
      </c>
      <c r="E10824" s="547" t="s">
        <v>359</v>
      </c>
      <c r="F10824" s="549">
        <v>11</v>
      </c>
      <c r="G10824" s="952" t="s">
        <v>21</v>
      </c>
      <c r="H10824" s="900" t="s">
        <v>366</v>
      </c>
      <c r="I10824" s="1443">
        <v>10.92</v>
      </c>
      <c r="J10824" s="950">
        <v>7.5</v>
      </c>
      <c r="K10824" s="951">
        <v>18</v>
      </c>
      <c r="L10824" s="552">
        <f t="shared" ref="L10824:L10825" si="2228">(I10824*J10824*K10824/1000)</f>
        <v>1.4742</v>
      </c>
      <c r="M10824" s="549"/>
      <c r="N10824" s="549"/>
      <c r="O10824" s="549"/>
      <c r="P10824" s="549"/>
      <c r="Q10824" s="1487" t="s">
        <v>1305</v>
      </c>
    </row>
    <row r="10825" spans="1:17" ht="17.399999999999999">
      <c r="A10825" s="549"/>
      <c r="B10825" s="549"/>
      <c r="C10825" s="549"/>
      <c r="D10825" s="549"/>
      <c r="E10825" s="549"/>
      <c r="F10825" s="549"/>
      <c r="G10825" s="952" t="s">
        <v>21</v>
      </c>
      <c r="H10825" s="952" t="s">
        <v>366</v>
      </c>
      <c r="I10825" s="1443">
        <v>10.92</v>
      </c>
      <c r="J10825" s="950">
        <v>9.5</v>
      </c>
      <c r="K10825" s="951">
        <v>16</v>
      </c>
      <c r="L10825" s="552">
        <f t="shared" si="2228"/>
        <v>1.65984</v>
      </c>
      <c r="M10825" s="549"/>
      <c r="N10825" s="549"/>
      <c r="O10825" s="549"/>
      <c r="P10825" s="549"/>
    </row>
    <row r="10826" spans="1:17" ht="17.399999999999999">
      <c r="A10826" s="549"/>
      <c r="B10826" s="549"/>
      <c r="C10826" s="549"/>
      <c r="D10826" s="549"/>
      <c r="E10826" s="549"/>
      <c r="F10826" s="549"/>
      <c r="G10826" s="1463"/>
      <c r="H10826" s="1463"/>
      <c r="I10826" s="1443"/>
      <c r="J10826" s="1469"/>
      <c r="K10826" s="951">
        <f t="shared" ref="K10826:L10826" si="2229">SUM(K10824:K10825)</f>
        <v>34</v>
      </c>
      <c r="L10826" s="777">
        <f t="shared" si="2229"/>
        <v>3.1340399999999997</v>
      </c>
      <c r="M10826" s="549"/>
      <c r="N10826" s="549"/>
      <c r="O10826" s="549"/>
      <c r="P10826" s="549" t="s">
        <v>1294</v>
      </c>
    </row>
    <row r="10827" spans="1:17" ht="17.399999999999999">
      <c r="A10827" s="549"/>
      <c r="B10827" s="549"/>
      <c r="C10827" s="549"/>
      <c r="D10827" s="549"/>
      <c r="E10827" s="549"/>
      <c r="F10827" s="549"/>
      <c r="G10827" s="549"/>
      <c r="H10827" s="549"/>
      <c r="I10827" s="560"/>
      <c r="J10827" s="549"/>
      <c r="K10827" s="561"/>
      <c r="L10827" s="561"/>
      <c r="M10827" s="549"/>
      <c r="N10827" s="549"/>
      <c r="O10827" s="549"/>
      <c r="P10827" s="549"/>
    </row>
    <row r="10828" spans="1:17" ht="17.399999999999999">
      <c r="A10828" s="547" t="s">
        <v>332</v>
      </c>
      <c r="B10828" s="547" t="s">
        <v>1094</v>
      </c>
      <c r="C10828" s="547" t="s">
        <v>19</v>
      </c>
      <c r="D10828" s="547" t="s">
        <v>20</v>
      </c>
      <c r="E10828" s="1437" t="s">
        <v>464</v>
      </c>
      <c r="F10828" s="549">
        <v>11</v>
      </c>
      <c r="G10828" s="549" t="s">
        <v>21</v>
      </c>
      <c r="H10828" s="1489" t="s">
        <v>366</v>
      </c>
      <c r="I10828" s="558">
        <v>10.9</v>
      </c>
      <c r="J10828" s="567">
        <v>11.3</v>
      </c>
      <c r="K10828" s="648">
        <v>13</v>
      </c>
      <c r="L10828" s="552">
        <f>(I10828*J10828*K10828/1000)</f>
        <v>1.6012100000000002</v>
      </c>
      <c r="M10828" s="549"/>
      <c r="N10828" s="549"/>
      <c r="O10828" s="549"/>
      <c r="P10828" s="549"/>
    </row>
    <row r="10829" spans="1:17" ht="17.399999999999999">
      <c r="A10829" s="549"/>
      <c r="B10829" s="1348" t="s">
        <v>585</v>
      </c>
      <c r="C10829" s="549"/>
      <c r="D10829" s="549"/>
      <c r="E10829" s="549"/>
      <c r="F10829" s="549"/>
      <c r="G10829" s="549" t="s">
        <v>21</v>
      </c>
      <c r="H10829" s="549" t="s">
        <v>366</v>
      </c>
      <c r="I10829" s="558">
        <v>10.9</v>
      </c>
      <c r="J10829" s="567">
        <v>11.4</v>
      </c>
      <c r="K10829" s="648">
        <v>9</v>
      </c>
      <c r="L10829" s="552">
        <f>(I10829*J10829*K10829/1000)</f>
        <v>1.1183400000000001</v>
      </c>
      <c r="M10829" s="549"/>
      <c r="N10829" s="549"/>
      <c r="O10829" s="549"/>
      <c r="P10829" s="549"/>
    </row>
    <row r="10830" spans="1:17" ht="17.399999999999999">
      <c r="A10830" s="549"/>
      <c r="B10830" s="549" t="s">
        <v>73</v>
      </c>
      <c r="C10830" s="549"/>
      <c r="D10830" s="549"/>
      <c r="E10830" s="549"/>
      <c r="F10830" s="549"/>
      <c r="G10830" s="549"/>
      <c r="H10830" s="549"/>
      <c r="I10830" s="558"/>
      <c r="J10830" s="567"/>
      <c r="K10830" s="648">
        <f>SUM(K10828:K10829)</f>
        <v>22</v>
      </c>
      <c r="L10830" s="565">
        <f>SUM(L10828:L10829)</f>
        <v>2.7195500000000004</v>
      </c>
      <c r="M10830" s="549"/>
      <c r="N10830" s="549"/>
      <c r="O10830" s="549"/>
      <c r="P10830" s="549"/>
    </row>
    <row r="10831" spans="1:17" ht="17.399999999999999">
      <c r="A10831" s="549"/>
      <c r="B10831" s="549"/>
      <c r="C10831" s="549"/>
      <c r="D10831" s="549"/>
      <c r="E10831" s="549"/>
      <c r="F10831" s="549"/>
      <c r="G10831" s="549"/>
      <c r="H10831" s="549"/>
      <c r="I10831" s="560"/>
      <c r="J10831" s="549"/>
      <c r="K10831" s="652">
        <f>SUM(K10824:K10830)/2</f>
        <v>56</v>
      </c>
      <c r="L10831" s="565">
        <f>SUM(L10824:L10830)/2</f>
        <v>5.8535899999999996</v>
      </c>
      <c r="M10831" s="549"/>
      <c r="N10831" s="549"/>
      <c r="O10831" s="549"/>
      <c r="P10831" s="549"/>
    </row>
    <row r="10832" spans="1:17" ht="17.399999999999999">
      <c r="A10832" s="549"/>
      <c r="B10832" s="549"/>
      <c r="C10832" s="549"/>
      <c r="D10832" s="549"/>
      <c r="E10832" s="549"/>
      <c r="F10832" s="549"/>
      <c r="G10832" s="549"/>
      <c r="H10832" s="549"/>
      <c r="I10832" s="560"/>
      <c r="J10832" s="549"/>
      <c r="K10832" s="561"/>
      <c r="L10832" s="561"/>
      <c r="M10832" s="549"/>
      <c r="N10832" s="549"/>
      <c r="O10832" s="549"/>
      <c r="P10832" s="549"/>
    </row>
    <row r="10833" spans="1:17" ht="18">
      <c r="A10833" s="898"/>
      <c r="B10833" s="898"/>
      <c r="C10833" s="898"/>
      <c r="D10833" s="898"/>
      <c r="E10833" s="898"/>
      <c r="F10833" s="898"/>
      <c r="G10833" s="898"/>
      <c r="H10833" s="898"/>
      <c r="I10833" s="920"/>
      <c r="J10833" s="898"/>
      <c r="K10833" s="921"/>
      <c r="L10833" s="921"/>
      <c r="M10833" s="898"/>
      <c r="N10833" s="898"/>
      <c r="O10833" s="898"/>
      <c r="P10833" s="898"/>
    </row>
    <row r="10834" spans="1:17" ht="17.399999999999999">
      <c r="A10834" s="547" t="s">
        <v>272</v>
      </c>
      <c r="B10834" s="547" t="s">
        <v>1290</v>
      </c>
      <c r="C10834" s="547" t="s">
        <v>446</v>
      </c>
      <c r="D10834" s="813" t="s">
        <v>450</v>
      </c>
      <c r="E10834" s="547" t="s">
        <v>270</v>
      </c>
      <c r="F10834" s="549">
        <v>8.5</v>
      </c>
      <c r="G10834" s="952" t="s">
        <v>61</v>
      </c>
      <c r="H10834" s="900" t="s">
        <v>53</v>
      </c>
      <c r="I10834" s="1443">
        <v>8.32</v>
      </c>
      <c r="J10834" s="1470">
        <v>7.25</v>
      </c>
      <c r="K10834" s="951">
        <v>175</v>
      </c>
      <c r="L10834" s="552">
        <f t="shared" ref="L10834:L10838" si="2230">(I10834*J10834*K10834/1000)</f>
        <v>10.555999999999999</v>
      </c>
      <c r="M10834" s="549"/>
      <c r="N10834" s="549"/>
      <c r="O10834" s="549"/>
      <c r="P10834" s="549"/>
      <c r="Q10834" s="1487" t="s">
        <v>1305</v>
      </c>
    </row>
    <row r="10835" spans="1:17" ht="17.399999999999999">
      <c r="A10835" s="549"/>
      <c r="B10835" s="549"/>
      <c r="C10835" s="549"/>
      <c r="D10835" s="549"/>
      <c r="E10835" s="549"/>
      <c r="F10835" s="549"/>
      <c r="G10835" s="952" t="s">
        <v>61</v>
      </c>
      <c r="H10835" s="952" t="s">
        <v>53</v>
      </c>
      <c r="I10835" s="1443">
        <v>8.32</v>
      </c>
      <c r="J10835" s="1470">
        <v>8.25</v>
      </c>
      <c r="K10835" s="951">
        <v>97</v>
      </c>
      <c r="L10835" s="552">
        <f t="shared" si="2230"/>
        <v>6.65808</v>
      </c>
      <c r="M10835" s="549"/>
      <c r="N10835" s="549"/>
      <c r="O10835" s="549"/>
      <c r="P10835" s="549"/>
    </row>
    <row r="10836" spans="1:17" ht="17.399999999999999">
      <c r="A10836" s="549"/>
      <c r="B10836" s="549"/>
      <c r="C10836" s="549"/>
      <c r="D10836" s="549"/>
      <c r="E10836" s="549"/>
      <c r="F10836" s="549"/>
      <c r="G10836" s="952" t="s">
        <v>61</v>
      </c>
      <c r="H10836" s="952" t="s">
        <v>53</v>
      </c>
      <c r="I10836" s="1443">
        <v>8.32</v>
      </c>
      <c r="J10836" s="1470">
        <v>10</v>
      </c>
      <c r="K10836" s="951">
        <v>22</v>
      </c>
      <c r="L10836" s="552">
        <f t="shared" si="2230"/>
        <v>1.8304</v>
      </c>
      <c r="M10836" s="549"/>
      <c r="N10836" s="549"/>
      <c r="O10836" s="549"/>
      <c r="P10836" s="549"/>
    </row>
    <row r="10837" spans="1:17" ht="17.399999999999999">
      <c r="A10837" s="549"/>
      <c r="B10837" s="549"/>
      <c r="C10837" s="549"/>
      <c r="D10837" s="549"/>
      <c r="E10837" s="549"/>
      <c r="F10837" s="549"/>
      <c r="G10837" s="952" t="s">
        <v>61</v>
      </c>
      <c r="H10837" s="952" t="s">
        <v>53</v>
      </c>
      <c r="I10837" s="1443">
        <v>8.32</v>
      </c>
      <c r="J10837" s="1470">
        <v>11</v>
      </c>
      <c r="K10837" s="951">
        <v>48</v>
      </c>
      <c r="L10837" s="552">
        <f t="shared" si="2230"/>
        <v>4.3929600000000013</v>
      </c>
      <c r="M10837" s="549"/>
      <c r="N10837" s="549"/>
      <c r="O10837" s="549"/>
      <c r="P10837" s="549"/>
    </row>
    <row r="10838" spans="1:17" ht="17.399999999999999">
      <c r="A10838" s="549"/>
      <c r="B10838" s="549"/>
      <c r="C10838" s="549"/>
      <c r="D10838" s="549"/>
      <c r="E10838" s="549"/>
      <c r="F10838" s="549"/>
      <c r="G10838" s="952" t="s">
        <v>61</v>
      </c>
      <c r="H10838" s="952" t="s">
        <v>53</v>
      </c>
      <c r="I10838" s="1443">
        <v>8.32</v>
      </c>
      <c r="J10838" s="1470">
        <v>12</v>
      </c>
      <c r="K10838" s="951">
        <v>210</v>
      </c>
      <c r="L10838" s="552">
        <f t="shared" si="2230"/>
        <v>20.9664</v>
      </c>
      <c r="M10838" s="549"/>
      <c r="N10838" s="549"/>
      <c r="O10838" s="549"/>
      <c r="P10838" s="549"/>
    </row>
    <row r="10839" spans="1:17" ht="17.399999999999999">
      <c r="A10839" s="549"/>
      <c r="B10839" s="549"/>
      <c r="C10839" s="549"/>
      <c r="D10839" s="549"/>
      <c r="E10839" s="549"/>
      <c r="F10839" s="549"/>
      <c r="G10839" s="1463"/>
      <c r="H10839" s="1463"/>
      <c r="I10839" s="560"/>
      <c r="J10839" s="953"/>
      <c r="K10839" s="951">
        <f t="shared" ref="K10839:L10839" si="2231">SUM(K10834:K10838)</f>
        <v>552</v>
      </c>
      <c r="L10839" s="950">
        <f t="shared" si="2231"/>
        <v>44.403840000000002</v>
      </c>
      <c r="M10839" s="549"/>
      <c r="N10839" s="549"/>
      <c r="O10839" s="549"/>
      <c r="P10839" s="549"/>
    </row>
    <row r="10840" spans="1:17" ht="17.399999999999999">
      <c r="A10840" s="549"/>
      <c r="B10840" s="549"/>
      <c r="C10840" s="549"/>
      <c r="D10840" s="549"/>
      <c r="E10840" s="549"/>
      <c r="F10840" s="549"/>
      <c r="G10840" s="549"/>
      <c r="H10840" s="549"/>
      <c r="I10840" s="560"/>
      <c r="J10840" s="549"/>
      <c r="K10840" s="561"/>
      <c r="L10840" s="561"/>
      <c r="M10840" s="549"/>
      <c r="N10840" s="549"/>
      <c r="O10840" s="549"/>
      <c r="P10840" s="549"/>
    </row>
    <row r="10841" spans="1:17" ht="17.399999999999999">
      <c r="A10841" s="547" t="s">
        <v>458</v>
      </c>
      <c r="B10841" s="547" t="s">
        <v>1285</v>
      </c>
      <c r="C10841" s="547" t="s">
        <v>446</v>
      </c>
      <c r="D10841" s="813" t="s">
        <v>450</v>
      </c>
      <c r="E10841" s="547" t="s">
        <v>270</v>
      </c>
      <c r="F10841" s="549">
        <v>8.5</v>
      </c>
      <c r="G10841" s="952" t="s">
        <v>61</v>
      </c>
      <c r="H10841" s="900" t="s">
        <v>53</v>
      </c>
      <c r="I10841" s="1443">
        <v>8.32</v>
      </c>
      <c r="J10841" s="1465">
        <v>8.65</v>
      </c>
      <c r="K10841" s="1465">
        <v>4</v>
      </c>
      <c r="L10841" s="552">
        <f t="shared" ref="L10841" si="2232">(I10841*J10841*K10841/1000)</f>
        <v>0.28787200000000002</v>
      </c>
      <c r="M10841" s="549"/>
      <c r="N10841" s="549"/>
      <c r="O10841" s="549"/>
      <c r="P10841" s="549"/>
      <c r="Q10841" s="1487" t="s">
        <v>1305</v>
      </c>
    </row>
    <row r="10842" spans="1:17" ht="18">
      <c r="A10842" s="549"/>
      <c r="B10842" s="549"/>
      <c r="C10842" s="549"/>
      <c r="D10842" s="549"/>
      <c r="E10842" s="549"/>
      <c r="F10842" s="549"/>
      <c r="G10842" s="1463"/>
      <c r="H10842" s="1463"/>
      <c r="I10842" s="1443"/>
      <c r="J10842" s="1469"/>
      <c r="K10842" s="951">
        <f>SUM(K10841:K10841)</f>
        <v>4</v>
      </c>
      <c r="L10842" s="777">
        <f>SUM(L10841:L10841)</f>
        <v>0.28787200000000002</v>
      </c>
      <c r="M10842" s="898"/>
      <c r="N10842" s="898"/>
      <c r="O10842" s="898"/>
      <c r="P10842" s="898"/>
    </row>
    <row r="10843" spans="1:17" ht="18">
      <c r="A10843" s="898"/>
      <c r="B10843" s="898"/>
      <c r="C10843" s="898"/>
      <c r="D10843" s="898"/>
      <c r="E10843" s="898"/>
      <c r="F10843" s="898"/>
      <c r="G10843" s="898"/>
      <c r="H10843" s="898"/>
      <c r="I10843" s="920"/>
      <c r="J10843" s="898"/>
      <c r="K10843" s="921"/>
      <c r="L10843" s="921"/>
      <c r="M10843" s="898"/>
      <c r="N10843" s="898"/>
      <c r="O10843" s="898"/>
      <c r="P10843" s="898"/>
    </row>
    <row r="10844" spans="1:17" ht="17.399999999999999">
      <c r="A10844" s="547" t="s">
        <v>458</v>
      </c>
      <c r="B10844" s="547" t="s">
        <v>1289</v>
      </c>
      <c r="C10844" s="547" t="s">
        <v>446</v>
      </c>
      <c r="D10844" s="813" t="s">
        <v>450</v>
      </c>
      <c r="E10844" s="547" t="s">
        <v>270</v>
      </c>
      <c r="F10844" s="549">
        <v>8.5</v>
      </c>
      <c r="G10844" s="952" t="s">
        <v>61</v>
      </c>
      <c r="H10844" s="900" t="s">
        <v>53</v>
      </c>
      <c r="I10844" s="1443">
        <v>8.32</v>
      </c>
      <c r="J10844" s="950">
        <v>9.15</v>
      </c>
      <c r="K10844" s="951">
        <v>54</v>
      </c>
      <c r="L10844" s="552">
        <f t="shared" ref="L10844:L10845" si="2233">(I10844*J10844*K10844/1000)</f>
        <v>4.1109119999999999</v>
      </c>
      <c r="M10844" s="549"/>
      <c r="N10844" s="549"/>
      <c r="O10844" s="549"/>
      <c r="P10844" s="549"/>
      <c r="Q10844" s="1487" t="s">
        <v>1305</v>
      </c>
    </row>
    <row r="10845" spans="1:17" ht="17.399999999999999">
      <c r="A10845" s="549"/>
      <c r="B10845" s="549"/>
      <c r="C10845" s="549"/>
      <c r="D10845" s="549"/>
      <c r="E10845" s="549"/>
      <c r="F10845" s="549"/>
      <c r="G10845" s="952" t="s">
        <v>61</v>
      </c>
      <c r="H10845" s="952" t="s">
        <v>53</v>
      </c>
      <c r="I10845" s="1443">
        <v>8.32</v>
      </c>
      <c r="J10845" s="950">
        <v>11.55</v>
      </c>
      <c r="K10845" s="951">
        <v>35</v>
      </c>
      <c r="L10845" s="552">
        <f t="shared" si="2233"/>
        <v>3.3633600000000001</v>
      </c>
      <c r="M10845" s="549"/>
      <c r="N10845" s="549"/>
      <c r="O10845" s="549"/>
      <c r="P10845" s="549"/>
    </row>
    <row r="10846" spans="1:17" ht="17.399999999999999">
      <c r="A10846" s="549"/>
      <c r="B10846" s="549"/>
      <c r="C10846" s="549"/>
      <c r="D10846" s="549"/>
      <c r="E10846" s="549"/>
      <c r="F10846" s="549"/>
      <c r="G10846" s="1463"/>
      <c r="H10846" s="1463"/>
      <c r="I10846" s="1443"/>
      <c r="J10846" s="1469"/>
      <c r="K10846" s="951">
        <f t="shared" ref="K10846:L10846" si="2234">SUM(K10844:K10845)</f>
        <v>89</v>
      </c>
      <c r="L10846" s="777">
        <f t="shared" si="2234"/>
        <v>7.474272</v>
      </c>
      <c r="M10846" s="549"/>
      <c r="N10846" s="549"/>
      <c r="O10846" s="549"/>
      <c r="P10846" s="549"/>
    </row>
    <row r="10847" spans="1:17" ht="17.399999999999999">
      <c r="A10847" s="549"/>
      <c r="B10847" s="549"/>
      <c r="C10847" s="549"/>
      <c r="D10847" s="549"/>
      <c r="E10847" s="549"/>
      <c r="F10847" s="549"/>
      <c r="G10847" s="549"/>
      <c r="H10847" s="549"/>
      <c r="I10847" s="560"/>
      <c r="J10847" s="549"/>
      <c r="K10847" s="561"/>
      <c r="L10847" s="561"/>
      <c r="M10847" s="549"/>
      <c r="N10847" s="549"/>
      <c r="O10847" s="549"/>
      <c r="P10847" s="549"/>
    </row>
    <row r="10848" spans="1:17" ht="18">
      <c r="A10848" s="547" t="s">
        <v>83</v>
      </c>
      <c r="B10848" s="547" t="s">
        <v>1285</v>
      </c>
      <c r="C10848" s="547" t="s">
        <v>446</v>
      </c>
      <c r="D10848" s="813" t="s">
        <v>450</v>
      </c>
      <c r="E10848" s="547" t="s">
        <v>270</v>
      </c>
      <c r="F10848" s="549">
        <v>8.5</v>
      </c>
      <c r="G10848" s="952" t="s">
        <v>61</v>
      </c>
      <c r="H10848" s="900" t="s">
        <v>53</v>
      </c>
      <c r="I10848" s="1443">
        <v>8.32</v>
      </c>
      <c r="J10848" s="1472">
        <v>11</v>
      </c>
      <c r="K10848" s="1473">
        <v>39</v>
      </c>
      <c r="L10848" s="552">
        <f t="shared" ref="L10848:L10849" si="2235">(I10848*J10848*K10848/1000)</f>
        <v>3.56928</v>
      </c>
      <c r="M10848" s="898"/>
      <c r="N10848" s="898"/>
      <c r="O10848" s="898"/>
      <c r="P10848" s="898"/>
      <c r="Q10848" s="1487" t="s">
        <v>1305</v>
      </c>
    </row>
    <row r="10849" spans="1:19" ht="18">
      <c r="A10849" s="549"/>
      <c r="B10849" s="549"/>
      <c r="C10849" s="549"/>
      <c r="D10849" s="549"/>
      <c r="E10849" s="549"/>
      <c r="F10849" s="549"/>
      <c r="G10849" s="952" t="s">
        <v>61</v>
      </c>
      <c r="H10849" s="952" t="s">
        <v>53</v>
      </c>
      <c r="I10849" s="1443">
        <v>8.32</v>
      </c>
      <c r="J10849" s="1470">
        <v>12</v>
      </c>
      <c r="K10849" s="951">
        <v>164</v>
      </c>
      <c r="L10849" s="552">
        <f t="shared" si="2235"/>
        <v>16.373760000000001</v>
      </c>
      <c r="M10849" s="898"/>
      <c r="N10849" s="898"/>
      <c r="O10849" s="898"/>
      <c r="P10849" s="898"/>
    </row>
    <row r="10850" spans="1:19" ht="18">
      <c r="A10850" s="549"/>
      <c r="B10850" s="549"/>
      <c r="C10850" s="549"/>
      <c r="D10850" s="549"/>
      <c r="E10850" s="549"/>
      <c r="F10850" s="549"/>
      <c r="G10850" s="1463"/>
      <c r="H10850" s="1463"/>
      <c r="I10850" s="560"/>
      <c r="J10850" s="953"/>
      <c r="K10850" s="951">
        <f>SUM(K10848:K10849)</f>
        <v>203</v>
      </c>
      <c r="L10850" s="950">
        <f>SUM(L10848:L10849)</f>
        <v>19.94304</v>
      </c>
      <c r="M10850" s="898"/>
      <c r="N10850" s="898"/>
      <c r="O10850" s="898"/>
      <c r="P10850" s="898"/>
    </row>
    <row r="10851" spans="1:19" ht="18">
      <c r="A10851" s="898"/>
      <c r="B10851" s="898"/>
      <c r="C10851" s="898"/>
      <c r="D10851" s="898"/>
      <c r="E10851" s="898"/>
      <c r="F10851" s="898"/>
      <c r="G10851" s="898"/>
      <c r="H10851" s="898"/>
      <c r="I10851" s="920"/>
      <c r="J10851" s="898"/>
      <c r="K10851" s="1474">
        <f>SUM(K10834:K10850)/2</f>
        <v>848</v>
      </c>
      <c r="L10851" s="782">
        <f>SUM(L10834:L10850)/2</f>
        <v>72.109024000000005</v>
      </c>
      <c r="M10851" s="898"/>
      <c r="N10851" s="898"/>
      <c r="O10851" s="898"/>
      <c r="P10851" s="549" t="s">
        <v>1295</v>
      </c>
    </row>
    <row r="10852" spans="1:19" ht="17.399999999999999">
      <c r="A10852" s="549"/>
      <c r="B10852" s="549"/>
      <c r="C10852" s="549"/>
      <c r="D10852" s="549"/>
      <c r="E10852" s="549"/>
      <c r="F10852" s="549"/>
      <c r="G10852" s="549"/>
      <c r="H10852" s="549"/>
      <c r="I10852" s="560"/>
      <c r="J10852" s="549"/>
      <c r="K10852" s="561"/>
      <c r="L10852" s="561"/>
      <c r="M10852" s="549"/>
      <c r="N10852" s="549"/>
      <c r="O10852" s="549"/>
      <c r="P10852" s="549"/>
    </row>
    <row r="10853" spans="1:19" ht="17.399999999999999">
      <c r="A10853" s="547" t="s">
        <v>458</v>
      </c>
      <c r="B10853" s="547" t="s">
        <v>1289</v>
      </c>
      <c r="C10853" s="547" t="s">
        <v>446</v>
      </c>
      <c r="D10853" s="813" t="s">
        <v>450</v>
      </c>
      <c r="E10853" s="547" t="s">
        <v>270</v>
      </c>
      <c r="F10853" s="549">
        <v>8.5</v>
      </c>
      <c r="G10853" s="952" t="s">
        <v>61</v>
      </c>
      <c r="H10853" s="900" t="s">
        <v>91</v>
      </c>
      <c r="I10853" s="1443">
        <v>6.97</v>
      </c>
      <c r="J10853" s="950">
        <v>11</v>
      </c>
      <c r="K10853" s="951">
        <v>47</v>
      </c>
      <c r="L10853" s="552">
        <f>(I10853*J10853*K10853/1000)</f>
        <v>3.6034900000000003</v>
      </c>
      <c r="M10853" s="549"/>
      <c r="N10853" s="549"/>
      <c r="O10853" s="549"/>
      <c r="P10853" s="549"/>
      <c r="Q10853" s="497">
        <v>39</v>
      </c>
      <c r="R10853" s="126">
        <f>J10853*Q10853*I10853/1000</f>
        <v>2.9901300000000002</v>
      </c>
      <c r="S10853" s="1487" t="s">
        <v>1305</v>
      </c>
    </row>
    <row r="10854" spans="1:19" ht="17.399999999999999">
      <c r="A10854" s="549"/>
      <c r="B10854" s="549"/>
      <c r="C10854" s="549"/>
      <c r="D10854" s="549"/>
      <c r="E10854" s="549"/>
      <c r="F10854" s="549"/>
      <c r="G10854" s="1463"/>
      <c r="H10854" s="1463"/>
      <c r="I10854" s="1443"/>
      <c r="J10854" s="1469"/>
      <c r="K10854" s="951">
        <f t="shared" ref="K10854:L10854" si="2236">SUM(K10853)</f>
        <v>47</v>
      </c>
      <c r="L10854" s="777">
        <f t="shared" si="2236"/>
        <v>3.6034900000000003</v>
      </c>
      <c r="M10854" s="549"/>
      <c r="N10854" s="549"/>
      <c r="O10854" s="549"/>
      <c r="P10854" s="549"/>
      <c r="Q10854" s="951">
        <f t="shared" ref="Q10854:R10854" si="2237">SUM(Q10853)</f>
        <v>39</v>
      </c>
      <c r="R10854" s="777">
        <f t="shared" si="2237"/>
        <v>2.9901300000000002</v>
      </c>
    </row>
    <row r="10855" spans="1:19" ht="17.399999999999999">
      <c r="A10855" s="549"/>
      <c r="B10855" s="549"/>
      <c r="C10855" s="549"/>
      <c r="D10855" s="549"/>
      <c r="E10855" s="549"/>
      <c r="F10855" s="549"/>
      <c r="G10855" s="549"/>
      <c r="H10855" s="549"/>
      <c r="I10855" s="560"/>
      <c r="J10855" s="549"/>
      <c r="K10855" s="561"/>
      <c r="L10855" s="561"/>
      <c r="M10855" s="549"/>
      <c r="N10855" s="549"/>
      <c r="O10855" s="549"/>
      <c r="P10855" s="549"/>
    </row>
    <row r="10856" spans="1:19" ht="17.399999999999999">
      <c r="A10856" s="547" t="s">
        <v>272</v>
      </c>
      <c r="B10856" s="547" t="s">
        <v>1290</v>
      </c>
      <c r="C10856" s="547" t="s">
        <v>446</v>
      </c>
      <c r="D10856" s="813" t="s">
        <v>450</v>
      </c>
      <c r="E10856" s="547" t="s">
        <v>270</v>
      </c>
      <c r="F10856" s="549">
        <v>8.5</v>
      </c>
      <c r="G10856" s="952" t="s">
        <v>61</v>
      </c>
      <c r="H10856" s="900" t="s">
        <v>91</v>
      </c>
      <c r="I10856" s="1443">
        <v>6.97</v>
      </c>
      <c r="J10856" s="1470">
        <v>7.5</v>
      </c>
      <c r="K10856" s="951">
        <v>64</v>
      </c>
      <c r="L10856" s="552">
        <f t="shared" ref="L10856:L10859" si="2238">(I10856*J10856*K10856/1000)</f>
        <v>3.3456000000000001</v>
      </c>
      <c r="M10856" s="549"/>
      <c r="N10856" s="549"/>
      <c r="O10856" s="549"/>
      <c r="P10856" s="549"/>
      <c r="Q10856" s="497">
        <v>34</v>
      </c>
      <c r="R10856" s="126">
        <f t="shared" ref="R10856:R10859" si="2239">J10856*Q10856*I10856/1000</f>
        <v>1.77735</v>
      </c>
      <c r="S10856" s="1487" t="s">
        <v>1305</v>
      </c>
    </row>
    <row r="10857" spans="1:19" ht="17.399999999999999">
      <c r="A10857" s="549"/>
      <c r="B10857" s="549"/>
      <c r="C10857" s="549"/>
      <c r="D10857" s="549"/>
      <c r="E10857" s="549"/>
      <c r="F10857" s="549"/>
      <c r="G10857" s="952" t="s">
        <v>61</v>
      </c>
      <c r="H10857" s="952" t="s">
        <v>91</v>
      </c>
      <c r="I10857" s="1443">
        <v>6.97</v>
      </c>
      <c r="J10857" s="1470">
        <v>10</v>
      </c>
      <c r="K10857" s="951">
        <v>44</v>
      </c>
      <c r="L10857" s="552">
        <f t="shared" si="2238"/>
        <v>3.0668000000000002</v>
      </c>
      <c r="M10857" s="549"/>
      <c r="N10857" s="549"/>
      <c r="O10857" s="549"/>
      <c r="P10857" s="549"/>
      <c r="Q10857" s="497">
        <v>4</v>
      </c>
      <c r="R10857" s="126">
        <f t="shared" si="2239"/>
        <v>0.27879999999999999</v>
      </c>
    </row>
    <row r="10858" spans="1:19" ht="17.399999999999999">
      <c r="A10858" s="549"/>
      <c r="B10858" s="549"/>
      <c r="C10858" s="549"/>
      <c r="D10858" s="549"/>
      <c r="E10858" s="549"/>
      <c r="F10858" s="549"/>
      <c r="G10858" s="952" t="s">
        <v>61</v>
      </c>
      <c r="H10858" s="952" t="s">
        <v>91</v>
      </c>
      <c r="I10858" s="1443">
        <v>6.97</v>
      </c>
      <c r="J10858" s="1470">
        <v>11.5</v>
      </c>
      <c r="K10858" s="951">
        <v>36</v>
      </c>
      <c r="L10858" s="552">
        <f t="shared" si="2238"/>
        <v>2.88558</v>
      </c>
      <c r="M10858" s="549"/>
      <c r="N10858" s="549"/>
      <c r="O10858" s="549"/>
      <c r="P10858" s="549"/>
      <c r="Q10858" s="497">
        <v>31</v>
      </c>
      <c r="R10858" s="126">
        <f t="shared" si="2239"/>
        <v>2.4848049999999997</v>
      </c>
    </row>
    <row r="10859" spans="1:19" ht="17.399999999999999">
      <c r="A10859" s="549"/>
      <c r="B10859" s="549"/>
      <c r="C10859" s="549"/>
      <c r="D10859" s="549"/>
      <c r="E10859" s="549"/>
      <c r="F10859" s="549"/>
      <c r="G10859" s="952" t="s">
        <v>61</v>
      </c>
      <c r="H10859" s="952" t="s">
        <v>91</v>
      </c>
      <c r="I10859" s="1443">
        <v>6.97</v>
      </c>
      <c r="J10859" s="1470">
        <v>12</v>
      </c>
      <c r="K10859" s="951">
        <v>156</v>
      </c>
      <c r="L10859" s="552">
        <f t="shared" si="2238"/>
        <v>13.047840000000001</v>
      </c>
      <c r="M10859" s="549"/>
      <c r="N10859" s="549"/>
      <c r="O10859" s="549"/>
      <c r="P10859" s="549"/>
      <c r="Q10859" s="497">
        <f>33+34+34</f>
        <v>101</v>
      </c>
      <c r="R10859" s="126">
        <f t="shared" si="2239"/>
        <v>8.4476399999999998</v>
      </c>
    </row>
    <row r="10860" spans="1:19" ht="17.399999999999999">
      <c r="A10860" s="549"/>
      <c r="B10860" s="549"/>
      <c r="C10860" s="549"/>
      <c r="D10860" s="549"/>
      <c r="E10860" s="549"/>
      <c r="F10860" s="549"/>
      <c r="G10860" s="1463"/>
      <c r="H10860" s="1463"/>
      <c r="I10860" s="560"/>
      <c r="J10860" s="1468"/>
      <c r="K10860" s="951">
        <f t="shared" ref="K10860:L10860" si="2240">SUM(K10856:K10859)</f>
        <v>300</v>
      </c>
      <c r="L10860" s="950">
        <f t="shared" si="2240"/>
        <v>22.34582</v>
      </c>
      <c r="M10860" s="549"/>
      <c r="N10860" s="549"/>
      <c r="O10860" s="549"/>
      <c r="P10860" s="549"/>
      <c r="Q10860" s="951">
        <f t="shared" ref="Q10860:R10860" si="2241">SUM(Q10856:Q10859)</f>
        <v>170</v>
      </c>
      <c r="R10860" s="950">
        <f t="shared" si="2241"/>
        <v>12.988595</v>
      </c>
    </row>
    <row r="10861" spans="1:19" ht="17.399999999999999">
      <c r="A10861" s="549"/>
      <c r="B10861" s="549"/>
      <c r="C10861" s="549"/>
      <c r="D10861" s="549"/>
      <c r="E10861" s="549"/>
      <c r="F10861" s="549"/>
      <c r="G10861" s="1463"/>
      <c r="H10861" s="1463"/>
      <c r="I10861" s="560"/>
      <c r="J10861" s="1468"/>
      <c r="K10861" s="951"/>
      <c r="L10861" s="950"/>
      <c r="M10861" s="549"/>
      <c r="N10861" s="549"/>
      <c r="O10861" s="549"/>
      <c r="P10861" s="549"/>
    </row>
    <row r="10862" spans="1:19" ht="18">
      <c r="A10862" s="547" t="s">
        <v>458</v>
      </c>
      <c r="B10862" s="547" t="s">
        <v>1285</v>
      </c>
      <c r="C10862" s="547" t="s">
        <v>446</v>
      </c>
      <c r="D10862" s="813" t="s">
        <v>450</v>
      </c>
      <c r="E10862" s="547" t="s">
        <v>270</v>
      </c>
      <c r="F10862" s="549">
        <v>8.5</v>
      </c>
      <c r="G10862" s="952" t="s">
        <v>61</v>
      </c>
      <c r="H10862" s="900" t="s">
        <v>91</v>
      </c>
      <c r="I10862" s="1443">
        <v>6.97</v>
      </c>
      <c r="J10862" s="1470">
        <v>6</v>
      </c>
      <c r="K10862" s="951">
        <v>1</v>
      </c>
      <c r="L10862" s="552">
        <f t="shared" ref="L10862" si="2242">(I10862*J10862*K10862/1000)</f>
        <v>4.1820000000000003E-2</v>
      </c>
      <c r="M10862" s="898"/>
      <c r="N10862" s="898"/>
      <c r="O10862" s="898"/>
      <c r="P10862" s="898"/>
      <c r="Q10862" s="497">
        <v>1</v>
      </c>
      <c r="R10862" s="126">
        <f>J10862*Q10862*I10862/1000</f>
        <v>4.1820000000000003E-2</v>
      </c>
      <c r="S10862" s="1487" t="s">
        <v>1305</v>
      </c>
    </row>
    <row r="10863" spans="1:19" ht="18">
      <c r="A10863" s="898"/>
      <c r="B10863" s="898"/>
      <c r="C10863" s="898"/>
      <c r="D10863" s="898"/>
      <c r="E10863" s="898"/>
      <c r="F10863" s="898"/>
      <c r="G10863" s="898"/>
      <c r="H10863" s="898"/>
      <c r="I10863" s="920"/>
      <c r="J10863" s="898"/>
      <c r="K10863" s="921">
        <f t="shared" ref="K10863" si="2243">SUM(K10862)</f>
        <v>1</v>
      </c>
      <c r="L10863" s="782">
        <f>SUM(L10862)</f>
        <v>4.1820000000000003E-2</v>
      </c>
      <c r="M10863" s="898"/>
      <c r="N10863" s="898"/>
      <c r="O10863" s="898"/>
      <c r="P10863" s="898"/>
      <c r="Q10863" s="921">
        <f t="shared" ref="Q10863" si="2244">SUM(Q10862)</f>
        <v>1</v>
      </c>
      <c r="R10863" s="782">
        <f>SUM(R10862)</f>
        <v>4.1820000000000003E-2</v>
      </c>
    </row>
    <row r="10864" spans="1:19" ht="18">
      <c r="A10864" s="898"/>
      <c r="B10864" s="898"/>
      <c r="C10864" s="898"/>
      <c r="D10864" s="898"/>
      <c r="E10864" s="898"/>
      <c r="F10864" s="898"/>
      <c r="G10864" s="898"/>
      <c r="H10864" s="898"/>
      <c r="I10864" s="920"/>
      <c r="J10864" s="898"/>
      <c r="K10864" s="730">
        <f>SUM(K10853:K10863)/2</f>
        <v>348</v>
      </c>
      <c r="L10864" s="782">
        <f>SUM(L10853:L10863)/2</f>
        <v>25.991130000000002</v>
      </c>
      <c r="M10864" s="898"/>
      <c r="N10864" s="898"/>
      <c r="O10864" s="898"/>
      <c r="P10864" s="549" t="s">
        <v>1296</v>
      </c>
      <c r="Q10864" s="730">
        <f>SUM(Q10853:Q10863)/2</f>
        <v>210</v>
      </c>
      <c r="R10864" s="782">
        <f>SUM(R10853:R10863)/2</f>
        <v>16.020544999999998</v>
      </c>
    </row>
    <row r="10865" spans="1:16" ht="18">
      <c r="A10865" s="898"/>
      <c r="B10865" s="898"/>
      <c r="C10865" s="898"/>
      <c r="D10865" s="898"/>
      <c r="E10865" s="898"/>
      <c r="F10865" s="898"/>
      <c r="G10865" s="898"/>
      <c r="H10865" s="898"/>
      <c r="I10865" s="920"/>
      <c r="J10865" s="898"/>
      <c r="K10865" s="730"/>
      <c r="L10865" s="782"/>
      <c r="M10865" s="898"/>
      <c r="N10865" s="898"/>
      <c r="O10865" s="898"/>
      <c r="P10865" s="898"/>
    </row>
    <row r="10866" spans="1:16" ht="18">
      <c r="A10866" s="898"/>
      <c r="B10866" s="898"/>
      <c r="C10866" s="898"/>
      <c r="D10866" s="898"/>
      <c r="E10866" s="898"/>
      <c r="F10866" s="898"/>
      <c r="G10866" s="898"/>
      <c r="H10866" s="898"/>
      <c r="I10866" s="920"/>
      <c r="J10866" s="898"/>
      <c r="K10866" s="921"/>
      <c r="L10866" s="921"/>
      <c r="M10866" s="898"/>
      <c r="N10866" s="898"/>
      <c r="O10866" s="898"/>
      <c r="P10866" s="898"/>
    </row>
    <row r="10867" spans="1:16" ht="18">
      <c r="A10867" s="898"/>
      <c r="B10867" s="898"/>
      <c r="C10867" s="898"/>
      <c r="D10867" s="898"/>
      <c r="E10867" s="898"/>
      <c r="F10867" s="898"/>
      <c r="G10867" s="898"/>
      <c r="H10867" s="898"/>
      <c r="I10867" s="920"/>
      <c r="J10867" s="898"/>
      <c r="K10867" s="921"/>
      <c r="L10867" s="782">
        <f>+L10851+L10864+L10831+L10821+L10810+L10780+L10742+L10760</f>
        <v>380.17476699999997</v>
      </c>
      <c r="M10867" s="898"/>
      <c r="N10867" s="782">
        <f>+N10851+N10864+N10831+N10821+N10810+N10780+N10742+N10760</f>
        <v>1.2253039999999999</v>
      </c>
      <c r="O10867" s="898"/>
      <c r="P10867" s="898"/>
    </row>
    <row r="10868" spans="1:16" ht="18">
      <c r="A10868" s="653" t="s">
        <v>48</v>
      </c>
      <c r="B10868" s="653"/>
      <c r="C10868" s="654"/>
      <c r="D10868" s="654"/>
      <c r="E10868" s="654"/>
      <c r="F10868" s="1457"/>
      <c r="G10868" s="654"/>
      <c r="H10868" s="1457"/>
      <c r="I10868" s="656"/>
      <c r="J10868" s="654"/>
      <c r="K10868" s="657"/>
      <c r="L10868" s="2003" t="s">
        <v>0</v>
      </c>
      <c r="M10868" s="2003"/>
      <c r="N10868" s="2003"/>
      <c r="O10868" s="2004"/>
      <c r="P10868" s="1097"/>
    </row>
    <row r="10869" spans="1:16" ht="18">
      <c r="A10869" s="658" t="s">
        <v>1</v>
      </c>
      <c r="B10869" s="658"/>
      <c r="C10869" s="658"/>
      <c r="D10869" s="659" t="s">
        <v>2</v>
      </c>
      <c r="E10869" s="659"/>
      <c r="F10869" s="660"/>
      <c r="G10869" s="660"/>
      <c r="H10869" s="660"/>
      <c r="I10869" s="661"/>
      <c r="J10869" s="660"/>
      <c r="K10869" s="662" t="s">
        <v>3</v>
      </c>
      <c r="L10869" s="660"/>
      <c r="M10869" s="658"/>
      <c r="N10869" s="660"/>
      <c r="O10869" s="663"/>
      <c r="P10869" s="1098"/>
    </row>
    <row r="10870" spans="1:16" ht="18">
      <c r="A10870" s="1457" t="s">
        <v>22</v>
      </c>
      <c r="B10870" s="1990" t="s">
        <v>23</v>
      </c>
      <c r="C10870" s="2005"/>
      <c r="D10870" s="1989"/>
      <c r="E10870" s="1457" t="s">
        <v>24</v>
      </c>
      <c r="F10870" s="1990" t="s">
        <v>25</v>
      </c>
      <c r="G10870" s="1989"/>
      <c r="H10870" s="1990" t="s">
        <v>26</v>
      </c>
      <c r="I10870" s="2005"/>
      <c r="J10870" s="2005"/>
      <c r="K10870" s="1989"/>
      <c r="L10870" s="2006" t="s">
        <v>27</v>
      </c>
      <c r="M10870" s="2006"/>
      <c r="N10870" s="2006"/>
      <c r="O10870" s="1990"/>
      <c r="P10870" s="1098"/>
    </row>
    <row r="10871" spans="1:16" ht="18">
      <c r="A10871" s="664"/>
      <c r="B10871" s="1975"/>
      <c r="C10871" s="1976"/>
      <c r="D10871" s="1977"/>
      <c r="E10871" s="665"/>
      <c r="F10871" s="1975"/>
      <c r="G10871" s="1977"/>
      <c r="H10871" s="1975"/>
      <c r="I10871" s="1976"/>
      <c r="J10871" s="1976"/>
      <c r="K10871" s="1977"/>
      <c r="L10871" s="1975"/>
      <c r="M10871" s="1976"/>
      <c r="N10871" s="1976"/>
      <c r="O10871" s="1976"/>
      <c r="P10871" s="1098"/>
    </row>
    <row r="10872" spans="1:16" ht="18">
      <c r="A10872" s="664"/>
      <c r="B10872" s="1449"/>
      <c r="C10872" s="1450"/>
      <c r="D10872" s="1451"/>
      <c r="E10872" s="665"/>
      <c r="F10872" s="1449"/>
      <c r="G10872" s="1451"/>
      <c r="H10872" s="1449"/>
      <c r="I10872" s="1842"/>
      <c r="J10872" s="1450"/>
      <c r="K10872" s="1451"/>
      <c r="L10872" s="1450"/>
      <c r="M10872" s="1450"/>
      <c r="N10872" s="1450"/>
      <c r="O10872" s="1450"/>
      <c r="P10872" s="1098"/>
    </row>
    <row r="10873" spans="1:16" ht="18">
      <c r="A10873" s="664" t="s">
        <v>28</v>
      </c>
      <c r="B10873" s="1975" t="s">
        <v>55</v>
      </c>
      <c r="C10873" s="1976"/>
      <c r="D10873" s="1977"/>
      <c r="E10873" s="665">
        <f>+L10742-0.874</f>
        <v>75.946604000000008</v>
      </c>
      <c r="F10873" s="1973">
        <v>11</v>
      </c>
      <c r="G10873" s="1974"/>
      <c r="H10873" s="1975" t="s">
        <v>49</v>
      </c>
      <c r="I10873" s="1976"/>
      <c r="J10873" s="1976"/>
      <c r="K10873" s="1977"/>
      <c r="L10873" s="1976" t="s">
        <v>1046</v>
      </c>
      <c r="M10873" s="1976"/>
      <c r="N10873" s="1976"/>
      <c r="O10873" s="1976"/>
      <c r="P10873" s="1098"/>
    </row>
    <row r="10874" spans="1:16" ht="18">
      <c r="A10874" s="664" t="s">
        <v>29</v>
      </c>
      <c r="B10874" s="1975" t="s">
        <v>79</v>
      </c>
      <c r="C10874" s="1976"/>
      <c r="D10874" s="1977"/>
      <c r="E10874" s="665">
        <f>+L10760-0.351</f>
        <v>50.817860999999994</v>
      </c>
      <c r="F10874" s="1973">
        <v>11</v>
      </c>
      <c r="G10874" s="1974"/>
      <c r="H10874" s="1975" t="s">
        <v>49</v>
      </c>
      <c r="I10874" s="1976"/>
      <c r="J10874" s="1976"/>
      <c r="K10874" s="1977"/>
      <c r="L10874" s="1976" t="s">
        <v>1046</v>
      </c>
      <c r="M10874" s="1976"/>
      <c r="N10874" s="1976"/>
      <c r="O10874" s="1976"/>
      <c r="P10874" s="1098"/>
    </row>
    <row r="10875" spans="1:16" ht="18">
      <c r="A10875" s="664"/>
      <c r="B10875" s="1449"/>
      <c r="C10875" s="1450"/>
      <c r="D10875" s="1451"/>
      <c r="E10875" s="665"/>
      <c r="F10875" s="1452"/>
      <c r="G10875" s="1453"/>
      <c r="H10875" s="1449"/>
      <c r="I10875" s="1842"/>
      <c r="J10875" s="1450"/>
      <c r="K10875" s="1451"/>
      <c r="L10875" s="1450"/>
      <c r="M10875" s="1450"/>
      <c r="N10875" s="1450"/>
      <c r="O10875" s="1450"/>
      <c r="P10875" s="1098"/>
    </row>
    <row r="10876" spans="1:16" ht="18">
      <c r="A10876" s="664"/>
      <c r="B10876" s="1449"/>
      <c r="C10876" s="1450"/>
      <c r="D10876" s="1451"/>
      <c r="E10876" s="665"/>
      <c r="F10876" s="1452"/>
      <c r="G10876" s="1453"/>
      <c r="H10876" s="1449"/>
      <c r="I10876" s="1842"/>
      <c r="J10876" s="1450"/>
      <c r="K10876" s="1451"/>
      <c r="L10876" s="1450"/>
      <c r="M10876" s="1450"/>
      <c r="N10876" s="1450"/>
      <c r="O10876" s="1450"/>
      <c r="P10876" s="1098"/>
    </row>
    <row r="10877" spans="1:16" ht="18">
      <c r="A10877" s="664" t="s">
        <v>30</v>
      </c>
      <c r="B10877" s="1975" t="s">
        <v>79</v>
      </c>
      <c r="C10877" s="1976"/>
      <c r="D10877" s="1977"/>
      <c r="E10877" s="665">
        <f>+L10780</f>
        <v>23.997012999999995</v>
      </c>
      <c r="F10877" s="1973">
        <v>11</v>
      </c>
      <c r="G10877" s="1974"/>
      <c r="H10877" s="1975" t="s">
        <v>447</v>
      </c>
      <c r="I10877" s="1976"/>
      <c r="J10877" s="1976"/>
      <c r="K10877" s="1977"/>
      <c r="L10877" s="1976" t="s">
        <v>1046</v>
      </c>
      <c r="M10877" s="1976"/>
      <c r="N10877" s="1976"/>
      <c r="O10877" s="1976"/>
      <c r="P10877" s="1098"/>
    </row>
    <row r="10878" spans="1:16" ht="18">
      <c r="A10878" s="664" t="s">
        <v>46</v>
      </c>
      <c r="B10878" s="1975" t="s">
        <v>55</v>
      </c>
      <c r="C10878" s="1976"/>
      <c r="D10878" s="1977"/>
      <c r="E10878" s="665">
        <f>+L10810</f>
        <v>103.214592</v>
      </c>
      <c r="F10878" s="1973">
        <v>11</v>
      </c>
      <c r="G10878" s="1974"/>
      <c r="H10878" s="1975" t="s">
        <v>447</v>
      </c>
      <c r="I10878" s="1976"/>
      <c r="J10878" s="1976"/>
      <c r="K10878" s="1977"/>
      <c r="L10878" s="1976" t="s">
        <v>1046</v>
      </c>
      <c r="M10878" s="1976"/>
      <c r="N10878" s="1976"/>
      <c r="O10878" s="1976"/>
      <c r="P10878" s="1098"/>
    </row>
    <row r="10879" spans="1:16" ht="18">
      <c r="A10879" s="664" t="s">
        <v>58</v>
      </c>
      <c r="B10879" s="1975" t="s">
        <v>56</v>
      </c>
      <c r="C10879" s="1976"/>
      <c r="D10879" s="1977"/>
      <c r="E10879" s="665">
        <f>+L10821</f>
        <v>21.019953000000001</v>
      </c>
      <c r="F10879" s="1973">
        <v>11</v>
      </c>
      <c r="G10879" s="1974"/>
      <c r="H10879" s="1975" t="s">
        <v>447</v>
      </c>
      <c r="I10879" s="1976"/>
      <c r="J10879" s="1976"/>
      <c r="K10879" s="1977"/>
      <c r="L10879" s="1976" t="s">
        <v>1046</v>
      </c>
      <c r="M10879" s="1976"/>
      <c r="N10879" s="1976"/>
      <c r="O10879" s="1976"/>
      <c r="P10879" s="1098"/>
    </row>
    <row r="10880" spans="1:16" ht="18">
      <c r="A10880" s="664" t="s">
        <v>163</v>
      </c>
      <c r="B10880" s="1975" t="s">
        <v>413</v>
      </c>
      <c r="C10880" s="1976"/>
      <c r="D10880" s="1977"/>
      <c r="E10880" s="665">
        <f>+L10831</f>
        <v>5.8535899999999996</v>
      </c>
      <c r="F10880" s="1973">
        <v>11</v>
      </c>
      <c r="G10880" s="1974"/>
      <c r="H10880" s="1975" t="s">
        <v>447</v>
      </c>
      <c r="I10880" s="1976"/>
      <c r="J10880" s="1976"/>
      <c r="K10880" s="1977"/>
      <c r="L10880" s="1976" t="s">
        <v>1046</v>
      </c>
      <c r="M10880" s="1976"/>
      <c r="N10880" s="1976"/>
      <c r="O10880" s="1976"/>
      <c r="P10880" s="1098"/>
    </row>
    <row r="10881" spans="1:16" ht="18">
      <c r="A10881" s="664"/>
      <c r="B10881" s="1449"/>
      <c r="C10881" s="1450"/>
      <c r="D10881" s="1451"/>
      <c r="E10881" s="665"/>
      <c r="F10881" s="1452"/>
      <c r="G10881" s="1453"/>
      <c r="H10881" s="1449"/>
      <c r="I10881" s="1842"/>
      <c r="J10881" s="1450"/>
      <c r="K10881" s="1451"/>
      <c r="L10881" s="1450"/>
      <c r="M10881" s="1450"/>
      <c r="N10881" s="1450"/>
      <c r="O10881" s="1450"/>
      <c r="P10881" s="1098"/>
    </row>
    <row r="10882" spans="1:16" ht="18">
      <c r="A10882" s="664"/>
      <c r="B10882" s="1449"/>
      <c r="C10882" s="1450"/>
      <c r="D10882" s="1451"/>
      <c r="E10882" s="665"/>
      <c r="F10882" s="1452"/>
      <c r="G10882" s="1453"/>
      <c r="H10882" s="1449"/>
      <c r="I10882" s="1842"/>
      <c r="J10882" s="1450"/>
      <c r="K10882" s="1451"/>
      <c r="L10882" s="1450"/>
      <c r="M10882" s="1450"/>
      <c r="N10882" s="1450"/>
      <c r="O10882" s="1450"/>
      <c r="P10882" s="1098"/>
    </row>
    <row r="10883" spans="1:16" ht="18">
      <c r="A10883" s="664" t="s">
        <v>302</v>
      </c>
      <c r="B10883" s="1975" t="s">
        <v>280</v>
      </c>
      <c r="C10883" s="1976"/>
      <c r="D10883" s="1977"/>
      <c r="E10883" s="665">
        <f>+L10851</f>
        <v>72.109024000000005</v>
      </c>
      <c r="F10883" s="1973">
        <v>8.5</v>
      </c>
      <c r="G10883" s="1974"/>
      <c r="H10883" s="1975" t="s">
        <v>450</v>
      </c>
      <c r="I10883" s="1976"/>
      <c r="J10883" s="1976"/>
      <c r="K10883" s="1977"/>
      <c r="L10883" s="1976" t="s">
        <v>1138</v>
      </c>
      <c r="M10883" s="1976"/>
      <c r="N10883" s="1976"/>
      <c r="O10883" s="1976"/>
      <c r="P10883" s="1098"/>
    </row>
    <row r="10884" spans="1:16" ht="18">
      <c r="A10884" s="664" t="s">
        <v>380</v>
      </c>
      <c r="B10884" s="1975" t="s">
        <v>676</v>
      </c>
      <c r="C10884" s="1976"/>
      <c r="D10884" s="1977"/>
      <c r="E10884" s="665">
        <f>+L10864</f>
        <v>25.991130000000002</v>
      </c>
      <c r="F10884" s="1973">
        <v>8.5</v>
      </c>
      <c r="G10884" s="1974"/>
      <c r="H10884" s="1975" t="s">
        <v>450</v>
      </c>
      <c r="I10884" s="1976"/>
      <c r="J10884" s="1976"/>
      <c r="K10884" s="1977"/>
      <c r="L10884" s="1976" t="s">
        <v>1138</v>
      </c>
      <c r="M10884" s="1976"/>
      <c r="N10884" s="1976"/>
      <c r="O10884" s="1976"/>
      <c r="P10884" s="1098"/>
    </row>
    <row r="10885" spans="1:16" ht="18">
      <c r="A10885" s="664"/>
      <c r="B10885" s="1449"/>
      <c r="C10885" s="1450"/>
      <c r="D10885" s="1451"/>
      <c r="E10885" s="665"/>
      <c r="F10885" s="1452"/>
      <c r="G10885" s="1453"/>
      <c r="H10885" s="1449"/>
      <c r="I10885" s="1842"/>
      <c r="J10885" s="1450"/>
      <c r="K10885" s="1451"/>
      <c r="L10885" s="1450"/>
      <c r="M10885" s="1450"/>
      <c r="N10885" s="1450"/>
      <c r="O10885" s="1450"/>
      <c r="P10885" s="1098"/>
    </row>
    <row r="10886" spans="1:16" ht="18.600000000000001" thickBot="1">
      <c r="A10886" s="664"/>
      <c r="B10886" s="1449"/>
      <c r="C10886" s="1450"/>
      <c r="D10886" s="1450"/>
      <c r="E10886" s="665"/>
      <c r="F10886" s="1450"/>
      <c r="G10886" s="1451"/>
      <c r="H10886" s="1449"/>
      <c r="I10886" s="1842"/>
      <c r="J10886" s="1450"/>
      <c r="K10886" s="669"/>
      <c r="L10886" s="672"/>
      <c r="M10886" s="673"/>
      <c r="N10886" s="673"/>
      <c r="O10886" s="673"/>
      <c r="P10886" s="1098"/>
    </row>
    <row r="10887" spans="1:16" ht="18">
      <c r="A10887" s="674"/>
      <c r="B10887" s="675"/>
      <c r="C10887" s="676"/>
      <c r="D10887" s="676"/>
      <c r="E10887" s="1980">
        <f>SUM(E10871:E10886)</f>
        <v>378.94976699999995</v>
      </c>
      <c r="F10887" s="677"/>
      <c r="G10887" s="678"/>
      <c r="H10887" s="679"/>
      <c r="I10887" s="1848"/>
      <c r="J10887" s="676"/>
      <c r="K10887" s="680"/>
      <c r="L10887" s="679"/>
      <c r="M10887" s="676"/>
      <c r="N10887" s="677"/>
      <c r="O10887" s="676"/>
      <c r="P10887" s="1098"/>
    </row>
    <row r="10888" spans="1:16" ht="18.600000000000001" thickBot="1">
      <c r="A10888" s="681"/>
      <c r="B10888" s="682"/>
      <c r="C10888" s="683"/>
      <c r="D10888" s="683"/>
      <c r="E10888" s="1981"/>
      <c r="F10888" s="684"/>
      <c r="G10888" s="685"/>
      <c r="H10888" s="686"/>
      <c r="I10888" s="1850"/>
      <c r="J10888" s="683"/>
      <c r="K10888" s="687"/>
      <c r="L10888" s="686"/>
      <c r="M10888" s="683"/>
      <c r="N10888" s="684"/>
      <c r="O10888" s="683"/>
      <c r="P10888" s="1098"/>
    </row>
    <row r="10889" spans="1:16" ht="18">
      <c r="A10889" s="688" t="s">
        <v>31</v>
      </c>
      <c r="B10889" s="676"/>
      <c r="C10889" s="676"/>
      <c r="D10889" s="676"/>
      <c r="E10889" s="676"/>
      <c r="F10889" s="677"/>
      <c r="G10889" s="676"/>
      <c r="H10889" s="677"/>
      <c r="I10889" s="1848"/>
      <c r="J10889" s="676"/>
      <c r="K10889" s="689"/>
      <c r="L10889" s="677"/>
      <c r="M10889" s="676"/>
      <c r="N10889" s="677"/>
      <c r="O10889" s="676"/>
      <c r="P10889" s="1098"/>
    </row>
    <row r="10890" spans="1:16" ht="18">
      <c r="A10890" s="690"/>
      <c r="B10890" s="691"/>
      <c r="C10890" s="691"/>
      <c r="D10890" s="691"/>
      <c r="E10890" s="691"/>
      <c r="F10890" s="1448"/>
      <c r="G10890" s="691"/>
      <c r="H10890" s="1448"/>
      <c r="I10890" s="1849"/>
      <c r="J10890" s="691"/>
      <c r="K10890" s="693"/>
      <c r="L10890" s="1448"/>
      <c r="M10890" s="691"/>
      <c r="N10890" s="1448"/>
      <c r="O10890" s="691"/>
      <c r="P10890" s="1098"/>
    </row>
    <row r="10891" spans="1:16" ht="18.600000000000001" thickBot="1">
      <c r="A10891" s="1982" t="s">
        <v>32</v>
      </c>
      <c r="B10891" s="1983"/>
      <c r="C10891" s="1984" t="s">
        <v>33</v>
      </c>
      <c r="D10891" s="1985"/>
      <c r="E10891" s="694" t="s">
        <v>34</v>
      </c>
      <c r="F10891" s="694" t="s">
        <v>35</v>
      </c>
      <c r="G10891" s="1986" t="s">
        <v>36</v>
      </c>
      <c r="H10891" s="1987"/>
      <c r="I10891" s="1987"/>
      <c r="J10891" s="1987"/>
      <c r="K10891" s="1987"/>
      <c r="L10891" s="1987"/>
      <c r="M10891" s="1987"/>
      <c r="N10891" s="1987"/>
      <c r="O10891" s="1987"/>
      <c r="P10891" s="1098"/>
    </row>
    <row r="10892" spans="1:16" ht="18">
      <c r="A10892" s="1988"/>
      <c r="B10892" s="1989"/>
      <c r="C10892" s="1990"/>
      <c r="D10892" s="1989"/>
      <c r="E10892" s="1457"/>
      <c r="F10892" s="1454"/>
      <c r="G10892" s="1991"/>
      <c r="H10892" s="1992"/>
      <c r="I10892" s="1992"/>
      <c r="J10892" s="1992"/>
      <c r="K10892" s="1992"/>
      <c r="L10892" s="1992"/>
      <c r="M10892" s="1992"/>
      <c r="N10892" s="1992"/>
      <c r="O10892" s="1992"/>
      <c r="P10892" s="1098"/>
    </row>
    <row r="10893" spans="1:16" ht="18">
      <c r="A10893" s="1997" t="s">
        <v>37</v>
      </c>
      <c r="B10893" s="1998"/>
      <c r="C10893" s="1990"/>
      <c r="D10893" s="1989"/>
      <c r="E10893" s="1457"/>
      <c r="F10893" s="1454"/>
      <c r="G10893" s="1993"/>
      <c r="H10893" s="1994"/>
      <c r="I10893" s="1994"/>
      <c r="J10893" s="1994"/>
      <c r="K10893" s="1994"/>
      <c r="L10893" s="1994"/>
      <c r="M10893" s="1994"/>
      <c r="N10893" s="1994"/>
      <c r="O10893" s="1994"/>
      <c r="P10893" s="1098"/>
    </row>
    <row r="10894" spans="1:16" ht="18">
      <c r="A10894" s="1997" t="s">
        <v>38</v>
      </c>
      <c r="B10894" s="1998"/>
      <c r="C10894" s="1990"/>
      <c r="D10894" s="1989"/>
      <c r="E10894" s="1457"/>
      <c r="F10894" s="1454"/>
      <c r="G10894" s="1993"/>
      <c r="H10894" s="1994"/>
      <c r="I10894" s="1994"/>
      <c r="J10894" s="1994"/>
      <c r="K10894" s="1994"/>
      <c r="L10894" s="1994"/>
      <c r="M10894" s="1994"/>
      <c r="N10894" s="1994"/>
      <c r="O10894" s="1994"/>
      <c r="P10894" s="1098"/>
    </row>
    <row r="10895" spans="1:16" ht="18">
      <c r="A10895" s="1997" t="s">
        <v>39</v>
      </c>
      <c r="B10895" s="1998"/>
      <c r="C10895" s="1990"/>
      <c r="D10895" s="1989"/>
      <c r="E10895" s="1457"/>
      <c r="F10895" s="1454"/>
      <c r="G10895" s="1993"/>
      <c r="H10895" s="1994"/>
      <c r="I10895" s="1994"/>
      <c r="J10895" s="1994"/>
      <c r="K10895" s="1994"/>
      <c r="L10895" s="1994"/>
      <c r="M10895" s="1994"/>
      <c r="N10895" s="1994"/>
      <c r="O10895" s="1994"/>
      <c r="P10895" s="1098"/>
    </row>
    <row r="10896" spans="1:16" ht="18">
      <c r="A10896" s="1997" t="s">
        <v>40</v>
      </c>
      <c r="B10896" s="1998"/>
      <c r="C10896" s="1990"/>
      <c r="D10896" s="1989"/>
      <c r="E10896" s="1457"/>
      <c r="F10896" s="1454"/>
      <c r="G10896" s="1993"/>
      <c r="H10896" s="1994"/>
      <c r="I10896" s="1994"/>
      <c r="J10896" s="1994"/>
      <c r="K10896" s="1994"/>
      <c r="L10896" s="1994"/>
      <c r="M10896" s="1994"/>
      <c r="N10896" s="1994"/>
      <c r="O10896" s="1994"/>
      <c r="P10896" s="1098"/>
    </row>
    <row r="10897" spans="1:16" ht="18.600000000000001" thickBot="1">
      <c r="A10897" s="1999" t="s">
        <v>41</v>
      </c>
      <c r="B10897" s="2000"/>
      <c r="C10897" s="2001"/>
      <c r="D10897" s="2002"/>
      <c r="E10897" s="696"/>
      <c r="F10897" s="1455"/>
      <c r="G10897" s="1995"/>
      <c r="H10897" s="1996"/>
      <c r="I10897" s="1996"/>
      <c r="J10897" s="1996"/>
      <c r="K10897" s="1996"/>
      <c r="L10897" s="1996"/>
      <c r="M10897" s="1996"/>
      <c r="N10897" s="1996"/>
      <c r="O10897" s="1996"/>
      <c r="P10897" s="1098"/>
    </row>
    <row r="10898" spans="1:16" ht="18">
      <c r="A10898" s="690"/>
      <c r="B10898" s="691"/>
      <c r="C10898" s="691"/>
      <c r="D10898" s="691"/>
      <c r="E10898" s="691"/>
      <c r="F10898" s="1448"/>
      <c r="G10898" s="691"/>
      <c r="H10898" s="698"/>
      <c r="I10898" s="699"/>
      <c r="J10898" s="700"/>
      <c r="K10898" s="701"/>
      <c r="L10898" s="702"/>
      <c r="M10898" s="691"/>
      <c r="N10898" s="1448"/>
      <c r="O10898" s="691"/>
      <c r="P10898" s="1098"/>
    </row>
    <row r="10899" spans="1:16" ht="18">
      <c r="A10899" s="703" t="s">
        <v>42</v>
      </c>
      <c r="B10899" s="704"/>
      <c r="C10899" s="691"/>
      <c r="D10899" s="691"/>
      <c r="E10899" s="691"/>
      <c r="F10899" s="1448"/>
      <c r="G10899" s="704"/>
      <c r="H10899" s="698"/>
      <c r="I10899" s="699"/>
      <c r="J10899" s="700"/>
      <c r="K10899" s="693"/>
      <c r="L10899" s="705"/>
      <c r="M10899" s="691"/>
      <c r="N10899" s="1979" t="s">
        <v>43</v>
      </c>
      <c r="O10899" s="1979"/>
      <c r="P10899" s="1098"/>
    </row>
    <row r="10900" spans="1:16" ht="18">
      <c r="A10900" s="703"/>
      <c r="B10900" s="704"/>
      <c r="C10900" s="691"/>
      <c r="D10900" s="691"/>
      <c r="E10900" s="691"/>
      <c r="F10900" s="1448"/>
      <c r="G10900" s="691"/>
      <c r="H10900" s="1448"/>
      <c r="I10900" s="1849"/>
      <c r="J10900" s="691"/>
      <c r="K10900" s="693"/>
      <c r="L10900" s="1448"/>
      <c r="M10900" s="691"/>
      <c r="N10900" s="1448"/>
      <c r="O10900" s="704"/>
      <c r="P10900" s="1098"/>
    </row>
    <row r="10901" spans="1:16" ht="18">
      <c r="A10901" s="703" t="s">
        <v>44</v>
      </c>
      <c r="B10901" s="704"/>
      <c r="C10901" s="691"/>
      <c r="D10901" s="691"/>
      <c r="E10901" s="691"/>
      <c r="F10901" s="1448"/>
      <c r="G10901" s="691"/>
      <c r="H10901" s="1448"/>
      <c r="I10901" s="1849"/>
      <c r="J10901" s="691"/>
      <c r="K10901" s="693"/>
      <c r="L10901" s="1448"/>
      <c r="M10901" s="691"/>
      <c r="N10901" s="1979" t="s">
        <v>45</v>
      </c>
      <c r="O10901" s="1979"/>
      <c r="P10901" s="1098"/>
    </row>
    <row r="10902" spans="1:16" ht="18.600000000000001" thickBot="1">
      <c r="A10902" s="682"/>
      <c r="B10902" s="683"/>
      <c r="C10902" s="683"/>
      <c r="D10902" s="683"/>
      <c r="E10902" s="683"/>
      <c r="F10902" s="684"/>
      <c r="G10902" s="683"/>
      <c r="H10902" s="684"/>
      <c r="I10902" s="1850"/>
      <c r="J10902" s="683"/>
      <c r="K10902" s="706"/>
      <c r="L10902" s="684"/>
      <c r="M10902" s="683"/>
      <c r="N10902" s="684"/>
      <c r="O10902" s="683"/>
      <c r="P10902" s="1099"/>
    </row>
    <row r="10907" spans="1:16" ht="18">
      <c r="A10907" s="653" t="s">
        <v>48</v>
      </c>
      <c r="B10907" s="653"/>
      <c r="C10907" s="654"/>
      <c r="D10907" s="654"/>
      <c r="E10907" s="654"/>
      <c r="F10907" s="1484"/>
      <c r="G10907" s="654"/>
      <c r="H10907" s="1484"/>
      <c r="I10907" s="656"/>
      <c r="J10907" s="654"/>
      <c r="K10907" s="657"/>
      <c r="L10907" s="2003" t="s">
        <v>0</v>
      </c>
      <c r="M10907" s="2003"/>
      <c r="N10907" s="2003"/>
      <c r="O10907" s="2004"/>
      <c r="P10907" s="1097"/>
    </row>
    <row r="10908" spans="1:16" ht="18">
      <c r="A10908" s="658" t="s">
        <v>1</v>
      </c>
      <c r="B10908" s="658"/>
      <c r="C10908" s="658"/>
      <c r="D10908" s="659" t="s">
        <v>2</v>
      </c>
      <c r="E10908" s="659"/>
      <c r="F10908" s="660"/>
      <c r="G10908" s="660"/>
      <c r="H10908" s="660"/>
      <c r="I10908" s="661"/>
      <c r="J10908" s="660"/>
      <c r="K10908" s="662" t="s">
        <v>3</v>
      </c>
      <c r="L10908" s="660"/>
      <c r="M10908" s="658"/>
      <c r="N10908" s="660"/>
      <c r="O10908" s="663"/>
      <c r="P10908" s="1098"/>
    </row>
    <row r="10909" spans="1:16" ht="18">
      <c r="A10909" s="1484" t="s">
        <v>22</v>
      </c>
      <c r="B10909" s="1990" t="s">
        <v>23</v>
      </c>
      <c r="C10909" s="2005"/>
      <c r="D10909" s="1989"/>
      <c r="E10909" s="1484" t="s">
        <v>24</v>
      </c>
      <c r="F10909" s="1990" t="s">
        <v>25</v>
      </c>
      <c r="G10909" s="1989"/>
      <c r="H10909" s="1990" t="s">
        <v>26</v>
      </c>
      <c r="I10909" s="2005"/>
      <c r="J10909" s="2005"/>
      <c r="K10909" s="1989"/>
      <c r="L10909" s="2006" t="s">
        <v>27</v>
      </c>
      <c r="M10909" s="2006"/>
      <c r="N10909" s="2006"/>
      <c r="O10909" s="1990"/>
      <c r="P10909" s="1098"/>
    </row>
    <row r="10910" spans="1:16" ht="18">
      <c r="A10910" s="664"/>
      <c r="B10910" s="1975"/>
      <c r="C10910" s="1976"/>
      <c r="D10910" s="1977"/>
      <c r="E10910" s="665"/>
      <c r="F10910" s="1975"/>
      <c r="G10910" s="1977"/>
      <c r="H10910" s="1975"/>
      <c r="I10910" s="1976"/>
      <c r="J10910" s="1976"/>
      <c r="K10910" s="1977"/>
      <c r="L10910" s="1975"/>
      <c r="M10910" s="1976"/>
      <c r="N10910" s="1976"/>
      <c r="O10910" s="1976"/>
      <c r="P10910" s="1098"/>
    </row>
    <row r="10911" spans="1:16" s="1440" customFormat="1" ht="18">
      <c r="A10911" s="664"/>
      <c r="B10911" s="1476"/>
      <c r="C10911" s="1477"/>
      <c r="D10911" s="1478"/>
      <c r="E10911" s="665"/>
      <c r="F10911" s="1476"/>
      <c r="G10911" s="1478"/>
      <c r="H10911" s="1476"/>
      <c r="I10911" s="1842"/>
      <c r="J10911" s="1477"/>
      <c r="K10911" s="1478"/>
      <c r="L10911" s="1477"/>
      <c r="M10911" s="1477"/>
      <c r="N10911" s="1477"/>
      <c r="O10911" s="1477"/>
      <c r="P10911" s="1098"/>
    </row>
    <row r="10912" spans="1:16" s="1440" customFormat="1" ht="18">
      <c r="A10912" s="664" t="s">
        <v>28</v>
      </c>
      <c r="B10912" s="1975" t="s">
        <v>154</v>
      </c>
      <c r="C10912" s="1976"/>
      <c r="D10912" s="1977"/>
      <c r="E10912" s="665">
        <v>24.2</v>
      </c>
      <c r="F10912" s="1973">
        <v>8.5</v>
      </c>
      <c r="G10912" s="1974"/>
      <c r="H10912" s="1975" t="s">
        <v>450</v>
      </c>
      <c r="I10912" s="1976"/>
      <c r="J10912" s="1976"/>
      <c r="K10912" s="1977"/>
      <c r="L10912" s="1976" t="s">
        <v>1138</v>
      </c>
      <c r="M10912" s="1976"/>
      <c r="N10912" s="1976"/>
      <c r="O10912" s="1976"/>
      <c r="P10912" s="1098"/>
    </row>
    <row r="10913" spans="1:16" s="1440" customFormat="1" ht="18">
      <c r="A10913" s="664"/>
      <c r="B10913" s="1975"/>
      <c r="C10913" s="1976"/>
      <c r="D10913" s="1977"/>
      <c r="E10913" s="665"/>
      <c r="F10913" s="1973"/>
      <c r="G10913" s="1974"/>
      <c r="H10913" s="1975"/>
      <c r="I10913" s="1976"/>
      <c r="J10913" s="1976"/>
      <c r="K10913" s="1977"/>
      <c r="L10913" s="1976"/>
      <c r="M10913" s="1976"/>
      <c r="N10913" s="1976"/>
      <c r="O10913" s="1976"/>
      <c r="P10913" s="1098"/>
    </row>
    <row r="10914" spans="1:16" ht="18">
      <c r="A10914" s="664"/>
      <c r="B10914" s="1476"/>
      <c r="C10914" s="1477"/>
      <c r="D10914" s="1478"/>
      <c r="E10914" s="665"/>
      <c r="F10914" s="1476"/>
      <c r="G10914" s="1478"/>
      <c r="H10914" s="1476"/>
      <c r="I10914" s="1842"/>
      <c r="J10914" s="1477"/>
      <c r="K10914" s="1478"/>
      <c r="L10914" s="1477"/>
      <c r="M10914" s="1477"/>
      <c r="N10914" s="1477"/>
      <c r="O10914" s="1477"/>
      <c r="P10914" s="1098"/>
    </row>
    <row r="10915" spans="1:16" s="1440" customFormat="1" ht="18">
      <c r="A10915" s="664" t="s">
        <v>29</v>
      </c>
      <c r="B10915" s="1975" t="s">
        <v>136</v>
      </c>
      <c r="C10915" s="1976"/>
      <c r="D10915" s="1977"/>
      <c r="E10915" s="665">
        <f>27.11+1.62</f>
        <v>28.73</v>
      </c>
      <c r="F10915" s="1973">
        <v>12</v>
      </c>
      <c r="G10915" s="1974"/>
      <c r="H10915" s="1975" t="s">
        <v>447</v>
      </c>
      <c r="I10915" s="1976"/>
      <c r="J10915" s="1976"/>
      <c r="K10915" s="1977"/>
      <c r="L10915" s="1976" t="s">
        <v>1046</v>
      </c>
      <c r="M10915" s="1976"/>
      <c r="N10915" s="1976"/>
      <c r="O10915" s="1976"/>
      <c r="P10915" s="1098"/>
    </row>
    <row r="10916" spans="1:16" s="1440" customFormat="1" ht="18">
      <c r="A10916" s="664" t="s">
        <v>30</v>
      </c>
      <c r="B10916" s="1975" t="s">
        <v>137</v>
      </c>
      <c r="C10916" s="1976"/>
      <c r="D10916" s="1977"/>
      <c r="E10916" s="665">
        <v>16.86</v>
      </c>
      <c r="F10916" s="1973">
        <v>12</v>
      </c>
      <c r="G10916" s="1974"/>
      <c r="H10916" s="1975" t="s">
        <v>447</v>
      </c>
      <c r="I10916" s="1976"/>
      <c r="J10916" s="1976"/>
      <c r="K10916" s="1977"/>
      <c r="L10916" s="1976" t="s">
        <v>1046</v>
      </c>
      <c r="M10916" s="1976"/>
      <c r="N10916" s="1976"/>
      <c r="O10916" s="1976"/>
      <c r="P10916" s="1098"/>
    </row>
    <row r="10917" spans="1:16" s="1440" customFormat="1" ht="18">
      <c r="A10917" s="664" t="s">
        <v>46</v>
      </c>
      <c r="B10917" s="1975" t="s">
        <v>138</v>
      </c>
      <c r="C10917" s="1976"/>
      <c r="D10917" s="1977"/>
      <c r="E10917" s="665">
        <f>5.15+1.02</f>
        <v>6.17</v>
      </c>
      <c r="F10917" s="1973">
        <v>12</v>
      </c>
      <c r="G10917" s="1974"/>
      <c r="H10917" s="1975" t="s">
        <v>447</v>
      </c>
      <c r="I10917" s="1976"/>
      <c r="J10917" s="1976"/>
      <c r="K10917" s="1977"/>
      <c r="L10917" s="1976" t="s">
        <v>1046</v>
      </c>
      <c r="M10917" s="1976"/>
      <c r="N10917" s="1976"/>
      <c r="O10917" s="1976"/>
      <c r="P10917" s="1098"/>
    </row>
    <row r="10918" spans="1:16" s="1440" customFormat="1" ht="18">
      <c r="A10918" s="664"/>
      <c r="B10918" s="1975"/>
      <c r="C10918" s="1976"/>
      <c r="D10918" s="1977"/>
      <c r="E10918" s="665"/>
      <c r="F10918" s="1973"/>
      <c r="G10918" s="1974"/>
      <c r="H10918" s="1975"/>
      <c r="I10918" s="1976"/>
      <c r="J10918" s="1976"/>
      <c r="K10918" s="1977"/>
      <c r="L10918" s="1976"/>
      <c r="M10918" s="1976"/>
      <c r="N10918" s="1976"/>
      <c r="O10918" s="1976"/>
      <c r="P10918" s="1098"/>
    </row>
    <row r="10919" spans="1:16" s="1440" customFormat="1" ht="18">
      <c r="A10919" s="664" t="s">
        <v>58</v>
      </c>
      <c r="B10919" s="1975" t="s">
        <v>138</v>
      </c>
      <c r="C10919" s="1976"/>
      <c r="D10919" s="1977"/>
      <c r="E10919" s="665">
        <v>29.26</v>
      </c>
      <c r="F10919" s="1973">
        <v>12</v>
      </c>
      <c r="G10919" s="1974"/>
      <c r="H10919" s="1975" t="s">
        <v>20</v>
      </c>
      <c r="I10919" s="1976"/>
      <c r="J10919" s="1976"/>
      <c r="K10919" s="1977"/>
      <c r="L10919" s="1976" t="s">
        <v>1046</v>
      </c>
      <c r="M10919" s="1976"/>
      <c r="N10919" s="1976"/>
      <c r="O10919" s="1976"/>
      <c r="P10919" s="1098"/>
    </row>
    <row r="10920" spans="1:16" s="1440" customFormat="1" ht="18">
      <c r="A10920" s="664" t="s">
        <v>163</v>
      </c>
      <c r="B10920" s="1975" t="s">
        <v>741</v>
      </c>
      <c r="C10920" s="1976"/>
      <c r="D10920" s="1977"/>
      <c r="E10920" s="665">
        <v>2.4809999999999999</v>
      </c>
      <c r="F10920" s="1973">
        <v>12</v>
      </c>
      <c r="G10920" s="1974"/>
      <c r="H10920" s="1975" t="s">
        <v>20</v>
      </c>
      <c r="I10920" s="1976"/>
      <c r="J10920" s="1976"/>
      <c r="K10920" s="1977"/>
      <c r="L10920" s="1976" t="s">
        <v>1046</v>
      </c>
      <c r="M10920" s="1976"/>
      <c r="N10920" s="1976"/>
      <c r="O10920" s="1976"/>
      <c r="P10920" s="1098"/>
    </row>
    <row r="10921" spans="1:16" s="1440" customFormat="1" ht="18">
      <c r="A10921" s="664" t="s">
        <v>302</v>
      </c>
      <c r="B10921" s="1975" t="s">
        <v>159</v>
      </c>
      <c r="C10921" s="1976"/>
      <c r="D10921" s="1977"/>
      <c r="E10921" s="665">
        <v>6.9409999999999998</v>
      </c>
      <c r="F10921" s="1973">
        <v>12</v>
      </c>
      <c r="G10921" s="1974"/>
      <c r="H10921" s="1975" t="s">
        <v>20</v>
      </c>
      <c r="I10921" s="1976"/>
      <c r="J10921" s="1976"/>
      <c r="K10921" s="1977"/>
      <c r="L10921" s="1976" t="s">
        <v>1046</v>
      </c>
      <c r="M10921" s="1976"/>
      <c r="N10921" s="1976"/>
      <c r="O10921" s="1976"/>
      <c r="P10921" s="1098"/>
    </row>
    <row r="10922" spans="1:16" s="1440" customFormat="1" ht="18">
      <c r="A10922" s="664"/>
      <c r="B10922" s="1476"/>
      <c r="C10922" s="1477"/>
      <c r="D10922" s="1478"/>
      <c r="E10922" s="665"/>
      <c r="F10922" s="1479"/>
      <c r="G10922" s="1480"/>
      <c r="H10922" s="1476"/>
      <c r="I10922" s="1842"/>
      <c r="J10922" s="1477"/>
      <c r="K10922" s="1478"/>
      <c r="L10922" s="1477"/>
      <c r="M10922" s="1477"/>
      <c r="N10922" s="1477"/>
      <c r="O10922" s="1477"/>
      <c r="P10922" s="1098"/>
    </row>
    <row r="10923" spans="1:16" ht="18.600000000000001" thickBot="1">
      <c r="A10923" s="664"/>
      <c r="B10923" s="1476"/>
      <c r="C10923" s="1477"/>
      <c r="D10923" s="1477"/>
      <c r="E10923" s="665"/>
      <c r="F10923" s="1477"/>
      <c r="G10923" s="1478"/>
      <c r="H10923" s="1476"/>
      <c r="I10923" s="1842"/>
      <c r="J10923" s="1477"/>
      <c r="K10923" s="669"/>
      <c r="L10923" s="672"/>
      <c r="M10923" s="673"/>
      <c r="N10923" s="673"/>
      <c r="O10923" s="673"/>
      <c r="P10923" s="1098"/>
    </row>
    <row r="10924" spans="1:16" ht="18">
      <c r="A10924" s="674"/>
      <c r="B10924" s="675"/>
      <c r="C10924" s="676"/>
      <c r="D10924" s="676"/>
      <c r="E10924" s="1980">
        <f>SUM(E10910:E10923)</f>
        <v>114.642</v>
      </c>
      <c r="F10924" s="677"/>
      <c r="G10924" s="678"/>
      <c r="H10924" s="679"/>
      <c r="I10924" s="1848"/>
      <c r="J10924" s="676"/>
      <c r="K10924" s="680"/>
      <c r="L10924" s="679"/>
      <c r="M10924" s="676"/>
      <c r="N10924" s="677"/>
      <c r="O10924" s="676"/>
      <c r="P10924" s="1098"/>
    </row>
    <row r="10925" spans="1:16" ht="18.600000000000001" thickBot="1">
      <c r="A10925" s="681"/>
      <c r="B10925" s="682"/>
      <c r="C10925" s="683"/>
      <c r="D10925" s="683"/>
      <c r="E10925" s="1981"/>
      <c r="F10925" s="684"/>
      <c r="G10925" s="685"/>
      <c r="H10925" s="686"/>
      <c r="I10925" s="1850"/>
      <c r="J10925" s="683"/>
      <c r="K10925" s="687"/>
      <c r="L10925" s="686"/>
      <c r="M10925" s="683"/>
      <c r="N10925" s="684"/>
      <c r="O10925" s="683"/>
      <c r="P10925" s="1098"/>
    </row>
    <row r="10926" spans="1:16" ht="18">
      <c r="A10926" s="688" t="s">
        <v>31</v>
      </c>
      <c r="B10926" s="676"/>
      <c r="C10926" s="676"/>
      <c r="D10926" s="676"/>
      <c r="E10926" s="676"/>
      <c r="F10926" s="677"/>
      <c r="G10926" s="676"/>
      <c r="H10926" s="677"/>
      <c r="I10926" s="1848"/>
      <c r="J10926" s="676"/>
      <c r="K10926" s="689"/>
      <c r="L10926" s="677"/>
      <c r="M10926" s="676"/>
      <c r="N10926" s="677"/>
      <c r="O10926" s="676"/>
      <c r="P10926" s="1098"/>
    </row>
    <row r="10927" spans="1:16" ht="18">
      <c r="A10927" s="690"/>
      <c r="B10927" s="691"/>
      <c r="C10927" s="691"/>
      <c r="D10927" s="691"/>
      <c r="E10927" s="691"/>
      <c r="F10927" s="1481"/>
      <c r="G10927" s="691"/>
      <c r="H10927" s="1481"/>
      <c r="I10927" s="1849"/>
      <c r="J10927" s="691"/>
      <c r="K10927" s="693"/>
      <c r="L10927" s="1481"/>
      <c r="M10927" s="691"/>
      <c r="N10927" s="1481"/>
      <c r="O10927" s="691"/>
      <c r="P10927" s="1098"/>
    </row>
    <row r="10928" spans="1:16" ht="18.600000000000001" thickBot="1">
      <c r="A10928" s="1982" t="s">
        <v>32</v>
      </c>
      <c r="B10928" s="1983"/>
      <c r="C10928" s="1984" t="s">
        <v>33</v>
      </c>
      <c r="D10928" s="1985"/>
      <c r="E10928" s="694" t="s">
        <v>34</v>
      </c>
      <c r="F10928" s="694" t="s">
        <v>35</v>
      </c>
      <c r="G10928" s="1986" t="s">
        <v>36</v>
      </c>
      <c r="H10928" s="1987"/>
      <c r="I10928" s="1987"/>
      <c r="J10928" s="1987"/>
      <c r="K10928" s="1987"/>
      <c r="L10928" s="1987"/>
      <c r="M10928" s="1987"/>
      <c r="N10928" s="1987"/>
      <c r="O10928" s="1987"/>
      <c r="P10928" s="1098"/>
    </row>
    <row r="10929" spans="1:16" ht="18">
      <c r="A10929" s="1988"/>
      <c r="B10929" s="1989"/>
      <c r="C10929" s="1990"/>
      <c r="D10929" s="1989"/>
      <c r="E10929" s="1484"/>
      <c r="F10929" s="1482"/>
      <c r="G10929" s="1991"/>
      <c r="H10929" s="1992"/>
      <c r="I10929" s="1992"/>
      <c r="J10929" s="1992"/>
      <c r="K10929" s="1992"/>
      <c r="L10929" s="1992"/>
      <c r="M10929" s="1992"/>
      <c r="N10929" s="1992"/>
      <c r="O10929" s="1992"/>
      <c r="P10929" s="1098"/>
    </row>
    <row r="10930" spans="1:16" ht="18">
      <c r="A10930" s="1997" t="s">
        <v>37</v>
      </c>
      <c r="B10930" s="1998"/>
      <c r="C10930" s="1990"/>
      <c r="D10930" s="1989"/>
      <c r="E10930" s="1484"/>
      <c r="F10930" s="1482"/>
      <c r="G10930" s="1993"/>
      <c r="H10930" s="1994"/>
      <c r="I10930" s="1994"/>
      <c r="J10930" s="1994"/>
      <c r="K10930" s="1994"/>
      <c r="L10930" s="1994"/>
      <c r="M10930" s="1994"/>
      <c r="N10930" s="1994"/>
      <c r="O10930" s="1994"/>
      <c r="P10930" s="1098"/>
    </row>
    <row r="10931" spans="1:16" ht="18">
      <c r="A10931" s="1997" t="s">
        <v>38</v>
      </c>
      <c r="B10931" s="1998"/>
      <c r="C10931" s="1990"/>
      <c r="D10931" s="1989"/>
      <c r="E10931" s="1484"/>
      <c r="F10931" s="1482"/>
      <c r="G10931" s="1993"/>
      <c r="H10931" s="1994"/>
      <c r="I10931" s="1994"/>
      <c r="J10931" s="1994"/>
      <c r="K10931" s="1994"/>
      <c r="L10931" s="1994"/>
      <c r="M10931" s="1994"/>
      <c r="N10931" s="1994"/>
      <c r="O10931" s="1994"/>
      <c r="P10931" s="1098"/>
    </row>
    <row r="10932" spans="1:16" ht="18">
      <c r="A10932" s="1997" t="s">
        <v>39</v>
      </c>
      <c r="B10932" s="1998"/>
      <c r="C10932" s="1990"/>
      <c r="D10932" s="1989"/>
      <c r="E10932" s="1484"/>
      <c r="F10932" s="1482"/>
      <c r="G10932" s="1993"/>
      <c r="H10932" s="1994"/>
      <c r="I10932" s="1994"/>
      <c r="J10932" s="1994"/>
      <c r="K10932" s="1994"/>
      <c r="L10932" s="1994"/>
      <c r="M10932" s="1994"/>
      <c r="N10932" s="1994"/>
      <c r="O10932" s="1994"/>
      <c r="P10932" s="1098"/>
    </row>
    <row r="10933" spans="1:16" ht="18">
      <c r="A10933" s="1997" t="s">
        <v>40</v>
      </c>
      <c r="B10933" s="1998"/>
      <c r="C10933" s="1990"/>
      <c r="D10933" s="1989"/>
      <c r="E10933" s="1484"/>
      <c r="F10933" s="1482"/>
      <c r="G10933" s="1993"/>
      <c r="H10933" s="1994"/>
      <c r="I10933" s="1994"/>
      <c r="J10933" s="1994"/>
      <c r="K10933" s="1994"/>
      <c r="L10933" s="1994"/>
      <c r="M10933" s="1994"/>
      <c r="N10933" s="1994"/>
      <c r="O10933" s="1994"/>
      <c r="P10933" s="1098"/>
    </row>
    <row r="10934" spans="1:16" ht="18.600000000000001" thickBot="1">
      <c r="A10934" s="1999" t="s">
        <v>41</v>
      </c>
      <c r="B10934" s="2000"/>
      <c r="C10934" s="2001"/>
      <c r="D10934" s="2002"/>
      <c r="E10934" s="696"/>
      <c r="F10934" s="1483"/>
      <c r="G10934" s="1995"/>
      <c r="H10934" s="1996"/>
      <c r="I10934" s="1996"/>
      <c r="J10934" s="1996"/>
      <c r="K10934" s="1996"/>
      <c r="L10934" s="1996"/>
      <c r="M10934" s="1996"/>
      <c r="N10934" s="1996"/>
      <c r="O10934" s="1996"/>
      <c r="P10934" s="1098"/>
    </row>
    <row r="10935" spans="1:16" ht="18">
      <c r="A10935" s="690"/>
      <c r="B10935" s="691"/>
      <c r="C10935" s="691"/>
      <c r="D10935" s="691"/>
      <c r="E10935" s="691"/>
      <c r="F10935" s="1481"/>
      <c r="G10935" s="691"/>
      <c r="H10935" s="698"/>
      <c r="I10935" s="699"/>
      <c r="J10935" s="700"/>
      <c r="K10935" s="701"/>
      <c r="L10935" s="702"/>
      <c r="M10935" s="691"/>
      <c r="N10935" s="1481"/>
      <c r="O10935" s="691"/>
      <c r="P10935" s="1098"/>
    </row>
    <row r="10936" spans="1:16" ht="18">
      <c r="A10936" s="703" t="s">
        <v>42</v>
      </c>
      <c r="B10936" s="704"/>
      <c r="C10936" s="691"/>
      <c r="D10936" s="691"/>
      <c r="E10936" s="691"/>
      <c r="F10936" s="1481"/>
      <c r="G10936" s="704"/>
      <c r="H10936" s="698"/>
      <c r="I10936" s="699"/>
      <c r="J10936" s="700"/>
      <c r="K10936" s="693"/>
      <c r="L10936" s="705"/>
      <c r="M10936" s="691"/>
      <c r="N10936" s="1979" t="s">
        <v>43</v>
      </c>
      <c r="O10936" s="1979"/>
      <c r="P10936" s="1098"/>
    </row>
    <row r="10937" spans="1:16" ht="18">
      <c r="A10937" s="703"/>
      <c r="B10937" s="704"/>
      <c r="C10937" s="691"/>
      <c r="D10937" s="691"/>
      <c r="E10937" s="691"/>
      <c r="F10937" s="1481"/>
      <c r="G10937" s="691"/>
      <c r="H10937" s="1481"/>
      <c r="I10937" s="1849"/>
      <c r="J10937" s="691"/>
      <c r="K10937" s="693"/>
      <c r="L10937" s="1481"/>
      <c r="M10937" s="691"/>
      <c r="N10937" s="1481"/>
      <c r="O10937" s="704"/>
      <c r="P10937" s="1098"/>
    </row>
    <row r="10938" spans="1:16" ht="18">
      <c r="A10938" s="703" t="s">
        <v>44</v>
      </c>
      <c r="B10938" s="704"/>
      <c r="C10938" s="691"/>
      <c r="D10938" s="691"/>
      <c r="E10938" s="691"/>
      <c r="F10938" s="1481"/>
      <c r="G10938" s="691"/>
      <c r="H10938" s="1481"/>
      <c r="I10938" s="1849"/>
      <c r="J10938" s="691"/>
      <c r="K10938" s="693"/>
      <c r="L10938" s="1481"/>
      <c r="M10938" s="691"/>
      <c r="N10938" s="1979" t="s">
        <v>45</v>
      </c>
      <c r="O10938" s="1979"/>
      <c r="P10938" s="1098"/>
    </row>
    <row r="10939" spans="1:16" ht="18.600000000000001" thickBot="1">
      <c r="A10939" s="682"/>
      <c r="B10939" s="683"/>
      <c r="C10939" s="683"/>
      <c r="D10939" s="683"/>
      <c r="E10939" s="683"/>
      <c r="F10939" s="684"/>
      <c r="G10939" s="683"/>
      <c r="H10939" s="684"/>
      <c r="I10939" s="1850"/>
      <c r="J10939" s="683"/>
      <c r="K10939" s="706"/>
      <c r="L10939" s="684"/>
      <c r="M10939" s="683"/>
      <c r="N10939" s="684"/>
      <c r="O10939" s="683"/>
      <c r="P10939" s="1099"/>
    </row>
    <row r="10944" spans="1:16" ht="17.399999999999999">
      <c r="A10944" s="711" t="s">
        <v>48</v>
      </c>
      <c r="B10944" s="711"/>
      <c r="C10944" s="712"/>
      <c r="D10944" s="712"/>
      <c r="E10944" s="712"/>
      <c r="F10944" s="713"/>
      <c r="G10944" s="712"/>
      <c r="H10944" s="712"/>
      <c r="I10944" s="714"/>
      <c r="J10944" s="715"/>
      <c r="K10944" s="716"/>
      <c r="L10944" s="1978" t="s">
        <v>0</v>
      </c>
      <c r="M10944" s="1978"/>
      <c r="N10944" s="1978"/>
      <c r="O10944" s="1978"/>
      <c r="P10944" s="717"/>
    </row>
    <row r="10945" spans="1:18" ht="17.399999999999999">
      <c r="A10945" s="718" t="s">
        <v>1</v>
      </c>
      <c r="B10945" s="718"/>
      <c r="C10945" s="718"/>
      <c r="D10945" s="719" t="s">
        <v>2</v>
      </c>
      <c r="E10945" s="719"/>
      <c r="F10945" s="720"/>
      <c r="G10945" s="720"/>
      <c r="H10945" s="720"/>
      <c r="I10945" s="721"/>
      <c r="J10945" s="1485"/>
      <c r="K10945" s="723" t="s">
        <v>3</v>
      </c>
      <c r="L10945" s="1485"/>
      <c r="M10945" s="718"/>
      <c r="N10945" s="720"/>
      <c r="O10945" s="718"/>
      <c r="P10945" s="724"/>
    </row>
    <row r="10946" spans="1:18" ht="52.2">
      <c r="A10946" s="640" t="s">
        <v>4</v>
      </c>
      <c r="B10946" s="640" t="s">
        <v>5</v>
      </c>
      <c r="C10946" s="640" t="s">
        <v>6</v>
      </c>
      <c r="D10946" s="640" t="s">
        <v>7</v>
      </c>
      <c r="E10946" s="640" t="s">
        <v>8</v>
      </c>
      <c r="F10946" s="641" t="s">
        <v>9</v>
      </c>
      <c r="G10946" s="642" t="s">
        <v>10</v>
      </c>
      <c r="H10946" s="642" t="s">
        <v>11</v>
      </c>
      <c r="I10946" s="643" t="s">
        <v>12</v>
      </c>
      <c r="J10946" s="644" t="s">
        <v>13</v>
      </c>
      <c r="K10946" s="645" t="s">
        <v>14</v>
      </c>
      <c r="L10946" s="646" t="s">
        <v>15</v>
      </c>
      <c r="M10946" s="641" t="s">
        <v>16</v>
      </c>
      <c r="N10946" s="641" t="s">
        <v>17</v>
      </c>
      <c r="O10946" s="642" t="s">
        <v>18</v>
      </c>
      <c r="P10946" s="641" t="s">
        <v>192</v>
      </c>
    </row>
    <row r="10947" spans="1:18" ht="17.399999999999999">
      <c r="A10947" s="549"/>
      <c r="B10947" s="549"/>
      <c r="C10947" s="549"/>
      <c r="D10947" s="549"/>
      <c r="E10947" s="549"/>
      <c r="F10947" s="549"/>
      <c r="G10947" s="549"/>
      <c r="H10947" s="549"/>
      <c r="I10947" s="560"/>
      <c r="J10947" s="549"/>
      <c r="K10947" s="561"/>
      <c r="L10947" s="560"/>
      <c r="M10947" s="549"/>
      <c r="N10947" s="549"/>
      <c r="O10947" s="549"/>
      <c r="P10947" s="549"/>
      <c r="Q10947" s="1511" t="s">
        <v>1390</v>
      </c>
    </row>
    <row r="10948" spans="1:18" ht="17.399999999999999">
      <c r="A10948" s="547" t="s">
        <v>272</v>
      </c>
      <c r="B10948" s="547" t="s">
        <v>1285</v>
      </c>
      <c r="C10948" s="547" t="s">
        <v>446</v>
      </c>
      <c r="D10948" s="813" t="s">
        <v>450</v>
      </c>
      <c r="E10948" s="547" t="s">
        <v>270</v>
      </c>
      <c r="F10948" s="549">
        <v>8.5</v>
      </c>
      <c r="G10948" s="952" t="s">
        <v>61</v>
      </c>
      <c r="H10948" s="900" t="s">
        <v>118</v>
      </c>
      <c r="I10948" s="1443">
        <v>9.26</v>
      </c>
      <c r="J10948" s="950">
        <v>6.5</v>
      </c>
      <c r="K10948" s="951">
        <v>48</v>
      </c>
      <c r="L10948" s="552">
        <f t="shared" ref="L10948:L10952" si="2245">(I10948*J10948*K10948/1000)</f>
        <v>2.8891199999999997</v>
      </c>
      <c r="M10948" s="549"/>
      <c r="N10948" s="549"/>
      <c r="O10948" s="549"/>
      <c r="P10948" s="549"/>
      <c r="Q10948" s="497">
        <f>24+2+28+1</f>
        <v>55</v>
      </c>
      <c r="R10948" s="497">
        <f>J10948*Q10948*I10948/1000</f>
        <v>3.3104499999999999</v>
      </c>
    </row>
    <row r="10949" spans="1:18" ht="17.399999999999999">
      <c r="A10949" s="549"/>
      <c r="B10949" s="549"/>
      <c r="C10949" s="549"/>
      <c r="D10949" s="549"/>
      <c r="E10949" s="549"/>
      <c r="F10949" s="549"/>
      <c r="G10949" s="952" t="s">
        <v>61</v>
      </c>
      <c r="H10949" s="952" t="s">
        <v>118</v>
      </c>
      <c r="I10949" s="1443">
        <v>9.26</v>
      </c>
      <c r="J10949" s="950">
        <v>7.5</v>
      </c>
      <c r="K10949" s="951">
        <v>52</v>
      </c>
      <c r="L10949" s="552">
        <f t="shared" si="2245"/>
        <v>3.6114000000000002</v>
      </c>
      <c r="M10949" s="549"/>
      <c r="N10949" s="549"/>
      <c r="O10949" s="549"/>
      <c r="P10949" s="549"/>
      <c r="Q10949" s="497">
        <f>25+20+1+3+2</f>
        <v>51</v>
      </c>
      <c r="R10949" s="1511">
        <f t="shared" ref="R10949:R10952" si="2246">J10949*Q10949*I10949/1000</f>
        <v>3.5419499999999999</v>
      </c>
    </row>
    <row r="10950" spans="1:18" ht="17.399999999999999">
      <c r="A10950" s="549"/>
      <c r="B10950" s="549"/>
      <c r="C10950" s="549"/>
      <c r="D10950" s="549"/>
      <c r="E10950" s="549"/>
      <c r="F10950" s="549"/>
      <c r="G10950" s="952" t="s">
        <v>61</v>
      </c>
      <c r="H10950" s="952" t="s">
        <v>118</v>
      </c>
      <c r="I10950" s="1443">
        <v>9.26</v>
      </c>
      <c r="J10950" s="950">
        <v>9.5</v>
      </c>
      <c r="K10950" s="951">
        <v>26</v>
      </c>
      <c r="L10950" s="552">
        <f t="shared" si="2245"/>
        <v>2.2872199999999996</v>
      </c>
      <c r="M10950" s="549"/>
      <c r="N10950" s="549"/>
      <c r="O10950" s="549"/>
      <c r="P10950" s="549"/>
      <c r="Q10950" s="497">
        <f>12+2+5+2+3+2</f>
        <v>26</v>
      </c>
      <c r="R10950" s="1511">
        <f t="shared" si="2246"/>
        <v>2.2872199999999996</v>
      </c>
    </row>
    <row r="10951" spans="1:18" ht="17.399999999999999">
      <c r="A10951" s="549"/>
      <c r="B10951" s="549"/>
      <c r="C10951" s="549"/>
      <c r="D10951" s="549"/>
      <c r="E10951" s="549"/>
      <c r="F10951" s="549"/>
      <c r="G10951" s="952" t="s">
        <v>61</v>
      </c>
      <c r="H10951" s="952" t="s">
        <v>118</v>
      </c>
      <c r="I10951" s="1443">
        <v>9.26</v>
      </c>
      <c r="J10951" s="950">
        <v>11.5</v>
      </c>
      <c r="K10951" s="951">
        <v>32</v>
      </c>
      <c r="L10951" s="552">
        <f t="shared" si="2245"/>
        <v>3.40768</v>
      </c>
      <c r="M10951" s="549"/>
      <c r="N10951" s="549"/>
      <c r="O10951" s="549"/>
      <c r="P10951" s="549"/>
      <c r="Q10951" s="497">
        <f>16+12+1</f>
        <v>29</v>
      </c>
      <c r="R10951" s="1511">
        <f t="shared" si="2246"/>
        <v>3.0882100000000001</v>
      </c>
    </row>
    <row r="10952" spans="1:18" ht="17.399999999999999">
      <c r="A10952" s="549"/>
      <c r="B10952" s="549"/>
      <c r="C10952" s="549"/>
      <c r="D10952" s="549"/>
      <c r="E10952" s="549"/>
      <c r="F10952" s="549"/>
      <c r="G10952" s="952" t="s">
        <v>61</v>
      </c>
      <c r="H10952" s="952" t="s">
        <v>118</v>
      </c>
      <c r="I10952" s="1443">
        <v>9.26</v>
      </c>
      <c r="J10952" s="950">
        <v>12</v>
      </c>
      <c r="K10952" s="951">
        <v>108</v>
      </c>
      <c r="L10952" s="552">
        <f t="shared" si="2245"/>
        <v>12.000960000000001</v>
      </c>
      <c r="M10952" s="549"/>
      <c r="N10952" s="549"/>
      <c r="O10952" s="549"/>
      <c r="P10952" s="549"/>
      <c r="Q10952" s="497">
        <f>26+30+2+29+16+1</f>
        <v>104</v>
      </c>
      <c r="R10952" s="1511">
        <f t="shared" si="2246"/>
        <v>11.556479999999999</v>
      </c>
    </row>
    <row r="10953" spans="1:18" ht="17.399999999999999">
      <c r="A10953" s="549"/>
      <c r="B10953" s="549"/>
      <c r="C10953" s="549"/>
      <c r="D10953" s="549"/>
      <c r="E10953" s="549"/>
      <c r="F10953" s="549"/>
      <c r="G10953" s="549"/>
      <c r="H10953" s="549"/>
      <c r="I10953" s="560"/>
      <c r="J10953" s="549"/>
      <c r="K10953" s="561">
        <f>SUM(K10948:K10952)</f>
        <v>266</v>
      </c>
      <c r="L10953" s="565">
        <f>SUM(L10948:L10952)</f>
        <v>24.196379999999998</v>
      </c>
      <c r="M10953" s="549"/>
      <c r="N10953" s="549"/>
      <c r="O10953" s="549"/>
      <c r="P10953" s="549" t="s">
        <v>1307</v>
      </c>
      <c r="Q10953" s="561">
        <f>SUM(Q10948:Q10952)</f>
        <v>265</v>
      </c>
      <c r="R10953" s="565">
        <f>SUM(R10948:R10952)</f>
        <v>23.784309999999998</v>
      </c>
    </row>
    <row r="10954" spans="1:18" s="1487" customFormat="1" ht="17.399999999999999">
      <c r="A10954" s="549"/>
      <c r="B10954" s="549"/>
      <c r="C10954" s="549"/>
      <c r="D10954" s="549"/>
      <c r="E10954" s="549"/>
      <c r="F10954" s="549"/>
      <c r="G10954" s="549"/>
      <c r="H10954" s="549"/>
      <c r="I10954" s="560"/>
      <c r="J10954" s="549"/>
      <c r="K10954" s="561"/>
      <c r="L10954" s="565"/>
      <c r="M10954" s="549"/>
      <c r="N10954" s="549"/>
      <c r="O10954" s="549"/>
      <c r="P10954" s="549"/>
    </row>
    <row r="10955" spans="1:18" s="1487" customFormat="1" ht="17.399999999999999">
      <c r="A10955" s="549"/>
      <c r="B10955" s="549"/>
      <c r="C10955" s="549"/>
      <c r="D10955" s="549"/>
      <c r="E10955" s="549"/>
      <c r="F10955" s="549"/>
      <c r="G10955" s="549"/>
      <c r="H10955" s="549"/>
      <c r="I10955" s="560"/>
      <c r="J10955" s="549"/>
      <c r="K10955" s="561"/>
      <c r="L10955" s="565"/>
      <c r="M10955" s="549"/>
      <c r="N10955" s="549"/>
      <c r="O10955" s="549"/>
      <c r="P10955" s="549"/>
    </row>
    <row r="10956" spans="1:18" ht="17.399999999999999">
      <c r="A10956" s="549"/>
      <c r="B10956" s="549"/>
      <c r="C10956" s="549"/>
      <c r="D10956" s="549"/>
      <c r="E10956" s="549"/>
      <c r="F10956" s="549"/>
      <c r="G10956" s="549"/>
      <c r="H10956" s="549"/>
      <c r="I10956" s="560"/>
      <c r="J10956" s="549"/>
      <c r="K10956" s="561"/>
      <c r="L10956" s="560"/>
      <c r="M10956" s="549"/>
      <c r="N10956" s="549"/>
      <c r="O10956" s="549"/>
      <c r="P10956" s="549"/>
    </row>
    <row r="10957" spans="1:18" ht="17.399999999999999">
      <c r="A10957" s="547" t="s">
        <v>272</v>
      </c>
      <c r="B10957" s="547" t="s">
        <v>1285</v>
      </c>
      <c r="C10957" s="547" t="s">
        <v>446</v>
      </c>
      <c r="D10957" s="813" t="s">
        <v>447</v>
      </c>
      <c r="E10957" s="547" t="s">
        <v>359</v>
      </c>
      <c r="F10957" s="549">
        <v>12</v>
      </c>
      <c r="G10957" s="549" t="s">
        <v>21</v>
      </c>
      <c r="H10957" s="900" t="s">
        <v>118</v>
      </c>
      <c r="I10957" s="1443">
        <v>9.26</v>
      </c>
      <c r="J10957" s="950">
        <v>8.25</v>
      </c>
      <c r="K10957" s="951">
        <v>36</v>
      </c>
      <c r="L10957" s="552">
        <f t="shared" ref="L10957:L10960" si="2247">(I10957*J10957*K10957/1000)</f>
        <v>2.7502199999999997</v>
      </c>
      <c r="M10957" s="549"/>
      <c r="N10957" s="549"/>
      <c r="O10957" s="549"/>
      <c r="P10957" s="549"/>
      <c r="Q10957" s="1511" t="s">
        <v>1390</v>
      </c>
    </row>
    <row r="10958" spans="1:18" ht="17.399999999999999">
      <c r="A10958" s="549"/>
      <c r="B10958" s="549"/>
      <c r="C10958" s="549"/>
      <c r="D10958" s="549"/>
      <c r="E10958" s="549"/>
      <c r="F10958" s="549"/>
      <c r="G10958" s="549" t="s">
        <v>21</v>
      </c>
      <c r="H10958" s="952" t="s">
        <v>118</v>
      </c>
      <c r="I10958" s="1443">
        <v>9.26</v>
      </c>
      <c r="J10958" s="950">
        <v>10.5</v>
      </c>
      <c r="K10958" s="951">
        <v>44</v>
      </c>
      <c r="L10958" s="552">
        <f t="shared" si="2247"/>
        <v>4.2781199999999995</v>
      </c>
      <c r="M10958" s="549"/>
      <c r="N10958" s="549"/>
      <c r="O10958" s="549"/>
      <c r="P10958" s="549"/>
    </row>
    <row r="10959" spans="1:18" ht="17.399999999999999">
      <c r="A10959" s="549"/>
      <c r="B10959" s="549"/>
      <c r="C10959" s="549"/>
      <c r="D10959" s="549"/>
      <c r="E10959" s="549"/>
      <c r="F10959" s="549"/>
      <c r="G10959" s="549" t="s">
        <v>21</v>
      </c>
      <c r="H10959" s="952" t="s">
        <v>118</v>
      </c>
      <c r="I10959" s="1443">
        <v>9.26</v>
      </c>
      <c r="J10959" s="950">
        <v>11</v>
      </c>
      <c r="K10959" s="951">
        <v>51</v>
      </c>
      <c r="L10959" s="552">
        <f t="shared" si="2247"/>
        <v>5.1948599999999994</v>
      </c>
      <c r="M10959" s="549"/>
      <c r="N10959" s="549"/>
      <c r="O10959" s="549"/>
      <c r="P10959" s="549"/>
    </row>
    <row r="10960" spans="1:18" ht="17.399999999999999">
      <c r="A10960" s="549"/>
      <c r="B10960" s="549"/>
      <c r="C10960" s="549"/>
      <c r="D10960" s="549"/>
      <c r="E10960" s="549"/>
      <c r="F10960" s="549"/>
      <c r="G10960" s="549" t="s">
        <v>21</v>
      </c>
      <c r="H10960" s="952" t="s">
        <v>118</v>
      </c>
      <c r="I10960" s="1443">
        <v>9.26</v>
      </c>
      <c r="J10960" s="950">
        <v>12</v>
      </c>
      <c r="K10960" s="951">
        <v>134</v>
      </c>
      <c r="L10960" s="552">
        <f t="shared" si="2247"/>
        <v>14.890079999999999</v>
      </c>
      <c r="M10960" s="549"/>
      <c r="N10960" s="549"/>
      <c r="O10960" s="549"/>
      <c r="P10960" s="549"/>
    </row>
    <row r="10961" spans="1:17" ht="17.399999999999999">
      <c r="A10961" s="549"/>
      <c r="B10961" s="549"/>
      <c r="C10961" s="549"/>
      <c r="D10961" s="549"/>
      <c r="E10961" s="549"/>
      <c r="F10961" s="549"/>
      <c r="G10961" s="549"/>
      <c r="H10961" s="952"/>
      <c r="I10961" s="1749"/>
      <c r="J10961" s="1469"/>
      <c r="K10961" s="951">
        <f>SUM(K10957:K10960)</f>
        <v>265</v>
      </c>
      <c r="L10961" s="950">
        <f>SUM(L10957:L10960)</f>
        <v>27.113279999999996</v>
      </c>
      <c r="M10961" s="549"/>
      <c r="N10961" s="549"/>
      <c r="O10961" s="549"/>
      <c r="P10961" s="549" t="s">
        <v>1308</v>
      </c>
    </row>
    <row r="10962" spans="1:17" ht="17.399999999999999">
      <c r="A10962" s="549"/>
      <c r="B10962" s="549"/>
      <c r="C10962" s="549"/>
      <c r="D10962" s="549"/>
      <c r="E10962" s="549"/>
      <c r="F10962" s="549"/>
      <c r="G10962" s="549"/>
      <c r="H10962" s="952"/>
      <c r="I10962" s="1749"/>
      <c r="J10962" s="1469"/>
      <c r="K10962" s="951"/>
      <c r="L10962" s="950"/>
      <c r="M10962" s="549"/>
      <c r="N10962" s="549"/>
      <c r="O10962" s="549"/>
      <c r="P10962" s="549"/>
    </row>
    <row r="10963" spans="1:17" ht="17.399999999999999">
      <c r="A10963" s="547" t="s">
        <v>272</v>
      </c>
      <c r="B10963" s="547" t="s">
        <v>1175</v>
      </c>
      <c r="C10963" s="547" t="s">
        <v>446</v>
      </c>
      <c r="D10963" s="813" t="s">
        <v>447</v>
      </c>
      <c r="E10963" s="547" t="s">
        <v>359</v>
      </c>
      <c r="F10963" s="549">
        <v>12</v>
      </c>
      <c r="G10963" s="549" t="s">
        <v>21</v>
      </c>
      <c r="H10963" s="1318" t="s">
        <v>118</v>
      </c>
      <c r="I10963" s="560">
        <v>9.26</v>
      </c>
      <c r="J10963" s="567">
        <v>7.95</v>
      </c>
      <c r="K10963" s="648">
        <v>22</v>
      </c>
      <c r="L10963" s="552">
        <f t="shared" ref="L10963" si="2248">(I10963*J10963*K10963/1000)</f>
        <v>1.6195740000000001</v>
      </c>
      <c r="M10963" s="549"/>
      <c r="N10963" s="549"/>
      <c r="O10963" s="549"/>
      <c r="P10963" s="549"/>
    </row>
    <row r="10964" spans="1:17" ht="17.399999999999999">
      <c r="A10964" s="549"/>
      <c r="B10964" s="754" t="s">
        <v>240</v>
      </c>
      <c r="C10964" s="549"/>
      <c r="D10964" s="549"/>
      <c r="E10964" s="549"/>
      <c r="F10964" s="549"/>
      <c r="G10964" s="549"/>
      <c r="H10964" s="549"/>
      <c r="I10964" s="560"/>
      <c r="J10964" s="549"/>
      <c r="K10964" s="652">
        <f t="shared" ref="K10964:L10964" si="2249">SUM(K10963)</f>
        <v>22</v>
      </c>
      <c r="L10964" s="565">
        <f t="shared" si="2249"/>
        <v>1.6195740000000001</v>
      </c>
      <c r="M10964" s="549"/>
      <c r="N10964" s="549"/>
      <c r="O10964" s="549"/>
      <c r="P10964" s="549"/>
    </row>
    <row r="10965" spans="1:17" s="1487" customFormat="1" ht="17.399999999999999">
      <c r="A10965" s="549"/>
      <c r="B10965" s="550"/>
      <c r="C10965" s="549"/>
      <c r="D10965" s="549"/>
      <c r="E10965" s="549"/>
      <c r="F10965" s="549"/>
      <c r="G10965" s="549"/>
      <c r="H10965" s="549"/>
      <c r="I10965" s="560"/>
      <c r="J10965" s="549"/>
      <c r="K10965" s="652">
        <f>SUM(K10957:K10964)/2</f>
        <v>287</v>
      </c>
      <c r="L10965" s="565">
        <f>SUM(L10957:L10964)/2</f>
        <v>28.732853999999996</v>
      </c>
      <c r="M10965" s="549"/>
      <c r="N10965" s="549"/>
      <c r="O10965" s="549"/>
      <c r="P10965" s="549"/>
    </row>
    <row r="10966" spans="1:17" s="1487" customFormat="1" ht="17.399999999999999">
      <c r="A10966" s="549"/>
      <c r="B10966" s="550"/>
      <c r="C10966" s="549"/>
      <c r="D10966" s="549"/>
      <c r="E10966" s="549"/>
      <c r="F10966" s="549"/>
      <c r="G10966" s="549"/>
      <c r="H10966" s="549"/>
      <c r="I10966" s="560"/>
      <c r="J10966" s="549"/>
      <c r="K10966" s="652"/>
      <c r="L10966" s="565"/>
      <c r="M10966" s="549"/>
      <c r="N10966" s="549"/>
      <c r="O10966" s="549"/>
      <c r="P10966" s="549"/>
    </row>
    <row r="10967" spans="1:17" ht="17.399999999999999">
      <c r="A10967" s="549"/>
      <c r="B10967" s="549"/>
      <c r="C10967" s="549"/>
      <c r="D10967" s="549"/>
      <c r="E10967" s="549"/>
      <c r="F10967" s="549"/>
      <c r="G10967" s="549"/>
      <c r="H10967" s="549"/>
      <c r="I10967" s="560"/>
      <c r="J10967" s="549"/>
      <c r="K10967" s="561"/>
      <c r="L10967" s="560"/>
      <c r="M10967" s="549"/>
      <c r="N10967" s="549"/>
      <c r="O10967" s="549"/>
      <c r="P10967" s="549"/>
    </row>
    <row r="10968" spans="1:17" ht="17.399999999999999">
      <c r="A10968" s="547" t="s">
        <v>272</v>
      </c>
      <c r="B10968" s="547" t="s">
        <v>1396</v>
      </c>
      <c r="C10968" s="547" t="s">
        <v>446</v>
      </c>
      <c r="D10968" s="813" t="s">
        <v>447</v>
      </c>
      <c r="E10968" s="547" t="s">
        <v>359</v>
      </c>
      <c r="F10968" s="549">
        <v>12</v>
      </c>
      <c r="G10968" s="549" t="s">
        <v>21</v>
      </c>
      <c r="H10968" s="900" t="s">
        <v>119</v>
      </c>
      <c r="I10968" s="1443">
        <v>10.73</v>
      </c>
      <c r="J10968" s="950">
        <v>6.5</v>
      </c>
      <c r="K10968" s="951">
        <v>32</v>
      </c>
      <c r="L10968" s="552">
        <f t="shared" ref="L10968:L10971" si="2250">(I10968*J10968*K10968/1000)</f>
        <v>2.23184</v>
      </c>
      <c r="M10968" s="549"/>
      <c r="N10968" s="549"/>
      <c r="O10968" s="549"/>
      <c r="P10968" s="549"/>
      <c r="Q10968" s="1511" t="s">
        <v>1390</v>
      </c>
    </row>
    <row r="10969" spans="1:17" ht="17.399999999999999">
      <c r="A10969" s="549"/>
      <c r="B10969" s="549"/>
      <c r="C10969" s="549"/>
      <c r="D10969" s="549"/>
      <c r="E10969" s="549"/>
      <c r="F10969" s="549"/>
      <c r="G10969" s="549" t="s">
        <v>21</v>
      </c>
      <c r="H10969" s="952" t="s">
        <v>119</v>
      </c>
      <c r="I10969" s="1443">
        <v>10.73</v>
      </c>
      <c r="J10969" s="950">
        <v>10</v>
      </c>
      <c r="K10969" s="951">
        <v>64</v>
      </c>
      <c r="L10969" s="552">
        <f t="shared" si="2250"/>
        <v>6.8672000000000004</v>
      </c>
      <c r="M10969" s="549"/>
      <c r="N10969" s="549"/>
      <c r="O10969" s="549"/>
      <c r="P10969" s="549"/>
    </row>
    <row r="10970" spans="1:17" ht="17.399999999999999">
      <c r="A10970" s="549"/>
      <c r="B10970" s="549"/>
      <c r="C10970" s="549"/>
      <c r="D10970" s="549"/>
      <c r="E10970" s="549"/>
      <c r="F10970" s="549"/>
      <c r="G10970" s="549" t="s">
        <v>21</v>
      </c>
      <c r="H10970" s="952" t="s">
        <v>119</v>
      </c>
      <c r="I10970" s="1443">
        <v>10.73</v>
      </c>
      <c r="J10970" s="950">
        <v>10.5</v>
      </c>
      <c r="K10970" s="951">
        <v>30</v>
      </c>
      <c r="L10970" s="552">
        <f t="shared" si="2250"/>
        <v>3.3799500000000005</v>
      </c>
      <c r="M10970" s="549"/>
      <c r="N10970" s="549"/>
      <c r="O10970" s="549"/>
      <c r="P10970" s="549"/>
    </row>
    <row r="10971" spans="1:17" ht="17.399999999999999">
      <c r="A10971" s="549"/>
      <c r="B10971" s="549"/>
      <c r="C10971" s="549"/>
      <c r="D10971" s="549"/>
      <c r="E10971" s="549"/>
      <c r="F10971" s="549"/>
      <c r="G10971" s="549" t="s">
        <v>21</v>
      </c>
      <c r="H10971" s="952" t="s">
        <v>119</v>
      </c>
      <c r="I10971" s="1443">
        <v>10.73</v>
      </c>
      <c r="J10971" s="950">
        <v>12</v>
      </c>
      <c r="K10971" s="951">
        <v>34</v>
      </c>
      <c r="L10971" s="552">
        <f t="shared" si="2250"/>
        <v>4.37784</v>
      </c>
      <c r="M10971" s="549"/>
      <c r="N10971" s="549"/>
      <c r="O10971" s="549"/>
      <c r="P10971" s="549"/>
    </row>
    <row r="10972" spans="1:17" ht="17.399999999999999">
      <c r="A10972" s="549"/>
      <c r="B10972" s="549"/>
      <c r="C10972" s="549"/>
      <c r="D10972" s="549"/>
      <c r="E10972" s="549"/>
      <c r="F10972" s="549"/>
      <c r="G10972" s="549"/>
      <c r="H10972" s="952"/>
      <c r="I10972" s="1749"/>
      <c r="J10972" s="1469"/>
      <c r="K10972" s="951">
        <f>SUM(K10968:K10971)</f>
        <v>160</v>
      </c>
      <c r="L10972" s="950">
        <f>SUM(L10968:L10971)</f>
        <v>16.856830000000002</v>
      </c>
      <c r="M10972" s="549"/>
      <c r="N10972" s="549"/>
      <c r="O10972" s="549"/>
      <c r="P10972" s="549" t="s">
        <v>1309</v>
      </c>
    </row>
    <row r="10973" spans="1:17" s="1487" customFormat="1" ht="17.399999999999999">
      <c r="A10973" s="549"/>
      <c r="B10973" s="549"/>
      <c r="C10973" s="549"/>
      <c r="D10973" s="549"/>
      <c r="E10973" s="549"/>
      <c r="F10973" s="549"/>
      <c r="G10973" s="549"/>
      <c r="H10973" s="952"/>
      <c r="I10973" s="1749"/>
      <c r="J10973" s="1469"/>
      <c r="K10973" s="951"/>
      <c r="L10973" s="950"/>
      <c r="M10973" s="549"/>
      <c r="N10973" s="549"/>
      <c r="O10973" s="549"/>
      <c r="P10973" s="549"/>
    </row>
    <row r="10974" spans="1:17" ht="17.399999999999999">
      <c r="A10974" s="549"/>
      <c r="B10974" s="549"/>
      <c r="C10974" s="549"/>
      <c r="D10974" s="549"/>
      <c r="E10974" s="549"/>
      <c r="F10974" s="549"/>
      <c r="G10974" s="549"/>
      <c r="H10974" s="952"/>
      <c r="I10974" s="1749"/>
      <c r="J10974" s="1469"/>
      <c r="K10974" s="951"/>
      <c r="L10974" s="950"/>
      <c r="M10974" s="549"/>
      <c r="N10974" s="549"/>
      <c r="O10974" s="549"/>
      <c r="P10974" s="549"/>
      <c r="Q10974" s="1511" t="s">
        <v>1390</v>
      </c>
    </row>
    <row r="10975" spans="1:17" ht="17.399999999999999">
      <c r="A10975" s="547" t="s">
        <v>272</v>
      </c>
      <c r="B10975" s="547" t="s">
        <v>1285</v>
      </c>
      <c r="C10975" s="547" t="s">
        <v>446</v>
      </c>
      <c r="D10975" s="813" t="s">
        <v>447</v>
      </c>
      <c r="E10975" s="547" t="s">
        <v>359</v>
      </c>
      <c r="F10975" s="549">
        <v>12</v>
      </c>
      <c r="G10975" s="549" t="s">
        <v>21</v>
      </c>
      <c r="H10975" s="900" t="s">
        <v>134</v>
      </c>
      <c r="I10975" s="1443">
        <v>12.18</v>
      </c>
      <c r="J10975" s="950">
        <v>9</v>
      </c>
      <c r="K10975" s="951">
        <v>15</v>
      </c>
      <c r="L10975" s="552">
        <f t="shared" ref="L10975:L10976" si="2251">(I10975*J10975*K10975/1000)</f>
        <v>1.6443000000000001</v>
      </c>
      <c r="M10975" s="549"/>
      <c r="N10975" s="549"/>
      <c r="O10975" s="549"/>
      <c r="P10975" s="549"/>
      <c r="Q10975" s="497">
        <v>15</v>
      </c>
    </row>
    <row r="10976" spans="1:17" ht="17.399999999999999">
      <c r="A10976" s="549"/>
      <c r="B10976" s="549"/>
      <c r="C10976" s="549"/>
      <c r="D10976" s="549"/>
      <c r="E10976" s="549"/>
      <c r="F10976" s="549"/>
      <c r="G10976" s="549" t="s">
        <v>21</v>
      </c>
      <c r="H10976" s="952" t="s">
        <v>134</v>
      </c>
      <c r="I10976" s="1443">
        <v>12.18</v>
      </c>
      <c r="J10976" s="950">
        <v>12</v>
      </c>
      <c r="K10976" s="951">
        <v>24</v>
      </c>
      <c r="L10976" s="552">
        <f t="shared" si="2251"/>
        <v>3.5078400000000003</v>
      </c>
      <c r="M10976" s="549"/>
      <c r="N10976" s="549"/>
      <c r="O10976" s="549"/>
      <c r="P10976" s="549"/>
      <c r="Q10976" s="497">
        <f>20+4</f>
        <v>24</v>
      </c>
    </row>
    <row r="10977" spans="1:17" ht="17.399999999999999">
      <c r="A10977" s="549"/>
      <c r="B10977" s="549"/>
      <c r="C10977" s="549"/>
      <c r="D10977" s="549"/>
      <c r="E10977" s="549"/>
      <c r="F10977" s="549"/>
      <c r="G10977" s="549"/>
      <c r="H10977" s="952"/>
      <c r="I10977" s="1749"/>
      <c r="J10977" s="953"/>
      <c r="K10977" s="951">
        <f>SUM(K10975:K10976)</f>
        <v>39</v>
      </c>
      <c r="L10977" s="950">
        <f>SUM(L10975:L10976)</f>
        <v>5.1521400000000002</v>
      </c>
      <c r="M10977" s="549"/>
      <c r="N10977" s="549"/>
      <c r="O10977" s="549"/>
      <c r="P10977" s="549" t="s">
        <v>1310</v>
      </c>
    </row>
    <row r="10978" spans="1:17" ht="17.399999999999999">
      <c r="A10978" s="549"/>
      <c r="B10978" s="549"/>
      <c r="C10978" s="549"/>
      <c r="D10978" s="549"/>
      <c r="E10978" s="549"/>
      <c r="F10978" s="549"/>
      <c r="G10978" s="549"/>
      <c r="H10978" s="549"/>
      <c r="I10978" s="560"/>
      <c r="J10978" s="549"/>
      <c r="K10978" s="561"/>
      <c r="L10978" s="560"/>
      <c r="M10978" s="549"/>
      <c r="N10978" s="549"/>
      <c r="O10978" s="549"/>
      <c r="P10978" s="549"/>
    </row>
    <row r="10979" spans="1:17" ht="17.399999999999999">
      <c r="A10979" s="547" t="s">
        <v>272</v>
      </c>
      <c r="B10979" s="547" t="s">
        <v>1165</v>
      </c>
      <c r="C10979" s="547" t="s">
        <v>446</v>
      </c>
      <c r="D10979" s="813" t="s">
        <v>447</v>
      </c>
      <c r="E10979" s="547" t="s">
        <v>359</v>
      </c>
      <c r="F10979" s="549">
        <v>12</v>
      </c>
      <c r="G10979" s="792" t="s">
        <v>21</v>
      </c>
      <c r="H10979" s="1318" t="s">
        <v>134</v>
      </c>
      <c r="I10979" s="773">
        <v>12.18</v>
      </c>
      <c r="J10979" s="774">
        <v>12</v>
      </c>
      <c r="K10979" s="775">
        <v>7</v>
      </c>
      <c r="L10979" s="552">
        <f t="shared" ref="L10979" si="2252">(I10979*J10979*K10979/1000)</f>
        <v>1.02312</v>
      </c>
      <c r="M10979" s="549"/>
      <c r="N10979" s="549"/>
      <c r="O10979" s="549"/>
      <c r="P10979" s="549"/>
      <c r="Q10979" s="497">
        <v>7</v>
      </c>
    </row>
    <row r="10980" spans="1:17" ht="17.399999999999999">
      <c r="A10980" s="549"/>
      <c r="B10980" s="754" t="s">
        <v>240</v>
      </c>
      <c r="C10980" s="549"/>
      <c r="D10980" s="549"/>
      <c r="E10980" s="549"/>
      <c r="F10980" s="549"/>
      <c r="G10980" s="549"/>
      <c r="H10980" s="549"/>
      <c r="I10980" s="560"/>
      <c r="J10980" s="549"/>
      <c r="K10980" s="652">
        <f t="shared" ref="K10980" si="2253">SUM(K10979)</f>
        <v>7</v>
      </c>
      <c r="L10980" s="565">
        <f>SUM(L10979)</f>
        <v>1.02312</v>
      </c>
      <c r="M10980" s="549"/>
      <c r="N10980" s="549"/>
      <c r="O10980" s="549"/>
      <c r="P10980" s="549"/>
    </row>
    <row r="10981" spans="1:17" ht="17.399999999999999">
      <c r="A10981" s="549"/>
      <c r="B10981" s="549"/>
      <c r="C10981" s="549"/>
      <c r="D10981" s="549"/>
      <c r="E10981" s="549"/>
      <c r="F10981" s="549"/>
      <c r="G10981" s="549"/>
      <c r="H10981" s="549"/>
      <c r="I10981" s="560"/>
      <c r="J10981" s="549"/>
      <c r="K10981" s="652">
        <f>SUM(K10975:K10980)/2</f>
        <v>46</v>
      </c>
      <c r="L10981" s="565">
        <f>SUM(L10975:L10980)/2</f>
        <v>6.1752600000000006</v>
      </c>
      <c r="M10981" s="549"/>
      <c r="N10981" s="549"/>
      <c r="O10981" s="549"/>
      <c r="P10981" s="549"/>
    </row>
    <row r="10982" spans="1:17" ht="17.399999999999999">
      <c r="A10982" s="549"/>
      <c r="B10982" s="549"/>
      <c r="C10982" s="549"/>
      <c r="D10982" s="549"/>
      <c r="E10982" s="549"/>
      <c r="F10982" s="549"/>
      <c r="G10982" s="549"/>
      <c r="H10982" s="549"/>
      <c r="I10982" s="560"/>
      <c r="J10982" s="549"/>
      <c r="K10982" s="561"/>
      <c r="L10982" s="560"/>
      <c r="M10982" s="549"/>
      <c r="N10982" s="549"/>
      <c r="O10982" s="549"/>
      <c r="P10982" s="549"/>
      <c r="Q10982" s="1511" t="s">
        <v>1390</v>
      </c>
    </row>
    <row r="10983" spans="1:17" ht="18">
      <c r="A10983" s="547" t="s">
        <v>332</v>
      </c>
      <c r="B10983" s="547" t="s">
        <v>1094</v>
      </c>
      <c r="C10983" s="547" t="s">
        <v>19</v>
      </c>
      <c r="D10983" s="547" t="s">
        <v>20</v>
      </c>
      <c r="E10983" s="1437" t="s">
        <v>464</v>
      </c>
      <c r="F10983" s="549">
        <v>12</v>
      </c>
      <c r="G10983" s="898" t="s">
        <v>21</v>
      </c>
      <c r="H10983" s="1162" t="s">
        <v>134</v>
      </c>
      <c r="I10983" s="1586">
        <v>12.2</v>
      </c>
      <c r="J10983" s="914">
        <v>7.5</v>
      </c>
      <c r="K10983" s="915">
        <v>116</v>
      </c>
      <c r="L10983" s="552">
        <f t="shared" ref="L10983:L10986" si="2254">(I10983*J10983*K10983/1000)</f>
        <v>10.614000000000001</v>
      </c>
      <c r="M10983" s="898"/>
      <c r="N10983" s="898"/>
      <c r="O10983" s="898"/>
      <c r="P10983" s="898"/>
    </row>
    <row r="10984" spans="1:17" ht="18">
      <c r="A10984" s="549"/>
      <c r="B10984" s="1348" t="s">
        <v>585</v>
      </c>
      <c r="C10984" s="549"/>
      <c r="D10984" s="549"/>
      <c r="E10984" s="549"/>
      <c r="F10984" s="549"/>
      <c r="G10984" s="898" t="s">
        <v>21</v>
      </c>
      <c r="H10984" s="898" t="s">
        <v>134</v>
      </c>
      <c r="I10984" s="1586">
        <v>12.2</v>
      </c>
      <c r="J10984" s="914">
        <v>7.6</v>
      </c>
      <c r="K10984" s="915">
        <v>92</v>
      </c>
      <c r="L10984" s="552">
        <f t="shared" si="2254"/>
        <v>8.5302399999999974</v>
      </c>
      <c r="M10984" s="898"/>
      <c r="N10984" s="898"/>
      <c r="O10984" s="898"/>
      <c r="P10984" s="898"/>
    </row>
    <row r="10985" spans="1:17" ht="18">
      <c r="A10985" s="898"/>
      <c r="B10985" s="898"/>
      <c r="C10985" s="898"/>
      <c r="D10985" s="898"/>
      <c r="E10985" s="898"/>
      <c r="F10985" s="898"/>
      <c r="G10985" s="898" t="s">
        <v>21</v>
      </c>
      <c r="H10985" s="898" t="s">
        <v>134</v>
      </c>
      <c r="I10985" s="1586">
        <v>12.2</v>
      </c>
      <c r="J10985" s="914">
        <v>10.3</v>
      </c>
      <c r="K10985" s="915">
        <v>28</v>
      </c>
      <c r="L10985" s="552">
        <f t="shared" si="2254"/>
        <v>3.5184799999999998</v>
      </c>
      <c r="M10985" s="898"/>
      <c r="N10985" s="898"/>
      <c r="O10985" s="898"/>
      <c r="P10985" s="898"/>
    </row>
    <row r="10986" spans="1:17" ht="18">
      <c r="A10986" s="898"/>
      <c r="B10986" s="898"/>
      <c r="C10986" s="898"/>
      <c r="D10986" s="898"/>
      <c r="E10986" s="898"/>
      <c r="F10986" s="898"/>
      <c r="G10986" s="898" t="s">
        <v>21</v>
      </c>
      <c r="H10986" s="898" t="s">
        <v>134</v>
      </c>
      <c r="I10986" s="1586">
        <v>12.2</v>
      </c>
      <c r="J10986" s="914">
        <v>10.4</v>
      </c>
      <c r="K10986" s="915">
        <v>52</v>
      </c>
      <c r="L10986" s="552">
        <f t="shared" si="2254"/>
        <v>6.5977600000000001</v>
      </c>
      <c r="M10986" s="898"/>
      <c r="N10986" s="898"/>
      <c r="O10986" s="898"/>
      <c r="P10986" s="898"/>
    </row>
    <row r="10987" spans="1:17" ht="18">
      <c r="A10987" s="898"/>
      <c r="B10987" s="898"/>
      <c r="C10987" s="898"/>
      <c r="D10987" s="898"/>
      <c r="E10987" s="898"/>
      <c r="F10987" s="898"/>
      <c r="G10987" s="898"/>
      <c r="H10987" s="898"/>
      <c r="I10987" s="1586"/>
      <c r="J10987" s="914"/>
      <c r="K10987" s="915">
        <f t="shared" ref="K10987:L10987" si="2255">SUM(K10983:K10986)</f>
        <v>288</v>
      </c>
      <c r="L10987" s="914">
        <f t="shared" si="2255"/>
        <v>29.260479999999998</v>
      </c>
      <c r="M10987" s="898"/>
      <c r="N10987" s="898"/>
      <c r="O10987" s="898"/>
      <c r="P10987" s="549" t="s">
        <v>1311</v>
      </c>
    </row>
    <row r="10988" spans="1:17" s="1487" customFormat="1" ht="18">
      <c r="A10988" s="898"/>
      <c r="B10988" s="898"/>
      <c r="C10988" s="898"/>
      <c r="D10988" s="898"/>
      <c r="E10988" s="898"/>
      <c r="F10988" s="898"/>
      <c r="G10988" s="898"/>
      <c r="H10988" s="898"/>
      <c r="I10988" s="1586"/>
      <c r="J10988" s="914"/>
      <c r="K10988" s="915"/>
      <c r="L10988" s="914"/>
      <c r="M10988" s="898"/>
      <c r="N10988" s="898"/>
      <c r="O10988" s="898"/>
      <c r="P10988" s="898"/>
    </row>
    <row r="10989" spans="1:17" ht="18">
      <c r="A10989" s="547" t="s">
        <v>332</v>
      </c>
      <c r="B10989" s="547" t="s">
        <v>1094</v>
      </c>
      <c r="C10989" s="547" t="s">
        <v>19</v>
      </c>
      <c r="D10989" s="547" t="s">
        <v>20</v>
      </c>
      <c r="E10989" s="1437" t="s">
        <v>464</v>
      </c>
      <c r="F10989" s="549">
        <v>12</v>
      </c>
      <c r="G10989" s="898" t="s">
        <v>21</v>
      </c>
      <c r="H10989" s="1162" t="s">
        <v>205</v>
      </c>
      <c r="I10989" s="1586">
        <v>13.6</v>
      </c>
      <c r="J10989" s="914">
        <v>7.6</v>
      </c>
      <c r="K10989" s="915">
        <v>24</v>
      </c>
      <c r="L10989" s="552">
        <f>(I10989*J10989*K10989/1000)</f>
        <v>2.4806399999999997</v>
      </c>
      <c r="M10989" s="898"/>
      <c r="N10989" s="898"/>
      <c r="O10989" s="898"/>
      <c r="P10989" s="898"/>
      <c r="Q10989" s="1511" t="s">
        <v>1390</v>
      </c>
    </row>
    <row r="10990" spans="1:17" ht="18">
      <c r="A10990" s="549"/>
      <c r="B10990" s="1348" t="s">
        <v>585</v>
      </c>
      <c r="C10990" s="549"/>
      <c r="D10990" s="549"/>
      <c r="E10990" s="549"/>
      <c r="F10990" s="549"/>
      <c r="G10990" s="898"/>
      <c r="H10990" s="898"/>
      <c r="I10990" s="1586"/>
      <c r="J10990" s="914"/>
      <c r="K10990" s="915">
        <f t="shared" ref="K10990:L10990" si="2256">SUM(K10989)</f>
        <v>24</v>
      </c>
      <c r="L10990" s="914">
        <f t="shared" si="2256"/>
        <v>2.4806399999999997</v>
      </c>
      <c r="M10990" s="898"/>
      <c r="N10990" s="898"/>
      <c r="O10990" s="898"/>
      <c r="P10990" s="549" t="s">
        <v>1312</v>
      </c>
    </row>
    <row r="10991" spans="1:17" ht="18">
      <c r="A10991" s="898"/>
      <c r="B10991" s="898"/>
      <c r="C10991" s="898"/>
      <c r="D10991" s="898"/>
      <c r="E10991" s="898"/>
      <c r="F10991" s="898"/>
      <c r="G10991" s="898"/>
      <c r="H10991" s="898"/>
      <c r="I10991" s="920"/>
      <c r="J10991" s="898"/>
      <c r="K10991" s="921"/>
      <c r="L10991" s="920"/>
      <c r="M10991" s="898"/>
      <c r="N10991" s="898"/>
      <c r="O10991" s="898"/>
      <c r="P10991" s="898"/>
    </row>
    <row r="10992" spans="1:17" ht="18">
      <c r="A10992" s="547" t="s">
        <v>332</v>
      </c>
      <c r="B10992" s="547" t="s">
        <v>1094</v>
      </c>
      <c r="C10992" s="547" t="s">
        <v>19</v>
      </c>
      <c r="D10992" s="547" t="s">
        <v>20</v>
      </c>
      <c r="E10992" s="1437" t="s">
        <v>464</v>
      </c>
      <c r="F10992" s="549">
        <v>12</v>
      </c>
      <c r="G10992" s="898" t="s">
        <v>21</v>
      </c>
      <c r="H10992" s="1162" t="s">
        <v>133</v>
      </c>
      <c r="I10992" s="1586">
        <v>15</v>
      </c>
      <c r="J10992" s="914">
        <v>9.1</v>
      </c>
      <c r="K10992" s="915">
        <v>10</v>
      </c>
      <c r="L10992" s="552">
        <f>(I10992*J10992*K10992/1000)</f>
        <v>1.365</v>
      </c>
      <c r="M10992" s="549"/>
      <c r="N10992" s="549"/>
      <c r="O10992" s="549"/>
      <c r="P10992" s="549"/>
      <c r="Q10992" s="1511" t="s">
        <v>1390</v>
      </c>
    </row>
    <row r="10993" spans="1:17" ht="18">
      <c r="A10993" s="549"/>
      <c r="B10993" s="1348" t="s">
        <v>585</v>
      </c>
      <c r="C10993" s="549"/>
      <c r="D10993" s="549"/>
      <c r="E10993" s="549"/>
      <c r="F10993" s="549"/>
      <c r="G10993" s="898" t="s">
        <v>21</v>
      </c>
      <c r="H10993" s="898" t="s">
        <v>133</v>
      </c>
      <c r="I10993" s="1586">
        <v>15</v>
      </c>
      <c r="J10993" s="914">
        <v>10.3</v>
      </c>
      <c r="K10993" s="915">
        <v>33</v>
      </c>
      <c r="L10993" s="552">
        <f>(I10993*J10993*K10993/1000)</f>
        <v>5.0984999999999996</v>
      </c>
      <c r="M10993" s="898"/>
      <c r="N10993" s="898"/>
      <c r="O10993" s="898"/>
      <c r="P10993" s="898"/>
    </row>
    <row r="10994" spans="1:17" ht="18">
      <c r="A10994" s="898"/>
      <c r="B10994" s="898"/>
      <c r="C10994" s="898"/>
      <c r="D10994" s="898"/>
      <c r="E10994" s="898"/>
      <c r="F10994" s="898"/>
      <c r="G10994" s="898" t="s">
        <v>21</v>
      </c>
      <c r="H10994" s="898" t="s">
        <v>133</v>
      </c>
      <c r="I10994" s="1586">
        <v>15</v>
      </c>
      <c r="J10994" s="914">
        <v>10.6</v>
      </c>
      <c r="K10994" s="915">
        <v>3</v>
      </c>
      <c r="L10994" s="552">
        <f>(I10994*J10994*K10994/1000)</f>
        <v>0.47699999999999998</v>
      </c>
      <c r="M10994" s="898"/>
      <c r="N10994" s="898"/>
      <c r="O10994" s="898"/>
      <c r="P10994" s="898"/>
    </row>
    <row r="10995" spans="1:17" ht="18">
      <c r="A10995" s="898"/>
      <c r="B10995" s="898"/>
      <c r="C10995" s="898"/>
      <c r="D10995" s="898"/>
      <c r="E10995" s="898"/>
      <c r="F10995" s="898"/>
      <c r="G10995" s="898"/>
      <c r="H10995" s="898"/>
      <c r="I10995" s="1586"/>
      <c r="J10995" s="914"/>
      <c r="K10995" s="915">
        <f t="shared" ref="K10995" si="2257">SUM(K10992:K10994)</f>
        <v>46</v>
      </c>
      <c r="L10995" s="914">
        <f>SUM(L10992:L10994)</f>
        <v>6.9405000000000001</v>
      </c>
      <c r="M10995" s="898"/>
      <c r="N10995" s="898"/>
      <c r="O10995" s="898"/>
      <c r="P10995" s="549" t="s">
        <v>1313</v>
      </c>
    </row>
    <row r="10996" spans="1:17" s="1511" customFormat="1" ht="18">
      <c r="A10996" s="898"/>
      <c r="B10996" s="898"/>
      <c r="C10996" s="898"/>
      <c r="D10996" s="898"/>
      <c r="E10996" s="898"/>
      <c r="F10996" s="898"/>
      <c r="G10996" s="898"/>
      <c r="H10996" s="898"/>
      <c r="I10996" s="1586"/>
      <c r="J10996" s="914"/>
      <c r="K10996" s="915"/>
      <c r="L10996" s="914"/>
      <c r="M10996" s="898"/>
      <c r="N10996" s="898"/>
      <c r="O10996" s="898"/>
      <c r="P10996" s="549"/>
    </row>
    <row r="10997" spans="1:17" s="1511" customFormat="1" ht="17.399999999999999">
      <c r="A10997" s="549"/>
      <c r="B10997" s="549"/>
      <c r="C10997" s="549"/>
      <c r="D10997" s="549"/>
      <c r="E10997" s="549"/>
      <c r="F10997" s="549"/>
      <c r="G10997" s="549"/>
      <c r="H10997" s="549"/>
      <c r="I10997" s="558"/>
      <c r="J10997" s="567"/>
      <c r="K10997" s="648"/>
      <c r="L10997" s="567"/>
      <c r="M10997" s="549"/>
      <c r="N10997" s="549"/>
      <c r="O10997" s="549"/>
      <c r="P10997" s="549"/>
    </row>
    <row r="10998" spans="1:17" s="1511" customFormat="1" ht="17.399999999999999">
      <c r="A10998" s="547" t="s">
        <v>332</v>
      </c>
      <c r="B10998" s="547" t="s">
        <v>1329</v>
      </c>
      <c r="C10998" s="547" t="s">
        <v>19</v>
      </c>
      <c r="D10998" s="547" t="s">
        <v>20</v>
      </c>
      <c r="E10998" s="1437" t="s">
        <v>464</v>
      </c>
      <c r="F10998" s="549">
        <v>12</v>
      </c>
      <c r="G10998" s="549" t="s">
        <v>21</v>
      </c>
      <c r="H10998" s="1318" t="s">
        <v>118</v>
      </c>
      <c r="I10998" s="560">
        <v>9.26</v>
      </c>
      <c r="J10998" s="567">
        <v>6.2</v>
      </c>
      <c r="K10998" s="648">
        <v>31</v>
      </c>
      <c r="L10998" s="552">
        <f>(I10998*J10998*K10998/1000)</f>
        <v>1.7797719999999999</v>
      </c>
      <c r="M10998" s="549"/>
      <c r="N10998" s="549"/>
      <c r="O10998" s="549"/>
      <c r="P10998" s="549"/>
    </row>
    <row r="10999" spans="1:17" s="1511" customFormat="1" ht="17.399999999999999">
      <c r="A10999" s="549"/>
      <c r="B10999" s="1518" t="s">
        <v>1328</v>
      </c>
      <c r="C10999" s="549"/>
      <c r="D10999" s="549"/>
      <c r="E10999" s="549"/>
      <c r="F10999" s="549"/>
      <c r="G10999" s="549"/>
      <c r="H10999" s="549"/>
      <c r="I10999" s="558"/>
      <c r="J10999" s="567"/>
      <c r="K10999" s="648">
        <f t="shared" ref="K10999:L10999" si="2258">SUM(K10998)</f>
        <v>31</v>
      </c>
      <c r="L10999" s="552">
        <f t="shared" si="2258"/>
        <v>1.7797719999999999</v>
      </c>
      <c r="M10999" s="549"/>
      <c r="N10999" s="549"/>
      <c r="O10999" s="549"/>
      <c r="P10999" s="549"/>
    </row>
    <row r="11000" spans="1:17" s="1511" customFormat="1" ht="17.399999999999999">
      <c r="A11000" s="549"/>
      <c r="B11000" s="549"/>
      <c r="C11000" s="549"/>
      <c r="D11000" s="549"/>
      <c r="E11000" s="549"/>
      <c r="F11000" s="549"/>
      <c r="G11000" s="549"/>
      <c r="H11000" s="549"/>
      <c r="I11000" s="558"/>
      <c r="J11000" s="567"/>
      <c r="K11000" s="648"/>
      <c r="L11000" s="567"/>
      <c r="M11000" s="549"/>
      <c r="N11000" s="549"/>
      <c r="O11000" s="549"/>
      <c r="P11000" s="549"/>
    </row>
    <row r="11001" spans="1:17" s="1511" customFormat="1" ht="17.399999999999999">
      <c r="A11001" s="549"/>
      <c r="B11001" s="549"/>
      <c r="C11001" s="549"/>
      <c r="D11001" s="549"/>
      <c r="E11001" s="549"/>
      <c r="F11001" s="549"/>
      <c r="G11001" s="549"/>
      <c r="H11001" s="549"/>
      <c r="I11001" s="558"/>
      <c r="J11001" s="567"/>
      <c r="K11001" s="648"/>
      <c r="L11001" s="567"/>
      <c r="M11001" s="549"/>
      <c r="N11001" s="549"/>
      <c r="O11001" s="549"/>
      <c r="P11001" s="549"/>
    </row>
    <row r="11002" spans="1:17" s="1511" customFormat="1" ht="17.399999999999999">
      <c r="A11002" s="547" t="s">
        <v>332</v>
      </c>
      <c r="B11002" s="547" t="s">
        <v>308</v>
      </c>
      <c r="C11002" s="547" t="s">
        <v>19</v>
      </c>
      <c r="D11002" s="547" t="s">
        <v>20</v>
      </c>
      <c r="E11002" s="547" t="s">
        <v>359</v>
      </c>
      <c r="F11002" s="549">
        <v>12</v>
      </c>
      <c r="G11002" s="549" t="s">
        <v>21</v>
      </c>
      <c r="H11002" s="900" t="s">
        <v>118</v>
      </c>
      <c r="I11002" s="1443">
        <v>9.26</v>
      </c>
      <c r="J11002" s="950"/>
      <c r="K11002" s="951"/>
      <c r="L11002" s="552">
        <v>8</v>
      </c>
      <c r="M11002" s="549"/>
      <c r="N11002" s="549"/>
      <c r="O11002" s="549"/>
      <c r="P11002" s="549" t="s">
        <v>1330</v>
      </c>
      <c r="Q11002" s="1511" t="s">
        <v>1403</v>
      </c>
    </row>
    <row r="11003" spans="1:17" s="1511" customFormat="1" ht="17.399999999999999">
      <c r="A11003" s="549"/>
      <c r="B11003" s="549"/>
      <c r="C11003" s="549"/>
      <c r="D11003" s="549"/>
      <c r="E11003" s="549"/>
      <c r="F11003" s="549"/>
      <c r="G11003" s="549"/>
      <c r="H11003" s="952"/>
      <c r="I11003" s="1443"/>
      <c r="J11003" s="950"/>
      <c r="K11003" s="951"/>
      <c r="L11003" s="552">
        <f>SUM(L11002)</f>
        <v>8</v>
      </c>
      <c r="M11003" s="549"/>
      <c r="N11003" s="549"/>
      <c r="O11003" s="549"/>
      <c r="P11003" s="549"/>
    </row>
    <row r="11004" spans="1:17" s="1511" customFormat="1" ht="17.399999999999999">
      <c r="A11004" s="549"/>
      <c r="B11004" s="549"/>
      <c r="C11004" s="549"/>
      <c r="D11004" s="549"/>
      <c r="E11004" s="549"/>
      <c r="F11004" s="549"/>
      <c r="G11004" s="549"/>
      <c r="H11004" s="549"/>
      <c r="I11004" s="558"/>
      <c r="J11004" s="567"/>
      <c r="K11004" s="648"/>
      <c r="L11004" s="567"/>
      <c r="M11004" s="549"/>
      <c r="N11004" s="549"/>
      <c r="O11004" s="549"/>
      <c r="P11004" s="549"/>
    </row>
    <row r="11005" spans="1:17" s="1511" customFormat="1" ht="17.399999999999999">
      <c r="A11005" s="547" t="s">
        <v>332</v>
      </c>
      <c r="B11005" s="547" t="s">
        <v>308</v>
      </c>
      <c r="C11005" s="547" t="s">
        <v>19</v>
      </c>
      <c r="D11005" s="547" t="s">
        <v>20</v>
      </c>
      <c r="E11005" s="547" t="s">
        <v>359</v>
      </c>
      <c r="F11005" s="549">
        <v>12</v>
      </c>
      <c r="G11005" s="549" t="s">
        <v>21</v>
      </c>
      <c r="H11005" s="900" t="s">
        <v>119</v>
      </c>
      <c r="I11005" s="1443">
        <v>10.73</v>
      </c>
      <c r="J11005" s="950"/>
      <c r="K11005" s="951"/>
      <c r="L11005" s="552">
        <v>10</v>
      </c>
      <c r="M11005" s="549"/>
      <c r="N11005" s="549"/>
      <c r="O11005" s="549"/>
      <c r="P11005" s="549"/>
      <c r="Q11005" s="1511" t="s">
        <v>1404</v>
      </c>
    </row>
    <row r="11006" spans="1:17" s="1511" customFormat="1" ht="17.399999999999999">
      <c r="A11006" s="549"/>
      <c r="B11006" s="549"/>
      <c r="C11006" s="549"/>
      <c r="D11006" s="549"/>
      <c r="E11006" s="549"/>
      <c r="F11006" s="549"/>
      <c r="G11006" s="549"/>
      <c r="H11006" s="952"/>
      <c r="I11006" s="1443"/>
      <c r="J11006" s="950"/>
      <c r="K11006" s="951"/>
      <c r="L11006" s="552">
        <f>SUM(L11005)</f>
        <v>10</v>
      </c>
      <c r="M11006" s="549"/>
      <c r="N11006" s="549"/>
      <c r="O11006" s="549"/>
      <c r="P11006" s="549" t="s">
        <v>1331</v>
      </c>
    </row>
    <row r="11007" spans="1:17" s="1511" customFormat="1" ht="17.399999999999999">
      <c r="A11007" s="549"/>
      <c r="B11007" s="549"/>
      <c r="C11007" s="549"/>
      <c r="D11007" s="549"/>
      <c r="E11007" s="549"/>
      <c r="F11007" s="549"/>
      <c r="G11007" s="549"/>
      <c r="H11007" s="549"/>
      <c r="I11007" s="558"/>
      <c r="J11007" s="567"/>
      <c r="K11007" s="648"/>
      <c r="L11007" s="567"/>
      <c r="M11007" s="549"/>
      <c r="N11007" s="549"/>
      <c r="O11007" s="549"/>
      <c r="P11007" s="549"/>
    </row>
    <row r="11008" spans="1:17" s="1511" customFormat="1" ht="18">
      <c r="A11008" s="898"/>
      <c r="B11008" s="898"/>
      <c r="C11008" s="898"/>
      <c r="D11008" s="898"/>
      <c r="E11008" s="898"/>
      <c r="F11008" s="898"/>
      <c r="G11008" s="898"/>
      <c r="H11008" s="898"/>
      <c r="I11008" s="1586"/>
      <c r="J11008" s="914"/>
      <c r="K11008" s="915"/>
      <c r="L11008" s="914"/>
      <c r="M11008" s="898"/>
      <c r="N11008" s="898"/>
      <c r="O11008" s="898"/>
      <c r="P11008" s="549"/>
    </row>
    <row r="11009" spans="1:16" s="1511" customFormat="1" ht="18">
      <c r="A11009" s="898"/>
      <c r="B11009" s="898"/>
      <c r="C11009" s="898"/>
      <c r="D11009" s="898"/>
      <c r="E11009" s="898"/>
      <c r="F11009" s="898"/>
      <c r="G11009" s="898"/>
      <c r="H11009" s="898"/>
      <c r="I11009" s="1586"/>
      <c r="J11009" s="914"/>
      <c r="K11009" s="915"/>
      <c r="L11009" s="914"/>
      <c r="M11009" s="898"/>
      <c r="N11009" s="898"/>
      <c r="O11009" s="898"/>
      <c r="P11009" s="549"/>
    </row>
    <row r="11010" spans="1:16" ht="18">
      <c r="A11010" s="898"/>
      <c r="B11010" s="898"/>
      <c r="C11010" s="898"/>
      <c r="D11010" s="898"/>
      <c r="E11010" s="898"/>
      <c r="F11010" s="898"/>
      <c r="G11010" s="898"/>
      <c r="H11010" s="898"/>
      <c r="I11010" s="920"/>
      <c r="J11010" s="898"/>
      <c r="K11010" s="921"/>
      <c r="L11010" s="920"/>
      <c r="M11010" s="898"/>
      <c r="N11010" s="898"/>
      <c r="O11010" s="898"/>
      <c r="P11010" s="898"/>
    </row>
    <row r="11011" spans="1:16" ht="18">
      <c r="A11011" s="898"/>
      <c r="B11011" s="898"/>
      <c r="C11011" s="898"/>
      <c r="D11011" s="898"/>
      <c r="E11011" s="898"/>
      <c r="F11011" s="898"/>
      <c r="G11011" s="898"/>
      <c r="H11011" s="898"/>
      <c r="I11011" s="920"/>
      <c r="J11011" s="898"/>
      <c r="K11011" s="921"/>
      <c r="L11011" s="782">
        <f>+L10995+L10990+L10987+L10981+L10972+L10965+L10953+L11006+L11003+L10999</f>
        <v>134.42271600000001</v>
      </c>
      <c r="M11011" s="898"/>
      <c r="N11011" s="898"/>
      <c r="O11011" s="898"/>
      <c r="P11011" s="898"/>
    </row>
    <row r="11012" spans="1:16" ht="18">
      <c r="A11012" s="653" t="s">
        <v>48</v>
      </c>
      <c r="B11012" s="653"/>
      <c r="C11012" s="654"/>
      <c r="D11012" s="654"/>
      <c r="E11012" s="654"/>
      <c r="F11012" s="1484"/>
      <c r="G11012" s="654"/>
      <c r="H11012" s="1484"/>
      <c r="I11012" s="656"/>
      <c r="J11012" s="654"/>
      <c r="K11012" s="657"/>
      <c r="L11012" s="2003" t="s">
        <v>0</v>
      </c>
      <c r="M11012" s="2003"/>
      <c r="N11012" s="2003"/>
      <c r="O11012" s="2004"/>
      <c r="P11012" s="1097"/>
    </row>
    <row r="11013" spans="1:16" ht="18">
      <c r="A11013" s="658" t="s">
        <v>1</v>
      </c>
      <c r="B11013" s="658"/>
      <c r="C11013" s="658"/>
      <c r="D11013" s="659" t="s">
        <v>2</v>
      </c>
      <c r="E11013" s="659"/>
      <c r="F11013" s="660"/>
      <c r="G11013" s="660"/>
      <c r="H11013" s="660"/>
      <c r="I11013" s="661"/>
      <c r="J11013" s="660"/>
      <c r="K11013" s="662" t="s">
        <v>3</v>
      </c>
      <c r="L11013" s="660"/>
      <c r="M11013" s="658"/>
      <c r="N11013" s="660"/>
      <c r="O11013" s="663"/>
      <c r="P11013" s="1098"/>
    </row>
    <row r="11014" spans="1:16" ht="18">
      <c r="A11014" s="1484" t="s">
        <v>22</v>
      </c>
      <c r="B11014" s="1990" t="s">
        <v>23</v>
      </c>
      <c r="C11014" s="2005"/>
      <c r="D11014" s="1989"/>
      <c r="E11014" s="1484" t="s">
        <v>24</v>
      </c>
      <c r="F11014" s="1990" t="s">
        <v>25</v>
      </c>
      <c r="G11014" s="1989"/>
      <c r="H11014" s="1990" t="s">
        <v>26</v>
      </c>
      <c r="I11014" s="2005"/>
      <c r="J11014" s="2005"/>
      <c r="K11014" s="1989"/>
      <c r="L11014" s="2006" t="s">
        <v>27</v>
      </c>
      <c r="M11014" s="2006"/>
      <c r="N11014" s="2006"/>
      <c r="O11014" s="1990"/>
      <c r="P11014" s="1098"/>
    </row>
    <row r="11015" spans="1:16" ht="18">
      <c r="A11015" s="664"/>
      <c r="B11015" s="1975"/>
      <c r="C11015" s="1976"/>
      <c r="D11015" s="1977"/>
      <c r="E11015" s="665"/>
      <c r="F11015" s="1975"/>
      <c r="G11015" s="1977"/>
      <c r="H11015" s="1975"/>
      <c r="I11015" s="1976"/>
      <c r="J11015" s="1976"/>
      <c r="K11015" s="1977"/>
      <c r="L11015" s="1975"/>
      <c r="M11015" s="1976"/>
      <c r="N11015" s="1976"/>
      <c r="O11015" s="1976"/>
      <c r="P11015" s="1098"/>
    </row>
    <row r="11016" spans="1:16" ht="18">
      <c r="A11016" s="664"/>
      <c r="B11016" s="1476"/>
      <c r="C11016" s="1477"/>
      <c r="D11016" s="1478"/>
      <c r="E11016" s="665"/>
      <c r="F11016" s="1476"/>
      <c r="G11016" s="1478"/>
      <c r="H11016" s="1476"/>
      <c r="I11016" s="1842"/>
      <c r="J11016" s="1477"/>
      <c r="K11016" s="1478"/>
      <c r="L11016" s="1477"/>
      <c r="M11016" s="1477"/>
      <c r="N11016" s="1477"/>
      <c r="O11016" s="1477"/>
      <c r="P11016" s="1098"/>
    </row>
    <row r="11017" spans="1:16" ht="18">
      <c r="A11017" s="664" t="s">
        <v>28</v>
      </c>
      <c r="B11017" s="1975" t="s">
        <v>154</v>
      </c>
      <c r="C11017" s="1976"/>
      <c r="D11017" s="1977"/>
      <c r="E11017" s="665">
        <f>+L10953</f>
        <v>24.196379999999998</v>
      </c>
      <c r="F11017" s="1973">
        <v>8.5</v>
      </c>
      <c r="G11017" s="1974"/>
      <c r="H11017" s="1975" t="s">
        <v>450</v>
      </c>
      <c r="I11017" s="1976"/>
      <c r="J11017" s="1976"/>
      <c r="K11017" s="1977"/>
      <c r="L11017" s="1976" t="s">
        <v>1138</v>
      </c>
      <c r="M11017" s="1976"/>
      <c r="N11017" s="1976"/>
      <c r="O11017" s="1976"/>
      <c r="P11017" s="1098"/>
    </row>
    <row r="11018" spans="1:16" ht="18">
      <c r="A11018" s="664"/>
      <c r="B11018" s="1975"/>
      <c r="C11018" s="1976"/>
      <c r="D11018" s="1977"/>
      <c r="E11018" s="665"/>
      <c r="F11018" s="1973"/>
      <c r="G11018" s="1974"/>
      <c r="H11018" s="1975"/>
      <c r="I11018" s="1976"/>
      <c r="J11018" s="1976"/>
      <c r="K11018" s="1977"/>
      <c r="L11018" s="1976"/>
      <c r="M11018" s="1976"/>
      <c r="N11018" s="1976"/>
      <c r="O11018" s="1976"/>
      <c r="P11018" s="1098"/>
    </row>
    <row r="11019" spans="1:16" ht="18">
      <c r="A11019" s="664"/>
      <c r="B11019" s="1476"/>
      <c r="C11019" s="1477"/>
      <c r="D11019" s="1478"/>
      <c r="E11019" s="665"/>
      <c r="F11019" s="1476"/>
      <c r="G11019" s="1478"/>
      <c r="H11019" s="1476"/>
      <c r="I11019" s="1842"/>
      <c r="J11019" s="1477"/>
      <c r="K11019" s="1478"/>
      <c r="L11019" s="1477"/>
      <c r="M11019" s="1477"/>
      <c r="N11019" s="1477"/>
      <c r="O11019" s="1477"/>
      <c r="P11019" s="1098"/>
    </row>
    <row r="11020" spans="1:16" ht="18">
      <c r="A11020" s="664" t="s">
        <v>29</v>
      </c>
      <c r="B11020" s="1975" t="s">
        <v>136</v>
      </c>
      <c r="C11020" s="1976"/>
      <c r="D11020" s="1977"/>
      <c r="E11020" s="665">
        <f>+L10965</f>
        <v>28.732853999999996</v>
      </c>
      <c r="F11020" s="1973">
        <v>12</v>
      </c>
      <c r="G11020" s="1974"/>
      <c r="H11020" s="1975" t="s">
        <v>447</v>
      </c>
      <c r="I11020" s="1976"/>
      <c r="J11020" s="1976"/>
      <c r="K11020" s="1977"/>
      <c r="L11020" s="1976" t="s">
        <v>1046</v>
      </c>
      <c r="M11020" s="1976"/>
      <c r="N11020" s="1976"/>
      <c r="O11020" s="1976"/>
      <c r="P11020" s="1098"/>
    </row>
    <row r="11021" spans="1:16" ht="18">
      <c r="A11021" s="664" t="s">
        <v>30</v>
      </c>
      <c r="B11021" s="1975" t="s">
        <v>137</v>
      </c>
      <c r="C11021" s="1976"/>
      <c r="D11021" s="1977"/>
      <c r="E11021" s="665">
        <f>+L10972</f>
        <v>16.856830000000002</v>
      </c>
      <c r="F11021" s="1973">
        <v>12</v>
      </c>
      <c r="G11021" s="1974"/>
      <c r="H11021" s="1975" t="s">
        <v>447</v>
      </c>
      <c r="I11021" s="1976"/>
      <c r="J11021" s="1976"/>
      <c r="K11021" s="1977"/>
      <c r="L11021" s="1976" t="s">
        <v>1046</v>
      </c>
      <c r="M11021" s="1976"/>
      <c r="N11021" s="1976"/>
      <c r="O11021" s="1976"/>
      <c r="P11021" s="1098"/>
    </row>
    <row r="11022" spans="1:16" ht="18">
      <c r="A11022" s="664" t="s">
        <v>46</v>
      </c>
      <c r="B11022" s="1975" t="s">
        <v>138</v>
      </c>
      <c r="C11022" s="1976"/>
      <c r="D11022" s="1977"/>
      <c r="E11022" s="665">
        <f>+L10981</f>
        <v>6.1752600000000006</v>
      </c>
      <c r="F11022" s="1973">
        <v>12</v>
      </c>
      <c r="G11022" s="1974"/>
      <c r="H11022" s="1975" t="s">
        <v>447</v>
      </c>
      <c r="I11022" s="1976"/>
      <c r="J11022" s="1976"/>
      <c r="K11022" s="1977"/>
      <c r="L11022" s="1976" t="s">
        <v>1046</v>
      </c>
      <c r="M11022" s="1976"/>
      <c r="N11022" s="1976"/>
      <c r="O11022" s="1976"/>
      <c r="P11022" s="1098"/>
    </row>
    <row r="11023" spans="1:16" ht="18">
      <c r="A11023" s="664"/>
      <c r="B11023" s="1975"/>
      <c r="C11023" s="1976"/>
      <c r="D11023" s="1977"/>
      <c r="E11023" s="665"/>
      <c r="F11023" s="1973"/>
      <c r="G11023" s="1974"/>
      <c r="H11023" s="1975"/>
      <c r="I11023" s="1976"/>
      <c r="J11023" s="1976"/>
      <c r="K11023" s="1977"/>
      <c r="L11023" s="1976"/>
      <c r="M11023" s="1976"/>
      <c r="N11023" s="1976"/>
      <c r="O11023" s="1976"/>
      <c r="P11023" s="1098"/>
    </row>
    <row r="11024" spans="1:16" ht="18">
      <c r="A11024" s="664" t="s">
        <v>58</v>
      </c>
      <c r="B11024" s="1975" t="s">
        <v>138</v>
      </c>
      <c r="C11024" s="1976"/>
      <c r="D11024" s="1977"/>
      <c r="E11024" s="665">
        <f>+L10987</f>
        <v>29.260479999999998</v>
      </c>
      <c r="F11024" s="1973">
        <v>12</v>
      </c>
      <c r="G11024" s="1974"/>
      <c r="H11024" s="1975" t="s">
        <v>20</v>
      </c>
      <c r="I11024" s="1976"/>
      <c r="J11024" s="1976"/>
      <c r="K11024" s="1977"/>
      <c r="L11024" s="1976" t="s">
        <v>1046</v>
      </c>
      <c r="M11024" s="1976"/>
      <c r="N11024" s="1976"/>
      <c r="O11024" s="1976"/>
      <c r="P11024" s="1098"/>
    </row>
    <row r="11025" spans="1:16" ht="18">
      <c r="A11025" s="664" t="s">
        <v>163</v>
      </c>
      <c r="B11025" s="1975" t="s">
        <v>741</v>
      </c>
      <c r="C11025" s="1976"/>
      <c r="D11025" s="1977"/>
      <c r="E11025" s="665">
        <f>+L10990</f>
        <v>2.4806399999999997</v>
      </c>
      <c r="F11025" s="1973">
        <v>12</v>
      </c>
      <c r="G11025" s="1974"/>
      <c r="H11025" s="1975" t="s">
        <v>20</v>
      </c>
      <c r="I11025" s="1976"/>
      <c r="J11025" s="1976"/>
      <c r="K11025" s="1977"/>
      <c r="L11025" s="1976" t="s">
        <v>1046</v>
      </c>
      <c r="M11025" s="1976"/>
      <c r="N11025" s="1976"/>
      <c r="O11025" s="1976"/>
      <c r="P11025" s="1098"/>
    </row>
    <row r="11026" spans="1:16" ht="18">
      <c r="A11026" s="664" t="s">
        <v>302</v>
      </c>
      <c r="B11026" s="1975" t="s">
        <v>159</v>
      </c>
      <c r="C11026" s="1976"/>
      <c r="D11026" s="1977"/>
      <c r="E11026" s="665">
        <v>6.9409999999999998</v>
      </c>
      <c r="F11026" s="1973">
        <v>12</v>
      </c>
      <c r="G11026" s="1974"/>
      <c r="H11026" s="1975" t="s">
        <v>20</v>
      </c>
      <c r="I11026" s="1976"/>
      <c r="J11026" s="1976"/>
      <c r="K11026" s="1977"/>
      <c r="L11026" s="1976" t="s">
        <v>1046</v>
      </c>
      <c r="M11026" s="1976"/>
      <c r="N11026" s="1976"/>
      <c r="O11026" s="1976"/>
      <c r="P11026" s="1098"/>
    </row>
    <row r="11027" spans="1:16" s="1511" customFormat="1" ht="18">
      <c r="A11027" s="664"/>
      <c r="B11027" s="1512"/>
      <c r="C11027" s="1513"/>
      <c r="D11027" s="1514"/>
      <c r="E11027" s="665"/>
      <c r="F11027" s="1515"/>
      <c r="G11027" s="1516"/>
      <c r="H11027" s="1512"/>
      <c r="I11027" s="1842"/>
      <c r="J11027" s="1513"/>
      <c r="K11027" s="1514"/>
      <c r="L11027" s="1513"/>
      <c r="M11027" s="1513"/>
      <c r="N11027" s="1513"/>
      <c r="O11027" s="1513"/>
      <c r="P11027" s="1098"/>
    </row>
    <row r="11028" spans="1:16" s="1511" customFormat="1" ht="18">
      <c r="A11028" s="664" t="s">
        <v>380</v>
      </c>
      <c r="B11028" s="1975" t="s">
        <v>136</v>
      </c>
      <c r="C11028" s="1976"/>
      <c r="D11028" s="1977"/>
      <c r="E11028" s="665">
        <v>10</v>
      </c>
      <c r="F11028" s="1973">
        <v>12</v>
      </c>
      <c r="G11028" s="1974"/>
      <c r="H11028" s="1975" t="s">
        <v>20</v>
      </c>
      <c r="I11028" s="1976"/>
      <c r="J11028" s="1976"/>
      <c r="K11028" s="1977"/>
      <c r="L11028" s="1976" t="s">
        <v>1323</v>
      </c>
      <c r="M11028" s="1976"/>
      <c r="N11028" s="1976"/>
      <c r="O11028" s="1976"/>
      <c r="P11028" s="1098"/>
    </row>
    <row r="11029" spans="1:16" s="1511" customFormat="1" ht="18">
      <c r="A11029" s="664" t="s">
        <v>434</v>
      </c>
      <c r="B11029" s="1975" t="s">
        <v>137</v>
      </c>
      <c r="C11029" s="1976"/>
      <c r="D11029" s="1977"/>
      <c r="E11029" s="665">
        <v>10</v>
      </c>
      <c r="F11029" s="1973">
        <v>12</v>
      </c>
      <c r="G11029" s="1974"/>
      <c r="H11029" s="1975" t="s">
        <v>20</v>
      </c>
      <c r="I11029" s="1976"/>
      <c r="J11029" s="1976"/>
      <c r="K11029" s="1977"/>
      <c r="L11029" s="1976" t="s">
        <v>65</v>
      </c>
      <c r="M11029" s="1976"/>
      <c r="N11029" s="1976"/>
      <c r="O11029" s="1976"/>
      <c r="P11029" s="1098"/>
    </row>
    <row r="11030" spans="1:16" ht="18">
      <c r="A11030" s="664"/>
      <c r="B11030" s="1476"/>
      <c r="C11030" s="1477"/>
      <c r="D11030" s="1478"/>
      <c r="E11030" s="665"/>
      <c r="F11030" s="1479"/>
      <c r="G11030" s="1480"/>
      <c r="H11030" s="1476"/>
      <c r="I11030" s="1842"/>
      <c r="J11030" s="1477"/>
      <c r="K11030" s="1478"/>
      <c r="L11030" s="1477"/>
      <c r="M11030" s="1477"/>
      <c r="N11030" s="1477"/>
      <c r="O11030" s="1477"/>
      <c r="P11030" s="1098"/>
    </row>
    <row r="11031" spans="1:16" ht="18.600000000000001" thickBot="1">
      <c r="A11031" s="664"/>
      <c r="B11031" s="1476"/>
      <c r="C11031" s="1477"/>
      <c r="D11031" s="1477"/>
      <c r="E11031" s="665"/>
      <c r="F11031" s="1477"/>
      <c r="G11031" s="1478"/>
      <c r="H11031" s="1476"/>
      <c r="I11031" s="1842"/>
      <c r="J11031" s="1477"/>
      <c r="K11031" s="669"/>
      <c r="L11031" s="672"/>
      <c r="M11031" s="673"/>
      <c r="N11031" s="673"/>
      <c r="O11031" s="673"/>
      <c r="P11031" s="1098"/>
    </row>
    <row r="11032" spans="1:16" ht="18">
      <c r="A11032" s="674"/>
      <c r="B11032" s="675"/>
      <c r="C11032" s="676"/>
      <c r="D11032" s="676"/>
      <c r="E11032" s="1980">
        <f>SUM(E11015:E11031)</f>
        <v>134.64344399999999</v>
      </c>
      <c r="F11032" s="677"/>
      <c r="G11032" s="678"/>
      <c r="H11032" s="679"/>
      <c r="I11032" s="1848"/>
      <c r="J11032" s="676"/>
      <c r="K11032" s="680"/>
      <c r="L11032" s="679"/>
      <c r="M11032" s="676"/>
      <c r="N11032" s="677"/>
      <c r="O11032" s="676"/>
      <c r="P11032" s="1098"/>
    </row>
    <row r="11033" spans="1:16" ht="18.600000000000001" thickBot="1">
      <c r="A11033" s="681"/>
      <c r="B11033" s="682"/>
      <c r="C11033" s="683"/>
      <c r="D11033" s="683"/>
      <c r="E11033" s="1981"/>
      <c r="F11033" s="684"/>
      <c r="G11033" s="685"/>
      <c r="H11033" s="686"/>
      <c r="I11033" s="1850"/>
      <c r="J11033" s="683"/>
      <c r="K11033" s="687"/>
      <c r="L11033" s="686"/>
      <c r="M11033" s="683"/>
      <c r="N11033" s="684"/>
      <c r="O11033" s="683"/>
      <c r="P11033" s="1098"/>
    </row>
    <row r="11034" spans="1:16" ht="18">
      <c r="A11034" s="688" t="s">
        <v>31</v>
      </c>
      <c r="B11034" s="676"/>
      <c r="C11034" s="676"/>
      <c r="D11034" s="676"/>
      <c r="E11034" s="676"/>
      <c r="F11034" s="677"/>
      <c r="G11034" s="676"/>
      <c r="H11034" s="677"/>
      <c r="I11034" s="1848"/>
      <c r="J11034" s="676"/>
      <c r="K11034" s="689"/>
      <c r="L11034" s="677"/>
      <c r="M11034" s="676"/>
      <c r="N11034" s="677"/>
      <c r="O11034" s="676"/>
      <c r="P11034" s="1098"/>
    </row>
    <row r="11035" spans="1:16" ht="18">
      <c r="A11035" s="690"/>
      <c r="B11035" s="691"/>
      <c r="C11035" s="691"/>
      <c r="D11035" s="691"/>
      <c r="E11035" s="691"/>
      <c r="F11035" s="1481"/>
      <c r="G11035" s="691"/>
      <c r="H11035" s="1481"/>
      <c r="I11035" s="1849"/>
      <c r="J11035" s="691"/>
      <c r="K11035" s="693"/>
      <c r="L11035" s="1481"/>
      <c r="M11035" s="691"/>
      <c r="N11035" s="1481"/>
      <c r="O11035" s="691"/>
      <c r="P11035" s="1098"/>
    </row>
    <row r="11036" spans="1:16" ht="18.600000000000001" thickBot="1">
      <c r="A11036" s="1982" t="s">
        <v>32</v>
      </c>
      <c r="B11036" s="1983"/>
      <c r="C11036" s="1984" t="s">
        <v>33</v>
      </c>
      <c r="D11036" s="1985"/>
      <c r="E11036" s="694" t="s">
        <v>34</v>
      </c>
      <c r="F11036" s="694" t="s">
        <v>35</v>
      </c>
      <c r="G11036" s="1986" t="s">
        <v>36</v>
      </c>
      <c r="H11036" s="1987"/>
      <c r="I11036" s="1987"/>
      <c r="J11036" s="1987"/>
      <c r="K11036" s="1987"/>
      <c r="L11036" s="1987"/>
      <c r="M11036" s="1987"/>
      <c r="N11036" s="1987"/>
      <c r="O11036" s="1987"/>
      <c r="P11036" s="1098"/>
    </row>
    <row r="11037" spans="1:16" ht="18">
      <c r="A11037" s="1988"/>
      <c r="B11037" s="1989"/>
      <c r="C11037" s="1990"/>
      <c r="D11037" s="1989"/>
      <c r="E11037" s="1484"/>
      <c r="F11037" s="1482"/>
      <c r="G11037" s="1991"/>
      <c r="H11037" s="1992"/>
      <c r="I11037" s="1992"/>
      <c r="J11037" s="1992"/>
      <c r="K11037" s="1992"/>
      <c r="L11037" s="1992"/>
      <c r="M11037" s="1992"/>
      <c r="N11037" s="1992"/>
      <c r="O11037" s="1992"/>
      <c r="P11037" s="1098"/>
    </row>
    <row r="11038" spans="1:16" ht="18">
      <c r="A11038" s="1997" t="s">
        <v>37</v>
      </c>
      <c r="B11038" s="1998"/>
      <c r="C11038" s="1990"/>
      <c r="D11038" s="1989"/>
      <c r="E11038" s="1484"/>
      <c r="F11038" s="1482"/>
      <c r="G11038" s="1993"/>
      <c r="H11038" s="1994"/>
      <c r="I11038" s="1994"/>
      <c r="J11038" s="1994"/>
      <c r="K11038" s="1994"/>
      <c r="L11038" s="1994"/>
      <c r="M11038" s="1994"/>
      <c r="N11038" s="1994"/>
      <c r="O11038" s="1994"/>
      <c r="P11038" s="1098"/>
    </row>
    <row r="11039" spans="1:16" ht="18">
      <c r="A11039" s="1997" t="s">
        <v>38</v>
      </c>
      <c r="B11039" s="1998"/>
      <c r="C11039" s="1990"/>
      <c r="D11039" s="1989"/>
      <c r="E11039" s="1484"/>
      <c r="F11039" s="1482"/>
      <c r="G11039" s="1993"/>
      <c r="H11039" s="1994"/>
      <c r="I11039" s="1994"/>
      <c r="J11039" s="1994"/>
      <c r="K11039" s="1994"/>
      <c r="L11039" s="1994"/>
      <c r="M11039" s="1994"/>
      <c r="N11039" s="1994"/>
      <c r="O11039" s="1994"/>
      <c r="P11039" s="1098"/>
    </row>
    <row r="11040" spans="1:16" ht="18">
      <c r="A11040" s="1997" t="s">
        <v>39</v>
      </c>
      <c r="B11040" s="1998"/>
      <c r="C11040" s="1990"/>
      <c r="D11040" s="1989"/>
      <c r="E11040" s="1484"/>
      <c r="F11040" s="1482"/>
      <c r="G11040" s="1993"/>
      <c r="H11040" s="1994"/>
      <c r="I11040" s="1994"/>
      <c r="J11040" s="1994"/>
      <c r="K11040" s="1994"/>
      <c r="L11040" s="1994"/>
      <c r="M11040" s="1994"/>
      <c r="N11040" s="1994"/>
      <c r="O11040" s="1994"/>
      <c r="P11040" s="1098"/>
    </row>
    <row r="11041" spans="1:16" ht="18">
      <c r="A11041" s="1997" t="s">
        <v>40</v>
      </c>
      <c r="B11041" s="1998"/>
      <c r="C11041" s="1990"/>
      <c r="D11041" s="1989"/>
      <c r="E11041" s="1484"/>
      <c r="F11041" s="1482"/>
      <c r="G11041" s="1993"/>
      <c r="H11041" s="1994"/>
      <c r="I11041" s="1994"/>
      <c r="J11041" s="1994"/>
      <c r="K11041" s="1994"/>
      <c r="L11041" s="1994"/>
      <c r="M11041" s="1994"/>
      <c r="N11041" s="1994"/>
      <c r="O11041" s="1994"/>
      <c r="P11041" s="1098"/>
    </row>
    <row r="11042" spans="1:16" ht="18.600000000000001" thickBot="1">
      <c r="A11042" s="1999" t="s">
        <v>41</v>
      </c>
      <c r="B11042" s="2000"/>
      <c r="C11042" s="2001"/>
      <c r="D11042" s="2002"/>
      <c r="E11042" s="696"/>
      <c r="F11042" s="1483"/>
      <c r="G11042" s="1995"/>
      <c r="H11042" s="1996"/>
      <c r="I11042" s="1996"/>
      <c r="J11042" s="1996"/>
      <c r="K11042" s="1996"/>
      <c r="L11042" s="1996"/>
      <c r="M11042" s="1996"/>
      <c r="N11042" s="1996"/>
      <c r="O11042" s="1996"/>
      <c r="P11042" s="1098"/>
    </row>
    <row r="11043" spans="1:16" ht="18">
      <c r="A11043" s="690"/>
      <c r="B11043" s="691"/>
      <c r="C11043" s="691"/>
      <c r="D11043" s="691"/>
      <c r="E11043" s="691"/>
      <c r="F11043" s="1481"/>
      <c r="G11043" s="691"/>
      <c r="H11043" s="698"/>
      <c r="I11043" s="699"/>
      <c r="J11043" s="700"/>
      <c r="K11043" s="701"/>
      <c r="L11043" s="702"/>
      <c r="M11043" s="691"/>
      <c r="N11043" s="1481"/>
      <c r="O11043" s="691"/>
      <c r="P11043" s="1098"/>
    </row>
    <row r="11044" spans="1:16" ht="18">
      <c r="A11044" s="703" t="s">
        <v>42</v>
      </c>
      <c r="B11044" s="704"/>
      <c r="C11044" s="691"/>
      <c r="D11044" s="691"/>
      <c r="E11044" s="691"/>
      <c r="F11044" s="1481"/>
      <c r="G11044" s="704"/>
      <c r="H11044" s="698"/>
      <c r="I11044" s="699"/>
      <c r="J11044" s="700"/>
      <c r="K11044" s="693"/>
      <c r="L11044" s="705"/>
      <c r="M11044" s="691"/>
      <c r="N11044" s="1979" t="s">
        <v>43</v>
      </c>
      <c r="O11044" s="1979"/>
      <c r="P11044" s="1098"/>
    </row>
    <row r="11045" spans="1:16" ht="18">
      <c r="A11045" s="703"/>
      <c r="B11045" s="704"/>
      <c r="C11045" s="691"/>
      <c r="D11045" s="691"/>
      <c r="E11045" s="691"/>
      <c r="F11045" s="1481"/>
      <c r="G11045" s="691"/>
      <c r="H11045" s="1481"/>
      <c r="I11045" s="1849"/>
      <c r="J11045" s="691"/>
      <c r="K11045" s="693"/>
      <c r="L11045" s="1481"/>
      <c r="M11045" s="691"/>
      <c r="N11045" s="1481"/>
      <c r="O11045" s="704"/>
      <c r="P11045" s="1098"/>
    </row>
    <row r="11046" spans="1:16" ht="18">
      <c r="A11046" s="703" t="s">
        <v>44</v>
      </c>
      <c r="B11046" s="704"/>
      <c r="C11046" s="691"/>
      <c r="D11046" s="691"/>
      <c r="E11046" s="691"/>
      <c r="F11046" s="1481"/>
      <c r="G11046" s="691"/>
      <c r="H11046" s="1481"/>
      <c r="I11046" s="1849"/>
      <c r="J11046" s="691"/>
      <c r="K11046" s="693"/>
      <c r="L11046" s="1481"/>
      <c r="M11046" s="691"/>
      <c r="N11046" s="1979" t="s">
        <v>45</v>
      </c>
      <c r="O11046" s="1979"/>
      <c r="P11046" s="1098"/>
    </row>
    <row r="11047" spans="1:16" ht="18.600000000000001" thickBot="1">
      <c r="A11047" s="682"/>
      <c r="B11047" s="683"/>
      <c r="C11047" s="683"/>
      <c r="D11047" s="683"/>
      <c r="E11047" s="683"/>
      <c r="F11047" s="684"/>
      <c r="G11047" s="683"/>
      <c r="H11047" s="684"/>
      <c r="I11047" s="1850"/>
      <c r="J11047" s="683"/>
      <c r="K11047" s="706"/>
      <c r="L11047" s="684"/>
      <c r="M11047" s="683"/>
      <c r="N11047" s="684"/>
      <c r="O11047" s="683"/>
      <c r="P11047" s="1099"/>
    </row>
    <row r="11051" spans="1:16" ht="17.399999999999999">
      <c r="A11051" s="711" t="s">
        <v>48</v>
      </c>
      <c r="B11051" s="711"/>
      <c r="C11051" s="712"/>
      <c r="D11051" s="712"/>
      <c r="E11051" s="712"/>
      <c r="F11051" s="713"/>
      <c r="G11051" s="712"/>
      <c r="H11051" s="712"/>
      <c r="I11051" s="714"/>
      <c r="J11051" s="715"/>
      <c r="K11051" s="716"/>
      <c r="L11051" s="1978" t="s">
        <v>0</v>
      </c>
      <c r="M11051" s="1978"/>
      <c r="N11051" s="1978"/>
      <c r="O11051" s="1978"/>
      <c r="P11051" s="717"/>
    </row>
    <row r="11052" spans="1:16" ht="17.399999999999999">
      <c r="A11052" s="718" t="s">
        <v>1</v>
      </c>
      <c r="B11052" s="718"/>
      <c r="C11052" s="718"/>
      <c r="D11052" s="719" t="s">
        <v>2</v>
      </c>
      <c r="E11052" s="719"/>
      <c r="F11052" s="720"/>
      <c r="G11052" s="720"/>
      <c r="H11052" s="720"/>
      <c r="I11052" s="721"/>
      <c r="J11052" s="1498"/>
      <c r="K11052" s="723" t="s">
        <v>3</v>
      </c>
      <c r="L11052" s="1498"/>
      <c r="M11052" s="718"/>
      <c r="N11052" s="720"/>
      <c r="O11052" s="718"/>
      <c r="P11052" s="724"/>
    </row>
    <row r="11053" spans="1:16" ht="52.2">
      <c r="A11053" s="640" t="s">
        <v>4</v>
      </c>
      <c r="B11053" s="640" t="s">
        <v>5</v>
      </c>
      <c r="C11053" s="640" t="s">
        <v>6</v>
      </c>
      <c r="D11053" s="640" t="s">
        <v>7</v>
      </c>
      <c r="E11053" s="640" t="s">
        <v>8</v>
      </c>
      <c r="F11053" s="641" t="s">
        <v>9</v>
      </c>
      <c r="G11053" s="642" t="s">
        <v>10</v>
      </c>
      <c r="H11053" s="642" t="s">
        <v>11</v>
      </c>
      <c r="I11053" s="643" t="s">
        <v>12</v>
      </c>
      <c r="J11053" s="644" t="s">
        <v>13</v>
      </c>
      <c r="K11053" s="645" t="s">
        <v>14</v>
      </c>
      <c r="L11053" s="646" t="s">
        <v>15</v>
      </c>
      <c r="M11053" s="641" t="s">
        <v>16</v>
      </c>
      <c r="N11053" s="641" t="s">
        <v>17</v>
      </c>
      <c r="O11053" s="642" t="s">
        <v>18</v>
      </c>
      <c r="P11053" s="641" t="s">
        <v>192</v>
      </c>
    </row>
    <row r="11054" spans="1:16" ht="17.399999999999999">
      <c r="A11054" s="549"/>
      <c r="B11054" s="549"/>
      <c r="C11054" s="549"/>
      <c r="D11054" s="549"/>
      <c r="E11054" s="549"/>
      <c r="F11054" s="549"/>
      <c r="G11054" s="549"/>
      <c r="H11054" s="549"/>
      <c r="I11054" s="560"/>
      <c r="J11054" s="549"/>
      <c r="K11054" s="561"/>
      <c r="L11054" s="560"/>
      <c r="M11054" s="549"/>
      <c r="N11054" s="549"/>
      <c r="O11054" s="549"/>
      <c r="P11054" s="549"/>
    </row>
    <row r="11055" spans="1:16" ht="17.399999999999999">
      <c r="A11055" s="547" t="s">
        <v>332</v>
      </c>
      <c r="B11055" s="547" t="s">
        <v>1094</v>
      </c>
      <c r="C11055" s="547" t="s">
        <v>19</v>
      </c>
      <c r="D11055" s="547" t="s">
        <v>20</v>
      </c>
      <c r="E11055" s="1437" t="s">
        <v>464</v>
      </c>
      <c r="F11055" s="549">
        <v>16</v>
      </c>
      <c r="G11055" s="549" t="s">
        <v>21</v>
      </c>
      <c r="H11055" s="549" t="s">
        <v>177</v>
      </c>
      <c r="I11055" s="558">
        <v>27.3</v>
      </c>
      <c r="J11055" s="567">
        <v>6.7</v>
      </c>
      <c r="K11055" s="648">
        <v>12</v>
      </c>
      <c r="L11055" s="552">
        <f t="shared" ref="L11055:L11060" si="2259">(I11055*J11055*K11055/1000)</f>
        <v>2.1949200000000002</v>
      </c>
      <c r="M11055" s="549"/>
      <c r="N11055" s="549"/>
      <c r="O11055" s="549"/>
      <c r="P11055" s="549"/>
    </row>
    <row r="11056" spans="1:16" ht="17.399999999999999">
      <c r="A11056" s="549"/>
      <c r="B11056" s="1348" t="s">
        <v>585</v>
      </c>
      <c r="C11056" s="549"/>
      <c r="D11056" s="549"/>
      <c r="E11056" s="549"/>
      <c r="F11056" s="549"/>
      <c r="G11056" s="549" t="s">
        <v>21</v>
      </c>
      <c r="H11056" s="549" t="s">
        <v>177</v>
      </c>
      <c r="I11056" s="558">
        <v>27.3</v>
      </c>
      <c r="J11056" s="567">
        <v>8.1</v>
      </c>
      <c r="K11056" s="648">
        <v>76</v>
      </c>
      <c r="L11056" s="552">
        <f t="shared" si="2259"/>
        <v>16.805880000000002</v>
      </c>
      <c r="M11056" s="549"/>
      <c r="N11056" s="549"/>
      <c r="O11056" s="549"/>
      <c r="P11056" s="549"/>
    </row>
    <row r="11057" spans="1:16" ht="17.399999999999999">
      <c r="A11057" s="549"/>
      <c r="B11057" s="549"/>
      <c r="C11057" s="549"/>
      <c r="D11057" s="549"/>
      <c r="E11057" s="549"/>
      <c r="F11057" s="549"/>
      <c r="G11057" s="549" t="s">
        <v>21</v>
      </c>
      <c r="H11057" s="549" t="s">
        <v>177</v>
      </c>
      <c r="I11057" s="558">
        <v>27.3</v>
      </c>
      <c r="J11057" s="567">
        <v>8.9</v>
      </c>
      <c r="K11057" s="648">
        <v>3</v>
      </c>
      <c r="L11057" s="552">
        <f t="shared" si="2259"/>
        <v>0.72891000000000006</v>
      </c>
      <c r="M11057" s="549"/>
      <c r="N11057" s="549"/>
      <c r="O11057" s="549"/>
      <c r="P11057" s="549"/>
    </row>
    <row r="11058" spans="1:16" ht="17.399999999999999">
      <c r="A11058" s="549"/>
      <c r="B11058" s="549"/>
      <c r="C11058" s="549"/>
      <c r="D11058" s="549"/>
      <c r="E11058" s="549"/>
      <c r="F11058" s="549"/>
      <c r="G11058" s="549" t="s">
        <v>21</v>
      </c>
      <c r="H11058" s="549" t="s">
        <v>177</v>
      </c>
      <c r="I11058" s="558">
        <v>27.3</v>
      </c>
      <c r="J11058" s="567">
        <v>11.1</v>
      </c>
      <c r="K11058" s="648">
        <v>2</v>
      </c>
      <c r="L11058" s="552">
        <f t="shared" si="2259"/>
        <v>0.60605999999999993</v>
      </c>
      <c r="M11058" s="549"/>
      <c r="N11058" s="549"/>
      <c r="O11058" s="549"/>
      <c r="P11058" s="549"/>
    </row>
    <row r="11059" spans="1:16" ht="17.399999999999999">
      <c r="A11059" s="549"/>
      <c r="B11059" s="549"/>
      <c r="C11059" s="549"/>
      <c r="D11059" s="549"/>
      <c r="E11059" s="549"/>
      <c r="F11059" s="549"/>
      <c r="G11059" s="549" t="s">
        <v>21</v>
      </c>
      <c r="H11059" s="549" t="s">
        <v>177</v>
      </c>
      <c r="I11059" s="558">
        <v>27.3</v>
      </c>
      <c r="J11059" s="567">
        <v>12.15</v>
      </c>
      <c r="K11059" s="648">
        <v>196</v>
      </c>
      <c r="L11059" s="552">
        <f t="shared" si="2259"/>
        <v>65.012219999999999</v>
      </c>
      <c r="M11059" s="549"/>
      <c r="N11059" s="549"/>
      <c r="O11059" s="549"/>
      <c r="P11059" s="549"/>
    </row>
    <row r="11060" spans="1:16" ht="17.399999999999999">
      <c r="A11060" s="549"/>
      <c r="B11060" s="549"/>
      <c r="C11060" s="549"/>
      <c r="D11060" s="549"/>
      <c r="E11060" s="549"/>
      <c r="F11060" s="549"/>
      <c r="G11060" s="549" t="s">
        <v>21</v>
      </c>
      <c r="H11060" s="549" t="s">
        <v>177</v>
      </c>
      <c r="I11060" s="558">
        <v>27.3</v>
      </c>
      <c r="J11060" s="567">
        <v>12.75</v>
      </c>
      <c r="K11060" s="648">
        <v>340</v>
      </c>
      <c r="L11060" s="552">
        <f t="shared" si="2259"/>
        <v>118.3455</v>
      </c>
      <c r="M11060" s="549"/>
      <c r="N11060" s="549"/>
      <c r="O11060" s="549"/>
      <c r="P11060" s="549"/>
    </row>
    <row r="11061" spans="1:16" ht="17.399999999999999">
      <c r="A11061" s="549"/>
      <c r="B11061" s="549"/>
      <c r="C11061" s="549"/>
      <c r="D11061" s="549"/>
      <c r="E11061" s="549"/>
      <c r="F11061" s="549"/>
      <c r="G11061" s="549"/>
      <c r="H11061" s="549"/>
      <c r="I11061" s="558"/>
      <c r="J11061" s="567"/>
      <c r="K11061" s="648">
        <f t="shared" ref="K11061:L11061" si="2260">SUM(K11055:K11060)</f>
        <v>629</v>
      </c>
      <c r="L11061" s="567">
        <f t="shared" si="2260"/>
        <v>203.69349</v>
      </c>
      <c r="M11061" s="549"/>
      <c r="N11061" s="549"/>
      <c r="O11061" s="549"/>
      <c r="P11061" s="549"/>
    </row>
    <row r="11062" spans="1:16" ht="17.399999999999999">
      <c r="A11062" s="549"/>
      <c r="B11062" s="549"/>
      <c r="C11062" s="549"/>
      <c r="D11062" s="549"/>
      <c r="E11062" s="549"/>
      <c r="F11062" s="549"/>
      <c r="G11062" s="549"/>
      <c r="H11062" s="549"/>
      <c r="I11062" s="560"/>
      <c r="J11062" s="549"/>
      <c r="K11062" s="561"/>
      <c r="L11062" s="560"/>
      <c r="M11062" s="549"/>
      <c r="N11062" s="549"/>
      <c r="O11062" s="549"/>
      <c r="P11062" s="549"/>
    </row>
    <row r="11063" spans="1:16" ht="17.399999999999999">
      <c r="A11063" s="549"/>
      <c r="B11063" s="549"/>
      <c r="C11063" s="549"/>
      <c r="D11063" s="549"/>
      <c r="E11063" s="549"/>
      <c r="F11063" s="549"/>
      <c r="G11063" s="549"/>
      <c r="H11063" s="549"/>
      <c r="I11063" s="560"/>
      <c r="J11063" s="549"/>
      <c r="K11063" s="561"/>
      <c r="L11063" s="560"/>
      <c r="M11063" s="549"/>
      <c r="N11063" s="549"/>
      <c r="O11063" s="549"/>
      <c r="P11063" s="549"/>
    </row>
    <row r="11064" spans="1:16" ht="17.399999999999999">
      <c r="A11064" s="547" t="s">
        <v>541</v>
      </c>
      <c r="B11064" s="547" t="s">
        <v>1314</v>
      </c>
      <c r="C11064" s="547" t="s">
        <v>19</v>
      </c>
      <c r="D11064" s="547" t="s">
        <v>20</v>
      </c>
      <c r="E11064" s="1500" t="s">
        <v>420</v>
      </c>
      <c r="F11064" s="754">
        <v>16</v>
      </c>
      <c r="G11064" s="549" t="s">
        <v>21</v>
      </c>
      <c r="H11064" s="549" t="s">
        <v>176</v>
      </c>
      <c r="I11064" s="558">
        <v>23</v>
      </c>
      <c r="J11064" s="567">
        <v>6.2</v>
      </c>
      <c r="K11064" s="648">
        <v>48</v>
      </c>
      <c r="L11064" s="552">
        <f t="shared" ref="L11064:L11066" si="2261">(I11064*J11064*K11064/1000)</f>
        <v>6.8447999999999993</v>
      </c>
      <c r="M11064" s="549"/>
      <c r="N11064" s="567"/>
      <c r="O11064" s="549"/>
      <c r="P11064" s="549"/>
    </row>
    <row r="11065" spans="1:16" ht="17.399999999999999">
      <c r="A11065" s="549"/>
      <c r="B11065" s="832" t="s">
        <v>1246</v>
      </c>
      <c r="C11065" s="549"/>
      <c r="D11065" s="549"/>
      <c r="E11065" s="549"/>
      <c r="F11065" s="549"/>
      <c r="G11065" s="549" t="s">
        <v>21</v>
      </c>
      <c r="H11065" s="549" t="s">
        <v>176</v>
      </c>
      <c r="I11065" s="558">
        <v>23</v>
      </c>
      <c r="J11065" s="567">
        <v>6.3</v>
      </c>
      <c r="K11065" s="648">
        <v>108</v>
      </c>
      <c r="L11065" s="552">
        <f t="shared" si="2261"/>
        <v>15.6492</v>
      </c>
      <c r="M11065" s="549"/>
      <c r="N11065" s="567"/>
      <c r="O11065" s="549"/>
      <c r="P11065" s="549"/>
    </row>
    <row r="11066" spans="1:16" ht="17.399999999999999">
      <c r="A11066" s="549"/>
      <c r="B11066" s="549"/>
      <c r="C11066" s="549"/>
      <c r="D11066" s="549"/>
      <c r="E11066" s="549"/>
      <c r="F11066" s="549"/>
      <c r="G11066" s="549" t="s">
        <v>21</v>
      </c>
      <c r="H11066" s="549" t="s">
        <v>176</v>
      </c>
      <c r="I11066" s="558">
        <v>23</v>
      </c>
      <c r="J11066" s="567">
        <v>7.6</v>
      </c>
      <c r="K11066" s="648">
        <v>52</v>
      </c>
      <c r="L11066" s="552">
        <f t="shared" si="2261"/>
        <v>9.089599999999999</v>
      </c>
      <c r="M11066" s="549"/>
      <c r="N11066" s="567"/>
      <c r="O11066" s="549"/>
      <c r="P11066" s="549"/>
    </row>
    <row r="11067" spans="1:16" ht="17.399999999999999">
      <c r="A11067" s="549"/>
      <c r="B11067" s="549"/>
      <c r="C11067" s="549"/>
      <c r="D11067" s="549"/>
      <c r="E11067" s="549"/>
      <c r="F11067" s="549"/>
      <c r="G11067" s="549"/>
      <c r="H11067" s="549"/>
      <c r="I11067" s="558"/>
      <c r="J11067" s="567"/>
      <c r="K11067" s="648">
        <f t="shared" ref="K11067:L11067" si="2262">SUM(K11064:K11066)</f>
        <v>208</v>
      </c>
      <c r="L11067" s="567">
        <f t="shared" si="2262"/>
        <v>31.583599999999997</v>
      </c>
      <c r="M11067" s="648"/>
      <c r="N11067" s="567"/>
      <c r="O11067" s="549"/>
      <c r="P11067" s="549"/>
    </row>
    <row r="11068" spans="1:16" s="1487" customFormat="1" ht="17.399999999999999">
      <c r="A11068" s="549"/>
      <c r="B11068" s="549"/>
      <c r="C11068" s="549"/>
      <c r="D11068" s="549"/>
      <c r="E11068" s="549"/>
      <c r="F11068" s="549"/>
      <c r="G11068" s="549"/>
      <c r="H11068" s="549"/>
      <c r="I11068" s="558"/>
      <c r="J11068" s="567"/>
      <c r="K11068" s="648"/>
      <c r="L11068" s="567"/>
      <c r="M11068" s="549"/>
      <c r="N11068" s="549"/>
      <c r="O11068" s="549"/>
      <c r="P11068" s="549"/>
    </row>
    <row r="11069" spans="1:16" ht="17.399999999999999">
      <c r="A11069" s="547" t="s">
        <v>541</v>
      </c>
      <c r="B11069" s="547" t="s">
        <v>1314</v>
      </c>
      <c r="C11069" s="547" t="s">
        <v>19</v>
      </c>
      <c r="D11069" s="547" t="s">
        <v>20</v>
      </c>
      <c r="E11069" s="1500" t="s">
        <v>420</v>
      </c>
      <c r="F11069" s="754">
        <v>16</v>
      </c>
      <c r="G11069" s="549" t="s">
        <v>21</v>
      </c>
      <c r="H11069" s="549" t="s">
        <v>510</v>
      </c>
      <c r="I11069" s="558">
        <v>25.2</v>
      </c>
      <c r="J11069" s="567">
        <v>6.1</v>
      </c>
      <c r="K11069" s="648">
        <v>52</v>
      </c>
      <c r="L11069" s="552">
        <f>(I11069*J11069*K11069/1000)</f>
        <v>7.9934399999999997</v>
      </c>
      <c r="M11069" s="549"/>
      <c r="N11069" s="567"/>
      <c r="O11069" s="549"/>
      <c r="P11069" s="549"/>
    </row>
    <row r="11070" spans="1:16" ht="17.399999999999999">
      <c r="A11070" s="549"/>
      <c r="B11070" s="832" t="s">
        <v>1246</v>
      </c>
      <c r="C11070" s="549"/>
      <c r="D11070" s="549"/>
      <c r="E11070" s="549"/>
      <c r="F11070" s="549"/>
      <c r="G11070" s="549"/>
      <c r="H11070" s="549"/>
      <c r="I11070" s="558"/>
      <c r="J11070" s="567"/>
      <c r="K11070" s="648">
        <f t="shared" ref="K11070:L11070" si="2263">SUM(K11069)</f>
        <v>52</v>
      </c>
      <c r="L11070" s="567">
        <f t="shared" si="2263"/>
        <v>7.9934399999999997</v>
      </c>
      <c r="M11070" s="648"/>
      <c r="N11070" s="567"/>
      <c r="O11070" s="549"/>
      <c r="P11070" s="549"/>
    </row>
    <row r="11071" spans="1:16" s="1487" customFormat="1" ht="17.399999999999999">
      <c r="A11071" s="549"/>
      <c r="B11071" s="832"/>
      <c r="C11071" s="549"/>
      <c r="D11071" s="549"/>
      <c r="E11071" s="549"/>
      <c r="F11071" s="549"/>
      <c r="G11071" s="549"/>
      <c r="H11071" s="549"/>
      <c r="I11071" s="558"/>
      <c r="J11071" s="567"/>
      <c r="K11071" s="648"/>
      <c r="L11071" s="567"/>
      <c r="M11071" s="549"/>
      <c r="N11071" s="549"/>
      <c r="O11071" s="549"/>
      <c r="P11071" s="549"/>
    </row>
    <row r="11072" spans="1:16" ht="17.399999999999999">
      <c r="A11072" s="547" t="s">
        <v>541</v>
      </c>
      <c r="B11072" s="547" t="s">
        <v>1314</v>
      </c>
      <c r="C11072" s="547" t="s">
        <v>19</v>
      </c>
      <c r="D11072" s="547" t="s">
        <v>20</v>
      </c>
      <c r="E11072" s="1500" t="s">
        <v>420</v>
      </c>
      <c r="F11072" s="754">
        <v>16</v>
      </c>
      <c r="G11072" s="549" t="s">
        <v>21</v>
      </c>
      <c r="H11072" s="549" t="s">
        <v>518</v>
      </c>
      <c r="I11072" s="558">
        <v>29.5</v>
      </c>
      <c r="J11072" s="567">
        <v>7.3</v>
      </c>
      <c r="K11072" s="648">
        <v>2</v>
      </c>
      <c r="L11072" s="552">
        <f t="shared" ref="L11072:L11073" si="2264">(I11072*J11072*K11072/1000)</f>
        <v>0.43069999999999997</v>
      </c>
      <c r="M11072" s="549"/>
      <c r="N11072" s="567"/>
      <c r="O11072" s="549"/>
      <c r="P11072" s="549"/>
    </row>
    <row r="11073" spans="1:16" ht="17.399999999999999">
      <c r="A11073" s="549"/>
      <c r="B11073" s="832" t="s">
        <v>1246</v>
      </c>
      <c r="C11073" s="549"/>
      <c r="D11073" s="549"/>
      <c r="E11073" s="549"/>
      <c r="F11073" s="549"/>
      <c r="G11073" s="549" t="s">
        <v>21</v>
      </c>
      <c r="H11073" s="549" t="s">
        <v>518</v>
      </c>
      <c r="I11073" s="558">
        <v>29.5</v>
      </c>
      <c r="J11073" s="567">
        <v>7.6</v>
      </c>
      <c r="K11073" s="648">
        <v>2</v>
      </c>
      <c r="L11073" s="552">
        <f t="shared" si="2264"/>
        <v>0.44839999999999997</v>
      </c>
      <c r="M11073" s="549"/>
      <c r="N11073" s="567"/>
      <c r="O11073" s="549"/>
      <c r="P11073" s="549"/>
    </row>
    <row r="11074" spans="1:16" ht="17.399999999999999">
      <c r="A11074" s="549"/>
      <c r="B11074" s="549"/>
      <c r="C11074" s="549"/>
      <c r="D11074" s="549"/>
      <c r="E11074" s="549"/>
      <c r="F11074" s="549"/>
      <c r="G11074" s="549"/>
      <c r="H11074" s="549"/>
      <c r="I11074" s="558"/>
      <c r="J11074" s="567"/>
      <c r="K11074" s="648">
        <f t="shared" ref="K11074" si="2265">SUM(K11072:K11073)</f>
        <v>4</v>
      </c>
      <c r="L11074" s="567">
        <f>SUM(L11072:L11073)</f>
        <v>0.87909999999999999</v>
      </c>
      <c r="M11074" s="648"/>
      <c r="N11074" s="567"/>
      <c r="O11074" s="549"/>
      <c r="P11074" s="549"/>
    </row>
    <row r="11075" spans="1:16" s="1487" customFormat="1" ht="17.399999999999999">
      <c r="A11075" s="549"/>
      <c r="B11075" s="549"/>
      <c r="C11075" s="549"/>
      <c r="D11075" s="549"/>
      <c r="E11075" s="549"/>
      <c r="F11075" s="549"/>
      <c r="G11075" s="549"/>
      <c r="H11075" s="549"/>
      <c r="I11075" s="558"/>
      <c r="J11075" s="567"/>
      <c r="K11075" s="648"/>
      <c r="L11075" s="567"/>
      <c r="M11075" s="549"/>
      <c r="N11075" s="549"/>
      <c r="O11075" s="549"/>
      <c r="P11075" s="549"/>
    </row>
    <row r="11076" spans="1:16" ht="17.399999999999999">
      <c r="A11076" s="547" t="s">
        <v>541</v>
      </c>
      <c r="B11076" s="547" t="s">
        <v>1314</v>
      </c>
      <c r="C11076" s="547" t="s">
        <v>19</v>
      </c>
      <c r="D11076" s="547" t="s">
        <v>20</v>
      </c>
      <c r="E11076" s="1500" t="s">
        <v>420</v>
      </c>
      <c r="F11076" s="754">
        <v>16</v>
      </c>
      <c r="G11076" s="549" t="s">
        <v>21</v>
      </c>
      <c r="H11076" s="549" t="s">
        <v>180</v>
      </c>
      <c r="I11076" s="558">
        <v>35.9</v>
      </c>
      <c r="J11076" s="567">
        <v>8.1</v>
      </c>
      <c r="K11076" s="648">
        <v>55</v>
      </c>
      <c r="L11076" s="552">
        <f t="shared" ref="L11076" si="2266">(I11076*J11076*K11076/1000)</f>
        <v>15.993449999999998</v>
      </c>
      <c r="M11076" s="549"/>
      <c r="N11076" s="567"/>
      <c r="O11076" s="549"/>
      <c r="P11076" s="549"/>
    </row>
    <row r="11077" spans="1:16" ht="17.399999999999999">
      <c r="A11077" s="549"/>
      <c r="B11077" s="832" t="s">
        <v>1246</v>
      </c>
      <c r="C11077" s="549"/>
      <c r="D11077" s="549"/>
      <c r="E11077" s="549"/>
      <c r="F11077" s="549"/>
      <c r="G11077" s="549"/>
      <c r="H11077" s="549"/>
      <c r="I11077" s="560"/>
      <c r="J11077" s="567"/>
      <c r="K11077" s="648">
        <f t="shared" ref="K11077" si="2267">SUM(K11076)</f>
        <v>55</v>
      </c>
      <c r="L11077" s="567">
        <f>SUM(L11076)</f>
        <v>15.993449999999998</v>
      </c>
      <c r="M11077" s="648"/>
      <c r="N11077" s="567"/>
      <c r="O11077" s="549"/>
      <c r="P11077" s="549"/>
    </row>
    <row r="11078" spans="1:16" s="1511" customFormat="1" ht="17.399999999999999">
      <c r="A11078" s="549"/>
      <c r="B11078" s="832"/>
      <c r="C11078" s="549"/>
      <c r="D11078" s="549"/>
      <c r="E11078" s="549"/>
      <c r="F11078" s="549"/>
      <c r="G11078" s="549"/>
      <c r="H11078" s="549"/>
      <c r="I11078" s="560"/>
      <c r="J11078" s="567"/>
      <c r="K11078" s="648"/>
      <c r="L11078" s="567"/>
      <c r="M11078" s="648"/>
      <c r="N11078" s="567"/>
      <c r="O11078" s="549"/>
      <c r="P11078" s="549"/>
    </row>
    <row r="11079" spans="1:16" s="1511" customFormat="1" ht="17.399999999999999">
      <c r="A11079" s="549"/>
      <c r="B11079" s="832"/>
      <c r="C11079" s="549"/>
      <c r="D11079" s="549"/>
      <c r="E11079" s="549"/>
      <c r="F11079" s="549"/>
      <c r="G11079" s="549"/>
      <c r="H11079" s="549"/>
      <c r="I11079" s="560"/>
      <c r="J11079" s="567"/>
      <c r="K11079" s="648"/>
      <c r="L11079" s="567"/>
      <c r="M11079" s="648"/>
      <c r="N11079" s="567"/>
      <c r="O11079" s="549"/>
      <c r="P11079" s="549"/>
    </row>
    <row r="11080" spans="1:16" s="1511" customFormat="1" ht="17.399999999999999">
      <c r="A11080" s="549"/>
      <c r="B11080" s="832"/>
      <c r="C11080" s="549"/>
      <c r="D11080" s="549"/>
      <c r="E11080" s="549"/>
      <c r="F11080" s="549"/>
      <c r="G11080" s="549"/>
      <c r="H11080" s="549"/>
      <c r="I11080" s="560"/>
      <c r="J11080" s="567"/>
      <c r="K11080" s="648"/>
      <c r="L11080" s="567"/>
      <c r="M11080" s="648"/>
      <c r="N11080" s="567"/>
      <c r="O11080" s="549"/>
      <c r="P11080" s="549"/>
    </row>
    <row r="11081" spans="1:16" s="1511" customFormat="1" ht="17.399999999999999">
      <c r="A11081" s="549"/>
      <c r="B11081" s="832"/>
      <c r="C11081" s="549"/>
      <c r="D11081" s="549"/>
      <c r="E11081" s="549"/>
      <c r="F11081" s="549"/>
      <c r="G11081" s="549"/>
      <c r="H11081" s="549"/>
      <c r="I11081" s="560"/>
      <c r="J11081" s="567"/>
      <c r="K11081" s="648"/>
      <c r="L11081" s="567"/>
      <c r="M11081" s="648"/>
      <c r="N11081" s="567"/>
      <c r="O11081" s="549"/>
      <c r="P11081" s="549"/>
    </row>
    <row r="11082" spans="1:16" s="1511" customFormat="1" ht="17.399999999999999">
      <c r="A11082" s="549"/>
      <c r="B11082" s="832"/>
      <c r="C11082" s="549"/>
      <c r="D11082" s="549"/>
      <c r="E11082" s="549"/>
      <c r="F11082" s="549"/>
      <c r="G11082" s="549"/>
      <c r="H11082" s="549"/>
      <c r="I11082" s="560"/>
      <c r="J11082" s="567"/>
      <c r="K11082" s="648"/>
      <c r="L11082" s="567"/>
      <c r="M11082" s="648"/>
      <c r="N11082" s="567"/>
      <c r="O11082" s="549"/>
      <c r="P11082" s="549"/>
    </row>
    <row r="11083" spans="1:16" s="1511" customFormat="1" ht="17.399999999999999">
      <c r="A11083" s="549"/>
      <c r="B11083" s="832"/>
      <c r="C11083" s="549"/>
      <c r="D11083" s="549"/>
      <c r="E11083" s="549"/>
      <c r="F11083" s="549"/>
      <c r="G11083" s="549"/>
      <c r="H11083" s="549"/>
      <c r="I11083" s="560"/>
      <c r="J11083" s="567"/>
      <c r="K11083" s="648"/>
      <c r="L11083" s="567"/>
      <c r="M11083" s="648"/>
      <c r="N11083" s="567"/>
      <c r="O11083" s="549"/>
      <c r="P11083" s="549"/>
    </row>
    <row r="11084" spans="1:16" s="1511" customFormat="1" ht="17.399999999999999">
      <c r="A11084" s="547" t="s">
        <v>272</v>
      </c>
      <c r="B11084" s="547" t="s">
        <v>1324</v>
      </c>
      <c r="C11084" s="547" t="s">
        <v>19</v>
      </c>
      <c r="D11084" s="547" t="s">
        <v>20</v>
      </c>
      <c r="E11084" s="547" t="s">
        <v>359</v>
      </c>
      <c r="F11084" s="550">
        <v>16</v>
      </c>
      <c r="G11084" s="549" t="s">
        <v>21</v>
      </c>
      <c r="H11084" s="549" t="s">
        <v>180</v>
      </c>
      <c r="I11084" s="558">
        <v>35.840000000000003</v>
      </c>
      <c r="J11084" s="647">
        <v>10</v>
      </c>
      <c r="K11084" s="648">
        <v>2</v>
      </c>
      <c r="L11084" s="552">
        <f>(I11084*J11084*K11084/1000)</f>
        <v>0.7168000000000001</v>
      </c>
      <c r="M11084" s="648"/>
      <c r="N11084" s="567"/>
      <c r="O11084" s="549"/>
      <c r="P11084" s="549"/>
    </row>
    <row r="11085" spans="1:16" s="1511" customFormat="1" ht="17.399999999999999">
      <c r="A11085" s="549"/>
      <c r="B11085" s="832" t="s">
        <v>277</v>
      </c>
      <c r="C11085" s="549"/>
      <c r="D11085" s="549"/>
      <c r="E11085" s="549"/>
      <c r="F11085" s="549"/>
      <c r="G11085" s="549"/>
      <c r="H11085" s="549"/>
      <c r="I11085" s="560"/>
      <c r="J11085" s="567"/>
      <c r="K11085" s="648">
        <f t="shared" ref="K11085" si="2268">SUM(K11084)</f>
        <v>2</v>
      </c>
      <c r="L11085" s="567">
        <f>SUM(L11084)</f>
        <v>0.7168000000000001</v>
      </c>
      <c r="M11085" s="648"/>
      <c r="N11085" s="567"/>
      <c r="O11085" s="549"/>
      <c r="P11085" s="549"/>
    </row>
    <row r="11086" spans="1:16" s="1511" customFormat="1" ht="17.399999999999999">
      <c r="A11086" s="549"/>
      <c r="B11086" s="832"/>
      <c r="C11086" s="549"/>
      <c r="D11086" s="549"/>
      <c r="E11086" s="549"/>
      <c r="F11086" s="549"/>
      <c r="G11086" s="549"/>
      <c r="H11086" s="549"/>
      <c r="I11086" s="560"/>
      <c r="J11086" s="567"/>
      <c r="K11086" s="648"/>
      <c r="L11086" s="567"/>
      <c r="M11086" s="648"/>
      <c r="N11086" s="567"/>
      <c r="O11086" s="549"/>
      <c r="P11086" s="549"/>
    </row>
    <row r="11087" spans="1:16" s="1511" customFormat="1" ht="17.399999999999999">
      <c r="A11087" s="549"/>
      <c r="B11087" s="832"/>
      <c r="C11087" s="549"/>
      <c r="D11087" s="549"/>
      <c r="E11087" s="549"/>
      <c r="F11087" s="549"/>
      <c r="G11087" s="549"/>
      <c r="H11087" s="549"/>
      <c r="I11087" s="560"/>
      <c r="J11087" s="567"/>
      <c r="K11087" s="648"/>
      <c r="L11087" s="567"/>
      <c r="M11087" s="648"/>
      <c r="N11087" s="567"/>
      <c r="O11087" s="549"/>
      <c r="P11087" s="549"/>
    </row>
    <row r="11088" spans="1:16" s="1511" customFormat="1" ht="17.399999999999999">
      <c r="A11088" s="547" t="s">
        <v>272</v>
      </c>
      <c r="B11088" s="547" t="s">
        <v>1326</v>
      </c>
      <c r="C11088" s="547" t="s">
        <v>19</v>
      </c>
      <c r="D11088" s="547" t="s">
        <v>20</v>
      </c>
      <c r="E11088" s="547" t="s">
        <v>359</v>
      </c>
      <c r="F11088" s="550">
        <v>16</v>
      </c>
      <c r="G11088" s="549" t="s">
        <v>21</v>
      </c>
      <c r="H11088" s="549" t="s">
        <v>176</v>
      </c>
      <c r="I11088" s="558">
        <v>22.93</v>
      </c>
      <c r="J11088" s="647">
        <v>12</v>
      </c>
      <c r="K11088" s="648">
        <v>10</v>
      </c>
      <c r="L11088" s="552">
        <f>(I11088*J11088*K11088/1000)</f>
        <v>2.7515999999999994</v>
      </c>
      <c r="M11088" s="648"/>
      <c r="N11088" s="567"/>
      <c r="O11088" s="549"/>
      <c r="P11088" s="549"/>
    </row>
    <row r="11089" spans="1:16" s="1511" customFormat="1" ht="17.399999999999999">
      <c r="A11089" s="549"/>
      <c r="B11089" s="549" t="s">
        <v>1325</v>
      </c>
      <c r="C11089" s="549"/>
      <c r="D11089" s="549"/>
      <c r="E11089" s="549"/>
      <c r="F11089" s="549"/>
      <c r="G11089" s="549"/>
      <c r="H11089" s="549"/>
      <c r="I11089" s="560"/>
      <c r="J11089" s="567"/>
      <c r="K11089" s="648">
        <f t="shared" ref="K11089" si="2269">SUM(K11088)</f>
        <v>10</v>
      </c>
      <c r="L11089" s="567">
        <f>SUM(L11088)</f>
        <v>2.7515999999999994</v>
      </c>
      <c r="M11089" s="648"/>
      <c r="N11089" s="567"/>
      <c r="O11089" s="549"/>
      <c r="P11089" s="549"/>
    </row>
    <row r="11090" spans="1:16" s="1511" customFormat="1" ht="17.399999999999999">
      <c r="A11090" s="549"/>
      <c r="B11090" s="832"/>
      <c r="C11090" s="549"/>
      <c r="D11090" s="549"/>
      <c r="E11090" s="549"/>
      <c r="F11090" s="549"/>
      <c r="G11090" s="549"/>
      <c r="H11090" s="549"/>
      <c r="I11090" s="560"/>
      <c r="J11090" s="567"/>
      <c r="K11090" s="648"/>
      <c r="L11090" s="567"/>
      <c r="M11090" s="648"/>
      <c r="N11090" s="567"/>
      <c r="O11090" s="549"/>
      <c r="P11090" s="549"/>
    </row>
    <row r="11091" spans="1:16" s="1511" customFormat="1" ht="17.399999999999999">
      <c r="A11091" s="549"/>
      <c r="B11091" s="832"/>
      <c r="C11091" s="549"/>
      <c r="D11091" s="549"/>
      <c r="E11091" s="549"/>
      <c r="F11091" s="549"/>
      <c r="G11091" s="549"/>
      <c r="H11091" s="549"/>
      <c r="I11091" s="560"/>
      <c r="J11091" s="567"/>
      <c r="K11091" s="648"/>
      <c r="L11091" s="567"/>
      <c r="M11091" s="648"/>
      <c r="N11091" s="567"/>
      <c r="O11091" s="549"/>
      <c r="P11091" s="549"/>
    </row>
    <row r="11092" spans="1:16" s="1511" customFormat="1" ht="17.399999999999999">
      <c r="A11092" s="547" t="s">
        <v>332</v>
      </c>
      <c r="B11092" s="547" t="s">
        <v>1327</v>
      </c>
      <c r="C11092" s="547" t="s">
        <v>19</v>
      </c>
      <c r="D11092" s="547" t="s">
        <v>20</v>
      </c>
      <c r="E11092" s="1437" t="s">
        <v>464</v>
      </c>
      <c r="F11092" s="550">
        <v>16</v>
      </c>
      <c r="G11092" s="549" t="s">
        <v>21</v>
      </c>
      <c r="H11092" s="549" t="s">
        <v>179</v>
      </c>
      <c r="I11092" s="558">
        <v>33.799999999999997</v>
      </c>
      <c r="J11092" s="647">
        <v>10.1</v>
      </c>
      <c r="K11092" s="648">
        <v>36</v>
      </c>
      <c r="L11092" s="552">
        <f>(I11092*J11092*K11092/1000)</f>
        <v>12.289679999999999</v>
      </c>
      <c r="M11092" s="648"/>
      <c r="N11092" s="567"/>
      <c r="O11092" s="549"/>
      <c r="P11092" s="549"/>
    </row>
    <row r="11093" spans="1:16" s="1511" customFormat="1" ht="17.399999999999999">
      <c r="A11093" s="549"/>
      <c r="B11093" s="549" t="s">
        <v>238</v>
      </c>
      <c r="C11093" s="549"/>
      <c r="D11093" s="549"/>
      <c r="E11093" s="549"/>
      <c r="F11093" s="549"/>
      <c r="G11093" s="549" t="s">
        <v>21</v>
      </c>
      <c r="H11093" s="549" t="s">
        <v>179</v>
      </c>
      <c r="I11093" s="558">
        <v>33.799999999999997</v>
      </c>
      <c r="J11093" s="647">
        <v>7.8</v>
      </c>
      <c r="K11093" s="648">
        <v>8</v>
      </c>
      <c r="L11093" s="552">
        <f>(I11093*J11093*K11093/1000)</f>
        <v>2.1091199999999999</v>
      </c>
      <c r="M11093" s="648"/>
      <c r="N11093" s="567"/>
      <c r="O11093" s="549"/>
      <c r="P11093" s="549"/>
    </row>
    <row r="11094" spans="1:16" s="1511" customFormat="1" ht="17.399999999999999">
      <c r="A11094" s="549"/>
      <c r="B11094" s="832"/>
      <c r="C11094" s="549"/>
      <c r="D11094" s="549"/>
      <c r="E11094" s="549"/>
      <c r="F11094" s="549"/>
      <c r="G11094" s="549"/>
      <c r="H11094" s="549"/>
      <c r="I11094" s="560"/>
      <c r="J11094" s="567"/>
      <c r="K11094" s="648">
        <f t="shared" ref="K11094" si="2270">SUM(K11092:K11093)</f>
        <v>44</v>
      </c>
      <c r="L11094" s="567">
        <f>SUM(L11092:L11093)</f>
        <v>14.398799999999998</v>
      </c>
      <c r="M11094" s="648"/>
      <c r="N11094" s="567"/>
      <c r="O11094" s="549"/>
      <c r="P11094" s="549"/>
    </row>
    <row r="11095" spans="1:16" s="1511" customFormat="1" ht="17.399999999999999">
      <c r="A11095" s="549"/>
      <c r="B11095" s="832"/>
      <c r="C11095" s="549"/>
      <c r="D11095" s="549"/>
      <c r="E11095" s="549"/>
      <c r="F11095" s="549"/>
      <c r="G11095" s="549"/>
      <c r="H11095" s="549"/>
      <c r="I11095" s="560"/>
      <c r="J11095" s="567"/>
      <c r="K11095" s="648"/>
      <c r="L11095" s="567"/>
      <c r="M11095" s="648"/>
      <c r="N11095" s="567"/>
      <c r="O11095" s="549"/>
      <c r="P11095" s="549"/>
    </row>
    <row r="11096" spans="1:16" s="1511" customFormat="1" ht="17.399999999999999">
      <c r="A11096" s="547" t="s">
        <v>332</v>
      </c>
      <c r="B11096" s="547" t="s">
        <v>1327</v>
      </c>
      <c r="C11096" s="547" t="s">
        <v>19</v>
      </c>
      <c r="D11096" s="547" t="s">
        <v>20</v>
      </c>
      <c r="E11096" s="1437" t="s">
        <v>464</v>
      </c>
      <c r="F11096" s="550">
        <v>16</v>
      </c>
      <c r="G11096" s="549" t="s">
        <v>21</v>
      </c>
      <c r="H11096" s="549" t="s">
        <v>177</v>
      </c>
      <c r="I11096" s="558">
        <v>27.3</v>
      </c>
      <c r="J11096" s="647">
        <v>10.5</v>
      </c>
      <c r="K11096" s="648">
        <v>2</v>
      </c>
      <c r="L11096" s="567">
        <v>0.57330000000000003</v>
      </c>
      <c r="M11096" s="648"/>
      <c r="N11096" s="567"/>
      <c r="O11096" s="549"/>
      <c r="P11096" s="549"/>
    </row>
    <row r="11097" spans="1:16" s="1511" customFormat="1" ht="17.399999999999999">
      <c r="A11097" s="549"/>
      <c r="B11097" s="549" t="s">
        <v>238</v>
      </c>
      <c r="C11097" s="549"/>
      <c r="D11097" s="549"/>
      <c r="E11097" s="549"/>
      <c r="F11097" s="549"/>
      <c r="G11097" s="549"/>
      <c r="H11097" s="549"/>
      <c r="I11097" s="560"/>
      <c r="J11097" s="567"/>
      <c r="K11097" s="648">
        <f>SUM(K11096:K11096)</f>
        <v>2</v>
      </c>
      <c r="L11097" s="567">
        <f>SUM(L11096:L11096)</f>
        <v>0.57330000000000003</v>
      </c>
      <c r="M11097" s="648"/>
      <c r="N11097" s="567"/>
      <c r="O11097" s="549"/>
      <c r="P11097" s="549"/>
    </row>
    <row r="11098" spans="1:16" s="1511" customFormat="1" ht="17.399999999999999">
      <c r="A11098" s="549"/>
      <c r="B11098" s="549"/>
      <c r="C11098" s="549"/>
      <c r="D11098" s="549"/>
      <c r="E11098" s="549"/>
      <c r="F11098" s="549"/>
      <c r="G11098" s="549"/>
      <c r="H11098" s="549"/>
      <c r="I11098" s="560"/>
      <c r="J11098" s="567"/>
      <c r="K11098" s="648"/>
      <c r="L11098" s="567"/>
      <c r="M11098" s="648"/>
      <c r="N11098" s="567"/>
      <c r="O11098" s="549"/>
      <c r="P11098" s="549"/>
    </row>
    <row r="11099" spans="1:16" s="1511" customFormat="1" ht="17.399999999999999">
      <c r="A11099" s="549"/>
      <c r="B11099" s="549"/>
      <c r="C11099" s="549"/>
      <c r="D11099" s="549"/>
      <c r="E11099" s="549"/>
      <c r="F11099" s="549"/>
      <c r="G11099" s="549"/>
      <c r="H11099" s="549"/>
      <c r="I11099" s="560"/>
      <c r="J11099" s="567"/>
      <c r="K11099" s="648"/>
      <c r="L11099" s="567"/>
      <c r="M11099" s="648"/>
      <c r="N11099" s="567"/>
      <c r="O11099" s="549"/>
      <c r="P11099" s="549"/>
    </row>
    <row r="11100" spans="1:16" s="1511" customFormat="1" ht="17.399999999999999">
      <c r="A11100" s="549"/>
      <c r="B11100" s="832"/>
      <c r="C11100" s="549"/>
      <c r="D11100" s="549"/>
      <c r="E11100" s="549"/>
      <c r="F11100" s="549"/>
      <c r="G11100" s="549"/>
      <c r="H11100" s="549"/>
      <c r="I11100" s="560"/>
      <c r="J11100" s="567"/>
      <c r="K11100" s="648"/>
      <c r="L11100" s="567"/>
      <c r="M11100" s="648"/>
      <c r="N11100" s="567"/>
      <c r="O11100" s="549"/>
      <c r="P11100" s="549"/>
    </row>
    <row r="11101" spans="1:16" s="1511" customFormat="1" ht="17.399999999999999">
      <c r="A11101" s="21" t="s">
        <v>272</v>
      </c>
      <c r="B11101" s="21" t="s">
        <v>1321</v>
      </c>
      <c r="C11101" s="21" t="s">
        <v>446</v>
      </c>
      <c r="D11101" s="293" t="s">
        <v>447</v>
      </c>
      <c r="E11101" s="21" t="s">
        <v>359</v>
      </c>
      <c r="F11101" s="550">
        <v>16</v>
      </c>
      <c r="G11101" s="1517" t="s">
        <v>21</v>
      </c>
      <c r="H11101" s="1517" t="s">
        <v>510</v>
      </c>
      <c r="I11101" s="115">
        <v>25.2</v>
      </c>
      <c r="J11101" s="23">
        <v>9.5</v>
      </c>
      <c r="K11101" s="25">
        <v>6</v>
      </c>
      <c r="L11101" s="100">
        <f t="shared" ref="L11101:L11104" si="2271">(I11101*J11101*K11101/1000)</f>
        <v>1.4364000000000001</v>
      </c>
      <c r="M11101" s="25"/>
      <c r="N11101" s="567"/>
      <c r="O11101" s="549"/>
      <c r="P11101" s="549"/>
    </row>
    <row r="11102" spans="1:16" s="1511" customFormat="1" ht="17.399999999999999">
      <c r="A11102" s="20"/>
      <c r="B11102" s="20"/>
      <c r="C11102" s="20"/>
      <c r="D11102" s="20"/>
      <c r="E11102" s="20"/>
      <c r="F11102" s="20"/>
      <c r="G11102" s="1517" t="s">
        <v>21</v>
      </c>
      <c r="H11102" s="1517" t="s">
        <v>510</v>
      </c>
      <c r="I11102" s="115">
        <v>25.2</v>
      </c>
      <c r="J11102" s="23">
        <v>10</v>
      </c>
      <c r="K11102" s="25">
        <v>15</v>
      </c>
      <c r="L11102" s="100">
        <f t="shared" si="2271"/>
        <v>3.78</v>
      </c>
      <c r="M11102" s="25"/>
      <c r="N11102" s="567"/>
      <c r="O11102" s="549"/>
      <c r="P11102" s="549"/>
    </row>
    <row r="11103" spans="1:16" s="1511" customFormat="1" ht="17.399999999999999">
      <c r="A11103" s="20"/>
      <c r="B11103" s="229"/>
      <c r="C11103" s="20"/>
      <c r="D11103" s="20"/>
      <c r="E11103" s="20"/>
      <c r="F11103" s="20"/>
      <c r="G11103" s="1517" t="s">
        <v>21</v>
      </c>
      <c r="H11103" s="1517" t="s">
        <v>510</v>
      </c>
      <c r="I11103" s="115">
        <v>25.2</v>
      </c>
      <c r="J11103" s="23">
        <v>10.5</v>
      </c>
      <c r="K11103" s="25">
        <v>13</v>
      </c>
      <c r="L11103" s="100">
        <f t="shared" si="2271"/>
        <v>3.4397999999999995</v>
      </c>
      <c r="M11103" s="25"/>
      <c r="N11103" s="567"/>
      <c r="O11103" s="549"/>
      <c r="P11103" s="549"/>
    </row>
    <row r="11104" spans="1:16" s="1511" customFormat="1" ht="17.399999999999999">
      <c r="A11104" s="20"/>
      <c r="B11104" s="229"/>
      <c r="C11104" s="20"/>
      <c r="D11104" s="20"/>
      <c r="E11104" s="20"/>
      <c r="F11104" s="20"/>
      <c r="G11104" s="1517" t="s">
        <v>21</v>
      </c>
      <c r="H11104" s="1517" t="s">
        <v>510</v>
      </c>
      <c r="I11104" s="115">
        <v>25.2</v>
      </c>
      <c r="J11104" s="23">
        <v>12</v>
      </c>
      <c r="K11104" s="25">
        <v>21</v>
      </c>
      <c r="L11104" s="100">
        <f t="shared" si="2271"/>
        <v>6.3503999999999996</v>
      </c>
      <c r="M11104" s="25"/>
      <c r="N11104" s="567"/>
      <c r="O11104" s="549"/>
      <c r="P11104" s="549"/>
    </row>
    <row r="11105" spans="1:16" s="1511" customFormat="1" ht="17.399999999999999">
      <c r="A11105" s="20"/>
      <c r="B11105" s="229"/>
      <c r="C11105" s="20"/>
      <c r="D11105" s="20"/>
      <c r="E11105" s="20"/>
      <c r="F11105" s="20"/>
      <c r="G11105" s="1517"/>
      <c r="H11105" s="1517"/>
      <c r="I11105" s="115"/>
      <c r="J11105" s="23"/>
      <c r="K11105" s="25">
        <f t="shared" ref="K11105" si="2272">SUM(K11101:K11104)</f>
        <v>55</v>
      </c>
      <c r="L11105" s="23">
        <f>SUM(L11101:L11104)</f>
        <v>15.006599999999999</v>
      </c>
      <c r="M11105" s="25"/>
      <c r="N11105" s="567"/>
      <c r="O11105" s="549"/>
      <c r="P11105" s="549"/>
    </row>
    <row r="11106" spans="1:16" s="1511" customFormat="1" ht="17.399999999999999">
      <c r="A11106" s="20"/>
      <c r="B11106" s="229"/>
      <c r="C11106" s="20"/>
      <c r="D11106" s="20"/>
      <c r="E11106" s="20"/>
      <c r="F11106" s="20"/>
      <c r="G11106" s="1517"/>
      <c r="H11106" s="1517"/>
      <c r="I11106" s="115"/>
      <c r="J11106" s="23"/>
      <c r="K11106" s="25"/>
      <c r="L11106" s="23"/>
      <c r="M11106" s="25"/>
      <c r="N11106" s="567"/>
      <c r="O11106" s="549"/>
      <c r="P11106" s="549"/>
    </row>
    <row r="11107" spans="1:16" s="1511" customFormat="1" ht="17.399999999999999">
      <c r="A11107" s="21" t="s">
        <v>272</v>
      </c>
      <c r="B11107" s="21" t="s">
        <v>1321</v>
      </c>
      <c r="C11107" s="21" t="s">
        <v>446</v>
      </c>
      <c r="D11107" s="293" t="s">
        <v>447</v>
      </c>
      <c r="E11107" s="21" t="s">
        <v>359</v>
      </c>
      <c r="F11107" s="550">
        <v>16</v>
      </c>
      <c r="G11107" s="1517" t="s">
        <v>21</v>
      </c>
      <c r="H11107" s="1517" t="s">
        <v>177</v>
      </c>
      <c r="I11107" s="115">
        <v>27.29</v>
      </c>
      <c r="J11107" s="23">
        <v>9</v>
      </c>
      <c r="K11107" s="25">
        <v>3</v>
      </c>
      <c r="L11107" s="100">
        <f t="shared" ref="L11107:L11108" si="2273">(I11107*J11107*K11107/1000)</f>
        <v>0.73682999999999987</v>
      </c>
      <c r="M11107" s="25"/>
      <c r="N11107" s="567"/>
      <c r="O11107" s="549"/>
      <c r="P11107" s="549"/>
    </row>
    <row r="11108" spans="1:16" s="1511" customFormat="1" ht="17.399999999999999">
      <c r="A11108" s="20"/>
      <c r="B11108" s="229"/>
      <c r="C11108" s="20"/>
      <c r="D11108" s="20"/>
      <c r="E11108" s="20"/>
      <c r="F11108" s="20"/>
      <c r="G11108" s="1517" t="s">
        <v>21</v>
      </c>
      <c r="H11108" s="1517" t="s">
        <v>177</v>
      </c>
      <c r="I11108" s="115">
        <v>27.29</v>
      </c>
      <c r="J11108" s="23">
        <v>12</v>
      </c>
      <c r="K11108" s="25">
        <v>8</v>
      </c>
      <c r="L11108" s="100">
        <f t="shared" si="2273"/>
        <v>2.6198399999999999</v>
      </c>
      <c r="M11108" s="25"/>
      <c r="N11108" s="567"/>
      <c r="O11108" s="549"/>
      <c r="P11108" s="549"/>
    </row>
    <row r="11109" spans="1:16" s="1511" customFormat="1" ht="17.399999999999999">
      <c r="A11109" s="20"/>
      <c r="B11109" s="229"/>
      <c r="C11109" s="20"/>
      <c r="D11109" s="20"/>
      <c r="E11109" s="20"/>
      <c r="F11109" s="20"/>
      <c r="G11109" s="1517"/>
      <c r="H11109" s="1517"/>
      <c r="I11109" s="115"/>
      <c r="J11109" s="23"/>
      <c r="K11109" s="25">
        <f t="shared" ref="K11109:L11109" si="2274">SUM(K11107:K11108)</f>
        <v>11</v>
      </c>
      <c r="L11109" s="23">
        <f t="shared" si="2274"/>
        <v>3.3566699999999998</v>
      </c>
      <c r="M11109" s="25"/>
      <c r="N11109" s="567"/>
      <c r="O11109" s="549"/>
      <c r="P11109" s="549"/>
    </row>
    <row r="11110" spans="1:16" s="1511" customFormat="1" ht="17.399999999999999">
      <c r="A11110" s="20"/>
      <c r="B11110" s="229"/>
      <c r="C11110" s="20"/>
      <c r="D11110" s="20"/>
      <c r="E11110" s="20"/>
      <c r="F11110" s="20"/>
      <c r="G11110" s="1517"/>
      <c r="H11110" s="1517"/>
      <c r="I11110" s="115"/>
      <c r="J11110" s="23"/>
      <c r="K11110" s="25"/>
      <c r="L11110" s="23"/>
      <c r="M11110" s="25"/>
      <c r="N11110" s="567"/>
      <c r="O11110" s="549"/>
      <c r="P11110" s="549"/>
    </row>
    <row r="11111" spans="1:16" s="1511" customFormat="1" ht="17.399999999999999">
      <c r="A11111" s="21" t="s">
        <v>272</v>
      </c>
      <c r="B11111" s="21" t="s">
        <v>1321</v>
      </c>
      <c r="C11111" s="21" t="s">
        <v>446</v>
      </c>
      <c r="D11111" s="293" t="s">
        <v>447</v>
      </c>
      <c r="E11111" s="21" t="s">
        <v>359</v>
      </c>
      <c r="F11111" s="550">
        <v>16</v>
      </c>
      <c r="G11111" s="1517" t="s">
        <v>21</v>
      </c>
      <c r="H11111" s="1517" t="s">
        <v>178</v>
      </c>
      <c r="I11111" s="115">
        <v>31.6</v>
      </c>
      <c r="J11111" s="23">
        <v>10</v>
      </c>
      <c r="K11111" s="25">
        <v>6</v>
      </c>
      <c r="L11111" s="100">
        <f t="shared" ref="L11111:L11112" si="2275">(I11111*J11111*K11111/1000)</f>
        <v>1.8959999999999999</v>
      </c>
      <c r="M11111" s="25"/>
      <c r="N11111" s="567"/>
      <c r="O11111" s="549"/>
      <c r="P11111" s="549"/>
    </row>
    <row r="11112" spans="1:16" s="1511" customFormat="1" ht="17.399999999999999">
      <c r="A11112" s="20"/>
      <c r="B11112" s="229"/>
      <c r="C11112" s="20"/>
      <c r="D11112" s="20"/>
      <c r="E11112" s="20"/>
      <c r="F11112" s="20"/>
      <c r="G11112" s="1517" t="s">
        <v>21</v>
      </c>
      <c r="H11112" s="1517" t="s">
        <v>178</v>
      </c>
      <c r="I11112" s="115">
        <v>31.6</v>
      </c>
      <c r="J11112" s="23">
        <v>10.5</v>
      </c>
      <c r="K11112" s="25">
        <v>8</v>
      </c>
      <c r="L11112" s="100">
        <f t="shared" si="2275"/>
        <v>2.6543999999999999</v>
      </c>
      <c r="M11112" s="25"/>
      <c r="N11112" s="567"/>
      <c r="O11112" s="549"/>
      <c r="P11112" s="549"/>
    </row>
    <row r="11113" spans="1:16" s="1511" customFormat="1" ht="17.399999999999999">
      <c r="A11113" s="20"/>
      <c r="B11113" s="229"/>
      <c r="C11113" s="20"/>
      <c r="D11113" s="20"/>
      <c r="E11113" s="20"/>
      <c r="F11113" s="20"/>
      <c r="G11113" s="1517"/>
      <c r="H11113" s="1517"/>
      <c r="I11113" s="115"/>
      <c r="J11113" s="23"/>
      <c r="K11113" s="25">
        <f t="shared" ref="K11113:L11113" si="2276">SUM(K11111:K11112)</f>
        <v>14</v>
      </c>
      <c r="L11113" s="23">
        <f t="shared" si="2276"/>
        <v>4.5503999999999998</v>
      </c>
      <c r="M11113" s="25"/>
      <c r="N11113" s="567"/>
      <c r="O11113" s="549"/>
      <c r="P11113" s="549"/>
    </row>
    <row r="11114" spans="1:16" s="1511" customFormat="1" ht="17.399999999999999">
      <c r="A11114" s="20"/>
      <c r="B11114" s="229"/>
      <c r="C11114" s="20"/>
      <c r="D11114" s="20"/>
      <c r="E11114" s="20"/>
      <c r="F11114" s="20"/>
      <c r="G11114" s="1517"/>
      <c r="H11114" s="1517"/>
      <c r="I11114" s="115"/>
      <c r="J11114" s="23"/>
      <c r="K11114" s="25"/>
      <c r="L11114" s="23"/>
      <c r="M11114" s="25"/>
      <c r="N11114" s="567"/>
      <c r="O11114" s="549"/>
      <c r="P11114" s="549"/>
    </row>
    <row r="11115" spans="1:16" s="1511" customFormat="1" ht="17.399999999999999">
      <c r="A11115" s="21" t="s">
        <v>272</v>
      </c>
      <c r="B11115" s="21" t="s">
        <v>1321</v>
      </c>
      <c r="C11115" s="21" t="s">
        <v>446</v>
      </c>
      <c r="D11115" s="293" t="s">
        <v>447</v>
      </c>
      <c r="E11115" s="21" t="s">
        <v>359</v>
      </c>
      <c r="F11115" s="550">
        <v>16</v>
      </c>
      <c r="G11115" s="1517" t="s">
        <v>21</v>
      </c>
      <c r="H11115" s="1517" t="s">
        <v>179</v>
      </c>
      <c r="I11115" s="115">
        <v>33.72</v>
      </c>
      <c r="J11115" s="23">
        <v>12</v>
      </c>
      <c r="K11115" s="25">
        <v>3</v>
      </c>
      <c r="L11115" s="100">
        <f>(I11115*J11115*K11115/1000)</f>
        <v>1.2139200000000001</v>
      </c>
      <c r="M11115" s="25"/>
      <c r="N11115" s="567"/>
      <c r="O11115" s="549"/>
      <c r="P11115" s="549"/>
    </row>
    <row r="11116" spans="1:16" s="1511" customFormat="1" ht="17.399999999999999">
      <c r="A11116" s="20"/>
      <c r="B11116" s="229"/>
      <c r="C11116" s="20"/>
      <c r="D11116" s="20"/>
      <c r="E11116" s="20"/>
      <c r="F11116" s="20"/>
      <c r="G11116" s="1517"/>
      <c r="H11116" s="1517"/>
      <c r="I11116" s="115"/>
      <c r="J11116" s="23"/>
      <c r="K11116" s="25">
        <f t="shared" ref="K11116:L11116" si="2277">SUM(K11115)</f>
        <v>3</v>
      </c>
      <c r="L11116" s="23">
        <f t="shared" si="2277"/>
        <v>1.2139200000000001</v>
      </c>
      <c r="M11116" s="25"/>
      <c r="N11116" s="567"/>
      <c r="O11116" s="549"/>
      <c r="P11116" s="549"/>
    </row>
    <row r="11117" spans="1:16" s="1511" customFormat="1" ht="17.399999999999999">
      <c r="A11117" s="20"/>
      <c r="B11117" s="229"/>
      <c r="C11117" s="20"/>
      <c r="D11117" s="20"/>
      <c r="E11117" s="20"/>
      <c r="F11117" s="20"/>
      <c r="G11117" s="1517"/>
      <c r="H11117" s="1517"/>
      <c r="I11117" s="115"/>
      <c r="J11117" s="23"/>
      <c r="K11117" s="25"/>
      <c r="L11117" s="23"/>
      <c r="M11117" s="25"/>
      <c r="N11117" s="567"/>
      <c r="O11117" s="549"/>
      <c r="P11117" s="549"/>
    </row>
    <row r="11118" spans="1:16" s="1511" customFormat="1" ht="17.399999999999999">
      <c r="A11118" s="21" t="s">
        <v>272</v>
      </c>
      <c r="B11118" s="21" t="s">
        <v>1321</v>
      </c>
      <c r="C11118" s="21" t="s">
        <v>446</v>
      </c>
      <c r="D11118" s="293" t="s">
        <v>447</v>
      </c>
      <c r="E11118" s="21" t="s">
        <v>359</v>
      </c>
      <c r="F11118" s="550">
        <v>16</v>
      </c>
      <c r="G11118" s="1517" t="s">
        <v>21</v>
      </c>
      <c r="H11118" s="1517" t="s">
        <v>260</v>
      </c>
      <c r="I11118" s="115">
        <v>38</v>
      </c>
      <c r="J11118" s="23">
        <v>6</v>
      </c>
      <c r="K11118" s="25">
        <v>12</v>
      </c>
      <c r="L11118" s="100">
        <f>(I11118*J11118*K11118/1000)</f>
        <v>2.7360000000000002</v>
      </c>
      <c r="M11118" s="25"/>
      <c r="N11118" s="567"/>
      <c r="O11118" s="549"/>
      <c r="P11118" s="549"/>
    </row>
    <row r="11119" spans="1:16" s="1511" customFormat="1" ht="17.399999999999999">
      <c r="A11119" s="20"/>
      <c r="B11119" s="229"/>
      <c r="C11119" s="20"/>
      <c r="D11119" s="20"/>
      <c r="E11119" s="20"/>
      <c r="F11119" s="20"/>
      <c r="G11119" s="1517" t="s">
        <v>21</v>
      </c>
      <c r="H11119" s="1517" t="s">
        <v>260</v>
      </c>
      <c r="I11119" s="115">
        <v>38</v>
      </c>
      <c r="J11119" s="23">
        <v>7.5</v>
      </c>
      <c r="K11119" s="25">
        <v>2</v>
      </c>
      <c r="L11119" s="100">
        <f>(I11119*J11119*K11119/1000)</f>
        <v>0.56999999999999995</v>
      </c>
      <c r="M11119" s="25"/>
      <c r="N11119" s="567"/>
      <c r="O11119" s="549"/>
      <c r="P11119" s="549"/>
    </row>
    <row r="11120" spans="1:16" s="1511" customFormat="1" ht="17.399999999999999">
      <c r="A11120" s="20"/>
      <c r="B11120" s="229"/>
      <c r="C11120" s="20"/>
      <c r="D11120" s="20"/>
      <c r="E11120" s="20"/>
      <c r="F11120" s="20"/>
      <c r="G11120" s="1517"/>
      <c r="H11120" s="1517"/>
      <c r="I11120" s="115"/>
      <c r="J11120" s="23"/>
      <c r="K11120" s="25">
        <f t="shared" ref="K11120:L11120" si="2278">SUM(K11118:K11119)</f>
        <v>14</v>
      </c>
      <c r="L11120" s="23">
        <f t="shared" si="2278"/>
        <v>3.306</v>
      </c>
      <c r="M11120" s="25"/>
      <c r="N11120" s="567"/>
      <c r="O11120" s="549"/>
      <c r="P11120" s="549"/>
    </row>
    <row r="11121" spans="1:16" s="1511" customFormat="1" ht="17.399999999999999">
      <c r="A11121" s="20"/>
      <c r="B11121" s="229"/>
      <c r="C11121" s="20"/>
      <c r="D11121" s="20"/>
      <c r="E11121" s="20"/>
      <c r="F11121" s="20"/>
      <c r="G11121" s="1517"/>
      <c r="H11121" s="1517"/>
      <c r="I11121" s="115"/>
      <c r="J11121" s="23"/>
      <c r="K11121" s="25"/>
      <c r="L11121" s="23"/>
      <c r="M11121" s="25"/>
      <c r="N11121" s="567"/>
      <c r="O11121" s="549"/>
      <c r="P11121" s="549"/>
    </row>
    <row r="11122" spans="1:16" s="1511" customFormat="1" ht="17.399999999999999">
      <c r="A11122" s="21" t="s">
        <v>272</v>
      </c>
      <c r="B11122" s="21" t="s">
        <v>1321</v>
      </c>
      <c r="C11122" s="21" t="s">
        <v>446</v>
      </c>
      <c r="D11122" s="293" t="s">
        <v>447</v>
      </c>
      <c r="E11122" s="21" t="s">
        <v>359</v>
      </c>
      <c r="F11122" s="550">
        <v>16</v>
      </c>
      <c r="G11122" s="1517" t="s">
        <v>21</v>
      </c>
      <c r="H11122" s="1517" t="s">
        <v>181</v>
      </c>
      <c r="I11122" s="115">
        <v>40.01</v>
      </c>
      <c r="J11122" s="23">
        <v>6</v>
      </c>
      <c r="K11122" s="25">
        <v>2</v>
      </c>
      <c r="L11122" s="100">
        <f>(I11122*J11122*K11122/1000)</f>
        <v>0.48011999999999999</v>
      </c>
      <c r="M11122" s="25"/>
      <c r="N11122" s="567"/>
      <c r="O11122" s="549"/>
      <c r="P11122" s="549"/>
    </row>
    <row r="11123" spans="1:16" s="1511" customFormat="1" ht="17.399999999999999">
      <c r="A11123" s="20"/>
      <c r="B11123" s="229"/>
      <c r="C11123" s="20"/>
      <c r="D11123" s="20"/>
      <c r="E11123" s="20"/>
      <c r="F11123" s="20"/>
      <c r="G11123" s="1517"/>
      <c r="H11123" s="1517"/>
      <c r="I11123" s="115"/>
      <c r="J11123" s="23"/>
      <c r="K11123" s="25">
        <f t="shared" ref="K11123:L11123" si="2279">SUM(K11122)</f>
        <v>2</v>
      </c>
      <c r="L11123" s="23">
        <f t="shared" si="2279"/>
        <v>0.48011999999999999</v>
      </c>
      <c r="M11123" s="25"/>
      <c r="N11123" s="567"/>
      <c r="O11123" s="549"/>
      <c r="P11123" s="549"/>
    </row>
    <row r="11124" spans="1:16" s="1511" customFormat="1" ht="17.399999999999999">
      <c r="A11124" s="20"/>
      <c r="B11124" s="229"/>
      <c r="C11124" s="20"/>
      <c r="D11124" s="20"/>
      <c r="E11124" s="20"/>
      <c r="F11124" s="20"/>
      <c r="G11124" s="20"/>
      <c r="H11124" s="20"/>
      <c r="I11124" s="131"/>
      <c r="J11124" s="23"/>
      <c r="K11124" s="25"/>
      <c r="L11124" s="23"/>
      <c r="M11124" s="25"/>
      <c r="N11124" s="567"/>
      <c r="O11124" s="549"/>
      <c r="P11124" s="549"/>
    </row>
    <row r="11125" spans="1:16" s="1511" customFormat="1" ht="17.399999999999999">
      <c r="A11125" s="20"/>
      <c r="B11125" s="229"/>
      <c r="C11125" s="20"/>
      <c r="D11125" s="20"/>
      <c r="E11125" s="20"/>
      <c r="F11125" s="20"/>
      <c r="G11125" s="20"/>
      <c r="H11125" s="20"/>
      <c r="I11125" s="131"/>
      <c r="J11125" s="23"/>
      <c r="K11125" s="25"/>
      <c r="L11125" s="23"/>
      <c r="M11125" s="25"/>
      <c r="N11125" s="567"/>
      <c r="O11125" s="549"/>
      <c r="P11125" s="549"/>
    </row>
    <row r="11126" spans="1:16" s="1511" customFormat="1" ht="17.399999999999999">
      <c r="A11126" s="20"/>
      <c r="B11126" s="229"/>
      <c r="C11126" s="20"/>
      <c r="D11126" s="20"/>
      <c r="E11126" s="20"/>
      <c r="F11126" s="20"/>
      <c r="G11126" s="20"/>
      <c r="H11126" s="20"/>
      <c r="I11126" s="131"/>
      <c r="J11126" s="23"/>
      <c r="K11126" s="25"/>
      <c r="L11126" s="23"/>
      <c r="M11126" s="25"/>
      <c r="N11126" s="567"/>
      <c r="O11126" s="549"/>
      <c r="P11126" s="549"/>
    </row>
    <row r="11127" spans="1:16" s="1511" customFormat="1" ht="17.399999999999999">
      <c r="A11127" s="20"/>
      <c r="B11127" s="229"/>
      <c r="C11127" s="20"/>
      <c r="D11127" s="20"/>
      <c r="E11127" s="20"/>
      <c r="F11127" s="20"/>
      <c r="G11127" s="20"/>
      <c r="H11127" s="20"/>
      <c r="I11127" s="131"/>
      <c r="J11127" s="23"/>
      <c r="K11127" s="25"/>
      <c r="L11127" s="23"/>
      <c r="M11127" s="25"/>
      <c r="N11127" s="567"/>
      <c r="O11127" s="549"/>
      <c r="P11127" s="549"/>
    </row>
    <row r="11128" spans="1:16" s="1511" customFormat="1" ht="17.399999999999999">
      <c r="A11128" s="20"/>
      <c r="B11128" s="229"/>
      <c r="C11128" s="20"/>
      <c r="D11128" s="20"/>
      <c r="E11128" s="20"/>
      <c r="F11128" s="20"/>
      <c r="G11128" s="20"/>
      <c r="H11128" s="20"/>
      <c r="I11128" s="131"/>
      <c r="J11128" s="23"/>
      <c r="K11128" s="25"/>
      <c r="L11128" s="23"/>
      <c r="M11128" s="25"/>
      <c r="N11128" s="567"/>
      <c r="O11128" s="549"/>
      <c r="P11128" s="549"/>
    </row>
    <row r="11129" spans="1:16" s="1511" customFormat="1" ht="17.399999999999999">
      <c r="A11129" s="549"/>
      <c r="B11129" s="832"/>
      <c r="C11129" s="549"/>
      <c r="D11129" s="549"/>
      <c r="E11129" s="549"/>
      <c r="F11129" s="549"/>
      <c r="G11129" s="549"/>
      <c r="H11129" s="549"/>
      <c r="I11129" s="560"/>
      <c r="J11129" s="567"/>
      <c r="K11129" s="648"/>
      <c r="L11129" s="567"/>
      <c r="M11129" s="648"/>
      <c r="N11129" s="567"/>
      <c r="O11129" s="549"/>
      <c r="P11129" s="549"/>
    </row>
    <row r="11130" spans="1:16" s="1511" customFormat="1" ht="17.399999999999999">
      <c r="A11130" s="549"/>
      <c r="B11130" s="832"/>
      <c r="C11130" s="549"/>
      <c r="D11130" s="549"/>
      <c r="E11130" s="549"/>
      <c r="F11130" s="549"/>
      <c r="G11130" s="549"/>
      <c r="H11130" s="549"/>
      <c r="I11130" s="560"/>
      <c r="J11130" s="567"/>
      <c r="K11130" s="648"/>
      <c r="L11130" s="567"/>
      <c r="M11130" s="648"/>
      <c r="N11130" s="567"/>
      <c r="O11130" s="549"/>
      <c r="P11130" s="549"/>
    </row>
    <row r="11131" spans="1:16" s="1511" customFormat="1" ht="17.399999999999999">
      <c r="A11131" s="549"/>
      <c r="B11131" s="832"/>
      <c r="C11131" s="549"/>
      <c r="D11131" s="549"/>
      <c r="E11131" s="549"/>
      <c r="F11131" s="549"/>
      <c r="G11131" s="549"/>
      <c r="H11131" s="549"/>
      <c r="I11131" s="560"/>
      <c r="J11131" s="567"/>
      <c r="K11131" s="648"/>
      <c r="L11131" s="567"/>
      <c r="M11131" s="648"/>
      <c r="N11131" s="567"/>
      <c r="O11131" s="549"/>
      <c r="P11131" s="549"/>
    </row>
    <row r="11132" spans="1:16" s="1511" customFormat="1" ht="17.399999999999999">
      <c r="A11132" s="549"/>
      <c r="B11132" s="832"/>
      <c r="C11132" s="549"/>
      <c r="D11132" s="549"/>
      <c r="E11132" s="549"/>
      <c r="F11132" s="549"/>
      <c r="G11132" s="549"/>
      <c r="H11132" s="549"/>
      <c r="I11132" s="560"/>
      <c r="J11132" s="567"/>
      <c r="K11132" s="648"/>
      <c r="L11132" s="567"/>
      <c r="M11132" s="648"/>
      <c r="N11132" s="567"/>
      <c r="O11132" s="549"/>
      <c r="P11132" s="549"/>
    </row>
    <row r="11133" spans="1:16" s="1511" customFormat="1" ht="17.399999999999999">
      <c r="A11133" s="549"/>
      <c r="B11133" s="832"/>
      <c r="C11133" s="549"/>
      <c r="D11133" s="549"/>
      <c r="E11133" s="549"/>
      <c r="F11133" s="549"/>
      <c r="G11133" s="549"/>
      <c r="H11133" s="549"/>
      <c r="I11133" s="560"/>
      <c r="J11133" s="567"/>
      <c r="K11133" s="648"/>
      <c r="L11133" s="567"/>
      <c r="M11133" s="648"/>
      <c r="N11133" s="567"/>
      <c r="O11133" s="549"/>
      <c r="P11133" s="549"/>
    </row>
    <row r="11134" spans="1:16" s="1511" customFormat="1" ht="17.399999999999999">
      <c r="A11134" s="549"/>
      <c r="B11134" s="832"/>
      <c r="C11134" s="549"/>
      <c r="D11134" s="549"/>
      <c r="E11134" s="549"/>
      <c r="F11134" s="549"/>
      <c r="G11134" s="549"/>
      <c r="H11134" s="549"/>
      <c r="I11134" s="560"/>
      <c r="J11134" s="567"/>
      <c r="K11134" s="648"/>
      <c r="L11134" s="567"/>
      <c r="M11134" s="648"/>
      <c r="N11134" s="567"/>
      <c r="O11134" s="549"/>
      <c r="P11134" s="549"/>
    </row>
    <row r="11135" spans="1:16" ht="17.399999999999999">
      <c r="A11135" s="549"/>
      <c r="B11135" s="549"/>
      <c r="C11135" s="549"/>
      <c r="D11135" s="549"/>
      <c r="E11135" s="549"/>
      <c r="F11135" s="549"/>
      <c r="G11135" s="549"/>
      <c r="H11135" s="549"/>
      <c r="I11135" s="560"/>
      <c r="J11135" s="549"/>
      <c r="K11135" s="561"/>
      <c r="L11135" s="560"/>
      <c r="M11135" s="549"/>
      <c r="N11135" s="549"/>
      <c r="O11135" s="549"/>
      <c r="P11135" s="549"/>
    </row>
    <row r="11136" spans="1:16" ht="17.399999999999999">
      <c r="A11136" s="549"/>
      <c r="B11136" s="549"/>
      <c r="C11136" s="549"/>
      <c r="D11136" s="549"/>
      <c r="E11136" s="549"/>
      <c r="F11136" s="549"/>
      <c r="G11136" s="549"/>
      <c r="H11136" s="549"/>
      <c r="I11136" s="560"/>
      <c r="J11136" s="549"/>
      <c r="K11136" s="561"/>
      <c r="L11136" s="565">
        <f>+L11077+L11074+L11070+L11067+L11061</f>
        <v>260.14308</v>
      </c>
      <c r="M11136" s="549"/>
      <c r="N11136" s="565">
        <f>+N11077+N11074+N11070+N11067+N11061</f>
        <v>0</v>
      </c>
      <c r="O11136" s="549"/>
      <c r="P11136" s="549"/>
    </row>
    <row r="11137" spans="1:16" ht="18">
      <c r="A11137" s="653" t="s">
        <v>48</v>
      </c>
      <c r="B11137" s="653"/>
      <c r="C11137" s="654"/>
      <c r="D11137" s="654"/>
      <c r="E11137" s="654"/>
      <c r="F11137" s="1499"/>
      <c r="G11137" s="654"/>
      <c r="H11137" s="1499"/>
      <c r="I11137" s="656"/>
      <c r="J11137" s="654"/>
      <c r="K11137" s="657"/>
      <c r="L11137" s="2003" t="s">
        <v>0</v>
      </c>
      <c r="M11137" s="2003"/>
      <c r="N11137" s="2003"/>
      <c r="O11137" s="2004"/>
      <c r="P11137" s="1097"/>
    </row>
    <row r="11138" spans="1:16" ht="18">
      <c r="A11138" s="658" t="s">
        <v>1</v>
      </c>
      <c r="B11138" s="658"/>
      <c r="C11138" s="658"/>
      <c r="D11138" s="659" t="s">
        <v>2</v>
      </c>
      <c r="E11138" s="659"/>
      <c r="F11138" s="660"/>
      <c r="G11138" s="660"/>
      <c r="H11138" s="660"/>
      <c r="I11138" s="661"/>
      <c r="J11138" s="660"/>
      <c r="K11138" s="662" t="s">
        <v>3</v>
      </c>
      <c r="L11138" s="660"/>
      <c r="M11138" s="658"/>
      <c r="N11138" s="660"/>
      <c r="O11138" s="663"/>
      <c r="P11138" s="1098"/>
    </row>
    <row r="11139" spans="1:16" ht="18">
      <c r="A11139" s="1499" t="s">
        <v>22</v>
      </c>
      <c r="B11139" s="1990" t="s">
        <v>23</v>
      </c>
      <c r="C11139" s="2005"/>
      <c r="D11139" s="1989"/>
      <c r="E11139" s="1499" t="s">
        <v>24</v>
      </c>
      <c r="F11139" s="1990" t="s">
        <v>25</v>
      </c>
      <c r="G11139" s="1989"/>
      <c r="H11139" s="1990" t="s">
        <v>26</v>
      </c>
      <c r="I11139" s="2005"/>
      <c r="J11139" s="2005"/>
      <c r="K11139" s="1989"/>
      <c r="L11139" s="2006" t="s">
        <v>27</v>
      </c>
      <c r="M11139" s="2006"/>
      <c r="N11139" s="2006"/>
      <c r="O11139" s="1990"/>
      <c r="P11139" s="1098"/>
    </row>
    <row r="11140" spans="1:16" ht="18">
      <c r="A11140" s="664"/>
      <c r="B11140" s="1975"/>
      <c r="C11140" s="1976"/>
      <c r="D11140" s="1977"/>
      <c r="E11140" s="665"/>
      <c r="F11140" s="1975"/>
      <c r="G11140" s="1977"/>
      <c r="H11140" s="1975"/>
      <c r="I11140" s="1976"/>
      <c r="J11140" s="1976"/>
      <c r="K11140" s="1977"/>
      <c r="L11140" s="1975"/>
      <c r="M11140" s="1976"/>
      <c r="N11140" s="1976"/>
      <c r="O11140" s="1976"/>
      <c r="P11140" s="1098"/>
    </row>
    <row r="11141" spans="1:16" ht="18">
      <c r="A11141" s="664"/>
      <c r="B11141" s="1491"/>
      <c r="C11141" s="1492"/>
      <c r="D11141" s="1493"/>
      <c r="E11141" s="665"/>
      <c r="F11141" s="1491"/>
      <c r="G11141" s="1493"/>
      <c r="H11141" s="1491"/>
      <c r="I11141" s="1842"/>
      <c r="J11141" s="1492"/>
      <c r="K11141" s="1493"/>
      <c r="L11141" s="1492"/>
      <c r="M11141" s="1492"/>
      <c r="N11141" s="1492"/>
      <c r="O11141" s="1492"/>
      <c r="P11141" s="1098"/>
    </row>
    <row r="11142" spans="1:16" ht="18">
      <c r="A11142" s="664"/>
      <c r="B11142" s="1975"/>
      <c r="C11142" s="1976"/>
      <c r="D11142" s="1977"/>
      <c r="E11142" s="665"/>
      <c r="F11142" s="1973"/>
      <c r="G11142" s="1974"/>
      <c r="H11142" s="1975"/>
      <c r="I11142" s="1976"/>
      <c r="J11142" s="1976"/>
      <c r="K11142" s="1977"/>
      <c r="L11142" s="1976"/>
      <c r="M11142" s="1976"/>
      <c r="N11142" s="1976"/>
      <c r="O11142" s="1976"/>
      <c r="P11142" s="1098"/>
    </row>
    <row r="11143" spans="1:16" ht="18">
      <c r="A11143" s="664" t="s">
        <v>28</v>
      </c>
      <c r="B11143" s="1975" t="s">
        <v>187</v>
      </c>
      <c r="C11143" s="1976"/>
      <c r="D11143" s="1977"/>
      <c r="E11143" s="665">
        <f>+L11061</f>
        <v>203.69349</v>
      </c>
      <c r="F11143" s="1973">
        <v>16</v>
      </c>
      <c r="G11143" s="1974"/>
      <c r="H11143" s="1975" t="s">
        <v>20</v>
      </c>
      <c r="I11143" s="1976"/>
      <c r="J11143" s="1976"/>
      <c r="K11143" s="1977"/>
      <c r="L11143" s="1976" t="s">
        <v>1315</v>
      </c>
      <c r="M11143" s="1976"/>
      <c r="N11143" s="1976"/>
      <c r="O11143" s="1976"/>
      <c r="P11143" s="1098"/>
    </row>
    <row r="11144" spans="1:16" s="1487" customFormat="1" ht="18">
      <c r="A11144" s="664"/>
      <c r="B11144" s="1491"/>
      <c r="C11144" s="1492"/>
      <c r="D11144" s="1493"/>
      <c r="E11144" s="665"/>
      <c r="F11144" s="1494"/>
      <c r="G11144" s="1495"/>
      <c r="H11144" s="1491"/>
      <c r="I11144" s="1842"/>
      <c r="J11144" s="1492"/>
      <c r="K11144" s="1493"/>
      <c r="L11144" s="1492"/>
      <c r="M11144" s="1492"/>
      <c r="N11144" s="1492"/>
      <c r="O11144" s="1492"/>
      <c r="P11144" s="1098"/>
    </row>
    <row r="11145" spans="1:16" s="1487" customFormat="1" ht="18">
      <c r="A11145" s="664"/>
      <c r="B11145" s="1491"/>
      <c r="C11145" s="1492"/>
      <c r="D11145" s="1493"/>
      <c r="E11145" s="665"/>
      <c r="F11145" s="1494"/>
      <c r="G11145" s="1495"/>
      <c r="H11145" s="1491"/>
      <c r="I11145" s="1842"/>
      <c r="J11145" s="1492"/>
      <c r="K11145" s="1493"/>
      <c r="L11145" s="1492"/>
      <c r="M11145" s="1492"/>
      <c r="N11145" s="1492"/>
      <c r="O11145" s="1492"/>
      <c r="P11145" s="1098"/>
    </row>
    <row r="11146" spans="1:16" s="1487" customFormat="1" ht="18">
      <c r="A11146" s="664" t="s">
        <v>29</v>
      </c>
      <c r="B11146" s="1975" t="s">
        <v>188</v>
      </c>
      <c r="C11146" s="1976"/>
      <c r="D11146" s="1977"/>
      <c r="E11146" s="665">
        <f>+L11067-1.102</f>
        <v>30.481599999999997</v>
      </c>
      <c r="F11146" s="1973">
        <v>16</v>
      </c>
      <c r="G11146" s="1974"/>
      <c r="H11146" s="1975" t="s">
        <v>20</v>
      </c>
      <c r="I11146" s="1976"/>
      <c r="J11146" s="1976"/>
      <c r="K11146" s="1977"/>
      <c r="L11146" s="1976" t="s">
        <v>1316</v>
      </c>
      <c r="M11146" s="1976"/>
      <c r="N11146" s="1976"/>
      <c r="O11146" s="1976"/>
      <c r="P11146" s="1098"/>
    </row>
    <row r="11147" spans="1:16" s="1487" customFormat="1" ht="18">
      <c r="A11147" s="664" t="s">
        <v>30</v>
      </c>
      <c r="B11147" s="1975" t="s">
        <v>556</v>
      </c>
      <c r="C11147" s="1976"/>
      <c r="D11147" s="1977"/>
      <c r="E11147" s="665">
        <f>+L11070</f>
        <v>7.9934399999999997</v>
      </c>
      <c r="F11147" s="1973">
        <v>16</v>
      </c>
      <c r="G11147" s="1974"/>
      <c r="H11147" s="1975" t="s">
        <v>20</v>
      </c>
      <c r="I11147" s="1976"/>
      <c r="J11147" s="1976"/>
      <c r="K11147" s="1977"/>
      <c r="L11147" s="1976" t="s">
        <v>1316</v>
      </c>
      <c r="M11147" s="1976"/>
      <c r="N11147" s="1976"/>
      <c r="O11147" s="1976"/>
      <c r="P11147" s="1098"/>
    </row>
    <row r="11148" spans="1:16" ht="18">
      <c r="A11148" s="664" t="s">
        <v>46</v>
      </c>
      <c r="B11148" s="1975" t="s">
        <v>184</v>
      </c>
      <c r="C11148" s="1976"/>
      <c r="D11148" s="1977"/>
      <c r="E11148" s="665">
        <f>+L11077-0.872</f>
        <v>15.121449999999998</v>
      </c>
      <c r="F11148" s="1973">
        <v>16</v>
      </c>
      <c r="G11148" s="1974"/>
      <c r="H11148" s="1975" t="s">
        <v>20</v>
      </c>
      <c r="I11148" s="1976"/>
      <c r="J11148" s="1976"/>
      <c r="K11148" s="1977"/>
      <c r="L11148" s="1976" t="s">
        <v>1316</v>
      </c>
      <c r="M11148" s="1976"/>
      <c r="N11148" s="1976"/>
      <c r="O11148" s="1976"/>
      <c r="P11148" s="1098"/>
    </row>
    <row r="11149" spans="1:16" ht="18">
      <c r="A11149" s="664"/>
      <c r="B11149" s="1975"/>
      <c r="C11149" s="1976"/>
      <c r="D11149" s="1977"/>
      <c r="E11149" s="665"/>
      <c r="F11149" s="1973"/>
      <c r="G11149" s="1974"/>
      <c r="H11149" s="1975"/>
      <c r="I11149" s="1976"/>
      <c r="J11149" s="1976"/>
      <c r="K11149" s="1977"/>
      <c r="L11149" s="1976"/>
      <c r="M11149" s="1976"/>
      <c r="N11149" s="1976"/>
      <c r="O11149" s="1976"/>
      <c r="P11149" s="1098"/>
    </row>
    <row r="11150" spans="1:16" ht="18">
      <c r="A11150" s="664"/>
      <c r="B11150" s="1491"/>
      <c r="C11150" s="1492"/>
      <c r="D11150" s="1493"/>
      <c r="E11150" s="665"/>
      <c r="F11150" s="1494"/>
      <c r="G11150" s="1495"/>
      <c r="H11150" s="1491"/>
      <c r="I11150" s="1842"/>
      <c r="J11150" s="1492"/>
      <c r="K11150" s="1493"/>
      <c r="L11150" s="1492"/>
      <c r="M11150" s="1492"/>
      <c r="N11150" s="1492"/>
      <c r="O11150" s="1492"/>
      <c r="P11150" s="1098"/>
    </row>
    <row r="11151" spans="1:16" ht="18.600000000000001" thickBot="1">
      <c r="A11151" s="664"/>
      <c r="B11151" s="1491"/>
      <c r="C11151" s="1492"/>
      <c r="D11151" s="1492"/>
      <c r="E11151" s="665"/>
      <c r="F11151" s="1492"/>
      <c r="G11151" s="1493"/>
      <c r="H11151" s="1491"/>
      <c r="I11151" s="1842"/>
      <c r="J11151" s="1492"/>
      <c r="K11151" s="669"/>
      <c r="L11151" s="672"/>
      <c r="M11151" s="673"/>
      <c r="N11151" s="673"/>
      <c r="O11151" s="673"/>
      <c r="P11151" s="1098"/>
    </row>
    <row r="11152" spans="1:16" ht="18">
      <c r="A11152" s="674"/>
      <c r="B11152" s="675"/>
      <c r="C11152" s="676"/>
      <c r="D11152" s="676"/>
      <c r="E11152" s="1980">
        <f>SUM(E11140:E11151)</f>
        <v>257.28997999999996</v>
      </c>
      <c r="F11152" s="677"/>
      <c r="G11152" s="678"/>
      <c r="H11152" s="679"/>
      <c r="I11152" s="1848"/>
      <c r="J11152" s="676"/>
      <c r="K11152" s="680"/>
      <c r="L11152" s="679"/>
      <c r="M11152" s="676"/>
      <c r="N11152" s="677"/>
      <c r="O11152" s="676"/>
      <c r="P11152" s="1098"/>
    </row>
    <row r="11153" spans="1:16" ht="18.600000000000001" thickBot="1">
      <c r="A11153" s="681"/>
      <c r="B11153" s="682"/>
      <c r="C11153" s="683"/>
      <c r="D11153" s="683"/>
      <c r="E11153" s="1981"/>
      <c r="F11153" s="684"/>
      <c r="G11153" s="685"/>
      <c r="H11153" s="686"/>
      <c r="I11153" s="1850"/>
      <c r="J11153" s="683"/>
      <c r="K11153" s="687"/>
      <c r="L11153" s="686"/>
      <c r="M11153" s="683"/>
      <c r="N11153" s="684"/>
      <c r="O11153" s="683"/>
      <c r="P11153" s="1098"/>
    </row>
    <row r="11154" spans="1:16" ht="18">
      <c r="A11154" s="688" t="s">
        <v>31</v>
      </c>
      <c r="B11154" s="676"/>
      <c r="C11154" s="676"/>
      <c r="D11154" s="676"/>
      <c r="E11154" s="676"/>
      <c r="F11154" s="677"/>
      <c r="G11154" s="676"/>
      <c r="H11154" s="677"/>
      <c r="I11154" s="1848"/>
      <c r="J11154" s="676"/>
      <c r="K11154" s="689"/>
      <c r="L11154" s="677"/>
      <c r="M11154" s="676"/>
      <c r="N11154" s="677"/>
      <c r="O11154" s="676"/>
      <c r="P11154" s="1098"/>
    </row>
    <row r="11155" spans="1:16" ht="18">
      <c r="A11155" s="690"/>
      <c r="B11155" s="691"/>
      <c r="C11155" s="691"/>
      <c r="D11155" s="691"/>
      <c r="E11155" s="691"/>
      <c r="F11155" s="1490"/>
      <c r="G11155" s="691"/>
      <c r="H11155" s="1490"/>
      <c r="I11155" s="1849"/>
      <c r="J11155" s="691"/>
      <c r="K11155" s="693"/>
      <c r="L11155" s="1490"/>
      <c r="M11155" s="691"/>
      <c r="N11155" s="1490"/>
      <c r="O11155" s="691"/>
      <c r="P11155" s="1098"/>
    </row>
    <row r="11156" spans="1:16" ht="18.600000000000001" thickBot="1">
      <c r="A11156" s="1982" t="s">
        <v>32</v>
      </c>
      <c r="B11156" s="1983"/>
      <c r="C11156" s="1984" t="s">
        <v>33</v>
      </c>
      <c r="D11156" s="1985"/>
      <c r="E11156" s="694" t="s">
        <v>34</v>
      </c>
      <c r="F11156" s="694" t="s">
        <v>35</v>
      </c>
      <c r="G11156" s="1986" t="s">
        <v>36</v>
      </c>
      <c r="H11156" s="1987"/>
      <c r="I11156" s="1987"/>
      <c r="J11156" s="1987"/>
      <c r="K11156" s="1987"/>
      <c r="L11156" s="1987"/>
      <c r="M11156" s="1987"/>
      <c r="N11156" s="1987"/>
      <c r="O11156" s="1987"/>
      <c r="P11156" s="1098"/>
    </row>
    <row r="11157" spans="1:16" ht="18">
      <c r="A11157" s="1988"/>
      <c r="B11157" s="1989"/>
      <c r="C11157" s="1990"/>
      <c r="D11157" s="1989"/>
      <c r="E11157" s="1499"/>
      <c r="F11157" s="1496"/>
      <c r="G11157" s="1991"/>
      <c r="H11157" s="1992"/>
      <c r="I11157" s="1992"/>
      <c r="J11157" s="1992"/>
      <c r="K11157" s="1992"/>
      <c r="L11157" s="1992"/>
      <c r="M11157" s="1992"/>
      <c r="N11157" s="1992"/>
      <c r="O11157" s="1992"/>
      <c r="P11157" s="1098"/>
    </row>
    <row r="11158" spans="1:16" ht="18">
      <c r="A11158" s="1997" t="s">
        <v>37</v>
      </c>
      <c r="B11158" s="1998"/>
      <c r="C11158" s="1990"/>
      <c r="D11158" s="1989"/>
      <c r="E11158" s="1499"/>
      <c r="F11158" s="1496"/>
      <c r="G11158" s="1993"/>
      <c r="H11158" s="1994"/>
      <c r="I11158" s="1994"/>
      <c r="J11158" s="1994"/>
      <c r="K11158" s="1994"/>
      <c r="L11158" s="1994"/>
      <c r="M11158" s="1994"/>
      <c r="N11158" s="1994"/>
      <c r="O11158" s="1994"/>
      <c r="P11158" s="1098"/>
    </row>
    <row r="11159" spans="1:16" ht="18">
      <c r="A11159" s="1997" t="s">
        <v>38</v>
      </c>
      <c r="B11159" s="1998"/>
      <c r="C11159" s="1990"/>
      <c r="D11159" s="1989"/>
      <c r="E11159" s="1499"/>
      <c r="F11159" s="1496"/>
      <c r="G11159" s="1993"/>
      <c r="H11159" s="1994"/>
      <c r="I11159" s="1994"/>
      <c r="J11159" s="1994"/>
      <c r="K11159" s="1994"/>
      <c r="L11159" s="1994"/>
      <c r="M11159" s="1994"/>
      <c r="N11159" s="1994"/>
      <c r="O11159" s="1994"/>
      <c r="P11159" s="1098"/>
    </row>
    <row r="11160" spans="1:16" ht="18">
      <c r="A11160" s="1997" t="s">
        <v>39</v>
      </c>
      <c r="B11160" s="1998"/>
      <c r="C11160" s="1990"/>
      <c r="D11160" s="1989"/>
      <c r="E11160" s="1499"/>
      <c r="F11160" s="1496"/>
      <c r="G11160" s="1993"/>
      <c r="H11160" s="1994"/>
      <c r="I11160" s="1994"/>
      <c r="J11160" s="1994"/>
      <c r="K11160" s="1994"/>
      <c r="L11160" s="1994"/>
      <c r="M11160" s="1994"/>
      <c r="N11160" s="1994"/>
      <c r="O11160" s="1994"/>
      <c r="P11160" s="1098"/>
    </row>
    <row r="11161" spans="1:16" ht="18">
      <c r="A11161" s="1997" t="s">
        <v>40</v>
      </c>
      <c r="B11161" s="1998"/>
      <c r="C11161" s="1990"/>
      <c r="D11161" s="1989"/>
      <c r="E11161" s="1499"/>
      <c r="F11161" s="1496"/>
      <c r="G11161" s="1993"/>
      <c r="H11161" s="1994"/>
      <c r="I11161" s="1994"/>
      <c r="J11161" s="1994"/>
      <c r="K11161" s="1994"/>
      <c r="L11161" s="1994"/>
      <c r="M11161" s="1994"/>
      <c r="N11161" s="1994"/>
      <c r="O11161" s="1994"/>
      <c r="P11161" s="1098"/>
    </row>
    <row r="11162" spans="1:16" ht="18.600000000000001" thickBot="1">
      <c r="A11162" s="1999" t="s">
        <v>41</v>
      </c>
      <c r="B11162" s="2000"/>
      <c r="C11162" s="2001"/>
      <c r="D11162" s="2002"/>
      <c r="E11162" s="696"/>
      <c r="F11162" s="1497"/>
      <c r="G11162" s="1995"/>
      <c r="H11162" s="1996"/>
      <c r="I11162" s="1996"/>
      <c r="J11162" s="1996"/>
      <c r="K11162" s="1996"/>
      <c r="L11162" s="1996"/>
      <c r="M11162" s="1996"/>
      <c r="N11162" s="1996"/>
      <c r="O11162" s="1996"/>
      <c r="P11162" s="1098"/>
    </row>
    <row r="11163" spans="1:16" ht="18">
      <c r="A11163" s="690"/>
      <c r="B11163" s="691"/>
      <c r="C11163" s="691"/>
      <c r="D11163" s="691"/>
      <c r="E11163" s="691"/>
      <c r="F11163" s="1490"/>
      <c r="G11163" s="691"/>
      <c r="H11163" s="698"/>
      <c r="I11163" s="699"/>
      <c r="J11163" s="700"/>
      <c r="K11163" s="701"/>
      <c r="L11163" s="702"/>
      <c r="M11163" s="691"/>
      <c r="N11163" s="1490"/>
      <c r="O11163" s="691"/>
      <c r="P11163" s="1098"/>
    </row>
    <row r="11164" spans="1:16" ht="18">
      <c r="A11164" s="703" t="s">
        <v>42</v>
      </c>
      <c r="B11164" s="704"/>
      <c r="C11164" s="691"/>
      <c r="D11164" s="691"/>
      <c r="E11164" s="691"/>
      <c r="F11164" s="1490"/>
      <c r="G11164" s="704"/>
      <c r="H11164" s="698"/>
      <c r="I11164" s="699"/>
      <c r="J11164" s="700"/>
      <c r="K11164" s="693"/>
      <c r="L11164" s="705"/>
      <c r="M11164" s="691"/>
      <c r="N11164" s="1979" t="s">
        <v>43</v>
      </c>
      <c r="O11164" s="1979"/>
      <c r="P11164" s="1098"/>
    </row>
    <row r="11165" spans="1:16" ht="18">
      <c r="A11165" s="703"/>
      <c r="B11165" s="704"/>
      <c r="C11165" s="691"/>
      <c r="D11165" s="691"/>
      <c r="E11165" s="691"/>
      <c r="F11165" s="1490"/>
      <c r="G11165" s="691"/>
      <c r="H11165" s="1490"/>
      <c r="I11165" s="1849"/>
      <c r="J11165" s="691"/>
      <c r="K11165" s="693"/>
      <c r="L11165" s="1490"/>
      <c r="M11165" s="691"/>
      <c r="N11165" s="1490"/>
      <c r="O11165" s="704"/>
      <c r="P11165" s="1098"/>
    </row>
    <row r="11166" spans="1:16" ht="18">
      <c r="A11166" s="703" t="s">
        <v>44</v>
      </c>
      <c r="B11166" s="704"/>
      <c r="C11166" s="691"/>
      <c r="D11166" s="691"/>
      <c r="E11166" s="691"/>
      <c r="F11166" s="1490"/>
      <c r="G11166" s="691"/>
      <c r="H11166" s="1490"/>
      <c r="I11166" s="1849"/>
      <c r="J11166" s="691"/>
      <c r="K11166" s="693"/>
      <c r="L11166" s="1490"/>
      <c r="M11166" s="691"/>
      <c r="N11166" s="1979" t="s">
        <v>45</v>
      </c>
      <c r="O11166" s="1979"/>
      <c r="P11166" s="1098"/>
    </row>
    <row r="11167" spans="1:16" ht="18.600000000000001" thickBot="1">
      <c r="A11167" s="682"/>
      <c r="B11167" s="683"/>
      <c r="C11167" s="683"/>
      <c r="D11167" s="683"/>
      <c r="E11167" s="683"/>
      <c r="F11167" s="684"/>
      <c r="G11167" s="683"/>
      <c r="H11167" s="684"/>
      <c r="I11167" s="1850"/>
      <c r="J11167" s="683"/>
      <c r="K11167" s="706"/>
      <c r="L11167" s="684"/>
      <c r="M11167" s="683"/>
      <c r="N11167" s="684"/>
      <c r="O11167" s="683"/>
      <c r="P11167" s="1099"/>
    </row>
    <row r="11172" spans="1:17" ht="17.399999999999999">
      <c r="A11172" s="711" t="s">
        <v>48</v>
      </c>
      <c r="B11172" s="711"/>
      <c r="C11172" s="712"/>
      <c r="D11172" s="712"/>
      <c r="E11172" s="712"/>
      <c r="F11172" s="713"/>
      <c r="G11172" s="712"/>
      <c r="H11172" s="712"/>
      <c r="I11172" s="714"/>
      <c r="J11172" s="715"/>
      <c r="K11172" s="716"/>
      <c r="L11172" s="1978" t="s">
        <v>0</v>
      </c>
      <c r="M11172" s="1978"/>
      <c r="N11172" s="1978"/>
      <c r="O11172" s="1978"/>
      <c r="P11172" s="717"/>
    </row>
    <row r="11173" spans="1:17" ht="17.399999999999999">
      <c r="A11173" s="718" t="s">
        <v>1</v>
      </c>
      <c r="B11173" s="718"/>
      <c r="C11173" s="718"/>
      <c r="D11173" s="719" t="s">
        <v>2</v>
      </c>
      <c r="E11173" s="719"/>
      <c r="F11173" s="720"/>
      <c r="G11173" s="720"/>
      <c r="H11173" s="720"/>
      <c r="I11173" s="721"/>
      <c r="J11173" s="1509"/>
      <c r="K11173" s="723" t="s">
        <v>3</v>
      </c>
      <c r="L11173" s="1509"/>
      <c r="M11173" s="718"/>
      <c r="N11173" s="720"/>
      <c r="O11173" s="718"/>
      <c r="P11173" s="724"/>
    </row>
    <row r="11174" spans="1:17" ht="52.2">
      <c r="A11174" s="640" t="s">
        <v>4</v>
      </c>
      <c r="B11174" s="640" t="s">
        <v>5</v>
      </c>
      <c r="C11174" s="640" t="s">
        <v>6</v>
      </c>
      <c r="D11174" s="640" t="s">
        <v>7</v>
      </c>
      <c r="E11174" s="640" t="s">
        <v>8</v>
      </c>
      <c r="F11174" s="641" t="s">
        <v>9</v>
      </c>
      <c r="G11174" s="642" t="s">
        <v>10</v>
      </c>
      <c r="H11174" s="642" t="s">
        <v>11</v>
      </c>
      <c r="I11174" s="643" t="s">
        <v>12</v>
      </c>
      <c r="J11174" s="644" t="s">
        <v>13</v>
      </c>
      <c r="K11174" s="645" t="s">
        <v>14</v>
      </c>
      <c r="L11174" s="646" t="s">
        <v>15</v>
      </c>
      <c r="M11174" s="641" t="s">
        <v>16</v>
      </c>
      <c r="N11174" s="641" t="s">
        <v>17</v>
      </c>
      <c r="O11174" s="642" t="s">
        <v>18</v>
      </c>
      <c r="P11174" s="641" t="s">
        <v>192</v>
      </c>
    </row>
    <row r="11175" spans="1:17" s="1511" customFormat="1" ht="17.399999999999999">
      <c r="A11175" s="547" t="s">
        <v>445</v>
      </c>
      <c r="B11175" s="547" t="s">
        <v>786</v>
      </c>
      <c r="C11175" s="547" t="s">
        <v>19</v>
      </c>
      <c r="D11175" s="547" t="s">
        <v>20</v>
      </c>
      <c r="E11175" s="560" t="s">
        <v>464</v>
      </c>
      <c r="F11175" s="772">
        <v>9</v>
      </c>
      <c r="G11175" s="549" t="s">
        <v>21</v>
      </c>
      <c r="H11175" s="599" t="s">
        <v>69</v>
      </c>
      <c r="I11175" s="558">
        <v>6.85</v>
      </c>
      <c r="J11175" s="567">
        <v>11.5</v>
      </c>
      <c r="K11175" s="648">
        <v>446</v>
      </c>
      <c r="L11175" s="552">
        <f>(I11175*J11175*K11175/1000)</f>
        <v>35.133649999999996</v>
      </c>
      <c r="M11175" s="641"/>
      <c r="N11175" s="641"/>
      <c r="O11175" s="642"/>
      <c r="P11175" s="641"/>
      <c r="Q11175" s="1511" t="s">
        <v>1391</v>
      </c>
    </row>
    <row r="11176" spans="1:17" s="1511" customFormat="1" ht="17.399999999999999">
      <c r="A11176" s="547"/>
      <c r="B11176" s="754" t="s">
        <v>621</v>
      </c>
      <c r="C11176" s="780"/>
      <c r="D11176" s="547"/>
      <c r="E11176" s="547"/>
      <c r="F11176" s="772"/>
      <c r="G11176" s="549"/>
      <c r="H11176" s="549"/>
      <c r="I11176" s="558"/>
      <c r="J11176" s="567"/>
      <c r="K11176" s="648">
        <f t="shared" ref="K11176" si="2280">SUM(K11175)</f>
        <v>446</v>
      </c>
      <c r="L11176" s="552">
        <f>SUM(L11175)</f>
        <v>35.133649999999996</v>
      </c>
      <c r="M11176" s="641"/>
      <c r="N11176" s="641"/>
      <c r="O11176" s="642"/>
      <c r="P11176" s="549" t="s">
        <v>1332</v>
      </c>
    </row>
    <row r="11177" spans="1:17" s="1511" customFormat="1" ht="17.399999999999999">
      <c r="A11177" s="640"/>
      <c r="B11177" s="640"/>
      <c r="C11177" s="640"/>
      <c r="D11177" s="640"/>
      <c r="E11177" s="640"/>
      <c r="F11177" s="641"/>
      <c r="G11177" s="642"/>
      <c r="H11177" s="642"/>
      <c r="I11177" s="643"/>
      <c r="J11177" s="644"/>
      <c r="K11177" s="645"/>
      <c r="L11177" s="646"/>
      <c r="M11177" s="641"/>
      <c r="N11177" s="641"/>
      <c r="O11177" s="642"/>
      <c r="P11177" s="641"/>
    </row>
    <row r="11178" spans="1:17" s="1511" customFormat="1" ht="17.399999999999999">
      <c r="A11178" s="640"/>
      <c r="B11178" s="640"/>
      <c r="C11178" s="640"/>
      <c r="D11178" s="640"/>
      <c r="E11178" s="640"/>
      <c r="F11178" s="641"/>
      <c r="G11178" s="642"/>
      <c r="H11178" s="642"/>
      <c r="I11178" s="643"/>
      <c r="J11178" s="644"/>
      <c r="K11178" s="645"/>
      <c r="L11178" s="646"/>
      <c r="M11178" s="641"/>
      <c r="N11178" s="641"/>
      <c r="O11178" s="642"/>
      <c r="P11178" s="641"/>
    </row>
    <row r="11179" spans="1:17" s="1511" customFormat="1" ht="17.399999999999999">
      <c r="A11179" s="640"/>
      <c r="B11179" s="640"/>
      <c r="C11179" s="640"/>
      <c r="D11179" s="640"/>
      <c r="E11179" s="640"/>
      <c r="F11179" s="641"/>
      <c r="G11179" s="642"/>
      <c r="H11179" s="642"/>
      <c r="I11179" s="643"/>
      <c r="J11179" s="644"/>
      <c r="K11179" s="645"/>
      <c r="L11179" s="646"/>
      <c r="M11179" s="641"/>
      <c r="N11179" s="641"/>
      <c r="O11179" s="642"/>
      <c r="P11179" s="641"/>
    </row>
    <row r="11180" spans="1:17" s="1511" customFormat="1" ht="17.399999999999999">
      <c r="A11180" s="640"/>
      <c r="B11180" s="640"/>
      <c r="C11180" s="640"/>
      <c r="D11180" s="640"/>
      <c r="E11180" s="640"/>
      <c r="F11180" s="641"/>
      <c r="G11180" s="642"/>
      <c r="H11180" s="642"/>
      <c r="I11180" s="643"/>
      <c r="J11180" s="644"/>
      <c r="K11180" s="645"/>
      <c r="L11180" s="646"/>
      <c r="M11180" s="641"/>
      <c r="N11180" s="641"/>
      <c r="O11180" s="642"/>
      <c r="P11180" s="641"/>
    </row>
    <row r="11181" spans="1:17" s="1511" customFormat="1" ht="17.399999999999999">
      <c r="A11181" s="640"/>
      <c r="B11181" s="640"/>
      <c r="C11181" s="640"/>
      <c r="D11181" s="640"/>
      <c r="E11181" s="640"/>
      <c r="F11181" s="641"/>
      <c r="G11181" s="642"/>
      <c r="H11181" s="642"/>
      <c r="I11181" s="643"/>
      <c r="J11181" s="644"/>
      <c r="K11181" s="645"/>
      <c r="L11181" s="646"/>
      <c r="M11181" s="641"/>
      <c r="N11181" s="641"/>
      <c r="O11181" s="642"/>
      <c r="P11181" s="641"/>
    </row>
    <row r="11182" spans="1:17" ht="17.399999999999999">
      <c r="A11182" s="547" t="s">
        <v>458</v>
      </c>
      <c r="B11182" s="547" t="s">
        <v>1319</v>
      </c>
      <c r="C11182" s="547" t="s">
        <v>19</v>
      </c>
      <c r="D11182" s="813" t="s">
        <v>49</v>
      </c>
      <c r="E11182" s="547" t="s">
        <v>359</v>
      </c>
      <c r="F11182" s="772">
        <v>9</v>
      </c>
      <c r="G11182" s="549" t="s">
        <v>21</v>
      </c>
      <c r="H11182" s="900" t="s">
        <v>69</v>
      </c>
      <c r="I11182" s="1443">
        <v>6.86</v>
      </c>
      <c r="J11182" s="950">
        <v>7.1</v>
      </c>
      <c r="K11182" s="951">
        <v>191</v>
      </c>
      <c r="L11182" s="552">
        <f>(I11182*J11182*K11182/1000)</f>
        <v>9.3028460000000006</v>
      </c>
      <c r="M11182" s="567"/>
      <c r="N11182" s="549"/>
      <c r="O11182" s="549"/>
      <c r="P11182" s="549"/>
      <c r="Q11182" s="1511" t="s">
        <v>1391</v>
      </c>
    </row>
    <row r="11183" spans="1:17" ht="17.399999999999999">
      <c r="A11183" s="549"/>
      <c r="B11183" s="549" t="s">
        <v>277</v>
      </c>
      <c r="C11183" s="549"/>
      <c r="D11183" s="549"/>
      <c r="E11183" s="549"/>
      <c r="F11183" s="549"/>
      <c r="G11183" s="549" t="s">
        <v>21</v>
      </c>
      <c r="H11183" s="952" t="s">
        <v>69</v>
      </c>
      <c r="I11183" s="1443">
        <v>6.86</v>
      </c>
      <c r="J11183" s="950">
        <v>8.9499999999999993</v>
      </c>
      <c r="K11183" s="951">
        <v>194</v>
      </c>
      <c r="L11183" s="552">
        <f>(I11183*J11183*K11183/1000)</f>
        <v>11.911018</v>
      </c>
      <c r="M11183" s="567"/>
      <c r="N11183" s="549"/>
      <c r="O11183" s="549"/>
      <c r="P11183" s="549"/>
    </row>
    <row r="11184" spans="1:17" ht="17.399999999999999">
      <c r="A11184" s="549"/>
      <c r="B11184" s="549"/>
      <c r="C11184" s="549"/>
      <c r="D11184" s="549"/>
      <c r="E11184" s="549"/>
      <c r="F11184" s="952"/>
      <c r="G11184" s="549" t="s">
        <v>21</v>
      </c>
      <c r="H11184" s="952" t="s">
        <v>69</v>
      </c>
      <c r="I11184" s="1443">
        <v>6.86</v>
      </c>
      <c r="J11184" s="950">
        <v>11.2</v>
      </c>
      <c r="K11184" s="951">
        <v>256</v>
      </c>
      <c r="L11184" s="552">
        <f>(I11184*J11184*K11184/1000)</f>
        <v>19.668991999999999</v>
      </c>
      <c r="M11184" s="567"/>
      <c r="N11184" s="549"/>
      <c r="O11184" s="549"/>
      <c r="P11184" s="549"/>
    </row>
    <row r="11185" spans="1:18" s="1487" customFormat="1" ht="17.399999999999999">
      <c r="A11185" s="549"/>
      <c r="B11185" s="549"/>
      <c r="C11185" s="549"/>
      <c r="D11185" s="549"/>
      <c r="E11185" s="549"/>
      <c r="F11185" s="952"/>
      <c r="G11185" s="952"/>
      <c r="H11185" s="952"/>
      <c r="I11185" s="1443"/>
      <c r="J11185" s="950"/>
      <c r="K11185" s="951">
        <f>SUM(K11182:K11184)</f>
        <v>641</v>
      </c>
      <c r="L11185" s="950">
        <f>SUM(L11182:L11184)</f>
        <v>40.882856000000004</v>
      </c>
      <c r="M11185" s="549"/>
      <c r="N11185" s="549"/>
      <c r="O11185" s="549"/>
      <c r="P11185" s="549" t="s">
        <v>1333</v>
      </c>
    </row>
    <row r="11186" spans="1:18" s="1511" customFormat="1" ht="17.399999999999999">
      <c r="A11186" s="549"/>
      <c r="B11186" s="549"/>
      <c r="C11186" s="549"/>
      <c r="D11186" s="549"/>
      <c r="E11186" s="549"/>
      <c r="F11186" s="952"/>
      <c r="G11186" s="952"/>
      <c r="H11186" s="952"/>
      <c r="I11186" s="1443"/>
      <c r="J11186" s="950"/>
      <c r="K11186" s="951"/>
      <c r="L11186" s="950"/>
      <c r="M11186" s="549"/>
      <c r="N11186" s="549"/>
      <c r="O11186" s="549"/>
      <c r="P11186" s="549"/>
    </row>
    <row r="11187" spans="1:18" s="1487" customFormat="1" ht="17.399999999999999">
      <c r="A11187" s="549"/>
      <c r="B11187" s="549"/>
      <c r="C11187" s="549"/>
      <c r="D11187" s="549"/>
      <c r="E11187" s="549"/>
      <c r="F11187" s="952"/>
      <c r="G11187" s="952"/>
      <c r="H11187" s="952"/>
      <c r="I11187" s="1443"/>
      <c r="J11187" s="950"/>
      <c r="K11187" s="951"/>
      <c r="L11187" s="950"/>
      <c r="M11187" s="549"/>
      <c r="N11187" s="549"/>
      <c r="O11187" s="549"/>
      <c r="P11187" s="549"/>
    </row>
    <row r="11188" spans="1:18" ht="17.399999999999999">
      <c r="A11188" s="547" t="s">
        <v>458</v>
      </c>
      <c r="B11188" s="547" t="s">
        <v>1319</v>
      </c>
      <c r="C11188" s="547" t="s">
        <v>19</v>
      </c>
      <c r="D11188" s="813" t="s">
        <v>49</v>
      </c>
      <c r="E11188" s="547" t="s">
        <v>359</v>
      </c>
      <c r="F11188" s="772">
        <v>9</v>
      </c>
      <c r="G11188" s="549" t="s">
        <v>21</v>
      </c>
      <c r="H11188" s="900" t="s">
        <v>70</v>
      </c>
      <c r="I11188" s="1443">
        <v>5.77</v>
      </c>
      <c r="J11188" s="950">
        <v>7.5</v>
      </c>
      <c r="K11188" s="951">
        <v>124</v>
      </c>
      <c r="L11188" s="552">
        <f>(I11188*J11188*K11188/1000)</f>
        <v>5.3660999999999994</v>
      </c>
      <c r="M11188" s="567"/>
      <c r="N11188" s="549"/>
      <c r="O11188" s="549"/>
      <c r="P11188" s="549"/>
      <c r="Q11188" s="1511" t="s">
        <v>1393</v>
      </c>
    </row>
    <row r="11189" spans="1:18" ht="17.399999999999999">
      <c r="A11189" s="549"/>
      <c r="B11189" s="549" t="s">
        <v>277</v>
      </c>
      <c r="C11189" s="549"/>
      <c r="D11189" s="549"/>
      <c r="E11189" s="549"/>
      <c r="F11189" s="549"/>
      <c r="G11189" s="549" t="s">
        <v>21</v>
      </c>
      <c r="H11189" s="952" t="s">
        <v>70</v>
      </c>
      <c r="I11189" s="1443">
        <v>5.77</v>
      </c>
      <c r="J11189" s="950">
        <v>10</v>
      </c>
      <c r="K11189" s="951">
        <v>426</v>
      </c>
      <c r="L11189" s="552">
        <f>(I11189*J11189*K11189/1000)</f>
        <v>24.580199999999998</v>
      </c>
      <c r="M11189" s="567"/>
      <c r="N11189" s="549"/>
      <c r="O11189" s="549"/>
      <c r="P11189" s="647"/>
      <c r="Q11189" s="1511" t="s">
        <v>1395</v>
      </c>
    </row>
    <row r="11190" spans="1:18" ht="17.399999999999999">
      <c r="A11190" s="549"/>
      <c r="B11190" s="549"/>
      <c r="C11190" s="549"/>
      <c r="D11190" s="549"/>
      <c r="E11190" s="549"/>
      <c r="F11190" s="952"/>
      <c r="G11190" s="549" t="s">
        <v>21</v>
      </c>
      <c r="H11190" s="952" t="s">
        <v>70</v>
      </c>
      <c r="I11190" s="1443">
        <v>5.77</v>
      </c>
      <c r="J11190" s="950">
        <v>11</v>
      </c>
      <c r="K11190" s="951">
        <v>82</v>
      </c>
      <c r="L11190" s="552">
        <f>(I11190*J11190*K11190/1000)</f>
        <v>5.2045399999999997</v>
      </c>
      <c r="M11190" s="567"/>
      <c r="N11190" s="549"/>
      <c r="O11190" s="549"/>
      <c r="P11190" s="647"/>
    </row>
    <row r="11191" spans="1:18" ht="17.399999999999999">
      <c r="A11191" s="549"/>
      <c r="B11191" s="549"/>
      <c r="C11191" s="549"/>
      <c r="D11191" s="549"/>
      <c r="E11191" s="549"/>
      <c r="F11191" s="952"/>
      <c r="G11191" s="549" t="s">
        <v>21</v>
      </c>
      <c r="H11191" s="952" t="s">
        <v>70</v>
      </c>
      <c r="I11191" s="1443">
        <v>5.77</v>
      </c>
      <c r="J11191" s="950">
        <v>11.5</v>
      </c>
      <c r="K11191" s="951">
        <v>263</v>
      </c>
      <c r="L11191" s="552">
        <f>(I11191*J11191*K11191/1000)</f>
        <v>17.451364999999999</v>
      </c>
      <c r="M11191" s="567"/>
      <c r="N11191" s="549"/>
      <c r="O11191" s="549"/>
      <c r="P11191" s="549"/>
    </row>
    <row r="11192" spans="1:18" ht="17.399999999999999">
      <c r="A11192" s="549"/>
      <c r="B11192" s="549"/>
      <c r="C11192" s="549"/>
      <c r="D11192" s="549"/>
      <c r="E11192" s="549"/>
      <c r="F11192" s="952"/>
      <c r="G11192" s="549" t="s">
        <v>21</v>
      </c>
      <c r="H11192" s="952" t="s">
        <v>70</v>
      </c>
      <c r="I11192" s="1443">
        <v>5.77</v>
      </c>
      <c r="J11192" s="950">
        <v>12</v>
      </c>
      <c r="K11192" s="951">
        <v>290</v>
      </c>
      <c r="L11192" s="552">
        <f>(I11192*J11192*K11192/1000)</f>
        <v>20.079599999999999</v>
      </c>
      <c r="M11192" s="567"/>
      <c r="N11192" s="549"/>
      <c r="O11192" s="549"/>
      <c r="P11192" s="549"/>
    </row>
    <row r="11193" spans="1:18" s="1487" customFormat="1" ht="17.399999999999999">
      <c r="A11193" s="549"/>
      <c r="B11193" s="549"/>
      <c r="C11193" s="549"/>
      <c r="D11193" s="549"/>
      <c r="E11193" s="549"/>
      <c r="F11193" s="952"/>
      <c r="G11193" s="952"/>
      <c r="H11193" s="952"/>
      <c r="I11193" s="1443"/>
      <c r="J11193" s="950"/>
      <c r="K11193" s="951">
        <f>SUM(K11188:K11192)</f>
        <v>1185</v>
      </c>
      <c r="L11193" s="950">
        <f>SUM(L11188:L11192)</f>
        <v>72.681804999999997</v>
      </c>
      <c r="M11193" s="549"/>
      <c r="N11193" s="549"/>
      <c r="O11193" s="549"/>
      <c r="P11193" s="549" t="s">
        <v>1334</v>
      </c>
    </row>
    <row r="11194" spans="1:18" s="1487" customFormat="1" ht="17.399999999999999">
      <c r="A11194" s="549"/>
      <c r="B11194" s="549"/>
      <c r="C11194" s="549"/>
      <c r="D11194" s="549"/>
      <c r="E11194" s="549"/>
      <c r="F11194" s="952"/>
      <c r="G11194" s="952"/>
      <c r="H11194" s="952"/>
      <c r="I11194" s="1443"/>
      <c r="J11194" s="950"/>
      <c r="K11194" s="951"/>
      <c r="L11194" s="950"/>
      <c r="M11194" s="549"/>
      <c r="N11194" s="549"/>
      <c r="O11194" s="549"/>
      <c r="P11194" s="549"/>
    </row>
    <row r="11195" spans="1:18" ht="17.399999999999999">
      <c r="A11195" s="549"/>
      <c r="B11195" s="549"/>
      <c r="C11195" s="549"/>
      <c r="D11195" s="549"/>
      <c r="E11195" s="549"/>
      <c r="F11195" s="549"/>
      <c r="G11195" s="549"/>
      <c r="H11195" s="549"/>
      <c r="I11195" s="560"/>
      <c r="J11195" s="549"/>
      <c r="K11195" s="561"/>
      <c r="L11195" s="560"/>
      <c r="M11195" s="549"/>
      <c r="N11195" s="549"/>
      <c r="O11195" s="549"/>
      <c r="P11195" s="549"/>
    </row>
    <row r="11196" spans="1:18" ht="18">
      <c r="A11196" s="547" t="s">
        <v>458</v>
      </c>
      <c r="B11196" s="547" t="s">
        <v>1319</v>
      </c>
      <c r="C11196" s="547" t="s">
        <v>19</v>
      </c>
      <c r="D11196" s="813" t="s">
        <v>49</v>
      </c>
      <c r="E11196" s="547" t="s">
        <v>359</v>
      </c>
      <c r="F11196" s="772">
        <v>9</v>
      </c>
      <c r="G11196" s="549" t="s">
        <v>21</v>
      </c>
      <c r="H11196" s="900" t="s">
        <v>713</v>
      </c>
      <c r="I11196" s="1443">
        <v>4.6500000000000004</v>
      </c>
      <c r="J11196" s="950">
        <v>7.5</v>
      </c>
      <c r="K11196" s="729">
        <v>66</v>
      </c>
      <c r="L11196" s="552">
        <f>(I11196*J11196*K11196/1000)</f>
        <v>2.3017500000000002</v>
      </c>
      <c r="M11196" s="567"/>
      <c r="N11196" s="549"/>
      <c r="O11196" s="549"/>
      <c r="P11196" s="549"/>
      <c r="Q11196" s="1511" t="s">
        <v>1389</v>
      </c>
      <c r="R11196" s="126"/>
    </row>
    <row r="11197" spans="1:18" ht="18">
      <c r="A11197" s="549"/>
      <c r="B11197" s="549" t="s">
        <v>277</v>
      </c>
      <c r="C11197" s="549"/>
      <c r="D11197" s="549"/>
      <c r="E11197" s="549"/>
      <c r="F11197" s="549"/>
      <c r="G11197" s="549" t="s">
        <v>21</v>
      </c>
      <c r="H11197" s="952" t="s">
        <v>713</v>
      </c>
      <c r="I11197" s="1443">
        <v>4.6500000000000004</v>
      </c>
      <c r="J11197" s="950">
        <v>10.5</v>
      </c>
      <c r="K11197" s="729">
        <v>210</v>
      </c>
      <c r="L11197" s="552">
        <f>(I11197*J11197*K11197/1000)</f>
        <v>10.25325</v>
      </c>
      <c r="M11197" s="567"/>
      <c r="N11197" s="549"/>
      <c r="O11197" s="549"/>
      <c r="P11197" s="549"/>
      <c r="R11197" s="126"/>
    </row>
    <row r="11198" spans="1:18" ht="18">
      <c r="A11198" s="549"/>
      <c r="B11198" s="549"/>
      <c r="C11198" s="549"/>
      <c r="D11198" s="549"/>
      <c r="E11198" s="549"/>
      <c r="F11198" s="952"/>
      <c r="G11198" s="549" t="s">
        <v>21</v>
      </c>
      <c r="H11198" s="952" t="s">
        <v>713</v>
      </c>
      <c r="I11198" s="1443">
        <v>4.6500000000000004</v>
      </c>
      <c r="J11198" s="950">
        <v>11.5</v>
      </c>
      <c r="K11198" s="729">
        <v>216</v>
      </c>
      <c r="L11198" s="552">
        <f>(I11198*J11198*K11198/1000)</f>
        <v>11.550600000000001</v>
      </c>
      <c r="M11198" s="567"/>
      <c r="N11198" s="549"/>
      <c r="O11198" s="549"/>
      <c r="P11198" s="549"/>
      <c r="R11198" s="126"/>
    </row>
    <row r="11199" spans="1:18" s="1487" customFormat="1" ht="17.399999999999999">
      <c r="A11199" s="549"/>
      <c r="B11199" s="549"/>
      <c r="C11199" s="549"/>
      <c r="D11199" s="549"/>
      <c r="E11199" s="549"/>
      <c r="F11199" s="952"/>
      <c r="G11199" s="952"/>
      <c r="H11199" s="952"/>
      <c r="I11199" s="1443"/>
      <c r="J11199" s="950"/>
      <c r="K11199" s="951">
        <f>SUM(K11196:K11198)</f>
        <v>492</v>
      </c>
      <c r="L11199" s="950">
        <f>SUM(L11196:L11198)</f>
        <v>24.105600000000003</v>
      </c>
      <c r="M11199" s="549" t="s">
        <v>1336</v>
      </c>
      <c r="N11199" s="549"/>
      <c r="O11199" s="549"/>
      <c r="P11199" s="549" t="s">
        <v>1335</v>
      </c>
      <c r="Q11199" s="951"/>
      <c r="R11199" s="950"/>
    </row>
    <row r="11200" spans="1:18" s="1487" customFormat="1" ht="17.399999999999999">
      <c r="A11200" s="549"/>
      <c r="B11200" s="549"/>
      <c r="C11200" s="549"/>
      <c r="D11200" s="549"/>
      <c r="E11200" s="549"/>
      <c r="F11200" s="952"/>
      <c r="G11200" s="952"/>
      <c r="H11200" s="952"/>
      <c r="I11200" s="1443"/>
      <c r="J11200" s="950"/>
      <c r="K11200" s="951"/>
      <c r="L11200" s="950"/>
      <c r="M11200" s="549"/>
      <c r="N11200" s="549"/>
      <c r="O11200" s="549"/>
      <c r="P11200" s="549"/>
    </row>
    <row r="11201" spans="1:19" s="1511" customFormat="1" ht="17.399999999999999">
      <c r="A11201" s="549"/>
      <c r="B11201" s="549"/>
      <c r="C11201" s="549"/>
      <c r="D11201" s="549"/>
      <c r="E11201" s="549"/>
      <c r="F11201" s="952"/>
      <c r="G11201" s="952"/>
      <c r="H11201" s="952"/>
      <c r="I11201" s="1443"/>
      <c r="J11201" s="950"/>
      <c r="K11201" s="951"/>
      <c r="L11201" s="950"/>
      <c r="M11201" s="549"/>
      <c r="N11201" s="549"/>
      <c r="O11201" s="549"/>
      <c r="P11201" s="549"/>
    </row>
    <row r="11202" spans="1:19" s="1487" customFormat="1" ht="17.399999999999999">
      <c r="A11202" s="549"/>
      <c r="B11202" s="549"/>
      <c r="C11202" s="549"/>
      <c r="D11202" s="549"/>
      <c r="E11202" s="549"/>
      <c r="F11202" s="952"/>
      <c r="G11202" s="952"/>
      <c r="H11202" s="952"/>
      <c r="I11202" s="1443"/>
      <c r="J11202" s="950"/>
      <c r="K11202" s="951"/>
      <c r="L11202" s="950"/>
      <c r="M11202" s="549"/>
      <c r="N11202" s="549"/>
      <c r="O11202" s="549"/>
      <c r="P11202" s="549"/>
    </row>
    <row r="11203" spans="1:19" ht="18">
      <c r="A11203" s="547" t="s">
        <v>272</v>
      </c>
      <c r="B11203" s="547" t="s">
        <v>1321</v>
      </c>
      <c r="C11203" s="547" t="s">
        <v>446</v>
      </c>
      <c r="D11203" s="813" t="s">
        <v>450</v>
      </c>
      <c r="E11203" s="547" t="s">
        <v>270</v>
      </c>
      <c r="F11203" s="549">
        <v>7</v>
      </c>
      <c r="G11203" s="952" t="s">
        <v>61</v>
      </c>
      <c r="H11203" s="900" t="s">
        <v>69</v>
      </c>
      <c r="I11203" s="1443">
        <v>6.86</v>
      </c>
      <c r="J11203" s="1356">
        <v>10.5</v>
      </c>
      <c r="K11203" s="1357">
        <v>17</v>
      </c>
      <c r="L11203" s="552">
        <f>(I11203*J11203*K11203/1000)</f>
        <v>1.22451</v>
      </c>
      <c r="M11203" s="898"/>
      <c r="N11203" s="898"/>
      <c r="O11203" s="898"/>
      <c r="P11203" s="898"/>
      <c r="Q11203" s="497">
        <v>13</v>
      </c>
      <c r="R11203" s="126">
        <f t="shared" ref="R11203:R11204" si="2281">J11203*Q11203*I11203/1000</f>
        <v>0.93639000000000006</v>
      </c>
      <c r="S11203" s="1511" t="s">
        <v>1389</v>
      </c>
    </row>
    <row r="11204" spans="1:19" ht="18">
      <c r="A11204" s="898"/>
      <c r="B11204" s="898"/>
      <c r="C11204" s="898"/>
      <c r="D11204" s="898"/>
      <c r="E11204" s="898"/>
      <c r="F11204" s="898"/>
      <c r="G11204" s="952" t="s">
        <v>61</v>
      </c>
      <c r="H11204" s="952" t="s">
        <v>69</v>
      </c>
      <c r="I11204" s="1443">
        <v>6.86</v>
      </c>
      <c r="J11204" s="1356">
        <v>12</v>
      </c>
      <c r="K11204" s="1357">
        <v>112</v>
      </c>
      <c r="L11204" s="552">
        <f>(I11204*J11204*K11204/1000)</f>
        <v>9.2198399999999996</v>
      </c>
      <c r="M11204" s="898"/>
      <c r="N11204" s="898"/>
      <c r="O11204" s="898"/>
      <c r="P11204" s="898"/>
      <c r="Q11204" s="497">
        <f>32+34+4</f>
        <v>70</v>
      </c>
      <c r="R11204" s="126">
        <f t="shared" si="2281"/>
        <v>5.7624000000000004</v>
      </c>
    </row>
    <row r="11205" spans="1:19" ht="18">
      <c r="A11205" s="898"/>
      <c r="B11205" s="898"/>
      <c r="C11205" s="898"/>
      <c r="D11205" s="898"/>
      <c r="E11205" s="898"/>
      <c r="F11205" s="898"/>
      <c r="G11205" s="898"/>
      <c r="H11205" s="898"/>
      <c r="I11205" s="920"/>
      <c r="J11205" s="898"/>
      <c r="K11205" s="921">
        <f t="shared" ref="K11205" si="2282">SUM(K11203:K11204)</f>
        <v>129</v>
      </c>
      <c r="L11205" s="782">
        <f>SUM(L11203:L11204)</f>
        <v>10.44435</v>
      </c>
      <c r="M11205" s="898"/>
      <c r="N11205" s="898"/>
      <c r="O11205" s="898"/>
      <c r="P11205" s="549" t="s">
        <v>1338</v>
      </c>
      <c r="Q11205" s="921">
        <f t="shared" ref="Q11205" si="2283">SUM(Q11203:Q11204)</f>
        <v>83</v>
      </c>
      <c r="R11205" s="782">
        <f>SUM(R11203:R11204)</f>
        <v>6.6987900000000007</v>
      </c>
    </row>
    <row r="11206" spans="1:19" ht="18">
      <c r="A11206" s="898"/>
      <c r="B11206" s="898"/>
      <c r="C11206" s="898"/>
      <c r="D11206" s="898"/>
      <c r="E11206" s="898"/>
      <c r="F11206" s="898"/>
      <c r="G11206" s="898"/>
      <c r="H11206" s="898"/>
      <c r="I11206" s="920"/>
      <c r="J11206" s="898"/>
      <c r="K11206" s="921"/>
      <c r="L11206" s="920"/>
      <c r="M11206" s="898"/>
      <c r="N11206" s="898"/>
      <c r="O11206" s="898"/>
      <c r="P11206" s="898"/>
      <c r="R11206" s="126"/>
    </row>
    <row r="11207" spans="1:19" ht="17.399999999999999">
      <c r="A11207" s="547" t="s">
        <v>458</v>
      </c>
      <c r="B11207" s="547" t="s">
        <v>1319</v>
      </c>
      <c r="C11207" s="547" t="s">
        <v>19</v>
      </c>
      <c r="D11207" s="813" t="s">
        <v>155</v>
      </c>
      <c r="E11207" s="547" t="s">
        <v>270</v>
      </c>
      <c r="F11207" s="772">
        <v>7</v>
      </c>
      <c r="G11207" s="952" t="s">
        <v>61</v>
      </c>
      <c r="H11207" s="900" t="s">
        <v>69</v>
      </c>
      <c r="I11207" s="1443">
        <v>6.86</v>
      </c>
      <c r="J11207" s="950">
        <v>11.85</v>
      </c>
      <c r="K11207" s="951">
        <v>63</v>
      </c>
      <c r="L11207" s="552">
        <f>(I11207*J11207*K11207/1000)</f>
        <v>5.1213329999999999</v>
      </c>
      <c r="M11207" s="567"/>
      <c r="N11207" s="549"/>
      <c r="O11207" s="549"/>
      <c r="P11207" s="549"/>
      <c r="Q11207" s="497">
        <v>20</v>
      </c>
      <c r="R11207" s="126">
        <f>J11207*Q11207*I11207/1000</f>
        <v>1.6258200000000003</v>
      </c>
      <c r="S11207" s="1511" t="s">
        <v>1389</v>
      </c>
    </row>
    <row r="11208" spans="1:19" ht="17.399999999999999">
      <c r="A11208" s="549"/>
      <c r="B11208" s="549" t="s">
        <v>277</v>
      </c>
      <c r="C11208" s="549"/>
      <c r="D11208" s="549"/>
      <c r="E11208" s="549"/>
      <c r="F11208" s="549"/>
      <c r="G11208" s="549"/>
      <c r="H11208" s="549"/>
      <c r="I11208" s="560"/>
      <c r="J11208" s="549"/>
      <c r="K11208" s="561">
        <f t="shared" ref="K11208" si="2284">SUM(K11207)</f>
        <v>63</v>
      </c>
      <c r="L11208" s="565">
        <f>SUM(L11207)</f>
        <v>5.1213329999999999</v>
      </c>
      <c r="M11208" s="549"/>
      <c r="N11208" s="549"/>
      <c r="O11208" s="549"/>
      <c r="P11208" s="549" t="s">
        <v>1339</v>
      </c>
      <c r="Q11208" s="561">
        <f t="shared" ref="Q11208" si="2285">SUM(Q11207)</f>
        <v>20</v>
      </c>
      <c r="R11208" s="565">
        <f>SUM(R11207)</f>
        <v>1.6258200000000003</v>
      </c>
    </row>
    <row r="11209" spans="1:19" ht="17.399999999999999">
      <c r="A11209" s="549"/>
      <c r="B11209" s="549"/>
      <c r="C11209" s="549"/>
      <c r="D11209" s="549"/>
      <c r="E11209" s="549"/>
      <c r="F11209" s="549"/>
      <c r="G11209" s="549"/>
      <c r="H11209" s="549"/>
      <c r="I11209" s="560"/>
      <c r="J11209" s="549"/>
      <c r="K11209" s="561"/>
      <c r="L11209" s="565">
        <f>+L11208+L11205</f>
        <v>15.565683</v>
      </c>
      <c r="M11209" s="549"/>
      <c r="N11209" s="549"/>
      <c r="O11209" s="549"/>
      <c r="P11209" s="549"/>
    </row>
    <row r="11210" spans="1:19" ht="17.399999999999999">
      <c r="A11210" s="549"/>
      <c r="B11210" s="549"/>
      <c r="C11210" s="549"/>
      <c r="D11210" s="549"/>
      <c r="E11210" s="549"/>
      <c r="F11210" s="549"/>
      <c r="G11210" s="549"/>
      <c r="H11210" s="549"/>
      <c r="I11210" s="560"/>
      <c r="J11210" s="549"/>
      <c r="K11210" s="561"/>
      <c r="L11210" s="561"/>
      <c r="M11210" s="549"/>
      <c r="N11210" s="549"/>
      <c r="O11210" s="549"/>
      <c r="P11210" s="549"/>
    </row>
    <row r="11211" spans="1:19" ht="17.399999999999999">
      <c r="A11211" s="549"/>
      <c r="B11211" s="549"/>
      <c r="C11211" s="549"/>
      <c r="D11211" s="549"/>
      <c r="E11211" s="549"/>
      <c r="F11211" s="549"/>
      <c r="G11211" s="549"/>
      <c r="H11211" s="549"/>
      <c r="I11211" s="560"/>
      <c r="J11211" s="549"/>
      <c r="K11211" s="561"/>
      <c r="L11211" s="565"/>
      <c r="M11211" s="549"/>
      <c r="N11211" s="549"/>
      <c r="O11211" s="549"/>
      <c r="P11211" s="549"/>
    </row>
    <row r="11212" spans="1:19" ht="18">
      <c r="A11212" s="898"/>
      <c r="B11212" s="898"/>
      <c r="C11212" s="898"/>
      <c r="D11212" s="898"/>
      <c r="E11212" s="898"/>
      <c r="F11212" s="898"/>
      <c r="G11212" s="898"/>
      <c r="H11212" s="898"/>
      <c r="I11212" s="920"/>
      <c r="J11212" s="898"/>
      <c r="K11212" s="921"/>
      <c r="L11212" s="921"/>
      <c r="M11212" s="898"/>
      <c r="N11212" s="898"/>
      <c r="O11212" s="898"/>
      <c r="P11212" s="898"/>
    </row>
    <row r="11213" spans="1:19" ht="18">
      <c r="A11213" s="547" t="s">
        <v>272</v>
      </c>
      <c r="B11213" s="547" t="s">
        <v>1321</v>
      </c>
      <c r="C11213" s="547" t="s">
        <v>446</v>
      </c>
      <c r="D11213" s="813" t="s">
        <v>450</v>
      </c>
      <c r="E11213" s="547" t="s">
        <v>270</v>
      </c>
      <c r="F11213" s="549">
        <v>7</v>
      </c>
      <c r="G11213" s="952" t="s">
        <v>61</v>
      </c>
      <c r="H11213" s="900" t="s">
        <v>70</v>
      </c>
      <c r="I11213" s="1443">
        <v>5.77</v>
      </c>
      <c r="J11213" s="1356">
        <v>10.5</v>
      </c>
      <c r="K11213" s="1357">
        <v>18</v>
      </c>
      <c r="L11213" s="552">
        <f>(I11213*J11213*K11213/1000)</f>
        <v>1.09053</v>
      </c>
      <c r="M11213" s="898"/>
      <c r="N11213" s="898"/>
      <c r="O11213" s="898"/>
      <c r="P11213" s="898"/>
      <c r="Q11213" s="1511" t="s">
        <v>1389</v>
      </c>
    </row>
    <row r="11214" spans="1:19" ht="18">
      <c r="A11214" s="898"/>
      <c r="B11214" s="898"/>
      <c r="C11214" s="898"/>
      <c r="D11214" s="898"/>
      <c r="E11214" s="898"/>
      <c r="F11214" s="898"/>
      <c r="G11214" s="952" t="s">
        <v>61</v>
      </c>
      <c r="H11214" s="952" t="s">
        <v>70</v>
      </c>
      <c r="I11214" s="1443">
        <v>5.77</v>
      </c>
      <c r="J11214" s="1356">
        <v>12</v>
      </c>
      <c r="K11214" s="1357">
        <v>89</v>
      </c>
      <c r="L11214" s="552">
        <f>(I11214*J11214*K11214/1000)</f>
        <v>6.1623599999999996</v>
      </c>
      <c r="M11214" s="898"/>
      <c r="N11214" s="898"/>
      <c r="O11214" s="898"/>
      <c r="P11214" s="898"/>
    </row>
    <row r="11215" spans="1:19" ht="18">
      <c r="A11215" s="898"/>
      <c r="B11215" s="898"/>
      <c r="C11215" s="898"/>
      <c r="D11215" s="898"/>
      <c r="E11215" s="898"/>
      <c r="F11215" s="898"/>
      <c r="G11215" s="898"/>
      <c r="H11215" s="898"/>
      <c r="I11215" s="920"/>
      <c r="J11215" s="898"/>
      <c r="K11215" s="921">
        <f>SUM(K11213:K11214)</f>
        <v>107</v>
      </c>
      <c r="L11215" s="782">
        <f>SUM(L11213:L11214)</f>
        <v>7.2528899999999998</v>
      </c>
      <c r="M11215" s="898"/>
      <c r="N11215" s="898"/>
      <c r="O11215" s="898"/>
      <c r="P11215" s="549" t="s">
        <v>1337</v>
      </c>
    </row>
    <row r="11216" spans="1:19" s="1511" customFormat="1" ht="18">
      <c r="A11216" s="898"/>
      <c r="B11216" s="898"/>
      <c r="C11216" s="898"/>
      <c r="D11216" s="898"/>
      <c r="E11216" s="898"/>
      <c r="F11216" s="898"/>
      <c r="G11216" s="898"/>
      <c r="H11216" s="898"/>
      <c r="I11216" s="920"/>
      <c r="J11216" s="898"/>
      <c r="K11216" s="921"/>
      <c r="L11216" s="782"/>
      <c r="M11216" s="898"/>
      <c r="N11216" s="898"/>
      <c r="O11216" s="898"/>
      <c r="P11216" s="898"/>
    </row>
    <row r="11217" spans="1:17" s="1511" customFormat="1" ht="18">
      <c r="A11217" s="898"/>
      <c r="B11217" s="898"/>
      <c r="C11217" s="898"/>
      <c r="D11217" s="898"/>
      <c r="E11217" s="898"/>
      <c r="F11217" s="898"/>
      <c r="G11217" s="898"/>
      <c r="H11217" s="898"/>
      <c r="I11217" s="920"/>
      <c r="J11217" s="898"/>
      <c r="K11217" s="921"/>
      <c r="L11217" s="782"/>
      <c r="M11217" s="898"/>
      <c r="N11217" s="898"/>
      <c r="O11217" s="898"/>
      <c r="P11217" s="898"/>
    </row>
    <row r="11218" spans="1:17" ht="18">
      <c r="A11218" s="898"/>
      <c r="B11218" s="898"/>
      <c r="C11218" s="898"/>
      <c r="D11218" s="898"/>
      <c r="E11218" s="898"/>
      <c r="F11218" s="898"/>
      <c r="G11218" s="898"/>
      <c r="H11218" s="898"/>
      <c r="I11218" s="920"/>
      <c r="J11218" s="898"/>
      <c r="K11218" s="921"/>
      <c r="L11218" s="921"/>
      <c r="M11218" s="898"/>
      <c r="N11218" s="898"/>
      <c r="O11218" s="898"/>
      <c r="P11218" s="898"/>
    </row>
    <row r="11219" spans="1:17" ht="17.399999999999999">
      <c r="A11219" s="547" t="s">
        <v>395</v>
      </c>
      <c r="B11219" s="852" t="s">
        <v>1322</v>
      </c>
      <c r="C11219" s="547" t="s">
        <v>19</v>
      </c>
      <c r="D11219" s="813" t="s">
        <v>582</v>
      </c>
      <c r="E11219" s="547" t="s">
        <v>270</v>
      </c>
      <c r="F11219" s="549">
        <v>7</v>
      </c>
      <c r="G11219" s="549" t="s">
        <v>61</v>
      </c>
      <c r="H11219" s="599" t="s">
        <v>274</v>
      </c>
      <c r="I11219" s="1427">
        <v>9</v>
      </c>
      <c r="J11219" s="710">
        <v>12</v>
      </c>
      <c r="K11219" s="1357">
        <v>81</v>
      </c>
      <c r="L11219" s="552">
        <f>(I11219*J11219*K11219/1000)</f>
        <v>8.7479999999999993</v>
      </c>
      <c r="M11219" s="549"/>
      <c r="N11219" s="549"/>
      <c r="O11219" s="549"/>
      <c r="P11219" s="549"/>
      <c r="Q11219" s="1511" t="s">
        <v>1402</v>
      </c>
    </row>
    <row r="11220" spans="1:17" ht="17.399999999999999">
      <c r="A11220" s="549"/>
      <c r="B11220" s="549" t="s">
        <v>271</v>
      </c>
      <c r="C11220" s="549"/>
      <c r="D11220" s="549"/>
      <c r="E11220" s="549"/>
      <c r="F11220" s="549"/>
      <c r="G11220" s="549"/>
      <c r="H11220" s="549"/>
      <c r="I11220" s="1427"/>
      <c r="J11220" s="710"/>
      <c r="K11220" s="652">
        <f>SUM(K11219:K11219)</f>
        <v>81</v>
      </c>
      <c r="L11220" s="709">
        <f>SUM(L11219:L11219)</f>
        <v>8.7479999999999993</v>
      </c>
      <c r="M11220" s="549"/>
      <c r="N11220" s="549"/>
      <c r="O11220" s="549"/>
      <c r="P11220" s="549" t="s">
        <v>1340</v>
      </c>
    </row>
    <row r="11221" spans="1:17" s="1511" customFormat="1" ht="17.399999999999999">
      <c r="A11221" s="549"/>
      <c r="B11221" s="549"/>
      <c r="C11221" s="549"/>
      <c r="D11221" s="549"/>
      <c r="E11221" s="549"/>
      <c r="F11221" s="549"/>
      <c r="G11221" s="549"/>
      <c r="H11221" s="549"/>
      <c r="I11221" s="1427"/>
      <c r="J11221" s="710"/>
      <c r="K11221" s="652"/>
      <c r="L11221" s="709"/>
      <c r="M11221" s="549"/>
      <c r="N11221" s="549"/>
      <c r="O11221" s="549"/>
      <c r="P11221" s="549"/>
    </row>
    <row r="11222" spans="1:17" s="1511" customFormat="1" ht="17.399999999999999">
      <c r="A11222" s="547" t="s">
        <v>395</v>
      </c>
      <c r="B11222" s="852" t="s">
        <v>1341</v>
      </c>
      <c r="C11222" s="547" t="s">
        <v>19</v>
      </c>
      <c r="D11222" s="813" t="s">
        <v>582</v>
      </c>
      <c r="E11222" s="547" t="s">
        <v>270</v>
      </c>
      <c r="F11222" s="549">
        <v>7</v>
      </c>
      <c r="G11222" s="549" t="s">
        <v>61</v>
      </c>
      <c r="H11222" s="599" t="s">
        <v>274</v>
      </c>
      <c r="I11222" s="1427">
        <v>9</v>
      </c>
      <c r="J11222" s="1543">
        <v>10</v>
      </c>
      <c r="K11222" s="1537">
        <v>11</v>
      </c>
      <c r="L11222" s="552">
        <f t="shared" ref="L11222:L11226" si="2286">(I11222*J11222*K11222/1000)</f>
        <v>0.99</v>
      </c>
      <c r="M11222" s="549"/>
      <c r="N11222" s="549"/>
      <c r="O11222" s="549"/>
      <c r="P11222" s="549"/>
      <c r="Q11222" s="1511" t="s">
        <v>1402</v>
      </c>
    </row>
    <row r="11223" spans="1:17" s="1511" customFormat="1" ht="17.399999999999999">
      <c r="A11223" s="549"/>
      <c r="B11223" s="549" t="s">
        <v>271</v>
      </c>
      <c r="C11223" s="549"/>
      <c r="D11223" s="549"/>
      <c r="E11223" s="549"/>
      <c r="F11223" s="549"/>
      <c r="G11223" s="549" t="s">
        <v>61</v>
      </c>
      <c r="H11223" s="550" t="s">
        <v>274</v>
      </c>
      <c r="I11223" s="1427">
        <v>9</v>
      </c>
      <c r="J11223" s="1543">
        <v>10.5</v>
      </c>
      <c r="K11223" s="1537">
        <v>1</v>
      </c>
      <c r="L11223" s="552">
        <f t="shared" si="2286"/>
        <v>9.4500000000000001E-2</v>
      </c>
      <c r="M11223" s="549"/>
      <c r="N11223" s="549"/>
      <c r="O11223" s="549"/>
      <c r="P11223" s="549"/>
    </row>
    <row r="11224" spans="1:17" s="1511" customFormat="1" ht="17.399999999999999">
      <c r="A11224" s="549"/>
      <c r="B11224" s="549"/>
      <c r="C11224" s="549"/>
      <c r="D11224" s="549"/>
      <c r="E11224" s="549"/>
      <c r="F11224" s="549"/>
      <c r="G11224" s="549" t="s">
        <v>61</v>
      </c>
      <c r="H11224" s="550" t="s">
        <v>274</v>
      </c>
      <c r="I11224" s="1427">
        <v>9</v>
      </c>
      <c r="J11224" s="1543">
        <v>11</v>
      </c>
      <c r="K11224" s="1537">
        <v>6</v>
      </c>
      <c r="L11224" s="552">
        <f t="shared" si="2286"/>
        <v>0.59399999999999997</v>
      </c>
      <c r="M11224" s="549"/>
      <c r="N11224" s="549"/>
      <c r="O11224" s="549"/>
      <c r="P11224" s="549"/>
    </row>
    <row r="11225" spans="1:17" s="1511" customFormat="1" ht="17.399999999999999">
      <c r="A11225" s="549"/>
      <c r="B11225" s="549"/>
      <c r="C11225" s="549"/>
      <c r="D11225" s="549"/>
      <c r="E11225" s="549"/>
      <c r="F11225" s="549"/>
      <c r="G11225" s="549" t="s">
        <v>61</v>
      </c>
      <c r="H11225" s="550" t="s">
        <v>274</v>
      </c>
      <c r="I11225" s="1427">
        <v>9</v>
      </c>
      <c r="J11225" s="1543">
        <v>11.5</v>
      </c>
      <c r="K11225" s="1537">
        <v>1</v>
      </c>
      <c r="L11225" s="552">
        <f t="shared" si="2286"/>
        <v>0.10349999999999999</v>
      </c>
      <c r="M11225" s="549"/>
      <c r="N11225" s="549"/>
      <c r="O11225" s="549"/>
      <c r="P11225" s="549"/>
    </row>
    <row r="11226" spans="1:17" s="1511" customFormat="1" ht="17.399999999999999">
      <c r="A11226" s="549"/>
      <c r="B11226" s="549"/>
      <c r="C11226" s="549"/>
      <c r="D11226" s="549"/>
      <c r="E11226" s="549"/>
      <c r="F11226" s="549"/>
      <c r="G11226" s="549" t="s">
        <v>61</v>
      </c>
      <c r="H11226" s="550" t="s">
        <v>274</v>
      </c>
      <c r="I11226" s="1427">
        <v>9</v>
      </c>
      <c r="J11226" s="1543">
        <v>12</v>
      </c>
      <c r="K11226" s="1537">
        <v>16</v>
      </c>
      <c r="L11226" s="552">
        <f t="shared" si="2286"/>
        <v>1.728</v>
      </c>
      <c r="M11226" s="549"/>
      <c r="N11226" s="549"/>
      <c r="O11226" s="549"/>
      <c r="P11226" s="549"/>
    </row>
    <row r="11227" spans="1:17" s="1511" customFormat="1" ht="17.399999999999999">
      <c r="A11227" s="549"/>
      <c r="B11227" s="549"/>
      <c r="C11227" s="549"/>
      <c r="D11227" s="549"/>
      <c r="E11227" s="549"/>
      <c r="F11227" s="549"/>
      <c r="G11227" s="549"/>
      <c r="H11227" s="549"/>
      <c r="I11227" s="1427"/>
      <c r="J11227" s="710"/>
      <c r="K11227" s="652">
        <f>SUM(K11222:K11226)</f>
        <v>35</v>
      </c>
      <c r="L11227" s="709">
        <f>SUM(L11222:L11226)</f>
        <v>3.51</v>
      </c>
      <c r="M11227" s="549"/>
      <c r="N11227" s="549"/>
      <c r="O11227" s="549"/>
      <c r="P11227" s="549" t="s">
        <v>1340</v>
      </c>
    </row>
    <row r="11228" spans="1:17" s="1511" customFormat="1" ht="17.399999999999999">
      <c r="A11228" s="549"/>
      <c r="B11228" s="549"/>
      <c r="C11228" s="549"/>
      <c r="D11228" s="549"/>
      <c r="E11228" s="549"/>
      <c r="F11228" s="549"/>
      <c r="G11228" s="549"/>
      <c r="H11228" s="549"/>
      <c r="I11228" s="1427"/>
      <c r="J11228" s="710"/>
      <c r="K11228" s="652"/>
      <c r="L11228" s="709">
        <f>+L11227+L11220</f>
        <v>12.257999999999999</v>
      </c>
      <c r="M11228" s="549"/>
      <c r="N11228" s="549"/>
      <c r="O11228" s="549"/>
      <c r="P11228" s="549"/>
    </row>
    <row r="11229" spans="1:17" s="1511" customFormat="1" ht="17.399999999999999">
      <c r="A11229" s="549"/>
      <c r="B11229" s="549"/>
      <c r="C11229" s="549"/>
      <c r="D11229" s="549"/>
      <c r="E11229" s="549"/>
      <c r="F11229" s="549"/>
      <c r="G11229" s="549"/>
      <c r="H11229" s="549"/>
      <c r="I11229" s="1427"/>
      <c r="J11229" s="710"/>
      <c r="K11229" s="652"/>
      <c r="L11229" s="709"/>
      <c r="M11229" s="549"/>
      <c r="N11229" s="549"/>
      <c r="O11229" s="549"/>
      <c r="P11229" s="549"/>
    </row>
    <row r="11230" spans="1:17" s="1511" customFormat="1" ht="17.399999999999999">
      <c r="A11230" s="549"/>
      <c r="B11230" s="549"/>
      <c r="C11230" s="549"/>
      <c r="D11230" s="549"/>
      <c r="E11230" s="549"/>
      <c r="F11230" s="549"/>
      <c r="G11230" s="549"/>
      <c r="H11230" s="549"/>
      <c r="I11230" s="1427"/>
      <c r="J11230" s="710"/>
      <c r="K11230" s="652"/>
      <c r="L11230" s="709"/>
      <c r="M11230" s="549"/>
      <c r="N11230" s="549"/>
      <c r="O11230" s="549"/>
      <c r="P11230" s="549"/>
    </row>
    <row r="11231" spans="1:17" s="1511" customFormat="1" ht="17.399999999999999">
      <c r="A11231" s="549"/>
      <c r="B11231" s="549"/>
      <c r="C11231" s="549"/>
      <c r="D11231" s="549"/>
      <c r="E11231" s="549"/>
      <c r="F11231" s="549"/>
      <c r="G11231" s="549"/>
      <c r="H11231" s="549"/>
      <c r="I11231" s="1427"/>
      <c r="J11231" s="710"/>
      <c r="K11231" s="652"/>
      <c r="L11231" s="709"/>
      <c r="M11231" s="549"/>
      <c r="N11231" s="549"/>
      <c r="O11231" s="549"/>
      <c r="P11231" s="549"/>
    </row>
    <row r="11232" spans="1:17" s="1511" customFormat="1" ht="17.399999999999999">
      <c r="A11232" s="549"/>
      <c r="B11232" s="549"/>
      <c r="C11232" s="549"/>
      <c r="D11232" s="549"/>
      <c r="E11232" s="549"/>
      <c r="F11232" s="549"/>
      <c r="G11232" s="549"/>
      <c r="H11232" s="549"/>
      <c r="I11232" s="1427"/>
      <c r="J11232" s="710"/>
      <c r="K11232" s="652"/>
      <c r="L11232" s="709"/>
      <c r="M11232" s="549"/>
      <c r="N11232" s="549"/>
      <c r="O11232" s="549"/>
      <c r="P11232" s="549"/>
    </row>
    <row r="11233" spans="1:17" s="1511" customFormat="1" ht="17.399999999999999">
      <c r="A11233" s="549"/>
      <c r="B11233" s="549"/>
      <c r="C11233" s="549"/>
      <c r="D11233" s="549"/>
      <c r="E11233" s="549"/>
      <c r="F11233" s="549"/>
      <c r="G11233" s="549"/>
      <c r="H11233" s="549"/>
      <c r="I11233" s="1427"/>
      <c r="J11233" s="710"/>
      <c r="K11233" s="652"/>
      <c r="L11233" s="709"/>
      <c r="M11233" s="549"/>
      <c r="N11233" s="549"/>
      <c r="O11233" s="549"/>
      <c r="P11233" s="549"/>
    </row>
    <row r="11234" spans="1:17" s="1511" customFormat="1" ht="18">
      <c r="A11234" s="547" t="s">
        <v>395</v>
      </c>
      <c r="B11234" s="547" t="s">
        <v>1341</v>
      </c>
      <c r="C11234" s="547" t="s">
        <v>19</v>
      </c>
      <c r="D11234" s="813" t="s">
        <v>49</v>
      </c>
      <c r="E11234" s="1538" t="s">
        <v>878</v>
      </c>
      <c r="F11234" s="772">
        <v>9</v>
      </c>
      <c r="G11234" s="549" t="s">
        <v>21</v>
      </c>
      <c r="H11234" s="900" t="s">
        <v>69</v>
      </c>
      <c r="I11234" s="1443">
        <v>6.85</v>
      </c>
      <c r="J11234" s="1541">
        <v>9</v>
      </c>
      <c r="K11234" s="1542">
        <v>1</v>
      </c>
      <c r="L11234" s="552">
        <f>(I11234*J11234*K11234/1000)</f>
        <v>6.1649999999999996E-2</v>
      </c>
      <c r="M11234" s="549"/>
      <c r="N11234" s="549"/>
      <c r="O11234" s="1541">
        <v>8</v>
      </c>
      <c r="P11234" s="1541"/>
      <c r="Q11234" s="1511" t="s">
        <v>1391</v>
      </c>
    </row>
    <row r="11235" spans="1:17" s="1511" customFormat="1" ht="18">
      <c r="A11235" s="549"/>
      <c r="B11235" s="1538" t="s">
        <v>423</v>
      </c>
      <c r="C11235" s="549"/>
      <c r="D11235" s="549"/>
      <c r="E11235" s="549"/>
      <c r="F11235" s="549"/>
      <c r="G11235" s="549"/>
      <c r="H11235" s="952"/>
      <c r="I11235" s="1443"/>
      <c r="J11235" s="950"/>
      <c r="K11235" s="1438">
        <f t="shared" ref="K11235" si="2287">SUM(K11234)</f>
        <v>1</v>
      </c>
      <c r="L11235" s="552">
        <f>SUM(L11234)</f>
        <v>6.1649999999999996E-2</v>
      </c>
      <c r="M11235" s="549"/>
      <c r="N11235" s="549"/>
      <c r="O11235" s="549"/>
      <c r="P11235" s="549" t="s">
        <v>1344</v>
      </c>
    </row>
    <row r="11236" spans="1:17" s="1511" customFormat="1" ht="17.399999999999999">
      <c r="A11236" s="549"/>
      <c r="B11236" s="549"/>
      <c r="C11236" s="549"/>
      <c r="D11236" s="549"/>
      <c r="E11236" s="549"/>
      <c r="F11236" s="549"/>
      <c r="G11236" s="549"/>
      <c r="H11236" s="549"/>
      <c r="I11236" s="1427"/>
      <c r="J11236" s="710"/>
      <c r="K11236" s="727"/>
      <c r="L11236" s="709"/>
      <c r="M11236" s="549"/>
      <c r="N11236" s="549"/>
      <c r="O11236" s="549"/>
      <c r="P11236" s="549"/>
    </row>
    <row r="11237" spans="1:17" s="1511" customFormat="1" ht="18">
      <c r="A11237" s="547" t="s">
        <v>395</v>
      </c>
      <c r="B11237" s="547" t="s">
        <v>1341</v>
      </c>
      <c r="C11237" s="547" t="s">
        <v>19</v>
      </c>
      <c r="D11237" s="813" t="s">
        <v>49</v>
      </c>
      <c r="E11237" s="547" t="s">
        <v>359</v>
      </c>
      <c r="F11237" s="772">
        <v>9</v>
      </c>
      <c r="G11237" s="549" t="s">
        <v>21</v>
      </c>
      <c r="H11237" s="900" t="s">
        <v>69</v>
      </c>
      <c r="I11237" s="1443">
        <v>6.86</v>
      </c>
      <c r="J11237" s="1541">
        <v>9</v>
      </c>
      <c r="K11237" s="1542">
        <v>1</v>
      </c>
      <c r="L11237" s="552">
        <f>(I11237*J11237*K11237/1000)</f>
        <v>6.1740000000000003E-2</v>
      </c>
      <c r="M11237" s="549"/>
      <c r="N11237" s="549"/>
      <c r="O11237" s="1541">
        <v>7.5</v>
      </c>
      <c r="P11237" s="1541"/>
      <c r="Q11237" s="1511" t="s">
        <v>1391</v>
      </c>
    </row>
    <row r="11238" spans="1:17" s="1511" customFormat="1" ht="18">
      <c r="A11238" s="549"/>
      <c r="B11238" s="1538" t="s">
        <v>453</v>
      </c>
      <c r="C11238" s="549"/>
      <c r="D11238" s="549"/>
      <c r="E11238" s="549"/>
      <c r="F11238" s="549"/>
      <c r="G11238" s="549" t="s">
        <v>21</v>
      </c>
      <c r="H11238" s="952" t="s">
        <v>69</v>
      </c>
      <c r="I11238" s="1443">
        <v>6.86</v>
      </c>
      <c r="J11238" s="1541">
        <v>9</v>
      </c>
      <c r="K11238" s="1542">
        <v>1</v>
      </c>
      <c r="L11238" s="552">
        <f>(I11238*J11238*K11238/1000)</f>
        <v>6.1740000000000003E-2</v>
      </c>
      <c r="M11238" s="549"/>
      <c r="N11238" s="549"/>
      <c r="O11238" s="1541">
        <v>6</v>
      </c>
      <c r="P11238" s="1541"/>
    </row>
    <row r="11239" spans="1:17" s="1511" customFormat="1" ht="17.399999999999999">
      <c r="A11239" s="549"/>
      <c r="B11239" s="549"/>
      <c r="C11239" s="549"/>
      <c r="D11239" s="549"/>
      <c r="E11239" s="549"/>
      <c r="F11239" s="952"/>
      <c r="G11239" s="952"/>
      <c r="H11239" s="952"/>
      <c r="I11239" s="1443"/>
      <c r="J11239" s="950"/>
      <c r="K11239" s="1463">
        <f>SUM(K11237:K11238)</f>
        <v>2</v>
      </c>
      <c r="L11239" s="950">
        <f>SUM(L11237:L11238)</f>
        <v>0.12348000000000001</v>
      </c>
      <c r="M11239" s="549"/>
      <c r="N11239" s="549"/>
      <c r="O11239" s="549"/>
      <c r="P11239" s="549" t="s">
        <v>1333</v>
      </c>
    </row>
    <row r="11240" spans="1:17" s="1511" customFormat="1" ht="17.399999999999999">
      <c r="A11240" s="549"/>
      <c r="B11240" s="549"/>
      <c r="C11240" s="549"/>
      <c r="D11240" s="549"/>
      <c r="E11240" s="549"/>
      <c r="F11240" s="549"/>
      <c r="G11240" s="549"/>
      <c r="H11240" s="549"/>
      <c r="I11240" s="1427"/>
      <c r="J11240" s="710"/>
      <c r="K11240" s="727"/>
      <c r="L11240" s="709"/>
      <c r="M11240" s="549"/>
      <c r="N11240" s="549"/>
      <c r="O11240" s="549"/>
      <c r="P11240" s="549"/>
    </row>
    <row r="11241" spans="1:17" s="1511" customFormat="1" ht="18">
      <c r="A11241" s="547" t="s">
        <v>395</v>
      </c>
      <c r="B11241" s="547" t="s">
        <v>1341</v>
      </c>
      <c r="C11241" s="547" t="s">
        <v>19</v>
      </c>
      <c r="D11241" s="813" t="s">
        <v>49</v>
      </c>
      <c r="E11241" s="547" t="s">
        <v>359</v>
      </c>
      <c r="F11241" s="772">
        <v>9</v>
      </c>
      <c r="G11241" s="549" t="s">
        <v>21</v>
      </c>
      <c r="H11241" s="900" t="s">
        <v>69</v>
      </c>
      <c r="I11241" s="1443">
        <v>6.86</v>
      </c>
      <c r="J11241" s="1541">
        <v>11.1</v>
      </c>
      <c r="K11241" s="1542">
        <v>292</v>
      </c>
      <c r="L11241" s="552">
        <f>(I11241*J11241*K11241/1000)</f>
        <v>22.234632000000001</v>
      </c>
      <c r="M11241" s="549"/>
      <c r="N11241" s="549"/>
      <c r="O11241" s="549"/>
      <c r="P11241" s="549"/>
      <c r="Q11241" s="1511" t="s">
        <v>1391</v>
      </c>
    </row>
    <row r="11242" spans="1:17" s="1511" customFormat="1" ht="18">
      <c r="A11242" s="549"/>
      <c r="B11242" s="1538" t="s">
        <v>277</v>
      </c>
      <c r="C11242" s="549"/>
      <c r="D11242" s="549"/>
      <c r="E11242" s="549"/>
      <c r="F11242" s="549"/>
      <c r="G11242" s="549" t="s">
        <v>21</v>
      </c>
      <c r="H11242" s="952" t="s">
        <v>69</v>
      </c>
      <c r="I11242" s="1443">
        <v>6.86</v>
      </c>
      <c r="J11242" s="1541">
        <v>11.5</v>
      </c>
      <c r="K11242" s="1542">
        <v>104</v>
      </c>
      <c r="L11242" s="552">
        <f>(I11242*J11242*K11242/1000)</f>
        <v>8.204559999999999</v>
      </c>
      <c r="M11242" s="549"/>
      <c r="N11242" s="549"/>
      <c r="O11242" s="549"/>
      <c r="P11242" s="549"/>
    </row>
    <row r="11243" spans="1:17" s="1511" customFormat="1" ht="18">
      <c r="A11243" s="549"/>
      <c r="B11243" s="549"/>
      <c r="C11243" s="549"/>
      <c r="D11243" s="549"/>
      <c r="E11243" s="549"/>
      <c r="F11243" s="952"/>
      <c r="G11243" s="549" t="s">
        <v>21</v>
      </c>
      <c r="H11243" s="952" t="s">
        <v>69</v>
      </c>
      <c r="I11243" s="1443">
        <v>6.86</v>
      </c>
      <c r="J11243" s="1541">
        <v>9</v>
      </c>
      <c r="K11243" s="1542">
        <v>26</v>
      </c>
      <c r="L11243" s="552">
        <f>(I11243*J11243*K11243/1000)</f>
        <v>1.60524</v>
      </c>
      <c r="M11243" s="549"/>
      <c r="N11243" s="549"/>
      <c r="O11243" s="549"/>
      <c r="P11243" s="549"/>
    </row>
    <row r="11244" spans="1:17" s="1511" customFormat="1" ht="17.399999999999999">
      <c r="A11244" s="549"/>
      <c r="B11244" s="549"/>
      <c r="C11244" s="549"/>
      <c r="D11244" s="549"/>
      <c r="E11244" s="549"/>
      <c r="F11244" s="549"/>
      <c r="G11244" s="549"/>
      <c r="H11244" s="549"/>
      <c r="I11244" s="1427"/>
      <c r="J11244" s="710"/>
      <c r="K11244" s="727">
        <f>SUM(K11241:K11243)</f>
        <v>422</v>
      </c>
      <c r="L11244" s="709">
        <f>SUM(L11241:L11243)</f>
        <v>32.044432</v>
      </c>
      <c r="M11244" s="549"/>
      <c r="N11244" s="549"/>
      <c r="O11244" s="549"/>
      <c r="P11244" s="549" t="s">
        <v>1333</v>
      </c>
    </row>
    <row r="11245" spans="1:17" s="1511" customFormat="1" ht="17.399999999999999">
      <c r="A11245" s="549"/>
      <c r="B11245" s="549"/>
      <c r="C11245" s="549"/>
      <c r="D11245" s="549"/>
      <c r="E11245" s="549"/>
      <c r="F11245" s="549"/>
      <c r="G11245" s="549"/>
      <c r="H11245" s="549"/>
      <c r="I11245" s="1427"/>
      <c r="J11245" s="710"/>
      <c r="K11245" s="770">
        <f>SUM(K11234:K11244)/2</f>
        <v>425</v>
      </c>
      <c r="L11245" s="709">
        <f>SUM(L11234:L11244)/2</f>
        <v>32.229562000000001</v>
      </c>
      <c r="M11245" s="549"/>
      <c r="N11245" s="549"/>
      <c r="O11245" s="549"/>
      <c r="P11245" s="549"/>
    </row>
    <row r="11246" spans="1:17" s="1511" customFormat="1" ht="17.399999999999999">
      <c r="A11246" s="549"/>
      <c r="B11246" s="549"/>
      <c r="C11246" s="549"/>
      <c r="D11246" s="549"/>
      <c r="E11246" s="549"/>
      <c r="F11246" s="549"/>
      <c r="G11246" s="549"/>
      <c r="H11246" s="549"/>
      <c r="I11246" s="1427"/>
      <c r="J11246" s="710"/>
      <c r="K11246" s="770"/>
      <c r="L11246" s="709"/>
      <c r="M11246" s="549"/>
      <c r="N11246" s="549"/>
      <c r="O11246" s="549"/>
      <c r="P11246" s="549"/>
    </row>
    <row r="11247" spans="1:17" s="1511" customFormat="1" ht="17.399999999999999">
      <c r="A11247" s="549"/>
      <c r="B11247" s="549"/>
      <c r="C11247" s="549"/>
      <c r="D11247" s="549"/>
      <c r="E11247" s="549"/>
      <c r="F11247" s="549"/>
      <c r="G11247" s="549"/>
      <c r="H11247" s="549"/>
      <c r="I11247" s="1427"/>
      <c r="J11247" s="710"/>
      <c r="K11247" s="727"/>
      <c r="L11247" s="709"/>
      <c r="M11247" s="549"/>
      <c r="N11247" s="549"/>
      <c r="O11247" s="549"/>
      <c r="P11247" s="549"/>
      <c r="Q11247" s="1511" t="s">
        <v>1391</v>
      </c>
    </row>
    <row r="11248" spans="1:17" s="1511" customFormat="1" ht="18">
      <c r="A11248" s="547" t="s">
        <v>395</v>
      </c>
      <c r="B11248" s="547" t="s">
        <v>1341</v>
      </c>
      <c r="C11248" s="547" t="s">
        <v>19</v>
      </c>
      <c r="D11248" s="813" t="s">
        <v>49</v>
      </c>
      <c r="E11248" s="1538" t="s">
        <v>878</v>
      </c>
      <c r="F11248" s="772">
        <v>9</v>
      </c>
      <c r="G11248" s="549" t="s">
        <v>21</v>
      </c>
      <c r="H11248" s="900" t="s">
        <v>70</v>
      </c>
      <c r="I11248" s="1443">
        <v>5.76</v>
      </c>
      <c r="J11248" s="1541">
        <v>12</v>
      </c>
      <c r="K11248" s="1542">
        <v>13</v>
      </c>
      <c r="L11248" s="552">
        <f>(I11248*J11248*K11248/1000)</f>
        <v>0.89856000000000003</v>
      </c>
      <c r="M11248" s="549"/>
      <c r="N11248" s="549"/>
      <c r="O11248" s="549"/>
      <c r="P11248" s="549"/>
    </row>
    <row r="11249" spans="1:17" s="1511" customFormat="1" ht="18">
      <c r="A11249" s="549"/>
      <c r="B11249" s="1538" t="s">
        <v>423</v>
      </c>
      <c r="C11249" s="549"/>
      <c r="D11249" s="549"/>
      <c r="E11249" s="549"/>
      <c r="F11249" s="549"/>
      <c r="G11249" s="549"/>
      <c r="H11249" s="952"/>
      <c r="I11249" s="1443"/>
      <c r="J11249" s="950"/>
      <c r="K11249" s="1438">
        <f t="shared" ref="K11249" si="2288">SUM(K11248)</f>
        <v>13</v>
      </c>
      <c r="L11249" s="552">
        <f>SUM(L11248)</f>
        <v>0.89856000000000003</v>
      </c>
      <c r="M11249" s="549"/>
      <c r="N11249" s="549"/>
      <c r="O11249" s="549"/>
      <c r="P11249" s="549" t="s">
        <v>1345</v>
      </c>
    </row>
    <row r="11250" spans="1:17" s="1511" customFormat="1" ht="17.399999999999999">
      <c r="A11250" s="549"/>
      <c r="B11250" s="549"/>
      <c r="C11250" s="549"/>
      <c r="D11250" s="549"/>
      <c r="E11250" s="549"/>
      <c r="F11250" s="549"/>
      <c r="G11250" s="549"/>
      <c r="H11250" s="549"/>
      <c r="I11250" s="1427"/>
      <c r="J11250" s="710"/>
      <c r="K11250" s="727"/>
      <c r="L11250" s="709"/>
      <c r="M11250" s="549"/>
      <c r="N11250" s="549"/>
      <c r="O11250" s="549"/>
      <c r="P11250" s="549"/>
    </row>
    <row r="11251" spans="1:17" s="1511" customFormat="1" ht="18">
      <c r="A11251" s="547" t="s">
        <v>395</v>
      </c>
      <c r="B11251" s="547" t="s">
        <v>1341</v>
      </c>
      <c r="C11251" s="547" t="s">
        <v>19</v>
      </c>
      <c r="D11251" s="813" t="s">
        <v>49</v>
      </c>
      <c r="E11251" s="547" t="s">
        <v>359</v>
      </c>
      <c r="F11251" s="772">
        <v>9</v>
      </c>
      <c r="G11251" s="549" t="s">
        <v>21</v>
      </c>
      <c r="H11251" s="900" t="s">
        <v>70</v>
      </c>
      <c r="I11251" s="1443">
        <v>5.77</v>
      </c>
      <c r="J11251" s="1541">
        <v>11</v>
      </c>
      <c r="K11251" s="1542">
        <v>1</v>
      </c>
      <c r="L11251" s="552">
        <f>(I11251*J11251*K11251/1000)</f>
        <v>6.3469999999999999E-2</v>
      </c>
      <c r="M11251" s="549"/>
      <c r="N11251" s="549"/>
      <c r="O11251" s="549"/>
      <c r="P11251" s="549"/>
      <c r="Q11251" s="1511" t="s">
        <v>1391</v>
      </c>
    </row>
    <row r="11252" spans="1:17" s="1511" customFormat="1" ht="18">
      <c r="A11252" s="549"/>
      <c r="B11252" s="1538" t="s">
        <v>453</v>
      </c>
      <c r="C11252" s="549"/>
      <c r="D11252" s="549"/>
      <c r="E11252" s="549"/>
      <c r="F11252" s="549"/>
      <c r="G11252" s="549"/>
      <c r="H11252" s="549"/>
      <c r="I11252" s="1427"/>
      <c r="J11252" s="710"/>
      <c r="K11252" s="727">
        <f t="shared" ref="K11252" si="2289">SUM(K11251)</f>
        <v>1</v>
      </c>
      <c r="L11252" s="709">
        <f>SUM(L11251)</f>
        <v>6.3469999999999999E-2</v>
      </c>
      <c r="M11252" s="549"/>
      <c r="N11252" s="549"/>
      <c r="O11252" s="549"/>
      <c r="P11252" s="549" t="s">
        <v>1334</v>
      </c>
    </row>
    <row r="11253" spans="1:17" s="1511" customFormat="1" ht="17.399999999999999">
      <c r="A11253" s="549"/>
      <c r="B11253" s="549"/>
      <c r="C11253" s="549"/>
      <c r="D11253" s="549"/>
      <c r="E11253" s="549"/>
      <c r="F11253" s="549"/>
      <c r="G11253" s="549"/>
      <c r="H11253" s="549"/>
      <c r="I11253" s="1427"/>
      <c r="J11253" s="710"/>
      <c r="K11253" s="727"/>
      <c r="L11253" s="709"/>
      <c r="M11253" s="549"/>
      <c r="N11253" s="549"/>
      <c r="O11253" s="549"/>
      <c r="P11253" s="549"/>
    </row>
    <row r="11254" spans="1:17" s="1511" customFormat="1" ht="18">
      <c r="A11254" s="547" t="s">
        <v>395</v>
      </c>
      <c r="B11254" s="547" t="s">
        <v>1341</v>
      </c>
      <c r="C11254" s="547" t="s">
        <v>19</v>
      </c>
      <c r="D11254" s="813" t="s">
        <v>49</v>
      </c>
      <c r="E11254" s="547" t="s">
        <v>359</v>
      </c>
      <c r="F11254" s="772">
        <v>9</v>
      </c>
      <c r="G11254" s="549" t="s">
        <v>21</v>
      </c>
      <c r="H11254" s="900" t="s">
        <v>70</v>
      </c>
      <c r="I11254" s="1443">
        <v>5.77</v>
      </c>
      <c r="J11254" s="1541">
        <v>6.3</v>
      </c>
      <c r="K11254" s="1542">
        <v>160</v>
      </c>
      <c r="L11254" s="552">
        <f>(I11254*J11254*K11254/1000)</f>
        <v>5.81616</v>
      </c>
      <c r="M11254" s="549"/>
      <c r="N11254" s="549"/>
      <c r="O11254" s="549"/>
      <c r="P11254" s="549"/>
      <c r="Q11254" s="1511" t="s">
        <v>1392</v>
      </c>
    </row>
    <row r="11255" spans="1:17" s="1511" customFormat="1" ht="18">
      <c r="A11255" s="549"/>
      <c r="B11255" s="1538" t="s">
        <v>277</v>
      </c>
      <c r="C11255" s="549"/>
      <c r="D11255" s="549"/>
      <c r="E11255" s="549"/>
      <c r="F11255" s="549"/>
      <c r="G11255" s="549" t="s">
        <v>21</v>
      </c>
      <c r="H11255" s="952" t="s">
        <v>70</v>
      </c>
      <c r="I11255" s="1443">
        <v>5.77</v>
      </c>
      <c r="J11255" s="1541">
        <v>10.5</v>
      </c>
      <c r="K11255" s="1542">
        <v>46</v>
      </c>
      <c r="L11255" s="552">
        <f>(I11255*J11255*K11255/1000)</f>
        <v>2.7869099999999998</v>
      </c>
      <c r="M11255" s="549"/>
      <c r="N11255" s="549"/>
      <c r="O11255" s="549"/>
      <c r="P11255" s="549"/>
      <c r="Q11255" s="1511" t="s">
        <v>1394</v>
      </c>
    </row>
    <row r="11256" spans="1:17" s="1511" customFormat="1" ht="18">
      <c r="A11256" s="549"/>
      <c r="B11256" s="549"/>
      <c r="C11256" s="549"/>
      <c r="D11256" s="549"/>
      <c r="E11256" s="549"/>
      <c r="F11256" s="952"/>
      <c r="G11256" s="549" t="s">
        <v>21</v>
      </c>
      <c r="H11256" s="952" t="s">
        <v>70</v>
      </c>
      <c r="I11256" s="1443">
        <v>5.77</v>
      </c>
      <c r="J11256" s="1541">
        <v>11</v>
      </c>
      <c r="K11256" s="1542">
        <v>184</v>
      </c>
      <c r="L11256" s="552">
        <f>(I11256*J11256*K11256/1000)</f>
        <v>11.67848</v>
      </c>
      <c r="M11256" s="549"/>
      <c r="N11256" s="549"/>
      <c r="O11256" s="549"/>
      <c r="P11256" s="549"/>
    </row>
    <row r="11257" spans="1:17" s="1511" customFormat="1" ht="18">
      <c r="A11257" s="549"/>
      <c r="B11257" s="549"/>
      <c r="C11257" s="549"/>
      <c r="D11257" s="549"/>
      <c r="E11257" s="549"/>
      <c r="F11257" s="549"/>
      <c r="G11257" s="549" t="s">
        <v>21</v>
      </c>
      <c r="H11257" s="952" t="s">
        <v>70</v>
      </c>
      <c r="I11257" s="1443">
        <v>5.77</v>
      </c>
      <c r="J11257" s="1541">
        <v>11.25</v>
      </c>
      <c r="K11257" s="1542">
        <v>438</v>
      </c>
      <c r="L11257" s="552">
        <f>(I11257*J11257*K11257/1000)</f>
        <v>28.431674999999998</v>
      </c>
      <c r="M11257" s="549"/>
      <c r="N11257" s="549"/>
      <c r="O11257" s="549"/>
      <c r="P11257" s="549"/>
    </row>
    <row r="11258" spans="1:17" s="1511" customFormat="1" ht="18">
      <c r="A11258" s="549"/>
      <c r="B11258" s="549"/>
      <c r="C11258" s="549"/>
      <c r="D11258" s="549"/>
      <c r="E11258" s="549"/>
      <c r="F11258" s="549"/>
      <c r="G11258" s="549" t="s">
        <v>21</v>
      </c>
      <c r="H11258" s="952" t="s">
        <v>70</v>
      </c>
      <c r="I11258" s="1443">
        <v>5.77</v>
      </c>
      <c r="J11258" s="1541">
        <v>12</v>
      </c>
      <c r="K11258" s="1542">
        <v>115</v>
      </c>
      <c r="L11258" s="552">
        <f>(I11258*J11258*K11258/1000)</f>
        <v>7.9625999999999992</v>
      </c>
      <c r="M11258" s="549"/>
      <c r="N11258" s="549"/>
      <c r="O11258" s="549"/>
      <c r="P11258" s="549"/>
    </row>
    <row r="11259" spans="1:17" s="1511" customFormat="1" ht="17.399999999999999">
      <c r="A11259" s="549"/>
      <c r="B11259" s="549"/>
      <c r="C11259" s="549"/>
      <c r="D11259" s="549"/>
      <c r="E11259" s="549"/>
      <c r="F11259" s="549"/>
      <c r="G11259" s="549"/>
      <c r="H11259" s="549"/>
      <c r="I11259" s="1427"/>
      <c r="J11259" s="710"/>
      <c r="K11259" s="727">
        <f>SUM(K11254:K11258)</f>
        <v>943</v>
      </c>
      <c r="L11259" s="709">
        <f>SUM(L11254:L11258)</f>
        <v>56.675824999999996</v>
      </c>
      <c r="M11259" s="549"/>
      <c r="N11259" s="549"/>
      <c r="O11259" s="549"/>
      <c r="P11259" s="549" t="s">
        <v>1334</v>
      </c>
    </row>
    <row r="11260" spans="1:17" s="1511" customFormat="1" ht="17.399999999999999">
      <c r="A11260" s="549"/>
      <c r="B11260" s="549"/>
      <c r="C11260" s="549"/>
      <c r="D11260" s="549"/>
      <c r="E11260" s="549"/>
      <c r="F11260" s="549"/>
      <c r="G11260" s="549"/>
      <c r="H11260" s="549"/>
      <c r="I11260" s="1427"/>
      <c r="J11260" s="710"/>
      <c r="K11260" s="770">
        <f>SUM(K11248:K11259)/2</f>
        <v>957</v>
      </c>
      <c r="L11260" s="709">
        <f>SUM(L11248:L11259)/2</f>
        <v>57.637855000000002</v>
      </c>
      <c r="M11260" s="549"/>
      <c r="N11260" s="549"/>
      <c r="O11260" s="549"/>
      <c r="P11260" s="549"/>
    </row>
    <row r="11261" spans="1:17" s="1511" customFormat="1" ht="17.399999999999999">
      <c r="A11261" s="549"/>
      <c r="B11261" s="549"/>
      <c r="C11261" s="549"/>
      <c r="D11261" s="549"/>
      <c r="E11261" s="549"/>
      <c r="F11261" s="549"/>
      <c r="G11261" s="549"/>
      <c r="H11261" s="549"/>
      <c r="I11261" s="1427"/>
      <c r="J11261" s="710"/>
      <c r="K11261" s="652"/>
      <c r="L11261" s="709"/>
      <c r="M11261" s="549"/>
      <c r="N11261" s="549"/>
      <c r="O11261" s="549"/>
      <c r="P11261" s="549"/>
    </row>
    <row r="11262" spans="1:17" s="1511" customFormat="1" ht="17.399999999999999">
      <c r="A11262" s="549"/>
      <c r="B11262" s="549"/>
      <c r="C11262" s="549"/>
      <c r="D11262" s="549"/>
      <c r="E11262" s="549"/>
      <c r="F11262" s="549"/>
      <c r="G11262" s="549"/>
      <c r="H11262" s="549"/>
      <c r="I11262" s="1427"/>
      <c r="J11262" s="710"/>
      <c r="K11262" s="652"/>
      <c r="L11262" s="709"/>
      <c r="M11262" s="549"/>
      <c r="N11262" s="549"/>
      <c r="O11262" s="549"/>
      <c r="P11262" s="549"/>
    </row>
    <row r="11263" spans="1:17" s="1511" customFormat="1" ht="18">
      <c r="A11263" s="547" t="s">
        <v>806</v>
      </c>
      <c r="B11263" s="547" t="s">
        <v>1341</v>
      </c>
      <c r="C11263" s="547" t="s">
        <v>446</v>
      </c>
      <c r="D11263" s="813" t="s">
        <v>447</v>
      </c>
      <c r="E11263" s="547" t="s">
        <v>359</v>
      </c>
      <c r="F11263" s="549">
        <v>9</v>
      </c>
      <c r="G11263" s="549" t="s">
        <v>21</v>
      </c>
      <c r="H11263" s="900" t="s">
        <v>69</v>
      </c>
      <c r="I11263" s="1443">
        <v>6.86</v>
      </c>
      <c r="J11263" s="1539">
        <v>10</v>
      </c>
      <c r="K11263" s="1540">
        <v>88</v>
      </c>
      <c r="L11263" s="552">
        <f t="shared" ref="L11263:L11268" si="2290">(I11263*J11263*K11263/1000)</f>
        <v>6.0368000000000013</v>
      </c>
      <c r="M11263" s="549"/>
      <c r="N11263" s="549"/>
      <c r="O11263" s="549"/>
      <c r="P11263" s="549"/>
      <c r="Q11263" s="1511" t="s">
        <v>1389</v>
      </c>
    </row>
    <row r="11264" spans="1:17" s="1511" customFormat="1" ht="18">
      <c r="A11264" s="898"/>
      <c r="B11264" s="898"/>
      <c r="C11264" s="898"/>
      <c r="D11264" s="898"/>
      <c r="E11264" s="898"/>
      <c r="F11264" s="898"/>
      <c r="G11264" s="549" t="s">
        <v>21</v>
      </c>
      <c r="H11264" s="952" t="s">
        <v>69</v>
      </c>
      <c r="I11264" s="1443">
        <v>6.86</v>
      </c>
      <c r="J11264" s="1539">
        <v>10.5</v>
      </c>
      <c r="K11264" s="1540">
        <v>207</v>
      </c>
      <c r="L11264" s="552">
        <f t="shared" si="2290"/>
        <v>14.910210000000001</v>
      </c>
      <c r="M11264" s="549"/>
      <c r="N11264" s="549"/>
      <c r="O11264" s="549"/>
      <c r="P11264" s="549"/>
    </row>
    <row r="11265" spans="1:17" s="1511" customFormat="1" ht="18">
      <c r="A11265" s="549"/>
      <c r="B11265" s="549"/>
      <c r="C11265" s="549"/>
      <c r="D11265" s="549"/>
      <c r="E11265" s="549"/>
      <c r="F11265" s="549"/>
      <c r="G11265" s="549" t="s">
        <v>21</v>
      </c>
      <c r="H11265" s="952" t="s">
        <v>69</v>
      </c>
      <c r="I11265" s="1443">
        <v>6.86</v>
      </c>
      <c r="J11265" s="1539">
        <v>11</v>
      </c>
      <c r="K11265" s="1540">
        <v>47</v>
      </c>
      <c r="L11265" s="552">
        <f t="shared" si="2290"/>
        <v>3.5466200000000003</v>
      </c>
      <c r="M11265" s="549"/>
      <c r="N11265" s="549"/>
      <c r="O11265" s="549"/>
      <c r="P11265" s="549"/>
    </row>
    <row r="11266" spans="1:17" s="1511" customFormat="1" ht="18">
      <c r="A11266" s="549"/>
      <c r="B11266" s="549"/>
      <c r="C11266" s="549"/>
      <c r="D11266" s="549"/>
      <c r="E11266" s="549"/>
      <c r="F11266" s="549"/>
      <c r="G11266" s="549" t="s">
        <v>21</v>
      </c>
      <c r="H11266" s="952" t="s">
        <v>69</v>
      </c>
      <c r="I11266" s="1443">
        <v>6.86</v>
      </c>
      <c r="J11266" s="1539">
        <v>11.4</v>
      </c>
      <c r="K11266" s="1540">
        <v>16</v>
      </c>
      <c r="L11266" s="552">
        <f t="shared" si="2290"/>
        <v>1.2512640000000002</v>
      </c>
      <c r="M11266" s="549"/>
      <c r="N11266" s="549"/>
      <c r="O11266" s="549"/>
      <c r="P11266" s="549"/>
    </row>
    <row r="11267" spans="1:17" s="1511" customFormat="1" ht="18">
      <c r="A11267" s="549"/>
      <c r="B11267" s="549"/>
      <c r="C11267" s="549"/>
      <c r="D11267" s="549"/>
      <c r="E11267" s="549"/>
      <c r="F11267" s="549"/>
      <c r="G11267" s="549" t="s">
        <v>21</v>
      </c>
      <c r="H11267" s="952" t="s">
        <v>69</v>
      </c>
      <c r="I11267" s="1443">
        <v>6.86</v>
      </c>
      <c r="J11267" s="1539">
        <v>11.5</v>
      </c>
      <c r="K11267" s="1540">
        <v>144</v>
      </c>
      <c r="L11267" s="552">
        <f t="shared" si="2290"/>
        <v>11.36016</v>
      </c>
      <c r="M11267" s="549"/>
      <c r="N11267" s="549"/>
      <c r="O11267" s="549"/>
      <c r="P11267" s="549"/>
    </row>
    <row r="11268" spans="1:17" s="1511" customFormat="1" ht="18">
      <c r="A11268" s="549"/>
      <c r="B11268" s="549"/>
      <c r="C11268" s="549"/>
      <c r="D11268" s="549"/>
      <c r="E11268" s="549"/>
      <c r="F11268" s="549"/>
      <c r="G11268" s="549" t="s">
        <v>21</v>
      </c>
      <c r="H11268" s="952" t="s">
        <v>69</v>
      </c>
      <c r="I11268" s="1443">
        <v>6.86</v>
      </c>
      <c r="J11268" s="1539">
        <v>12</v>
      </c>
      <c r="K11268" s="1540">
        <v>142</v>
      </c>
      <c r="L11268" s="552">
        <f t="shared" si="2290"/>
        <v>11.689440000000001</v>
      </c>
      <c r="M11268" s="549"/>
      <c r="N11268" s="549"/>
      <c r="O11268" s="549"/>
      <c r="P11268" s="549"/>
    </row>
    <row r="11269" spans="1:17" s="1511" customFormat="1" ht="17.399999999999999">
      <c r="A11269" s="549"/>
      <c r="B11269" s="549"/>
      <c r="C11269" s="549"/>
      <c r="D11269" s="549"/>
      <c r="E11269" s="549"/>
      <c r="F11269" s="549"/>
      <c r="G11269" s="549"/>
      <c r="H11269" s="549"/>
      <c r="I11269" s="1427"/>
      <c r="J11269" s="710"/>
      <c r="K11269" s="652">
        <f>SUM(K11263:K11268)</f>
        <v>644</v>
      </c>
      <c r="L11269" s="709">
        <f>SUM(L11263:L11268)</f>
        <v>48.794494</v>
      </c>
      <c r="M11269" s="549"/>
      <c r="N11269" s="549"/>
      <c r="O11269" s="549"/>
      <c r="P11269" s="549"/>
    </row>
    <row r="11270" spans="1:17" s="1511" customFormat="1" ht="17.399999999999999">
      <c r="A11270" s="549"/>
      <c r="B11270" s="549"/>
      <c r="C11270" s="549"/>
      <c r="D11270" s="549"/>
      <c r="E11270" s="549"/>
      <c r="F11270" s="549"/>
      <c r="G11270" s="549"/>
      <c r="H11270" s="549"/>
      <c r="I11270" s="1427"/>
      <c r="J11270" s="710"/>
      <c r="K11270" s="652"/>
      <c r="L11270" s="709"/>
      <c r="M11270" s="549"/>
      <c r="N11270" s="549"/>
      <c r="O11270" s="549"/>
      <c r="P11270" s="549"/>
    </row>
    <row r="11271" spans="1:17" s="1511" customFormat="1" ht="17.399999999999999">
      <c r="A11271" s="549"/>
      <c r="B11271" s="549"/>
      <c r="C11271" s="549"/>
      <c r="D11271" s="549"/>
      <c r="E11271" s="549"/>
      <c r="F11271" s="549"/>
      <c r="G11271" s="549"/>
      <c r="H11271" s="549"/>
      <c r="I11271" s="1427"/>
      <c r="J11271" s="710"/>
      <c r="K11271" s="652"/>
      <c r="L11271" s="709"/>
      <c r="M11271" s="549"/>
      <c r="N11271" s="549"/>
      <c r="O11271" s="549"/>
      <c r="P11271" s="549"/>
    </row>
    <row r="11272" spans="1:17" s="1511" customFormat="1" ht="18">
      <c r="A11272" s="547" t="s">
        <v>395</v>
      </c>
      <c r="B11272" s="547" t="s">
        <v>1341</v>
      </c>
      <c r="C11272" s="547" t="s">
        <v>446</v>
      </c>
      <c r="D11272" s="813" t="s">
        <v>447</v>
      </c>
      <c r="E11272" s="547" t="s">
        <v>359</v>
      </c>
      <c r="F11272" s="549">
        <v>9</v>
      </c>
      <c r="G11272" s="549" t="s">
        <v>21</v>
      </c>
      <c r="H11272" s="900" t="s">
        <v>69</v>
      </c>
      <c r="I11272" s="1443">
        <v>6.86</v>
      </c>
      <c r="J11272" s="1539">
        <v>9.5</v>
      </c>
      <c r="K11272" s="1540">
        <v>15</v>
      </c>
      <c r="L11272" s="552">
        <f>(I11272*J11272*K11272/1000)</f>
        <v>0.97755000000000003</v>
      </c>
      <c r="M11272" s="549"/>
      <c r="N11272" s="549"/>
      <c r="O11272" s="549"/>
      <c r="P11272" s="549"/>
      <c r="Q11272" s="1511" t="s">
        <v>1389</v>
      </c>
    </row>
    <row r="11273" spans="1:17" s="1511" customFormat="1" ht="18">
      <c r="A11273" s="549"/>
      <c r="B11273" s="1538"/>
      <c r="C11273" s="549"/>
      <c r="D11273" s="549"/>
      <c r="E11273" s="549"/>
      <c r="F11273" s="549"/>
      <c r="G11273" s="549" t="s">
        <v>21</v>
      </c>
      <c r="H11273" s="952" t="s">
        <v>69</v>
      </c>
      <c r="I11273" s="1443">
        <v>6.86</v>
      </c>
      <c r="J11273" s="1539">
        <v>10.5</v>
      </c>
      <c r="K11273" s="1540">
        <v>10</v>
      </c>
      <c r="L11273" s="552">
        <f>(I11273*J11273*K11273/1000)</f>
        <v>0.72029999999999994</v>
      </c>
      <c r="M11273" s="549"/>
      <c r="N11273" s="549"/>
      <c r="O11273" s="549"/>
      <c r="P11273" s="549"/>
    </row>
    <row r="11274" spans="1:17" s="1511" customFormat="1" ht="18">
      <c r="A11274" s="549"/>
      <c r="B11274" s="549"/>
      <c r="C11274" s="549"/>
      <c r="D11274" s="549"/>
      <c r="E11274" s="549"/>
      <c r="F11274" s="549"/>
      <c r="G11274" s="549" t="s">
        <v>21</v>
      </c>
      <c r="H11274" s="952" t="s">
        <v>69</v>
      </c>
      <c r="I11274" s="1443">
        <v>6.86</v>
      </c>
      <c r="J11274" s="1539">
        <v>11</v>
      </c>
      <c r="K11274" s="1540">
        <v>10</v>
      </c>
      <c r="L11274" s="552">
        <f>(I11274*J11274*K11274/1000)</f>
        <v>0.75460000000000016</v>
      </c>
      <c r="M11274" s="549"/>
      <c r="N11274" s="549"/>
      <c r="O11274" s="549"/>
      <c r="P11274" s="549"/>
    </row>
    <row r="11275" spans="1:17" s="1511" customFormat="1" ht="18">
      <c r="A11275" s="549"/>
      <c r="B11275" s="549"/>
      <c r="C11275" s="549"/>
      <c r="D11275" s="549"/>
      <c r="E11275" s="549"/>
      <c r="F11275" s="549"/>
      <c r="G11275" s="549" t="s">
        <v>21</v>
      </c>
      <c r="H11275" s="952" t="s">
        <v>69</v>
      </c>
      <c r="I11275" s="1443">
        <v>6.86</v>
      </c>
      <c r="J11275" s="1539">
        <v>12</v>
      </c>
      <c r="K11275" s="1540">
        <v>13</v>
      </c>
      <c r="L11275" s="552">
        <f>(I11275*J11275*K11275/1000)</f>
        <v>1.07016</v>
      </c>
      <c r="M11275" s="549"/>
      <c r="N11275" s="549"/>
      <c r="O11275" s="549"/>
      <c r="P11275" s="549"/>
    </row>
    <row r="11276" spans="1:17" s="1511" customFormat="1" ht="17.399999999999999">
      <c r="A11276" s="549"/>
      <c r="B11276" s="549"/>
      <c r="C11276" s="549"/>
      <c r="D11276" s="549"/>
      <c r="E11276" s="549"/>
      <c r="F11276" s="549"/>
      <c r="G11276" s="549"/>
      <c r="H11276" s="549"/>
      <c r="I11276" s="1427"/>
      <c r="J11276" s="710"/>
      <c r="K11276" s="708">
        <f>SUM(K11272:K11275)</f>
        <v>48</v>
      </c>
      <c r="L11276" s="709">
        <f>SUM(L11272:L11275)</f>
        <v>3.5226099999999998</v>
      </c>
      <c r="M11276" s="549"/>
      <c r="N11276" s="549"/>
      <c r="O11276" s="549"/>
      <c r="P11276" s="549"/>
    </row>
    <row r="11277" spans="1:17" s="1511" customFormat="1" ht="17.399999999999999">
      <c r="A11277" s="549"/>
      <c r="B11277" s="549"/>
      <c r="C11277" s="549"/>
      <c r="D11277" s="549"/>
      <c r="E11277" s="549"/>
      <c r="F11277" s="549"/>
      <c r="G11277" s="549"/>
      <c r="H11277" s="549"/>
      <c r="I11277" s="1427"/>
      <c r="J11277" s="710"/>
      <c r="K11277" s="708">
        <f>SUM(K11263:K11276)/2</f>
        <v>692</v>
      </c>
      <c r="L11277" s="709">
        <f>SUM(L11263:L11276)/2</f>
        <v>52.317103999999993</v>
      </c>
      <c r="M11277" s="549"/>
      <c r="N11277" s="549"/>
      <c r="O11277" s="549"/>
      <c r="P11277" s="549" t="s">
        <v>1346</v>
      </c>
    </row>
    <row r="11278" spans="1:17" s="1511" customFormat="1" ht="17.399999999999999">
      <c r="A11278" s="549"/>
      <c r="B11278" s="549"/>
      <c r="C11278" s="549"/>
      <c r="D11278" s="549"/>
      <c r="E11278" s="549"/>
      <c r="F11278" s="549"/>
      <c r="G11278" s="549"/>
      <c r="H11278" s="549"/>
      <c r="I11278" s="1427"/>
      <c r="J11278" s="710"/>
      <c r="K11278" s="652"/>
      <c r="L11278" s="709"/>
      <c r="M11278" s="549"/>
      <c r="N11278" s="549"/>
      <c r="O11278" s="549"/>
      <c r="P11278" s="549"/>
    </row>
    <row r="11279" spans="1:17" s="1511" customFormat="1" ht="17.399999999999999">
      <c r="A11279" s="549"/>
      <c r="B11279" s="549"/>
      <c r="C11279" s="549"/>
      <c r="D11279" s="549"/>
      <c r="E11279" s="549"/>
      <c r="F11279" s="549"/>
      <c r="G11279" s="549"/>
      <c r="H11279" s="549"/>
      <c r="I11279" s="1427"/>
      <c r="J11279" s="710"/>
      <c r="K11279" s="652"/>
      <c r="L11279" s="709">
        <f>+L11277+L11260+L11245</f>
        <v>142.18452100000002</v>
      </c>
      <c r="M11279" s="549"/>
      <c r="N11279" s="549"/>
      <c r="O11279" s="549"/>
      <c r="P11279" s="549"/>
    </row>
    <row r="11280" spans="1:17" s="1511" customFormat="1" ht="17.399999999999999">
      <c r="A11280" s="549"/>
      <c r="B11280" s="549"/>
      <c r="C11280" s="549"/>
      <c r="D11280" s="549"/>
      <c r="E11280" s="549"/>
      <c r="F11280" s="549"/>
      <c r="G11280" s="549"/>
      <c r="H11280" s="549"/>
      <c r="I11280" s="1427"/>
      <c r="J11280" s="710"/>
      <c r="K11280" s="652"/>
      <c r="L11280" s="709"/>
      <c r="M11280" s="549"/>
      <c r="N11280" s="549"/>
      <c r="O11280" s="549"/>
      <c r="P11280" s="549"/>
    </row>
    <row r="11281" spans="1:16" s="1511" customFormat="1" ht="17.399999999999999">
      <c r="A11281" s="549"/>
      <c r="B11281" s="549"/>
      <c r="C11281" s="549"/>
      <c r="D11281" s="549"/>
      <c r="E11281" s="549"/>
      <c r="F11281" s="549"/>
      <c r="G11281" s="549"/>
      <c r="H11281" s="549"/>
      <c r="I11281" s="1427"/>
      <c r="J11281" s="710"/>
      <c r="K11281" s="652"/>
      <c r="L11281" s="709"/>
      <c r="M11281" s="549"/>
      <c r="N11281" s="549"/>
      <c r="O11281" s="549"/>
      <c r="P11281" s="549"/>
    </row>
    <row r="11282" spans="1:16" ht="18">
      <c r="A11282" s="898"/>
      <c r="B11282" s="898"/>
      <c r="C11282" s="898"/>
      <c r="D11282" s="898"/>
      <c r="E11282" s="898"/>
      <c r="F11282" s="898"/>
      <c r="G11282" s="898"/>
      <c r="H11282" s="898"/>
      <c r="I11282" s="920"/>
      <c r="J11282" s="898"/>
      <c r="K11282" s="921"/>
      <c r="L11282" s="921"/>
      <c r="M11282" s="898"/>
      <c r="N11282" s="898"/>
      <c r="O11282" s="898"/>
      <c r="P11282" s="898"/>
    </row>
    <row r="11283" spans="1:16" ht="18">
      <c r="A11283" s="898"/>
      <c r="B11283" s="898"/>
      <c r="C11283" s="898"/>
      <c r="D11283" s="898"/>
      <c r="E11283" s="898"/>
      <c r="F11283" s="898"/>
      <c r="G11283" s="898"/>
      <c r="H11283" s="898"/>
      <c r="I11283" s="920"/>
      <c r="J11283" s="898"/>
      <c r="K11283" s="921"/>
      <c r="L11283" s="782">
        <f>+L11220+L11215+L11209+L11199+L11193+L11185+L11279+L11176</f>
        <v>346.55500499999999</v>
      </c>
      <c r="M11283" s="898"/>
      <c r="N11283" s="898"/>
      <c r="O11283" s="898"/>
      <c r="P11283" s="898"/>
    </row>
    <row r="11284" spans="1:16" ht="18">
      <c r="A11284" s="653" t="s">
        <v>48</v>
      </c>
      <c r="B11284" s="653"/>
      <c r="C11284" s="654"/>
      <c r="D11284" s="654"/>
      <c r="E11284" s="654"/>
      <c r="F11284" s="1510"/>
      <c r="G11284" s="654"/>
      <c r="H11284" s="1510"/>
      <c r="I11284" s="656"/>
      <c r="J11284" s="654"/>
      <c r="K11284" s="657"/>
      <c r="L11284" s="2003" t="s">
        <v>0</v>
      </c>
      <c r="M11284" s="2003"/>
      <c r="N11284" s="2003"/>
      <c r="O11284" s="2004"/>
      <c r="P11284" s="1097"/>
    </row>
    <row r="11285" spans="1:16" ht="18">
      <c r="A11285" s="658" t="s">
        <v>1</v>
      </c>
      <c r="B11285" s="658"/>
      <c r="C11285" s="658"/>
      <c r="D11285" s="659" t="s">
        <v>2</v>
      </c>
      <c r="E11285" s="659"/>
      <c r="F11285" s="660"/>
      <c r="G11285" s="660"/>
      <c r="H11285" s="660"/>
      <c r="I11285" s="661"/>
      <c r="J11285" s="660"/>
      <c r="K11285" s="662" t="s">
        <v>3</v>
      </c>
      <c r="L11285" s="660"/>
      <c r="M11285" s="658"/>
      <c r="N11285" s="660"/>
      <c r="O11285" s="663"/>
      <c r="P11285" s="1098"/>
    </row>
    <row r="11286" spans="1:16" ht="18">
      <c r="A11286" s="1510" t="s">
        <v>22</v>
      </c>
      <c r="B11286" s="1990" t="s">
        <v>23</v>
      </c>
      <c r="C11286" s="2005"/>
      <c r="D11286" s="1989"/>
      <c r="E11286" s="1510" t="s">
        <v>24</v>
      </c>
      <c r="F11286" s="1990" t="s">
        <v>25</v>
      </c>
      <c r="G11286" s="1989"/>
      <c r="H11286" s="1990" t="s">
        <v>26</v>
      </c>
      <c r="I11286" s="2005"/>
      <c r="J11286" s="2005"/>
      <c r="K11286" s="1989"/>
      <c r="L11286" s="2006" t="s">
        <v>27</v>
      </c>
      <c r="M11286" s="2006"/>
      <c r="N11286" s="2006"/>
      <c r="O11286" s="1990"/>
      <c r="P11286" s="1098"/>
    </row>
    <row r="11287" spans="1:16" ht="18">
      <c r="A11287" s="664"/>
      <c r="B11287" s="1975"/>
      <c r="C11287" s="1976"/>
      <c r="D11287" s="1977"/>
      <c r="E11287" s="665"/>
      <c r="F11287" s="1975"/>
      <c r="G11287" s="1977"/>
      <c r="H11287" s="1975"/>
      <c r="I11287" s="1976"/>
      <c r="J11287" s="1976"/>
      <c r="K11287" s="1977"/>
      <c r="L11287" s="1975"/>
      <c r="M11287" s="1976"/>
      <c r="N11287" s="1976"/>
      <c r="O11287" s="1976"/>
      <c r="P11287" s="1098"/>
    </row>
    <row r="11288" spans="1:16" ht="18">
      <c r="A11288" s="664"/>
      <c r="B11288" s="1502"/>
      <c r="C11288" s="1503"/>
      <c r="D11288" s="1504"/>
      <c r="E11288" s="665"/>
      <c r="F11288" s="1502"/>
      <c r="G11288" s="1504"/>
      <c r="H11288" s="1502"/>
      <c r="I11288" s="1842"/>
      <c r="J11288" s="1503"/>
      <c r="K11288" s="1504"/>
      <c r="L11288" s="1503"/>
      <c r="M11288" s="1503"/>
      <c r="N11288" s="1503"/>
      <c r="O11288" s="1503"/>
      <c r="P11288" s="1098"/>
    </row>
    <row r="11289" spans="1:16" s="1511" customFormat="1" ht="18">
      <c r="A11289" s="664" t="s">
        <v>28</v>
      </c>
      <c r="B11289" s="1975" t="s">
        <v>71</v>
      </c>
      <c r="C11289" s="1976"/>
      <c r="D11289" s="1977"/>
      <c r="E11289" s="665">
        <f>+L11176+L11185+L11245</f>
        <v>108.24606799999999</v>
      </c>
      <c r="F11289" s="1973">
        <v>9</v>
      </c>
      <c r="G11289" s="1974"/>
      <c r="H11289" s="1975" t="s">
        <v>49</v>
      </c>
      <c r="I11289" s="1976"/>
      <c r="J11289" s="1976"/>
      <c r="K11289" s="1977"/>
      <c r="L11289" s="1976" t="s">
        <v>1342</v>
      </c>
      <c r="M11289" s="1976"/>
      <c r="N11289" s="1976"/>
      <c r="O11289" s="1976"/>
      <c r="P11289" s="1098"/>
    </row>
    <row r="11290" spans="1:16" s="1511" customFormat="1" ht="18">
      <c r="A11290" s="664" t="s">
        <v>29</v>
      </c>
      <c r="B11290" s="1975" t="s">
        <v>78</v>
      </c>
      <c r="C11290" s="1976"/>
      <c r="D11290" s="1977"/>
      <c r="E11290" s="665">
        <f>+L11193+L11260</f>
        <v>130.31966</v>
      </c>
      <c r="F11290" s="1973">
        <v>9</v>
      </c>
      <c r="G11290" s="1974"/>
      <c r="H11290" s="1975" t="s">
        <v>49</v>
      </c>
      <c r="I11290" s="1976"/>
      <c r="J11290" s="1976"/>
      <c r="K11290" s="1977"/>
      <c r="L11290" s="1976" t="s">
        <v>1343</v>
      </c>
      <c r="M11290" s="1976"/>
      <c r="N11290" s="1976"/>
      <c r="O11290" s="1976"/>
      <c r="P11290" s="1098"/>
    </row>
    <row r="11291" spans="1:16" s="1511" customFormat="1" ht="18">
      <c r="A11291" s="664" t="s">
        <v>30</v>
      </c>
      <c r="B11291" s="1975" t="s">
        <v>720</v>
      </c>
      <c r="C11291" s="1976"/>
      <c r="D11291" s="1977"/>
      <c r="E11291" s="665">
        <v>25</v>
      </c>
      <c r="F11291" s="1973">
        <v>9</v>
      </c>
      <c r="G11291" s="1974"/>
      <c r="H11291" s="1975" t="s">
        <v>49</v>
      </c>
      <c r="I11291" s="1976"/>
      <c r="J11291" s="1976"/>
      <c r="K11291" s="1977"/>
      <c r="L11291" s="1976" t="s">
        <v>1320</v>
      </c>
      <c r="M11291" s="1976"/>
      <c r="N11291" s="1976"/>
      <c r="O11291" s="1976"/>
      <c r="P11291" s="1098"/>
    </row>
    <row r="11292" spans="1:16" s="1511" customFormat="1" ht="18">
      <c r="A11292" s="664"/>
      <c r="B11292" s="1502"/>
      <c r="C11292" s="1503"/>
      <c r="D11292" s="1504"/>
      <c r="E11292" s="665"/>
      <c r="F11292" s="1505"/>
      <c r="G11292" s="1506"/>
      <c r="H11292" s="1503"/>
      <c r="I11292" s="1842"/>
      <c r="J11292" s="1503"/>
      <c r="K11292" s="1503"/>
      <c r="L11292" s="1503"/>
      <c r="M11292" s="1503"/>
      <c r="N11292" s="1503"/>
      <c r="O11292" s="1503"/>
      <c r="P11292" s="1098"/>
    </row>
    <row r="11293" spans="1:16" s="1511" customFormat="1" ht="18">
      <c r="A11293" s="664"/>
      <c r="B11293" s="1520"/>
      <c r="C11293" s="1521"/>
      <c r="D11293" s="1522"/>
      <c r="E11293" s="665"/>
      <c r="F11293" s="1523"/>
      <c r="G11293" s="1524"/>
      <c r="H11293" s="1521"/>
      <c r="I11293" s="1842"/>
      <c r="J11293" s="1521"/>
      <c r="K11293" s="1521"/>
      <c r="L11293" s="1521"/>
      <c r="M11293" s="1521"/>
      <c r="N11293" s="1521"/>
      <c r="O11293" s="1521"/>
      <c r="P11293" s="1098"/>
    </row>
    <row r="11294" spans="1:16" s="1511" customFormat="1" ht="18">
      <c r="A11294" s="664" t="s">
        <v>46</v>
      </c>
      <c r="B11294" s="1975" t="s">
        <v>71</v>
      </c>
      <c r="C11294" s="1976"/>
      <c r="D11294" s="1977"/>
      <c r="E11294" s="665">
        <f>+L11277</f>
        <v>52.317103999999993</v>
      </c>
      <c r="F11294" s="1973">
        <v>9</v>
      </c>
      <c r="G11294" s="1974"/>
      <c r="H11294" s="1975" t="s">
        <v>447</v>
      </c>
      <c r="I11294" s="1976"/>
      <c r="J11294" s="1976"/>
      <c r="K11294" s="1977"/>
      <c r="L11294" s="1976" t="s">
        <v>1046</v>
      </c>
      <c r="M11294" s="1976"/>
      <c r="N11294" s="1976"/>
      <c r="O11294" s="1976"/>
      <c r="P11294" s="1098"/>
    </row>
    <row r="11295" spans="1:16" s="1511" customFormat="1" ht="18">
      <c r="A11295" s="664"/>
      <c r="B11295" s="1520"/>
      <c r="C11295" s="1521"/>
      <c r="D11295" s="1522"/>
      <c r="E11295" s="665"/>
      <c r="F11295" s="1523"/>
      <c r="G11295" s="1524"/>
      <c r="H11295" s="1521"/>
      <c r="I11295" s="1842"/>
      <c r="J11295" s="1521"/>
      <c r="K11295" s="1521"/>
      <c r="L11295" s="1521"/>
      <c r="M11295" s="1521"/>
      <c r="N11295" s="1521"/>
      <c r="O11295" s="1521"/>
      <c r="P11295" s="1098"/>
    </row>
    <row r="11296" spans="1:16" s="1511" customFormat="1" ht="18">
      <c r="A11296" s="664"/>
      <c r="B11296" s="1502"/>
      <c r="C11296" s="1503"/>
      <c r="D11296" s="1504"/>
      <c r="E11296" s="665"/>
      <c r="F11296" s="1505"/>
      <c r="G11296" s="1506"/>
      <c r="H11296" s="1503"/>
      <c r="I11296" s="1842"/>
      <c r="J11296" s="1503"/>
      <c r="K11296" s="1503"/>
      <c r="L11296" s="1503"/>
      <c r="M11296" s="1503"/>
      <c r="N11296" s="1503"/>
      <c r="O11296" s="1503"/>
      <c r="P11296" s="1098"/>
    </row>
    <row r="11297" spans="1:16" s="1511" customFormat="1" ht="18">
      <c r="A11297" s="664" t="s">
        <v>58</v>
      </c>
      <c r="B11297" s="1975" t="s">
        <v>623</v>
      </c>
      <c r="C11297" s="1976"/>
      <c r="D11297" s="1977"/>
      <c r="E11297" s="665">
        <f>+L11209</f>
        <v>15.565683</v>
      </c>
      <c r="F11297" s="1973">
        <v>7</v>
      </c>
      <c r="G11297" s="1974"/>
      <c r="H11297" s="1975" t="s">
        <v>450</v>
      </c>
      <c r="I11297" s="1976"/>
      <c r="J11297" s="1976"/>
      <c r="K11297" s="1977"/>
      <c r="L11297" s="1976" t="s">
        <v>1138</v>
      </c>
      <c r="M11297" s="1976"/>
      <c r="N11297" s="1976"/>
      <c r="O11297" s="1976"/>
      <c r="P11297" s="1098"/>
    </row>
    <row r="11298" spans="1:16" s="1511" customFormat="1" ht="18">
      <c r="A11298" s="664" t="s">
        <v>163</v>
      </c>
      <c r="B11298" s="1975" t="s">
        <v>573</v>
      </c>
      <c r="C11298" s="1976"/>
      <c r="D11298" s="1977"/>
      <c r="E11298" s="665">
        <f>+L11215</f>
        <v>7.2528899999999998</v>
      </c>
      <c r="F11298" s="1973">
        <v>7</v>
      </c>
      <c r="G11298" s="1974"/>
      <c r="H11298" s="1975" t="s">
        <v>450</v>
      </c>
      <c r="I11298" s="1976"/>
      <c r="J11298" s="1976"/>
      <c r="K11298" s="1977"/>
      <c r="L11298" s="1976" t="s">
        <v>1138</v>
      </c>
      <c r="M11298" s="1976"/>
      <c r="N11298" s="1976"/>
      <c r="O11298" s="1976"/>
      <c r="P11298" s="1098"/>
    </row>
    <row r="11299" spans="1:16" s="1511" customFormat="1" ht="18">
      <c r="A11299" s="664"/>
      <c r="B11299" s="1975"/>
      <c r="C11299" s="1976"/>
      <c r="D11299" s="1977"/>
      <c r="E11299" s="665"/>
      <c r="F11299" s="1973"/>
      <c r="G11299" s="1974"/>
      <c r="H11299" s="1975"/>
      <c r="I11299" s="1976"/>
      <c r="J11299" s="1976"/>
      <c r="K11299" s="1977"/>
      <c r="L11299" s="1976"/>
      <c r="M11299" s="1976"/>
      <c r="N11299" s="1976"/>
      <c r="O11299" s="1976"/>
      <c r="P11299" s="1098"/>
    </row>
    <row r="11300" spans="1:16" s="1511" customFormat="1" ht="18">
      <c r="A11300" s="664"/>
      <c r="B11300" s="1502"/>
      <c r="C11300" s="1503"/>
      <c r="D11300" s="1504"/>
      <c r="E11300" s="665"/>
      <c r="F11300" s="1505"/>
      <c r="G11300" s="1506"/>
      <c r="H11300" s="1503"/>
      <c r="I11300" s="1842"/>
      <c r="J11300" s="1503"/>
      <c r="K11300" s="1503"/>
      <c r="L11300" s="1503"/>
      <c r="M11300" s="1503"/>
      <c r="N11300" s="1503"/>
      <c r="O11300" s="1503"/>
      <c r="P11300" s="1098"/>
    </row>
    <row r="11301" spans="1:16" ht="18">
      <c r="A11301" s="664" t="s">
        <v>302</v>
      </c>
      <c r="B11301" s="1975" t="s">
        <v>574</v>
      </c>
      <c r="C11301" s="1976"/>
      <c r="D11301" s="1977"/>
      <c r="E11301" s="665">
        <v>15</v>
      </c>
      <c r="F11301" s="1975">
        <v>7</v>
      </c>
      <c r="G11301" s="1977"/>
      <c r="H11301" s="2007" t="s">
        <v>592</v>
      </c>
      <c r="I11301" s="2007"/>
      <c r="J11301" s="2007"/>
      <c r="K11301" s="2007"/>
      <c r="L11301" s="1976" t="s">
        <v>1138</v>
      </c>
      <c r="M11301" s="1976"/>
      <c r="N11301" s="1976"/>
      <c r="O11301" s="1976"/>
      <c r="P11301" s="1098"/>
    </row>
    <row r="11302" spans="1:16" ht="18">
      <c r="A11302" s="664"/>
      <c r="B11302" s="1975"/>
      <c r="C11302" s="1976"/>
      <c r="D11302" s="1977"/>
      <c r="E11302" s="665"/>
      <c r="F11302" s="1975"/>
      <c r="G11302" s="1977"/>
      <c r="H11302" s="2007"/>
      <c r="I11302" s="2007"/>
      <c r="J11302" s="2007"/>
      <c r="K11302" s="2007"/>
      <c r="L11302" s="1976"/>
      <c r="M11302" s="1976"/>
      <c r="N11302" s="1976"/>
      <c r="O11302" s="1976"/>
      <c r="P11302" s="1098"/>
    </row>
    <row r="11303" spans="1:16" ht="18.600000000000001" thickBot="1">
      <c r="A11303" s="664"/>
      <c r="B11303" s="1502"/>
      <c r="C11303" s="1503"/>
      <c r="D11303" s="1503"/>
      <c r="E11303" s="665"/>
      <c r="F11303" s="1503"/>
      <c r="G11303" s="1504"/>
      <c r="H11303" s="1502"/>
      <c r="I11303" s="1842"/>
      <c r="J11303" s="1503"/>
      <c r="K11303" s="669"/>
      <c r="L11303" s="672"/>
      <c r="M11303" s="673"/>
      <c r="N11303" s="673"/>
      <c r="O11303" s="673"/>
      <c r="P11303" s="1098"/>
    </row>
    <row r="11304" spans="1:16" ht="18">
      <c r="A11304" s="674"/>
      <c r="B11304" s="675"/>
      <c r="C11304" s="676"/>
      <c r="D11304" s="676"/>
      <c r="E11304" s="1980">
        <f>SUM(E11287:E11303)</f>
        <v>353.70140499999991</v>
      </c>
      <c r="F11304" s="677"/>
      <c r="G11304" s="678"/>
      <c r="H11304" s="679"/>
      <c r="I11304" s="1848"/>
      <c r="J11304" s="676"/>
      <c r="K11304" s="680"/>
      <c r="L11304" s="679"/>
      <c r="M11304" s="676"/>
      <c r="N11304" s="677"/>
      <c r="O11304" s="676"/>
      <c r="P11304" s="1098"/>
    </row>
    <row r="11305" spans="1:16" ht="18.600000000000001" thickBot="1">
      <c r="A11305" s="681"/>
      <c r="B11305" s="682"/>
      <c r="C11305" s="683"/>
      <c r="D11305" s="683"/>
      <c r="E11305" s="1981"/>
      <c r="F11305" s="684"/>
      <c r="G11305" s="685"/>
      <c r="H11305" s="686"/>
      <c r="I11305" s="1850"/>
      <c r="J11305" s="683"/>
      <c r="K11305" s="687"/>
      <c r="L11305" s="686"/>
      <c r="M11305" s="683"/>
      <c r="N11305" s="684"/>
      <c r="O11305" s="683"/>
      <c r="P11305" s="1098"/>
    </row>
    <row r="11306" spans="1:16" ht="18">
      <c r="A11306" s="688" t="s">
        <v>31</v>
      </c>
      <c r="B11306" s="676"/>
      <c r="C11306" s="676"/>
      <c r="D11306" s="676"/>
      <c r="E11306" s="676"/>
      <c r="F11306" s="677"/>
      <c r="G11306" s="676"/>
      <c r="H11306" s="677"/>
      <c r="I11306" s="1848"/>
      <c r="J11306" s="676"/>
      <c r="K11306" s="689"/>
      <c r="L11306" s="677"/>
      <c r="M11306" s="676"/>
      <c r="N11306" s="677"/>
      <c r="O11306" s="676"/>
      <c r="P11306" s="1098"/>
    </row>
    <row r="11307" spans="1:16" ht="18">
      <c r="A11307" s="690"/>
      <c r="B11307" s="691"/>
      <c r="C11307" s="691"/>
      <c r="D11307" s="691"/>
      <c r="E11307" s="691"/>
      <c r="F11307" s="1501"/>
      <c r="G11307" s="691"/>
      <c r="H11307" s="1501"/>
      <c r="I11307" s="1849"/>
      <c r="J11307" s="691"/>
      <c r="K11307" s="693"/>
      <c r="L11307" s="1501"/>
      <c r="M11307" s="691"/>
      <c r="N11307" s="1501"/>
      <c r="O11307" s="691"/>
      <c r="P11307" s="1098"/>
    </row>
    <row r="11308" spans="1:16" ht="18.600000000000001" thickBot="1">
      <c r="A11308" s="1982" t="s">
        <v>32</v>
      </c>
      <c r="B11308" s="1983"/>
      <c r="C11308" s="1984" t="s">
        <v>33</v>
      </c>
      <c r="D11308" s="1985"/>
      <c r="E11308" s="694" t="s">
        <v>34</v>
      </c>
      <c r="F11308" s="694" t="s">
        <v>35</v>
      </c>
      <c r="G11308" s="1986" t="s">
        <v>36</v>
      </c>
      <c r="H11308" s="1987"/>
      <c r="I11308" s="1987"/>
      <c r="J11308" s="1987"/>
      <c r="K11308" s="1987"/>
      <c r="L11308" s="1987"/>
      <c r="M11308" s="1987"/>
      <c r="N11308" s="1987"/>
      <c r="O11308" s="1987"/>
      <c r="P11308" s="1098"/>
    </row>
    <row r="11309" spans="1:16" ht="18">
      <c r="A11309" s="1988"/>
      <c r="B11309" s="1989"/>
      <c r="C11309" s="1990"/>
      <c r="D11309" s="1989"/>
      <c r="E11309" s="1510"/>
      <c r="F11309" s="1507"/>
      <c r="G11309" s="1991"/>
      <c r="H11309" s="1992"/>
      <c r="I11309" s="1992"/>
      <c r="J11309" s="1992"/>
      <c r="K11309" s="1992"/>
      <c r="L11309" s="1992"/>
      <c r="M11309" s="1992"/>
      <c r="N11309" s="1992"/>
      <c r="O11309" s="1992"/>
      <c r="P11309" s="1098"/>
    </row>
    <row r="11310" spans="1:16" ht="18">
      <c r="A11310" s="1997" t="s">
        <v>37</v>
      </c>
      <c r="B11310" s="1998"/>
      <c r="C11310" s="1990"/>
      <c r="D11310" s="1989"/>
      <c r="E11310" s="1510"/>
      <c r="F11310" s="1507"/>
      <c r="G11310" s="1993"/>
      <c r="H11310" s="1994"/>
      <c r="I11310" s="1994"/>
      <c r="J11310" s="1994"/>
      <c r="K11310" s="1994"/>
      <c r="L11310" s="1994"/>
      <c r="M11310" s="1994"/>
      <c r="N11310" s="1994"/>
      <c r="O11310" s="1994"/>
      <c r="P11310" s="1098"/>
    </row>
    <row r="11311" spans="1:16" ht="18">
      <c r="A11311" s="1997" t="s">
        <v>38</v>
      </c>
      <c r="B11311" s="1998"/>
      <c r="C11311" s="1990"/>
      <c r="D11311" s="1989"/>
      <c r="E11311" s="1510"/>
      <c r="F11311" s="1507"/>
      <c r="G11311" s="1993"/>
      <c r="H11311" s="1994"/>
      <c r="I11311" s="1994"/>
      <c r="J11311" s="1994"/>
      <c r="K11311" s="1994"/>
      <c r="L11311" s="1994"/>
      <c r="M11311" s="1994"/>
      <c r="N11311" s="1994"/>
      <c r="O11311" s="1994"/>
      <c r="P11311" s="1098"/>
    </row>
    <row r="11312" spans="1:16" ht="18">
      <c r="A11312" s="1997" t="s">
        <v>39</v>
      </c>
      <c r="B11312" s="1998"/>
      <c r="C11312" s="1990"/>
      <c r="D11312" s="1989"/>
      <c r="E11312" s="1510"/>
      <c r="F11312" s="1507"/>
      <c r="G11312" s="1993"/>
      <c r="H11312" s="1994"/>
      <c r="I11312" s="1994"/>
      <c r="J11312" s="1994"/>
      <c r="K11312" s="1994"/>
      <c r="L11312" s="1994"/>
      <c r="M11312" s="1994"/>
      <c r="N11312" s="1994"/>
      <c r="O11312" s="1994"/>
      <c r="P11312" s="1098"/>
    </row>
    <row r="11313" spans="1:18" ht="18">
      <c r="A11313" s="1997" t="s">
        <v>40</v>
      </c>
      <c r="B11313" s="1998"/>
      <c r="C11313" s="1990"/>
      <c r="D11313" s="1989"/>
      <c r="E11313" s="1510"/>
      <c r="F11313" s="1507"/>
      <c r="G11313" s="1993"/>
      <c r="H11313" s="1994"/>
      <c r="I11313" s="1994"/>
      <c r="J11313" s="1994"/>
      <c r="K11313" s="1994"/>
      <c r="L11313" s="1994"/>
      <c r="M11313" s="1994"/>
      <c r="N11313" s="1994"/>
      <c r="O11313" s="1994"/>
      <c r="P11313" s="1098"/>
    </row>
    <row r="11314" spans="1:18" ht="18.600000000000001" thickBot="1">
      <c r="A11314" s="1999" t="s">
        <v>41</v>
      </c>
      <c r="B11314" s="2000"/>
      <c r="C11314" s="2001"/>
      <c r="D11314" s="2002"/>
      <c r="E11314" s="696"/>
      <c r="F11314" s="1508"/>
      <c r="G11314" s="1995"/>
      <c r="H11314" s="1996"/>
      <c r="I11314" s="1996"/>
      <c r="J11314" s="1996"/>
      <c r="K11314" s="1996"/>
      <c r="L11314" s="1996"/>
      <c r="M11314" s="1996"/>
      <c r="N11314" s="1996"/>
      <c r="O11314" s="1996"/>
      <c r="P11314" s="1098"/>
    </row>
    <row r="11315" spans="1:18" ht="18">
      <c r="A11315" s="690"/>
      <c r="B11315" s="691"/>
      <c r="C11315" s="691"/>
      <c r="D11315" s="691"/>
      <c r="E11315" s="691"/>
      <c r="F11315" s="1501"/>
      <c r="G11315" s="691"/>
      <c r="H11315" s="698"/>
      <c r="I11315" s="699"/>
      <c r="J11315" s="700"/>
      <c r="K11315" s="701"/>
      <c r="L11315" s="702"/>
      <c r="M11315" s="691"/>
      <c r="N11315" s="1501"/>
      <c r="O11315" s="691"/>
      <c r="P11315" s="1098"/>
    </row>
    <row r="11316" spans="1:18" ht="18">
      <c r="A11316" s="703" t="s">
        <v>42</v>
      </c>
      <c r="B11316" s="704"/>
      <c r="C11316" s="691"/>
      <c r="D11316" s="691"/>
      <c r="E11316" s="691"/>
      <c r="F11316" s="1501"/>
      <c r="G11316" s="704"/>
      <c r="H11316" s="698"/>
      <c r="I11316" s="699"/>
      <c r="J11316" s="700"/>
      <c r="K11316" s="693"/>
      <c r="L11316" s="705"/>
      <c r="M11316" s="691"/>
      <c r="N11316" s="1979" t="s">
        <v>43</v>
      </c>
      <c r="O11316" s="1979"/>
      <c r="P11316" s="1098"/>
    </row>
    <row r="11317" spans="1:18" ht="18">
      <c r="A11317" s="703"/>
      <c r="B11317" s="704"/>
      <c r="C11317" s="691"/>
      <c r="D11317" s="691"/>
      <c r="E11317" s="691"/>
      <c r="F11317" s="1501"/>
      <c r="G11317" s="691"/>
      <c r="H11317" s="1501"/>
      <c r="I11317" s="1849"/>
      <c r="J11317" s="691"/>
      <c r="K11317" s="693"/>
      <c r="L11317" s="1501"/>
      <c r="M11317" s="691"/>
      <c r="N11317" s="1501"/>
      <c r="O11317" s="704"/>
      <c r="P11317" s="1098"/>
    </row>
    <row r="11318" spans="1:18" ht="18">
      <c r="A11318" s="703" t="s">
        <v>44</v>
      </c>
      <c r="B11318" s="704"/>
      <c r="C11318" s="691"/>
      <c r="D11318" s="691"/>
      <c r="E11318" s="691"/>
      <c r="F11318" s="1501"/>
      <c r="G11318" s="691"/>
      <c r="H11318" s="1501"/>
      <c r="I11318" s="1849"/>
      <c r="J11318" s="691"/>
      <c r="K11318" s="693"/>
      <c r="L11318" s="1501"/>
      <c r="M11318" s="691"/>
      <c r="N11318" s="1979" t="s">
        <v>45</v>
      </c>
      <c r="O11318" s="1979"/>
      <c r="P11318" s="1098"/>
    </row>
    <row r="11319" spans="1:18" ht="18.600000000000001" thickBot="1">
      <c r="A11319" s="682"/>
      <c r="B11319" s="683"/>
      <c r="C11319" s="683"/>
      <c r="D11319" s="683"/>
      <c r="E11319" s="683"/>
      <c r="F11319" s="684"/>
      <c r="G11319" s="683"/>
      <c r="H11319" s="684"/>
      <c r="I11319" s="1850"/>
      <c r="J11319" s="683"/>
      <c r="K11319" s="706"/>
      <c r="L11319" s="684"/>
      <c r="M11319" s="683"/>
      <c r="N11319" s="684"/>
      <c r="O11319" s="683"/>
      <c r="P11319" s="1099"/>
    </row>
    <row r="11322" spans="1:18" ht="17.399999999999999">
      <c r="A11322" s="711" t="s">
        <v>48</v>
      </c>
      <c r="B11322" s="711"/>
      <c r="C11322" s="712"/>
      <c r="D11322" s="712"/>
      <c r="E11322" s="712"/>
      <c r="F11322" s="713"/>
      <c r="G11322" s="712"/>
      <c r="H11322" s="712"/>
      <c r="I11322" s="714"/>
      <c r="J11322" s="715"/>
      <c r="K11322" s="716"/>
      <c r="L11322" s="1978" t="s">
        <v>0</v>
      </c>
      <c r="M11322" s="1978"/>
      <c r="N11322" s="1978"/>
      <c r="O11322" s="1978"/>
      <c r="P11322" s="717"/>
    </row>
    <row r="11323" spans="1:18" ht="17.399999999999999">
      <c r="A11323" s="718" t="s">
        <v>1</v>
      </c>
      <c r="B11323" s="718"/>
      <c r="C11323" s="718"/>
      <c r="D11323" s="719" t="s">
        <v>2</v>
      </c>
      <c r="E11323" s="719"/>
      <c r="F11323" s="720"/>
      <c r="G11323" s="720"/>
      <c r="H11323" s="720"/>
      <c r="I11323" s="721"/>
      <c r="J11323" s="1527"/>
      <c r="K11323" s="723" t="s">
        <v>3</v>
      </c>
      <c r="L11323" s="1527"/>
      <c r="M11323" s="718"/>
      <c r="N11323" s="720"/>
      <c r="O11323" s="718"/>
      <c r="P11323" s="724"/>
    </row>
    <row r="11324" spans="1:18" ht="52.2">
      <c r="A11324" s="640" t="s">
        <v>4</v>
      </c>
      <c r="B11324" s="640" t="s">
        <v>5</v>
      </c>
      <c r="C11324" s="640" t="s">
        <v>6</v>
      </c>
      <c r="D11324" s="640" t="s">
        <v>7</v>
      </c>
      <c r="E11324" s="640" t="s">
        <v>8</v>
      </c>
      <c r="F11324" s="641" t="s">
        <v>9</v>
      </c>
      <c r="G11324" s="642" t="s">
        <v>10</v>
      </c>
      <c r="H11324" s="642" t="s">
        <v>11</v>
      </c>
      <c r="I11324" s="643" t="s">
        <v>12</v>
      </c>
      <c r="J11324" s="644" t="s">
        <v>13</v>
      </c>
      <c r="K11324" s="645" t="s">
        <v>14</v>
      </c>
      <c r="L11324" s="646" t="s">
        <v>15</v>
      </c>
      <c r="M11324" s="641" t="s">
        <v>16</v>
      </c>
      <c r="N11324" s="641" t="s">
        <v>17</v>
      </c>
      <c r="O11324" s="642" t="s">
        <v>18</v>
      </c>
      <c r="P11324" s="641" t="s">
        <v>192</v>
      </c>
    </row>
    <row r="11325" spans="1:18" ht="17.399999999999999">
      <c r="A11325" s="547" t="s">
        <v>395</v>
      </c>
      <c r="B11325" s="852" t="s">
        <v>1341</v>
      </c>
      <c r="C11325" s="547" t="s">
        <v>19</v>
      </c>
      <c r="D11325" s="813" t="s">
        <v>60</v>
      </c>
      <c r="E11325" s="547" t="s">
        <v>270</v>
      </c>
      <c r="F11325" s="772">
        <v>12</v>
      </c>
      <c r="G11325" s="1545" t="s">
        <v>61</v>
      </c>
      <c r="H11325" s="1577" t="s">
        <v>98</v>
      </c>
      <c r="I11325" s="558">
        <v>11.8</v>
      </c>
      <c r="J11325" s="566">
        <v>6.75</v>
      </c>
      <c r="K11325" s="563">
        <v>52</v>
      </c>
      <c r="L11325" s="552">
        <f>(I11325*J11325*K11325/1000)</f>
        <v>4.1417999999999999</v>
      </c>
      <c r="M11325" s="549">
        <v>3</v>
      </c>
      <c r="N11325" s="567">
        <f>J11325*M11325*I11325/1000</f>
        <v>0.23895000000000002</v>
      </c>
      <c r="O11325" s="549"/>
      <c r="P11325" s="549"/>
      <c r="Q11325" s="1511" t="s">
        <v>1402</v>
      </c>
    </row>
    <row r="11326" spans="1:18" ht="17.399999999999999">
      <c r="A11326" s="549"/>
      <c r="B11326" s="559" t="s">
        <v>277</v>
      </c>
      <c r="C11326" s="549"/>
      <c r="D11326" s="549"/>
      <c r="E11326" s="549"/>
      <c r="F11326" s="549"/>
      <c r="G11326" s="1545" t="s">
        <v>61</v>
      </c>
      <c r="H11326" s="1545" t="s">
        <v>98</v>
      </c>
      <c r="I11326" s="558">
        <v>11.8</v>
      </c>
      <c r="J11326" s="566">
        <v>8.25</v>
      </c>
      <c r="K11326" s="563">
        <v>196</v>
      </c>
      <c r="L11326" s="552">
        <f>(I11326*J11326*K11326/1000)</f>
        <v>19.0806</v>
      </c>
      <c r="M11326" s="549">
        <v>2</v>
      </c>
      <c r="N11326" s="567">
        <f>J11326*M11326*I11326/1000</f>
        <v>0.19470000000000001</v>
      </c>
      <c r="O11326" s="549"/>
      <c r="P11326" s="549"/>
      <c r="R11326" s="497">
        <v>-4</v>
      </c>
    </row>
    <row r="11327" spans="1:18" ht="17.399999999999999">
      <c r="A11327" s="549"/>
      <c r="B11327" s="549"/>
      <c r="C11327" s="549"/>
      <c r="D11327" s="549"/>
      <c r="E11327" s="549"/>
      <c r="F11327" s="549"/>
      <c r="G11327" s="1545" t="s">
        <v>61</v>
      </c>
      <c r="H11327" s="1545" t="s">
        <v>98</v>
      </c>
      <c r="I11327" s="558">
        <v>11.8</v>
      </c>
      <c r="J11327" s="566">
        <v>10</v>
      </c>
      <c r="K11327" s="563">
        <v>18</v>
      </c>
      <c r="L11327" s="552">
        <f>(I11327*J11327*K11327/1000)</f>
        <v>2.1240000000000001</v>
      </c>
      <c r="M11327" s="549">
        <f>2+1</f>
        <v>3</v>
      </c>
      <c r="N11327" s="567">
        <f>J11327*M11327*I11327/1000</f>
        <v>0.35399999999999998</v>
      </c>
      <c r="O11327" s="549"/>
      <c r="P11327" s="549"/>
      <c r="R11327" s="497">
        <v>-8</v>
      </c>
    </row>
    <row r="11328" spans="1:18" ht="17.399999999999999">
      <c r="A11328" s="549"/>
      <c r="B11328" s="549"/>
      <c r="C11328" s="549"/>
      <c r="D11328" s="549"/>
      <c r="E11328" s="549"/>
      <c r="F11328" s="549"/>
      <c r="G11328" s="1545" t="s">
        <v>61</v>
      </c>
      <c r="H11328" s="1545" t="s">
        <v>98</v>
      </c>
      <c r="I11328" s="558">
        <v>11.8</v>
      </c>
      <c r="J11328" s="566">
        <v>12</v>
      </c>
      <c r="K11328" s="563">
        <f>876-4</f>
        <v>872</v>
      </c>
      <c r="L11328" s="552">
        <f>(I11328*J11328*K11328/1000)</f>
        <v>123.47520000000003</v>
      </c>
      <c r="M11328" s="549">
        <f>3+10+3</f>
        <v>16</v>
      </c>
      <c r="N11328" s="567">
        <f t="shared" ref="N11328" si="2291">J11328*M11328*I11328/1000</f>
        <v>2.2656000000000005</v>
      </c>
      <c r="O11328" s="549"/>
      <c r="P11328" s="549"/>
      <c r="R11328" s="497">
        <v>-4</v>
      </c>
    </row>
    <row r="11329" spans="1:19" ht="17.399999999999999">
      <c r="A11329" s="549"/>
      <c r="B11329" s="549"/>
      <c r="C11329" s="549"/>
      <c r="D11329" s="549"/>
      <c r="E11329" s="549"/>
      <c r="F11329" s="549"/>
      <c r="G11329" s="549"/>
      <c r="H11329" s="549"/>
      <c r="I11329" s="560"/>
      <c r="J11329" s="568"/>
      <c r="K11329" s="564">
        <f>SUM(K11325:K11328)</f>
        <v>1138</v>
      </c>
      <c r="L11329" s="1416">
        <f>SUM(L11325:L11328)</f>
        <v>148.82160000000002</v>
      </c>
      <c r="M11329" s="652">
        <f>SUM(M11325:M11328)</f>
        <v>24</v>
      </c>
      <c r="N11329" s="565">
        <f>SUM(N11325:N11328)</f>
        <v>3.0532500000000002</v>
      </c>
      <c r="O11329" s="549"/>
      <c r="P11329" s="549" t="s">
        <v>1348</v>
      </c>
    </row>
    <row r="11330" spans="1:19" s="1511" customFormat="1" ht="17.399999999999999">
      <c r="A11330" s="549"/>
      <c r="B11330" s="549"/>
      <c r="C11330" s="549"/>
      <c r="D11330" s="549"/>
      <c r="E11330" s="549"/>
      <c r="F11330" s="549"/>
      <c r="G11330" s="549"/>
      <c r="H11330" s="549"/>
      <c r="I11330" s="560"/>
      <c r="J11330" s="568"/>
      <c r="K11330" s="652"/>
      <c r="L11330" s="565"/>
      <c r="M11330" s="549"/>
      <c r="N11330" s="549"/>
      <c r="O11330" s="549"/>
      <c r="P11330" s="549"/>
    </row>
    <row r="11331" spans="1:19" ht="17.399999999999999">
      <c r="A11331" s="549"/>
      <c r="B11331" s="549"/>
      <c r="C11331" s="549"/>
      <c r="D11331" s="549"/>
      <c r="E11331" s="549"/>
      <c r="F11331" s="549"/>
      <c r="G11331" s="549"/>
      <c r="H11331" s="549"/>
      <c r="I11331" s="560"/>
      <c r="J11331" s="568"/>
      <c r="K11331" s="561"/>
      <c r="L11331" s="560"/>
      <c r="M11331" s="549"/>
      <c r="N11331" s="549"/>
      <c r="O11331" s="549"/>
      <c r="P11331" s="549"/>
    </row>
    <row r="11332" spans="1:19" ht="17.399999999999999">
      <c r="A11332" s="547" t="s">
        <v>395</v>
      </c>
      <c r="B11332" s="852" t="s">
        <v>1341</v>
      </c>
      <c r="C11332" s="547" t="s">
        <v>19</v>
      </c>
      <c r="D11332" s="813" t="s">
        <v>60</v>
      </c>
      <c r="E11332" s="547" t="s">
        <v>270</v>
      </c>
      <c r="F11332" s="772">
        <v>12</v>
      </c>
      <c r="G11332" s="1545" t="s">
        <v>61</v>
      </c>
      <c r="H11332" s="1577" t="s">
        <v>97</v>
      </c>
      <c r="I11332" s="558">
        <v>10.199999999999999</v>
      </c>
      <c r="J11332" s="566">
        <v>11.5</v>
      </c>
      <c r="K11332" s="563">
        <f>52-44</f>
        <v>8</v>
      </c>
      <c r="L11332" s="552">
        <f>(I11332*J11332*K11332/1000)</f>
        <v>0.93840000000000001</v>
      </c>
      <c r="M11332" s="549">
        <v>1</v>
      </c>
      <c r="N11332" s="567">
        <f>J11332*M11332*I11332/1000</f>
        <v>0.1173</v>
      </c>
      <c r="O11332" s="549"/>
      <c r="P11332" s="549"/>
      <c r="Q11332" s="1511" t="s">
        <v>1402</v>
      </c>
    </row>
    <row r="11333" spans="1:19" s="1511" customFormat="1" ht="17.399999999999999">
      <c r="A11333" s="547"/>
      <c r="B11333" s="547"/>
      <c r="C11333" s="547"/>
      <c r="D11333" s="813"/>
      <c r="E11333" s="547"/>
      <c r="F11333" s="772"/>
      <c r="G11333" s="1545" t="s">
        <v>61</v>
      </c>
      <c r="H11333" s="1545" t="s">
        <v>97</v>
      </c>
      <c r="I11333" s="558">
        <v>10.199999999999999</v>
      </c>
      <c r="J11333" s="566">
        <v>7.2</v>
      </c>
      <c r="K11333" s="563">
        <v>24</v>
      </c>
      <c r="L11333" s="552">
        <f>(I11333*J11333*K11333/1000)</f>
        <v>1.7625599999999999</v>
      </c>
      <c r="M11333" s="549"/>
      <c r="N11333" s="567"/>
      <c r="O11333" s="549"/>
      <c r="P11333" s="549"/>
    </row>
    <row r="11334" spans="1:19" ht="17.399999999999999">
      <c r="A11334" s="549"/>
      <c r="B11334" s="559" t="s">
        <v>277</v>
      </c>
      <c r="C11334" s="549"/>
      <c r="D11334" s="549"/>
      <c r="E11334" s="549"/>
      <c r="F11334" s="549"/>
      <c r="G11334" s="549"/>
      <c r="H11334" s="549"/>
      <c r="I11334" s="560"/>
      <c r="J11334" s="568"/>
      <c r="K11334" s="564">
        <f>SUM(K11332:K11333)</f>
        <v>32</v>
      </c>
      <c r="L11334" s="1416">
        <f>SUM(L11332:L11333)</f>
        <v>2.7009599999999998</v>
      </c>
      <c r="M11334" s="652">
        <f>SUM(M11332:M11332)</f>
        <v>1</v>
      </c>
      <c r="N11334" s="565">
        <f>SUM(N11332:N11332)</f>
        <v>0.1173</v>
      </c>
      <c r="O11334" s="549"/>
      <c r="P11334" s="549" t="s">
        <v>1349</v>
      </c>
    </row>
    <row r="11335" spans="1:19" s="1511" customFormat="1" ht="17.399999999999999">
      <c r="A11335" s="549"/>
      <c r="B11335" s="559"/>
      <c r="C11335" s="549"/>
      <c r="D11335" s="549"/>
      <c r="E11335" s="549"/>
      <c r="F11335" s="549"/>
      <c r="G11335" s="549"/>
      <c r="H11335" s="549"/>
      <c r="I11335" s="560"/>
      <c r="J11335" s="568"/>
      <c r="K11335" s="564"/>
      <c r="L11335" s="565"/>
      <c r="M11335" s="549"/>
      <c r="N11335" s="549"/>
      <c r="O11335" s="549"/>
      <c r="P11335" s="549"/>
    </row>
    <row r="11336" spans="1:19" s="1511" customFormat="1" ht="17.399999999999999">
      <c r="A11336" s="547" t="s">
        <v>395</v>
      </c>
      <c r="B11336" s="547" t="s">
        <v>1341</v>
      </c>
      <c r="C11336" s="547" t="s">
        <v>19</v>
      </c>
      <c r="D11336" s="813" t="s">
        <v>60</v>
      </c>
      <c r="E11336" s="547" t="s">
        <v>270</v>
      </c>
      <c r="F11336" s="772">
        <v>12</v>
      </c>
      <c r="G11336" s="1545" t="s">
        <v>61</v>
      </c>
      <c r="H11336" s="1559" t="s">
        <v>97</v>
      </c>
      <c r="I11336" s="558">
        <v>10.199999999999999</v>
      </c>
      <c r="J11336" s="566">
        <v>11.5</v>
      </c>
      <c r="K11336" s="563">
        <v>44</v>
      </c>
      <c r="L11336" s="552">
        <f>(I11336*J11336*K11336/1000)</f>
        <v>5.1612</v>
      </c>
      <c r="M11336" s="549"/>
      <c r="N11336" s="567"/>
      <c r="O11336" s="549"/>
      <c r="P11336" s="549"/>
    </row>
    <row r="11337" spans="1:19" s="1511" customFormat="1" ht="17.399999999999999">
      <c r="A11337" s="549"/>
      <c r="B11337" s="1554" t="s">
        <v>73</v>
      </c>
      <c r="C11337" s="549"/>
      <c r="D11337" s="549"/>
      <c r="E11337" s="549"/>
      <c r="F11337" s="549"/>
      <c r="G11337" s="549"/>
      <c r="H11337" s="549"/>
      <c r="I11337" s="560"/>
      <c r="J11337" s="568"/>
      <c r="K11337" s="564">
        <f>SUM(K11336:K11336)</f>
        <v>44</v>
      </c>
      <c r="L11337" s="565">
        <f>SUM(L11336:L11336)</f>
        <v>5.1612</v>
      </c>
      <c r="M11337" s="652"/>
      <c r="N11337" s="565"/>
      <c r="O11337" s="549"/>
      <c r="P11337" s="549" t="s">
        <v>1349</v>
      </c>
    </row>
    <row r="11338" spans="1:19" s="1511" customFormat="1" ht="17.399999999999999">
      <c r="A11338" s="549"/>
      <c r="B11338" s="559"/>
      <c r="C11338" s="549"/>
      <c r="D11338" s="549"/>
      <c r="E11338" s="549"/>
      <c r="F11338" s="549"/>
      <c r="G11338" s="549"/>
      <c r="H11338" s="549"/>
      <c r="I11338" s="560"/>
      <c r="J11338" s="568"/>
      <c r="K11338" s="564"/>
      <c r="L11338" s="565">
        <f>+L11337+L11334</f>
        <v>7.8621599999999994</v>
      </c>
      <c r="M11338" s="652"/>
      <c r="N11338" s="565"/>
      <c r="O11338" s="549"/>
      <c r="P11338" s="549"/>
    </row>
    <row r="11339" spans="1:19" s="1511" customFormat="1" ht="17.399999999999999">
      <c r="A11339" s="549"/>
      <c r="B11339" s="559"/>
      <c r="C11339" s="549"/>
      <c r="D11339" s="549"/>
      <c r="E11339" s="549"/>
      <c r="F11339" s="549"/>
      <c r="G11339" s="549"/>
      <c r="H11339" s="549"/>
      <c r="I11339" s="560"/>
      <c r="J11339" s="568"/>
      <c r="K11339" s="564"/>
      <c r="L11339" s="565"/>
      <c r="M11339" s="549"/>
      <c r="N11339" s="549"/>
      <c r="O11339" s="549"/>
      <c r="P11339" s="549"/>
    </row>
    <row r="11340" spans="1:19" ht="17.399999999999999">
      <c r="A11340" s="549"/>
      <c r="B11340" s="549"/>
      <c r="C11340" s="549"/>
      <c r="D11340" s="549"/>
      <c r="E11340" s="549"/>
      <c r="F11340" s="549"/>
      <c r="G11340" s="549"/>
      <c r="H11340" s="549"/>
      <c r="I11340" s="560"/>
      <c r="J11340" s="568"/>
      <c r="K11340" s="561"/>
      <c r="L11340" s="560"/>
      <c r="M11340" s="549"/>
      <c r="N11340" s="549"/>
      <c r="O11340" s="549"/>
      <c r="P11340" s="549"/>
    </row>
    <row r="11341" spans="1:19" ht="17.399999999999999">
      <c r="A11341" s="547" t="s">
        <v>395</v>
      </c>
      <c r="B11341" s="547" t="s">
        <v>1341</v>
      </c>
      <c r="C11341" s="547" t="s">
        <v>19</v>
      </c>
      <c r="D11341" s="813" t="s">
        <v>49</v>
      </c>
      <c r="E11341" s="547" t="s">
        <v>359</v>
      </c>
      <c r="F11341" s="772">
        <v>12</v>
      </c>
      <c r="G11341" s="549" t="s">
        <v>21</v>
      </c>
      <c r="H11341" s="1577" t="s">
        <v>97</v>
      </c>
      <c r="I11341" s="558">
        <v>10.199999999999999</v>
      </c>
      <c r="J11341" s="566">
        <v>6</v>
      </c>
      <c r="K11341" s="563">
        <v>100</v>
      </c>
      <c r="L11341" s="552">
        <f>(I11341*J11341*K11341/1000)</f>
        <v>6.12</v>
      </c>
      <c r="M11341" s="549">
        <f>1+7+1+1</f>
        <v>10</v>
      </c>
      <c r="N11341" s="567">
        <f t="shared" ref="N11341:N11344" si="2292">J11341*M11341*I11341/1000</f>
        <v>0.61199999999999999</v>
      </c>
      <c r="O11341" s="549"/>
      <c r="P11341" s="549"/>
      <c r="R11341" s="1511" t="s">
        <v>168</v>
      </c>
      <c r="S11341" s="1511" t="s">
        <v>1405</v>
      </c>
    </row>
    <row r="11342" spans="1:19" ht="17.399999999999999">
      <c r="A11342" s="549"/>
      <c r="B11342" s="559" t="s">
        <v>277</v>
      </c>
      <c r="C11342" s="549"/>
      <c r="D11342" s="549"/>
      <c r="E11342" s="549"/>
      <c r="F11342" s="549"/>
      <c r="G11342" s="549" t="s">
        <v>21</v>
      </c>
      <c r="H11342" s="1545" t="s">
        <v>97</v>
      </c>
      <c r="I11342" s="558">
        <v>10.199999999999999</v>
      </c>
      <c r="J11342" s="566">
        <v>7.5</v>
      </c>
      <c r="K11342" s="563">
        <v>320</v>
      </c>
      <c r="L11342" s="552">
        <f>(I11342*J11342*K11342/1000)</f>
        <v>24.48</v>
      </c>
      <c r="M11342" s="549"/>
      <c r="N11342" s="567">
        <f t="shared" si="2292"/>
        <v>0</v>
      </c>
      <c r="O11342" s="549"/>
      <c r="P11342" s="549"/>
      <c r="R11342" s="1511" t="s">
        <v>168</v>
      </c>
    </row>
    <row r="11343" spans="1:19" ht="17.399999999999999">
      <c r="A11343" s="549"/>
      <c r="B11343" s="549"/>
      <c r="C11343" s="549"/>
      <c r="D11343" s="549"/>
      <c r="E11343" s="549"/>
      <c r="F11343" s="952"/>
      <c r="G11343" s="549" t="s">
        <v>21</v>
      </c>
      <c r="H11343" s="1545" t="s">
        <v>97</v>
      </c>
      <c r="I11343" s="558">
        <v>10.199999999999999</v>
      </c>
      <c r="J11343" s="566">
        <v>8</v>
      </c>
      <c r="K11343" s="563">
        <f>420-5</f>
        <v>415</v>
      </c>
      <c r="L11343" s="552">
        <f>(I11343*J11343*K11343/1000)</f>
        <v>33.863999999999997</v>
      </c>
      <c r="M11343" s="549">
        <f>4+1+1</f>
        <v>6</v>
      </c>
      <c r="N11343" s="567">
        <f t="shared" si="2292"/>
        <v>0.48959999999999998</v>
      </c>
      <c r="O11343" s="549"/>
      <c r="P11343" s="549"/>
      <c r="R11343" s="497">
        <v>-5</v>
      </c>
    </row>
    <row r="11344" spans="1:19" ht="17.399999999999999">
      <c r="A11344" s="549"/>
      <c r="B11344" s="549"/>
      <c r="C11344" s="549"/>
      <c r="D11344" s="549"/>
      <c r="E11344" s="549"/>
      <c r="F11344" s="549"/>
      <c r="G11344" s="549" t="s">
        <v>21</v>
      </c>
      <c r="H11344" s="1545" t="s">
        <v>97</v>
      </c>
      <c r="I11344" s="558">
        <v>10.199999999999999</v>
      </c>
      <c r="J11344" s="566">
        <v>11.25</v>
      </c>
      <c r="K11344" s="563">
        <f>160-14</f>
        <v>146</v>
      </c>
      <c r="L11344" s="552">
        <f>(I11344*J11344*K11344/1000)</f>
        <v>16.753499999999995</v>
      </c>
      <c r="M11344" s="549">
        <v>3</v>
      </c>
      <c r="N11344" s="567">
        <f t="shared" si="2292"/>
        <v>0.34425</v>
      </c>
      <c r="O11344" s="549"/>
      <c r="P11344" s="549"/>
      <c r="R11344" s="497">
        <v>-14</v>
      </c>
    </row>
    <row r="11345" spans="1:19" ht="17.399999999999999">
      <c r="A11345" s="549"/>
      <c r="B11345" s="549"/>
      <c r="C11345" s="549"/>
      <c r="D11345" s="549"/>
      <c r="E11345" s="549"/>
      <c r="F11345" s="549"/>
      <c r="G11345" s="549"/>
      <c r="H11345" s="549"/>
      <c r="I11345" s="560"/>
      <c r="J11345" s="568"/>
      <c r="K11345" s="564">
        <f>SUM(K11341:K11344)</f>
        <v>981</v>
      </c>
      <c r="L11345" s="1416">
        <f>SUM(L11341:L11344)</f>
        <v>81.217500000000001</v>
      </c>
      <c r="M11345" s="652">
        <f>SUM(M11341:M11344)</f>
        <v>19</v>
      </c>
      <c r="N11345" s="565">
        <f>SUM(N11341:N11344)</f>
        <v>1.4458499999999999</v>
      </c>
      <c r="O11345" s="549"/>
      <c r="P11345" s="549" t="s">
        <v>1350</v>
      </c>
    </row>
    <row r="11346" spans="1:19" s="1511" customFormat="1" ht="17.399999999999999">
      <c r="A11346" s="549"/>
      <c r="B11346" s="549"/>
      <c r="C11346" s="549"/>
      <c r="D11346" s="549"/>
      <c r="E11346" s="549"/>
      <c r="F11346" s="549"/>
      <c r="G11346" s="549"/>
      <c r="H11346" s="549"/>
      <c r="I11346" s="560"/>
      <c r="J11346" s="568"/>
      <c r="K11346" s="564"/>
      <c r="L11346" s="565"/>
      <c r="M11346" s="561"/>
      <c r="N11346" s="549"/>
      <c r="O11346" s="549"/>
      <c r="P11346" s="549"/>
    </row>
    <row r="11347" spans="1:19" s="1511" customFormat="1" ht="17.399999999999999">
      <c r="A11347" s="549"/>
      <c r="B11347" s="549"/>
      <c r="C11347" s="549"/>
      <c r="D11347" s="549"/>
      <c r="E11347" s="549"/>
      <c r="F11347" s="549"/>
      <c r="G11347" s="549"/>
      <c r="H11347" s="549"/>
      <c r="I11347" s="560"/>
      <c r="J11347" s="568"/>
      <c r="K11347" s="564"/>
      <c r="L11347" s="565"/>
      <c r="M11347" s="561"/>
      <c r="N11347" s="549"/>
      <c r="O11347" s="549"/>
      <c r="P11347" s="549"/>
    </row>
    <row r="11348" spans="1:19" ht="17.399999999999999">
      <c r="A11348" s="549"/>
      <c r="B11348" s="549"/>
      <c r="C11348" s="549"/>
      <c r="D11348" s="549"/>
      <c r="E11348" s="549"/>
      <c r="F11348" s="549"/>
      <c r="G11348" s="549"/>
      <c r="H11348" s="549"/>
      <c r="I11348" s="560"/>
      <c r="J11348" s="568"/>
      <c r="K11348" s="561"/>
      <c r="L11348" s="560"/>
      <c r="M11348" s="561"/>
      <c r="N11348" s="549"/>
      <c r="O11348" s="549"/>
      <c r="P11348" s="549"/>
    </row>
    <row r="11349" spans="1:19" ht="17.399999999999999">
      <c r="A11349" s="547" t="s">
        <v>395</v>
      </c>
      <c r="B11349" s="547" t="s">
        <v>1341</v>
      </c>
      <c r="C11349" s="547" t="s">
        <v>19</v>
      </c>
      <c r="D11349" s="813" t="s">
        <v>49</v>
      </c>
      <c r="E11349" s="547" t="s">
        <v>359</v>
      </c>
      <c r="F11349" s="772">
        <v>12</v>
      </c>
      <c r="G11349" s="549" t="s">
        <v>21</v>
      </c>
      <c r="H11349" s="1577" t="s">
        <v>98</v>
      </c>
      <c r="I11349" s="558">
        <v>11.8</v>
      </c>
      <c r="J11349" s="566">
        <v>7.5</v>
      </c>
      <c r="K11349" s="563">
        <v>158</v>
      </c>
      <c r="L11349" s="552">
        <f>(I11349*J11349*K11349/1000)</f>
        <v>13.983000000000001</v>
      </c>
      <c r="M11349" s="561">
        <f>6+4</f>
        <v>10</v>
      </c>
      <c r="N11349" s="567">
        <f t="shared" ref="N11349:N11350" si="2293">J11349*M11349*I11349/1000</f>
        <v>0.88500000000000001</v>
      </c>
      <c r="O11349" s="549"/>
      <c r="P11349" s="549"/>
      <c r="R11349" s="1511" t="s">
        <v>168</v>
      </c>
      <c r="S11349" s="1511" t="s">
        <v>1405</v>
      </c>
    </row>
    <row r="11350" spans="1:19" ht="17.399999999999999">
      <c r="A11350" s="549"/>
      <c r="B11350" s="559" t="s">
        <v>277</v>
      </c>
      <c r="C11350" s="549"/>
      <c r="D11350" s="549"/>
      <c r="E11350" s="549"/>
      <c r="F11350" s="549"/>
      <c r="G11350" s="549" t="s">
        <v>21</v>
      </c>
      <c r="H11350" s="1545" t="s">
        <v>98</v>
      </c>
      <c r="I11350" s="558">
        <v>11.8</v>
      </c>
      <c r="J11350" s="566">
        <v>11.5</v>
      </c>
      <c r="K11350" s="563">
        <f>95-5</f>
        <v>90</v>
      </c>
      <c r="L11350" s="552">
        <f>(I11350*J11350*K11350/1000)</f>
        <v>12.213000000000001</v>
      </c>
      <c r="M11350" s="561">
        <v>10</v>
      </c>
      <c r="N11350" s="567">
        <f t="shared" si="2293"/>
        <v>1.357</v>
      </c>
      <c r="O11350" s="549"/>
      <c r="P11350" s="549"/>
      <c r="R11350" s="497">
        <v>-5</v>
      </c>
    </row>
    <row r="11351" spans="1:19" ht="17.399999999999999">
      <c r="A11351" s="549"/>
      <c r="B11351" s="549"/>
      <c r="C11351" s="549"/>
      <c r="D11351" s="549"/>
      <c r="E11351" s="549"/>
      <c r="F11351" s="549"/>
      <c r="G11351" s="549"/>
      <c r="H11351" s="549"/>
      <c r="I11351" s="560"/>
      <c r="J11351" s="568"/>
      <c r="K11351" s="564">
        <f>SUM(K11349:K11350)</f>
        <v>248</v>
      </c>
      <c r="L11351" s="1416">
        <f>SUM(L11349:L11350)</f>
        <v>26.196000000000002</v>
      </c>
      <c r="M11351" s="652">
        <f>SUM(M11349:M11350)</f>
        <v>20</v>
      </c>
      <c r="N11351" s="565">
        <f>SUM(N11349:N11350)</f>
        <v>2.242</v>
      </c>
      <c r="O11351" s="549"/>
      <c r="P11351" s="549" t="s">
        <v>1351</v>
      </c>
    </row>
    <row r="11352" spans="1:19" s="1511" customFormat="1" ht="17.399999999999999">
      <c r="A11352" s="549"/>
      <c r="B11352" s="549"/>
      <c r="C11352" s="549"/>
      <c r="D11352" s="549"/>
      <c r="E11352" s="549"/>
      <c r="F11352" s="549"/>
      <c r="G11352" s="549"/>
      <c r="H11352" s="549"/>
      <c r="I11352" s="560"/>
      <c r="J11352" s="568"/>
      <c r="K11352" s="564"/>
      <c r="L11352" s="565"/>
      <c r="M11352" s="549"/>
      <c r="N11352" s="549"/>
      <c r="O11352" s="549"/>
      <c r="P11352" s="549"/>
    </row>
    <row r="11353" spans="1:19" ht="17.399999999999999">
      <c r="A11353" s="549"/>
      <c r="B11353" s="549"/>
      <c r="C11353" s="549"/>
      <c r="D11353" s="549"/>
      <c r="E11353" s="549"/>
      <c r="F11353" s="549"/>
      <c r="G11353" s="549"/>
      <c r="H11353" s="549"/>
      <c r="I11353" s="560"/>
      <c r="J11353" s="568"/>
      <c r="K11353" s="561"/>
      <c r="L11353" s="560"/>
      <c r="M11353" s="549"/>
      <c r="N11353" s="549"/>
      <c r="O11353" s="549"/>
      <c r="P11353" s="549"/>
    </row>
    <row r="11354" spans="1:19" ht="17.399999999999999">
      <c r="A11354" s="549"/>
      <c r="B11354" s="549"/>
      <c r="C11354" s="549"/>
      <c r="D11354" s="549"/>
      <c r="E11354" s="549"/>
      <c r="F11354" s="549"/>
      <c r="G11354" s="549"/>
      <c r="H11354" s="549"/>
      <c r="I11354" s="560"/>
      <c r="J11354" s="568"/>
      <c r="K11354" s="561"/>
      <c r="L11354" s="560"/>
      <c r="M11354" s="549"/>
      <c r="N11354" s="549"/>
      <c r="O11354" s="549"/>
      <c r="P11354" s="549"/>
    </row>
    <row r="11355" spans="1:19" ht="17.399999999999999">
      <c r="A11355" s="547" t="s">
        <v>395</v>
      </c>
      <c r="B11355" s="852" t="s">
        <v>1321</v>
      </c>
      <c r="C11355" s="547" t="s">
        <v>446</v>
      </c>
      <c r="D11355" s="813" t="s">
        <v>447</v>
      </c>
      <c r="E11355" s="547" t="s">
        <v>359</v>
      </c>
      <c r="F11355" s="549">
        <v>12</v>
      </c>
      <c r="G11355" s="1545" t="s">
        <v>444</v>
      </c>
      <c r="H11355" s="1577" t="s">
        <v>97</v>
      </c>
      <c r="I11355" s="558">
        <v>10.199999999999999</v>
      </c>
      <c r="J11355" s="568">
        <v>7.25</v>
      </c>
      <c r="K11355" s="648">
        <v>16</v>
      </c>
      <c r="L11355" s="552">
        <f t="shared" ref="L11355:L11359" si="2294">(I11355*J11355*K11355/1000)</f>
        <v>1.1831999999999998</v>
      </c>
      <c r="M11355" s="549">
        <f>2+2+1</f>
        <v>5</v>
      </c>
      <c r="N11355" s="567">
        <f t="shared" ref="N11355:N11359" si="2295">J11355*M11355*I11355/1000</f>
        <v>0.36975000000000002</v>
      </c>
      <c r="O11355" s="549"/>
      <c r="P11355" s="549"/>
      <c r="Q11355" s="1511" t="s">
        <v>1435</v>
      </c>
    </row>
    <row r="11356" spans="1:19" ht="17.399999999999999">
      <c r="A11356" s="549"/>
      <c r="B11356" s="559"/>
      <c r="C11356" s="549"/>
      <c r="D11356" s="549"/>
      <c r="E11356" s="549"/>
      <c r="F11356" s="549"/>
      <c r="G11356" s="1545" t="s">
        <v>444</v>
      </c>
      <c r="H11356" s="1545" t="s">
        <v>97</v>
      </c>
      <c r="I11356" s="558">
        <v>10.199999999999999</v>
      </c>
      <c r="J11356" s="568">
        <v>8.25</v>
      </c>
      <c r="K11356" s="648">
        <v>16</v>
      </c>
      <c r="L11356" s="552">
        <f t="shared" si="2294"/>
        <v>1.3463999999999998</v>
      </c>
      <c r="M11356" s="549">
        <f>1+2+1+1+2+4+1</f>
        <v>12</v>
      </c>
      <c r="N11356" s="567">
        <f t="shared" si="2295"/>
        <v>1.0098</v>
      </c>
      <c r="O11356" s="549"/>
      <c r="P11356" s="549"/>
    </row>
    <row r="11357" spans="1:19" ht="17.399999999999999">
      <c r="A11357" s="549"/>
      <c r="B11357" s="549"/>
      <c r="C11357" s="549"/>
      <c r="D11357" s="549"/>
      <c r="E11357" s="549"/>
      <c r="F11357" s="549"/>
      <c r="G11357" s="1545" t="s">
        <v>444</v>
      </c>
      <c r="H11357" s="1545" t="s">
        <v>97</v>
      </c>
      <c r="I11357" s="558">
        <v>10.199999999999999</v>
      </c>
      <c r="J11357" s="568">
        <v>10</v>
      </c>
      <c r="K11357" s="648">
        <v>21</v>
      </c>
      <c r="L11357" s="552">
        <f t="shared" si="2294"/>
        <v>2.1419999999999999</v>
      </c>
      <c r="M11357" s="549">
        <v>2</v>
      </c>
      <c r="N11357" s="567">
        <f t="shared" si="2295"/>
        <v>0.20399999999999999</v>
      </c>
      <c r="O11357" s="549"/>
      <c r="P11357" s="549"/>
    </row>
    <row r="11358" spans="1:19" ht="17.399999999999999">
      <c r="A11358" s="549"/>
      <c r="B11358" s="549"/>
      <c r="C11358" s="549"/>
      <c r="D11358" s="549"/>
      <c r="E11358" s="549"/>
      <c r="F11358" s="549"/>
      <c r="G11358" s="1545" t="s">
        <v>444</v>
      </c>
      <c r="H11358" s="1545" t="s">
        <v>97</v>
      </c>
      <c r="I11358" s="558">
        <v>10.199999999999999</v>
      </c>
      <c r="J11358" s="568">
        <v>10.5</v>
      </c>
      <c r="K11358" s="648">
        <v>23</v>
      </c>
      <c r="L11358" s="552">
        <f t="shared" si="2294"/>
        <v>2.4632999999999998</v>
      </c>
      <c r="M11358" s="549">
        <f>3+4+1+4+11</f>
        <v>23</v>
      </c>
      <c r="N11358" s="567">
        <f t="shared" si="2295"/>
        <v>2.4632999999999998</v>
      </c>
      <c r="O11358" s="549"/>
      <c r="P11358" s="549"/>
    </row>
    <row r="11359" spans="1:19" ht="17.399999999999999">
      <c r="A11359" s="549"/>
      <c r="B11359" s="549"/>
      <c r="C11359" s="549"/>
      <c r="D11359" s="549"/>
      <c r="E11359" s="549"/>
      <c r="F11359" s="549"/>
      <c r="G11359" s="1545" t="s">
        <v>444</v>
      </c>
      <c r="H11359" s="1545" t="s">
        <v>97</v>
      </c>
      <c r="I11359" s="558">
        <v>10.199999999999999</v>
      </c>
      <c r="J11359" s="568">
        <v>12</v>
      </c>
      <c r="K11359" s="648">
        <v>30</v>
      </c>
      <c r="L11359" s="552">
        <f t="shared" si="2294"/>
        <v>3.6719999999999997</v>
      </c>
      <c r="M11359" s="549">
        <f>4+7+3</f>
        <v>14</v>
      </c>
      <c r="N11359" s="567">
        <f t="shared" si="2295"/>
        <v>1.7136</v>
      </c>
      <c r="O11359" s="549"/>
      <c r="P11359" s="549"/>
    </row>
    <row r="11360" spans="1:19" ht="17.399999999999999">
      <c r="A11360" s="549"/>
      <c r="B11360" s="549"/>
      <c r="C11360" s="549"/>
      <c r="D11360" s="549"/>
      <c r="E11360" s="549"/>
      <c r="F11360" s="549"/>
      <c r="G11360" s="1545"/>
      <c r="H11360" s="1545"/>
      <c r="I11360" s="558"/>
      <c r="J11360" s="568"/>
      <c r="K11360" s="648">
        <f t="shared" ref="K11360:N11360" si="2296">SUM(K11355:K11359)</f>
        <v>106</v>
      </c>
      <c r="L11360" s="567">
        <f t="shared" si="2296"/>
        <v>10.806899999999999</v>
      </c>
      <c r="M11360" s="648">
        <f t="shared" si="2296"/>
        <v>56</v>
      </c>
      <c r="N11360" s="567">
        <f t="shared" si="2296"/>
        <v>5.7604500000000005</v>
      </c>
      <c r="O11360" s="549"/>
      <c r="P11360" s="549"/>
    </row>
    <row r="11361" spans="1:17" s="1511" customFormat="1" ht="17.399999999999999">
      <c r="A11361" s="549"/>
      <c r="B11361" s="549"/>
      <c r="C11361" s="549"/>
      <c r="D11361" s="549"/>
      <c r="E11361" s="549"/>
      <c r="F11361" s="549"/>
      <c r="G11361" s="1545"/>
      <c r="H11361" s="1545"/>
      <c r="I11361" s="558"/>
      <c r="J11361" s="568"/>
      <c r="K11361" s="648"/>
      <c r="L11361" s="567"/>
      <c r="M11361" s="549"/>
      <c r="N11361" s="549"/>
      <c r="O11361" s="549"/>
      <c r="P11361" s="549"/>
    </row>
    <row r="11362" spans="1:17" ht="17.399999999999999">
      <c r="A11362" s="547" t="s">
        <v>83</v>
      </c>
      <c r="B11362" s="547" t="s">
        <v>1341</v>
      </c>
      <c r="C11362" s="547" t="s">
        <v>446</v>
      </c>
      <c r="D11362" s="813" t="s">
        <v>447</v>
      </c>
      <c r="E11362" s="547" t="s">
        <v>359</v>
      </c>
      <c r="F11362" s="549">
        <v>12</v>
      </c>
      <c r="G11362" s="1545" t="s">
        <v>444</v>
      </c>
      <c r="H11362" s="1577" t="s">
        <v>97</v>
      </c>
      <c r="I11362" s="558">
        <v>10.199999999999999</v>
      </c>
      <c r="J11362" s="566">
        <v>6.6</v>
      </c>
      <c r="K11362" s="726">
        <v>20</v>
      </c>
      <c r="L11362" s="552">
        <f>(I11362*J11362*K11362/1000)</f>
        <v>1.3463999999999998</v>
      </c>
      <c r="M11362" s="549">
        <f>1+3+1</f>
        <v>5</v>
      </c>
      <c r="N11362" s="567">
        <f t="shared" ref="N11362:N11364" si="2297">J11362*M11362*I11362/1000</f>
        <v>0.33659999999999995</v>
      </c>
      <c r="O11362" s="549"/>
      <c r="P11362" s="549"/>
      <c r="Q11362" s="1511" t="s">
        <v>1435</v>
      </c>
    </row>
    <row r="11363" spans="1:17" ht="17.399999999999999">
      <c r="A11363" s="549"/>
      <c r="B11363" s="559"/>
      <c r="C11363" s="549"/>
      <c r="D11363" s="549"/>
      <c r="E11363" s="549"/>
      <c r="F11363" s="549"/>
      <c r="G11363" s="1545" t="s">
        <v>444</v>
      </c>
      <c r="H11363" s="1545" t="s">
        <v>97</v>
      </c>
      <c r="I11363" s="558">
        <v>10.199999999999999</v>
      </c>
      <c r="J11363" s="566">
        <v>10.3</v>
      </c>
      <c r="K11363" s="726">
        <v>4</v>
      </c>
      <c r="L11363" s="552">
        <f>(I11363*J11363*K11363/1000)</f>
        <v>0.42024</v>
      </c>
      <c r="M11363" s="549">
        <v>4</v>
      </c>
      <c r="N11363" s="567">
        <f t="shared" si="2297"/>
        <v>0.42024</v>
      </c>
      <c r="O11363" s="549"/>
      <c r="P11363" s="549"/>
    </row>
    <row r="11364" spans="1:17" ht="17.399999999999999">
      <c r="A11364" s="549"/>
      <c r="B11364" s="549"/>
      <c r="C11364" s="549"/>
      <c r="D11364" s="549"/>
      <c r="E11364" s="549"/>
      <c r="F11364" s="549"/>
      <c r="G11364" s="1545" t="s">
        <v>444</v>
      </c>
      <c r="H11364" s="1545" t="s">
        <v>97</v>
      </c>
      <c r="I11364" s="558">
        <v>10.199999999999999</v>
      </c>
      <c r="J11364" s="566">
        <v>11.8</v>
      </c>
      <c r="K11364" s="726">
        <v>11</v>
      </c>
      <c r="L11364" s="552">
        <f>(I11364*J11364*K11364/1000)</f>
        <v>1.32396</v>
      </c>
      <c r="M11364" s="549">
        <v>1</v>
      </c>
      <c r="N11364" s="567">
        <f t="shared" si="2297"/>
        <v>0.12035999999999999</v>
      </c>
      <c r="O11364" s="549"/>
      <c r="P11364" s="549"/>
    </row>
    <row r="11365" spans="1:17" ht="17.399999999999999">
      <c r="A11365" s="549"/>
      <c r="B11365" s="549"/>
      <c r="C11365" s="549"/>
      <c r="D11365" s="549"/>
      <c r="E11365" s="549"/>
      <c r="F11365" s="549"/>
      <c r="G11365" s="1545"/>
      <c r="H11365" s="1545"/>
      <c r="I11365" s="558"/>
      <c r="J11365" s="568"/>
      <c r="K11365" s="652">
        <f>SUM(K11362:K11364)</f>
        <v>35</v>
      </c>
      <c r="L11365" s="1416">
        <f>SUM(L11362:L11364)</f>
        <v>3.0905999999999998</v>
      </c>
      <c r="M11365" s="652">
        <f>SUM(M11362:M11364)</f>
        <v>10</v>
      </c>
      <c r="N11365" s="565">
        <f>SUM(N11362:N11364)</f>
        <v>0.87719999999999998</v>
      </c>
      <c r="O11365" s="549"/>
      <c r="P11365" s="549"/>
    </row>
    <row r="11366" spans="1:17" s="1511" customFormat="1" ht="17.399999999999999">
      <c r="A11366" s="549"/>
      <c r="B11366" s="549"/>
      <c r="C11366" s="549"/>
      <c r="D11366" s="549"/>
      <c r="E11366" s="549"/>
      <c r="F11366" s="549"/>
      <c r="G11366" s="1545"/>
      <c r="H11366" s="1545"/>
      <c r="I11366" s="558"/>
      <c r="J11366" s="568"/>
      <c r="K11366" s="652">
        <f>SUM(K11355:K11365)/2</f>
        <v>141</v>
      </c>
      <c r="L11366" s="565">
        <f>SUM(L11355:L11365)/2</f>
        <v>13.897499999999997</v>
      </c>
      <c r="M11366" s="652">
        <f>SUM(M11355:M11365)/2</f>
        <v>66</v>
      </c>
      <c r="N11366" s="565">
        <f>SUM(N11355:N11365)/2</f>
        <v>6.6376500000000007</v>
      </c>
      <c r="O11366" s="549"/>
      <c r="P11366" s="549" t="s">
        <v>1352</v>
      </c>
    </row>
    <row r="11367" spans="1:17" s="1511" customFormat="1" ht="17.399999999999999">
      <c r="A11367" s="549"/>
      <c r="B11367" s="549"/>
      <c r="C11367" s="549"/>
      <c r="D11367" s="549"/>
      <c r="E11367" s="549"/>
      <c r="F11367" s="549"/>
      <c r="G11367" s="1545"/>
      <c r="H11367" s="1545"/>
      <c r="I11367" s="558"/>
      <c r="J11367" s="568"/>
      <c r="K11367" s="652"/>
      <c r="L11367" s="565"/>
      <c r="M11367" s="549"/>
      <c r="N11367" s="549"/>
      <c r="O11367" s="549"/>
      <c r="P11367" s="549"/>
    </row>
    <row r="11368" spans="1:17" s="1511" customFormat="1" ht="17.399999999999999">
      <c r="A11368" s="549"/>
      <c r="B11368" s="549"/>
      <c r="C11368" s="549"/>
      <c r="D11368" s="549"/>
      <c r="E11368" s="549"/>
      <c r="F11368" s="549"/>
      <c r="G11368" s="1545"/>
      <c r="H11368" s="1545"/>
      <c r="I11368" s="558"/>
      <c r="J11368" s="568"/>
      <c r="K11368" s="564"/>
      <c r="L11368" s="565"/>
      <c r="M11368" s="549"/>
      <c r="N11368" s="549"/>
      <c r="O11368" s="549"/>
      <c r="P11368" s="549"/>
    </row>
    <row r="11369" spans="1:17" ht="17.399999999999999">
      <c r="A11369" s="547" t="s">
        <v>395</v>
      </c>
      <c r="B11369" s="547" t="s">
        <v>1321</v>
      </c>
      <c r="C11369" s="547" t="s">
        <v>446</v>
      </c>
      <c r="D11369" s="813" t="s">
        <v>447</v>
      </c>
      <c r="E11369" s="547" t="s">
        <v>359</v>
      </c>
      <c r="F11369" s="549">
        <v>12</v>
      </c>
      <c r="G11369" s="1545" t="s">
        <v>444</v>
      </c>
      <c r="H11369" s="1577" t="s">
        <v>98</v>
      </c>
      <c r="I11369" s="558">
        <v>11.8</v>
      </c>
      <c r="J11369" s="568">
        <v>7.6</v>
      </c>
      <c r="K11369" s="648">
        <v>16</v>
      </c>
      <c r="L11369" s="552">
        <f t="shared" ref="L11369:L11373" si="2298">(I11369*J11369*K11369/1000)</f>
        <v>1.4348800000000002</v>
      </c>
      <c r="M11369" s="549"/>
      <c r="N11369" s="549"/>
      <c r="O11369" s="549"/>
      <c r="P11369" s="549"/>
      <c r="Q11369" s="1511" t="s">
        <v>1405</v>
      </c>
    </row>
    <row r="11370" spans="1:17" ht="17.399999999999999">
      <c r="A11370" s="549"/>
      <c r="B11370" s="559"/>
      <c r="C11370" s="549"/>
      <c r="D11370" s="549"/>
      <c r="E11370" s="549"/>
      <c r="F11370" s="549"/>
      <c r="G11370" s="1545" t="s">
        <v>444</v>
      </c>
      <c r="H11370" s="1545" t="s">
        <v>98</v>
      </c>
      <c r="I11370" s="558">
        <v>11.8</v>
      </c>
      <c r="J11370" s="568">
        <v>8.1</v>
      </c>
      <c r="K11370" s="648">
        <v>90</v>
      </c>
      <c r="L11370" s="552">
        <f t="shared" si="2298"/>
        <v>8.6021999999999998</v>
      </c>
      <c r="M11370" s="549"/>
      <c r="N11370" s="549"/>
      <c r="O11370" s="549"/>
      <c r="P11370" s="549"/>
    </row>
    <row r="11371" spans="1:17" ht="17.399999999999999">
      <c r="A11371" s="549"/>
      <c r="B11371" s="549"/>
      <c r="C11371" s="549"/>
      <c r="D11371" s="549"/>
      <c r="E11371" s="549"/>
      <c r="F11371" s="549"/>
      <c r="G11371" s="1545" t="s">
        <v>444</v>
      </c>
      <c r="H11371" s="1545" t="s">
        <v>98</v>
      </c>
      <c r="I11371" s="558">
        <v>11.8</v>
      </c>
      <c r="J11371" s="568">
        <v>8.25</v>
      </c>
      <c r="K11371" s="648">
        <v>40</v>
      </c>
      <c r="L11371" s="552">
        <f t="shared" si="2298"/>
        <v>3.8940000000000006</v>
      </c>
      <c r="M11371" s="549"/>
      <c r="N11371" s="549"/>
      <c r="O11371" s="549"/>
      <c r="P11371" s="549"/>
    </row>
    <row r="11372" spans="1:17" ht="17.399999999999999">
      <c r="A11372" s="549"/>
      <c r="B11372" s="549"/>
      <c r="C11372" s="549"/>
      <c r="D11372" s="549"/>
      <c r="E11372" s="549"/>
      <c r="F11372" s="549"/>
      <c r="G11372" s="1545" t="s">
        <v>444</v>
      </c>
      <c r="H11372" s="1545" t="s">
        <v>98</v>
      </c>
      <c r="I11372" s="558">
        <v>11.8</v>
      </c>
      <c r="J11372" s="568">
        <v>10.5</v>
      </c>
      <c r="K11372" s="648">
        <v>19</v>
      </c>
      <c r="L11372" s="552">
        <f t="shared" si="2298"/>
        <v>2.3540999999999999</v>
      </c>
      <c r="M11372" s="549"/>
      <c r="N11372" s="549"/>
      <c r="O11372" s="549"/>
      <c r="P11372" s="549"/>
    </row>
    <row r="11373" spans="1:17" ht="17.399999999999999">
      <c r="A11373" s="549"/>
      <c r="B11373" s="549"/>
      <c r="C11373" s="549"/>
      <c r="D11373" s="549"/>
      <c r="E11373" s="549"/>
      <c r="F11373" s="549"/>
      <c r="G11373" s="1545" t="s">
        <v>444</v>
      </c>
      <c r="H11373" s="1545" t="s">
        <v>98</v>
      </c>
      <c r="I11373" s="558">
        <v>11.8</v>
      </c>
      <c r="J11373" s="568">
        <v>12</v>
      </c>
      <c r="K11373" s="648">
        <v>57</v>
      </c>
      <c r="L11373" s="552">
        <f t="shared" si="2298"/>
        <v>8.071200000000001</v>
      </c>
      <c r="M11373" s="549"/>
      <c r="N11373" s="549"/>
      <c r="O11373" s="549"/>
      <c r="P11373" s="549"/>
    </row>
    <row r="11374" spans="1:17" ht="17.399999999999999">
      <c r="A11374" s="549"/>
      <c r="B11374" s="549"/>
      <c r="C11374" s="549"/>
      <c r="D11374" s="549"/>
      <c r="E11374" s="549"/>
      <c r="F11374" s="549"/>
      <c r="G11374" s="1545"/>
      <c r="H11374" s="1545"/>
      <c r="I11374" s="558"/>
      <c r="J11374" s="568"/>
      <c r="K11374" s="648">
        <f t="shared" ref="K11374:L11374" si="2299">SUM(K11369:K11373)</f>
        <v>222</v>
      </c>
      <c r="L11374" s="567">
        <f t="shared" si="2299"/>
        <v>24.356380000000001</v>
      </c>
      <c r="M11374" s="549"/>
      <c r="N11374" s="549"/>
      <c r="O11374" s="549"/>
      <c r="P11374" s="549"/>
    </row>
    <row r="11375" spans="1:17" s="1511" customFormat="1" ht="17.399999999999999">
      <c r="A11375" s="549"/>
      <c r="B11375" s="549"/>
      <c r="C11375" s="549"/>
      <c r="D11375" s="549"/>
      <c r="E11375" s="549"/>
      <c r="F11375" s="549"/>
      <c r="G11375" s="1545"/>
      <c r="H11375" s="1545"/>
      <c r="I11375" s="558"/>
      <c r="J11375" s="568"/>
      <c r="K11375" s="648"/>
      <c r="L11375" s="567"/>
      <c r="M11375" s="549"/>
      <c r="N11375" s="549"/>
      <c r="O11375" s="549"/>
      <c r="P11375" s="549"/>
    </row>
    <row r="11376" spans="1:17" ht="17.399999999999999">
      <c r="A11376" s="547" t="s">
        <v>83</v>
      </c>
      <c r="B11376" s="547" t="s">
        <v>1341</v>
      </c>
      <c r="C11376" s="547" t="s">
        <v>446</v>
      </c>
      <c r="D11376" s="813" t="s">
        <v>447</v>
      </c>
      <c r="E11376" s="547" t="s">
        <v>359</v>
      </c>
      <c r="F11376" s="549">
        <v>12</v>
      </c>
      <c r="G11376" s="1545" t="s">
        <v>444</v>
      </c>
      <c r="H11376" s="1577" t="s">
        <v>98</v>
      </c>
      <c r="I11376" s="558">
        <v>11.8</v>
      </c>
      <c r="J11376" s="566">
        <v>6.2</v>
      </c>
      <c r="K11376" s="726">
        <v>2</v>
      </c>
      <c r="L11376" s="552">
        <f t="shared" ref="L11376:L11383" si="2300">(I11376*J11376*K11376/1000)</f>
        <v>0.14632000000000003</v>
      </c>
      <c r="M11376" s="549">
        <v>2</v>
      </c>
      <c r="N11376" s="567">
        <f t="shared" ref="N11376:N11383" si="2301">J11376*M11376*I11376/1000</f>
        <v>0.14632000000000003</v>
      </c>
      <c r="O11376" s="562">
        <v>6.2</v>
      </c>
      <c r="P11376" s="549"/>
      <c r="Q11376" s="1511" t="s">
        <v>1405</v>
      </c>
    </row>
    <row r="11377" spans="1:17" ht="17.399999999999999">
      <c r="A11377" s="549"/>
      <c r="B11377" s="559"/>
      <c r="C11377" s="549"/>
      <c r="D11377" s="549"/>
      <c r="E11377" s="549"/>
      <c r="F11377" s="549"/>
      <c r="G11377" s="1545" t="s">
        <v>444</v>
      </c>
      <c r="H11377" s="1545" t="s">
        <v>98</v>
      </c>
      <c r="I11377" s="558">
        <v>11.8</v>
      </c>
      <c r="J11377" s="566">
        <v>7.1</v>
      </c>
      <c r="K11377" s="726">
        <v>16</v>
      </c>
      <c r="L11377" s="552">
        <f t="shared" si="2300"/>
        <v>1.3404800000000001</v>
      </c>
      <c r="M11377" s="549"/>
      <c r="N11377" s="567">
        <f t="shared" si="2301"/>
        <v>0</v>
      </c>
      <c r="O11377" s="549"/>
      <c r="P11377" s="549"/>
    </row>
    <row r="11378" spans="1:17" ht="17.399999999999999">
      <c r="A11378" s="549"/>
      <c r="B11378" s="549"/>
      <c r="C11378" s="549"/>
      <c r="D11378" s="549"/>
      <c r="E11378" s="549"/>
      <c r="F11378" s="549"/>
      <c r="G11378" s="1545" t="s">
        <v>444</v>
      </c>
      <c r="H11378" s="1545" t="s">
        <v>98</v>
      </c>
      <c r="I11378" s="558">
        <v>11.8</v>
      </c>
      <c r="J11378" s="566">
        <v>7.2</v>
      </c>
      <c r="K11378" s="726">
        <v>28</v>
      </c>
      <c r="L11378" s="552">
        <f t="shared" si="2300"/>
        <v>2.3788800000000001</v>
      </c>
      <c r="M11378" s="549"/>
      <c r="N11378" s="567">
        <f t="shared" si="2301"/>
        <v>0</v>
      </c>
      <c r="O11378" s="549"/>
      <c r="P11378" s="549"/>
    </row>
    <row r="11379" spans="1:17" ht="17.399999999999999">
      <c r="A11379" s="549"/>
      <c r="B11379" s="549"/>
      <c r="C11379" s="549"/>
      <c r="D11379" s="549"/>
      <c r="E11379" s="549"/>
      <c r="F11379" s="549"/>
      <c r="G11379" s="1545" t="s">
        <v>444</v>
      </c>
      <c r="H11379" s="1545" t="s">
        <v>98</v>
      </c>
      <c r="I11379" s="558">
        <v>11.8</v>
      </c>
      <c r="J11379" s="566">
        <v>7.4</v>
      </c>
      <c r="K11379" s="726">
        <v>23</v>
      </c>
      <c r="L11379" s="552">
        <f t="shared" si="2300"/>
        <v>2.0083600000000001</v>
      </c>
      <c r="M11379" s="549">
        <v>1</v>
      </c>
      <c r="N11379" s="567">
        <f t="shared" si="2301"/>
        <v>8.7320000000000009E-2</v>
      </c>
      <c r="O11379" s="549"/>
      <c r="P11379" s="549"/>
    </row>
    <row r="11380" spans="1:17" ht="17.399999999999999">
      <c r="A11380" s="549"/>
      <c r="B11380" s="549"/>
      <c r="C11380" s="549"/>
      <c r="D11380" s="549"/>
      <c r="E11380" s="549"/>
      <c r="F11380" s="549"/>
      <c r="G11380" s="1545" t="s">
        <v>444</v>
      </c>
      <c r="H11380" s="1545" t="s">
        <v>98</v>
      </c>
      <c r="I11380" s="558">
        <v>11.8</v>
      </c>
      <c r="J11380" s="568">
        <v>10.5</v>
      </c>
      <c r="K11380" s="726">
        <v>7</v>
      </c>
      <c r="L11380" s="552">
        <f t="shared" si="2300"/>
        <v>0.86730000000000007</v>
      </c>
      <c r="M11380" s="549">
        <v>1</v>
      </c>
      <c r="N11380" s="567">
        <f t="shared" si="2301"/>
        <v>0.12390000000000001</v>
      </c>
      <c r="O11380" s="549"/>
      <c r="P11380" s="562">
        <v>10</v>
      </c>
    </row>
    <row r="11381" spans="1:17" ht="17.399999999999999">
      <c r="A11381" s="549"/>
      <c r="B11381" s="549"/>
      <c r="C11381" s="549"/>
      <c r="D11381" s="549"/>
      <c r="E11381" s="549"/>
      <c r="F11381" s="549"/>
      <c r="G11381" s="1545" t="s">
        <v>444</v>
      </c>
      <c r="H11381" s="1545" t="s">
        <v>98</v>
      </c>
      <c r="I11381" s="558">
        <v>11.8</v>
      </c>
      <c r="J11381" s="566">
        <v>11</v>
      </c>
      <c r="K11381" s="726">
        <v>17</v>
      </c>
      <c r="L11381" s="552">
        <f t="shared" si="2300"/>
        <v>2.2066000000000003</v>
      </c>
      <c r="M11381" s="549"/>
      <c r="N11381" s="567">
        <f t="shared" si="2301"/>
        <v>0</v>
      </c>
      <c r="O11381" s="549"/>
      <c r="P11381" s="549"/>
    </row>
    <row r="11382" spans="1:17" ht="17.399999999999999">
      <c r="A11382" s="549"/>
      <c r="B11382" s="549"/>
      <c r="C11382" s="549"/>
      <c r="D11382" s="549"/>
      <c r="E11382" s="549"/>
      <c r="F11382" s="549"/>
      <c r="G11382" s="1545" t="s">
        <v>444</v>
      </c>
      <c r="H11382" s="1545" t="s">
        <v>98</v>
      </c>
      <c r="I11382" s="558">
        <v>11.8</v>
      </c>
      <c r="J11382" s="566">
        <v>11.2</v>
      </c>
      <c r="K11382" s="726">
        <v>32</v>
      </c>
      <c r="L11382" s="552">
        <f t="shared" si="2300"/>
        <v>4.22912</v>
      </c>
      <c r="M11382" s="549"/>
      <c r="N11382" s="567">
        <f t="shared" si="2301"/>
        <v>0</v>
      </c>
      <c r="O11382" s="549"/>
      <c r="P11382" s="549"/>
    </row>
    <row r="11383" spans="1:17" ht="17.399999999999999">
      <c r="A11383" s="549"/>
      <c r="B11383" s="549"/>
      <c r="C11383" s="549"/>
      <c r="D11383" s="549"/>
      <c r="E11383" s="549"/>
      <c r="F11383" s="549"/>
      <c r="G11383" s="1545" t="s">
        <v>444</v>
      </c>
      <c r="H11383" s="1545" t="s">
        <v>98</v>
      </c>
      <c r="I11383" s="558">
        <v>11.8</v>
      </c>
      <c r="J11383" s="568">
        <v>12</v>
      </c>
      <c r="K11383" s="726">
        <v>8</v>
      </c>
      <c r="L11383" s="552">
        <f t="shared" si="2300"/>
        <v>1.1328000000000003</v>
      </c>
      <c r="M11383" s="549"/>
      <c r="N11383" s="567">
        <f t="shared" si="2301"/>
        <v>0</v>
      </c>
      <c r="O11383" s="549"/>
      <c r="P11383" s="803">
        <v>11.3</v>
      </c>
    </row>
    <row r="11384" spans="1:17" ht="17.399999999999999">
      <c r="A11384" s="549"/>
      <c r="B11384" s="549"/>
      <c r="C11384" s="549"/>
      <c r="D11384" s="549"/>
      <c r="E11384" s="549"/>
      <c r="F11384" s="549"/>
      <c r="G11384" s="549"/>
      <c r="H11384" s="549"/>
      <c r="I11384" s="560"/>
      <c r="J11384" s="568"/>
      <c r="K11384" s="652">
        <f>SUM(K11376:K11383)</f>
        <v>133</v>
      </c>
      <c r="L11384" s="1416">
        <f>SUM(L11376:L11383)</f>
        <v>14.30986</v>
      </c>
      <c r="M11384" s="652">
        <f>SUM(M11376:M11383)</f>
        <v>4</v>
      </c>
      <c r="N11384" s="565">
        <f>SUM(N11376:N11383)</f>
        <v>0.35754000000000008</v>
      </c>
      <c r="O11384" s="549"/>
      <c r="P11384" s="549"/>
    </row>
    <row r="11385" spans="1:17" s="1511" customFormat="1" ht="17.399999999999999">
      <c r="A11385" s="549"/>
      <c r="B11385" s="549"/>
      <c r="C11385" s="549"/>
      <c r="D11385" s="549"/>
      <c r="E11385" s="549"/>
      <c r="F11385" s="549"/>
      <c r="G11385" s="549"/>
      <c r="H11385" s="549"/>
      <c r="I11385" s="560"/>
      <c r="J11385" s="568"/>
      <c r="K11385" s="652">
        <f>SUM(K11369:K11384)/2</f>
        <v>355</v>
      </c>
      <c r="L11385" s="565">
        <f>SUM(L11369:L11384)/2</f>
        <v>38.666240000000009</v>
      </c>
      <c r="M11385" s="652">
        <f>SUM(M11369:M11384)/2</f>
        <v>4</v>
      </c>
      <c r="N11385" s="565">
        <f>SUM(N11369:N11384)/2</f>
        <v>0.35754000000000008</v>
      </c>
      <c r="O11385" s="549"/>
      <c r="P11385" s="549" t="s">
        <v>1353</v>
      </c>
    </row>
    <row r="11386" spans="1:17" s="1511" customFormat="1" ht="17.399999999999999">
      <c r="A11386" s="549"/>
      <c r="B11386" s="549"/>
      <c r="C11386" s="549"/>
      <c r="D11386" s="549"/>
      <c r="E11386" s="549"/>
      <c r="F11386" s="549"/>
      <c r="G11386" s="549"/>
      <c r="H11386" s="549"/>
      <c r="I11386" s="560"/>
      <c r="J11386" s="568"/>
      <c r="K11386" s="564"/>
      <c r="L11386" s="565"/>
      <c r="M11386" s="549"/>
      <c r="N11386" s="549"/>
      <c r="O11386" s="549"/>
      <c r="P11386" s="549"/>
    </row>
    <row r="11387" spans="1:17" s="1511" customFormat="1" ht="17.399999999999999">
      <c r="A11387" s="549"/>
      <c r="B11387" s="549"/>
      <c r="C11387" s="549"/>
      <c r="D11387" s="549"/>
      <c r="E11387" s="549"/>
      <c r="F11387" s="549"/>
      <c r="G11387" s="549"/>
      <c r="H11387" s="549"/>
      <c r="I11387" s="560"/>
      <c r="J11387" s="568"/>
      <c r="K11387" s="564"/>
      <c r="L11387" s="565"/>
      <c r="M11387" s="549"/>
      <c r="N11387" s="549"/>
      <c r="O11387" s="549"/>
      <c r="P11387" s="549"/>
    </row>
    <row r="11388" spans="1:17" ht="17.399999999999999">
      <c r="A11388" s="547" t="s">
        <v>395</v>
      </c>
      <c r="B11388" s="547" t="s">
        <v>1321</v>
      </c>
      <c r="C11388" s="547" t="s">
        <v>446</v>
      </c>
      <c r="D11388" s="813" t="s">
        <v>447</v>
      </c>
      <c r="E11388" s="547" t="s">
        <v>359</v>
      </c>
      <c r="F11388" s="549">
        <v>12</v>
      </c>
      <c r="G11388" s="1545" t="s">
        <v>444</v>
      </c>
      <c r="H11388" s="1577" t="s">
        <v>95</v>
      </c>
      <c r="I11388" s="558">
        <v>13.4</v>
      </c>
      <c r="J11388" s="568">
        <v>7.5</v>
      </c>
      <c r="K11388" s="648">
        <v>24</v>
      </c>
      <c r="L11388" s="552">
        <f t="shared" ref="L11388:L11390" si="2302">(I11388*J11388*K11388/1000)</f>
        <v>2.4119999999999999</v>
      </c>
      <c r="M11388" s="549"/>
      <c r="N11388" s="567">
        <f t="shared" ref="N11388:N11390" si="2303">J11388*M11388*I11388/1000</f>
        <v>0</v>
      </c>
      <c r="O11388" s="549"/>
      <c r="P11388" s="549"/>
      <c r="Q11388" s="1511" t="s">
        <v>1405</v>
      </c>
    </row>
    <row r="11389" spans="1:17" ht="17.399999999999999">
      <c r="A11389" s="549"/>
      <c r="B11389" s="559"/>
      <c r="C11389" s="549"/>
      <c r="D11389" s="549"/>
      <c r="E11389" s="549"/>
      <c r="F11389" s="549"/>
      <c r="G11389" s="1545" t="s">
        <v>444</v>
      </c>
      <c r="H11389" s="1545" t="s">
        <v>95</v>
      </c>
      <c r="I11389" s="558">
        <v>13.4</v>
      </c>
      <c r="J11389" s="568">
        <v>10.5</v>
      </c>
      <c r="K11389" s="648">
        <v>44</v>
      </c>
      <c r="L11389" s="552">
        <f t="shared" si="2302"/>
        <v>6.1908000000000012</v>
      </c>
      <c r="M11389" s="549">
        <v>2</v>
      </c>
      <c r="N11389" s="567">
        <f t="shared" si="2303"/>
        <v>0.28140000000000004</v>
      </c>
      <c r="O11389" s="549"/>
      <c r="P11389" s="549"/>
    </row>
    <row r="11390" spans="1:17" ht="17.399999999999999">
      <c r="A11390" s="549"/>
      <c r="B11390" s="549"/>
      <c r="C11390" s="549"/>
      <c r="D11390" s="549"/>
      <c r="E11390" s="549"/>
      <c r="F11390" s="549"/>
      <c r="G11390" s="1545" t="s">
        <v>444</v>
      </c>
      <c r="H11390" s="1545" t="s">
        <v>95</v>
      </c>
      <c r="I11390" s="558">
        <v>13.4</v>
      </c>
      <c r="J11390" s="568">
        <v>12</v>
      </c>
      <c r="K11390" s="648">
        <v>9</v>
      </c>
      <c r="L11390" s="552">
        <f t="shared" si="2302"/>
        <v>1.4472</v>
      </c>
      <c r="M11390" s="549"/>
      <c r="N11390" s="567">
        <f t="shared" si="2303"/>
        <v>0</v>
      </c>
      <c r="O11390" s="549"/>
      <c r="P11390" s="549"/>
    </row>
    <row r="11391" spans="1:17" ht="17.399999999999999">
      <c r="A11391" s="549"/>
      <c r="B11391" s="549"/>
      <c r="C11391" s="549"/>
      <c r="D11391" s="549"/>
      <c r="E11391" s="549"/>
      <c r="F11391" s="549"/>
      <c r="G11391" s="1545"/>
      <c r="H11391" s="1545"/>
      <c r="I11391" s="558"/>
      <c r="J11391" s="568"/>
      <c r="K11391" s="648">
        <f t="shared" ref="K11391:N11391" si="2304">SUM(K11388:K11390)</f>
        <v>77</v>
      </c>
      <c r="L11391" s="567">
        <f t="shared" si="2304"/>
        <v>10.050000000000002</v>
      </c>
      <c r="M11391" s="648">
        <f t="shared" si="2304"/>
        <v>2</v>
      </c>
      <c r="N11391" s="567">
        <f t="shared" si="2304"/>
        <v>0.28140000000000004</v>
      </c>
      <c r="O11391" s="549"/>
      <c r="P11391" s="549" t="s">
        <v>1354</v>
      </c>
    </row>
    <row r="11392" spans="1:17" ht="17.399999999999999">
      <c r="A11392" s="549"/>
      <c r="B11392" s="549"/>
      <c r="C11392" s="549"/>
      <c r="D11392" s="549"/>
      <c r="E11392" s="549"/>
      <c r="F11392" s="549"/>
      <c r="G11392" s="549"/>
      <c r="H11392" s="549"/>
      <c r="I11392" s="560"/>
      <c r="J11392" s="568"/>
      <c r="K11392" s="561"/>
      <c r="L11392" s="560"/>
      <c r="M11392" s="549"/>
      <c r="N11392" s="549"/>
      <c r="O11392" s="549"/>
      <c r="P11392" s="549"/>
    </row>
    <row r="11393" spans="1:17" ht="17.399999999999999">
      <c r="A11393" s="547" t="s">
        <v>83</v>
      </c>
      <c r="B11393" s="547" t="s">
        <v>1341</v>
      </c>
      <c r="C11393" s="547" t="s">
        <v>446</v>
      </c>
      <c r="D11393" s="813" t="s">
        <v>447</v>
      </c>
      <c r="E11393" s="547" t="s">
        <v>359</v>
      </c>
      <c r="F11393" s="549">
        <v>12</v>
      </c>
      <c r="G11393" s="1545" t="s">
        <v>444</v>
      </c>
      <c r="H11393" s="1577" t="s">
        <v>95</v>
      </c>
      <c r="I11393" s="558">
        <v>13.4</v>
      </c>
      <c r="J11393" s="566">
        <v>6.7</v>
      </c>
      <c r="K11393" s="726">
        <v>2</v>
      </c>
      <c r="L11393" s="552">
        <f t="shared" ref="L11393:L11399" si="2305">(I11393*J11393*K11393/1000)</f>
        <v>0.17956</v>
      </c>
      <c r="M11393" s="549">
        <v>2</v>
      </c>
      <c r="N11393" s="567">
        <f t="shared" ref="N11393:N11399" si="2306">J11393*M11393*I11393/1000</f>
        <v>0.17956</v>
      </c>
      <c r="O11393" s="563"/>
      <c r="P11393" s="549"/>
      <c r="Q11393" s="1511" t="s">
        <v>1405</v>
      </c>
    </row>
    <row r="11394" spans="1:17" ht="17.399999999999999">
      <c r="A11394" s="549"/>
      <c r="B11394" s="559"/>
      <c r="C11394" s="549"/>
      <c r="D11394" s="549"/>
      <c r="E11394" s="549"/>
      <c r="F11394" s="549"/>
      <c r="G11394" s="1545" t="s">
        <v>444</v>
      </c>
      <c r="H11394" s="1545" t="s">
        <v>95</v>
      </c>
      <c r="I11394" s="558">
        <v>13.4</v>
      </c>
      <c r="J11394" s="566">
        <v>7.8</v>
      </c>
      <c r="K11394" s="726">
        <v>4</v>
      </c>
      <c r="L11394" s="552">
        <f t="shared" si="2305"/>
        <v>0.41808000000000001</v>
      </c>
      <c r="M11394" s="549"/>
      <c r="N11394" s="567">
        <f t="shared" si="2306"/>
        <v>0</v>
      </c>
      <c r="O11394" s="563"/>
      <c r="P11394" s="563">
        <v>7400</v>
      </c>
    </row>
    <row r="11395" spans="1:17" ht="17.399999999999999">
      <c r="A11395" s="549"/>
      <c r="B11395" s="549"/>
      <c r="C11395" s="549"/>
      <c r="D11395" s="549"/>
      <c r="E11395" s="549"/>
      <c r="F11395" s="549"/>
      <c r="G11395" s="1545" t="s">
        <v>444</v>
      </c>
      <c r="H11395" s="1545" t="s">
        <v>95</v>
      </c>
      <c r="I11395" s="558">
        <v>13.4</v>
      </c>
      <c r="J11395" s="566">
        <v>7.8</v>
      </c>
      <c r="K11395" s="726">
        <v>12</v>
      </c>
      <c r="L11395" s="552">
        <f t="shared" si="2305"/>
        <v>1.25424</v>
      </c>
      <c r="M11395" s="549">
        <f>1+1</f>
        <v>2</v>
      </c>
      <c r="N11395" s="567">
        <f t="shared" si="2306"/>
        <v>0.20904</v>
      </c>
      <c r="O11395" s="549"/>
      <c r="P11395" s="549"/>
    </row>
    <row r="11396" spans="1:17" ht="17.399999999999999">
      <c r="A11396" s="549"/>
      <c r="B11396" s="549"/>
      <c r="C11396" s="549"/>
      <c r="D11396" s="549"/>
      <c r="E11396" s="549"/>
      <c r="F11396" s="549"/>
      <c r="G11396" s="1545" t="s">
        <v>444</v>
      </c>
      <c r="H11396" s="1545" t="s">
        <v>95</v>
      </c>
      <c r="I11396" s="558">
        <v>13.4</v>
      </c>
      <c r="J11396" s="566">
        <v>8.6</v>
      </c>
      <c r="K11396" s="726">
        <v>7</v>
      </c>
      <c r="L11396" s="552">
        <f t="shared" si="2305"/>
        <v>0.80667999999999995</v>
      </c>
      <c r="M11396" s="549"/>
      <c r="N11396" s="567">
        <f t="shared" si="2306"/>
        <v>0</v>
      </c>
      <c r="O11396" s="563"/>
      <c r="P11396" s="563">
        <v>8000</v>
      </c>
    </row>
    <row r="11397" spans="1:17" ht="17.399999999999999">
      <c r="A11397" s="549"/>
      <c r="B11397" s="549"/>
      <c r="C11397" s="549"/>
      <c r="D11397" s="549"/>
      <c r="E11397" s="549"/>
      <c r="F11397" s="549"/>
      <c r="G11397" s="1545" t="s">
        <v>444</v>
      </c>
      <c r="H11397" s="1545" t="s">
        <v>95</v>
      </c>
      <c r="I11397" s="558">
        <v>13.4</v>
      </c>
      <c r="J11397" s="566">
        <v>8.6</v>
      </c>
      <c r="K11397" s="726">
        <v>16</v>
      </c>
      <c r="L11397" s="552">
        <f t="shared" si="2305"/>
        <v>1.8438399999999999</v>
      </c>
      <c r="M11397" s="549">
        <f>4+3+1+3+2+1</f>
        <v>14</v>
      </c>
      <c r="N11397" s="567">
        <f t="shared" si="2306"/>
        <v>1.6133599999999999</v>
      </c>
      <c r="O11397" s="549"/>
      <c r="P11397" s="549"/>
    </row>
    <row r="11398" spans="1:17" ht="17.399999999999999">
      <c r="A11398" s="549"/>
      <c r="B11398" s="549"/>
      <c r="C11398" s="549"/>
      <c r="D11398" s="549"/>
      <c r="E11398" s="549"/>
      <c r="F11398" s="549"/>
      <c r="G11398" s="1545" t="s">
        <v>444</v>
      </c>
      <c r="H11398" s="1545" t="s">
        <v>95</v>
      </c>
      <c r="I11398" s="558">
        <v>13.4</v>
      </c>
      <c r="J11398" s="566">
        <v>11.8</v>
      </c>
      <c r="K11398" s="726">
        <v>11</v>
      </c>
      <c r="L11398" s="552">
        <f t="shared" si="2305"/>
        <v>1.7393200000000002</v>
      </c>
      <c r="M11398" s="549"/>
      <c r="N11398" s="567">
        <f t="shared" si="2306"/>
        <v>0</v>
      </c>
      <c r="O11398" s="549"/>
      <c r="P11398" s="549"/>
    </row>
    <row r="11399" spans="1:17" ht="17.399999999999999">
      <c r="A11399" s="549"/>
      <c r="B11399" s="549"/>
      <c r="C11399" s="549"/>
      <c r="D11399" s="549"/>
      <c r="E11399" s="549"/>
      <c r="F11399" s="549"/>
      <c r="G11399" s="1545" t="s">
        <v>444</v>
      </c>
      <c r="H11399" s="1545" t="s">
        <v>95</v>
      </c>
      <c r="I11399" s="558">
        <v>13.4</v>
      </c>
      <c r="J11399" s="566">
        <v>11.9</v>
      </c>
      <c r="K11399" s="726">
        <v>14</v>
      </c>
      <c r="L11399" s="552">
        <f t="shared" si="2305"/>
        <v>2.23244</v>
      </c>
      <c r="M11399" s="549"/>
      <c r="N11399" s="567">
        <f t="shared" si="2306"/>
        <v>0</v>
      </c>
      <c r="O11399" s="549"/>
      <c r="P11399" s="549"/>
    </row>
    <row r="11400" spans="1:17" ht="17.399999999999999">
      <c r="A11400" s="549"/>
      <c r="B11400" s="549"/>
      <c r="C11400" s="549"/>
      <c r="D11400" s="549"/>
      <c r="E11400" s="549"/>
      <c r="F11400" s="549"/>
      <c r="G11400" s="549"/>
      <c r="H11400" s="549"/>
      <c r="I11400" s="560"/>
      <c r="J11400" s="568"/>
      <c r="K11400" s="652">
        <f>SUM(K11393:K11399)</f>
        <v>66</v>
      </c>
      <c r="L11400" s="1416">
        <f>SUM(L11393:L11399)</f>
        <v>8.4741599999999995</v>
      </c>
      <c r="M11400" s="652">
        <f>SUM(M11393:M11399)</f>
        <v>18</v>
      </c>
      <c r="N11400" s="565">
        <f>SUM(N11393:N11399)</f>
        <v>2.00196</v>
      </c>
      <c r="O11400" s="549"/>
      <c r="P11400" s="549" t="s">
        <v>1354</v>
      </c>
    </row>
    <row r="11401" spans="1:17" s="1511" customFormat="1" ht="17.399999999999999">
      <c r="A11401" s="549"/>
      <c r="B11401" s="549"/>
      <c r="C11401" s="549"/>
      <c r="D11401" s="549"/>
      <c r="E11401" s="549"/>
      <c r="F11401" s="549"/>
      <c r="G11401" s="549"/>
      <c r="H11401" s="549"/>
      <c r="I11401" s="560"/>
      <c r="J11401" s="568"/>
      <c r="K11401" s="652"/>
      <c r="L11401" s="565"/>
      <c r="M11401" s="549"/>
      <c r="N11401" s="549"/>
      <c r="O11401" s="549"/>
      <c r="P11401" s="549"/>
    </row>
    <row r="11402" spans="1:17" ht="17.399999999999999">
      <c r="A11402" s="547" t="s">
        <v>272</v>
      </c>
      <c r="B11402" s="547" t="s">
        <v>1341</v>
      </c>
      <c r="C11402" s="547" t="s">
        <v>446</v>
      </c>
      <c r="D11402" s="813" t="s">
        <v>447</v>
      </c>
      <c r="E11402" s="547" t="s">
        <v>359</v>
      </c>
      <c r="F11402" s="549">
        <v>12</v>
      </c>
      <c r="G11402" s="1545" t="s">
        <v>444</v>
      </c>
      <c r="H11402" s="1577" t="s">
        <v>95</v>
      </c>
      <c r="I11402" s="558">
        <v>13.4</v>
      </c>
      <c r="J11402" s="566">
        <v>7.5</v>
      </c>
      <c r="K11402" s="726">
        <v>4</v>
      </c>
      <c r="L11402" s="552">
        <f t="shared" ref="L11402:L11404" si="2307">(I11402*J11402*K11402/1000)</f>
        <v>0.40200000000000002</v>
      </c>
      <c r="M11402" s="549">
        <v>1</v>
      </c>
      <c r="N11402" s="567">
        <f t="shared" ref="N11402:N11404" si="2308">J11402*M11402*I11402/1000</f>
        <v>0.10050000000000001</v>
      </c>
      <c r="O11402" s="549"/>
      <c r="P11402" s="566">
        <v>6.65</v>
      </c>
      <c r="Q11402" s="1511" t="s">
        <v>1405</v>
      </c>
    </row>
    <row r="11403" spans="1:17" ht="17.399999999999999">
      <c r="A11403" s="549"/>
      <c r="B11403" s="559"/>
      <c r="C11403" s="549"/>
      <c r="D11403" s="549"/>
      <c r="E11403" s="549"/>
      <c r="F11403" s="549"/>
      <c r="G11403" s="1545" t="s">
        <v>444</v>
      </c>
      <c r="H11403" s="1545" t="s">
        <v>95</v>
      </c>
      <c r="I11403" s="558">
        <v>13.4</v>
      </c>
      <c r="J11403" s="566">
        <v>7.5</v>
      </c>
      <c r="K11403" s="726">
        <v>8</v>
      </c>
      <c r="L11403" s="552">
        <f t="shared" si="2307"/>
        <v>0.80400000000000005</v>
      </c>
      <c r="M11403" s="549"/>
      <c r="N11403" s="567">
        <f t="shared" si="2308"/>
        <v>0</v>
      </c>
      <c r="O11403" s="549"/>
      <c r="P11403" s="549"/>
    </row>
    <row r="11404" spans="1:17" ht="17.399999999999999">
      <c r="A11404" s="549"/>
      <c r="B11404" s="549"/>
      <c r="C11404" s="549"/>
      <c r="D11404" s="549"/>
      <c r="E11404" s="549"/>
      <c r="F11404" s="549"/>
      <c r="G11404" s="1545" t="s">
        <v>444</v>
      </c>
      <c r="H11404" s="1545" t="s">
        <v>95</v>
      </c>
      <c r="I11404" s="558">
        <v>13.4</v>
      </c>
      <c r="J11404" s="566">
        <v>12</v>
      </c>
      <c r="K11404" s="726">
        <v>4</v>
      </c>
      <c r="L11404" s="552">
        <f t="shared" si="2307"/>
        <v>0.64319999999999999</v>
      </c>
      <c r="M11404" s="549"/>
      <c r="N11404" s="567">
        <f t="shared" si="2308"/>
        <v>0</v>
      </c>
      <c r="O11404" s="549"/>
      <c r="P11404" s="549"/>
    </row>
    <row r="11405" spans="1:17" ht="17.399999999999999">
      <c r="A11405" s="549"/>
      <c r="B11405" s="549"/>
      <c r="C11405" s="549"/>
      <c r="D11405" s="549"/>
      <c r="E11405" s="549"/>
      <c r="F11405" s="549"/>
      <c r="G11405" s="549"/>
      <c r="H11405" s="549"/>
      <c r="I11405" s="560"/>
      <c r="J11405" s="568"/>
      <c r="K11405" s="652">
        <f>SUM(K11402:K11404)</f>
        <v>16</v>
      </c>
      <c r="L11405" s="1416">
        <f>SUM(L11402:L11404)</f>
        <v>1.8492</v>
      </c>
      <c r="M11405" s="652">
        <f>SUM(M11402:M11404)</f>
        <v>1</v>
      </c>
      <c r="N11405" s="565">
        <f>SUM(N11402:N11404)</f>
        <v>0.10050000000000001</v>
      </c>
      <c r="O11405" s="549"/>
      <c r="P11405" s="549" t="s">
        <v>1354</v>
      </c>
    </row>
    <row r="11406" spans="1:17" ht="17.399999999999999">
      <c r="A11406" s="549"/>
      <c r="B11406" s="549"/>
      <c r="C11406" s="549"/>
      <c r="D11406" s="549"/>
      <c r="E11406" s="549"/>
      <c r="F11406" s="549"/>
      <c r="G11406" s="549"/>
      <c r="H11406" s="549"/>
      <c r="I11406" s="560"/>
      <c r="J11406" s="568"/>
      <c r="K11406" s="561"/>
      <c r="L11406" s="560"/>
      <c r="M11406" s="549"/>
      <c r="N11406" s="549"/>
      <c r="O11406" s="549"/>
      <c r="P11406" s="549"/>
    </row>
    <row r="11407" spans="1:17" ht="17.399999999999999">
      <c r="A11407" s="547" t="s">
        <v>83</v>
      </c>
      <c r="B11407" s="547" t="s">
        <v>1327</v>
      </c>
      <c r="C11407" s="547" t="s">
        <v>19</v>
      </c>
      <c r="D11407" s="813" t="s">
        <v>49</v>
      </c>
      <c r="E11407" s="650" t="s">
        <v>464</v>
      </c>
      <c r="F11407" s="549">
        <v>12</v>
      </c>
      <c r="G11407" s="549" t="s">
        <v>21</v>
      </c>
      <c r="H11407" s="599" t="s">
        <v>95</v>
      </c>
      <c r="I11407" s="558">
        <v>13.4</v>
      </c>
      <c r="J11407" s="568">
        <v>10.6</v>
      </c>
      <c r="K11407" s="652">
        <v>8</v>
      </c>
      <c r="L11407" s="552">
        <f>(I11407*J11407*K11407/1000)</f>
        <v>1.13632</v>
      </c>
      <c r="M11407" s="549">
        <v>8</v>
      </c>
      <c r="N11407" s="567">
        <f>J11407*M11407*I11407/1000</f>
        <v>1.13632</v>
      </c>
      <c r="O11407" s="549"/>
      <c r="P11407" s="549"/>
      <c r="Q11407" s="1511" t="s">
        <v>1405</v>
      </c>
    </row>
    <row r="11408" spans="1:17" ht="17.399999999999999">
      <c r="A11408" s="549"/>
      <c r="B11408" s="1544" t="s">
        <v>238</v>
      </c>
      <c r="C11408" s="549"/>
      <c r="D11408" s="549"/>
      <c r="E11408" s="549"/>
      <c r="F11408" s="549"/>
      <c r="G11408" s="549"/>
      <c r="H11408" s="650"/>
      <c r="I11408" s="560"/>
      <c r="J11408" s="568"/>
      <c r="K11408" s="652">
        <f>SUM(K11407:K11407)</f>
        <v>8</v>
      </c>
      <c r="L11408" s="765">
        <f>SUM(L11407:L11407)</f>
        <v>1.13632</v>
      </c>
      <c r="M11408" s="652">
        <f>SUM(M11407:M11407)</f>
        <v>8</v>
      </c>
      <c r="N11408" s="765">
        <f>SUM(N11407:N11407)</f>
        <v>1.13632</v>
      </c>
      <c r="O11408" s="549"/>
      <c r="P11408" s="549"/>
    </row>
    <row r="11409" spans="1:17" s="1511" customFormat="1" ht="17.399999999999999">
      <c r="A11409" s="549"/>
      <c r="B11409" s="1544"/>
      <c r="C11409" s="549"/>
      <c r="D11409" s="549"/>
      <c r="E11409" s="549"/>
      <c r="F11409" s="549"/>
      <c r="G11409" s="549"/>
      <c r="H11409" s="650"/>
      <c r="I11409" s="560"/>
      <c r="J11409" s="568"/>
      <c r="K11409" s="766">
        <f>SUM(K11388:K11408)/2</f>
        <v>167</v>
      </c>
      <c r="L11409" s="765">
        <f>SUM(L11388:L11408)/2</f>
        <v>21.509680000000003</v>
      </c>
      <c r="M11409" s="766">
        <f>SUM(M11388:M11408)/2</f>
        <v>29</v>
      </c>
      <c r="N11409" s="765">
        <f>SUM(N11388:N11408)/2</f>
        <v>3.5201799999999999</v>
      </c>
      <c r="O11409" s="549"/>
      <c r="P11409" s="549"/>
    </row>
    <row r="11410" spans="1:17" s="1511" customFormat="1" ht="17.399999999999999">
      <c r="A11410" s="549"/>
      <c r="B11410" s="1544"/>
      <c r="C11410" s="549"/>
      <c r="D11410" s="549"/>
      <c r="E11410" s="549"/>
      <c r="F11410" s="549"/>
      <c r="G11410" s="549"/>
      <c r="H11410" s="650"/>
      <c r="I11410" s="560"/>
      <c r="J11410" s="568"/>
      <c r="K11410" s="766"/>
      <c r="L11410" s="765"/>
      <c r="M11410" s="549"/>
      <c r="N11410" s="549"/>
      <c r="O11410" s="549"/>
      <c r="P11410" s="549"/>
    </row>
    <row r="11411" spans="1:17" s="1511" customFormat="1" ht="17.399999999999999">
      <c r="A11411" s="549"/>
      <c r="B11411" s="1544"/>
      <c r="C11411" s="549"/>
      <c r="D11411" s="549"/>
      <c r="E11411" s="549"/>
      <c r="F11411" s="549"/>
      <c r="G11411" s="549"/>
      <c r="H11411" s="650"/>
      <c r="I11411" s="560"/>
      <c r="J11411" s="568"/>
      <c r="K11411" s="648"/>
      <c r="L11411" s="765"/>
      <c r="M11411" s="549"/>
      <c r="N11411" s="549"/>
      <c r="O11411" s="549"/>
      <c r="P11411" s="549"/>
    </row>
    <row r="11412" spans="1:17" ht="17.399999999999999">
      <c r="A11412" s="21" t="s">
        <v>83</v>
      </c>
      <c r="B11412" s="21" t="s">
        <v>1341</v>
      </c>
      <c r="C11412" s="21" t="s">
        <v>446</v>
      </c>
      <c r="D11412" s="293" t="s">
        <v>447</v>
      </c>
      <c r="E11412" s="21" t="s">
        <v>359</v>
      </c>
      <c r="F11412" s="549">
        <v>13</v>
      </c>
      <c r="G11412" s="1517" t="s">
        <v>444</v>
      </c>
      <c r="H11412" s="1570" t="s">
        <v>92</v>
      </c>
      <c r="I11412" s="115">
        <v>16.579999999999998</v>
      </c>
      <c r="J11412" s="1548">
        <v>8.1999999999999993</v>
      </c>
      <c r="K11412" s="194">
        <v>21</v>
      </c>
      <c r="L11412" s="180">
        <f>(I11412*J11412*K11412/1000)</f>
        <v>2.8550759999999991</v>
      </c>
      <c r="M11412" s="549"/>
      <c r="N11412" s="549"/>
      <c r="O11412" s="549"/>
      <c r="P11412" s="549"/>
      <c r="Q11412" s="1511" t="s">
        <v>1405</v>
      </c>
    </row>
    <row r="11413" spans="1:17" ht="17.399999999999999">
      <c r="A11413" s="20"/>
      <c r="B11413" s="503"/>
      <c r="C11413" s="20"/>
      <c r="D11413" s="20"/>
      <c r="E11413" s="20"/>
      <c r="F11413" s="20"/>
      <c r="G11413" s="1517"/>
      <c r="H11413" s="1517"/>
      <c r="I11413" s="115"/>
      <c r="J11413" s="128"/>
      <c r="K11413" s="154">
        <f>SUM(K11412)</f>
        <v>21</v>
      </c>
      <c r="L11413" s="180">
        <f>SUM(L11412)</f>
        <v>2.8550759999999991</v>
      </c>
      <c r="M11413" s="549"/>
      <c r="N11413" s="549"/>
      <c r="O11413" s="549"/>
      <c r="P11413" s="20" t="s">
        <v>1355</v>
      </c>
    </row>
    <row r="11414" spans="1:17" ht="17.399999999999999">
      <c r="A11414" s="549"/>
      <c r="B11414" s="549"/>
      <c r="C11414" s="549"/>
      <c r="D11414" s="549"/>
      <c r="E11414" s="549"/>
      <c r="F11414" s="549"/>
      <c r="G11414" s="549"/>
      <c r="H11414" s="549"/>
      <c r="I11414" s="560"/>
      <c r="J11414" s="568"/>
      <c r="K11414" s="561"/>
      <c r="L11414" s="728"/>
      <c r="M11414" s="549"/>
      <c r="N11414" s="549"/>
      <c r="O11414" s="549"/>
      <c r="P11414" s="549"/>
    </row>
    <row r="11415" spans="1:17" ht="15.6">
      <c r="A11415" s="21" t="s">
        <v>272</v>
      </c>
      <c r="B11415" s="21" t="s">
        <v>1363</v>
      </c>
      <c r="C11415" s="21" t="s">
        <v>446</v>
      </c>
      <c r="D11415" s="293" t="s">
        <v>447</v>
      </c>
      <c r="E11415" s="21" t="s">
        <v>359</v>
      </c>
      <c r="F11415" s="20">
        <v>13</v>
      </c>
      <c r="G11415" s="1570" t="s">
        <v>444</v>
      </c>
      <c r="H11415" s="1570" t="s">
        <v>92</v>
      </c>
      <c r="I11415" s="315">
        <v>16.579999999999998</v>
      </c>
      <c r="J11415" s="1571">
        <v>9</v>
      </c>
      <c r="K11415" s="1572">
        <v>1</v>
      </c>
      <c r="L11415" s="1556">
        <f t="shared" ref="L11415" si="2309">(I11415*J11415*K11415/1000)</f>
        <v>0.14921999999999996</v>
      </c>
      <c r="M11415" s="20"/>
      <c r="N11415" s="20"/>
      <c r="O11415" s="178"/>
      <c r="P11415" s="20"/>
      <c r="Q11415" s="1511" t="s">
        <v>1405</v>
      </c>
    </row>
    <row r="11416" spans="1:17" ht="15.6">
      <c r="A11416" s="20"/>
      <c r="B11416" s="20"/>
      <c r="C11416" s="20"/>
      <c r="D11416" s="20"/>
      <c r="E11416" s="20"/>
      <c r="F11416" s="20"/>
      <c r="G11416" s="1570" t="s">
        <v>444</v>
      </c>
      <c r="H11416" s="1570" t="s">
        <v>92</v>
      </c>
      <c r="I11416" s="315">
        <v>16.579999999999998</v>
      </c>
      <c r="J11416" s="1571">
        <v>11.5</v>
      </c>
      <c r="K11416" s="1572">
        <v>4</v>
      </c>
      <c r="L11416" s="1556">
        <f>(I11416*J11416*K11416/1000)</f>
        <v>0.76267999999999991</v>
      </c>
      <c r="M11416" s="20"/>
      <c r="N11416" s="20"/>
      <c r="O11416" s="20"/>
      <c r="P11416" s="20"/>
    </row>
    <row r="11417" spans="1:17" ht="15.6">
      <c r="A11417" s="20"/>
      <c r="B11417" s="20"/>
      <c r="C11417" s="20"/>
      <c r="D11417" s="20"/>
      <c r="E11417" s="20"/>
      <c r="F11417" s="20"/>
      <c r="G11417" s="143"/>
      <c r="H11417" s="143"/>
      <c r="I11417" s="314"/>
      <c r="J11417" s="307"/>
      <c r="K11417" s="220">
        <f>SUM(K11415:K11416)</f>
        <v>5</v>
      </c>
      <c r="L11417" s="1555">
        <f>SUM(L11415:L11416)</f>
        <v>0.91189999999999993</v>
      </c>
      <c r="M11417" s="20"/>
      <c r="N11417" s="20"/>
      <c r="O11417" s="20"/>
      <c r="P11417" s="20" t="s">
        <v>1355</v>
      </c>
    </row>
    <row r="11418" spans="1:17" s="1511" customFormat="1" ht="15.6">
      <c r="A11418" s="20"/>
      <c r="B11418" s="20"/>
      <c r="C11418" s="20"/>
      <c r="D11418" s="20"/>
      <c r="E11418" s="20"/>
      <c r="F11418" s="20"/>
      <c r="G11418" s="143"/>
      <c r="H11418" s="143"/>
      <c r="I11418" s="314"/>
      <c r="J11418" s="307"/>
      <c r="K11418" s="220"/>
      <c r="L11418" s="1555"/>
      <c r="M11418" s="20"/>
      <c r="N11418" s="20"/>
      <c r="O11418" s="20"/>
      <c r="P11418" s="20"/>
    </row>
    <row r="11419" spans="1:17" s="1511" customFormat="1" ht="15.6">
      <c r="A11419" s="21" t="s">
        <v>272</v>
      </c>
      <c r="B11419" s="21" t="s">
        <v>1361</v>
      </c>
      <c r="C11419" s="21" t="s">
        <v>446</v>
      </c>
      <c r="D11419" s="293" t="s">
        <v>447</v>
      </c>
      <c r="E11419" s="21" t="s">
        <v>359</v>
      </c>
      <c r="F11419" s="20">
        <v>13</v>
      </c>
      <c r="G11419" s="1570" t="s">
        <v>444</v>
      </c>
      <c r="H11419" s="1570" t="s">
        <v>92</v>
      </c>
      <c r="I11419" s="315">
        <v>16.579999999999998</v>
      </c>
      <c r="J11419" s="1571">
        <v>11.5</v>
      </c>
      <c r="K11419" s="1575">
        <v>4</v>
      </c>
      <c r="L11419" s="1556">
        <f t="shared" ref="L11419:L11422" si="2310">(I11419*J11419*K11419/1000)</f>
        <v>0.76267999999999991</v>
      </c>
      <c r="M11419" s="20"/>
      <c r="N11419" s="20"/>
      <c r="O11419" s="1546">
        <v>10.5</v>
      </c>
      <c r="P11419" s="20"/>
      <c r="Q11419" s="1511" t="s">
        <v>1405</v>
      </c>
    </row>
    <row r="11420" spans="1:17" s="1511" customFormat="1" ht="15.6">
      <c r="A11420" s="20"/>
      <c r="B11420" s="503"/>
      <c r="C11420" s="20"/>
      <c r="D11420" s="20"/>
      <c r="E11420" s="20"/>
      <c r="F11420" s="20"/>
      <c r="G11420" s="1570" t="s">
        <v>444</v>
      </c>
      <c r="H11420" s="1570" t="s">
        <v>92</v>
      </c>
      <c r="I11420" s="315">
        <v>16.579999999999998</v>
      </c>
      <c r="J11420" s="1571">
        <v>11.5</v>
      </c>
      <c r="K11420" s="1575">
        <v>2</v>
      </c>
      <c r="L11420" s="1556">
        <f t="shared" si="2310"/>
        <v>0.38133999999999996</v>
      </c>
      <c r="M11420" s="20"/>
      <c r="N11420" s="20"/>
      <c r="O11420" s="1546"/>
      <c r="P11420" s="20"/>
    </row>
    <row r="11421" spans="1:17" s="1511" customFormat="1" ht="15.6">
      <c r="A11421" s="20"/>
      <c r="B11421" s="20"/>
      <c r="C11421" s="20"/>
      <c r="D11421" s="20"/>
      <c r="E11421" s="20"/>
      <c r="F11421" s="20"/>
      <c r="G11421" s="1570" t="s">
        <v>444</v>
      </c>
      <c r="H11421" s="1570" t="s">
        <v>92</v>
      </c>
      <c r="I11421" s="315">
        <v>16.579999999999998</v>
      </c>
      <c r="J11421" s="1571">
        <v>9</v>
      </c>
      <c r="K11421" s="1575">
        <v>4</v>
      </c>
      <c r="L11421" s="1556">
        <f t="shared" si="2310"/>
        <v>0.59687999999999986</v>
      </c>
      <c r="M11421" s="20"/>
      <c r="N11421" s="20"/>
      <c r="O11421" s="20"/>
      <c r="P11421" s="20"/>
    </row>
    <row r="11422" spans="1:17" s="1511" customFormat="1" ht="15.6">
      <c r="A11422" s="20"/>
      <c r="B11422" s="20"/>
      <c r="C11422" s="20"/>
      <c r="D11422" s="20"/>
      <c r="E11422" s="20"/>
      <c r="F11422" s="20"/>
      <c r="G11422" s="1570" t="s">
        <v>444</v>
      </c>
      <c r="H11422" s="1570" t="s">
        <v>92</v>
      </c>
      <c r="I11422" s="315">
        <v>16.579999999999998</v>
      </c>
      <c r="J11422" s="1571">
        <v>9</v>
      </c>
      <c r="K11422" s="1575">
        <v>8</v>
      </c>
      <c r="L11422" s="1556">
        <f t="shared" si="2310"/>
        <v>1.1937599999999997</v>
      </c>
      <c r="M11422" s="20"/>
      <c r="N11422" s="20"/>
      <c r="O11422" s="1546">
        <v>6.5</v>
      </c>
      <c r="P11422" s="20"/>
    </row>
    <row r="11423" spans="1:17" s="1511" customFormat="1" ht="15.6">
      <c r="A11423" s="20"/>
      <c r="B11423" s="20"/>
      <c r="C11423" s="20"/>
      <c r="D11423" s="20"/>
      <c r="E11423" s="20"/>
      <c r="F11423" s="20"/>
      <c r="G11423" s="1570"/>
      <c r="H11423" s="1570"/>
      <c r="I11423" s="315"/>
      <c r="J11423" s="1575"/>
      <c r="K11423" s="1576">
        <f>SUM(K11419:K11422)</f>
        <v>18</v>
      </c>
      <c r="L11423" s="145">
        <f>SUM(L11419:L11422)</f>
        <v>2.9346599999999992</v>
      </c>
      <c r="M11423" s="20"/>
      <c r="N11423" s="20"/>
      <c r="O11423" s="20"/>
      <c r="P11423" s="20"/>
    </row>
    <row r="11424" spans="1:17" ht="15.6">
      <c r="A11424" s="20"/>
      <c r="B11424" s="20"/>
      <c r="C11424" s="20"/>
      <c r="D11424" s="20"/>
      <c r="E11424" s="20"/>
      <c r="F11424" s="20"/>
      <c r="G11424" s="20"/>
      <c r="H11424" s="20"/>
      <c r="I11424" s="131"/>
      <c r="J11424" s="128"/>
      <c r="K11424" s="249">
        <f>SUM(K11412:K11423)/2</f>
        <v>44</v>
      </c>
      <c r="L11424" s="181">
        <f>SUM(L11412:L11423)/2</f>
        <v>6.7016359999999979</v>
      </c>
      <c r="M11424" s="20"/>
      <c r="N11424" s="20"/>
      <c r="O11424" s="20"/>
      <c r="P11424" s="20" t="s">
        <v>1355</v>
      </c>
    </row>
    <row r="11425" spans="1:17" s="1511" customFormat="1" ht="15.6">
      <c r="A11425" s="20"/>
      <c r="B11425" s="20"/>
      <c r="C11425" s="20"/>
      <c r="D11425" s="20"/>
      <c r="E11425" s="20"/>
      <c r="F11425" s="20"/>
      <c r="G11425" s="20"/>
      <c r="H11425" s="20"/>
      <c r="I11425" s="131"/>
      <c r="J11425" s="128"/>
      <c r="K11425" s="154"/>
      <c r="L11425" s="181"/>
      <c r="M11425" s="20"/>
      <c r="N11425" s="20"/>
      <c r="O11425" s="20"/>
      <c r="P11425" s="20"/>
    </row>
    <row r="11426" spans="1:17" s="1511" customFormat="1" ht="17.399999999999999">
      <c r="A11426" s="549"/>
      <c r="B11426" s="549"/>
      <c r="C11426" s="549"/>
      <c r="D11426" s="549"/>
      <c r="E11426" s="549"/>
      <c r="F11426" s="549"/>
      <c r="G11426" s="549"/>
      <c r="H11426" s="549"/>
      <c r="I11426" s="560"/>
      <c r="J11426" s="568"/>
      <c r="K11426" s="652"/>
      <c r="L11426" s="710"/>
      <c r="M11426" s="549"/>
      <c r="N11426" s="549"/>
      <c r="O11426" s="549"/>
      <c r="P11426" s="549"/>
    </row>
    <row r="11427" spans="1:17" s="1511" customFormat="1" ht="17.399999999999999">
      <c r="A11427" s="549"/>
      <c r="B11427" s="549"/>
      <c r="C11427" s="549"/>
      <c r="D11427" s="549"/>
      <c r="E11427" s="549"/>
      <c r="F11427" s="549"/>
      <c r="G11427" s="549"/>
      <c r="H11427" s="549"/>
      <c r="I11427" s="560"/>
      <c r="J11427" s="568"/>
      <c r="K11427" s="652"/>
      <c r="L11427" s="710"/>
      <c r="M11427" s="549"/>
      <c r="N11427" s="549"/>
      <c r="O11427" s="549"/>
      <c r="P11427" s="549"/>
    </row>
    <row r="11428" spans="1:17" s="1511" customFormat="1" ht="17.399999999999999">
      <c r="A11428" s="21" t="s">
        <v>272</v>
      </c>
      <c r="B11428" s="21" t="s">
        <v>1363</v>
      </c>
      <c r="C11428" s="21" t="s">
        <v>446</v>
      </c>
      <c r="D11428" s="293" t="s">
        <v>450</v>
      </c>
      <c r="E11428" s="21" t="s">
        <v>270</v>
      </c>
      <c r="F11428" s="549">
        <v>13</v>
      </c>
      <c r="G11428" s="1570" t="s">
        <v>61</v>
      </c>
      <c r="H11428" s="1570" t="s">
        <v>92</v>
      </c>
      <c r="I11428" s="315">
        <v>16.579999999999998</v>
      </c>
      <c r="J11428" s="1571">
        <v>8</v>
      </c>
      <c r="K11428" s="1572">
        <v>4</v>
      </c>
      <c r="L11428" s="536">
        <f t="shared" ref="L11428" si="2311">(I11428*J11428*K11428/1000)</f>
        <v>0.53055999999999992</v>
      </c>
      <c r="M11428" s="549"/>
      <c r="N11428" s="549"/>
      <c r="O11428" s="549"/>
      <c r="P11428" s="549"/>
      <c r="Q11428" s="1511" t="s">
        <v>1405</v>
      </c>
    </row>
    <row r="11429" spans="1:17" s="1511" customFormat="1" ht="17.399999999999999">
      <c r="A11429" s="20"/>
      <c r="B11429" s="503"/>
      <c r="C11429" s="20"/>
      <c r="D11429" s="20"/>
      <c r="E11429" s="20"/>
      <c r="F11429" s="20"/>
      <c r="G11429" s="599"/>
      <c r="H11429" s="599"/>
      <c r="I11429" s="853"/>
      <c r="J11429" s="1573"/>
      <c r="K11429" s="1574">
        <f t="shared" ref="K11429:L11429" si="2312">SUM(K11428)</f>
        <v>4</v>
      </c>
      <c r="L11429" s="846">
        <f t="shared" si="2312"/>
        <v>0.53055999999999992</v>
      </c>
      <c r="M11429" s="549"/>
      <c r="N11429" s="549"/>
      <c r="O11429" s="549"/>
      <c r="P11429" s="549"/>
    </row>
    <row r="11430" spans="1:17" s="1511" customFormat="1" ht="17.399999999999999">
      <c r="A11430" s="549"/>
      <c r="B11430" s="549"/>
      <c r="C11430" s="549"/>
      <c r="D11430" s="549"/>
      <c r="E11430" s="549"/>
      <c r="F11430" s="549"/>
      <c r="G11430" s="599"/>
      <c r="H11430" s="599"/>
      <c r="I11430" s="853"/>
      <c r="J11430" s="1573"/>
      <c r="K11430" s="1574"/>
      <c r="L11430" s="846"/>
      <c r="M11430" s="549"/>
      <c r="N11430" s="549"/>
      <c r="O11430" s="549"/>
      <c r="P11430" s="549"/>
    </row>
    <row r="11431" spans="1:17" ht="17.399999999999999">
      <c r="A11431" s="21" t="s">
        <v>272</v>
      </c>
      <c r="B11431" s="21" t="s">
        <v>1361</v>
      </c>
      <c r="C11431" s="21" t="s">
        <v>446</v>
      </c>
      <c r="D11431" s="293" t="s">
        <v>450</v>
      </c>
      <c r="E11431" s="21" t="s">
        <v>270</v>
      </c>
      <c r="F11431" s="549">
        <v>13</v>
      </c>
      <c r="G11431" s="1570" t="s">
        <v>61</v>
      </c>
      <c r="H11431" s="1570" t="s">
        <v>92</v>
      </c>
      <c r="I11431" s="315">
        <v>16.579999999999998</v>
      </c>
      <c r="J11431" s="1571">
        <v>6.75</v>
      </c>
      <c r="K11431" s="1572">
        <v>5</v>
      </c>
      <c r="L11431" s="536">
        <f t="shared" ref="L11431:L11434" si="2313">(I11431*J11431*K11431/1000)</f>
        <v>0.55957499999999993</v>
      </c>
      <c r="M11431" s="549"/>
      <c r="N11431" s="549"/>
      <c r="O11431" s="549"/>
      <c r="P11431" s="549"/>
      <c r="Q11431" s="1511" t="s">
        <v>1405</v>
      </c>
    </row>
    <row r="11432" spans="1:17" ht="17.399999999999999">
      <c r="A11432" s="20"/>
      <c r="B11432" s="20"/>
      <c r="C11432" s="20"/>
      <c r="D11432" s="20"/>
      <c r="E11432" s="20"/>
      <c r="F11432" s="20"/>
      <c r="G11432" s="1570" t="s">
        <v>61</v>
      </c>
      <c r="H11432" s="1570" t="s">
        <v>92</v>
      </c>
      <c r="I11432" s="315">
        <v>16.579999999999998</v>
      </c>
      <c r="J11432" s="1571">
        <v>10</v>
      </c>
      <c r="K11432" s="1572">
        <v>7</v>
      </c>
      <c r="L11432" s="536">
        <f t="shared" si="2313"/>
        <v>1.1605999999999999</v>
      </c>
      <c r="M11432" s="549"/>
      <c r="N11432" s="549"/>
      <c r="O11432" s="549"/>
      <c r="P11432" s="549"/>
    </row>
    <row r="11433" spans="1:17" ht="17.399999999999999">
      <c r="A11433" s="20"/>
      <c r="B11433" s="20"/>
      <c r="C11433" s="20"/>
      <c r="D11433" s="20"/>
      <c r="E11433" s="20"/>
      <c r="F11433" s="20"/>
      <c r="G11433" s="1570" t="s">
        <v>61</v>
      </c>
      <c r="H11433" s="1570" t="s">
        <v>92</v>
      </c>
      <c r="I11433" s="315">
        <v>16.579999999999998</v>
      </c>
      <c r="J11433" s="1571">
        <v>11</v>
      </c>
      <c r="K11433" s="1572">
        <v>1</v>
      </c>
      <c r="L11433" s="536">
        <f t="shared" si="2313"/>
        <v>0.18237999999999999</v>
      </c>
      <c r="M11433" s="549"/>
      <c r="N11433" s="549"/>
      <c r="O11433" s="549"/>
      <c r="P11433" s="549"/>
    </row>
    <row r="11434" spans="1:17" ht="17.399999999999999">
      <c r="A11434" s="20"/>
      <c r="B11434" s="20"/>
      <c r="C11434" s="20"/>
      <c r="D11434" s="20"/>
      <c r="E11434" s="20"/>
      <c r="F11434" s="20"/>
      <c r="G11434" s="1570" t="s">
        <v>61</v>
      </c>
      <c r="H11434" s="1570" t="s">
        <v>92</v>
      </c>
      <c r="I11434" s="315">
        <v>16.579999999999998</v>
      </c>
      <c r="J11434" s="1571">
        <v>12</v>
      </c>
      <c r="K11434" s="1572">
        <v>1</v>
      </c>
      <c r="L11434" s="536">
        <f t="shared" si="2313"/>
        <v>0.19895999999999997</v>
      </c>
      <c r="M11434" s="549"/>
      <c r="N11434" s="549"/>
      <c r="O11434" s="549"/>
      <c r="P11434" s="549"/>
    </row>
    <row r="11435" spans="1:17" ht="17.399999999999999">
      <c r="A11435" s="20"/>
      <c r="B11435" s="20"/>
      <c r="C11435" s="20"/>
      <c r="D11435" s="20"/>
      <c r="E11435" s="20"/>
      <c r="F11435" s="20"/>
      <c r="G11435" s="143"/>
      <c r="H11435" s="143"/>
      <c r="I11435" s="314"/>
      <c r="J11435" s="307"/>
      <c r="K11435" s="220">
        <f>SUM(K11431:K11434)</f>
        <v>14</v>
      </c>
      <c r="L11435" s="537">
        <f>SUM(L11431:L11434)</f>
        <v>2.1015149999999996</v>
      </c>
      <c r="M11435" s="549"/>
      <c r="N11435" s="549"/>
      <c r="O11435" s="549"/>
      <c r="P11435" s="549" t="s">
        <v>1356</v>
      </c>
    </row>
    <row r="11436" spans="1:17" s="1511" customFormat="1" ht="17.399999999999999">
      <c r="A11436" s="20"/>
      <c r="B11436" s="20"/>
      <c r="C11436" s="20"/>
      <c r="D11436" s="20"/>
      <c r="E11436" s="20"/>
      <c r="F11436" s="20"/>
      <c r="G11436" s="20"/>
      <c r="H11436" s="20"/>
      <c r="I11436" s="131"/>
      <c r="J11436" s="128"/>
      <c r="K11436" s="265">
        <f>+K11435+K11429</f>
        <v>18</v>
      </c>
      <c r="L11436" s="430">
        <f>+L11435+L11429</f>
        <v>2.6320749999999995</v>
      </c>
      <c r="M11436" s="549"/>
      <c r="N11436" s="549"/>
      <c r="O11436" s="549"/>
      <c r="P11436" s="549"/>
    </row>
    <row r="11437" spans="1:17" ht="17.399999999999999">
      <c r="A11437" s="549"/>
      <c r="B11437" s="549"/>
      <c r="C11437" s="549"/>
      <c r="D11437" s="549"/>
      <c r="E11437" s="549"/>
      <c r="F11437" s="549"/>
      <c r="G11437" s="549"/>
      <c r="H11437" s="549"/>
      <c r="I11437" s="560"/>
      <c r="J11437" s="568"/>
      <c r="K11437" s="561"/>
      <c r="L11437" s="560"/>
      <c r="M11437" s="549"/>
      <c r="N11437" s="549"/>
      <c r="O11437" s="549"/>
      <c r="P11437" s="549"/>
    </row>
    <row r="11438" spans="1:17" ht="17.399999999999999">
      <c r="A11438" s="549"/>
      <c r="B11438" s="549"/>
      <c r="C11438" s="549"/>
      <c r="D11438" s="549"/>
      <c r="E11438" s="549"/>
      <c r="F11438" s="549"/>
      <c r="G11438" s="549"/>
      <c r="H11438" s="549"/>
      <c r="I11438" s="560"/>
      <c r="J11438" s="568"/>
      <c r="K11438" s="561"/>
      <c r="L11438" s="560"/>
      <c r="M11438" s="549"/>
      <c r="N11438" s="549"/>
      <c r="O11438" s="549"/>
      <c r="P11438" s="549"/>
    </row>
    <row r="11439" spans="1:17" ht="17.399999999999999">
      <c r="A11439" s="547" t="s">
        <v>395</v>
      </c>
      <c r="B11439" s="852" t="s">
        <v>1321</v>
      </c>
      <c r="C11439" s="547" t="s">
        <v>446</v>
      </c>
      <c r="D11439" s="813" t="s">
        <v>450</v>
      </c>
      <c r="E11439" s="547" t="s">
        <v>270</v>
      </c>
      <c r="F11439" s="549">
        <v>12</v>
      </c>
      <c r="G11439" s="1545" t="s">
        <v>61</v>
      </c>
      <c r="H11439" s="1577" t="s">
        <v>95</v>
      </c>
      <c r="I11439" s="558">
        <v>13.4</v>
      </c>
      <c r="J11439" s="568">
        <v>7.5</v>
      </c>
      <c r="K11439" s="648">
        <v>2</v>
      </c>
      <c r="L11439" s="552">
        <f>(I11439*J11439*K11439/1000)</f>
        <v>0.20100000000000001</v>
      </c>
      <c r="M11439" s="549">
        <v>2</v>
      </c>
      <c r="N11439" s="567">
        <f>J11439*M11439*I11439/1000</f>
        <v>0.20100000000000001</v>
      </c>
      <c r="O11439" s="549"/>
      <c r="P11439" s="549"/>
      <c r="Q11439" s="1511" t="s">
        <v>1435</v>
      </c>
    </row>
    <row r="11440" spans="1:17" ht="17.399999999999999">
      <c r="A11440" s="549"/>
      <c r="B11440" s="559"/>
      <c r="C11440" s="549"/>
      <c r="D11440" s="549"/>
      <c r="E11440" s="549"/>
      <c r="F11440" s="549"/>
      <c r="G11440" s="1545"/>
      <c r="H11440" s="1545"/>
      <c r="I11440" s="558"/>
      <c r="J11440" s="568"/>
      <c r="K11440" s="648">
        <f t="shared" ref="K11440:N11440" si="2314">SUM(K11439)</f>
        <v>2</v>
      </c>
      <c r="L11440" s="567">
        <f t="shared" si="2314"/>
        <v>0.20100000000000001</v>
      </c>
      <c r="M11440" s="648">
        <f t="shared" si="2314"/>
        <v>2</v>
      </c>
      <c r="N11440" s="567">
        <f t="shared" si="2314"/>
        <v>0.20100000000000001</v>
      </c>
      <c r="O11440" s="549"/>
      <c r="P11440" s="549"/>
    </row>
    <row r="11441" spans="1:17" ht="17.399999999999999">
      <c r="A11441" s="549"/>
      <c r="B11441" s="549"/>
      <c r="C11441" s="549"/>
      <c r="D11441" s="549"/>
      <c r="E11441" s="549"/>
      <c r="F11441" s="549"/>
      <c r="G11441" s="549"/>
      <c r="H11441" s="549"/>
      <c r="I11441" s="560"/>
      <c r="J11441" s="568"/>
      <c r="K11441" s="561"/>
      <c r="L11441" s="560"/>
      <c r="M11441" s="549"/>
      <c r="N11441" s="549"/>
      <c r="O11441" s="549"/>
      <c r="P11441" s="549"/>
    </row>
    <row r="11442" spans="1:17" ht="17.399999999999999">
      <c r="A11442" s="547" t="s">
        <v>272</v>
      </c>
      <c r="B11442" s="313" t="s">
        <v>1361</v>
      </c>
      <c r="C11442" s="547" t="s">
        <v>446</v>
      </c>
      <c r="D11442" s="813" t="s">
        <v>450</v>
      </c>
      <c r="E11442" s="547" t="s">
        <v>270</v>
      </c>
      <c r="F11442" s="549">
        <v>12</v>
      </c>
      <c r="G11442" s="1577" t="s">
        <v>61</v>
      </c>
      <c r="H11442" s="1577" t="s">
        <v>95</v>
      </c>
      <c r="I11442" s="1699">
        <v>13.4</v>
      </c>
      <c r="J11442" s="1578">
        <v>6.25</v>
      </c>
      <c r="K11442" s="1579">
        <v>16</v>
      </c>
      <c r="L11442" s="734">
        <f t="shared" ref="L11442:L11444" si="2315">(I11442*J11442*K11442/1000)</f>
        <v>1.34</v>
      </c>
      <c r="M11442" s="549">
        <v>1</v>
      </c>
      <c r="N11442" s="567">
        <f>J11442*M11442*I11442/1000</f>
        <v>8.3750000000000005E-2</v>
      </c>
      <c r="O11442" s="549"/>
      <c r="P11442" s="549"/>
      <c r="Q11442" s="1511" t="s">
        <v>1435</v>
      </c>
    </row>
    <row r="11443" spans="1:17" ht="17.399999999999999">
      <c r="A11443" s="549"/>
      <c r="B11443" s="559"/>
      <c r="C11443" s="549"/>
      <c r="D11443" s="549"/>
      <c r="E11443" s="549"/>
      <c r="F11443" s="549"/>
      <c r="G11443" s="1577" t="s">
        <v>61</v>
      </c>
      <c r="H11443" s="1577" t="s">
        <v>95</v>
      </c>
      <c r="I11443" s="1699">
        <v>13.4</v>
      </c>
      <c r="J11443" s="1578">
        <v>6.8</v>
      </c>
      <c r="K11443" s="1579">
        <v>8</v>
      </c>
      <c r="L11443" s="734">
        <f t="shared" si="2315"/>
        <v>0.72896000000000005</v>
      </c>
      <c r="M11443" s="549"/>
      <c r="N11443" s="549"/>
      <c r="O11443" s="549"/>
      <c r="P11443" s="549"/>
    </row>
    <row r="11444" spans="1:17" ht="17.399999999999999">
      <c r="A11444" s="549"/>
      <c r="B11444" s="549"/>
      <c r="C11444" s="549"/>
      <c r="D11444" s="549"/>
      <c r="E11444" s="549"/>
      <c r="F11444" s="549"/>
      <c r="G11444" s="1577" t="s">
        <v>61</v>
      </c>
      <c r="H11444" s="1577" t="s">
        <v>95</v>
      </c>
      <c r="I11444" s="1699">
        <v>13.4</v>
      </c>
      <c r="J11444" s="1578">
        <v>12</v>
      </c>
      <c r="K11444" s="1579">
        <v>8</v>
      </c>
      <c r="L11444" s="734">
        <f t="shared" si="2315"/>
        <v>1.2864</v>
      </c>
      <c r="M11444" s="549"/>
      <c r="N11444" s="549"/>
      <c r="O11444" s="549"/>
      <c r="P11444" s="549"/>
    </row>
    <row r="11445" spans="1:17" ht="17.399999999999999">
      <c r="A11445" s="549"/>
      <c r="B11445" s="549"/>
      <c r="C11445" s="549"/>
      <c r="D11445" s="549"/>
      <c r="E11445" s="549"/>
      <c r="F11445" s="549"/>
      <c r="G11445" s="599"/>
      <c r="H11445" s="599"/>
      <c r="I11445" s="853"/>
      <c r="J11445" s="1573"/>
      <c r="K11445" s="1574">
        <f>SUM(K11442:K11444)</f>
        <v>32</v>
      </c>
      <c r="L11445" s="1416">
        <f>SUM(L11442:L11444)</f>
        <v>3.3553600000000001</v>
      </c>
      <c r="M11445" s="652">
        <f>SUM(M11442:M11444)</f>
        <v>1</v>
      </c>
      <c r="N11445" s="565">
        <f>SUM(N11442:N11444)</f>
        <v>8.3750000000000005E-2</v>
      </c>
      <c r="O11445" s="549"/>
      <c r="P11445" s="549"/>
    </row>
    <row r="11446" spans="1:17" s="1511" customFormat="1" ht="17.399999999999999">
      <c r="A11446" s="549"/>
      <c r="B11446" s="549"/>
      <c r="C11446" s="549"/>
      <c r="D11446" s="549"/>
      <c r="E11446" s="549"/>
      <c r="F11446" s="549"/>
      <c r="G11446" s="599"/>
      <c r="H11446" s="599"/>
      <c r="I11446" s="853"/>
      <c r="J11446" s="1573"/>
      <c r="K11446" s="1574"/>
      <c r="L11446" s="1416"/>
      <c r="M11446" s="652"/>
      <c r="N11446" s="565"/>
      <c r="O11446" s="549"/>
      <c r="P11446" s="549"/>
    </row>
    <row r="11447" spans="1:17" s="1511" customFormat="1" ht="17.399999999999999">
      <c r="A11447" s="547" t="s">
        <v>272</v>
      </c>
      <c r="B11447" s="313" t="s">
        <v>1363</v>
      </c>
      <c r="C11447" s="547" t="s">
        <v>446</v>
      </c>
      <c r="D11447" s="813" t="s">
        <v>450</v>
      </c>
      <c r="E11447" s="547" t="s">
        <v>270</v>
      </c>
      <c r="F11447" s="549">
        <v>12</v>
      </c>
      <c r="G11447" s="1577" t="s">
        <v>61</v>
      </c>
      <c r="H11447" s="1577" t="s">
        <v>95</v>
      </c>
      <c r="I11447" s="1699">
        <v>13.4</v>
      </c>
      <c r="J11447" s="1578">
        <v>12</v>
      </c>
      <c r="K11447" s="1579">
        <v>1</v>
      </c>
      <c r="L11447" s="734">
        <f t="shared" ref="L11447" si="2316">(I11447*J11447*K11447/1000)</f>
        <v>0.1608</v>
      </c>
      <c r="M11447" s="652"/>
      <c r="N11447" s="565"/>
      <c r="O11447" s="549"/>
      <c r="P11447" s="549"/>
      <c r="Q11447" s="1511" t="s">
        <v>1435</v>
      </c>
    </row>
    <row r="11448" spans="1:17" s="1511" customFormat="1" ht="17.399999999999999">
      <c r="A11448" s="549"/>
      <c r="B11448" s="559"/>
      <c r="C11448" s="549"/>
      <c r="D11448" s="549"/>
      <c r="E11448" s="549"/>
      <c r="F11448" s="549"/>
      <c r="G11448" s="599"/>
      <c r="H11448" s="599"/>
      <c r="I11448" s="853"/>
      <c r="J11448" s="1573"/>
      <c r="K11448" s="1574">
        <f t="shared" ref="K11448:L11448" si="2317">SUM(K11447)</f>
        <v>1</v>
      </c>
      <c r="L11448" s="1416">
        <f t="shared" si="2317"/>
        <v>0.1608</v>
      </c>
      <c r="M11448" s="652"/>
      <c r="N11448" s="565"/>
      <c r="O11448" s="549"/>
      <c r="P11448" s="549"/>
    </row>
    <row r="11449" spans="1:17" s="1511" customFormat="1" ht="17.399999999999999">
      <c r="A11449" s="549"/>
      <c r="B11449" s="549"/>
      <c r="C11449" s="549"/>
      <c r="D11449" s="549"/>
      <c r="E11449" s="549"/>
      <c r="F11449" s="549"/>
      <c r="G11449" s="549"/>
      <c r="H11449" s="549"/>
      <c r="I11449" s="560"/>
      <c r="J11449" s="568"/>
      <c r="K11449" s="652">
        <f>SUM(K11439:K11448)/2</f>
        <v>35</v>
      </c>
      <c r="L11449" s="565">
        <f>SUM(L11439:L11448)/2</f>
        <v>3.7171599999999998</v>
      </c>
      <c r="M11449" s="652">
        <f>SUM(M11439:M11445)/2</f>
        <v>3</v>
      </c>
      <c r="N11449" s="565">
        <f>SUM(N11439:N11445)/2</f>
        <v>0.28475</v>
      </c>
      <c r="O11449" s="549"/>
      <c r="P11449" s="549" t="s">
        <v>1357</v>
      </c>
    </row>
    <row r="11450" spans="1:17" s="1511" customFormat="1" ht="17.399999999999999">
      <c r="A11450" s="549"/>
      <c r="B11450" s="549"/>
      <c r="C11450" s="549"/>
      <c r="D11450" s="549"/>
      <c r="E11450" s="549"/>
      <c r="F11450" s="549"/>
      <c r="G11450" s="549"/>
      <c r="H11450" s="549"/>
      <c r="I11450" s="560"/>
      <c r="J11450" s="568"/>
      <c r="K11450" s="652"/>
      <c r="L11450" s="565"/>
      <c r="M11450" s="549"/>
      <c r="N11450" s="549"/>
      <c r="O11450" s="549"/>
      <c r="P11450" s="549"/>
    </row>
    <row r="11451" spans="1:17" ht="17.399999999999999">
      <c r="A11451" s="549"/>
      <c r="B11451" s="549"/>
      <c r="C11451" s="549"/>
      <c r="D11451" s="549"/>
      <c r="E11451" s="549"/>
      <c r="F11451" s="549"/>
      <c r="G11451" s="549"/>
      <c r="H11451" s="549"/>
      <c r="I11451" s="560"/>
      <c r="J11451" s="568"/>
      <c r="K11451" s="561"/>
      <c r="L11451" s="560"/>
      <c r="M11451" s="549"/>
      <c r="N11451" s="549"/>
      <c r="O11451" s="549"/>
      <c r="P11451" s="549"/>
    </row>
    <row r="11452" spans="1:17" ht="17.399999999999999">
      <c r="A11452" s="547" t="s">
        <v>395</v>
      </c>
      <c r="B11452" s="547" t="s">
        <v>1321</v>
      </c>
      <c r="C11452" s="547" t="s">
        <v>446</v>
      </c>
      <c r="D11452" s="813" t="s">
        <v>450</v>
      </c>
      <c r="E11452" s="547" t="s">
        <v>270</v>
      </c>
      <c r="F11452" s="549">
        <v>12</v>
      </c>
      <c r="G11452" s="1545" t="s">
        <v>61</v>
      </c>
      <c r="H11452" s="1577" t="s">
        <v>97</v>
      </c>
      <c r="I11452" s="558">
        <v>10.199999999999999</v>
      </c>
      <c r="J11452" s="568">
        <v>7.75</v>
      </c>
      <c r="K11452" s="648">
        <v>24</v>
      </c>
      <c r="L11452" s="552">
        <f>(I11452*J11452*K11452/1000)</f>
        <v>1.8971999999999998</v>
      </c>
      <c r="M11452" s="549"/>
      <c r="N11452" s="549"/>
      <c r="O11452" s="549"/>
      <c r="P11452" s="549"/>
      <c r="Q11452" s="1511" t="s">
        <v>1405</v>
      </c>
    </row>
    <row r="11453" spans="1:17" ht="17.399999999999999">
      <c r="A11453" s="549"/>
      <c r="B11453" s="559"/>
      <c r="C11453" s="549"/>
      <c r="D11453" s="549"/>
      <c r="E11453" s="549"/>
      <c r="F11453" s="549"/>
      <c r="G11453" s="1545" t="s">
        <v>61</v>
      </c>
      <c r="H11453" s="1545" t="s">
        <v>97</v>
      </c>
      <c r="I11453" s="558">
        <v>10.199999999999999</v>
      </c>
      <c r="J11453" s="568">
        <v>10.5</v>
      </c>
      <c r="K11453" s="648">
        <v>32</v>
      </c>
      <c r="L11453" s="552">
        <f>(I11453*J11453*K11453/1000)</f>
        <v>3.4272</v>
      </c>
      <c r="M11453" s="549"/>
      <c r="N11453" s="549"/>
      <c r="O11453" s="549"/>
      <c r="P11453" s="549"/>
    </row>
    <row r="11454" spans="1:17" ht="17.399999999999999">
      <c r="A11454" s="549"/>
      <c r="B11454" s="549"/>
      <c r="C11454" s="549"/>
      <c r="D11454" s="549"/>
      <c r="E11454" s="549"/>
      <c r="F11454" s="549"/>
      <c r="G11454" s="1545" t="s">
        <v>61</v>
      </c>
      <c r="H11454" s="1545" t="s">
        <v>97</v>
      </c>
      <c r="I11454" s="558">
        <v>10.199999999999999</v>
      </c>
      <c r="J11454" s="568">
        <v>11.5</v>
      </c>
      <c r="K11454" s="648">
        <v>44</v>
      </c>
      <c r="L11454" s="552">
        <f>(I11454*J11454*K11454/1000)</f>
        <v>5.1612</v>
      </c>
      <c r="M11454" s="549"/>
      <c r="N11454" s="549"/>
      <c r="O11454" s="549"/>
      <c r="P11454" s="549"/>
    </row>
    <row r="11455" spans="1:17" ht="17.399999999999999">
      <c r="A11455" s="549"/>
      <c r="B11455" s="549"/>
      <c r="C11455" s="549"/>
      <c r="D11455" s="549"/>
      <c r="E11455" s="549"/>
      <c r="F11455" s="549"/>
      <c r="G11455" s="1545"/>
      <c r="H11455" s="1545"/>
      <c r="I11455" s="558"/>
      <c r="J11455" s="568"/>
      <c r="K11455" s="648">
        <f t="shared" ref="K11455:L11455" si="2318">SUM(K11452:K11454)</f>
        <v>100</v>
      </c>
      <c r="L11455" s="567">
        <f t="shared" si="2318"/>
        <v>10.4856</v>
      </c>
      <c r="M11455" s="549"/>
      <c r="N11455" s="549"/>
      <c r="O11455" s="549"/>
      <c r="P11455" s="549" t="s">
        <v>1358</v>
      </c>
    </row>
    <row r="11456" spans="1:17" s="1511" customFormat="1" ht="17.399999999999999">
      <c r="A11456" s="549"/>
      <c r="B11456" s="549"/>
      <c r="C11456" s="549"/>
      <c r="D11456" s="549"/>
      <c r="E11456" s="549"/>
      <c r="F11456" s="549"/>
      <c r="G11456" s="1545"/>
      <c r="H11456" s="1545"/>
      <c r="I11456" s="558"/>
      <c r="J11456" s="568"/>
      <c r="K11456" s="648"/>
      <c r="L11456" s="567"/>
      <c r="M11456" s="549"/>
      <c r="N11456" s="549"/>
      <c r="O11456" s="549"/>
      <c r="P11456" s="549"/>
    </row>
    <row r="11457" spans="1:16" s="1511" customFormat="1" ht="17.399999999999999">
      <c r="A11457" s="547" t="s">
        <v>395</v>
      </c>
      <c r="B11457" s="1169" t="s">
        <v>73</v>
      </c>
      <c r="C11457" s="547" t="s">
        <v>446</v>
      </c>
      <c r="D11457" s="813" t="s">
        <v>450</v>
      </c>
      <c r="E11457" s="547" t="s">
        <v>270</v>
      </c>
      <c r="F11457" s="549">
        <v>12</v>
      </c>
      <c r="G11457" s="1545" t="s">
        <v>61</v>
      </c>
      <c r="H11457" s="1559" t="s">
        <v>97</v>
      </c>
      <c r="I11457" s="558">
        <v>10.199999999999999</v>
      </c>
      <c r="J11457" s="568">
        <v>7</v>
      </c>
      <c r="K11457" s="648">
        <v>6</v>
      </c>
      <c r="L11457" s="552">
        <f>(I11457*J11457*K11457/1000)</f>
        <v>0.4284</v>
      </c>
      <c r="M11457" s="549"/>
      <c r="N11457" s="549"/>
      <c r="O11457" s="549"/>
      <c r="P11457" s="549"/>
    </row>
    <row r="11458" spans="1:16" s="1511" customFormat="1" ht="17.399999999999999">
      <c r="A11458" s="549"/>
      <c r="B11458" s="549" t="s">
        <v>718</v>
      </c>
      <c r="C11458" s="549"/>
      <c r="D11458" s="549"/>
      <c r="E11458" s="549"/>
      <c r="F11458" s="549"/>
      <c r="G11458" s="1545"/>
      <c r="H11458" s="1545"/>
      <c r="I11458" s="558"/>
      <c r="J11458" s="567"/>
      <c r="K11458" s="648">
        <f t="shared" ref="K11458" si="2319">SUM(K11457)</f>
        <v>6</v>
      </c>
      <c r="L11458" s="567">
        <f>SUM(L11457)</f>
        <v>0.4284</v>
      </c>
      <c r="M11458" s="549"/>
      <c r="N11458" s="549"/>
      <c r="O11458" s="549"/>
      <c r="P11458" s="549"/>
    </row>
    <row r="11459" spans="1:16" s="1511" customFormat="1" ht="17.399999999999999">
      <c r="A11459" s="549"/>
      <c r="B11459" s="549"/>
      <c r="C11459" s="549"/>
      <c r="D11459" s="549"/>
      <c r="E11459" s="549"/>
      <c r="F11459" s="549"/>
      <c r="G11459" s="1545"/>
      <c r="H11459" s="1545"/>
      <c r="I11459" s="558"/>
      <c r="J11459" s="567"/>
      <c r="K11459" s="648">
        <f>SUM(K11452:K11458)</f>
        <v>212</v>
      </c>
      <c r="L11459" s="567">
        <f>SUM(L11452:L11458)</f>
        <v>21.827999999999999</v>
      </c>
      <c r="M11459" s="648">
        <f>SUM(M11452:M11458)</f>
        <v>0</v>
      </c>
      <c r="N11459" s="567">
        <f>SUM(N11452:N11458)</f>
        <v>0</v>
      </c>
      <c r="O11459" s="549"/>
      <c r="P11459" s="549"/>
    </row>
    <row r="11460" spans="1:16" s="1511" customFormat="1" ht="17.399999999999999">
      <c r="A11460" s="549"/>
      <c r="B11460" s="549"/>
      <c r="C11460" s="549"/>
      <c r="D11460" s="549"/>
      <c r="E11460" s="549"/>
      <c r="F11460" s="549"/>
      <c r="G11460" s="1545"/>
      <c r="H11460" s="1545"/>
      <c r="I11460" s="558"/>
      <c r="J11460" s="567"/>
      <c r="K11460" s="648"/>
      <c r="L11460" s="567"/>
      <c r="M11460" s="549"/>
      <c r="N11460" s="549"/>
      <c r="O11460" s="549" t="s">
        <v>1401</v>
      </c>
      <c r="P11460" s="549"/>
    </row>
    <row r="11461" spans="1:16" s="1511" customFormat="1" ht="17.399999999999999">
      <c r="A11461" s="549"/>
      <c r="B11461" s="549"/>
      <c r="C11461" s="549"/>
      <c r="D11461" s="549"/>
      <c r="E11461" s="549"/>
      <c r="F11461" s="549"/>
      <c r="G11461" s="1545"/>
      <c r="H11461" s="1545"/>
      <c r="I11461" s="558"/>
      <c r="J11461" s="567"/>
      <c r="K11461" s="648"/>
      <c r="L11461" s="567"/>
      <c r="M11461" s="549"/>
      <c r="N11461" s="549"/>
      <c r="O11461" s="549"/>
      <c r="P11461" s="549"/>
    </row>
    <row r="11462" spans="1:16" s="1511" customFormat="1" ht="17.399999999999999">
      <c r="A11462" s="549"/>
      <c r="B11462" s="549"/>
      <c r="C11462" s="549"/>
      <c r="D11462" s="549"/>
      <c r="E11462" s="549"/>
      <c r="F11462" s="549"/>
      <c r="G11462" s="549"/>
      <c r="H11462" s="549"/>
      <c r="I11462" s="560"/>
      <c r="J11462" s="549"/>
      <c r="K11462" s="561"/>
      <c r="L11462" s="560"/>
      <c r="M11462" s="549"/>
      <c r="N11462" s="549"/>
      <c r="O11462" s="549"/>
      <c r="P11462" s="549"/>
    </row>
    <row r="11463" spans="1:16" ht="17.399999999999999">
      <c r="A11463" s="549"/>
      <c r="B11463" s="549"/>
      <c r="C11463" s="549"/>
      <c r="D11463" s="549"/>
      <c r="E11463" s="549"/>
      <c r="F11463" s="549"/>
      <c r="G11463" s="549"/>
      <c r="H11463" s="549"/>
      <c r="I11463" s="560"/>
      <c r="J11463" s="549"/>
      <c r="K11463" s="652">
        <f>+K11329+K11334+K11351+K11345+K11424+K11435+K11449+K11455+K11409+K11385+K11366+K11458</f>
        <v>3261</v>
      </c>
      <c r="L11463" s="565">
        <f>+L11329+L11334+L11351+L11345+L11424+L11435+L11449+L11455+L11409+L11385+L11366+L11458+L11337</f>
        <v>361.60499099999998</v>
      </c>
      <c r="M11463" s="652">
        <f>+M11329+M11334+M11351+M11345+M11424+M11435+M11449+M11455+M11409+M11385+M11366+M11458</f>
        <v>166</v>
      </c>
      <c r="N11463" s="565">
        <f>+N11329+N11334+N11351+N11345+N11424+N11435+N11449+N11455+N11409+N11385+N11366+N11458</f>
        <v>17.658520000000003</v>
      </c>
      <c r="O11463" s="549"/>
      <c r="P11463" s="549"/>
    </row>
    <row r="11464" spans="1:16" ht="18">
      <c r="A11464" s="653" t="s">
        <v>48</v>
      </c>
      <c r="B11464" s="653"/>
      <c r="C11464" s="654"/>
      <c r="D11464" s="654"/>
      <c r="E11464" s="654"/>
      <c r="F11464" s="1528"/>
      <c r="G11464" s="654"/>
      <c r="H11464" s="1528"/>
      <c r="I11464" s="656"/>
      <c r="J11464" s="654"/>
      <c r="K11464" s="657"/>
      <c r="L11464" s="2003" t="s">
        <v>0</v>
      </c>
      <c r="M11464" s="2003"/>
      <c r="N11464" s="2003"/>
      <c r="O11464" s="2004"/>
      <c r="P11464" s="1097"/>
    </row>
    <row r="11465" spans="1:16" ht="18">
      <c r="A11465" s="658" t="s">
        <v>1</v>
      </c>
      <c r="B11465" s="658"/>
      <c r="C11465" s="658"/>
      <c r="D11465" s="659" t="s">
        <v>2</v>
      </c>
      <c r="E11465" s="659"/>
      <c r="F11465" s="660"/>
      <c r="G11465" s="660"/>
      <c r="H11465" s="660"/>
      <c r="I11465" s="661"/>
      <c r="J11465" s="660"/>
      <c r="K11465" s="662" t="s">
        <v>3</v>
      </c>
      <c r="L11465" s="660"/>
      <c r="M11465" s="658"/>
      <c r="N11465" s="660"/>
      <c r="O11465" s="663"/>
      <c r="P11465" s="1098"/>
    </row>
    <row r="11466" spans="1:16" ht="18">
      <c r="A11466" s="1528" t="s">
        <v>22</v>
      </c>
      <c r="B11466" s="1990" t="s">
        <v>23</v>
      </c>
      <c r="C11466" s="2005"/>
      <c r="D11466" s="1989"/>
      <c r="E11466" s="1528" t="s">
        <v>24</v>
      </c>
      <c r="F11466" s="1990" t="s">
        <v>25</v>
      </c>
      <c r="G11466" s="1989"/>
      <c r="H11466" s="1990" t="s">
        <v>26</v>
      </c>
      <c r="I11466" s="2005"/>
      <c r="J11466" s="2005"/>
      <c r="K11466" s="1989"/>
      <c r="L11466" s="2006" t="s">
        <v>27</v>
      </c>
      <c r="M11466" s="2006"/>
      <c r="N11466" s="2006"/>
      <c r="O11466" s="1990"/>
      <c r="P11466" s="1098"/>
    </row>
    <row r="11467" spans="1:16" ht="18">
      <c r="A11467" s="664"/>
      <c r="B11467" s="1975"/>
      <c r="C11467" s="1976"/>
      <c r="D11467" s="1977"/>
      <c r="E11467" s="665"/>
      <c r="F11467" s="1975"/>
      <c r="G11467" s="1977"/>
      <c r="H11467" s="1975"/>
      <c r="I11467" s="1976"/>
      <c r="J11467" s="1976"/>
      <c r="K11467" s="1977"/>
      <c r="L11467" s="1975"/>
      <c r="M11467" s="1976"/>
      <c r="N11467" s="1976"/>
      <c r="O11467" s="1976"/>
      <c r="P11467" s="1098"/>
    </row>
    <row r="11468" spans="1:16" ht="18">
      <c r="A11468" s="664"/>
      <c r="B11468" s="1520"/>
      <c r="C11468" s="1521"/>
      <c r="D11468" s="1522"/>
      <c r="E11468" s="665"/>
      <c r="F11468" s="1520"/>
      <c r="G11468" s="1522"/>
      <c r="H11468" s="1520"/>
      <c r="I11468" s="1842"/>
      <c r="J11468" s="1521"/>
      <c r="K11468" s="1522"/>
      <c r="L11468" s="1521"/>
      <c r="M11468" s="1521"/>
      <c r="N11468" s="1521"/>
      <c r="O11468" s="1521"/>
      <c r="P11468" s="1098"/>
    </row>
    <row r="11469" spans="1:16" s="1511" customFormat="1" ht="18">
      <c r="A11469" s="664" t="s">
        <v>28</v>
      </c>
      <c r="B11469" s="1975" t="s">
        <v>1347</v>
      </c>
      <c r="C11469" s="1976"/>
      <c r="D11469" s="1977"/>
      <c r="E11469" s="665">
        <f>+L11329-3.053</f>
        <v>145.76860000000002</v>
      </c>
      <c r="F11469" s="1973">
        <v>12</v>
      </c>
      <c r="G11469" s="1974"/>
      <c r="H11469" s="1975" t="s">
        <v>60</v>
      </c>
      <c r="I11469" s="1976"/>
      <c r="J11469" s="1976"/>
      <c r="K11469" s="1977"/>
      <c r="L11469" s="1976" t="s">
        <v>1138</v>
      </c>
      <c r="M11469" s="1976"/>
      <c r="N11469" s="1976"/>
      <c r="O11469" s="1976"/>
      <c r="P11469" s="1098"/>
    </row>
    <row r="11470" spans="1:16" s="1511" customFormat="1" ht="18">
      <c r="A11470" s="664" t="s">
        <v>29</v>
      </c>
      <c r="B11470" s="1975" t="s">
        <v>1139</v>
      </c>
      <c r="C11470" s="1976"/>
      <c r="D11470" s="1977"/>
      <c r="E11470" s="665">
        <f>+L11334-0.117+L11337</f>
        <v>7.7451600000000003</v>
      </c>
      <c r="F11470" s="1973">
        <v>12</v>
      </c>
      <c r="G11470" s="1974"/>
      <c r="H11470" s="1975" t="s">
        <v>60</v>
      </c>
      <c r="I11470" s="1976"/>
      <c r="J11470" s="1976"/>
      <c r="K11470" s="1977"/>
      <c r="L11470" s="1976" t="s">
        <v>1138</v>
      </c>
      <c r="M11470" s="1976"/>
      <c r="N11470" s="1976"/>
      <c r="O11470" s="1976"/>
      <c r="P11470" s="1098"/>
    </row>
    <row r="11471" spans="1:16" s="1511" customFormat="1" ht="18">
      <c r="A11471" s="664"/>
      <c r="B11471" s="1975"/>
      <c r="C11471" s="1976"/>
      <c r="D11471" s="1977"/>
      <c r="E11471" s="665"/>
      <c r="F11471" s="1973"/>
      <c r="G11471" s="1974"/>
      <c r="H11471" s="1975"/>
      <c r="I11471" s="1976"/>
      <c r="J11471" s="1976"/>
      <c r="K11471" s="1977"/>
      <c r="L11471" s="1976"/>
      <c r="M11471" s="1976"/>
      <c r="N11471" s="1976"/>
      <c r="O11471" s="1976"/>
      <c r="P11471" s="1098"/>
    </row>
    <row r="11472" spans="1:16" ht="18">
      <c r="A11472" s="664" t="s">
        <v>30</v>
      </c>
      <c r="B11472" s="1975" t="s">
        <v>100</v>
      </c>
      <c r="C11472" s="1976"/>
      <c r="D11472" s="1977"/>
      <c r="E11472" s="665">
        <f>+L11345-1.446</f>
        <v>79.771500000000003</v>
      </c>
      <c r="F11472" s="1973">
        <v>12</v>
      </c>
      <c r="G11472" s="1974"/>
      <c r="H11472" s="1975" t="s">
        <v>49</v>
      </c>
      <c r="I11472" s="1976"/>
      <c r="J11472" s="1976"/>
      <c r="K11472" s="1977"/>
      <c r="L11472" s="1976" t="s">
        <v>1046</v>
      </c>
      <c r="M11472" s="1976"/>
      <c r="N11472" s="1976"/>
      <c r="O11472" s="1976"/>
      <c r="P11472" s="1098"/>
    </row>
    <row r="11473" spans="1:16" ht="18">
      <c r="A11473" s="664" t="s">
        <v>46</v>
      </c>
      <c r="B11473" s="1975" t="s">
        <v>101</v>
      </c>
      <c r="C11473" s="1976"/>
      <c r="D11473" s="1977"/>
      <c r="E11473" s="665">
        <f>+L11351-2.242</f>
        <v>23.954000000000001</v>
      </c>
      <c r="F11473" s="1973">
        <v>12</v>
      </c>
      <c r="G11473" s="1974"/>
      <c r="H11473" s="1975" t="s">
        <v>49</v>
      </c>
      <c r="I11473" s="1976"/>
      <c r="J11473" s="1976"/>
      <c r="K11473" s="1977"/>
      <c r="L11473" s="1976" t="s">
        <v>1046</v>
      </c>
      <c r="M11473" s="1976"/>
      <c r="N11473" s="1976"/>
      <c r="O11473" s="1976"/>
      <c r="P11473" s="1098"/>
    </row>
    <row r="11474" spans="1:16" s="1511" customFormat="1" ht="18">
      <c r="A11474" s="664"/>
      <c r="B11474" s="1520"/>
      <c r="C11474" s="1521"/>
      <c r="D11474" s="1522"/>
      <c r="E11474" s="665"/>
      <c r="F11474" s="1523"/>
      <c r="G11474" s="1524"/>
      <c r="H11474" s="1520"/>
      <c r="I11474" s="1842"/>
      <c r="J11474" s="1521"/>
      <c r="K11474" s="1522"/>
      <c r="L11474" s="1521"/>
      <c r="M11474" s="1521"/>
      <c r="N11474" s="1521"/>
      <c r="O11474" s="1521"/>
      <c r="P11474" s="1098"/>
    </row>
    <row r="11475" spans="1:16" ht="18">
      <c r="A11475" s="664"/>
      <c r="B11475" s="1975"/>
      <c r="C11475" s="1976"/>
      <c r="D11475" s="1977"/>
      <c r="E11475" s="665"/>
      <c r="F11475" s="1973"/>
      <c r="G11475" s="1974"/>
      <c r="H11475" s="1975"/>
      <c r="I11475" s="1976"/>
      <c r="J11475" s="1976"/>
      <c r="K11475" s="1977"/>
      <c r="L11475" s="1976"/>
      <c r="M11475" s="1976"/>
      <c r="N11475" s="1976"/>
      <c r="O11475" s="1976"/>
      <c r="P11475" s="1098"/>
    </row>
    <row r="11476" spans="1:16" ht="18">
      <c r="A11476" s="664" t="s">
        <v>58</v>
      </c>
      <c r="B11476" s="1975" t="s">
        <v>100</v>
      </c>
      <c r="C11476" s="1976"/>
      <c r="D11476" s="1977"/>
      <c r="E11476" s="665">
        <f>+L11366-6.638</f>
        <v>7.2594999999999974</v>
      </c>
      <c r="F11476" s="1973">
        <v>12</v>
      </c>
      <c r="G11476" s="1974"/>
      <c r="H11476" s="1975" t="s">
        <v>447</v>
      </c>
      <c r="I11476" s="1976"/>
      <c r="J11476" s="1976"/>
      <c r="K11476" s="1977"/>
      <c r="L11476" s="1976" t="s">
        <v>1046</v>
      </c>
      <c r="M11476" s="1976"/>
      <c r="N11476" s="1976"/>
      <c r="O11476" s="1976"/>
      <c r="P11476" s="1098"/>
    </row>
    <row r="11477" spans="1:16" ht="18">
      <c r="A11477" s="664" t="s">
        <v>163</v>
      </c>
      <c r="B11477" s="1975" t="s">
        <v>101</v>
      </c>
      <c r="C11477" s="1976"/>
      <c r="D11477" s="1977"/>
      <c r="E11477" s="665">
        <f>+L11385-0.358</f>
        <v>38.308240000000012</v>
      </c>
      <c r="F11477" s="1973">
        <v>12</v>
      </c>
      <c r="G11477" s="1974"/>
      <c r="H11477" s="1975" t="s">
        <v>447</v>
      </c>
      <c r="I11477" s="1976"/>
      <c r="J11477" s="1976"/>
      <c r="K11477" s="1977"/>
      <c r="L11477" s="1976" t="s">
        <v>1046</v>
      </c>
      <c r="M11477" s="1976"/>
      <c r="N11477" s="1976"/>
      <c r="O11477" s="1976"/>
      <c r="P11477" s="1098"/>
    </row>
    <row r="11478" spans="1:16" ht="18">
      <c r="A11478" s="664" t="s">
        <v>302</v>
      </c>
      <c r="B11478" s="1975" t="s">
        <v>102</v>
      </c>
      <c r="C11478" s="1976"/>
      <c r="D11478" s="1977"/>
      <c r="E11478" s="665">
        <f>+L11409-3.52</f>
        <v>17.989680000000003</v>
      </c>
      <c r="F11478" s="1973">
        <v>12</v>
      </c>
      <c r="G11478" s="1974"/>
      <c r="H11478" s="1975" t="s">
        <v>447</v>
      </c>
      <c r="I11478" s="1976"/>
      <c r="J11478" s="1976"/>
      <c r="K11478" s="1977"/>
      <c r="L11478" s="1976" t="s">
        <v>1046</v>
      </c>
      <c r="M11478" s="1976"/>
      <c r="N11478" s="1976"/>
      <c r="O11478" s="1976"/>
      <c r="P11478" s="1098"/>
    </row>
    <row r="11479" spans="1:16" s="1511" customFormat="1" ht="18">
      <c r="A11479" s="664" t="s">
        <v>380</v>
      </c>
      <c r="B11479" s="1975" t="s">
        <v>104</v>
      </c>
      <c r="C11479" s="1976"/>
      <c r="D11479" s="1977"/>
      <c r="E11479" s="665">
        <f>+L11424</f>
        <v>6.7016359999999979</v>
      </c>
      <c r="F11479" s="1973">
        <v>12</v>
      </c>
      <c r="G11479" s="1974"/>
      <c r="H11479" s="1975" t="s">
        <v>447</v>
      </c>
      <c r="I11479" s="1976"/>
      <c r="J11479" s="1976"/>
      <c r="K11479" s="1977"/>
      <c r="L11479" s="1976" t="s">
        <v>1046</v>
      </c>
      <c r="M11479" s="1976"/>
      <c r="N11479" s="1976"/>
      <c r="O11479" s="1976"/>
      <c r="P11479" s="1098"/>
    </row>
    <row r="11480" spans="1:16" s="1511" customFormat="1" ht="18">
      <c r="A11480" s="664"/>
      <c r="B11480" s="1520"/>
      <c r="C11480" s="1521"/>
      <c r="D11480" s="1522"/>
      <c r="E11480" s="665"/>
      <c r="F11480" s="1523"/>
      <c r="G11480" s="1524"/>
      <c r="H11480" s="1521"/>
      <c r="I11480" s="1842"/>
      <c r="J11480" s="1521"/>
      <c r="K11480" s="1521"/>
      <c r="L11480" s="1521"/>
      <c r="M11480" s="1521"/>
      <c r="N11480" s="1521"/>
      <c r="O11480" s="1521"/>
      <c r="P11480" s="1098"/>
    </row>
    <row r="11481" spans="1:16" s="1511" customFormat="1" ht="18">
      <c r="A11481" s="664"/>
      <c r="B11481" s="1520"/>
      <c r="C11481" s="1521"/>
      <c r="D11481" s="1522"/>
      <c r="E11481" s="665"/>
      <c r="F11481" s="1523"/>
      <c r="G11481" s="1524"/>
      <c r="H11481" s="1521"/>
      <c r="I11481" s="1842"/>
      <c r="J11481" s="1521"/>
      <c r="K11481" s="1521"/>
      <c r="L11481" s="1521"/>
      <c r="M11481" s="1521"/>
      <c r="N11481" s="1521"/>
      <c r="O11481" s="1521"/>
      <c r="P11481" s="1098"/>
    </row>
    <row r="11482" spans="1:16" ht="18">
      <c r="A11482" s="664" t="s">
        <v>434</v>
      </c>
      <c r="B11482" s="1975" t="s">
        <v>1137</v>
      </c>
      <c r="C11482" s="1976"/>
      <c r="D11482" s="1977"/>
      <c r="E11482" s="665">
        <v>4</v>
      </c>
      <c r="F11482" s="1973">
        <v>12</v>
      </c>
      <c r="G11482" s="1974"/>
      <c r="H11482" s="1975" t="s">
        <v>450</v>
      </c>
      <c r="I11482" s="1976"/>
      <c r="J11482" s="1976"/>
      <c r="K11482" s="1977"/>
      <c r="L11482" s="1976" t="s">
        <v>1138</v>
      </c>
      <c r="M11482" s="1976"/>
      <c r="N11482" s="1976"/>
      <c r="O11482" s="1976"/>
      <c r="P11482" s="1098"/>
    </row>
    <row r="11483" spans="1:16" ht="18">
      <c r="A11483" s="664" t="s">
        <v>474</v>
      </c>
      <c r="B11483" s="1975" t="s">
        <v>1136</v>
      </c>
      <c r="C11483" s="1976"/>
      <c r="D11483" s="1977"/>
      <c r="E11483" s="665">
        <v>5</v>
      </c>
      <c r="F11483" s="1973">
        <v>12</v>
      </c>
      <c r="G11483" s="1974"/>
      <c r="H11483" s="1975" t="s">
        <v>450</v>
      </c>
      <c r="I11483" s="1976"/>
      <c r="J11483" s="1976"/>
      <c r="K11483" s="1977"/>
      <c r="L11483" s="1976" t="s">
        <v>1138</v>
      </c>
      <c r="M11483" s="1976"/>
      <c r="N11483" s="1976"/>
      <c r="O11483" s="1976"/>
      <c r="P11483" s="1098"/>
    </row>
    <row r="11484" spans="1:16" ht="18">
      <c r="A11484" s="664" t="s">
        <v>475</v>
      </c>
      <c r="B11484" s="1975" t="s">
        <v>1139</v>
      </c>
      <c r="C11484" s="1976"/>
      <c r="D11484" s="1977"/>
      <c r="E11484" s="665">
        <f>+L11455+L11458</f>
        <v>10.914</v>
      </c>
      <c r="F11484" s="1973">
        <v>12</v>
      </c>
      <c r="G11484" s="1974"/>
      <c r="H11484" s="1975" t="s">
        <v>450</v>
      </c>
      <c r="I11484" s="1976"/>
      <c r="J11484" s="1976"/>
      <c r="K11484" s="1977"/>
      <c r="L11484" s="1976" t="s">
        <v>1138</v>
      </c>
      <c r="M11484" s="1976"/>
      <c r="N11484" s="1976"/>
      <c r="O11484" s="1976"/>
      <c r="P11484" s="1098"/>
    </row>
    <row r="11485" spans="1:16" ht="18">
      <c r="A11485" s="664"/>
      <c r="B11485" s="1975"/>
      <c r="C11485" s="1976"/>
      <c r="D11485" s="1977"/>
      <c r="E11485" s="665"/>
      <c r="F11485" s="1973"/>
      <c r="G11485" s="1974"/>
      <c r="H11485" s="1975"/>
      <c r="I11485" s="1976"/>
      <c r="J11485" s="1976"/>
      <c r="K11485" s="1977"/>
      <c r="L11485" s="1976"/>
      <c r="M11485" s="1976"/>
      <c r="N11485" s="1976"/>
      <c r="O11485" s="1976"/>
      <c r="P11485" s="1098"/>
    </row>
    <row r="11486" spans="1:16" ht="18.600000000000001" thickBot="1">
      <c r="A11486" s="664"/>
      <c r="B11486" s="1520"/>
      <c r="C11486" s="1521"/>
      <c r="D11486" s="1521"/>
      <c r="E11486" s="665"/>
      <c r="F11486" s="1521"/>
      <c r="G11486" s="1522"/>
      <c r="H11486" s="1520"/>
      <c r="I11486" s="1842"/>
      <c r="J11486" s="1521"/>
      <c r="K11486" s="669"/>
      <c r="L11486" s="672"/>
      <c r="M11486" s="673"/>
      <c r="N11486" s="673"/>
      <c r="O11486" s="673"/>
      <c r="P11486" s="1098"/>
    </row>
    <row r="11487" spans="1:16" ht="18">
      <c r="A11487" s="674"/>
      <c r="B11487" s="675"/>
      <c r="C11487" s="676"/>
      <c r="D11487" s="676"/>
      <c r="E11487" s="1980">
        <f>SUM(E11467:E11486)</f>
        <v>347.41231600000003</v>
      </c>
      <c r="F11487" s="677"/>
      <c r="G11487" s="678"/>
      <c r="H11487" s="679"/>
      <c r="I11487" s="1848"/>
      <c r="J11487" s="676"/>
      <c r="K11487" s="680"/>
      <c r="L11487" s="679"/>
      <c r="M11487" s="676"/>
      <c r="N11487" s="677"/>
      <c r="O11487" s="676"/>
      <c r="P11487" s="1098"/>
    </row>
    <row r="11488" spans="1:16" ht="18.600000000000001" thickBot="1">
      <c r="A11488" s="681"/>
      <c r="B11488" s="682"/>
      <c r="C11488" s="683"/>
      <c r="D11488" s="683"/>
      <c r="E11488" s="1981"/>
      <c r="F11488" s="684"/>
      <c r="G11488" s="685"/>
      <c r="H11488" s="686"/>
      <c r="I11488" s="1850"/>
      <c r="J11488" s="683"/>
      <c r="K11488" s="687"/>
      <c r="L11488" s="686"/>
      <c r="M11488" s="683"/>
      <c r="N11488" s="684"/>
      <c r="O11488" s="683"/>
      <c r="P11488" s="1098"/>
    </row>
    <row r="11489" spans="1:16" ht="18">
      <c r="A11489" s="688" t="s">
        <v>31</v>
      </c>
      <c r="B11489" s="676"/>
      <c r="C11489" s="676"/>
      <c r="D11489" s="676"/>
      <c r="E11489" s="676"/>
      <c r="F11489" s="677"/>
      <c r="G11489" s="676"/>
      <c r="H11489" s="677"/>
      <c r="I11489" s="1848"/>
      <c r="J11489" s="676"/>
      <c r="K11489" s="689"/>
      <c r="L11489" s="677"/>
      <c r="M11489" s="676"/>
      <c r="N11489" s="677"/>
      <c r="O11489" s="676"/>
      <c r="P11489" s="1098"/>
    </row>
    <row r="11490" spans="1:16" ht="18">
      <c r="A11490" s="690"/>
      <c r="B11490" s="691"/>
      <c r="C11490" s="691"/>
      <c r="D11490" s="691"/>
      <c r="E11490" s="691"/>
      <c r="F11490" s="1519"/>
      <c r="G11490" s="691"/>
      <c r="H11490" s="1519"/>
      <c r="I11490" s="1849"/>
      <c r="J11490" s="691"/>
      <c r="K11490" s="693"/>
      <c r="L11490" s="1519"/>
      <c r="M11490" s="691"/>
      <c r="N11490" s="1519"/>
      <c r="O11490" s="691"/>
      <c r="P11490" s="1098"/>
    </row>
    <row r="11491" spans="1:16" ht="18.600000000000001" thickBot="1">
      <c r="A11491" s="1982" t="s">
        <v>32</v>
      </c>
      <c r="B11491" s="1983"/>
      <c r="C11491" s="1984" t="s">
        <v>33</v>
      </c>
      <c r="D11491" s="1985"/>
      <c r="E11491" s="694" t="s">
        <v>34</v>
      </c>
      <c r="F11491" s="694" t="s">
        <v>35</v>
      </c>
      <c r="G11491" s="1986" t="s">
        <v>36</v>
      </c>
      <c r="H11491" s="1987"/>
      <c r="I11491" s="1987"/>
      <c r="J11491" s="1987"/>
      <c r="K11491" s="1987"/>
      <c r="L11491" s="1987"/>
      <c r="M11491" s="1987"/>
      <c r="N11491" s="1987"/>
      <c r="O11491" s="1987"/>
      <c r="P11491" s="1098"/>
    </row>
    <row r="11492" spans="1:16" ht="18">
      <c r="A11492" s="1988"/>
      <c r="B11492" s="1989"/>
      <c r="C11492" s="1990"/>
      <c r="D11492" s="1989"/>
      <c r="E11492" s="1528"/>
      <c r="F11492" s="1525"/>
      <c r="G11492" s="1991"/>
      <c r="H11492" s="1992"/>
      <c r="I11492" s="1992"/>
      <c r="J11492" s="1992"/>
      <c r="K11492" s="1992"/>
      <c r="L11492" s="1992"/>
      <c r="M11492" s="1992"/>
      <c r="N11492" s="1992"/>
      <c r="O11492" s="1992"/>
      <c r="P11492" s="1098"/>
    </row>
    <row r="11493" spans="1:16" ht="18">
      <c r="A11493" s="1997" t="s">
        <v>37</v>
      </c>
      <c r="B11493" s="1998"/>
      <c r="C11493" s="1990"/>
      <c r="D11493" s="1989"/>
      <c r="E11493" s="1528"/>
      <c r="F11493" s="1525"/>
      <c r="G11493" s="1993"/>
      <c r="H11493" s="1994"/>
      <c r="I11493" s="1994"/>
      <c r="J11493" s="1994"/>
      <c r="K11493" s="1994"/>
      <c r="L11493" s="1994"/>
      <c r="M11493" s="1994"/>
      <c r="N11493" s="1994"/>
      <c r="O11493" s="1994"/>
      <c r="P11493" s="1098"/>
    </row>
    <row r="11494" spans="1:16" ht="18">
      <c r="A11494" s="1997" t="s">
        <v>38</v>
      </c>
      <c r="B11494" s="1998"/>
      <c r="C11494" s="1990"/>
      <c r="D11494" s="1989"/>
      <c r="E11494" s="1528"/>
      <c r="F11494" s="1525"/>
      <c r="G11494" s="1993"/>
      <c r="H11494" s="1994"/>
      <c r="I11494" s="1994"/>
      <c r="J11494" s="1994"/>
      <c r="K11494" s="1994"/>
      <c r="L11494" s="1994"/>
      <c r="M11494" s="1994"/>
      <c r="N11494" s="1994"/>
      <c r="O11494" s="1994"/>
      <c r="P11494" s="1098"/>
    </row>
    <row r="11495" spans="1:16" ht="18">
      <c r="A11495" s="1997" t="s">
        <v>39</v>
      </c>
      <c r="B11495" s="1998"/>
      <c r="C11495" s="1990"/>
      <c r="D11495" s="1989"/>
      <c r="E11495" s="1528"/>
      <c r="F11495" s="1525"/>
      <c r="G11495" s="1993"/>
      <c r="H11495" s="1994"/>
      <c r="I11495" s="1994"/>
      <c r="J11495" s="1994"/>
      <c r="K11495" s="1994"/>
      <c r="L11495" s="1994"/>
      <c r="M11495" s="1994"/>
      <c r="N11495" s="1994"/>
      <c r="O11495" s="1994"/>
      <c r="P11495" s="1098"/>
    </row>
    <row r="11496" spans="1:16" ht="18">
      <c r="A11496" s="1997" t="s">
        <v>40</v>
      </c>
      <c r="B11496" s="1998"/>
      <c r="C11496" s="1990"/>
      <c r="D11496" s="1989"/>
      <c r="E11496" s="1528"/>
      <c r="F11496" s="1525"/>
      <c r="G11496" s="1993"/>
      <c r="H11496" s="1994"/>
      <c r="I11496" s="1994"/>
      <c r="J11496" s="1994"/>
      <c r="K11496" s="1994"/>
      <c r="L11496" s="1994"/>
      <c r="M11496" s="1994"/>
      <c r="N11496" s="1994"/>
      <c r="O11496" s="1994"/>
      <c r="P11496" s="1098"/>
    </row>
    <row r="11497" spans="1:16" ht="18.600000000000001" thickBot="1">
      <c r="A11497" s="1999" t="s">
        <v>41</v>
      </c>
      <c r="B11497" s="2000"/>
      <c r="C11497" s="2001"/>
      <c r="D11497" s="2002"/>
      <c r="E11497" s="696"/>
      <c r="F11497" s="1526"/>
      <c r="G11497" s="1995"/>
      <c r="H11497" s="1996"/>
      <c r="I11497" s="1996"/>
      <c r="J11497" s="1996"/>
      <c r="K11497" s="1996"/>
      <c r="L11497" s="1996"/>
      <c r="M11497" s="1996"/>
      <c r="N11497" s="1996"/>
      <c r="O11497" s="1996"/>
      <c r="P11497" s="1098"/>
    </row>
    <row r="11498" spans="1:16" ht="18">
      <c r="A11498" s="690"/>
      <c r="B11498" s="691"/>
      <c r="C11498" s="691"/>
      <c r="D11498" s="691"/>
      <c r="E11498" s="691"/>
      <c r="F11498" s="1519"/>
      <c r="G11498" s="691"/>
      <c r="H11498" s="698"/>
      <c r="I11498" s="699"/>
      <c r="J11498" s="700"/>
      <c r="K11498" s="701"/>
      <c r="L11498" s="702"/>
      <c r="M11498" s="691"/>
      <c r="N11498" s="1519"/>
      <c r="O11498" s="691"/>
      <c r="P11498" s="1098"/>
    </row>
    <row r="11499" spans="1:16" ht="18">
      <c r="A11499" s="703" t="s">
        <v>42</v>
      </c>
      <c r="B11499" s="704"/>
      <c r="C11499" s="691"/>
      <c r="D11499" s="691"/>
      <c r="E11499" s="691"/>
      <c r="F11499" s="1519"/>
      <c r="G11499" s="704"/>
      <c r="H11499" s="698"/>
      <c r="I11499" s="699"/>
      <c r="J11499" s="700"/>
      <c r="K11499" s="693"/>
      <c r="L11499" s="705"/>
      <c r="M11499" s="691"/>
      <c r="N11499" s="1979" t="s">
        <v>43</v>
      </c>
      <c r="O11499" s="1979"/>
      <c r="P11499" s="1098"/>
    </row>
    <row r="11500" spans="1:16" ht="18">
      <c r="A11500" s="703"/>
      <c r="B11500" s="704"/>
      <c r="C11500" s="691"/>
      <c r="D11500" s="691"/>
      <c r="E11500" s="691"/>
      <c r="F11500" s="1519"/>
      <c r="G11500" s="691"/>
      <c r="H11500" s="1519"/>
      <c r="I11500" s="1849"/>
      <c r="J11500" s="691"/>
      <c r="K11500" s="693"/>
      <c r="L11500" s="1519"/>
      <c r="M11500" s="691"/>
      <c r="N11500" s="1519"/>
      <c r="O11500" s="704"/>
      <c r="P11500" s="1098"/>
    </row>
    <row r="11501" spans="1:16" ht="18">
      <c r="A11501" s="703" t="s">
        <v>44</v>
      </c>
      <c r="B11501" s="704"/>
      <c r="C11501" s="691"/>
      <c r="D11501" s="691"/>
      <c r="E11501" s="691"/>
      <c r="F11501" s="1519"/>
      <c r="G11501" s="691"/>
      <c r="H11501" s="1519"/>
      <c r="I11501" s="1849"/>
      <c r="J11501" s="691"/>
      <c r="K11501" s="693"/>
      <c r="L11501" s="1519"/>
      <c r="M11501" s="691"/>
      <c r="N11501" s="1979" t="s">
        <v>45</v>
      </c>
      <c r="O11501" s="1979"/>
      <c r="P11501" s="1098"/>
    </row>
    <row r="11502" spans="1:16" ht="18.600000000000001" thickBot="1">
      <c r="A11502" s="682"/>
      <c r="B11502" s="683"/>
      <c r="C11502" s="683"/>
      <c r="D11502" s="683"/>
      <c r="E11502" s="683"/>
      <c r="F11502" s="684"/>
      <c r="G11502" s="683"/>
      <c r="H11502" s="684"/>
      <c r="I11502" s="1850"/>
      <c r="J11502" s="683"/>
      <c r="K11502" s="706"/>
      <c r="L11502" s="684"/>
      <c r="M11502" s="683"/>
      <c r="N11502" s="684"/>
      <c r="O11502" s="683"/>
      <c r="P11502" s="1099"/>
    </row>
    <row r="11506" spans="1:30" ht="17.399999999999999">
      <c r="A11506" s="711" t="s">
        <v>48</v>
      </c>
      <c r="B11506" s="711"/>
      <c r="C11506" s="712"/>
      <c r="D11506" s="712"/>
      <c r="E11506" s="712"/>
      <c r="F11506" s="713"/>
      <c r="G11506" s="712"/>
      <c r="H11506" s="712"/>
      <c r="I11506" s="714"/>
      <c r="J11506" s="715"/>
      <c r="K11506" s="716"/>
      <c r="L11506" s="1978" t="s">
        <v>0</v>
      </c>
      <c r="M11506" s="1978"/>
      <c r="N11506" s="1978"/>
      <c r="O11506" s="1978"/>
      <c r="P11506" s="717"/>
    </row>
    <row r="11507" spans="1:30" ht="17.399999999999999">
      <c r="A11507" s="718" t="s">
        <v>1</v>
      </c>
      <c r="B11507" s="718"/>
      <c r="C11507" s="718"/>
      <c r="D11507" s="719" t="s">
        <v>2</v>
      </c>
      <c r="E11507" s="719"/>
      <c r="F11507" s="720"/>
      <c r="G11507" s="720"/>
      <c r="H11507" s="720"/>
      <c r="I11507" s="721"/>
      <c r="J11507" s="1535"/>
      <c r="K11507" s="723" t="s">
        <v>3</v>
      </c>
      <c r="L11507" s="1535"/>
      <c r="M11507" s="718"/>
      <c r="N11507" s="720"/>
      <c r="O11507" s="718"/>
      <c r="P11507" s="724"/>
    </row>
    <row r="11508" spans="1:30" ht="52.2">
      <c r="A11508" s="640" t="s">
        <v>4</v>
      </c>
      <c r="B11508" s="640" t="s">
        <v>5</v>
      </c>
      <c r="C11508" s="640" t="s">
        <v>6</v>
      </c>
      <c r="D11508" s="640" t="s">
        <v>7</v>
      </c>
      <c r="E11508" s="640" t="s">
        <v>8</v>
      </c>
      <c r="F11508" s="641" t="s">
        <v>9</v>
      </c>
      <c r="G11508" s="642" t="s">
        <v>10</v>
      </c>
      <c r="H11508" s="642" t="s">
        <v>11</v>
      </c>
      <c r="I11508" s="643" t="s">
        <v>12</v>
      </c>
      <c r="J11508" s="644" t="s">
        <v>13</v>
      </c>
      <c r="K11508" s="645" t="s">
        <v>14</v>
      </c>
      <c r="L11508" s="646" t="s">
        <v>15</v>
      </c>
      <c r="M11508" s="641" t="s">
        <v>16</v>
      </c>
      <c r="N11508" s="641" t="s">
        <v>17</v>
      </c>
      <c r="O11508" s="642" t="s">
        <v>18</v>
      </c>
      <c r="P11508" s="641" t="s">
        <v>192</v>
      </c>
    </row>
    <row r="11509" spans="1:30" ht="17.399999999999999">
      <c r="A11509" s="549"/>
      <c r="B11509" s="549"/>
      <c r="C11509" s="549"/>
      <c r="D11509" s="549"/>
      <c r="E11509" s="549"/>
      <c r="F11509" s="549"/>
      <c r="G11509" s="549"/>
      <c r="H11509" s="549"/>
      <c r="I11509" s="560"/>
      <c r="J11509" s="549"/>
      <c r="K11509" s="561"/>
      <c r="L11509" s="560"/>
      <c r="M11509" s="549"/>
      <c r="N11509" s="549"/>
      <c r="O11509" s="549"/>
      <c r="P11509" s="549"/>
    </row>
    <row r="11510" spans="1:30" ht="17.399999999999999">
      <c r="A11510" s="547" t="s">
        <v>332</v>
      </c>
      <c r="B11510" s="547" t="s">
        <v>1094</v>
      </c>
      <c r="C11510" s="547" t="s">
        <v>19</v>
      </c>
      <c r="D11510" s="547" t="s">
        <v>20</v>
      </c>
      <c r="E11510" s="1437" t="s">
        <v>464</v>
      </c>
      <c r="F11510" s="549">
        <v>16</v>
      </c>
      <c r="G11510" s="549" t="s">
        <v>21</v>
      </c>
      <c r="H11510" s="599" t="s">
        <v>177</v>
      </c>
      <c r="I11510" s="558">
        <v>27.3</v>
      </c>
      <c r="J11510" s="565">
        <v>6.7</v>
      </c>
      <c r="K11510" s="648">
        <v>12</v>
      </c>
      <c r="L11510" s="552">
        <f t="shared" ref="L11510:L11515" si="2320">(I11510*J11510*K11510/1000)</f>
        <v>2.1949200000000002</v>
      </c>
      <c r="M11510" s="549">
        <v>8</v>
      </c>
      <c r="N11510" s="567">
        <f t="shared" ref="N11510:N11515" si="2321">J11510*M11510*I11510/1000</f>
        <v>1.4632799999999999</v>
      </c>
      <c r="O11510" s="549"/>
      <c r="P11510" s="549"/>
      <c r="Q11510" s="1511" t="s">
        <v>1437</v>
      </c>
    </row>
    <row r="11511" spans="1:30" ht="17.399999999999999">
      <c r="A11511" s="549"/>
      <c r="B11511" s="1348" t="s">
        <v>585</v>
      </c>
      <c r="C11511" s="549"/>
      <c r="D11511" s="549"/>
      <c r="E11511" s="549"/>
      <c r="F11511" s="549"/>
      <c r="G11511" s="549" t="s">
        <v>21</v>
      </c>
      <c r="H11511" s="549" t="s">
        <v>177</v>
      </c>
      <c r="I11511" s="558">
        <v>27.3</v>
      </c>
      <c r="J11511" s="565">
        <v>8.1</v>
      </c>
      <c r="K11511" s="648">
        <v>76</v>
      </c>
      <c r="L11511" s="552">
        <f t="shared" si="2320"/>
        <v>16.805880000000002</v>
      </c>
      <c r="M11511" s="549"/>
      <c r="N11511" s="567">
        <f t="shared" si="2321"/>
        <v>0</v>
      </c>
      <c r="O11511" s="549"/>
      <c r="P11511" s="549"/>
      <c r="Q11511" s="1511" t="s">
        <v>1438</v>
      </c>
      <c r="W11511">
        <f>12+11+5</f>
        <v>28</v>
      </c>
      <c r="X11511" s="126">
        <f>J11511*W11511*I11511/1000</f>
        <v>6.1916399999999996</v>
      </c>
      <c r="AA11511">
        <v>11</v>
      </c>
      <c r="AB11511" s="126">
        <f>J11511*AA11511*I11511/1000</f>
        <v>2.4324299999999996</v>
      </c>
      <c r="AC11511">
        <v>7</v>
      </c>
      <c r="AD11511" s="126">
        <f>J11511*AC11511*I11511/1000</f>
        <v>1.5479099999999999</v>
      </c>
    </row>
    <row r="11512" spans="1:30" ht="17.399999999999999">
      <c r="A11512" s="549"/>
      <c r="B11512" s="549"/>
      <c r="C11512" s="549"/>
      <c r="D11512" s="549"/>
      <c r="E11512" s="549"/>
      <c r="F11512" s="549"/>
      <c r="G11512" s="549" t="s">
        <v>21</v>
      </c>
      <c r="H11512" s="549" t="s">
        <v>177</v>
      </c>
      <c r="I11512" s="558">
        <v>27.3</v>
      </c>
      <c r="J11512" s="565">
        <v>8.9</v>
      </c>
      <c r="K11512" s="648">
        <v>3</v>
      </c>
      <c r="L11512" s="552">
        <f t="shared" si="2320"/>
        <v>0.72891000000000006</v>
      </c>
      <c r="M11512" s="549">
        <v>1</v>
      </c>
      <c r="N11512" s="567">
        <f t="shared" si="2321"/>
        <v>0.24297000000000002</v>
      </c>
      <c r="O11512" s="549"/>
      <c r="P11512" s="549"/>
      <c r="Q11512" s="1511" t="s">
        <v>1533</v>
      </c>
      <c r="AC11512">
        <v>1</v>
      </c>
      <c r="AD11512" s="126">
        <f>J11512*AC11512*I11512/1000</f>
        <v>0.24297000000000002</v>
      </c>
    </row>
    <row r="11513" spans="1:30" ht="17.399999999999999">
      <c r="A11513" s="549"/>
      <c r="B11513" s="549"/>
      <c r="C11513" s="549"/>
      <c r="D11513" s="549"/>
      <c r="E11513" s="549"/>
      <c r="F11513" s="549"/>
      <c r="G11513" s="549" t="s">
        <v>21</v>
      </c>
      <c r="H11513" s="549" t="s">
        <v>177</v>
      </c>
      <c r="I11513" s="558">
        <v>27.3</v>
      </c>
      <c r="J11513" s="565">
        <v>11.1</v>
      </c>
      <c r="K11513" s="648">
        <v>2</v>
      </c>
      <c r="L11513" s="552">
        <f t="shared" si="2320"/>
        <v>0.60605999999999993</v>
      </c>
      <c r="M11513" s="549">
        <v>2</v>
      </c>
      <c r="N11513" s="567">
        <f t="shared" si="2321"/>
        <v>0.60605999999999993</v>
      </c>
      <c r="O11513" s="549"/>
      <c r="P11513" s="549"/>
    </row>
    <row r="11514" spans="1:30" ht="17.399999999999999">
      <c r="A11514" s="549"/>
      <c r="B11514" s="549"/>
      <c r="C11514" s="549"/>
      <c r="D11514" s="549"/>
      <c r="E11514" s="549"/>
      <c r="F11514" s="549"/>
      <c r="G11514" s="549" t="s">
        <v>21</v>
      </c>
      <c r="H11514" s="549" t="s">
        <v>177</v>
      </c>
      <c r="I11514" s="558">
        <v>27.3</v>
      </c>
      <c r="J11514" s="565">
        <v>12.15</v>
      </c>
      <c r="K11514" s="648">
        <v>196</v>
      </c>
      <c r="L11514" s="552">
        <f t="shared" si="2320"/>
        <v>65.012219999999999</v>
      </c>
      <c r="M11514" s="549"/>
      <c r="N11514" s="567">
        <f t="shared" si="2321"/>
        <v>0</v>
      </c>
      <c r="O11514" s="549"/>
      <c r="P11514" s="549"/>
      <c r="Q11514" s="497">
        <f>8+11+9+9+1+11+9+9</f>
        <v>67</v>
      </c>
      <c r="R11514" s="415">
        <f>J11514*Q11514*I11514/1000</f>
        <v>22.223565000000001</v>
      </c>
      <c r="U11514">
        <f>9+9+9+9</f>
        <v>36</v>
      </c>
      <c r="V11514">
        <f>J11514*U11514*I11514/1000</f>
        <v>11.94102</v>
      </c>
      <c r="W11514">
        <f>9+9+4</f>
        <v>22</v>
      </c>
      <c r="X11514" s="126">
        <f t="shared" ref="X11514:X11515" si="2322">J11514*W11514*I11514/1000</f>
        <v>7.2972900000000012</v>
      </c>
      <c r="Y11514">
        <f>10+9</f>
        <v>19</v>
      </c>
      <c r="Z11514" s="415">
        <f>J11514*Y11514*I11514/1000</f>
        <v>6.3022049999999998</v>
      </c>
      <c r="AA11514">
        <f>9+9+5</f>
        <v>23</v>
      </c>
      <c r="AB11514" s="126">
        <f>J11514*AA11514*I11514/1000</f>
        <v>7.6289849999999992</v>
      </c>
      <c r="AC11514">
        <v>6</v>
      </c>
      <c r="AD11514" s="126">
        <f t="shared" ref="AD11514:AD11515" si="2323">J11514*AC11514*I11514/1000</f>
        <v>1.9901700000000002</v>
      </c>
    </row>
    <row r="11515" spans="1:30" ht="17.399999999999999">
      <c r="A11515" s="549"/>
      <c r="B11515" s="549"/>
      <c r="C11515" s="549"/>
      <c r="D11515" s="549"/>
      <c r="E11515" s="549"/>
      <c r="F11515" s="549"/>
      <c r="G11515" s="549" t="s">
        <v>21</v>
      </c>
      <c r="H11515" s="549" t="s">
        <v>177</v>
      </c>
      <c r="I11515" s="558">
        <v>27.3</v>
      </c>
      <c r="J11515" s="565">
        <v>12.75</v>
      </c>
      <c r="K11515" s="648">
        <v>340</v>
      </c>
      <c r="L11515" s="552">
        <f t="shared" si="2320"/>
        <v>118.3455</v>
      </c>
      <c r="M11515" s="549">
        <v>1</v>
      </c>
      <c r="N11515" s="567">
        <f t="shared" si="2321"/>
        <v>0.34807499999999997</v>
      </c>
      <c r="O11515" s="549"/>
      <c r="P11515" s="549"/>
      <c r="Q11515" s="497">
        <f>9+9+9+9+9+9+9+10+10+8+9+9+11+9+9+9</f>
        <v>147</v>
      </c>
      <c r="R11515" s="415">
        <f>J11515*Q11515*I11515/1000</f>
        <v>51.167025000000002</v>
      </c>
      <c r="S11515">
        <f>9+10</f>
        <v>19</v>
      </c>
      <c r="T11515" s="126">
        <f>J11515*S11515*I11515/1000</f>
        <v>6.6134250000000003</v>
      </c>
      <c r="U11515">
        <f>9+9+9</f>
        <v>27</v>
      </c>
      <c r="V11515" s="1511">
        <f>J11515*U11515*I11515/1000</f>
        <v>9.3980250000000005</v>
      </c>
      <c r="W11515">
        <f>9+9+9+9</f>
        <v>36</v>
      </c>
      <c r="X11515" s="126">
        <f t="shared" si="2322"/>
        <v>12.530700000000001</v>
      </c>
      <c r="Y11515">
        <f>9+9+10</f>
        <v>28</v>
      </c>
      <c r="Z11515" s="415">
        <f>J11515*Y11515*I11515/1000</f>
        <v>9.7461000000000002</v>
      </c>
      <c r="AA11515">
        <f>9+9+9+9+9+9</f>
        <v>54</v>
      </c>
      <c r="AB11515" s="126">
        <f>J11515*AA11515*I11515/1000</f>
        <v>18.796050000000001</v>
      </c>
      <c r="AC11515">
        <v>7</v>
      </c>
      <c r="AD11515" s="126">
        <f t="shared" si="2323"/>
        <v>2.4365250000000001</v>
      </c>
    </row>
    <row r="11516" spans="1:30" ht="17.399999999999999">
      <c r="A11516" s="549"/>
      <c r="B11516" s="549"/>
      <c r="C11516" s="549"/>
      <c r="D11516" s="549"/>
      <c r="E11516" s="549"/>
      <c r="F11516" s="549"/>
      <c r="G11516" s="549"/>
      <c r="H11516" s="549"/>
      <c r="I11516" s="558"/>
      <c r="J11516" s="565"/>
      <c r="K11516" s="648">
        <f t="shared" ref="K11516:N11516" si="2324">SUM(K11510:K11515)</f>
        <v>629</v>
      </c>
      <c r="L11516" s="567">
        <f t="shared" si="2324"/>
        <v>203.69349</v>
      </c>
      <c r="M11516" s="648">
        <f t="shared" si="2324"/>
        <v>12</v>
      </c>
      <c r="N11516" s="567">
        <f t="shared" si="2324"/>
        <v>2.6603849999999998</v>
      </c>
      <c r="O11516" s="549"/>
      <c r="P11516" s="549" t="s">
        <v>1367</v>
      </c>
      <c r="Q11516" s="648">
        <f t="shared" ref="Q11516:AC11516" si="2325">SUM(Q11510:Q11515)</f>
        <v>214</v>
      </c>
      <c r="R11516" s="567">
        <f t="shared" si="2325"/>
        <v>73.390590000000003</v>
      </c>
      <c r="S11516" s="648">
        <f t="shared" si="2325"/>
        <v>19</v>
      </c>
      <c r="T11516" s="567">
        <f t="shared" si="2325"/>
        <v>6.6134250000000003</v>
      </c>
      <c r="U11516" s="648">
        <f t="shared" si="2325"/>
        <v>63</v>
      </c>
      <c r="V11516" s="567">
        <f t="shared" si="2325"/>
        <v>21.339044999999999</v>
      </c>
      <c r="W11516" s="648">
        <f t="shared" si="2325"/>
        <v>86</v>
      </c>
      <c r="X11516" s="567">
        <f t="shared" si="2325"/>
        <v>26.019629999999999</v>
      </c>
      <c r="Y11516" s="648">
        <f t="shared" si="2325"/>
        <v>47</v>
      </c>
      <c r="Z11516" s="567">
        <f t="shared" si="2325"/>
        <v>16.048304999999999</v>
      </c>
      <c r="AA11516" s="648">
        <f t="shared" si="2325"/>
        <v>88</v>
      </c>
      <c r="AB11516" s="567">
        <f>SUM(AB11510:AB11515)</f>
        <v>28.857464999999998</v>
      </c>
      <c r="AC11516" s="648">
        <f t="shared" si="2325"/>
        <v>21</v>
      </c>
      <c r="AD11516" s="567">
        <f>SUM(AD11510:AD11515)</f>
        <v>6.2175750000000001</v>
      </c>
    </row>
    <row r="11517" spans="1:30" ht="17.399999999999999">
      <c r="A11517" s="549"/>
      <c r="B11517" s="549"/>
      <c r="C11517" s="549"/>
      <c r="D11517" s="549"/>
      <c r="E11517" s="549"/>
      <c r="F11517" s="549"/>
      <c r="G11517" s="549"/>
      <c r="H11517" s="549"/>
      <c r="I11517" s="560"/>
      <c r="J11517" s="565"/>
      <c r="K11517" s="561"/>
      <c r="L11517" s="560"/>
      <c r="M11517" s="549"/>
      <c r="N11517" s="549"/>
      <c r="O11517" s="549"/>
      <c r="P11517" s="549"/>
    </row>
    <row r="11518" spans="1:30" ht="17.399999999999999">
      <c r="A11518" s="547" t="s">
        <v>332</v>
      </c>
      <c r="B11518" s="547" t="s">
        <v>1327</v>
      </c>
      <c r="C11518" s="547" t="s">
        <v>19</v>
      </c>
      <c r="D11518" s="547" t="s">
        <v>20</v>
      </c>
      <c r="E11518" s="1437" t="s">
        <v>464</v>
      </c>
      <c r="F11518" s="550">
        <v>16</v>
      </c>
      <c r="G11518" s="549" t="s">
        <v>21</v>
      </c>
      <c r="H11518" s="1577" t="s">
        <v>177</v>
      </c>
      <c r="I11518" s="558">
        <v>27.3</v>
      </c>
      <c r="J11518" s="565">
        <v>10.5</v>
      </c>
      <c r="K11518" s="648">
        <v>2</v>
      </c>
      <c r="L11518" s="567">
        <v>0.57330000000000003</v>
      </c>
      <c r="M11518" s="648">
        <v>2</v>
      </c>
      <c r="N11518" s="567">
        <f>J11518*M11518*I11518/1000</f>
        <v>0.57330000000000003</v>
      </c>
      <c r="O11518" s="549"/>
      <c r="P11518" s="549"/>
      <c r="Q11518" s="1511" t="s">
        <v>1435</v>
      </c>
    </row>
    <row r="11519" spans="1:30" ht="17.399999999999999">
      <c r="A11519" s="549"/>
      <c r="B11519" s="549" t="s">
        <v>238</v>
      </c>
      <c r="C11519" s="549"/>
      <c r="D11519" s="549"/>
      <c r="E11519" s="549"/>
      <c r="F11519" s="549"/>
      <c r="G11519" s="549"/>
      <c r="H11519" s="549"/>
      <c r="I11519" s="560"/>
      <c r="J11519" s="565"/>
      <c r="K11519" s="648">
        <f>SUM(K11518:K11518)</f>
        <v>2</v>
      </c>
      <c r="L11519" s="567">
        <f>SUM(L11518:L11518)</f>
        <v>0.57330000000000003</v>
      </c>
      <c r="M11519" s="648">
        <f>SUM(M11518:M11518)</f>
        <v>2</v>
      </c>
      <c r="N11519" s="567">
        <f>SUM(N11518:N11518)</f>
        <v>0.57330000000000003</v>
      </c>
      <c r="O11519" s="549"/>
      <c r="P11519" s="549"/>
    </row>
    <row r="11520" spans="1:30" ht="17.399999999999999">
      <c r="A11520" s="549"/>
      <c r="B11520" s="549"/>
      <c r="C11520" s="549"/>
      <c r="D11520" s="549"/>
      <c r="E11520" s="549"/>
      <c r="F11520" s="549"/>
      <c r="G11520" s="549"/>
      <c r="H11520" s="549"/>
      <c r="I11520" s="560"/>
      <c r="J11520" s="565"/>
      <c r="K11520" s="648"/>
      <c r="L11520" s="567"/>
      <c r="M11520" s="648"/>
      <c r="N11520" s="567"/>
      <c r="O11520" s="549"/>
      <c r="P11520" s="549"/>
    </row>
    <row r="11521" spans="1:31" s="1511" customFormat="1" ht="17.399999999999999">
      <c r="A11521" s="547" t="s">
        <v>272</v>
      </c>
      <c r="B11521" s="852" t="s">
        <v>1359</v>
      </c>
      <c r="C11521" s="547" t="s">
        <v>19</v>
      </c>
      <c r="D11521" s="813" t="s">
        <v>854</v>
      </c>
      <c r="E11521" s="547" t="s">
        <v>359</v>
      </c>
      <c r="F11521" s="550">
        <v>16</v>
      </c>
      <c r="G11521" s="1545" t="s">
        <v>21</v>
      </c>
      <c r="H11521" s="1577" t="s">
        <v>177</v>
      </c>
      <c r="I11521" s="558">
        <v>27.29</v>
      </c>
      <c r="J11521" s="765">
        <v>6.25</v>
      </c>
      <c r="K11521" s="726">
        <v>2</v>
      </c>
      <c r="L11521" s="552">
        <f>(I11521*J11521*K11521/1000)</f>
        <v>0.34112500000000001</v>
      </c>
      <c r="M11521" s="648">
        <v>2</v>
      </c>
      <c r="N11521" s="567">
        <f>J11521*M11521*I11521/1000</f>
        <v>0.34112500000000001</v>
      </c>
      <c r="O11521" s="549"/>
      <c r="P11521" s="549"/>
      <c r="Q11521" s="1511" t="s">
        <v>1435</v>
      </c>
    </row>
    <row r="11522" spans="1:31" s="1511" customFormat="1" ht="17.399999999999999">
      <c r="A11522" s="549"/>
      <c r="B11522" s="559" t="s">
        <v>453</v>
      </c>
      <c r="C11522" s="549"/>
      <c r="D11522" s="549"/>
      <c r="E11522" s="549"/>
      <c r="F11522" s="549"/>
      <c r="G11522" s="549"/>
      <c r="H11522" s="549"/>
      <c r="I11522" s="560"/>
      <c r="J11522" s="565"/>
      <c r="K11522" s="708">
        <f>SUM(K11521:K11521)</f>
        <v>2</v>
      </c>
      <c r="L11522" s="765">
        <f>SUM(L11521:L11521)</f>
        <v>0.34112500000000001</v>
      </c>
      <c r="M11522" s="708">
        <f>SUM(M11521:M11521)</f>
        <v>2</v>
      </c>
      <c r="N11522" s="765">
        <f>SUM(N11521:N11521)</f>
        <v>0.34112500000000001</v>
      </c>
      <c r="O11522" s="549"/>
      <c r="P11522" s="549" t="s">
        <v>1368</v>
      </c>
    </row>
    <row r="11523" spans="1:31" s="1511" customFormat="1" ht="17.399999999999999">
      <c r="A11523" s="549"/>
      <c r="B11523" s="832"/>
      <c r="C11523" s="549"/>
      <c r="D11523" s="549"/>
      <c r="E11523" s="549"/>
      <c r="F11523" s="549"/>
      <c r="G11523" s="549"/>
      <c r="H11523" s="549"/>
      <c r="I11523" s="560"/>
      <c r="J11523" s="565"/>
      <c r="K11523" s="766"/>
      <c r="L11523" s="765"/>
      <c r="M11523" s="648"/>
      <c r="N11523" s="567"/>
      <c r="O11523" s="549"/>
      <c r="P11523" s="549"/>
    </row>
    <row r="11524" spans="1:31" s="1511" customFormat="1" ht="17.399999999999999">
      <c r="A11524" s="547" t="s">
        <v>272</v>
      </c>
      <c r="B11524" s="852" t="s">
        <v>1364</v>
      </c>
      <c r="C11524" s="547" t="s">
        <v>19</v>
      </c>
      <c r="D11524" s="813" t="s">
        <v>854</v>
      </c>
      <c r="E11524" s="547" t="s">
        <v>359</v>
      </c>
      <c r="F11524" s="550">
        <v>16</v>
      </c>
      <c r="G11524" s="1545" t="s">
        <v>21</v>
      </c>
      <c r="H11524" s="1577" t="s">
        <v>177</v>
      </c>
      <c r="I11524" s="558">
        <v>27.29</v>
      </c>
      <c r="J11524" s="803">
        <v>6.25</v>
      </c>
      <c r="K11524" s="775">
        <f>27-7</f>
        <v>20</v>
      </c>
      <c r="L11524" s="552">
        <f>(I11524*J11524*K11524/1000)</f>
        <v>3.4112499999999999</v>
      </c>
      <c r="M11524" s="648">
        <v>3</v>
      </c>
      <c r="N11524" s="567">
        <f t="shared" ref="N11524:N11526" si="2326">J11524*M11524*I11524/1000</f>
        <v>0.51168749999999996</v>
      </c>
      <c r="O11524" s="549"/>
      <c r="P11524" s="549"/>
      <c r="Q11524" s="1511" t="s">
        <v>1475</v>
      </c>
    </row>
    <row r="11525" spans="1:31" s="1511" customFormat="1" ht="17.399999999999999">
      <c r="A11525" s="549"/>
      <c r="B11525" s="559" t="s">
        <v>277</v>
      </c>
      <c r="C11525" s="549"/>
      <c r="D11525" s="549"/>
      <c r="E11525" s="549"/>
      <c r="F11525" s="549"/>
      <c r="G11525" s="1545" t="s">
        <v>21</v>
      </c>
      <c r="H11525" s="1545" t="s">
        <v>177</v>
      </c>
      <c r="I11525" s="558">
        <v>27.29</v>
      </c>
      <c r="J11525" s="803">
        <v>9.5</v>
      </c>
      <c r="K11525" s="775">
        <v>63</v>
      </c>
      <c r="L11525" s="552">
        <f>(I11525*J11525*K11525/1000)</f>
        <v>16.333065000000001</v>
      </c>
      <c r="M11525" s="648">
        <f>1+1+1</f>
        <v>3</v>
      </c>
      <c r="N11525" s="567">
        <f t="shared" si="2326"/>
        <v>0.77776500000000004</v>
      </c>
      <c r="O11525" s="549"/>
      <c r="P11525" s="549"/>
      <c r="W11525" s="1511">
        <f>11+10</f>
        <v>21</v>
      </c>
      <c r="X11525" s="126">
        <f t="shared" ref="X11525:X11526" si="2327">J11525*W11525*I11525/1000</f>
        <v>5.4443549999999998</v>
      </c>
      <c r="AA11525" s="1511">
        <v>11</v>
      </c>
      <c r="AB11525" s="126">
        <f t="shared" ref="AB11525" si="2328">J11525*AA11525*I11525/1000</f>
        <v>2.8518049999999997</v>
      </c>
      <c r="AC11525" s="1511">
        <v>5</v>
      </c>
      <c r="AD11525" s="126">
        <f t="shared" ref="AD11525:AD11526" si="2329">J11525*AC11525*I11525/1000</f>
        <v>1.2962749999999998</v>
      </c>
    </row>
    <row r="11526" spans="1:31" s="1511" customFormat="1" ht="17.399999999999999">
      <c r="A11526" s="549"/>
      <c r="B11526" s="832"/>
      <c r="C11526" s="549"/>
      <c r="D11526" s="549"/>
      <c r="E11526" s="549"/>
      <c r="F11526" s="549"/>
      <c r="G11526" s="1545" t="s">
        <v>21</v>
      </c>
      <c r="H11526" s="1545" t="s">
        <v>177</v>
      </c>
      <c r="I11526" s="558">
        <v>27.29</v>
      </c>
      <c r="J11526" s="803">
        <v>12</v>
      </c>
      <c r="K11526" s="775">
        <v>28</v>
      </c>
      <c r="L11526" s="552">
        <f>(I11526*J11526*K11526/1000)</f>
        <v>9.1694399999999998</v>
      </c>
      <c r="M11526" s="648"/>
      <c r="N11526" s="567">
        <f t="shared" si="2326"/>
        <v>0</v>
      </c>
      <c r="O11526" s="549"/>
      <c r="P11526" s="549"/>
      <c r="Q11526" s="1511">
        <v>10</v>
      </c>
      <c r="R11526" s="415">
        <f>J11526*Q11526*I11526/1000</f>
        <v>3.2747999999999999</v>
      </c>
      <c r="W11526" s="1511">
        <v>9</v>
      </c>
      <c r="X11526" s="126">
        <f t="shared" si="2327"/>
        <v>2.9473199999999995</v>
      </c>
      <c r="AC11526" s="1511">
        <v>1</v>
      </c>
      <c r="AD11526" s="126">
        <f t="shared" si="2329"/>
        <v>0.32747999999999999</v>
      </c>
    </row>
    <row r="11527" spans="1:31" s="1511" customFormat="1" ht="17.399999999999999">
      <c r="A11527" s="549"/>
      <c r="B11527" s="832"/>
      <c r="C11527" s="549"/>
      <c r="D11527" s="549"/>
      <c r="E11527" s="549"/>
      <c r="F11527" s="549"/>
      <c r="G11527" s="549"/>
      <c r="H11527" s="549"/>
      <c r="I11527" s="560"/>
      <c r="J11527" s="565"/>
      <c r="K11527" s="708">
        <f>SUM(K11524:K11526)</f>
        <v>111</v>
      </c>
      <c r="L11527" s="765">
        <f>SUM(L11524:L11526)</f>
        <v>28.913755000000002</v>
      </c>
      <c r="M11527" s="708">
        <f>SUM(M11524:M11526)</f>
        <v>6</v>
      </c>
      <c r="N11527" s="765">
        <f>SUM(N11524:N11526)</f>
        <v>1.2894524999999999</v>
      </c>
      <c r="O11527" s="549"/>
      <c r="P11527" s="549" t="s">
        <v>1368</v>
      </c>
      <c r="Q11527" s="708">
        <f>SUM(Q11524:Q11526)</f>
        <v>10</v>
      </c>
      <c r="R11527" s="765">
        <f>SUM(R11524:R11526)</f>
        <v>3.2747999999999999</v>
      </c>
      <c r="W11527" s="708">
        <f>SUM(W11524:W11526)</f>
        <v>30</v>
      </c>
      <c r="X11527" s="765">
        <f>SUM(X11524:X11526)</f>
        <v>8.3916749999999993</v>
      </c>
      <c r="AA11527" s="708">
        <f>SUM(AA11524:AA11526)</f>
        <v>11</v>
      </c>
      <c r="AB11527" s="765">
        <f>SUM(AB11524:AB11526)</f>
        <v>2.8518049999999997</v>
      </c>
      <c r="AC11527" s="708">
        <f>SUM(AC11524:AC11526)</f>
        <v>6</v>
      </c>
      <c r="AD11527" s="765">
        <f>SUM(AD11524:AD11526)</f>
        <v>1.6237549999999998</v>
      </c>
    </row>
    <row r="11528" spans="1:31" s="1511" customFormat="1" ht="17.399999999999999">
      <c r="A11528" s="549"/>
      <c r="B11528" s="832"/>
      <c r="C11528" s="549"/>
      <c r="D11528" s="549"/>
      <c r="E11528" s="549"/>
      <c r="F11528" s="549"/>
      <c r="G11528" s="549"/>
      <c r="H11528" s="549"/>
      <c r="I11528" s="560"/>
      <c r="J11528" s="565"/>
      <c r="K11528" s="708"/>
      <c r="L11528" s="765"/>
      <c r="M11528" s="708"/>
      <c r="N11528" s="765"/>
      <c r="O11528" s="549"/>
      <c r="P11528" s="549"/>
    </row>
    <row r="11529" spans="1:31" s="1511" customFormat="1" ht="17.399999999999999">
      <c r="A11529" s="547" t="s">
        <v>272</v>
      </c>
      <c r="B11529" s="852" t="s">
        <v>1365</v>
      </c>
      <c r="C11529" s="547" t="s">
        <v>19</v>
      </c>
      <c r="D11529" s="813" t="s">
        <v>854</v>
      </c>
      <c r="E11529" s="547" t="s">
        <v>359</v>
      </c>
      <c r="F11529" s="550">
        <v>16</v>
      </c>
      <c r="G11529" s="1545" t="s">
        <v>21</v>
      </c>
      <c r="H11529" s="1577" t="s">
        <v>177</v>
      </c>
      <c r="I11529" s="558">
        <v>27.29</v>
      </c>
      <c r="J11529" s="765">
        <v>11</v>
      </c>
      <c r="K11529" s="766">
        <v>40</v>
      </c>
      <c r="L11529" s="552">
        <f>(I11529*J11529*K11529/1000)</f>
        <v>12.0076</v>
      </c>
      <c r="M11529" s="764"/>
      <c r="N11529" s="765"/>
      <c r="O11529" s="549"/>
      <c r="P11529" s="549"/>
      <c r="S11529" s="1511">
        <v>11</v>
      </c>
      <c r="T11529" s="126">
        <f t="shared" ref="T11529:T11530" si="2330">J11529*S11529*I11529/1000</f>
        <v>3.3020899999999997</v>
      </c>
      <c r="W11529" s="1511">
        <f>11+11+6</f>
        <v>28</v>
      </c>
      <c r="X11529" s="126">
        <f t="shared" ref="X11529:X11531" si="2331">J11529*W11529*I11529/1000</f>
        <v>8.4053199999999997</v>
      </c>
      <c r="AA11529" s="1511">
        <v>1</v>
      </c>
      <c r="AB11529" s="126">
        <f t="shared" ref="AB11529:AB11531" si="2332">J11529*AA11529*I11529/1000</f>
        <v>0.30019000000000001</v>
      </c>
      <c r="AE11529" s="1511" t="s">
        <v>1436</v>
      </c>
    </row>
    <row r="11530" spans="1:31" s="1511" customFormat="1" ht="17.399999999999999">
      <c r="A11530" s="549"/>
      <c r="B11530" s="559" t="s">
        <v>277</v>
      </c>
      <c r="C11530" s="549"/>
      <c r="D11530" s="549"/>
      <c r="E11530" s="549"/>
      <c r="F11530" s="549"/>
      <c r="G11530" s="1545" t="s">
        <v>21</v>
      </c>
      <c r="H11530" s="1545" t="s">
        <v>177</v>
      </c>
      <c r="I11530" s="558">
        <v>27.29</v>
      </c>
      <c r="J11530" s="765">
        <v>10</v>
      </c>
      <c r="K11530" s="766">
        <v>407</v>
      </c>
      <c r="L11530" s="552">
        <f>(I11530*J11530*K11530/1000)</f>
        <v>111.07029999999999</v>
      </c>
      <c r="M11530" s="764"/>
      <c r="N11530" s="765"/>
      <c r="O11530" s="549"/>
      <c r="P11530" s="549"/>
      <c r="Q11530" s="1511">
        <f>11+11+11+11+11+11+11</f>
        <v>77</v>
      </c>
      <c r="R11530" s="415">
        <f>J11530*Q11530*I11530/1000</f>
        <v>21.013300000000001</v>
      </c>
      <c r="S11530" s="1511">
        <v>11</v>
      </c>
      <c r="T11530" s="126">
        <f t="shared" si="2330"/>
        <v>3.0019</v>
      </c>
      <c r="U11530" s="1511">
        <f>11+11+11+11+11</f>
        <v>55</v>
      </c>
      <c r="V11530" s="1511">
        <f>J11530*U11530*I11530/1000</f>
        <v>15.009499999999999</v>
      </c>
      <c r="W11530" s="1511">
        <f>11+11+9+12+1+14</f>
        <v>58</v>
      </c>
      <c r="X11530" s="126">
        <f t="shared" si="2331"/>
        <v>15.828199999999999</v>
      </c>
      <c r="Y11530" s="1511">
        <f>11+11+5+11</f>
        <v>38</v>
      </c>
      <c r="Z11530" s="415">
        <f>J11530*Y11530*I11530/1000</f>
        <v>10.370199999999999</v>
      </c>
      <c r="AA11530" s="1511">
        <f>13+11+11+11+3+5</f>
        <v>54</v>
      </c>
      <c r="AB11530" s="126">
        <f t="shared" si="2332"/>
        <v>14.736600000000001</v>
      </c>
      <c r="AC11530" s="1511">
        <f>11+7+6</f>
        <v>24</v>
      </c>
      <c r="AD11530" s="126">
        <f t="shared" ref="AD11530:AD11531" si="2333">J11530*AC11530*I11530/1000</f>
        <v>6.5495999999999999</v>
      </c>
      <c r="AE11530" s="1511" t="s">
        <v>1440</v>
      </c>
    </row>
    <row r="11531" spans="1:31" s="1511" customFormat="1" ht="17.399999999999999">
      <c r="A11531" s="549"/>
      <c r="B11531" s="832"/>
      <c r="C11531" s="549"/>
      <c r="D11531" s="549"/>
      <c r="E11531" s="549"/>
      <c r="F11531" s="549"/>
      <c r="G11531" s="1545" t="s">
        <v>21</v>
      </c>
      <c r="H11531" s="1545" t="s">
        <v>177</v>
      </c>
      <c r="I11531" s="558">
        <v>27.29</v>
      </c>
      <c r="J11531" s="765">
        <v>9.5</v>
      </c>
      <c r="K11531" s="766">
        <v>20</v>
      </c>
      <c r="L11531" s="552">
        <f>(I11531*J11531*K11531/1000)</f>
        <v>5.1851000000000003</v>
      </c>
      <c r="M11531" s="764"/>
      <c r="N11531" s="765"/>
      <c r="O11531" s="549"/>
      <c r="P11531" s="549"/>
      <c r="W11531" s="1511">
        <v>5</v>
      </c>
      <c r="X11531" s="126">
        <f t="shared" si="2331"/>
        <v>1.2962749999999998</v>
      </c>
      <c r="Y11531" s="1511">
        <v>7</v>
      </c>
      <c r="Z11531" s="415">
        <f>J11531*Y11531*I11531/1000</f>
        <v>1.8147849999999999</v>
      </c>
      <c r="AB11531" s="126">
        <f t="shared" si="2332"/>
        <v>0</v>
      </c>
      <c r="AC11531" s="1511">
        <v>1</v>
      </c>
      <c r="AD11531" s="126">
        <f t="shared" si="2333"/>
        <v>0.25925500000000001</v>
      </c>
      <c r="AE11531" s="1511" t="s">
        <v>1534</v>
      </c>
    </row>
    <row r="11532" spans="1:31" s="1511" customFormat="1" ht="17.399999999999999">
      <c r="A11532" s="549"/>
      <c r="B11532" s="832"/>
      <c r="C11532" s="549"/>
      <c r="D11532" s="549"/>
      <c r="E11532" s="549"/>
      <c r="F11532" s="549"/>
      <c r="G11532" s="1545"/>
      <c r="H11532" s="1545"/>
      <c r="I11532" s="558"/>
      <c r="J11532" s="766"/>
      <c r="K11532" s="766">
        <f>SUM(K11529:K11531)</f>
        <v>467</v>
      </c>
      <c r="L11532" s="765">
        <f>SUM(L11529:L11531)</f>
        <v>128.26299999999998</v>
      </c>
      <c r="M11532" s="766">
        <f>SUM(M11529:M11531)</f>
        <v>0</v>
      </c>
      <c r="N11532" s="765">
        <f>SUM(N11529:N11531)</f>
        <v>0</v>
      </c>
      <c r="O11532" s="549"/>
      <c r="P11532" s="549" t="s">
        <v>1368</v>
      </c>
      <c r="Q11532" s="766">
        <f t="shared" ref="Q11532:V11532" si="2334">SUM(Q11529:Q11531)</f>
        <v>77</v>
      </c>
      <c r="R11532" s="765">
        <f t="shared" si="2334"/>
        <v>21.013300000000001</v>
      </c>
      <c r="S11532" s="766">
        <f t="shared" si="2334"/>
        <v>22</v>
      </c>
      <c r="T11532" s="765">
        <f t="shared" si="2334"/>
        <v>6.3039899999999998</v>
      </c>
      <c r="U11532" s="766">
        <f t="shared" si="2334"/>
        <v>55</v>
      </c>
      <c r="V11532" s="765">
        <f t="shared" si="2334"/>
        <v>15.009499999999999</v>
      </c>
      <c r="W11532" s="766">
        <f t="shared" ref="W11532:Y11532" si="2335">SUM(W11529:W11531)</f>
        <v>91</v>
      </c>
      <c r="X11532" s="765">
        <f>SUM(X11529:X11531)</f>
        <v>25.529795</v>
      </c>
      <c r="Y11532" s="766">
        <f t="shared" si="2335"/>
        <v>45</v>
      </c>
      <c r="Z11532" s="765">
        <f>SUM(Z11529:Z11531)</f>
        <v>12.184984999999999</v>
      </c>
      <c r="AA11532" s="766">
        <f>SUM(AA11529:AA11531)</f>
        <v>55</v>
      </c>
      <c r="AB11532" s="765">
        <f>SUM(AB11529:AB11531)</f>
        <v>15.036790000000002</v>
      </c>
      <c r="AC11532" s="766">
        <f>SUM(AC11529:AC11531)</f>
        <v>25</v>
      </c>
      <c r="AD11532" s="765">
        <f>SUM(AD11529:AD11531)</f>
        <v>6.8088549999999994</v>
      </c>
    </row>
    <row r="11533" spans="1:31" s="1511" customFormat="1" ht="17.399999999999999">
      <c r="A11533" s="549"/>
      <c r="B11533" s="832"/>
      <c r="C11533" s="549"/>
      <c r="D11533" s="549"/>
      <c r="E11533" s="549"/>
      <c r="F11533" s="549"/>
      <c r="G11533" s="549"/>
      <c r="H11533" s="549"/>
      <c r="I11533" s="560"/>
      <c r="J11533" s="565"/>
      <c r="K11533" s="648">
        <f>SUM(K11510:K11532)/2</f>
        <v>1211</v>
      </c>
      <c r="L11533" s="567">
        <f>SUM(L11510:L11532)/2</f>
        <v>361.78467000000001</v>
      </c>
      <c r="M11533" s="648">
        <f>SUM(M11510:M11532)/2</f>
        <v>22</v>
      </c>
      <c r="N11533" s="567">
        <f>SUM(N11510:N11532)/2</f>
        <v>4.8642624999999988</v>
      </c>
      <c r="O11533" s="549"/>
      <c r="P11533" s="549"/>
      <c r="Q11533" s="648">
        <f>SUM(Q11510:Q11532)/2</f>
        <v>301</v>
      </c>
      <c r="R11533" s="567">
        <f>SUM(R11510:R11532)/2</f>
        <v>97.678690000000017</v>
      </c>
      <c r="T11533" s="567">
        <f>SUM(T11510:T11532)/2</f>
        <v>12.917414999999998</v>
      </c>
      <c r="W11533" s="648">
        <f>SUM(W11510:W11532)/2</f>
        <v>207</v>
      </c>
      <c r="X11533" s="567">
        <f>SUM(X11510:X11532)/2</f>
        <v>59.941099999999992</v>
      </c>
    </row>
    <row r="11534" spans="1:31" s="1511" customFormat="1" ht="17.399999999999999">
      <c r="A11534" s="549"/>
      <c r="B11534" s="832"/>
      <c r="C11534" s="549"/>
      <c r="D11534" s="549"/>
      <c r="E11534" s="549"/>
      <c r="F11534" s="549"/>
      <c r="G11534" s="549"/>
      <c r="H11534" s="549"/>
      <c r="I11534" s="560"/>
      <c r="J11534" s="565"/>
      <c r="K11534" s="648"/>
      <c r="L11534" s="567"/>
      <c r="M11534" s="648"/>
      <c r="N11534" s="567"/>
      <c r="O11534" s="549"/>
      <c r="P11534" s="549"/>
    </row>
    <row r="11535" spans="1:31" s="1511" customFormat="1" ht="17.399999999999999">
      <c r="A11535" s="549"/>
      <c r="B11535" s="832"/>
      <c r="C11535" s="549"/>
      <c r="D11535" s="549"/>
      <c r="E11535" s="549"/>
      <c r="F11535" s="549"/>
      <c r="G11535" s="549"/>
      <c r="H11535" s="549"/>
      <c r="I11535" s="560"/>
      <c r="J11535" s="565"/>
      <c r="K11535" s="648"/>
      <c r="L11535" s="567"/>
      <c r="M11535" s="648"/>
      <c r="N11535" s="567"/>
      <c r="O11535" s="549"/>
      <c r="P11535" s="549"/>
    </row>
    <row r="11536" spans="1:31" s="1511" customFormat="1" ht="17.399999999999999">
      <c r="A11536" s="547" t="s">
        <v>272</v>
      </c>
      <c r="B11536" s="547" t="s">
        <v>1365</v>
      </c>
      <c r="C11536" s="547" t="s">
        <v>19</v>
      </c>
      <c r="D11536" s="813" t="s">
        <v>854</v>
      </c>
      <c r="E11536" s="547" t="s">
        <v>359</v>
      </c>
      <c r="F11536" s="550">
        <v>16</v>
      </c>
      <c r="G11536" s="549" t="s">
        <v>21</v>
      </c>
      <c r="H11536" s="599" t="s">
        <v>510</v>
      </c>
      <c r="I11536" s="558">
        <v>25.2</v>
      </c>
      <c r="J11536" s="764">
        <v>12</v>
      </c>
      <c r="K11536" s="766">
        <v>20</v>
      </c>
      <c r="L11536" s="552">
        <f t="shared" ref="L11536:L11537" si="2336">(I11536*J11536*K11536/1000)</f>
        <v>6.048</v>
      </c>
      <c r="M11536" s="764"/>
      <c r="N11536" s="567"/>
      <c r="O11536" s="549"/>
      <c r="P11536" s="549"/>
      <c r="Q11536" s="1511">
        <f>10+10</f>
        <v>20</v>
      </c>
      <c r="R11536" s="126">
        <f t="shared" ref="R11536:R11537" si="2337">J11536*Q11536*I11536/1000</f>
        <v>6.048</v>
      </c>
      <c r="S11536" s="1511">
        <v>1</v>
      </c>
      <c r="T11536" s="126">
        <f t="shared" ref="T11536:T11537" si="2338">J11536*S11536*I11536/1000</f>
        <v>0.3024</v>
      </c>
      <c r="U11536" s="1511" t="s">
        <v>1439</v>
      </c>
    </row>
    <row r="11537" spans="1:21" s="1511" customFormat="1" ht="17.399999999999999">
      <c r="A11537" s="549"/>
      <c r="B11537" s="559" t="s">
        <v>277</v>
      </c>
      <c r="C11537" s="549"/>
      <c r="D11537" s="549"/>
      <c r="E11537" s="549"/>
      <c r="F11537" s="549"/>
      <c r="G11537" s="549" t="s">
        <v>21</v>
      </c>
      <c r="H11537" s="549" t="s">
        <v>510</v>
      </c>
      <c r="I11537" s="558">
        <v>25.2</v>
      </c>
      <c r="J11537" s="764">
        <v>11.5</v>
      </c>
      <c r="K11537" s="766">
        <v>19</v>
      </c>
      <c r="L11537" s="552">
        <f t="shared" si="2336"/>
        <v>5.5061999999999998</v>
      </c>
      <c r="M11537" s="764"/>
      <c r="N11537" s="567"/>
      <c r="O11537" s="549"/>
      <c r="P11537" s="549"/>
      <c r="Q11537" s="1511">
        <f>10+9</f>
        <v>19</v>
      </c>
      <c r="R11537" s="126">
        <f t="shared" si="2337"/>
        <v>5.5061999999999998</v>
      </c>
      <c r="S11537" s="1511">
        <f>1+1</f>
        <v>2</v>
      </c>
      <c r="T11537" s="126">
        <f t="shared" si="2338"/>
        <v>0.5796</v>
      </c>
    </row>
    <row r="11538" spans="1:21" s="1511" customFormat="1" ht="17.399999999999999">
      <c r="A11538" s="549"/>
      <c r="B11538" s="832"/>
      <c r="C11538" s="549"/>
      <c r="D11538" s="549"/>
      <c r="E11538" s="549"/>
      <c r="F11538" s="549"/>
      <c r="G11538" s="549"/>
      <c r="H11538" s="550"/>
      <c r="I11538" s="1865"/>
      <c r="J11538" s="766"/>
      <c r="K11538" s="766">
        <f>SUM(K11536:K11537)</f>
        <v>39</v>
      </c>
      <c r="L11538" s="765">
        <f>SUM(L11536:L11537)</f>
        <v>11.5542</v>
      </c>
      <c r="M11538" s="764"/>
      <c r="N11538" s="567"/>
      <c r="O11538" s="549"/>
      <c r="P11538" s="549" t="s">
        <v>1369</v>
      </c>
      <c r="Q11538" s="766">
        <f>SUM(Q11536:Q11537)</f>
        <v>39</v>
      </c>
      <c r="R11538" s="765">
        <f>SUM(R11536:R11537)</f>
        <v>11.5542</v>
      </c>
      <c r="S11538" s="766">
        <f>SUM(S11536:S11537)</f>
        <v>3</v>
      </c>
      <c r="T11538" s="765">
        <f>SUM(T11536:T11537)</f>
        <v>0.88200000000000001</v>
      </c>
    </row>
    <row r="11539" spans="1:21" ht="17.399999999999999">
      <c r="A11539" s="549"/>
      <c r="B11539" s="549"/>
      <c r="C11539" s="549"/>
      <c r="D11539" s="549"/>
      <c r="E11539" s="549"/>
      <c r="F11539" s="549"/>
      <c r="G11539" s="549"/>
      <c r="H11539" s="549"/>
      <c r="I11539" s="558"/>
      <c r="J11539" s="565"/>
      <c r="K11539" s="648"/>
      <c r="L11539" s="567"/>
      <c r="M11539" s="549"/>
      <c r="N11539" s="549"/>
      <c r="O11539" s="549"/>
      <c r="P11539" s="549"/>
      <c r="R11539" s="126"/>
    </row>
    <row r="11540" spans="1:21" ht="17.399999999999999">
      <c r="A11540" s="547" t="s">
        <v>541</v>
      </c>
      <c r="B11540" s="547" t="s">
        <v>1314</v>
      </c>
      <c r="C11540" s="547" t="s">
        <v>19</v>
      </c>
      <c r="D11540" s="547" t="s">
        <v>20</v>
      </c>
      <c r="E11540" s="1500" t="s">
        <v>420</v>
      </c>
      <c r="F11540" s="754">
        <v>16</v>
      </c>
      <c r="G11540" s="549" t="s">
        <v>21</v>
      </c>
      <c r="H11540" s="599" t="s">
        <v>510</v>
      </c>
      <c r="I11540" s="558">
        <v>25.2</v>
      </c>
      <c r="J11540" s="565">
        <v>6.1</v>
      </c>
      <c r="K11540" s="648">
        <v>52</v>
      </c>
      <c r="L11540" s="552">
        <f>(I11540*J11540*K11540/1000)</f>
        <v>7.9934399999999997</v>
      </c>
      <c r="M11540" s="549"/>
      <c r="N11540" s="567"/>
      <c r="O11540" s="549"/>
      <c r="P11540" s="549"/>
      <c r="Q11540" s="497">
        <f>13+16+16+6</f>
        <v>51</v>
      </c>
      <c r="R11540" s="126">
        <f>J11540*Q11540*I11540/1000</f>
        <v>7.8397199999999989</v>
      </c>
      <c r="S11540">
        <v>2</v>
      </c>
      <c r="T11540" s="126">
        <f t="shared" ref="T11540" si="2339">J11540*S11540*I11540/1000</f>
        <v>0.30743999999999999</v>
      </c>
      <c r="U11540" s="1511" t="s">
        <v>1439</v>
      </c>
    </row>
    <row r="11541" spans="1:21" ht="17.399999999999999">
      <c r="A11541" s="549"/>
      <c r="B11541" s="832" t="s">
        <v>1246</v>
      </c>
      <c r="C11541" s="549"/>
      <c r="D11541" s="549"/>
      <c r="E11541" s="549"/>
      <c r="F11541" s="549"/>
      <c r="G11541" s="549"/>
      <c r="H11541" s="549"/>
      <c r="I11541" s="558"/>
      <c r="J11541" s="565"/>
      <c r="K11541" s="648">
        <f t="shared" ref="K11541:L11541" si="2340">SUM(K11540)</f>
        <v>52</v>
      </c>
      <c r="L11541" s="567">
        <f t="shared" si="2340"/>
        <v>7.9934399999999997</v>
      </c>
      <c r="M11541" s="648"/>
      <c r="N11541" s="567"/>
      <c r="O11541" s="549"/>
      <c r="P11541" s="549" t="s">
        <v>1370</v>
      </c>
      <c r="Q11541" s="648">
        <f t="shared" ref="Q11541:T11541" si="2341">SUM(Q11540)</f>
        <v>51</v>
      </c>
      <c r="R11541" s="567">
        <f t="shared" si="2341"/>
        <v>7.8397199999999989</v>
      </c>
      <c r="S11541" s="648">
        <f t="shared" si="2341"/>
        <v>2</v>
      </c>
      <c r="T11541" s="567">
        <f t="shared" si="2341"/>
        <v>0.30743999999999999</v>
      </c>
    </row>
    <row r="11542" spans="1:21" s="1511" customFormat="1" ht="17.399999999999999">
      <c r="A11542" s="549"/>
      <c r="B11542" s="832"/>
      <c r="C11542" s="549"/>
      <c r="D11542" s="549"/>
      <c r="E11542" s="549"/>
      <c r="F11542" s="549"/>
      <c r="G11542" s="549"/>
      <c r="H11542" s="549"/>
      <c r="I11542" s="558"/>
      <c r="J11542" s="565"/>
      <c r="K11542" s="648">
        <f>SUM(K11536:K11541)/2</f>
        <v>91</v>
      </c>
      <c r="L11542" s="567">
        <f>SUM(L11536:L11541)/2</f>
        <v>19.547640000000001</v>
      </c>
      <c r="M11542" s="648">
        <f>SUM(M11540:M11541)/2</f>
        <v>0</v>
      </c>
      <c r="N11542" s="567">
        <f>SUM(N11540:N11541)/2</f>
        <v>0</v>
      </c>
      <c r="O11542" s="549"/>
      <c r="P11542" s="549"/>
    </row>
    <row r="11543" spans="1:21" s="1511" customFormat="1" ht="17.399999999999999">
      <c r="A11543" s="549"/>
      <c r="B11543" s="832"/>
      <c r="C11543" s="549"/>
      <c r="D11543" s="549"/>
      <c r="E11543" s="549"/>
      <c r="F11543" s="549"/>
      <c r="G11543" s="549"/>
      <c r="H11543" s="549"/>
      <c r="I11543" s="558"/>
      <c r="J11543" s="565"/>
      <c r="K11543" s="648"/>
      <c r="L11543" s="567"/>
      <c r="M11543" s="648"/>
      <c r="N11543" s="567"/>
      <c r="O11543" s="549"/>
      <c r="P11543" s="549"/>
    </row>
    <row r="11544" spans="1:21" s="1511" customFormat="1" ht="17.399999999999999">
      <c r="A11544" s="549"/>
      <c r="B11544" s="832"/>
      <c r="C11544" s="549"/>
      <c r="D11544" s="549"/>
      <c r="E11544" s="549"/>
      <c r="F11544" s="549"/>
      <c r="G11544" s="549"/>
      <c r="H11544" s="549"/>
      <c r="I11544" s="558"/>
      <c r="J11544" s="565"/>
      <c r="K11544" s="648"/>
      <c r="L11544" s="567"/>
      <c r="M11544" s="648"/>
      <c r="N11544" s="567"/>
      <c r="O11544" s="549"/>
      <c r="P11544" s="549"/>
    </row>
    <row r="11545" spans="1:21" ht="17.399999999999999">
      <c r="A11545" s="549"/>
      <c r="B11545" s="549"/>
      <c r="C11545" s="549"/>
      <c r="D11545" s="549"/>
      <c r="E11545" s="549"/>
      <c r="F11545" s="549"/>
      <c r="G11545" s="549"/>
      <c r="H11545" s="549"/>
      <c r="I11545" s="560"/>
      <c r="J11545" s="565"/>
      <c r="K11545" s="561"/>
      <c r="L11545" s="560"/>
      <c r="M11545" s="549"/>
      <c r="N11545" s="549"/>
      <c r="O11545" s="549"/>
      <c r="P11545" s="549"/>
    </row>
    <row r="11546" spans="1:21" ht="17.399999999999999">
      <c r="A11546" s="547" t="s">
        <v>541</v>
      </c>
      <c r="B11546" s="547" t="s">
        <v>1314</v>
      </c>
      <c r="C11546" s="547" t="s">
        <v>19</v>
      </c>
      <c r="D11546" s="547" t="s">
        <v>20</v>
      </c>
      <c r="E11546" s="1500" t="s">
        <v>420</v>
      </c>
      <c r="F11546" s="754">
        <v>16</v>
      </c>
      <c r="G11546" s="549" t="s">
        <v>21</v>
      </c>
      <c r="H11546" s="599" t="s">
        <v>176</v>
      </c>
      <c r="I11546" s="558">
        <v>23</v>
      </c>
      <c r="J11546" s="565">
        <v>6.2</v>
      </c>
      <c r="K11546" s="648">
        <v>48</v>
      </c>
      <c r="L11546" s="552">
        <f>(I11546*J11546*K11546/1000)</f>
        <v>6.8447999999999993</v>
      </c>
      <c r="M11546" s="549"/>
      <c r="N11546" s="567">
        <f>J11546*M11546*I11546/1000</f>
        <v>0</v>
      </c>
      <c r="O11546" s="549"/>
      <c r="P11546" s="549"/>
      <c r="Q11546" s="497">
        <f>14+13+3+3+8</f>
        <v>41</v>
      </c>
      <c r="R11546" s="126">
        <f t="shared" ref="R11546:R11548" si="2342">J11546*Q11546*I11546/1000</f>
        <v>5.8466000000000005</v>
      </c>
      <c r="S11546">
        <f>3+2</f>
        <v>5</v>
      </c>
      <c r="T11546" s="126">
        <f t="shared" ref="T11546:T11548" si="2343">J11546*S11546*I11546/1000</f>
        <v>0.71299999999999997</v>
      </c>
      <c r="U11546" s="1511" t="s">
        <v>1439</v>
      </c>
    </row>
    <row r="11547" spans="1:21" ht="17.399999999999999">
      <c r="A11547" s="549"/>
      <c r="B11547" s="832" t="s">
        <v>1246</v>
      </c>
      <c r="C11547" s="549"/>
      <c r="D11547" s="549"/>
      <c r="E11547" s="549"/>
      <c r="F11547" s="549"/>
      <c r="G11547" s="549" t="s">
        <v>21</v>
      </c>
      <c r="H11547" s="549" t="s">
        <v>176</v>
      </c>
      <c r="I11547" s="558">
        <v>23</v>
      </c>
      <c r="J11547" s="565">
        <v>6.3</v>
      </c>
      <c r="K11547" s="648">
        <v>108</v>
      </c>
      <c r="L11547" s="552">
        <f>(I11547*J11547*K11547/1000)</f>
        <v>15.6492</v>
      </c>
      <c r="M11547" s="549">
        <f>1+2+1</f>
        <v>4</v>
      </c>
      <c r="N11547" s="567">
        <f t="shared" ref="N11547:N11548" si="2344">J11547*M11547*I11547/1000</f>
        <v>0.5796</v>
      </c>
      <c r="O11547" s="549"/>
      <c r="P11547" s="549"/>
      <c r="Q11547" s="497">
        <f>11+14+14+6+6</f>
        <v>51</v>
      </c>
      <c r="R11547" s="126">
        <f t="shared" si="2342"/>
        <v>7.3899000000000008</v>
      </c>
      <c r="S11547">
        <f>11+5+1+1</f>
        <v>18</v>
      </c>
      <c r="T11547" s="126">
        <f t="shared" si="2343"/>
        <v>2.6081999999999996</v>
      </c>
    </row>
    <row r="11548" spans="1:21" ht="17.399999999999999">
      <c r="A11548" s="549"/>
      <c r="B11548" s="549"/>
      <c r="C11548" s="549"/>
      <c r="D11548" s="549"/>
      <c r="E11548" s="549"/>
      <c r="F11548" s="549"/>
      <c r="G11548" s="549" t="s">
        <v>21</v>
      </c>
      <c r="H11548" s="549" t="s">
        <v>176</v>
      </c>
      <c r="I11548" s="558">
        <v>23</v>
      </c>
      <c r="J11548" s="565">
        <v>7.6</v>
      </c>
      <c r="K11548" s="648">
        <v>52</v>
      </c>
      <c r="L11548" s="552">
        <f>(I11548*J11548*K11548/1000)</f>
        <v>9.089599999999999</v>
      </c>
      <c r="M11548" s="549">
        <v>5</v>
      </c>
      <c r="N11548" s="567">
        <f t="shared" si="2344"/>
        <v>0.874</v>
      </c>
      <c r="O11548" s="549"/>
      <c r="P11548" s="549"/>
      <c r="Q11548" s="497">
        <f>6+8</f>
        <v>14</v>
      </c>
      <c r="R11548" s="126">
        <f t="shared" si="2342"/>
        <v>2.4471999999999996</v>
      </c>
      <c r="S11548">
        <v>7</v>
      </c>
      <c r="T11548" s="126">
        <f t="shared" si="2343"/>
        <v>1.2235999999999998</v>
      </c>
    </row>
    <row r="11549" spans="1:21" ht="17.399999999999999">
      <c r="A11549" s="549"/>
      <c r="B11549" s="549"/>
      <c r="C11549" s="549"/>
      <c r="D11549" s="549"/>
      <c r="E11549" s="549"/>
      <c r="F11549" s="549"/>
      <c r="G11549" s="549"/>
      <c r="H11549" s="549"/>
      <c r="I11549" s="558"/>
      <c r="J11549" s="565"/>
      <c r="K11549" s="648">
        <f>SUM(K11546:K11548)</f>
        <v>208</v>
      </c>
      <c r="L11549" s="567">
        <f>SUM(L11546:L11548)</f>
        <v>31.583599999999997</v>
      </c>
      <c r="M11549" s="648">
        <f>SUM(M11546:M11548)</f>
        <v>9</v>
      </c>
      <c r="N11549" s="567">
        <f>SUM(N11546:N11548)</f>
        <v>1.4536</v>
      </c>
      <c r="O11549" s="549"/>
      <c r="P11549" s="549" t="s">
        <v>1371</v>
      </c>
      <c r="Q11549" s="648">
        <f>SUM(Q11546:Q11548)</f>
        <v>106</v>
      </c>
      <c r="R11549" s="567">
        <f>SUM(R11546:R11548)</f>
        <v>15.683700000000002</v>
      </c>
      <c r="S11549" s="648">
        <f>SUM(S11546:S11548)</f>
        <v>30</v>
      </c>
      <c r="T11549" s="567">
        <f>SUM(T11546:T11548)</f>
        <v>4.5447999999999995</v>
      </c>
    </row>
    <row r="11550" spans="1:21" s="1511" customFormat="1" ht="17.399999999999999">
      <c r="A11550" s="549"/>
      <c r="B11550" s="549"/>
      <c r="C11550" s="549"/>
      <c r="D11550" s="549"/>
      <c r="E11550" s="549"/>
      <c r="F11550" s="549"/>
      <c r="G11550" s="549"/>
      <c r="H11550" s="549"/>
      <c r="I11550" s="558"/>
      <c r="J11550" s="565"/>
      <c r="K11550" s="648"/>
      <c r="L11550" s="567"/>
      <c r="M11550" s="648"/>
      <c r="N11550" s="567"/>
      <c r="O11550" s="549"/>
      <c r="P11550" s="549"/>
    </row>
    <row r="11551" spans="1:21" s="1511" customFormat="1" ht="17.399999999999999">
      <c r="A11551" s="549"/>
      <c r="B11551" s="832"/>
      <c r="C11551" s="549"/>
      <c r="D11551" s="549"/>
      <c r="E11551" s="549"/>
      <c r="F11551" s="549"/>
      <c r="G11551" s="549"/>
      <c r="H11551" s="549"/>
      <c r="I11551" s="558"/>
      <c r="J11551" s="565"/>
      <c r="K11551" s="648"/>
      <c r="L11551" s="567"/>
      <c r="M11551" s="648"/>
      <c r="N11551" s="567"/>
      <c r="O11551" s="549"/>
      <c r="P11551" s="549"/>
    </row>
    <row r="11552" spans="1:21" s="1511" customFormat="1" ht="17.399999999999999">
      <c r="A11552" s="549"/>
      <c r="B11552" s="549"/>
      <c r="C11552" s="549"/>
      <c r="D11552" s="549"/>
      <c r="E11552" s="549"/>
      <c r="F11552" s="549"/>
      <c r="G11552" s="549"/>
      <c r="H11552" s="549"/>
      <c r="I11552" s="560"/>
      <c r="J11552" s="565"/>
      <c r="K11552" s="561"/>
      <c r="L11552" s="560"/>
      <c r="M11552" s="549"/>
      <c r="N11552" s="549"/>
      <c r="O11552" s="549"/>
      <c r="P11552" s="549"/>
    </row>
    <row r="11553" spans="1:19" ht="17.399999999999999">
      <c r="A11553" s="547" t="s">
        <v>332</v>
      </c>
      <c r="B11553" s="547" t="s">
        <v>1327</v>
      </c>
      <c r="C11553" s="547" t="s">
        <v>19</v>
      </c>
      <c r="D11553" s="547" t="s">
        <v>20</v>
      </c>
      <c r="E11553" s="1437" t="s">
        <v>464</v>
      </c>
      <c r="F11553" s="550">
        <v>16</v>
      </c>
      <c r="G11553" s="549" t="s">
        <v>21</v>
      </c>
      <c r="H11553" s="599" t="s">
        <v>179</v>
      </c>
      <c r="I11553" s="558">
        <v>33.799999999999997</v>
      </c>
      <c r="J11553" s="565">
        <v>10.1</v>
      </c>
      <c r="K11553" s="648">
        <v>36</v>
      </c>
      <c r="L11553" s="552">
        <f>(I11553*J11553*K11553/1000)</f>
        <v>12.289679999999999</v>
      </c>
      <c r="M11553" s="648">
        <v>5</v>
      </c>
      <c r="N11553" s="567">
        <f t="shared" ref="N11553:N11554" si="2345">J11553*M11553*I11553/1000</f>
        <v>1.7068999999999999</v>
      </c>
      <c r="O11553" s="549"/>
      <c r="P11553" s="549"/>
      <c r="Q11553" s="497">
        <f>9+9+8+4+1-3</f>
        <v>28</v>
      </c>
      <c r="R11553" s="126">
        <f>J11553*Q11553*I11553/1000</f>
        <v>9.5586399999999987</v>
      </c>
      <c r="S11553" s="1511" t="s">
        <v>1452</v>
      </c>
    </row>
    <row r="11554" spans="1:19" ht="17.399999999999999">
      <c r="A11554" s="549"/>
      <c r="B11554" s="549" t="s">
        <v>238</v>
      </c>
      <c r="C11554" s="549"/>
      <c r="D11554" s="549"/>
      <c r="E11554" s="549"/>
      <c r="F11554" s="549"/>
      <c r="G11554" s="549" t="s">
        <v>21</v>
      </c>
      <c r="H11554" s="549" t="s">
        <v>179</v>
      </c>
      <c r="I11554" s="558">
        <v>33.799999999999997</v>
      </c>
      <c r="J11554" s="565">
        <v>7.8</v>
      </c>
      <c r="K11554" s="648">
        <v>8</v>
      </c>
      <c r="L11554" s="552">
        <f>(I11554*J11554*K11554/1000)</f>
        <v>2.1091199999999999</v>
      </c>
      <c r="M11554" s="648">
        <v>8</v>
      </c>
      <c r="N11554" s="567">
        <f t="shared" si="2345"/>
        <v>2.1091199999999999</v>
      </c>
      <c r="O11554" s="549"/>
      <c r="P11554" s="549"/>
    </row>
    <row r="11555" spans="1:19" ht="17.399999999999999">
      <c r="A11555" s="549"/>
      <c r="B11555" s="832"/>
      <c r="C11555" s="549"/>
      <c r="D11555" s="549"/>
      <c r="E11555" s="549"/>
      <c r="F11555" s="549"/>
      <c r="G11555" s="549"/>
      <c r="H11555" s="549"/>
      <c r="I11555" s="560"/>
      <c r="J11555" s="565"/>
      <c r="K11555" s="648">
        <f t="shared" ref="K11555:M11555" si="2346">SUM(K11553:K11554)</f>
        <v>44</v>
      </c>
      <c r="L11555" s="567">
        <f>SUM(L11553:L11554)</f>
        <v>14.398799999999998</v>
      </c>
      <c r="M11555" s="648">
        <f t="shared" si="2346"/>
        <v>13</v>
      </c>
      <c r="N11555" s="567">
        <f>SUM(N11553:N11554)</f>
        <v>3.81602</v>
      </c>
      <c r="O11555" s="549"/>
      <c r="P11555" s="549" t="s">
        <v>1372</v>
      </c>
      <c r="Q11555" s="648">
        <f t="shared" ref="Q11555" si="2347">SUM(Q11553:Q11554)</f>
        <v>28</v>
      </c>
      <c r="R11555" s="567">
        <f>SUM(R11553:R11554)</f>
        <v>9.5586399999999987</v>
      </c>
    </row>
    <row r="11556" spans="1:19" ht="17.399999999999999">
      <c r="A11556" s="549"/>
      <c r="B11556" s="832"/>
      <c r="C11556" s="549"/>
      <c r="D11556" s="549"/>
      <c r="E11556" s="549"/>
      <c r="F11556" s="549"/>
      <c r="G11556" s="549"/>
      <c r="H11556" s="549"/>
      <c r="I11556" s="560"/>
      <c r="J11556" s="565"/>
      <c r="K11556" s="648"/>
      <c r="L11556" s="567"/>
      <c r="M11556" s="648"/>
      <c r="N11556" s="567"/>
      <c r="O11556" s="549"/>
      <c r="P11556" s="549"/>
    </row>
    <row r="11557" spans="1:19" ht="17.399999999999999">
      <c r="A11557" s="549"/>
      <c r="B11557" s="832"/>
      <c r="C11557" s="549"/>
      <c r="D11557" s="549"/>
      <c r="E11557" s="549"/>
      <c r="F11557" s="549"/>
      <c r="G11557" s="549"/>
      <c r="H11557" s="549"/>
      <c r="I11557" s="558"/>
      <c r="J11557" s="565"/>
      <c r="K11557" s="648"/>
      <c r="L11557" s="567"/>
      <c r="M11557" s="549"/>
      <c r="N11557" s="549"/>
      <c r="O11557" s="549"/>
      <c r="P11557" s="549"/>
    </row>
    <row r="11558" spans="1:19" ht="17.399999999999999">
      <c r="A11558" s="547" t="s">
        <v>541</v>
      </c>
      <c r="B11558" s="979" t="s">
        <v>1314</v>
      </c>
      <c r="C11558" s="547" t="s">
        <v>19</v>
      </c>
      <c r="D11558" s="547" t="s">
        <v>20</v>
      </c>
      <c r="E11558" s="1500" t="s">
        <v>420</v>
      </c>
      <c r="F11558" s="754">
        <v>16</v>
      </c>
      <c r="G11558" s="549" t="s">
        <v>21</v>
      </c>
      <c r="H11558" s="599" t="s">
        <v>518</v>
      </c>
      <c r="I11558" s="558">
        <v>29.5</v>
      </c>
      <c r="J11558" s="565">
        <v>7.3</v>
      </c>
      <c r="K11558" s="648">
        <v>2</v>
      </c>
      <c r="L11558" s="552">
        <f t="shared" ref="L11558:L11559" si="2348">(I11558*J11558*K11558/1000)</f>
        <v>0.43069999999999997</v>
      </c>
      <c r="M11558" s="549">
        <v>2</v>
      </c>
      <c r="N11558" s="567">
        <f t="shared" ref="N11558:N11559" si="2349">J11558*M11558*I11558/1000</f>
        <v>0.43069999999999997</v>
      </c>
      <c r="O11558" s="549"/>
      <c r="P11558" s="549"/>
      <c r="Q11558" s="1511" t="s">
        <v>1452</v>
      </c>
    </row>
    <row r="11559" spans="1:19" ht="17.399999999999999">
      <c r="A11559" s="549"/>
      <c r="B11559" s="832" t="s">
        <v>1246</v>
      </c>
      <c r="C11559" s="549"/>
      <c r="D11559" s="549"/>
      <c r="E11559" s="549"/>
      <c r="F11559" s="549"/>
      <c r="G11559" s="549" t="s">
        <v>21</v>
      </c>
      <c r="H11559" s="549" t="s">
        <v>518</v>
      </c>
      <c r="I11559" s="558">
        <v>29.5</v>
      </c>
      <c r="J11559" s="565">
        <v>7.6</v>
      </c>
      <c r="K11559" s="648">
        <v>2</v>
      </c>
      <c r="L11559" s="552">
        <f t="shared" si="2348"/>
        <v>0.44839999999999997</v>
      </c>
      <c r="M11559" s="549">
        <v>2</v>
      </c>
      <c r="N11559" s="567">
        <f t="shared" si="2349"/>
        <v>0.44839999999999997</v>
      </c>
      <c r="O11559" s="549"/>
      <c r="P11559" s="549"/>
    </row>
    <row r="11560" spans="1:19" ht="17.399999999999999">
      <c r="A11560" s="549"/>
      <c r="B11560" s="549"/>
      <c r="C11560" s="549"/>
      <c r="D11560" s="549"/>
      <c r="E11560" s="549"/>
      <c r="F11560" s="549"/>
      <c r="G11560" s="549"/>
      <c r="H11560" s="549"/>
      <c r="I11560" s="558"/>
      <c r="J11560" s="565"/>
      <c r="K11560" s="648">
        <f t="shared" ref="K11560" si="2350">SUM(K11558:K11559)</f>
        <v>4</v>
      </c>
      <c r="L11560" s="567">
        <f>SUM(L11558:L11559)</f>
        <v>0.87909999999999999</v>
      </c>
      <c r="M11560" s="648">
        <f>SUM(M11558:M11559)</f>
        <v>4</v>
      </c>
      <c r="N11560" s="567">
        <f>SUM(N11558:N11559)</f>
        <v>0.87909999999999999</v>
      </c>
      <c r="O11560" s="549"/>
      <c r="P11560" s="549"/>
    </row>
    <row r="11561" spans="1:19" s="1511" customFormat="1" ht="17.399999999999999">
      <c r="A11561" s="549"/>
      <c r="B11561" s="549"/>
      <c r="C11561" s="549"/>
      <c r="D11561" s="549"/>
      <c r="E11561" s="549"/>
      <c r="F11561" s="549"/>
      <c r="G11561" s="549"/>
      <c r="H11561" s="549"/>
      <c r="I11561" s="558"/>
      <c r="J11561" s="565"/>
      <c r="K11561" s="648"/>
      <c r="L11561" s="567"/>
      <c r="M11561" s="648"/>
      <c r="N11561" s="567"/>
      <c r="O11561" s="549"/>
      <c r="P11561" s="549"/>
    </row>
    <row r="11562" spans="1:19" ht="17.399999999999999">
      <c r="A11562" s="549"/>
      <c r="B11562" s="549"/>
      <c r="C11562" s="549"/>
      <c r="D11562" s="549"/>
      <c r="E11562" s="549"/>
      <c r="F11562" s="549"/>
      <c r="G11562" s="549"/>
      <c r="H11562" s="549"/>
      <c r="I11562" s="558"/>
      <c r="J11562" s="565"/>
      <c r="K11562" s="648"/>
      <c r="L11562" s="567"/>
      <c r="M11562" s="549"/>
      <c r="N11562" s="549"/>
      <c r="O11562" s="549"/>
      <c r="P11562" s="549"/>
    </row>
    <row r="11563" spans="1:19" ht="17.399999999999999">
      <c r="A11563" s="547" t="s">
        <v>541</v>
      </c>
      <c r="B11563" s="979" t="s">
        <v>1314</v>
      </c>
      <c r="C11563" s="547" t="s">
        <v>19</v>
      </c>
      <c r="D11563" s="547" t="s">
        <v>20</v>
      </c>
      <c r="E11563" s="1500" t="s">
        <v>420</v>
      </c>
      <c r="F11563" s="754">
        <v>16</v>
      </c>
      <c r="G11563" s="549" t="s">
        <v>21</v>
      </c>
      <c r="H11563" s="599" t="s">
        <v>180</v>
      </c>
      <c r="I11563" s="558">
        <v>35.9</v>
      </c>
      <c r="J11563" s="565">
        <v>8.1</v>
      </c>
      <c r="K11563" s="648">
        <v>55</v>
      </c>
      <c r="L11563" s="552">
        <f t="shared" ref="L11563" si="2351">(I11563*J11563*K11563/1000)</f>
        <v>15.993449999999998</v>
      </c>
      <c r="M11563" s="549">
        <v>3</v>
      </c>
      <c r="N11563" s="567">
        <f t="shared" ref="N11563" si="2352">J11563*M11563*I11563/1000</f>
        <v>0.87236999999999987</v>
      </c>
      <c r="O11563" s="549"/>
      <c r="P11563" s="549"/>
      <c r="Q11563" s="497">
        <f>12+11+12</f>
        <v>35</v>
      </c>
      <c r="R11563" s="126">
        <f>J11563*Q11563*I11563/1000</f>
        <v>10.17765</v>
      </c>
      <c r="S11563" s="1511" t="s">
        <v>1452</v>
      </c>
    </row>
    <row r="11564" spans="1:19" ht="17.399999999999999">
      <c r="A11564" s="549"/>
      <c r="B11564" s="832" t="s">
        <v>1246</v>
      </c>
      <c r="C11564" s="549"/>
      <c r="D11564" s="549"/>
      <c r="E11564" s="549"/>
      <c r="F11564" s="549"/>
      <c r="G11564" s="549"/>
      <c r="H11564" s="549"/>
      <c r="I11564" s="560"/>
      <c r="J11564" s="565"/>
      <c r="K11564" s="648">
        <f t="shared" ref="K11564:M11564" si="2353">SUM(K11563)</f>
        <v>55</v>
      </c>
      <c r="L11564" s="567">
        <f>SUM(L11563)</f>
        <v>15.993449999999998</v>
      </c>
      <c r="M11564" s="648">
        <f t="shared" si="2353"/>
        <v>3</v>
      </c>
      <c r="N11564" s="567">
        <f>SUM(N11563)</f>
        <v>0.87236999999999987</v>
      </c>
      <c r="O11564" s="549"/>
      <c r="P11564" s="549" t="s">
        <v>1373</v>
      </c>
      <c r="Q11564" s="648">
        <f t="shared" ref="Q11564" si="2354">SUM(Q11563)</f>
        <v>35</v>
      </c>
      <c r="R11564" s="567">
        <f>SUM(R11563)</f>
        <v>10.17765</v>
      </c>
    </row>
    <row r="11565" spans="1:19" ht="17.399999999999999">
      <c r="A11565" s="549"/>
      <c r="B11565" s="832"/>
      <c r="C11565" s="549"/>
      <c r="D11565" s="549"/>
      <c r="E11565" s="549"/>
      <c r="F11565" s="549"/>
      <c r="G11565" s="549"/>
      <c r="H11565" s="549"/>
      <c r="I11565" s="560"/>
      <c r="J11565" s="565"/>
      <c r="K11565" s="648"/>
      <c r="L11565" s="567"/>
      <c r="M11565" s="648"/>
      <c r="N11565" s="567"/>
      <c r="O11565" s="549"/>
      <c r="P11565" s="549"/>
    </row>
    <row r="11566" spans="1:19" s="1511" customFormat="1" ht="17.399999999999999">
      <c r="A11566" s="549"/>
      <c r="B11566" s="832"/>
      <c r="C11566" s="549"/>
      <c r="D11566" s="549"/>
      <c r="E11566" s="549"/>
      <c r="F11566" s="549"/>
      <c r="G11566" s="549"/>
      <c r="H11566" s="549"/>
      <c r="I11566" s="560"/>
      <c r="J11566" s="565"/>
      <c r="K11566" s="648"/>
      <c r="L11566" s="567"/>
      <c r="M11566" s="648"/>
      <c r="N11566" s="567"/>
      <c r="O11566" s="549"/>
      <c r="P11566" s="549"/>
    </row>
    <row r="11567" spans="1:19" s="1511" customFormat="1" ht="17.399999999999999">
      <c r="A11567" s="547" t="s">
        <v>272</v>
      </c>
      <c r="B11567" s="852" t="s">
        <v>1365</v>
      </c>
      <c r="C11567" s="547" t="s">
        <v>19</v>
      </c>
      <c r="D11567" s="813" t="s">
        <v>854</v>
      </c>
      <c r="E11567" s="547" t="s">
        <v>359</v>
      </c>
      <c r="F11567" s="550">
        <v>16</v>
      </c>
      <c r="G11567" s="549" t="s">
        <v>21</v>
      </c>
      <c r="H11567" s="599" t="s">
        <v>180</v>
      </c>
      <c r="I11567" s="558">
        <v>35.840000000000003</v>
      </c>
      <c r="J11567" s="765">
        <v>11.75</v>
      </c>
      <c r="K11567" s="766">
        <v>20</v>
      </c>
      <c r="L11567" s="552">
        <f t="shared" ref="L11567" si="2355">(I11567*J11567*K11567/1000)</f>
        <v>8.4224000000000014</v>
      </c>
      <c r="M11567" s="764"/>
      <c r="N11567" s="567"/>
      <c r="O11567" s="549"/>
      <c r="P11567" s="549"/>
      <c r="Q11567" s="1511">
        <f>7+7</f>
        <v>14</v>
      </c>
      <c r="R11567" s="126">
        <f>J11567*Q11567*I11567/1000</f>
        <v>5.8956800000000005</v>
      </c>
      <c r="S11567" s="1511" t="s">
        <v>1452</v>
      </c>
    </row>
    <row r="11568" spans="1:19" s="1511" customFormat="1" ht="17.399999999999999">
      <c r="A11568" s="549"/>
      <c r="B11568" s="559" t="s">
        <v>277</v>
      </c>
      <c r="C11568" s="549"/>
      <c r="D11568" s="549"/>
      <c r="E11568" s="549"/>
      <c r="F11568" s="549"/>
      <c r="G11568" s="549"/>
      <c r="H11568" s="550"/>
      <c r="I11568" s="1865"/>
      <c r="J11568" s="766"/>
      <c r="K11568" s="766">
        <f>SUM(K11567)</f>
        <v>20</v>
      </c>
      <c r="L11568" s="765">
        <f>SUM(L11567)</f>
        <v>8.4224000000000014</v>
      </c>
      <c r="M11568" s="764"/>
      <c r="N11568" s="567"/>
      <c r="O11568" s="549"/>
      <c r="P11568" s="549" t="s">
        <v>1374</v>
      </c>
      <c r="Q11568" s="766">
        <f>SUM(Q11567)</f>
        <v>14</v>
      </c>
      <c r="R11568" s="765">
        <f>SUM(R11567)</f>
        <v>5.8956800000000005</v>
      </c>
    </row>
    <row r="11569" spans="1:21" s="1511" customFormat="1" ht="17.399999999999999">
      <c r="A11569" s="549"/>
      <c r="B11569" s="832"/>
      <c r="C11569" s="549"/>
      <c r="D11569" s="549"/>
      <c r="E11569" s="549"/>
      <c r="F11569" s="549"/>
      <c r="G11569" s="549"/>
      <c r="H11569" s="549"/>
      <c r="I11569" s="560"/>
      <c r="J11569" s="565"/>
      <c r="K11569" s="648">
        <f>SUM(K11563:K11568)/2</f>
        <v>75</v>
      </c>
      <c r="L11569" s="567">
        <f>SUM(L11563:L11568)/2</f>
        <v>24.415849999999999</v>
      </c>
      <c r="M11569" s="648">
        <f>SUM(M11563:M11568)/2</f>
        <v>3</v>
      </c>
      <c r="N11569" s="567">
        <f>SUM(N11563:N11568)/2</f>
        <v>0.87236999999999987</v>
      </c>
      <c r="O11569" s="549"/>
      <c r="P11569" s="549"/>
    </row>
    <row r="11570" spans="1:21" s="1511" customFormat="1" ht="17.399999999999999">
      <c r="A11570" s="549"/>
      <c r="B11570" s="832"/>
      <c r="C11570" s="549"/>
      <c r="D11570" s="549"/>
      <c r="E11570" s="549"/>
      <c r="F11570" s="549"/>
      <c r="G11570" s="549"/>
      <c r="H11570" s="549"/>
      <c r="I11570" s="560"/>
      <c r="J11570" s="565"/>
      <c r="K11570" s="648"/>
      <c r="L11570" s="567"/>
      <c r="M11570" s="648"/>
      <c r="N11570" s="567"/>
      <c r="O11570" s="549"/>
      <c r="P11570" s="549"/>
    </row>
    <row r="11571" spans="1:21" s="1511" customFormat="1" ht="17.399999999999999">
      <c r="A11571" s="549"/>
      <c r="B11571" s="832"/>
      <c r="C11571" s="549"/>
      <c r="D11571" s="549"/>
      <c r="E11571" s="549"/>
      <c r="F11571" s="549"/>
      <c r="G11571" s="549"/>
      <c r="H11571" s="549"/>
      <c r="I11571" s="560"/>
      <c r="J11571" s="565"/>
      <c r="K11571" s="648"/>
      <c r="L11571" s="567"/>
      <c r="M11571" s="648"/>
      <c r="N11571" s="567"/>
      <c r="O11571" s="549"/>
      <c r="P11571" s="549"/>
    </row>
    <row r="11572" spans="1:21" s="1511" customFormat="1" ht="17.399999999999999">
      <c r="A11572" s="549"/>
      <c r="B11572" s="832"/>
      <c r="C11572" s="549"/>
      <c r="D11572" s="549"/>
      <c r="E11572" s="549"/>
      <c r="F11572" s="549"/>
      <c r="G11572" s="549"/>
      <c r="H11572" s="549"/>
      <c r="I11572" s="560"/>
      <c r="J11572" s="565"/>
      <c r="K11572" s="648"/>
      <c r="L11572" s="567"/>
      <c r="M11572" s="648"/>
      <c r="N11572" s="567"/>
      <c r="O11572" s="549"/>
      <c r="P11572" s="549"/>
    </row>
    <row r="11573" spans="1:21" s="1511" customFormat="1" ht="17.399999999999999">
      <c r="A11573" s="547" t="s">
        <v>83</v>
      </c>
      <c r="B11573" s="547" t="s">
        <v>1360</v>
      </c>
      <c r="C11573" s="547" t="s">
        <v>446</v>
      </c>
      <c r="D11573" s="813" t="s">
        <v>447</v>
      </c>
      <c r="E11573" s="547" t="s">
        <v>359</v>
      </c>
      <c r="F11573" s="550">
        <v>16</v>
      </c>
      <c r="G11573" s="1545" t="s">
        <v>21</v>
      </c>
      <c r="H11573" s="1577" t="s">
        <v>182</v>
      </c>
      <c r="I11573" s="558">
        <v>44.12</v>
      </c>
      <c r="J11573" s="803">
        <v>6.7</v>
      </c>
      <c r="K11573" s="775">
        <v>1</v>
      </c>
      <c r="L11573" s="552">
        <f>(I11573*J11573*K11573/1000)</f>
        <v>0.29560399999999998</v>
      </c>
      <c r="M11573" s="766"/>
      <c r="N11573" s="765"/>
      <c r="O11573" s="549"/>
      <c r="P11573" s="803">
        <v>6</v>
      </c>
      <c r="Q11573" s="1511" t="s">
        <v>1477</v>
      </c>
      <c r="T11573" s="1511">
        <v>1</v>
      </c>
      <c r="U11573" s="1511">
        <f>J11573*T11573*I11573/1000</f>
        <v>0.29560399999999998</v>
      </c>
    </row>
    <row r="11574" spans="1:21" s="1511" customFormat="1" ht="17.399999999999999">
      <c r="A11574" s="549"/>
      <c r="B11574" s="549"/>
      <c r="C11574" s="549"/>
      <c r="D11574" s="549"/>
      <c r="E11574" s="549"/>
      <c r="F11574" s="549"/>
      <c r="G11574" s="1545" t="s">
        <v>21</v>
      </c>
      <c r="H11574" s="1545" t="s">
        <v>182</v>
      </c>
      <c r="I11574" s="558">
        <v>44.12</v>
      </c>
      <c r="J11574" s="803">
        <v>6.7</v>
      </c>
      <c r="K11574" s="775">
        <v>1</v>
      </c>
      <c r="L11574" s="552">
        <f>(I11574*J11574*K11574/1000)</f>
        <v>0.29560399999999998</v>
      </c>
      <c r="M11574" s="766"/>
      <c r="N11574" s="765"/>
      <c r="O11574" s="549"/>
      <c r="P11574" s="549"/>
      <c r="T11574" s="1511">
        <v>1</v>
      </c>
      <c r="U11574" s="1511">
        <f>J11574*T11574*I11574/1000</f>
        <v>0.29560399999999998</v>
      </c>
    </row>
    <row r="11575" spans="1:21" s="1511" customFormat="1" ht="17.399999999999999">
      <c r="A11575" s="549"/>
      <c r="B11575" s="832"/>
      <c r="C11575" s="549"/>
      <c r="D11575" s="549"/>
      <c r="E11575" s="549"/>
      <c r="F11575" s="549"/>
      <c r="G11575" s="1545" t="s">
        <v>21</v>
      </c>
      <c r="H11575" s="1545" t="s">
        <v>182</v>
      </c>
      <c r="I11575" s="558">
        <v>44.12</v>
      </c>
      <c r="J11575" s="803">
        <v>7.7</v>
      </c>
      <c r="K11575" s="775">
        <v>70</v>
      </c>
      <c r="L11575" s="552">
        <f>(I11575*J11575*K11575/1000)</f>
        <v>23.78068</v>
      </c>
      <c r="M11575" s="766"/>
      <c r="N11575" s="765"/>
      <c r="O11575" s="549"/>
      <c r="P11575" s="549"/>
      <c r="Q11575" s="1511">
        <f>9+9+6</f>
        <v>24</v>
      </c>
      <c r="R11575" s="1511">
        <f>J11575*Q11575*I11575/1000</f>
        <v>8.1533759999999997</v>
      </c>
      <c r="T11575" s="1511">
        <v>6</v>
      </c>
      <c r="U11575" s="1511">
        <f>J11575*T11575*I11575/1000</f>
        <v>2.0383439999999999</v>
      </c>
    </row>
    <row r="11576" spans="1:21" s="1511" customFormat="1" ht="17.399999999999999">
      <c r="A11576" s="549"/>
      <c r="B11576" s="832"/>
      <c r="C11576" s="549"/>
      <c r="D11576" s="549"/>
      <c r="E11576" s="549"/>
      <c r="F11576" s="549"/>
      <c r="G11576" s="1545" t="s">
        <v>21</v>
      </c>
      <c r="H11576" s="1545" t="s">
        <v>182</v>
      </c>
      <c r="I11576" s="558">
        <v>44.12</v>
      </c>
      <c r="J11576" s="803">
        <v>9.5</v>
      </c>
      <c r="K11576" s="775">
        <v>32</v>
      </c>
      <c r="L11576" s="552">
        <f>(I11576*J11576*K11576/1000)</f>
        <v>13.41248</v>
      </c>
      <c r="M11576" s="766"/>
      <c r="N11576" s="765"/>
      <c r="O11576" s="549"/>
      <c r="P11576" s="549"/>
      <c r="Q11576" s="1511">
        <f>8+1</f>
        <v>9</v>
      </c>
      <c r="R11576" s="1511">
        <f t="shared" ref="R11576:R11577" si="2356">J11576*Q11576*I11576/1000</f>
        <v>3.7722599999999997</v>
      </c>
      <c r="T11576" s="1511">
        <v>6</v>
      </c>
      <c r="U11576" s="1511">
        <f>J11576*T11576*I11576/1000</f>
        <v>2.5148399999999995</v>
      </c>
    </row>
    <row r="11577" spans="1:21" s="1511" customFormat="1" ht="17.399999999999999">
      <c r="A11577" s="549"/>
      <c r="B11577" s="832"/>
      <c r="C11577" s="549"/>
      <c r="D11577" s="549"/>
      <c r="E11577" s="549"/>
      <c r="F11577" s="549"/>
      <c r="G11577" s="1545" t="s">
        <v>21</v>
      </c>
      <c r="H11577" s="1545" t="s">
        <v>182</v>
      </c>
      <c r="I11577" s="558">
        <v>44.12</v>
      </c>
      <c r="J11577" s="803">
        <v>10</v>
      </c>
      <c r="K11577" s="775">
        <v>15</v>
      </c>
      <c r="L11577" s="552">
        <f>(I11577*J11577*K11577/1000)</f>
        <v>6.6180000000000003</v>
      </c>
      <c r="M11577" s="766"/>
      <c r="N11577" s="765"/>
      <c r="O11577" s="549"/>
      <c r="P11577" s="549"/>
      <c r="Q11577" s="1511">
        <v>7</v>
      </c>
      <c r="R11577" s="1511">
        <f t="shared" si="2356"/>
        <v>3.0883999999999996</v>
      </c>
      <c r="T11577" s="1511">
        <v>2</v>
      </c>
      <c r="U11577" s="1511">
        <f>J11577*T11577*I11577/1000</f>
        <v>0.88239999999999996</v>
      </c>
    </row>
    <row r="11578" spans="1:21" s="1511" customFormat="1" ht="17.399999999999999">
      <c r="A11578" s="549"/>
      <c r="B11578" s="832"/>
      <c r="C11578" s="549"/>
      <c r="D11578" s="549"/>
      <c r="E11578" s="549"/>
      <c r="F11578" s="549"/>
      <c r="G11578" s="549"/>
      <c r="H11578" s="549"/>
      <c r="I11578" s="560"/>
      <c r="J11578" s="565"/>
      <c r="K11578" s="708">
        <f>SUM(K11573:K11577)</f>
        <v>119</v>
      </c>
      <c r="L11578" s="765">
        <f>SUM(L11573:L11577)</f>
        <v>44.402368000000003</v>
      </c>
      <c r="M11578" s="766"/>
      <c r="N11578" s="765"/>
      <c r="O11578" s="549"/>
      <c r="P11578" s="549" t="s">
        <v>1375</v>
      </c>
      <c r="Q11578" s="708">
        <f>SUM(Q11573:Q11577)</f>
        <v>40</v>
      </c>
      <c r="R11578" s="765">
        <f>SUM(R11573:R11577)</f>
        <v>15.014035999999999</v>
      </c>
      <c r="T11578" s="708">
        <f>SUM(T11573:T11577)</f>
        <v>16</v>
      </c>
      <c r="U11578" s="765">
        <f>SUM(U11573:U11577)</f>
        <v>6.0267919999999995</v>
      </c>
    </row>
    <row r="11579" spans="1:21" s="1511" customFormat="1" ht="17.399999999999999">
      <c r="A11579" s="549"/>
      <c r="B11579" s="832"/>
      <c r="C11579" s="549"/>
      <c r="D11579" s="549"/>
      <c r="E11579" s="549"/>
      <c r="F11579" s="549"/>
      <c r="G11579" s="549"/>
      <c r="H11579" s="549"/>
      <c r="I11579" s="560"/>
      <c r="J11579" s="565"/>
      <c r="K11579" s="652"/>
      <c r="L11579" s="567"/>
      <c r="M11579" s="648"/>
      <c r="N11579" s="567"/>
      <c r="O11579" s="549"/>
      <c r="P11579" s="549"/>
    </row>
    <row r="11580" spans="1:21" s="1511" customFormat="1" ht="17.399999999999999">
      <c r="A11580" s="547" t="s">
        <v>272</v>
      </c>
      <c r="B11580" s="547" t="s">
        <v>1361</v>
      </c>
      <c r="C11580" s="547" t="s">
        <v>446</v>
      </c>
      <c r="D11580" s="813" t="s">
        <v>447</v>
      </c>
      <c r="E11580" s="547" t="s">
        <v>359</v>
      </c>
      <c r="F11580" s="550">
        <v>16</v>
      </c>
      <c r="G11580" s="1545" t="s">
        <v>21</v>
      </c>
      <c r="H11580" s="1577" t="s">
        <v>182</v>
      </c>
      <c r="I11580" s="558">
        <v>44.12</v>
      </c>
      <c r="J11580" s="803">
        <v>6.6</v>
      </c>
      <c r="K11580" s="726">
        <v>2</v>
      </c>
      <c r="L11580" s="552">
        <f t="shared" ref="L11580" si="2357">(I11580*J11580*K11580/1000)</f>
        <v>0.5823839999999999</v>
      </c>
      <c r="M11580" s="648"/>
      <c r="N11580" s="567"/>
      <c r="O11580" s="549"/>
      <c r="P11580" s="549"/>
      <c r="Q11580" s="1511" t="s">
        <v>1477</v>
      </c>
    </row>
    <row r="11581" spans="1:21" s="1511" customFormat="1" ht="17.399999999999999">
      <c r="A11581" s="549"/>
      <c r="B11581" s="832"/>
      <c r="C11581" s="549"/>
      <c r="D11581" s="549"/>
      <c r="E11581" s="549"/>
      <c r="F11581" s="549"/>
      <c r="G11581" s="549"/>
      <c r="H11581" s="549"/>
      <c r="I11581" s="560"/>
      <c r="J11581" s="565"/>
      <c r="K11581" s="708">
        <f t="shared" ref="K11581:L11581" si="2358">SUM(K11580)</f>
        <v>2</v>
      </c>
      <c r="L11581" s="709">
        <f t="shared" si="2358"/>
        <v>0.5823839999999999</v>
      </c>
      <c r="M11581" s="648"/>
      <c r="N11581" s="567"/>
      <c r="O11581" s="549"/>
      <c r="P11581" s="549" t="s">
        <v>1375</v>
      </c>
    </row>
    <row r="11582" spans="1:21" s="1511" customFormat="1" ht="17.399999999999999">
      <c r="A11582" s="549"/>
      <c r="B11582" s="832"/>
      <c r="C11582" s="549"/>
      <c r="D11582" s="549"/>
      <c r="E11582" s="549"/>
      <c r="F11582" s="549"/>
      <c r="G11582" s="549"/>
      <c r="H11582" s="549"/>
      <c r="I11582" s="560"/>
      <c r="J11582" s="565"/>
      <c r="K11582" s="766"/>
      <c r="L11582" s="765"/>
      <c r="M11582" s="648"/>
      <c r="N11582" s="567"/>
      <c r="O11582" s="549"/>
      <c r="P11582" s="549"/>
    </row>
    <row r="11583" spans="1:21" s="1511" customFormat="1" ht="17.399999999999999">
      <c r="A11583" s="547" t="s">
        <v>272</v>
      </c>
      <c r="B11583" s="852" t="s">
        <v>1362</v>
      </c>
      <c r="C11583" s="547" t="s">
        <v>19</v>
      </c>
      <c r="D11583" s="813" t="s">
        <v>854</v>
      </c>
      <c r="E11583" s="559" t="s">
        <v>990</v>
      </c>
      <c r="F11583" s="550">
        <v>16</v>
      </c>
      <c r="G11583" s="1559" t="s">
        <v>21</v>
      </c>
      <c r="H11583" s="1559" t="s">
        <v>182</v>
      </c>
      <c r="I11583" s="1900">
        <v>44.2</v>
      </c>
      <c r="J11583" s="1587">
        <v>6</v>
      </c>
      <c r="K11583" s="1588">
        <v>1</v>
      </c>
      <c r="L11583" s="1589">
        <f>(I11583*J11583*K11583/1000)</f>
        <v>0.26520000000000005</v>
      </c>
      <c r="M11583" s="1590" t="s">
        <v>1409</v>
      </c>
      <c r="N11583" s="1591"/>
      <c r="O11583" s="549"/>
      <c r="P11583" s="549"/>
    </row>
    <row r="11584" spans="1:21" s="1511" customFormat="1" ht="17.399999999999999">
      <c r="A11584" s="549"/>
      <c r="B11584" s="832" t="s">
        <v>423</v>
      </c>
      <c r="C11584" s="549"/>
      <c r="D11584" s="549"/>
      <c r="E11584" s="549"/>
      <c r="F11584" s="549"/>
      <c r="G11584" s="1545" t="s">
        <v>21</v>
      </c>
      <c r="H11584" s="1577" t="s">
        <v>182</v>
      </c>
      <c r="I11584" s="558">
        <v>44.2</v>
      </c>
      <c r="J11584" s="803">
        <v>7.8</v>
      </c>
      <c r="K11584" s="775">
        <v>4</v>
      </c>
      <c r="L11584" s="552">
        <f>(I11584*J11584*K11584/1000)</f>
        <v>1.37904</v>
      </c>
      <c r="M11584" s="648"/>
      <c r="N11584" s="567"/>
      <c r="O11584" s="549"/>
      <c r="P11584" s="549"/>
      <c r="Q11584" s="1511" t="s">
        <v>1484</v>
      </c>
    </row>
    <row r="11585" spans="1:19" s="1511" customFormat="1" ht="17.399999999999999">
      <c r="A11585" s="549"/>
      <c r="B11585" s="832"/>
      <c r="C11585" s="549"/>
      <c r="D11585" s="549"/>
      <c r="E11585" s="549"/>
      <c r="F11585" s="549"/>
      <c r="G11585" s="1559" t="s">
        <v>21</v>
      </c>
      <c r="H11585" s="1559" t="s">
        <v>182</v>
      </c>
      <c r="I11585" s="1900">
        <v>44.2</v>
      </c>
      <c r="J11585" s="1587">
        <v>9.3000000000000007</v>
      </c>
      <c r="K11585" s="1588">
        <v>1</v>
      </c>
      <c r="L11585" s="1589">
        <f>(I11585*J11585*K11585/1000)</f>
        <v>0.41106000000000004</v>
      </c>
      <c r="M11585" s="1590" t="s">
        <v>1409</v>
      </c>
      <c r="N11585" s="1591"/>
      <c r="O11585" s="549"/>
      <c r="P11585" s="549"/>
    </row>
    <row r="11586" spans="1:19" s="1511" customFormat="1" ht="17.399999999999999">
      <c r="A11586" s="549"/>
      <c r="B11586" s="832"/>
      <c r="C11586" s="549"/>
      <c r="D11586" s="549"/>
      <c r="E11586" s="549"/>
      <c r="F11586" s="549"/>
      <c r="G11586" s="549"/>
      <c r="H11586" s="549"/>
      <c r="I11586" s="560"/>
      <c r="J11586" s="565"/>
      <c r="K11586" s="708">
        <f>SUM(K11583:K11585)</f>
        <v>6</v>
      </c>
      <c r="L11586" s="765">
        <f>SUM(L11583:L11585)</f>
        <v>2.0553000000000003</v>
      </c>
      <c r="M11586" s="648"/>
      <c r="N11586" s="567"/>
      <c r="O11586" s="549"/>
      <c r="P11586" s="549" t="s">
        <v>1376</v>
      </c>
    </row>
    <row r="11587" spans="1:19" s="1511" customFormat="1" ht="17.399999999999999">
      <c r="A11587" s="549"/>
      <c r="B11587" s="832"/>
      <c r="C11587" s="549"/>
      <c r="D11587" s="549"/>
      <c r="E11587" s="549"/>
      <c r="F11587" s="549"/>
      <c r="G11587" s="549"/>
      <c r="H11587" s="549"/>
      <c r="I11587" s="560"/>
      <c r="J11587" s="565"/>
      <c r="K11587" s="766">
        <f>SUM(K11573:K11586)/2</f>
        <v>127</v>
      </c>
      <c r="L11587" s="765">
        <f>SUM(L11573:L11586)/2</f>
        <v>47.04005200000001</v>
      </c>
      <c r="M11587" s="648"/>
      <c r="N11587" s="567"/>
      <c r="O11587" s="549"/>
      <c r="P11587" s="549"/>
    </row>
    <row r="11588" spans="1:19" s="1511" customFormat="1" ht="17.399999999999999">
      <c r="A11588" s="549"/>
      <c r="B11588" s="832"/>
      <c r="C11588" s="549"/>
      <c r="D11588" s="549"/>
      <c r="E11588" s="549"/>
      <c r="F11588" s="549"/>
      <c r="G11588" s="549"/>
      <c r="H11588" s="549"/>
      <c r="I11588" s="560"/>
      <c r="J11588" s="565"/>
      <c r="K11588" s="766"/>
      <c r="L11588" s="765"/>
      <c r="M11588" s="648"/>
      <c r="N11588" s="567"/>
      <c r="O11588" s="549"/>
      <c r="P11588" s="549"/>
    </row>
    <row r="11589" spans="1:19" s="1511" customFormat="1" ht="17.399999999999999">
      <c r="A11589" s="549"/>
      <c r="B11589" s="832"/>
      <c r="C11589" s="549"/>
      <c r="D11589" s="549"/>
      <c r="E11589" s="549"/>
      <c r="F11589" s="549"/>
      <c r="G11589" s="549"/>
      <c r="H11589" s="549"/>
      <c r="I11589" s="560"/>
      <c r="J11589" s="565"/>
      <c r="K11589" s="648"/>
      <c r="L11589" s="567"/>
      <c r="M11589" s="648"/>
      <c r="N11589" s="567"/>
      <c r="O11589" s="549"/>
      <c r="P11589" s="549"/>
    </row>
    <row r="11590" spans="1:19" s="1511" customFormat="1" ht="17.399999999999999">
      <c r="A11590" s="549"/>
      <c r="B11590" s="832"/>
      <c r="C11590" s="549"/>
      <c r="D11590" s="549"/>
      <c r="E11590" s="549"/>
      <c r="F11590" s="549"/>
      <c r="G11590" s="549"/>
      <c r="H11590" s="549"/>
      <c r="I11590" s="560"/>
      <c r="J11590" s="565"/>
      <c r="K11590" s="652"/>
      <c r="L11590" s="567"/>
      <c r="M11590" s="648"/>
      <c r="N11590" s="567"/>
      <c r="O11590" s="549"/>
      <c r="P11590" s="549"/>
    </row>
    <row r="11591" spans="1:19" ht="17.399999999999999">
      <c r="A11591" s="547" t="s">
        <v>272</v>
      </c>
      <c r="B11591" s="547" t="s">
        <v>1321</v>
      </c>
      <c r="C11591" s="547" t="s">
        <v>446</v>
      </c>
      <c r="D11591" s="813" t="s">
        <v>447</v>
      </c>
      <c r="E11591" s="547" t="s">
        <v>359</v>
      </c>
      <c r="F11591" s="550">
        <v>16</v>
      </c>
      <c r="G11591" s="1545" t="s">
        <v>21</v>
      </c>
      <c r="H11591" s="1577" t="s">
        <v>181</v>
      </c>
      <c r="I11591" s="558">
        <v>40.01</v>
      </c>
      <c r="J11591" s="565">
        <v>6</v>
      </c>
      <c r="K11591" s="648">
        <v>2</v>
      </c>
      <c r="L11591" s="552">
        <f>(I11591*J11591*K11591/1000)</f>
        <v>0.48011999999999999</v>
      </c>
      <c r="M11591" s="648">
        <v>1</v>
      </c>
      <c r="N11591" s="567">
        <f t="shared" ref="N11591" si="2359">J11591*M11591*I11591/1000</f>
        <v>0.24006</v>
      </c>
      <c r="O11591" s="549"/>
      <c r="P11591" s="549"/>
      <c r="Q11591" s="497">
        <v>1</v>
      </c>
      <c r="R11591" s="126">
        <f t="shared" ref="R11591" si="2360">J11591*Q11591*I11591/1000</f>
        <v>0.24006</v>
      </c>
      <c r="S11591" s="1511" t="s">
        <v>1477</v>
      </c>
    </row>
    <row r="11592" spans="1:19" ht="17.399999999999999">
      <c r="A11592" s="549"/>
      <c r="B11592" s="832"/>
      <c r="C11592" s="549"/>
      <c r="D11592" s="549"/>
      <c r="E11592" s="549"/>
      <c r="F11592" s="549"/>
      <c r="G11592" s="1545"/>
      <c r="H11592" s="1545"/>
      <c r="I11592" s="558"/>
      <c r="J11592" s="565"/>
      <c r="K11592" s="648">
        <f t="shared" ref="K11592:N11592" si="2361">SUM(K11591)</f>
        <v>2</v>
      </c>
      <c r="L11592" s="567">
        <f t="shared" si="2361"/>
        <v>0.48011999999999999</v>
      </c>
      <c r="M11592" s="648">
        <f t="shared" si="2361"/>
        <v>1</v>
      </c>
      <c r="N11592" s="567">
        <f t="shared" si="2361"/>
        <v>0.24006</v>
      </c>
      <c r="O11592" s="549"/>
      <c r="P11592" s="549"/>
      <c r="Q11592" s="648">
        <f t="shared" ref="Q11592:R11592" si="2362">SUM(Q11591)</f>
        <v>1</v>
      </c>
      <c r="R11592" s="567">
        <f t="shared" si="2362"/>
        <v>0.24006</v>
      </c>
    </row>
    <row r="11593" spans="1:19" ht="17.399999999999999">
      <c r="A11593" s="549"/>
      <c r="B11593" s="832"/>
      <c r="C11593" s="549"/>
      <c r="D11593" s="549"/>
      <c r="E11593" s="549"/>
      <c r="F11593" s="549"/>
      <c r="G11593" s="549"/>
      <c r="H11593" s="549"/>
      <c r="I11593" s="560"/>
      <c r="J11593" s="565"/>
      <c r="K11593" s="648"/>
      <c r="L11593" s="567"/>
      <c r="M11593" s="648"/>
      <c r="N11593" s="567"/>
      <c r="O11593" s="549"/>
      <c r="P11593" s="549"/>
    </row>
    <row r="11594" spans="1:19" s="1511" customFormat="1" ht="17.399999999999999">
      <c r="A11594" s="547" t="s">
        <v>83</v>
      </c>
      <c r="B11594" s="547" t="s">
        <v>1360</v>
      </c>
      <c r="C11594" s="547" t="s">
        <v>446</v>
      </c>
      <c r="D11594" s="813" t="s">
        <v>447</v>
      </c>
      <c r="E11594" s="547" t="s">
        <v>359</v>
      </c>
      <c r="F11594" s="550">
        <v>16</v>
      </c>
      <c r="G11594" s="1545" t="s">
        <v>21</v>
      </c>
      <c r="H11594" s="1577" t="s">
        <v>181</v>
      </c>
      <c r="I11594" s="558">
        <v>40.01</v>
      </c>
      <c r="J11594" s="803">
        <v>6.2</v>
      </c>
      <c r="K11594" s="726">
        <v>32</v>
      </c>
      <c r="L11594" s="552">
        <f t="shared" ref="L11594:L11599" si="2363">(I11594*J11594*K11594/1000)</f>
        <v>7.9379839999999993</v>
      </c>
      <c r="M11594" s="648"/>
      <c r="N11594" s="567"/>
      <c r="O11594" s="549"/>
      <c r="P11594" s="549"/>
      <c r="Q11594" s="1511">
        <f>9+9+9+5</f>
        <v>32</v>
      </c>
      <c r="R11594" s="126">
        <f t="shared" ref="R11594:R11599" si="2364">J11594*Q11594*I11594/1000</f>
        <v>7.9379839999999993</v>
      </c>
      <c r="S11594" s="1511" t="s">
        <v>1477</v>
      </c>
    </row>
    <row r="11595" spans="1:19" s="1511" customFormat="1" ht="17.399999999999999">
      <c r="A11595" s="549"/>
      <c r="B11595" s="549"/>
      <c r="C11595" s="549"/>
      <c r="D11595" s="549"/>
      <c r="E11595" s="549"/>
      <c r="F11595" s="549"/>
      <c r="G11595" s="1545" t="s">
        <v>21</v>
      </c>
      <c r="H11595" s="1545" t="s">
        <v>181</v>
      </c>
      <c r="I11595" s="558">
        <v>40.01</v>
      </c>
      <c r="J11595" s="803">
        <v>6.55</v>
      </c>
      <c r="K11595" s="726">
        <v>32</v>
      </c>
      <c r="L11595" s="552">
        <f t="shared" si="2363"/>
        <v>8.3860960000000002</v>
      </c>
      <c r="M11595" s="648"/>
      <c r="N11595" s="567"/>
      <c r="O11595" s="549"/>
      <c r="P11595" s="549"/>
      <c r="Q11595" s="1511">
        <f>18+3</f>
        <v>21</v>
      </c>
      <c r="R11595" s="126">
        <f t="shared" si="2364"/>
        <v>5.5033754999999989</v>
      </c>
    </row>
    <row r="11596" spans="1:19" s="1511" customFormat="1" ht="17.399999999999999">
      <c r="A11596" s="549"/>
      <c r="B11596" s="832"/>
      <c r="C11596" s="549"/>
      <c r="D11596" s="549"/>
      <c r="E11596" s="549"/>
      <c r="F11596" s="549"/>
      <c r="G11596" s="1545" t="s">
        <v>21</v>
      </c>
      <c r="H11596" s="1545" t="s">
        <v>181</v>
      </c>
      <c r="I11596" s="558">
        <v>40.01</v>
      </c>
      <c r="J11596" s="803">
        <v>6.7</v>
      </c>
      <c r="K11596" s="726">
        <v>20</v>
      </c>
      <c r="L11596" s="552">
        <f t="shared" si="2363"/>
        <v>5.3613400000000002</v>
      </c>
      <c r="M11596" s="648"/>
      <c r="N11596" s="567"/>
      <c r="O11596" s="549"/>
      <c r="P11596" s="549"/>
      <c r="Q11596" s="1511">
        <v>5</v>
      </c>
      <c r="R11596" s="126">
        <f t="shared" si="2364"/>
        <v>1.3403350000000001</v>
      </c>
    </row>
    <row r="11597" spans="1:19" s="1511" customFormat="1" ht="17.399999999999999">
      <c r="A11597" s="549"/>
      <c r="B11597" s="832"/>
      <c r="C11597" s="549"/>
      <c r="D11597" s="549"/>
      <c r="E11597" s="549"/>
      <c r="F11597" s="549"/>
      <c r="G11597" s="1545" t="s">
        <v>21</v>
      </c>
      <c r="H11597" s="1545" t="s">
        <v>181</v>
      </c>
      <c r="I11597" s="558">
        <v>40.01</v>
      </c>
      <c r="J11597" s="803">
        <v>7.9</v>
      </c>
      <c r="K11597" s="726">
        <v>3</v>
      </c>
      <c r="L11597" s="552">
        <f t="shared" si="2363"/>
        <v>0.94823700000000011</v>
      </c>
      <c r="M11597" s="648"/>
      <c r="N11597" s="567"/>
      <c r="O11597" s="549"/>
      <c r="P11597" s="549"/>
      <c r="Q11597" s="1511">
        <v>3</v>
      </c>
      <c r="R11597" s="126">
        <f t="shared" si="2364"/>
        <v>0.94823700000000011</v>
      </c>
    </row>
    <row r="11598" spans="1:19" s="1511" customFormat="1" ht="17.399999999999999">
      <c r="A11598" s="549"/>
      <c r="B11598" s="832"/>
      <c r="C11598" s="549"/>
      <c r="D11598" s="549"/>
      <c r="E11598" s="549"/>
      <c r="F11598" s="549"/>
      <c r="G11598" s="1545" t="s">
        <v>21</v>
      </c>
      <c r="H11598" s="1545" t="s">
        <v>181</v>
      </c>
      <c r="I11598" s="558">
        <v>40.01</v>
      </c>
      <c r="J11598" s="803">
        <v>8</v>
      </c>
      <c r="K11598" s="726">
        <v>28</v>
      </c>
      <c r="L11598" s="552">
        <f t="shared" si="2363"/>
        <v>8.9622399999999995</v>
      </c>
      <c r="M11598" s="648">
        <v>2</v>
      </c>
      <c r="N11598" s="567">
        <f t="shared" ref="N11598" si="2365">J11598*M11598*I11598/1000</f>
        <v>0.64015999999999995</v>
      </c>
      <c r="O11598" s="549"/>
      <c r="P11598" s="549"/>
      <c r="Q11598" s="1511">
        <f>10+9+5</f>
        <v>24</v>
      </c>
      <c r="R11598" s="126">
        <f t="shared" si="2364"/>
        <v>7.6819199999999999</v>
      </c>
    </row>
    <row r="11599" spans="1:19" s="1511" customFormat="1" ht="17.399999999999999">
      <c r="A11599" s="549"/>
      <c r="B11599" s="832"/>
      <c r="C11599" s="549"/>
      <c r="D11599" s="549"/>
      <c r="E11599" s="549"/>
      <c r="F11599" s="549"/>
      <c r="G11599" s="1545" t="s">
        <v>21</v>
      </c>
      <c r="H11599" s="1545" t="s">
        <v>181</v>
      </c>
      <c r="I11599" s="558">
        <v>40.01</v>
      </c>
      <c r="J11599" s="803">
        <v>9.1999999999999993</v>
      </c>
      <c r="K11599" s="726">
        <v>9</v>
      </c>
      <c r="L11599" s="552">
        <f t="shared" si="2363"/>
        <v>3.3128279999999997</v>
      </c>
      <c r="M11599" s="648"/>
      <c r="N11599" s="567"/>
      <c r="O11599" s="549"/>
      <c r="P11599" s="549"/>
      <c r="Q11599" s="1511">
        <v>9</v>
      </c>
      <c r="R11599" s="126">
        <f t="shared" si="2364"/>
        <v>3.3128279999999997</v>
      </c>
    </row>
    <row r="11600" spans="1:19" s="1511" customFormat="1" ht="17.399999999999999">
      <c r="A11600" s="549"/>
      <c r="B11600" s="832"/>
      <c r="C11600" s="549"/>
      <c r="D11600" s="549"/>
      <c r="E11600" s="549"/>
      <c r="F11600" s="549"/>
      <c r="G11600" s="549"/>
      <c r="H11600" s="549"/>
      <c r="I11600" s="560"/>
      <c r="J11600" s="565"/>
      <c r="K11600" s="708">
        <f>SUM(K11594:K11599)</f>
        <v>124</v>
      </c>
      <c r="L11600" s="765">
        <f>SUM(L11594:L11599)</f>
        <v>34.908725000000004</v>
      </c>
      <c r="M11600" s="708">
        <f>SUM(M11594:M11599)</f>
        <v>2</v>
      </c>
      <c r="N11600" s="765">
        <f>SUM(N11594:N11599)</f>
        <v>0.64015999999999995</v>
      </c>
      <c r="O11600" s="549"/>
      <c r="P11600" s="549"/>
      <c r="Q11600" s="708">
        <f>SUM(Q11594:Q11599)</f>
        <v>94</v>
      </c>
      <c r="R11600" s="765">
        <f>SUM(R11594:R11599)</f>
        <v>26.724679499999997</v>
      </c>
    </row>
    <row r="11601" spans="1:17" s="1511" customFormat="1" ht="17.399999999999999">
      <c r="A11601" s="549"/>
      <c r="B11601" s="832"/>
      <c r="C11601" s="549"/>
      <c r="D11601" s="549"/>
      <c r="E11601" s="549"/>
      <c r="F11601" s="549"/>
      <c r="G11601" s="549"/>
      <c r="H11601" s="549"/>
      <c r="I11601" s="560"/>
      <c r="J11601" s="565"/>
      <c r="K11601" s="766">
        <f>SUM(K11591:K11600)/2</f>
        <v>126</v>
      </c>
      <c r="L11601" s="765">
        <f>SUM(L11591:L11600)/2</f>
        <v>35.388845000000003</v>
      </c>
      <c r="M11601" s="766">
        <f>SUM(M11591:M11600)/2</f>
        <v>3</v>
      </c>
      <c r="N11601" s="765">
        <f>SUM(N11591:N11600)/2</f>
        <v>0.88022</v>
      </c>
      <c r="O11601" s="549"/>
      <c r="P11601" s="549" t="s">
        <v>1377</v>
      </c>
    </row>
    <row r="11602" spans="1:17" s="1511" customFormat="1" ht="17.399999999999999">
      <c r="A11602" s="549"/>
      <c r="B11602" s="832"/>
      <c r="C11602" s="549"/>
      <c r="D11602" s="549"/>
      <c r="E11602" s="549"/>
      <c r="F11602" s="549"/>
      <c r="G11602" s="549"/>
      <c r="H11602" s="549"/>
      <c r="I11602" s="560"/>
      <c r="J11602" s="565"/>
      <c r="K11602" s="708"/>
      <c r="L11602" s="765"/>
      <c r="M11602" s="766"/>
      <c r="N11602" s="765"/>
      <c r="O11602" s="549"/>
      <c r="P11602" s="549"/>
    </row>
    <row r="11603" spans="1:17" s="1511" customFormat="1" ht="17.399999999999999">
      <c r="A11603" s="549"/>
      <c r="B11603" s="832"/>
      <c r="C11603" s="549"/>
      <c r="D11603" s="549"/>
      <c r="E11603" s="549"/>
      <c r="F11603" s="549"/>
      <c r="G11603" s="549"/>
      <c r="H11603" s="549"/>
      <c r="I11603" s="560"/>
      <c r="J11603" s="565"/>
      <c r="K11603" s="708"/>
      <c r="L11603" s="765"/>
      <c r="M11603" s="766"/>
      <c r="N11603" s="765"/>
      <c r="O11603" s="549"/>
      <c r="P11603" s="549"/>
    </row>
    <row r="11604" spans="1:17" s="1511" customFormat="1" ht="17.399999999999999">
      <c r="A11604" s="549"/>
      <c r="B11604" s="832"/>
      <c r="C11604" s="549"/>
      <c r="D11604" s="549"/>
      <c r="E11604" s="549"/>
      <c r="F11604" s="549"/>
      <c r="G11604" s="549"/>
      <c r="H11604" s="549"/>
      <c r="I11604" s="560"/>
      <c r="J11604" s="565"/>
      <c r="K11604" s="652"/>
      <c r="L11604" s="567"/>
      <c r="M11604" s="648"/>
      <c r="N11604" s="567"/>
      <c r="O11604" s="549"/>
      <c r="P11604" s="549"/>
    </row>
    <row r="11605" spans="1:17" ht="17.399999999999999">
      <c r="A11605" s="547" t="s">
        <v>272</v>
      </c>
      <c r="B11605" s="547" t="s">
        <v>1321</v>
      </c>
      <c r="C11605" s="547" t="s">
        <v>446</v>
      </c>
      <c r="D11605" s="813" t="s">
        <v>447</v>
      </c>
      <c r="E11605" s="547" t="s">
        <v>359</v>
      </c>
      <c r="F11605" s="550">
        <v>16</v>
      </c>
      <c r="G11605" s="1545" t="s">
        <v>21</v>
      </c>
      <c r="H11605" s="1577" t="s">
        <v>260</v>
      </c>
      <c r="I11605" s="558">
        <v>38</v>
      </c>
      <c r="J11605" s="565">
        <v>6</v>
      </c>
      <c r="K11605" s="648">
        <v>12</v>
      </c>
      <c r="L11605" s="552">
        <f>(I11605*J11605*K11605/1000)</f>
        <v>2.7360000000000002</v>
      </c>
      <c r="M11605" s="648">
        <v>1</v>
      </c>
      <c r="N11605" s="567">
        <f t="shared" ref="N11605:N11606" si="2366">J11605*M11605*I11605/1000</f>
        <v>0.22800000000000001</v>
      </c>
      <c r="O11605" s="549"/>
      <c r="P11605" s="549"/>
      <c r="Q11605" s="1511" t="s">
        <v>1477</v>
      </c>
    </row>
    <row r="11606" spans="1:17" ht="17.399999999999999">
      <c r="A11606" s="549"/>
      <c r="B11606" s="832"/>
      <c r="C11606" s="549"/>
      <c r="D11606" s="549"/>
      <c r="E11606" s="549"/>
      <c r="F11606" s="549"/>
      <c r="G11606" s="1545" t="s">
        <v>21</v>
      </c>
      <c r="H11606" s="1545" t="s">
        <v>260</v>
      </c>
      <c r="I11606" s="558">
        <v>38</v>
      </c>
      <c r="J11606" s="565">
        <v>7.5</v>
      </c>
      <c r="K11606" s="648">
        <v>2</v>
      </c>
      <c r="L11606" s="552">
        <f>(I11606*J11606*K11606/1000)</f>
        <v>0.56999999999999995</v>
      </c>
      <c r="M11606" s="648"/>
      <c r="N11606" s="567">
        <f t="shared" si="2366"/>
        <v>0</v>
      </c>
      <c r="O11606" s="549"/>
      <c r="P11606" s="549"/>
    </row>
    <row r="11607" spans="1:17" ht="17.399999999999999">
      <c r="A11607" s="549"/>
      <c r="B11607" s="832"/>
      <c r="C11607" s="549"/>
      <c r="D11607" s="549"/>
      <c r="E11607" s="549"/>
      <c r="F11607" s="549"/>
      <c r="G11607" s="1545"/>
      <c r="H11607" s="1545"/>
      <c r="I11607" s="558"/>
      <c r="J11607" s="565"/>
      <c r="K11607" s="648">
        <f t="shared" ref="K11607:N11607" si="2367">SUM(K11605:K11606)</f>
        <v>14</v>
      </c>
      <c r="L11607" s="567">
        <f t="shared" si="2367"/>
        <v>3.306</v>
      </c>
      <c r="M11607" s="648">
        <f t="shared" si="2367"/>
        <v>1</v>
      </c>
      <c r="N11607" s="567">
        <f t="shared" si="2367"/>
        <v>0.22800000000000001</v>
      </c>
      <c r="O11607" s="549"/>
      <c r="P11607" s="549"/>
    </row>
    <row r="11608" spans="1:17" ht="17.399999999999999">
      <c r="A11608" s="549"/>
      <c r="B11608" s="832"/>
      <c r="C11608" s="549"/>
      <c r="D11608" s="549"/>
      <c r="E11608" s="549"/>
      <c r="F11608" s="549"/>
      <c r="G11608" s="1545"/>
      <c r="H11608" s="1545"/>
      <c r="I11608" s="558"/>
      <c r="J11608" s="565"/>
      <c r="K11608" s="648"/>
      <c r="L11608" s="567"/>
      <c r="M11608" s="648"/>
      <c r="N11608" s="567"/>
      <c r="O11608" s="549"/>
      <c r="P11608" s="549"/>
    </row>
    <row r="11609" spans="1:17" s="1511" customFormat="1" ht="17.399999999999999">
      <c r="A11609" s="547" t="s">
        <v>83</v>
      </c>
      <c r="B11609" s="547" t="s">
        <v>1360</v>
      </c>
      <c r="C11609" s="547" t="s">
        <v>446</v>
      </c>
      <c r="D11609" s="813" t="s">
        <v>447</v>
      </c>
      <c r="E11609" s="547" t="s">
        <v>359</v>
      </c>
      <c r="F11609" s="550">
        <v>16</v>
      </c>
      <c r="G11609" s="1545" t="s">
        <v>21</v>
      </c>
      <c r="H11609" s="1577" t="s">
        <v>260</v>
      </c>
      <c r="I11609" s="558">
        <v>38</v>
      </c>
      <c r="J11609" s="803">
        <v>6.6</v>
      </c>
      <c r="K11609" s="726">
        <v>1</v>
      </c>
      <c r="L11609" s="552">
        <f t="shared" ref="L11609:L11610" si="2368">(I11609*J11609*K11609/1000)</f>
        <v>0.25079999999999997</v>
      </c>
      <c r="M11609" s="648"/>
      <c r="N11609" s="567">
        <f t="shared" ref="N11609:N11610" si="2369">J11609*M11609*I11609/1000</f>
        <v>0</v>
      </c>
      <c r="O11609" s="549"/>
      <c r="P11609" s="549"/>
      <c r="Q11609" s="1511" t="s">
        <v>1477</v>
      </c>
    </row>
    <row r="11610" spans="1:17" s="1511" customFormat="1" ht="17.399999999999999">
      <c r="A11610" s="549"/>
      <c r="B11610" s="549"/>
      <c r="C11610" s="549"/>
      <c r="D11610" s="549"/>
      <c r="E11610" s="549"/>
      <c r="F11610" s="549"/>
      <c r="G11610" s="1545" t="s">
        <v>21</v>
      </c>
      <c r="H11610" s="1545" t="s">
        <v>260</v>
      </c>
      <c r="I11610" s="558">
        <v>38</v>
      </c>
      <c r="J11610" s="803">
        <v>7.6</v>
      </c>
      <c r="K11610" s="726">
        <v>19</v>
      </c>
      <c r="L11610" s="552">
        <f t="shared" si="2368"/>
        <v>5.4871999999999996</v>
      </c>
      <c r="M11610" s="648">
        <v>18</v>
      </c>
      <c r="N11610" s="567">
        <f t="shared" si="2369"/>
        <v>5.1983999999999995</v>
      </c>
      <c r="O11610" s="549"/>
      <c r="P11610" s="549"/>
    </row>
    <row r="11611" spans="1:17" s="1511" customFormat="1" ht="17.399999999999999">
      <c r="A11611" s="549"/>
      <c r="B11611" s="832"/>
      <c r="C11611" s="549"/>
      <c r="D11611" s="549"/>
      <c r="E11611" s="549"/>
      <c r="F11611" s="549"/>
      <c r="G11611" s="549"/>
      <c r="H11611" s="549"/>
      <c r="I11611" s="560"/>
      <c r="J11611" s="565"/>
      <c r="K11611" s="652">
        <f>SUM(K11609:K11610)</f>
        <v>20</v>
      </c>
      <c r="L11611" s="765">
        <f>SUM(L11609:L11610)</f>
        <v>5.7379999999999995</v>
      </c>
      <c r="M11611" s="708">
        <f>SUM(M11609:M11610)</f>
        <v>18</v>
      </c>
      <c r="N11611" s="765">
        <f>SUM(N11609:N11610)</f>
        <v>5.1983999999999995</v>
      </c>
      <c r="O11611" s="549"/>
      <c r="P11611" s="549"/>
    </row>
    <row r="11612" spans="1:17" s="1511" customFormat="1" ht="17.399999999999999">
      <c r="A11612" s="549"/>
      <c r="B11612" s="832"/>
      <c r="C11612" s="549"/>
      <c r="D11612" s="549"/>
      <c r="E11612" s="549"/>
      <c r="F11612" s="549"/>
      <c r="G11612" s="549"/>
      <c r="H11612" s="549"/>
      <c r="I11612" s="560"/>
      <c r="J11612" s="565"/>
      <c r="K11612" s="648">
        <f>SUM(K11605:K11611)/2</f>
        <v>34</v>
      </c>
      <c r="L11612" s="567">
        <f>SUM(L11605:L11611)/2</f>
        <v>9.0440000000000005</v>
      </c>
      <c r="M11612" s="648">
        <f>SUM(M11605:M11611)/2</f>
        <v>19</v>
      </c>
      <c r="N11612" s="567">
        <f>SUM(N11605:N11611)/2</f>
        <v>5.4263999999999992</v>
      </c>
      <c r="O11612" s="549"/>
      <c r="P11612" s="549" t="s">
        <v>1378</v>
      </c>
    </row>
    <row r="11613" spans="1:17" s="1511" customFormat="1" ht="17.399999999999999">
      <c r="A11613" s="549"/>
      <c r="B11613" s="832"/>
      <c r="C11613" s="549"/>
      <c r="D11613" s="549"/>
      <c r="E11613" s="549"/>
      <c r="F11613" s="549"/>
      <c r="G11613" s="549"/>
      <c r="H11613" s="549"/>
      <c r="I11613" s="560"/>
      <c r="J11613" s="565"/>
      <c r="K11613" s="652"/>
      <c r="L11613" s="567"/>
      <c r="M11613" s="648"/>
      <c r="N11613" s="567"/>
      <c r="O11613" s="549"/>
      <c r="P11613" s="549"/>
    </row>
    <row r="11614" spans="1:17" s="1511" customFormat="1" ht="17.399999999999999">
      <c r="A11614" s="549"/>
      <c r="B11614" s="832"/>
      <c r="C11614" s="549"/>
      <c r="D11614" s="549"/>
      <c r="E11614" s="549"/>
      <c r="F11614" s="549"/>
      <c r="G11614" s="549"/>
      <c r="H11614" s="549"/>
      <c r="I11614" s="560"/>
      <c r="J11614" s="565"/>
      <c r="K11614" s="648"/>
      <c r="L11614" s="567"/>
      <c r="M11614" s="648"/>
      <c r="N11614" s="567"/>
      <c r="O11614" s="549"/>
      <c r="P11614" s="549"/>
    </row>
    <row r="11615" spans="1:17" ht="17.399999999999999">
      <c r="A11615" s="549"/>
      <c r="B11615" s="832"/>
      <c r="C11615" s="549"/>
      <c r="D11615" s="549"/>
      <c r="E11615" s="549"/>
      <c r="F11615" s="549"/>
      <c r="G11615" s="549"/>
      <c r="H11615" s="549"/>
      <c r="I11615" s="560"/>
      <c r="J11615" s="565"/>
      <c r="K11615" s="648"/>
      <c r="L11615" s="567"/>
      <c r="M11615" s="648"/>
      <c r="N11615" s="567"/>
      <c r="O11615" s="549"/>
      <c r="P11615" s="549"/>
    </row>
    <row r="11616" spans="1:17" ht="17.399999999999999">
      <c r="A11616" s="547" t="s">
        <v>83</v>
      </c>
      <c r="B11616" s="547" t="s">
        <v>1360</v>
      </c>
      <c r="C11616" s="547" t="s">
        <v>446</v>
      </c>
      <c r="D11616" s="813" t="s">
        <v>447</v>
      </c>
      <c r="E11616" s="547" t="s">
        <v>359</v>
      </c>
      <c r="F11616" s="550">
        <v>16</v>
      </c>
      <c r="G11616" s="1545" t="s">
        <v>21</v>
      </c>
      <c r="H11616" s="1577" t="s">
        <v>180</v>
      </c>
      <c r="I11616" s="558">
        <v>35.840000000000003</v>
      </c>
      <c r="J11616" s="803">
        <v>8</v>
      </c>
      <c r="K11616" s="726">
        <v>16</v>
      </c>
      <c r="L11616" s="552">
        <f>(I11616*J11616*K11616/1000)</f>
        <v>4.5875200000000005</v>
      </c>
      <c r="M11616" s="648">
        <v>1</v>
      </c>
      <c r="N11616" s="567">
        <f t="shared" ref="N11616:N11617" si="2370">J11616*M11616*I11616/1000</f>
        <v>0.28672000000000003</v>
      </c>
      <c r="O11616" s="549"/>
      <c r="P11616" s="549"/>
      <c r="Q11616" s="1511" t="s">
        <v>1482</v>
      </c>
    </row>
    <row r="11617" spans="1:17" s="1511" customFormat="1" ht="17.399999999999999">
      <c r="A11617" s="549"/>
      <c r="B11617" s="549"/>
      <c r="C11617" s="549"/>
      <c r="D11617" s="549"/>
      <c r="E11617" s="549"/>
      <c r="F11617" s="549"/>
      <c r="G11617" s="1545" t="s">
        <v>21</v>
      </c>
      <c r="H11617" s="1545" t="s">
        <v>180</v>
      </c>
      <c r="I11617" s="558">
        <v>35.840000000000003</v>
      </c>
      <c r="J11617" s="803">
        <v>10</v>
      </c>
      <c r="K11617" s="726">
        <v>2</v>
      </c>
      <c r="L11617" s="552">
        <f>(I11617*J11617*K11617/1000)</f>
        <v>0.7168000000000001</v>
      </c>
      <c r="M11617" s="648">
        <v>1</v>
      </c>
      <c r="N11617" s="567">
        <f t="shared" si="2370"/>
        <v>0.35840000000000005</v>
      </c>
      <c r="O11617" s="549"/>
      <c r="P11617" s="1547">
        <v>9.6</v>
      </c>
    </row>
    <row r="11618" spans="1:17" s="1511" customFormat="1" ht="17.399999999999999">
      <c r="A11618" s="549"/>
      <c r="B11618" s="832"/>
      <c r="C11618" s="549"/>
      <c r="D11618" s="549"/>
      <c r="E11618" s="549"/>
      <c r="F11618" s="549"/>
      <c r="G11618" s="1545" t="s">
        <v>21</v>
      </c>
      <c r="H11618" s="1545" t="s">
        <v>180</v>
      </c>
      <c r="I11618" s="558">
        <v>35.840000000000003</v>
      </c>
      <c r="J11618" s="803">
        <v>10</v>
      </c>
      <c r="K11618" s="726">
        <v>16</v>
      </c>
      <c r="L11618" s="552">
        <f>(I11618*J11618*K11618/1000)</f>
        <v>5.7344000000000008</v>
      </c>
      <c r="M11618" s="648"/>
      <c r="N11618" s="567"/>
      <c r="O11618" s="549"/>
      <c r="P11618" s="549"/>
    </row>
    <row r="11619" spans="1:17" s="1511" customFormat="1" ht="17.399999999999999">
      <c r="A11619" s="549"/>
      <c r="B11619" s="832"/>
      <c r="C11619" s="549"/>
      <c r="D11619" s="549"/>
      <c r="E11619" s="549"/>
      <c r="F11619" s="549"/>
      <c r="G11619" s="1545" t="s">
        <v>21</v>
      </c>
      <c r="H11619" s="1545" t="s">
        <v>180</v>
      </c>
      <c r="I11619" s="558">
        <v>35.840000000000003</v>
      </c>
      <c r="J11619" s="803">
        <v>10.5</v>
      </c>
      <c r="K11619" s="726">
        <v>19</v>
      </c>
      <c r="L11619" s="552">
        <f>(I11619*J11619*K11619/1000)</f>
        <v>7.1500800000000009</v>
      </c>
      <c r="M11619" s="648"/>
      <c r="N11619" s="567"/>
      <c r="O11619" s="549"/>
      <c r="P11619" s="549"/>
    </row>
    <row r="11620" spans="1:17" s="1511" customFormat="1" ht="17.399999999999999">
      <c r="A11620" s="549"/>
      <c r="B11620" s="832"/>
      <c r="C11620" s="549"/>
      <c r="D11620" s="549"/>
      <c r="E11620" s="549"/>
      <c r="F11620" s="549"/>
      <c r="G11620" s="1545" t="s">
        <v>21</v>
      </c>
      <c r="H11620" s="1545" t="s">
        <v>180</v>
      </c>
      <c r="I11620" s="558">
        <v>35.840000000000003</v>
      </c>
      <c r="J11620" s="803">
        <v>10.7</v>
      </c>
      <c r="K11620" s="726">
        <v>4</v>
      </c>
      <c r="L11620" s="552">
        <f>(I11620*J11620*K11620/1000)</f>
        <v>1.533952</v>
      </c>
      <c r="M11620" s="648">
        <v>2</v>
      </c>
      <c r="N11620" s="567">
        <f t="shared" ref="N11620" si="2371">J11620*M11620*I11620/1000</f>
        <v>0.76697599999999999</v>
      </c>
      <c r="O11620" s="549"/>
      <c r="P11620" s="549"/>
    </row>
    <row r="11621" spans="1:17" s="1511" customFormat="1" ht="17.399999999999999">
      <c r="A11621" s="549"/>
      <c r="B11621" s="832"/>
      <c r="C11621" s="549"/>
      <c r="D11621" s="549"/>
      <c r="E11621" s="549"/>
      <c r="F11621" s="549"/>
      <c r="G11621" s="549"/>
      <c r="H11621" s="549"/>
      <c r="I11621" s="560"/>
      <c r="J11621" s="565"/>
      <c r="K11621" s="708">
        <f>SUM(K11616:K11620)</f>
        <v>57</v>
      </c>
      <c r="L11621" s="765">
        <f>SUM(L11616:L11620)</f>
        <v>19.722752</v>
      </c>
      <c r="M11621" s="708">
        <f>SUM(M11616:M11620)</f>
        <v>4</v>
      </c>
      <c r="N11621" s="765">
        <f>SUM(N11616:N11620)</f>
        <v>1.412096</v>
      </c>
      <c r="O11621" s="549"/>
      <c r="P11621" s="549" t="s">
        <v>1379</v>
      </c>
    </row>
    <row r="11622" spans="1:17" s="1511" customFormat="1" ht="17.399999999999999">
      <c r="A11622" s="549"/>
      <c r="B11622" s="832"/>
      <c r="C11622" s="549"/>
      <c r="D11622" s="549"/>
      <c r="E11622" s="549"/>
      <c r="F11622" s="549"/>
      <c r="G11622" s="549"/>
      <c r="H11622" s="549"/>
      <c r="I11622" s="560"/>
      <c r="J11622" s="565"/>
      <c r="K11622" s="766"/>
      <c r="L11622" s="765"/>
      <c r="M11622" s="766"/>
      <c r="N11622" s="765"/>
      <c r="O11622" s="549"/>
      <c r="P11622" s="549"/>
    </row>
    <row r="11623" spans="1:17" s="1511" customFormat="1" ht="17.399999999999999">
      <c r="A11623" s="547" t="s">
        <v>272</v>
      </c>
      <c r="B11623" s="852" t="s">
        <v>1363</v>
      </c>
      <c r="C11623" s="547" t="s">
        <v>446</v>
      </c>
      <c r="D11623" s="813" t="s">
        <v>447</v>
      </c>
      <c r="E11623" s="547" t="s">
        <v>359</v>
      </c>
      <c r="F11623" s="550">
        <v>16</v>
      </c>
      <c r="G11623" s="1545" t="s">
        <v>21</v>
      </c>
      <c r="H11623" s="1577" t="s">
        <v>180</v>
      </c>
      <c r="I11623" s="558">
        <v>35.840000000000003</v>
      </c>
      <c r="J11623" s="803">
        <v>6</v>
      </c>
      <c r="K11623" s="775">
        <v>1</v>
      </c>
      <c r="L11623" s="552">
        <f>(I11623*J11623*K11623/1000)</f>
        <v>0.21504000000000001</v>
      </c>
      <c r="M11623" s="766"/>
      <c r="N11623" s="765"/>
      <c r="O11623" s="549"/>
      <c r="P11623" s="549"/>
      <c r="Q11623" s="1511" t="s">
        <v>1482</v>
      </c>
    </row>
    <row r="11624" spans="1:17" s="1511" customFormat="1" ht="17.399999999999999">
      <c r="A11624" s="549"/>
      <c r="B11624" s="549"/>
      <c r="C11624" s="549"/>
      <c r="D11624" s="549"/>
      <c r="E11624" s="549"/>
      <c r="F11624" s="549"/>
      <c r="G11624" s="1545" t="s">
        <v>21</v>
      </c>
      <c r="H11624" s="1545" t="s">
        <v>180</v>
      </c>
      <c r="I11624" s="558">
        <v>35.840000000000003</v>
      </c>
      <c r="J11624" s="803">
        <v>6</v>
      </c>
      <c r="K11624" s="775">
        <v>3</v>
      </c>
      <c r="L11624" s="552">
        <f>(I11624*J11624*K11624/1000)</f>
        <v>0.64512000000000014</v>
      </c>
      <c r="M11624" s="766"/>
      <c r="N11624" s="765"/>
      <c r="O11624" s="549"/>
      <c r="P11624" s="549"/>
    </row>
    <row r="11625" spans="1:17" s="1511" customFormat="1" ht="17.399999999999999">
      <c r="A11625" s="549"/>
      <c r="B11625" s="549"/>
      <c r="C11625" s="549"/>
      <c r="D11625" s="549"/>
      <c r="E11625" s="549"/>
      <c r="F11625" s="549"/>
      <c r="G11625" s="1545"/>
      <c r="H11625" s="1545"/>
      <c r="I11625" s="558"/>
      <c r="J11625" s="803"/>
      <c r="K11625" s="775">
        <f>SUM(K11623:K11624)</f>
        <v>4</v>
      </c>
      <c r="L11625" s="552">
        <f>SUM(L11623:L11624)</f>
        <v>0.86016000000000015</v>
      </c>
      <c r="M11625" s="766"/>
      <c r="N11625" s="765"/>
      <c r="O11625" s="549"/>
      <c r="P11625" s="549" t="s">
        <v>1379</v>
      </c>
    </row>
    <row r="11626" spans="1:17" s="1511" customFormat="1" ht="17.399999999999999">
      <c r="A11626" s="549"/>
      <c r="B11626" s="549"/>
      <c r="C11626" s="549"/>
      <c r="D11626" s="549"/>
      <c r="E11626" s="549"/>
      <c r="F11626" s="549"/>
      <c r="G11626" s="1545"/>
      <c r="H11626" s="1545"/>
      <c r="I11626" s="558"/>
      <c r="J11626" s="803"/>
      <c r="K11626" s="775"/>
      <c r="L11626" s="552"/>
      <c r="M11626" s="766"/>
      <c r="N11626" s="765"/>
      <c r="O11626" s="549"/>
      <c r="P11626" s="549"/>
    </row>
    <row r="11627" spans="1:17" s="1511" customFormat="1" ht="17.399999999999999">
      <c r="A11627" s="547" t="s">
        <v>272</v>
      </c>
      <c r="B11627" s="852" t="s">
        <v>1361</v>
      </c>
      <c r="C11627" s="547" t="s">
        <v>446</v>
      </c>
      <c r="D11627" s="813" t="s">
        <v>447</v>
      </c>
      <c r="E11627" s="547" t="s">
        <v>359</v>
      </c>
      <c r="F11627" s="550">
        <v>16</v>
      </c>
      <c r="G11627" s="1545" t="s">
        <v>21</v>
      </c>
      <c r="H11627" s="1577" t="s">
        <v>180</v>
      </c>
      <c r="I11627" s="558">
        <v>35.840000000000003</v>
      </c>
      <c r="J11627" s="803">
        <v>10.5</v>
      </c>
      <c r="K11627" s="775">
        <v>4</v>
      </c>
      <c r="L11627" s="552">
        <f t="shared" ref="L11627" si="2372">(I11627*J11627*K11627/1000)</f>
        <v>1.5052800000000002</v>
      </c>
      <c r="M11627" s="766"/>
      <c r="N11627" s="765"/>
      <c r="O11627" s="549"/>
      <c r="P11627" s="549"/>
      <c r="Q11627" s="1511" t="s">
        <v>1482</v>
      </c>
    </row>
    <row r="11628" spans="1:17" s="1511" customFormat="1" ht="17.399999999999999">
      <c r="A11628" s="549"/>
      <c r="B11628" s="549"/>
      <c r="C11628" s="549"/>
      <c r="D11628" s="549"/>
      <c r="E11628" s="549"/>
      <c r="F11628" s="549"/>
      <c r="G11628" s="549"/>
      <c r="H11628" s="549"/>
      <c r="I11628" s="560"/>
      <c r="J11628" s="565"/>
      <c r="K11628" s="708">
        <f>SUM(K11627)</f>
        <v>4</v>
      </c>
      <c r="L11628" s="709">
        <f>SUM(L11627)</f>
        <v>1.5052800000000002</v>
      </c>
      <c r="M11628" s="766"/>
      <c r="N11628" s="765"/>
      <c r="O11628" s="549"/>
      <c r="P11628" s="549" t="s">
        <v>1379</v>
      </c>
    </row>
    <row r="11629" spans="1:17" s="1511" customFormat="1" ht="17.399999999999999">
      <c r="A11629" s="549"/>
      <c r="B11629" s="832"/>
      <c r="C11629" s="549"/>
      <c r="D11629" s="549"/>
      <c r="E11629" s="549"/>
      <c r="F11629" s="549"/>
      <c r="G11629" s="549"/>
      <c r="H11629" s="549"/>
      <c r="I11629" s="560"/>
      <c r="J11629" s="565"/>
      <c r="K11629" s="652"/>
      <c r="L11629" s="565"/>
      <c r="M11629" s="648"/>
      <c r="N11629" s="567"/>
      <c r="O11629" s="549"/>
      <c r="P11629" s="549"/>
    </row>
    <row r="11630" spans="1:17" ht="17.399999999999999">
      <c r="A11630" s="547" t="s">
        <v>272</v>
      </c>
      <c r="B11630" s="852" t="s">
        <v>1324</v>
      </c>
      <c r="C11630" s="547" t="s">
        <v>19</v>
      </c>
      <c r="D11630" s="547" t="s">
        <v>20</v>
      </c>
      <c r="E11630" s="547" t="s">
        <v>359</v>
      </c>
      <c r="F11630" s="550">
        <v>16</v>
      </c>
      <c r="G11630" s="549" t="s">
        <v>21</v>
      </c>
      <c r="H11630" s="599" t="s">
        <v>180</v>
      </c>
      <c r="I11630" s="558">
        <v>35.840000000000003</v>
      </c>
      <c r="J11630" s="565">
        <v>10</v>
      </c>
      <c r="K11630" s="648">
        <v>2</v>
      </c>
      <c r="L11630" s="552">
        <f>(I11630*J11630*K11630/1000)</f>
        <v>0.7168000000000001</v>
      </c>
      <c r="M11630" s="648"/>
      <c r="N11630" s="567"/>
      <c r="O11630" s="549"/>
      <c r="P11630" s="549"/>
      <c r="Q11630" s="1511" t="s">
        <v>1482</v>
      </c>
    </row>
    <row r="11631" spans="1:17" ht="17.399999999999999">
      <c r="A11631" s="549"/>
      <c r="B11631" s="832" t="s">
        <v>277</v>
      </c>
      <c r="C11631" s="549"/>
      <c r="D11631" s="549"/>
      <c r="E11631" s="549"/>
      <c r="F11631" s="549"/>
      <c r="G11631" s="549"/>
      <c r="H11631" s="549"/>
      <c r="I11631" s="560"/>
      <c r="J11631" s="565"/>
      <c r="K11631" s="648">
        <f t="shared" ref="K11631:M11631" si="2373">SUM(K11630)</f>
        <v>2</v>
      </c>
      <c r="L11631" s="567">
        <f>SUM(L11630)</f>
        <v>0.7168000000000001</v>
      </c>
      <c r="M11631" s="648">
        <f t="shared" si="2373"/>
        <v>0</v>
      </c>
      <c r="N11631" s="567">
        <f>SUM(N11630)</f>
        <v>0</v>
      </c>
      <c r="O11631" s="549"/>
      <c r="P11631" s="549" t="s">
        <v>1380</v>
      </c>
    </row>
    <row r="11632" spans="1:17" s="1511" customFormat="1" ht="17.399999999999999">
      <c r="A11632" s="549"/>
      <c r="B11632" s="832"/>
      <c r="C11632" s="549"/>
      <c r="D11632" s="549"/>
      <c r="E11632" s="549"/>
      <c r="F11632" s="549"/>
      <c r="G11632" s="549"/>
      <c r="H11632" s="549"/>
      <c r="I11632" s="560"/>
      <c r="J11632" s="565"/>
      <c r="K11632" s="648">
        <f>SUM(K11616:K11631)/2</f>
        <v>67</v>
      </c>
      <c r="L11632" s="567">
        <f>SUM(L11616:L11631)/2</f>
        <v>22.804991999999999</v>
      </c>
      <c r="M11632" s="648">
        <f>SUM(M11616:M11631)/2</f>
        <v>4</v>
      </c>
      <c r="N11632" s="567">
        <f>SUM(N11616:N11631)/2</f>
        <v>1.412096</v>
      </c>
      <c r="O11632" s="549"/>
      <c r="P11632" s="549"/>
    </row>
    <row r="11633" spans="1:17" ht="17.399999999999999">
      <c r="A11633" s="549"/>
      <c r="B11633" s="832"/>
      <c r="C11633" s="549"/>
      <c r="D11633" s="549"/>
      <c r="E11633" s="549"/>
      <c r="F11633" s="549"/>
      <c r="G11633" s="549"/>
      <c r="H11633" s="549"/>
      <c r="I11633" s="560"/>
      <c r="J11633" s="565"/>
      <c r="K11633" s="648"/>
      <c r="L11633" s="567"/>
      <c r="M11633" s="648"/>
      <c r="N11633" s="567"/>
      <c r="O11633" s="549"/>
      <c r="P11633" s="549"/>
    </row>
    <row r="11634" spans="1:17" ht="17.399999999999999">
      <c r="A11634" s="549"/>
      <c r="B11634" s="832"/>
      <c r="C11634" s="549"/>
      <c r="D11634" s="549"/>
      <c r="E11634" s="549"/>
      <c r="F11634" s="549"/>
      <c r="G11634" s="1545"/>
      <c r="H11634" s="1545"/>
      <c r="I11634" s="558"/>
      <c r="J11634" s="565"/>
      <c r="K11634" s="648"/>
      <c r="L11634" s="567"/>
      <c r="M11634" s="648"/>
      <c r="N11634" s="567"/>
      <c r="O11634" s="549"/>
      <c r="P11634" s="549"/>
    </row>
    <row r="11635" spans="1:17" ht="17.399999999999999">
      <c r="A11635" s="547" t="s">
        <v>272</v>
      </c>
      <c r="B11635" s="852" t="s">
        <v>1321</v>
      </c>
      <c r="C11635" s="547" t="s">
        <v>446</v>
      </c>
      <c r="D11635" s="813" t="s">
        <v>447</v>
      </c>
      <c r="E11635" s="547" t="s">
        <v>359</v>
      </c>
      <c r="F11635" s="550">
        <v>16</v>
      </c>
      <c r="G11635" s="1545" t="s">
        <v>21</v>
      </c>
      <c r="H11635" s="1577" t="s">
        <v>179</v>
      </c>
      <c r="I11635" s="558">
        <v>33.72</v>
      </c>
      <c r="J11635" s="565">
        <v>12</v>
      </c>
      <c r="K11635" s="648">
        <v>3</v>
      </c>
      <c r="L11635" s="552">
        <f>(I11635*J11635*K11635/1000)</f>
        <v>1.2139200000000001</v>
      </c>
      <c r="M11635" s="648"/>
      <c r="N11635" s="567"/>
      <c r="O11635" s="549"/>
      <c r="P11635" s="549"/>
      <c r="Q11635" s="1511" t="s">
        <v>1482</v>
      </c>
    </row>
    <row r="11636" spans="1:17" ht="17.399999999999999">
      <c r="A11636" s="549"/>
      <c r="B11636" s="832"/>
      <c r="C11636" s="549"/>
      <c r="D11636" s="549"/>
      <c r="E11636" s="549"/>
      <c r="F11636" s="549"/>
      <c r="G11636" s="1545"/>
      <c r="H11636" s="1545"/>
      <c r="I11636" s="558"/>
      <c r="J11636" s="565"/>
      <c r="K11636" s="648">
        <f t="shared" ref="K11636:L11636" si="2374">SUM(K11635)</f>
        <v>3</v>
      </c>
      <c r="L11636" s="567">
        <f t="shared" si="2374"/>
        <v>1.2139200000000001</v>
      </c>
      <c r="M11636" s="648"/>
      <c r="N11636" s="567"/>
      <c r="O11636" s="549"/>
      <c r="P11636" s="549"/>
    </row>
    <row r="11637" spans="1:17" ht="17.399999999999999">
      <c r="A11637" s="549"/>
      <c r="B11637" s="832"/>
      <c r="C11637" s="549"/>
      <c r="D11637" s="549"/>
      <c r="E11637" s="549"/>
      <c r="F11637" s="549"/>
      <c r="G11637" s="1545"/>
      <c r="H11637" s="1545"/>
      <c r="I11637" s="558"/>
      <c r="J11637" s="565"/>
      <c r="K11637" s="648"/>
      <c r="L11637" s="567"/>
      <c r="M11637" s="648"/>
      <c r="N11637" s="567"/>
      <c r="O11637" s="549"/>
      <c r="P11637" s="549"/>
    </row>
    <row r="11638" spans="1:17" s="1511" customFormat="1" ht="17.399999999999999">
      <c r="A11638" s="547" t="s">
        <v>83</v>
      </c>
      <c r="B11638" s="547" t="s">
        <v>1360</v>
      </c>
      <c r="C11638" s="547" t="s">
        <v>446</v>
      </c>
      <c r="D11638" s="813" t="s">
        <v>447</v>
      </c>
      <c r="E11638" s="547" t="s">
        <v>359</v>
      </c>
      <c r="F11638" s="550">
        <v>16</v>
      </c>
      <c r="G11638" s="1545" t="s">
        <v>21</v>
      </c>
      <c r="H11638" s="1577" t="s">
        <v>179</v>
      </c>
      <c r="I11638" s="558">
        <v>33.72</v>
      </c>
      <c r="J11638" s="803">
        <v>8.8000000000000007</v>
      </c>
      <c r="K11638" s="726">
        <v>25</v>
      </c>
      <c r="L11638" s="552">
        <f t="shared" ref="L11638:L11640" si="2375">(I11638*J11638*K11638/1000)</f>
        <v>7.4183999999999992</v>
      </c>
      <c r="M11638" s="648">
        <v>1</v>
      </c>
      <c r="N11638" s="567">
        <f t="shared" ref="N11638:N11640" si="2376">J11638*M11638*I11638/1000</f>
        <v>0.296736</v>
      </c>
      <c r="O11638" s="549"/>
      <c r="P11638" s="549"/>
      <c r="Q11638" s="1511" t="s">
        <v>1482</v>
      </c>
    </row>
    <row r="11639" spans="1:17" s="1511" customFormat="1" ht="17.399999999999999">
      <c r="A11639" s="549"/>
      <c r="B11639" s="549"/>
      <c r="C11639" s="549"/>
      <c r="D11639" s="549"/>
      <c r="E11639" s="549"/>
      <c r="F11639" s="549"/>
      <c r="G11639" s="1545" t="s">
        <v>21</v>
      </c>
      <c r="H11639" s="1545" t="s">
        <v>179</v>
      </c>
      <c r="I11639" s="558">
        <v>33.72</v>
      </c>
      <c r="J11639" s="803">
        <v>9.6999999999999993</v>
      </c>
      <c r="K11639" s="726">
        <v>4</v>
      </c>
      <c r="L11639" s="552">
        <f t="shared" si="2375"/>
        <v>1.3083359999999997</v>
      </c>
      <c r="M11639" s="648"/>
      <c r="N11639" s="567">
        <f t="shared" si="2376"/>
        <v>0</v>
      </c>
      <c r="O11639" s="549"/>
      <c r="P11639" s="549"/>
    </row>
    <row r="11640" spans="1:17" s="1511" customFormat="1" ht="17.399999999999999">
      <c r="A11640" s="549"/>
      <c r="B11640" s="832"/>
      <c r="C11640" s="549"/>
      <c r="D11640" s="549"/>
      <c r="E11640" s="549"/>
      <c r="F11640" s="549"/>
      <c r="G11640" s="1545" t="s">
        <v>21</v>
      </c>
      <c r="H11640" s="1545" t="s">
        <v>179</v>
      </c>
      <c r="I11640" s="558">
        <v>33.72</v>
      </c>
      <c r="J11640" s="803">
        <v>8.3000000000000007</v>
      </c>
      <c r="K11640" s="726">
        <v>16</v>
      </c>
      <c r="L11640" s="552">
        <f t="shared" si="2375"/>
        <v>4.4780160000000002</v>
      </c>
      <c r="M11640" s="648"/>
      <c r="N11640" s="567">
        <f t="shared" si="2376"/>
        <v>0</v>
      </c>
      <c r="O11640" s="549"/>
      <c r="P11640" s="549"/>
    </row>
    <row r="11641" spans="1:17" ht="17.399999999999999">
      <c r="A11641" s="549"/>
      <c r="B11641" s="832"/>
      <c r="C11641" s="549"/>
      <c r="D11641" s="549"/>
      <c r="E11641" s="549"/>
      <c r="F11641" s="549"/>
      <c r="G11641" s="549"/>
      <c r="H11641" s="549"/>
      <c r="I11641" s="560"/>
      <c r="J11641" s="565"/>
      <c r="K11641" s="766">
        <f>SUM(K11638:K11640)</f>
        <v>45</v>
      </c>
      <c r="L11641" s="765">
        <f>SUM(L11638:L11640)</f>
        <v>13.204751999999999</v>
      </c>
      <c r="M11641" s="766">
        <f>SUM(M11638:M11640)</f>
        <v>1</v>
      </c>
      <c r="N11641" s="765">
        <f>SUM(N11638:N11640)</f>
        <v>0.296736</v>
      </c>
      <c r="O11641" s="549"/>
      <c r="P11641" s="549"/>
    </row>
    <row r="11642" spans="1:17" s="1511" customFormat="1" ht="17.399999999999999">
      <c r="A11642" s="549"/>
      <c r="B11642" s="832"/>
      <c r="C11642" s="549"/>
      <c r="D11642" s="549"/>
      <c r="E11642" s="549"/>
      <c r="F11642" s="549"/>
      <c r="G11642" s="549"/>
      <c r="H11642" s="549"/>
      <c r="I11642" s="560"/>
      <c r="J11642" s="565"/>
      <c r="K11642" s="766"/>
      <c r="L11642" s="765"/>
      <c r="M11642" s="766"/>
      <c r="N11642" s="765"/>
      <c r="O11642" s="549"/>
      <c r="P11642" s="549"/>
    </row>
    <row r="11643" spans="1:17" s="1511" customFormat="1" ht="17.399999999999999">
      <c r="A11643" s="547" t="s">
        <v>272</v>
      </c>
      <c r="B11643" s="852" t="s">
        <v>1363</v>
      </c>
      <c r="C11643" s="547" t="s">
        <v>446</v>
      </c>
      <c r="D11643" s="813" t="s">
        <v>447</v>
      </c>
      <c r="E11643" s="547" t="s">
        <v>359</v>
      </c>
      <c r="F11643" s="550">
        <v>16</v>
      </c>
      <c r="G11643" s="1545" t="s">
        <v>21</v>
      </c>
      <c r="H11643" s="1577" t="s">
        <v>179</v>
      </c>
      <c r="I11643" s="558">
        <v>33.72</v>
      </c>
      <c r="J11643" s="803">
        <v>11.75</v>
      </c>
      <c r="K11643" s="775">
        <v>2</v>
      </c>
      <c r="L11643" s="552">
        <f>(I11643*J11643*K11643/1000)</f>
        <v>0.79242000000000001</v>
      </c>
      <c r="M11643" s="766"/>
      <c r="N11643" s="765"/>
      <c r="O11643" s="549"/>
      <c r="P11643" s="549"/>
      <c r="Q11643" s="1511" t="s">
        <v>1482</v>
      </c>
    </row>
    <row r="11644" spans="1:17" s="1511" customFormat="1" ht="17.399999999999999">
      <c r="A11644" s="547"/>
      <c r="B11644" s="547"/>
      <c r="C11644" s="547"/>
      <c r="D11644" s="813"/>
      <c r="E11644" s="547"/>
      <c r="F11644" s="550"/>
      <c r="G11644" s="1545"/>
      <c r="H11644" s="1545"/>
      <c r="I11644" s="558"/>
      <c r="J11644" s="803"/>
      <c r="K11644" s="775">
        <f t="shared" ref="K11644" si="2377">SUM(K11643)</f>
        <v>2</v>
      </c>
      <c r="L11644" s="552">
        <f>SUM(L11643)</f>
        <v>0.79242000000000001</v>
      </c>
      <c r="M11644" s="766"/>
      <c r="N11644" s="765"/>
      <c r="O11644" s="549"/>
      <c r="P11644" s="549"/>
    </row>
    <row r="11645" spans="1:17" s="1511" customFormat="1" ht="17.399999999999999">
      <c r="A11645" s="547"/>
      <c r="B11645" s="547"/>
      <c r="C11645" s="547"/>
      <c r="D11645" s="813"/>
      <c r="E11645" s="547"/>
      <c r="F11645" s="550"/>
      <c r="G11645" s="1545"/>
      <c r="H11645" s="1545"/>
      <c r="I11645" s="558"/>
      <c r="J11645" s="803"/>
      <c r="K11645" s="775"/>
      <c r="L11645" s="552"/>
      <c r="M11645" s="766"/>
      <c r="N11645" s="765"/>
      <c r="O11645" s="549"/>
      <c r="P11645" s="549"/>
    </row>
    <row r="11646" spans="1:17" s="1511" customFormat="1" ht="17.399999999999999">
      <c r="A11646" s="547" t="s">
        <v>272</v>
      </c>
      <c r="B11646" s="852" t="s">
        <v>1361</v>
      </c>
      <c r="C11646" s="547" t="s">
        <v>446</v>
      </c>
      <c r="D11646" s="813" t="s">
        <v>447</v>
      </c>
      <c r="E11646" s="547" t="s">
        <v>359</v>
      </c>
      <c r="F11646" s="550">
        <v>16</v>
      </c>
      <c r="G11646" s="1545" t="s">
        <v>21</v>
      </c>
      <c r="H11646" s="1577" t="s">
        <v>179</v>
      </c>
      <c r="I11646" s="558">
        <v>33.72</v>
      </c>
      <c r="J11646" s="803">
        <v>7.3</v>
      </c>
      <c r="K11646" s="775">
        <v>4</v>
      </c>
      <c r="L11646" s="552">
        <f>(I11646*J11646*K11646/1000)</f>
        <v>0.98462399999999994</v>
      </c>
      <c r="M11646" s="766"/>
      <c r="N11646" s="765"/>
      <c r="O11646" s="549"/>
      <c r="P11646" s="549"/>
      <c r="Q11646" s="1511" t="s">
        <v>1482</v>
      </c>
    </row>
    <row r="11647" spans="1:17" s="1511" customFormat="1" ht="17.399999999999999">
      <c r="A11647" s="547"/>
      <c r="B11647" s="547"/>
      <c r="C11647" s="547"/>
      <c r="D11647" s="813"/>
      <c r="E11647" s="547"/>
      <c r="F11647" s="550"/>
      <c r="G11647" s="549"/>
      <c r="H11647" s="549"/>
      <c r="I11647" s="560"/>
      <c r="J11647" s="565"/>
      <c r="K11647" s="708">
        <f>SUM(K11646)</f>
        <v>4</v>
      </c>
      <c r="L11647" s="709">
        <f>SUM(L11646)</f>
        <v>0.98462399999999994</v>
      </c>
      <c r="M11647" s="766"/>
      <c r="N11647" s="765"/>
      <c r="O11647" s="549"/>
      <c r="P11647" s="549"/>
    </row>
    <row r="11648" spans="1:17" s="1511" customFormat="1" ht="17.399999999999999">
      <c r="A11648" s="549"/>
      <c r="B11648" s="832"/>
      <c r="C11648" s="549"/>
      <c r="D11648" s="549"/>
      <c r="E11648" s="549"/>
      <c r="F11648" s="549"/>
      <c r="G11648" s="549"/>
      <c r="H11648" s="549"/>
      <c r="I11648" s="560"/>
      <c r="J11648" s="565"/>
      <c r="K11648" s="648">
        <f>SUM(K11635:K11647)/2</f>
        <v>54</v>
      </c>
      <c r="L11648" s="567">
        <f>SUM(L11635:L11647)/2</f>
        <v>16.195715999999997</v>
      </c>
      <c r="M11648" s="648">
        <f>SUM(M11635:M11647)/2</f>
        <v>1</v>
      </c>
      <c r="N11648" s="567">
        <f>SUM(N11635:N11647)/2</f>
        <v>0.296736</v>
      </c>
      <c r="O11648" s="549"/>
      <c r="P11648" s="549" t="s">
        <v>1381</v>
      </c>
    </row>
    <row r="11649" spans="1:17" s="1511" customFormat="1" ht="17.399999999999999">
      <c r="A11649" s="549"/>
      <c r="B11649" s="832"/>
      <c r="C11649" s="549"/>
      <c r="D11649" s="549"/>
      <c r="E11649" s="549"/>
      <c r="F11649" s="549"/>
      <c r="G11649" s="549"/>
      <c r="H11649" s="549"/>
      <c r="I11649" s="560"/>
      <c r="J11649" s="565"/>
      <c r="K11649" s="648"/>
      <c r="L11649" s="567"/>
      <c r="M11649" s="648"/>
      <c r="N11649" s="567"/>
      <c r="O11649" s="549"/>
      <c r="P11649" s="549"/>
    </row>
    <row r="11650" spans="1:17" s="1511" customFormat="1" ht="17.399999999999999">
      <c r="A11650" s="549"/>
      <c r="B11650" s="832"/>
      <c r="C11650" s="549"/>
      <c r="D11650" s="549"/>
      <c r="E11650" s="549"/>
      <c r="F11650" s="549"/>
      <c r="G11650" s="549"/>
      <c r="H11650" s="549"/>
      <c r="I11650" s="560"/>
      <c r="J11650" s="565"/>
      <c r="K11650" s="648"/>
      <c r="L11650" s="567"/>
      <c r="M11650" s="648"/>
      <c r="N11650" s="567"/>
      <c r="O11650" s="549"/>
      <c r="P11650" s="549"/>
    </row>
    <row r="11651" spans="1:17" ht="17.399999999999999">
      <c r="A11651" s="547" t="s">
        <v>272</v>
      </c>
      <c r="B11651" s="547" t="s">
        <v>1321</v>
      </c>
      <c r="C11651" s="547" t="s">
        <v>446</v>
      </c>
      <c r="D11651" s="813" t="s">
        <v>447</v>
      </c>
      <c r="E11651" s="547" t="s">
        <v>359</v>
      </c>
      <c r="F11651" s="550">
        <v>16</v>
      </c>
      <c r="G11651" s="1545" t="s">
        <v>21</v>
      </c>
      <c r="H11651" s="1577" t="s">
        <v>178</v>
      </c>
      <c r="I11651" s="558">
        <v>31.6</v>
      </c>
      <c r="J11651" s="565">
        <v>10</v>
      </c>
      <c r="K11651" s="648">
        <v>6</v>
      </c>
      <c r="L11651" s="552">
        <f t="shared" ref="L11651:L11652" si="2378">(I11651*J11651*K11651/1000)</f>
        <v>1.8959999999999999</v>
      </c>
      <c r="M11651" s="648"/>
      <c r="N11651" s="567"/>
      <c r="O11651" s="549"/>
      <c r="P11651" s="549"/>
      <c r="Q11651" s="1511" t="s">
        <v>1483</v>
      </c>
    </row>
    <row r="11652" spans="1:17" ht="17.399999999999999">
      <c r="A11652" s="549"/>
      <c r="B11652" s="832"/>
      <c r="C11652" s="549"/>
      <c r="D11652" s="549"/>
      <c r="E11652" s="549"/>
      <c r="F11652" s="549"/>
      <c r="G11652" s="1545" t="s">
        <v>21</v>
      </c>
      <c r="H11652" s="1545" t="s">
        <v>178</v>
      </c>
      <c r="I11652" s="558">
        <v>31.6</v>
      </c>
      <c r="J11652" s="565">
        <v>10.5</v>
      </c>
      <c r="K11652" s="648">
        <v>8</v>
      </c>
      <c r="L11652" s="552">
        <f t="shared" si="2378"/>
        <v>2.6543999999999999</v>
      </c>
      <c r="M11652" s="648"/>
      <c r="N11652" s="567"/>
      <c r="O11652" s="549"/>
      <c r="P11652" s="549"/>
    </row>
    <row r="11653" spans="1:17" ht="17.399999999999999">
      <c r="A11653" s="549"/>
      <c r="B11653" s="832"/>
      <c r="C11653" s="549"/>
      <c r="D11653" s="549"/>
      <c r="E11653" s="549"/>
      <c r="F11653" s="549"/>
      <c r="G11653" s="1545"/>
      <c r="H11653" s="1545"/>
      <c r="I11653" s="558"/>
      <c r="J11653" s="565"/>
      <c r="K11653" s="648">
        <f t="shared" ref="K11653" si="2379">SUM(K11651:K11652)</f>
        <v>14</v>
      </c>
      <c r="L11653" s="567">
        <f>SUM(L11651:L11652)</f>
        <v>4.5503999999999998</v>
      </c>
      <c r="M11653" s="648"/>
      <c r="N11653" s="567"/>
      <c r="O11653" s="549"/>
      <c r="P11653" s="549" t="s">
        <v>1382</v>
      </c>
    </row>
    <row r="11654" spans="1:17" s="1511" customFormat="1" ht="17.399999999999999">
      <c r="A11654" s="549"/>
      <c r="B11654" s="832"/>
      <c r="C11654" s="549"/>
      <c r="D11654" s="549"/>
      <c r="E11654" s="549"/>
      <c r="F11654" s="549"/>
      <c r="G11654" s="1545"/>
      <c r="H11654" s="1545"/>
      <c r="I11654" s="558"/>
      <c r="J11654" s="565"/>
      <c r="K11654" s="648"/>
      <c r="L11654" s="567"/>
      <c r="M11654" s="648"/>
      <c r="N11654" s="567"/>
      <c r="O11654" s="549"/>
      <c r="P11654" s="549"/>
    </row>
    <row r="11655" spans="1:17" s="1511" customFormat="1" ht="17.399999999999999">
      <c r="A11655" s="549"/>
      <c r="B11655" s="832"/>
      <c r="C11655" s="549"/>
      <c r="D11655" s="549"/>
      <c r="E11655" s="549"/>
      <c r="F11655" s="549"/>
      <c r="G11655" s="549"/>
      <c r="H11655" s="549"/>
      <c r="I11655" s="560"/>
      <c r="J11655" s="565"/>
      <c r="K11655" s="648"/>
      <c r="L11655" s="567"/>
      <c r="M11655" s="648"/>
      <c r="N11655" s="567"/>
      <c r="O11655" s="549"/>
      <c r="P11655" s="549"/>
    </row>
    <row r="11656" spans="1:17" s="1511" customFormat="1" ht="17.399999999999999">
      <c r="A11656" s="549"/>
      <c r="B11656" s="832"/>
      <c r="C11656" s="549"/>
      <c r="D11656" s="549"/>
      <c r="E11656" s="549"/>
      <c r="F11656" s="549"/>
      <c r="G11656" s="549"/>
      <c r="H11656" s="549"/>
      <c r="I11656" s="560"/>
      <c r="J11656" s="565"/>
      <c r="K11656" s="652"/>
      <c r="L11656" s="567"/>
      <c r="M11656" s="648"/>
      <c r="N11656" s="567"/>
      <c r="O11656" s="549"/>
      <c r="P11656" s="549"/>
    </row>
    <row r="11657" spans="1:17" s="1511" customFormat="1" ht="17.399999999999999">
      <c r="A11657" s="547" t="s">
        <v>83</v>
      </c>
      <c r="B11657" s="547" t="s">
        <v>1360</v>
      </c>
      <c r="C11657" s="547" t="s">
        <v>446</v>
      </c>
      <c r="D11657" s="813" t="s">
        <v>447</v>
      </c>
      <c r="E11657" s="547" t="s">
        <v>359</v>
      </c>
      <c r="F11657" s="550">
        <v>16</v>
      </c>
      <c r="G11657" s="1545" t="s">
        <v>21</v>
      </c>
      <c r="H11657" s="1577" t="s">
        <v>518</v>
      </c>
      <c r="I11657" s="558">
        <v>29.5</v>
      </c>
      <c r="J11657" s="803">
        <v>8.1999999999999993</v>
      </c>
      <c r="K11657" s="726">
        <v>28</v>
      </c>
      <c r="L11657" s="552">
        <f t="shared" ref="L11657:L11663" si="2380">(I11657*J11657*K11657/1000)</f>
        <v>6.7731999999999992</v>
      </c>
      <c r="M11657" s="648"/>
      <c r="N11657" s="567"/>
      <c r="O11657" s="549"/>
      <c r="P11657" s="549"/>
      <c r="Q11657" s="1511" t="s">
        <v>1477</v>
      </c>
    </row>
    <row r="11658" spans="1:17" s="1511" customFormat="1" ht="17.399999999999999">
      <c r="A11658" s="549"/>
      <c r="B11658" s="549"/>
      <c r="C11658" s="549"/>
      <c r="D11658" s="549"/>
      <c r="E11658" s="549"/>
      <c r="F11658" s="549"/>
      <c r="G11658" s="1545" t="s">
        <v>21</v>
      </c>
      <c r="H11658" s="1545" t="s">
        <v>518</v>
      </c>
      <c r="I11658" s="558">
        <v>29.5</v>
      </c>
      <c r="J11658" s="803">
        <v>8.4</v>
      </c>
      <c r="K11658" s="726">
        <v>4</v>
      </c>
      <c r="L11658" s="552">
        <f t="shared" si="2380"/>
        <v>0.99120000000000008</v>
      </c>
      <c r="M11658" s="648"/>
      <c r="N11658" s="567"/>
      <c r="O11658" s="549"/>
      <c r="P11658" s="549"/>
    </row>
    <row r="11659" spans="1:17" s="1511" customFormat="1" ht="17.399999999999999">
      <c r="A11659" s="549"/>
      <c r="B11659" s="832"/>
      <c r="C11659" s="549"/>
      <c r="D11659" s="549"/>
      <c r="E11659" s="549"/>
      <c r="F11659" s="549"/>
      <c r="G11659" s="1545" t="s">
        <v>21</v>
      </c>
      <c r="H11659" s="1545" t="s">
        <v>518</v>
      </c>
      <c r="I11659" s="558">
        <v>29.5</v>
      </c>
      <c r="J11659" s="803">
        <v>9.6999999999999993</v>
      </c>
      <c r="K11659" s="726">
        <v>2</v>
      </c>
      <c r="L11659" s="552">
        <f t="shared" si="2380"/>
        <v>0.57229999999999992</v>
      </c>
      <c r="M11659" s="648"/>
      <c r="N11659" s="567"/>
      <c r="O11659" s="549"/>
      <c r="P11659" s="549"/>
    </row>
    <row r="11660" spans="1:17" s="1511" customFormat="1" ht="17.399999999999999">
      <c r="A11660" s="549"/>
      <c r="B11660" s="832"/>
      <c r="C11660" s="549"/>
      <c r="D11660" s="549"/>
      <c r="E11660" s="549"/>
      <c r="F11660" s="549"/>
      <c r="G11660" s="1545" t="s">
        <v>21</v>
      </c>
      <c r="H11660" s="1545" t="s">
        <v>518</v>
      </c>
      <c r="I11660" s="558">
        <v>29.5</v>
      </c>
      <c r="J11660" s="803">
        <v>10</v>
      </c>
      <c r="K11660" s="726">
        <v>14</v>
      </c>
      <c r="L11660" s="552">
        <f t="shared" si="2380"/>
        <v>4.13</v>
      </c>
      <c r="M11660" s="648">
        <v>1</v>
      </c>
      <c r="N11660" s="567">
        <f t="shared" ref="N11660" si="2381">J11660*M11660*I11660/1000</f>
        <v>0.29499999999999998</v>
      </c>
      <c r="O11660" s="549"/>
      <c r="P11660" s="549"/>
    </row>
    <row r="11661" spans="1:17" s="1511" customFormat="1" ht="17.399999999999999">
      <c r="A11661" s="549"/>
      <c r="B11661" s="832"/>
      <c r="C11661" s="549"/>
      <c r="D11661" s="549"/>
      <c r="E11661" s="549"/>
      <c r="F11661" s="549"/>
      <c r="G11661" s="1545" t="s">
        <v>21</v>
      </c>
      <c r="H11661" s="1545" t="s">
        <v>518</v>
      </c>
      <c r="I11661" s="558">
        <v>29.5</v>
      </c>
      <c r="J11661" s="803">
        <v>10.1</v>
      </c>
      <c r="K11661" s="726">
        <v>6</v>
      </c>
      <c r="L11661" s="552">
        <f t="shared" si="2380"/>
        <v>1.7876999999999998</v>
      </c>
      <c r="M11661" s="648"/>
      <c r="N11661" s="567"/>
      <c r="O11661" s="549"/>
      <c r="P11661" s="549"/>
    </row>
    <row r="11662" spans="1:17" s="1511" customFormat="1" ht="17.399999999999999">
      <c r="A11662" s="549"/>
      <c r="B11662" s="832"/>
      <c r="C11662" s="549"/>
      <c r="D11662" s="549"/>
      <c r="E11662" s="549"/>
      <c r="F11662" s="549"/>
      <c r="G11662" s="1545" t="s">
        <v>21</v>
      </c>
      <c r="H11662" s="1545" t="s">
        <v>518</v>
      </c>
      <c r="I11662" s="558">
        <v>29.5</v>
      </c>
      <c r="J11662" s="803">
        <v>10.5</v>
      </c>
      <c r="K11662" s="726">
        <v>4</v>
      </c>
      <c r="L11662" s="552">
        <f t="shared" si="2380"/>
        <v>1.2390000000000001</v>
      </c>
      <c r="M11662" s="648">
        <v>2</v>
      </c>
      <c r="N11662" s="567">
        <f t="shared" ref="N11662:N11663" si="2382">J11662*M11662*I11662/1000</f>
        <v>0.61950000000000005</v>
      </c>
      <c r="O11662" s="549"/>
      <c r="P11662" s="549"/>
    </row>
    <row r="11663" spans="1:17" s="1511" customFormat="1" ht="17.399999999999999">
      <c r="A11663" s="549"/>
      <c r="B11663" s="832"/>
      <c r="C11663" s="549"/>
      <c r="D11663" s="549"/>
      <c r="E11663" s="549"/>
      <c r="F11663" s="549"/>
      <c r="G11663" s="1545" t="s">
        <v>21</v>
      </c>
      <c r="H11663" s="1545" t="s">
        <v>518</v>
      </c>
      <c r="I11663" s="558">
        <v>29.5</v>
      </c>
      <c r="J11663" s="803">
        <v>11.8</v>
      </c>
      <c r="K11663" s="726">
        <v>29</v>
      </c>
      <c r="L11663" s="552">
        <f t="shared" si="2380"/>
        <v>10.094900000000001</v>
      </c>
      <c r="M11663" s="648">
        <v>1</v>
      </c>
      <c r="N11663" s="567">
        <f t="shared" si="2382"/>
        <v>0.34810000000000002</v>
      </c>
      <c r="O11663" s="549"/>
      <c r="P11663" s="549"/>
    </row>
    <row r="11664" spans="1:17" s="1511" customFormat="1" ht="17.399999999999999">
      <c r="A11664" s="549"/>
      <c r="B11664" s="832"/>
      <c r="C11664" s="549"/>
      <c r="D11664" s="549"/>
      <c r="E11664" s="549"/>
      <c r="F11664" s="549"/>
      <c r="G11664" s="549"/>
      <c r="H11664" s="549"/>
      <c r="I11664" s="560"/>
      <c r="J11664" s="565"/>
      <c r="K11664" s="766">
        <f>SUM(K11657:K11663)</f>
        <v>87</v>
      </c>
      <c r="L11664" s="765">
        <f>SUM(L11657:L11663)</f>
        <v>25.5883</v>
      </c>
      <c r="M11664" s="766">
        <f>SUM(M11657:M11663)</f>
        <v>4</v>
      </c>
      <c r="N11664" s="765">
        <f>SUM(N11657:N11663)</f>
        <v>1.2626000000000002</v>
      </c>
      <c r="O11664" s="549"/>
      <c r="P11664" s="549" t="s">
        <v>1383</v>
      </c>
    </row>
    <row r="11665" spans="1:21" s="1511" customFormat="1" ht="17.399999999999999">
      <c r="A11665" s="549"/>
      <c r="B11665" s="832"/>
      <c r="C11665" s="549"/>
      <c r="D11665" s="549"/>
      <c r="E11665" s="549"/>
      <c r="F11665" s="549"/>
      <c r="G11665" s="549"/>
      <c r="H11665" s="549"/>
      <c r="I11665" s="560"/>
      <c r="J11665" s="565"/>
      <c r="K11665" s="766"/>
      <c r="L11665" s="765"/>
      <c r="M11665" s="648"/>
      <c r="N11665" s="567"/>
      <c r="O11665" s="549"/>
      <c r="P11665" s="549"/>
    </row>
    <row r="11666" spans="1:21" s="1511" customFormat="1" ht="17.399999999999999">
      <c r="A11666" s="1169" t="s">
        <v>272</v>
      </c>
      <c r="B11666" s="1169" t="s">
        <v>1359</v>
      </c>
      <c r="C11666" s="1169" t="s">
        <v>19</v>
      </c>
      <c r="D11666" s="1595" t="s">
        <v>854</v>
      </c>
      <c r="E11666" s="1169" t="s">
        <v>359</v>
      </c>
      <c r="F11666" s="828">
        <v>16</v>
      </c>
      <c r="G11666" s="1559" t="s">
        <v>21</v>
      </c>
      <c r="H11666" s="1559" t="s">
        <v>518</v>
      </c>
      <c r="I11666" s="1900">
        <v>29.5</v>
      </c>
      <c r="J11666" s="1587">
        <v>9.6</v>
      </c>
      <c r="K11666" s="1588">
        <v>4</v>
      </c>
      <c r="L11666" s="1589">
        <f>(I11666*J11666*K11666/1000)</f>
        <v>1.1328</v>
      </c>
      <c r="M11666" s="1590"/>
      <c r="N11666" s="1591"/>
      <c r="O11666" s="828"/>
      <c r="P11666" s="828"/>
    </row>
    <row r="11667" spans="1:21" s="1511" customFormat="1" ht="17.399999999999999">
      <c r="A11667" s="828"/>
      <c r="B11667" s="1596" t="s">
        <v>453</v>
      </c>
      <c r="C11667" s="828"/>
      <c r="D11667" s="828"/>
      <c r="E11667" s="828"/>
      <c r="F11667" s="828"/>
      <c r="G11667" s="828"/>
      <c r="H11667" s="828"/>
      <c r="I11667" s="1901"/>
      <c r="J11667" s="1597"/>
      <c r="K11667" s="1598">
        <f>SUM(K11666:K11666)</f>
        <v>4</v>
      </c>
      <c r="L11667" s="1591">
        <f>SUM(L11666:L11666)</f>
        <v>1.1328</v>
      </c>
      <c r="M11667" s="1590"/>
      <c r="N11667" s="1591"/>
      <c r="O11667" s="828"/>
      <c r="P11667" s="828" t="s">
        <v>1384</v>
      </c>
      <c r="Q11667" s="1511" t="s">
        <v>1409</v>
      </c>
    </row>
    <row r="11668" spans="1:21" s="1511" customFormat="1" ht="17.399999999999999">
      <c r="A11668" s="549"/>
      <c r="B11668" s="559"/>
      <c r="C11668" s="549"/>
      <c r="D11668" s="549"/>
      <c r="E11668" s="549"/>
      <c r="F11668" s="549"/>
      <c r="G11668" s="549"/>
      <c r="H11668" s="549"/>
      <c r="I11668" s="560"/>
      <c r="J11668" s="565"/>
      <c r="K11668" s="766">
        <f>SUM(K11657:K11667)/2</f>
        <v>91</v>
      </c>
      <c r="L11668" s="765">
        <f>SUM(L11657:L11667)/2</f>
        <v>26.721100000000003</v>
      </c>
      <c r="M11668" s="766">
        <f>SUM(M11657:M11667)/2</f>
        <v>4</v>
      </c>
      <c r="N11668" s="765">
        <f>SUM(N11657:N11667)/2</f>
        <v>1.2626000000000002</v>
      </c>
      <c r="O11668" s="549"/>
      <c r="P11668" s="549"/>
    </row>
    <row r="11669" spans="1:21" s="1511" customFormat="1" ht="17.399999999999999">
      <c r="A11669" s="549"/>
      <c r="B11669" s="559"/>
      <c r="C11669" s="549"/>
      <c r="D11669" s="549"/>
      <c r="E11669" s="549"/>
      <c r="F11669" s="549"/>
      <c r="G11669" s="549"/>
      <c r="H11669" s="549"/>
      <c r="I11669" s="560"/>
      <c r="J11669" s="565"/>
      <c r="K11669" s="648"/>
      <c r="L11669" s="567"/>
      <c r="M11669" s="648"/>
      <c r="N11669" s="567"/>
      <c r="O11669" s="549"/>
      <c r="P11669" s="549"/>
    </row>
    <row r="11670" spans="1:21" s="1511" customFormat="1" ht="17.399999999999999">
      <c r="A11670" s="549"/>
      <c r="B11670" s="832"/>
      <c r="C11670" s="549"/>
      <c r="D11670" s="549"/>
      <c r="E11670" s="549"/>
      <c r="F11670" s="549"/>
      <c r="G11670" s="549"/>
      <c r="H11670" s="549"/>
      <c r="I11670" s="560"/>
      <c r="J11670" s="565"/>
      <c r="K11670" s="652"/>
      <c r="L11670" s="567"/>
      <c r="M11670" s="648"/>
      <c r="N11670" s="567"/>
      <c r="O11670" s="549"/>
      <c r="P11670" s="549"/>
    </row>
    <row r="11671" spans="1:21" ht="17.399999999999999">
      <c r="A11671" s="547" t="s">
        <v>272</v>
      </c>
      <c r="B11671" s="547" t="s">
        <v>1321</v>
      </c>
      <c r="C11671" s="547" t="s">
        <v>446</v>
      </c>
      <c r="D11671" s="813" t="s">
        <v>447</v>
      </c>
      <c r="E11671" s="547" t="s">
        <v>359</v>
      </c>
      <c r="F11671" s="550">
        <v>16</v>
      </c>
      <c r="G11671" s="1545" t="s">
        <v>21</v>
      </c>
      <c r="H11671" s="1577" t="s">
        <v>177</v>
      </c>
      <c r="I11671" s="558">
        <v>27.29</v>
      </c>
      <c r="J11671" s="565">
        <v>9</v>
      </c>
      <c r="K11671" s="648">
        <v>3</v>
      </c>
      <c r="L11671" s="552">
        <f t="shared" ref="L11671:L11672" si="2383">(I11671*J11671*K11671/1000)</f>
        <v>0.73682999999999987</v>
      </c>
      <c r="M11671" s="648"/>
      <c r="N11671" s="567"/>
      <c r="O11671" s="549"/>
      <c r="P11671" s="549"/>
      <c r="Q11671" s="497">
        <v>1</v>
      </c>
      <c r="R11671" s="126">
        <f t="shared" ref="R11671:R11672" si="2384">J11671*Q11671*I11671/1000</f>
        <v>0.24560999999999999</v>
      </c>
      <c r="U11671" s="1511" t="s">
        <v>1477</v>
      </c>
    </row>
    <row r="11672" spans="1:21" ht="17.399999999999999">
      <c r="A11672" s="549"/>
      <c r="B11672" s="832"/>
      <c r="C11672" s="549"/>
      <c r="D11672" s="549"/>
      <c r="E11672" s="549"/>
      <c r="F11672" s="549"/>
      <c r="G11672" s="1545" t="s">
        <v>21</v>
      </c>
      <c r="H11672" s="1545" t="s">
        <v>177</v>
      </c>
      <c r="I11672" s="558">
        <v>27.29</v>
      </c>
      <c r="J11672" s="565">
        <v>12</v>
      </c>
      <c r="K11672" s="648">
        <v>8</v>
      </c>
      <c r="L11672" s="552">
        <f t="shared" si="2383"/>
        <v>2.6198399999999999</v>
      </c>
      <c r="M11672" s="648"/>
      <c r="N11672" s="567"/>
      <c r="O11672" s="549"/>
      <c r="P11672" s="549"/>
      <c r="Q11672" s="497">
        <v>1</v>
      </c>
      <c r="R11672" s="126">
        <f t="shared" si="2384"/>
        <v>0.32747999999999999</v>
      </c>
      <c r="S11672">
        <v>7</v>
      </c>
      <c r="T11672" s="126">
        <f>J11672*S11672*I11672/1000</f>
        <v>2.29236</v>
      </c>
    </row>
    <row r="11673" spans="1:21" ht="17.399999999999999">
      <c r="A11673" s="549"/>
      <c r="B11673" s="832"/>
      <c r="C11673" s="549"/>
      <c r="D11673" s="549"/>
      <c r="E11673" s="549"/>
      <c r="F11673" s="549"/>
      <c r="G11673" s="1545"/>
      <c r="H11673" s="1545"/>
      <c r="I11673" s="558"/>
      <c r="J11673" s="565"/>
      <c r="K11673" s="648">
        <f t="shared" ref="K11673:L11673" si="2385">SUM(K11671:K11672)</f>
        <v>11</v>
      </c>
      <c r="L11673" s="567">
        <f t="shared" si="2385"/>
        <v>3.3566699999999998</v>
      </c>
      <c r="M11673" s="648"/>
      <c r="N11673" s="567"/>
      <c r="O11673" s="549"/>
      <c r="P11673" s="549"/>
      <c r="Q11673" s="648">
        <f t="shared" ref="Q11673:T11673" si="2386">SUM(Q11671:Q11672)</f>
        <v>2</v>
      </c>
      <c r="R11673" s="567">
        <f t="shared" si="2386"/>
        <v>0.57308999999999999</v>
      </c>
      <c r="S11673" s="648">
        <f t="shared" si="2386"/>
        <v>7</v>
      </c>
      <c r="T11673" s="567">
        <f t="shared" si="2386"/>
        <v>2.29236</v>
      </c>
    </row>
    <row r="11674" spans="1:21" ht="17.399999999999999">
      <c r="A11674" s="549"/>
      <c r="B11674" s="832"/>
      <c r="C11674" s="549"/>
      <c r="D11674" s="549"/>
      <c r="E11674" s="549"/>
      <c r="F11674" s="549"/>
      <c r="G11674" s="1545"/>
      <c r="H11674" s="1545"/>
      <c r="I11674" s="558"/>
      <c r="J11674" s="565"/>
      <c r="K11674" s="648"/>
      <c r="L11674" s="567"/>
      <c r="M11674" s="648"/>
      <c r="N11674" s="567"/>
      <c r="O11674" s="549"/>
      <c r="P11674" s="549"/>
    </row>
    <row r="11675" spans="1:21" s="1511" customFormat="1" ht="17.399999999999999">
      <c r="A11675" s="547" t="s">
        <v>83</v>
      </c>
      <c r="B11675" s="547" t="s">
        <v>1360</v>
      </c>
      <c r="C11675" s="547" t="s">
        <v>446</v>
      </c>
      <c r="D11675" s="813" t="s">
        <v>447</v>
      </c>
      <c r="E11675" s="547" t="s">
        <v>359</v>
      </c>
      <c r="F11675" s="550">
        <v>16</v>
      </c>
      <c r="G11675" s="1545" t="s">
        <v>21</v>
      </c>
      <c r="H11675" s="1577" t="s">
        <v>177</v>
      </c>
      <c r="I11675" s="558">
        <v>27.29</v>
      </c>
      <c r="J11675" s="803">
        <v>9.1</v>
      </c>
      <c r="K11675" s="726">
        <v>8</v>
      </c>
      <c r="L11675" s="552">
        <f>(I11675*J11675*K11675/1000)</f>
        <v>1.9867119999999998</v>
      </c>
      <c r="M11675" s="648"/>
      <c r="N11675" s="567"/>
      <c r="O11675" s="549"/>
      <c r="P11675" s="549"/>
      <c r="Q11675" s="1511">
        <v>8</v>
      </c>
      <c r="R11675" s="126">
        <f t="shared" ref="R11675:R11677" si="2387">J11675*Q11675*I11675/1000</f>
        <v>1.9867119999999998</v>
      </c>
      <c r="T11675" s="126">
        <f t="shared" ref="T11675:T11677" si="2388">J11675*S11675*I11675/1000</f>
        <v>0</v>
      </c>
      <c r="U11675" s="1511" t="s">
        <v>1477</v>
      </c>
    </row>
    <row r="11676" spans="1:21" s="1511" customFormat="1" ht="17.399999999999999">
      <c r="A11676" s="549"/>
      <c r="B11676" s="549"/>
      <c r="C11676" s="549"/>
      <c r="D11676" s="549"/>
      <c r="E11676" s="549"/>
      <c r="F11676" s="549"/>
      <c r="G11676" s="1545" t="s">
        <v>21</v>
      </c>
      <c r="H11676" s="1545" t="s">
        <v>177</v>
      </c>
      <c r="I11676" s="558">
        <v>27.29</v>
      </c>
      <c r="J11676" s="803">
        <v>8</v>
      </c>
      <c r="K11676" s="726">
        <v>16</v>
      </c>
      <c r="L11676" s="552">
        <f>(I11676*J11676*K11676/1000)</f>
        <v>3.4931199999999998</v>
      </c>
      <c r="M11676" s="648"/>
      <c r="N11676" s="567"/>
      <c r="O11676" s="549"/>
      <c r="P11676" s="549"/>
      <c r="R11676" s="126">
        <f t="shared" si="2387"/>
        <v>0</v>
      </c>
      <c r="S11676" s="1511">
        <v>8</v>
      </c>
      <c r="T11676" s="126">
        <f t="shared" si="2388"/>
        <v>1.7465599999999999</v>
      </c>
    </row>
    <row r="11677" spans="1:21" s="1511" customFormat="1" ht="17.399999999999999">
      <c r="A11677" s="549"/>
      <c r="B11677" s="832"/>
      <c r="C11677" s="549"/>
      <c r="D11677" s="549"/>
      <c r="E11677" s="549"/>
      <c r="F11677" s="549"/>
      <c r="G11677" s="1545" t="s">
        <v>21</v>
      </c>
      <c r="H11677" s="1545" t="s">
        <v>177</v>
      </c>
      <c r="I11677" s="558">
        <v>27.29</v>
      </c>
      <c r="J11677" s="803">
        <v>8.6</v>
      </c>
      <c r="K11677" s="726">
        <v>12</v>
      </c>
      <c r="L11677" s="552">
        <f>(I11677*J11677*K11677/1000)</f>
        <v>2.8163279999999999</v>
      </c>
      <c r="M11677" s="648"/>
      <c r="N11677" s="567"/>
      <c r="O11677" s="549"/>
      <c r="P11677" s="549"/>
      <c r="Q11677" s="1511">
        <v>1</v>
      </c>
      <c r="R11677" s="126">
        <f t="shared" si="2387"/>
        <v>0.23469399999999999</v>
      </c>
      <c r="S11677" s="1511">
        <v>3</v>
      </c>
      <c r="T11677" s="126">
        <f t="shared" si="2388"/>
        <v>0.70408199999999987</v>
      </c>
    </row>
    <row r="11678" spans="1:21" s="1511" customFormat="1" ht="17.399999999999999">
      <c r="A11678" s="549"/>
      <c r="B11678" s="832"/>
      <c r="C11678" s="549"/>
      <c r="D11678" s="549"/>
      <c r="E11678" s="549"/>
      <c r="F11678" s="549"/>
      <c r="G11678" s="549"/>
      <c r="H11678" s="549"/>
      <c r="I11678" s="560"/>
      <c r="J11678" s="565"/>
      <c r="K11678" s="652">
        <f>SUM(K11675:K11677)</f>
        <v>36</v>
      </c>
      <c r="L11678" s="765">
        <f>SUM(L11675:L11677)</f>
        <v>8.2961600000000004</v>
      </c>
      <c r="M11678" s="648"/>
      <c r="N11678" s="567"/>
      <c r="O11678" s="549"/>
      <c r="P11678" s="549"/>
      <c r="Q11678" s="652">
        <f>SUM(Q11675:Q11677)</f>
        <v>9</v>
      </c>
      <c r="R11678" s="765">
        <f>SUM(R11675:R11677)</f>
        <v>2.221406</v>
      </c>
      <c r="S11678" s="652">
        <f>SUM(S11675:S11677)</f>
        <v>11</v>
      </c>
      <c r="T11678" s="765">
        <f>SUM(T11675:T11677)</f>
        <v>2.4506419999999998</v>
      </c>
    </row>
    <row r="11679" spans="1:21" s="1511" customFormat="1" ht="17.399999999999999">
      <c r="A11679" s="549"/>
      <c r="B11679" s="832"/>
      <c r="C11679" s="549"/>
      <c r="D11679" s="549"/>
      <c r="E11679" s="549"/>
      <c r="F11679" s="549"/>
      <c r="G11679" s="549"/>
      <c r="H11679" s="549"/>
      <c r="I11679" s="560"/>
      <c r="J11679" s="565"/>
      <c r="K11679" s="648"/>
      <c r="L11679" s="765"/>
      <c r="M11679" s="648"/>
      <c r="N11679" s="567"/>
      <c r="O11679" s="549"/>
      <c r="P11679" s="549"/>
    </row>
    <row r="11680" spans="1:21" s="1511" customFormat="1" ht="17.399999999999999">
      <c r="A11680" s="547" t="s">
        <v>272</v>
      </c>
      <c r="B11680" s="547" t="s">
        <v>1363</v>
      </c>
      <c r="C11680" s="547" t="s">
        <v>446</v>
      </c>
      <c r="D11680" s="813" t="s">
        <v>447</v>
      </c>
      <c r="E11680" s="547" t="s">
        <v>359</v>
      </c>
      <c r="F11680" s="550">
        <v>16</v>
      </c>
      <c r="G11680" s="1545" t="s">
        <v>21</v>
      </c>
      <c r="H11680" s="1577" t="s">
        <v>177</v>
      </c>
      <c r="I11680" s="558">
        <v>27.29</v>
      </c>
      <c r="J11680" s="803">
        <v>7</v>
      </c>
      <c r="K11680" s="726">
        <v>2</v>
      </c>
      <c r="L11680" s="552">
        <f>(I11680*J11680*K11680/1000)</f>
        <v>0.38206000000000001</v>
      </c>
      <c r="M11680" s="648"/>
      <c r="N11680" s="567"/>
      <c r="O11680" s="549"/>
      <c r="P11680" s="549"/>
      <c r="S11680" s="1511">
        <v>2</v>
      </c>
      <c r="T11680" s="126">
        <f t="shared" ref="T11680:T11681" si="2389">J11680*S11680*I11680/1000</f>
        <v>0.38206000000000001</v>
      </c>
      <c r="U11680" s="1511" t="s">
        <v>1477</v>
      </c>
    </row>
    <row r="11681" spans="1:20" s="1511" customFormat="1" ht="17.399999999999999">
      <c r="A11681" s="549"/>
      <c r="B11681" s="549"/>
      <c r="C11681" s="549"/>
      <c r="D11681" s="549"/>
      <c r="E11681" s="549"/>
      <c r="F11681" s="549"/>
      <c r="G11681" s="1545" t="s">
        <v>21</v>
      </c>
      <c r="H11681" s="1545" t="s">
        <v>177</v>
      </c>
      <c r="I11681" s="558">
        <v>27.29</v>
      </c>
      <c r="J11681" s="803">
        <v>10.6</v>
      </c>
      <c r="K11681" s="726">
        <v>2</v>
      </c>
      <c r="L11681" s="552">
        <f>(I11681*J11681*K11681/1000)</f>
        <v>0.57854799999999995</v>
      </c>
      <c r="M11681" s="648"/>
      <c r="N11681" s="567"/>
      <c r="O11681" s="549"/>
      <c r="P11681" s="549"/>
      <c r="T11681" s="126">
        <f t="shared" si="2389"/>
        <v>0</v>
      </c>
    </row>
    <row r="11682" spans="1:20" s="1511" customFormat="1" ht="17.399999999999999">
      <c r="A11682" s="549"/>
      <c r="B11682" s="832"/>
      <c r="C11682" s="549"/>
      <c r="D11682" s="549"/>
      <c r="E11682" s="549"/>
      <c r="F11682" s="549"/>
      <c r="G11682" s="549"/>
      <c r="H11682" s="549"/>
      <c r="I11682" s="560"/>
      <c r="J11682" s="565"/>
      <c r="K11682" s="708">
        <f>SUM(K11680:K11681)</f>
        <v>4</v>
      </c>
      <c r="L11682" s="765">
        <f>SUM(L11680:L11681)</f>
        <v>0.96060799999999991</v>
      </c>
      <c r="M11682" s="648"/>
      <c r="N11682" s="567"/>
      <c r="O11682" s="549"/>
      <c r="P11682" s="549"/>
      <c r="S11682" s="708">
        <f>SUM(S11680:S11681)</f>
        <v>2</v>
      </c>
      <c r="T11682" s="765">
        <f>SUM(T11680:T11681)</f>
        <v>0.38206000000000001</v>
      </c>
    </row>
    <row r="11683" spans="1:20" s="1511" customFormat="1" ht="17.399999999999999">
      <c r="A11683" s="549"/>
      <c r="B11683" s="832"/>
      <c r="C11683" s="549"/>
      <c r="D11683" s="549"/>
      <c r="E11683" s="549"/>
      <c r="F11683" s="549"/>
      <c r="G11683" s="549"/>
      <c r="H11683" s="549"/>
      <c r="I11683" s="560"/>
      <c r="J11683" s="565"/>
      <c r="K11683" s="648">
        <f>SUM(K11671:K11682)/2</f>
        <v>51</v>
      </c>
      <c r="L11683" s="567">
        <f>SUM(L11671:L11682)/2</f>
        <v>12.613438</v>
      </c>
      <c r="M11683" s="648">
        <f>SUM(M11671:M11682)/2</f>
        <v>0</v>
      </c>
      <c r="N11683" s="567">
        <f>SUM(N11671:N11682)/2</f>
        <v>0</v>
      </c>
      <c r="O11683" s="549"/>
      <c r="P11683" s="549" t="s">
        <v>1385</v>
      </c>
    </row>
    <row r="11684" spans="1:20" s="1511" customFormat="1" ht="17.399999999999999">
      <c r="A11684" s="549"/>
      <c r="B11684" s="832"/>
      <c r="C11684" s="549"/>
      <c r="D11684" s="549"/>
      <c r="E11684" s="549"/>
      <c r="F11684" s="549"/>
      <c r="G11684" s="549"/>
      <c r="H11684" s="549"/>
      <c r="I11684" s="560"/>
      <c r="J11684" s="565"/>
      <c r="K11684" s="648"/>
      <c r="L11684" s="567"/>
      <c r="M11684" s="648"/>
      <c r="N11684" s="567"/>
      <c r="O11684" s="549"/>
      <c r="P11684" s="549"/>
    </row>
    <row r="11685" spans="1:20" ht="17.399999999999999">
      <c r="A11685" s="549"/>
      <c r="B11685" s="832"/>
      <c r="C11685" s="549"/>
      <c r="D11685" s="549"/>
      <c r="E11685" s="549"/>
      <c r="F11685" s="549"/>
      <c r="G11685" s="549"/>
      <c r="H11685" s="549"/>
      <c r="I11685" s="560"/>
      <c r="J11685" s="565"/>
      <c r="K11685" s="648"/>
      <c r="L11685" s="567"/>
      <c r="M11685" s="648"/>
      <c r="N11685" s="567"/>
      <c r="O11685" s="549"/>
      <c r="P11685" s="549"/>
    </row>
    <row r="11686" spans="1:20" ht="17.399999999999999">
      <c r="A11686" s="547" t="s">
        <v>272</v>
      </c>
      <c r="B11686" s="547" t="s">
        <v>1321</v>
      </c>
      <c r="C11686" s="547" t="s">
        <v>446</v>
      </c>
      <c r="D11686" s="813" t="s">
        <v>447</v>
      </c>
      <c r="E11686" s="547" t="s">
        <v>359</v>
      </c>
      <c r="F11686" s="550">
        <v>16</v>
      </c>
      <c r="G11686" s="1545" t="s">
        <v>21</v>
      </c>
      <c r="H11686" s="1577" t="s">
        <v>510</v>
      </c>
      <c r="I11686" s="558">
        <v>25.2</v>
      </c>
      <c r="J11686" s="565">
        <v>9.5</v>
      </c>
      <c r="K11686" s="648">
        <v>6</v>
      </c>
      <c r="L11686" s="552">
        <f t="shared" ref="L11686:L11689" si="2390">(I11686*J11686*K11686/1000)</f>
        <v>1.4364000000000001</v>
      </c>
      <c r="M11686" s="648"/>
      <c r="N11686" s="567"/>
      <c r="O11686" s="549"/>
      <c r="P11686" s="549"/>
      <c r="Q11686" s="497">
        <v>1</v>
      </c>
      <c r="R11686" s="126">
        <f>J11686*Q11686*I11686/1000</f>
        <v>0.2394</v>
      </c>
      <c r="S11686" s="1511" t="s">
        <v>1477</v>
      </c>
    </row>
    <row r="11687" spans="1:20" ht="17.399999999999999">
      <c r="A11687" s="549"/>
      <c r="B11687" s="549"/>
      <c r="C11687" s="549"/>
      <c r="D11687" s="549"/>
      <c r="E11687" s="549"/>
      <c r="F11687" s="549"/>
      <c r="G11687" s="1545" t="s">
        <v>21</v>
      </c>
      <c r="H11687" s="1545" t="s">
        <v>510</v>
      </c>
      <c r="I11687" s="558">
        <v>25.2</v>
      </c>
      <c r="J11687" s="565">
        <v>10</v>
      </c>
      <c r="K11687" s="648">
        <v>15</v>
      </c>
      <c r="L11687" s="552">
        <f t="shared" si="2390"/>
        <v>3.78</v>
      </c>
      <c r="M11687" s="648"/>
      <c r="N11687" s="567"/>
      <c r="O11687" s="549"/>
      <c r="P11687" s="549"/>
      <c r="Q11687" s="497">
        <v>7</v>
      </c>
      <c r="R11687" s="126">
        <f t="shared" ref="R11687:R11689" si="2391">J11687*Q11687*I11687/1000</f>
        <v>1.764</v>
      </c>
    </row>
    <row r="11688" spans="1:20" ht="17.399999999999999">
      <c r="A11688" s="549"/>
      <c r="B11688" s="832"/>
      <c r="C11688" s="549"/>
      <c r="D11688" s="549"/>
      <c r="E11688" s="549"/>
      <c r="F11688" s="549"/>
      <c r="G11688" s="1545" t="s">
        <v>21</v>
      </c>
      <c r="H11688" s="1545" t="s">
        <v>510</v>
      </c>
      <c r="I11688" s="558">
        <v>25.2</v>
      </c>
      <c r="J11688" s="565">
        <v>10.5</v>
      </c>
      <c r="K11688" s="648">
        <v>13</v>
      </c>
      <c r="L11688" s="552">
        <f t="shared" si="2390"/>
        <v>3.4397999999999995</v>
      </c>
      <c r="M11688" s="648">
        <v>4</v>
      </c>
      <c r="N11688" s="567">
        <f t="shared" ref="N11688" si="2392">J11688*M11688*I11688/1000</f>
        <v>1.0583999999999998</v>
      </c>
      <c r="O11688" s="549"/>
      <c r="P11688" s="549"/>
      <c r="Q11688" s="497">
        <v>10</v>
      </c>
      <c r="R11688" s="126">
        <f t="shared" si="2391"/>
        <v>2.6459999999999999</v>
      </c>
    </row>
    <row r="11689" spans="1:20" ht="17.399999999999999">
      <c r="A11689" s="549"/>
      <c r="B11689" s="832"/>
      <c r="C11689" s="549"/>
      <c r="D11689" s="549"/>
      <c r="E11689" s="549"/>
      <c r="F11689" s="549"/>
      <c r="G11689" s="1545" t="s">
        <v>21</v>
      </c>
      <c r="H11689" s="1545" t="s">
        <v>510</v>
      </c>
      <c r="I11689" s="558">
        <v>25.2</v>
      </c>
      <c r="J11689" s="565">
        <v>12</v>
      </c>
      <c r="K11689" s="648">
        <v>21</v>
      </c>
      <c r="L11689" s="552">
        <f t="shared" si="2390"/>
        <v>6.3503999999999996</v>
      </c>
      <c r="M11689" s="648"/>
      <c r="N11689" s="567"/>
      <c r="O11689" s="549"/>
      <c r="P11689" s="549"/>
      <c r="Q11689" s="497">
        <v>6</v>
      </c>
      <c r="R11689" s="126">
        <f t="shared" si="2391"/>
        <v>1.8143999999999998</v>
      </c>
    </row>
    <row r="11690" spans="1:20" ht="17.399999999999999">
      <c r="A11690" s="549"/>
      <c r="B11690" s="832"/>
      <c r="C11690" s="549"/>
      <c r="D11690" s="549"/>
      <c r="E11690" s="549"/>
      <c r="F11690" s="549"/>
      <c r="G11690" s="1545"/>
      <c r="H11690" s="1545"/>
      <c r="I11690" s="558"/>
      <c r="J11690" s="565"/>
      <c r="K11690" s="648">
        <f t="shared" ref="K11690:M11690" si="2393">SUM(K11686:K11689)</f>
        <v>55</v>
      </c>
      <c r="L11690" s="567">
        <f>SUM(L11686:L11689)</f>
        <v>15.006599999999999</v>
      </c>
      <c r="M11690" s="648">
        <f t="shared" si="2393"/>
        <v>4</v>
      </c>
      <c r="N11690" s="567">
        <f>SUM(N11686:N11689)</f>
        <v>1.0583999999999998</v>
      </c>
      <c r="O11690" s="549"/>
      <c r="P11690" s="549"/>
      <c r="Q11690" s="648">
        <f t="shared" ref="Q11690" si="2394">SUM(Q11686:Q11689)</f>
        <v>24</v>
      </c>
      <c r="R11690" s="567">
        <f>SUM(R11686:R11689)</f>
        <v>6.4638</v>
      </c>
    </row>
    <row r="11691" spans="1:20" ht="17.399999999999999">
      <c r="A11691" s="549"/>
      <c r="B11691" s="832"/>
      <c r="C11691" s="549"/>
      <c r="D11691" s="549"/>
      <c r="E11691" s="549"/>
      <c r="F11691" s="549"/>
      <c r="G11691" s="1545"/>
      <c r="H11691" s="1545"/>
      <c r="I11691" s="558"/>
      <c r="J11691" s="565"/>
      <c r="K11691" s="648"/>
      <c r="L11691" s="567"/>
      <c r="M11691" s="648"/>
      <c r="N11691" s="567"/>
      <c r="O11691" s="549"/>
      <c r="P11691" s="549"/>
    </row>
    <row r="11692" spans="1:20" s="1511" customFormat="1" ht="17.399999999999999">
      <c r="A11692" s="547" t="s">
        <v>83</v>
      </c>
      <c r="B11692" s="547" t="s">
        <v>1360</v>
      </c>
      <c r="C11692" s="547" t="s">
        <v>446</v>
      </c>
      <c r="D11692" s="813" t="s">
        <v>447</v>
      </c>
      <c r="E11692" s="547" t="s">
        <v>359</v>
      </c>
      <c r="F11692" s="550">
        <v>16</v>
      </c>
      <c r="G11692" s="1545" t="s">
        <v>21</v>
      </c>
      <c r="H11692" s="1577" t="s">
        <v>510</v>
      </c>
      <c r="I11692" s="558">
        <v>25.2</v>
      </c>
      <c r="J11692" s="803">
        <v>10</v>
      </c>
      <c r="K11692" s="726">
        <v>9</v>
      </c>
      <c r="L11692" s="552">
        <f t="shared" ref="L11692:L11694" si="2395">(I11692*J11692*K11692/1000)</f>
        <v>2.2679999999999998</v>
      </c>
      <c r="M11692" s="648"/>
      <c r="N11692" s="567"/>
      <c r="O11692" s="549"/>
      <c r="P11692" s="549"/>
      <c r="R11692" s="126">
        <f t="shared" ref="R11692:R11694" si="2396">J11692*Q11692*I11692/1000</f>
        <v>0</v>
      </c>
      <c r="S11692" s="1511" t="s">
        <v>1477</v>
      </c>
    </row>
    <row r="11693" spans="1:20" s="1511" customFormat="1" ht="17.399999999999999">
      <c r="A11693" s="549"/>
      <c r="B11693" s="549"/>
      <c r="C11693" s="549"/>
      <c r="D11693" s="549"/>
      <c r="E11693" s="549"/>
      <c r="F11693" s="549"/>
      <c r="G11693" s="1545" t="s">
        <v>21</v>
      </c>
      <c r="H11693" s="1545" t="s">
        <v>510</v>
      </c>
      <c r="I11693" s="558">
        <v>25.2</v>
      </c>
      <c r="J11693" s="803">
        <v>9.1</v>
      </c>
      <c r="K11693" s="726">
        <v>17</v>
      </c>
      <c r="L11693" s="552">
        <f t="shared" si="2395"/>
        <v>3.8984399999999999</v>
      </c>
      <c r="M11693" s="648">
        <v>5</v>
      </c>
      <c r="N11693" s="567">
        <f t="shared" ref="N11693" si="2397">J11693*M11693*I11693/1000</f>
        <v>1.1465999999999998</v>
      </c>
      <c r="O11693" s="549"/>
      <c r="P11693" s="549"/>
      <c r="Q11693" s="1511">
        <v>2</v>
      </c>
      <c r="R11693" s="126">
        <f t="shared" si="2396"/>
        <v>0.45863999999999999</v>
      </c>
    </row>
    <row r="11694" spans="1:20" s="1511" customFormat="1" ht="17.399999999999999">
      <c r="A11694" s="549"/>
      <c r="B11694" s="832"/>
      <c r="C11694" s="549"/>
      <c r="D11694" s="549"/>
      <c r="E11694" s="549"/>
      <c r="F11694" s="549"/>
      <c r="G11694" s="1545" t="s">
        <v>21</v>
      </c>
      <c r="H11694" s="1545" t="s">
        <v>510</v>
      </c>
      <c r="I11694" s="558">
        <v>25.2</v>
      </c>
      <c r="J11694" s="803">
        <v>9.6999999999999993</v>
      </c>
      <c r="K11694" s="726">
        <v>10</v>
      </c>
      <c r="L11694" s="552">
        <f t="shared" si="2395"/>
        <v>2.4443999999999995</v>
      </c>
      <c r="M11694" s="648"/>
      <c r="N11694" s="567"/>
      <c r="O11694" s="549"/>
      <c r="P11694" s="549"/>
      <c r="Q11694" s="1511">
        <v>4</v>
      </c>
      <c r="R11694" s="126">
        <f t="shared" si="2396"/>
        <v>0.97775999999999985</v>
      </c>
    </row>
    <row r="11695" spans="1:20" s="1511" customFormat="1" ht="17.399999999999999">
      <c r="A11695" s="549"/>
      <c r="B11695" s="832"/>
      <c r="C11695" s="549"/>
      <c r="D11695" s="549"/>
      <c r="E11695" s="549"/>
      <c r="F11695" s="549"/>
      <c r="G11695" s="549"/>
      <c r="H11695" s="549"/>
      <c r="I11695" s="560"/>
      <c r="J11695" s="565"/>
      <c r="K11695" s="652">
        <f>SUM(K11692:K11694)</f>
        <v>36</v>
      </c>
      <c r="L11695" s="765">
        <f>SUM(L11692:L11694)</f>
        <v>8.6108399999999996</v>
      </c>
      <c r="M11695" s="708">
        <f>SUM(M11692:M11694)</f>
        <v>5</v>
      </c>
      <c r="N11695" s="765">
        <f>SUM(N11692:N11694)</f>
        <v>1.1465999999999998</v>
      </c>
      <c r="O11695" s="549"/>
      <c r="P11695" s="549"/>
      <c r="Q11695" s="652">
        <f>SUM(Q11692:Q11694)</f>
        <v>6</v>
      </c>
      <c r="R11695" s="765">
        <f>SUM(R11692:R11694)</f>
        <v>1.4363999999999999</v>
      </c>
    </row>
    <row r="11696" spans="1:20" s="1511" customFormat="1" ht="17.399999999999999">
      <c r="A11696" s="549"/>
      <c r="B11696" s="832"/>
      <c r="C11696" s="549"/>
      <c r="D11696" s="549"/>
      <c r="E11696" s="549"/>
      <c r="F11696" s="549"/>
      <c r="G11696" s="549"/>
      <c r="H11696" s="549"/>
      <c r="I11696" s="560"/>
      <c r="J11696" s="565"/>
      <c r="K11696" s="648">
        <f>SUM(K11686:K11695)/2</f>
        <v>91</v>
      </c>
      <c r="L11696" s="567">
        <f>SUM(L11686:L11695)/2</f>
        <v>23.617440000000002</v>
      </c>
      <c r="M11696" s="648">
        <f>SUM(M11686:M11695)/2</f>
        <v>9</v>
      </c>
      <c r="N11696" s="567">
        <f>SUM(N11686:N11695)/2</f>
        <v>2.2049999999999996</v>
      </c>
      <c r="O11696" s="549"/>
      <c r="P11696" s="549" t="s">
        <v>1386</v>
      </c>
    </row>
    <row r="11697" spans="1:19" s="1511" customFormat="1" ht="17.399999999999999">
      <c r="A11697" s="549"/>
      <c r="B11697" s="832"/>
      <c r="C11697" s="549"/>
      <c r="D11697" s="549"/>
      <c r="E11697" s="549"/>
      <c r="F11697" s="549"/>
      <c r="G11697" s="549"/>
      <c r="H11697" s="549"/>
      <c r="I11697" s="560"/>
      <c r="J11697" s="565"/>
      <c r="K11697" s="648"/>
      <c r="L11697" s="567"/>
      <c r="M11697" s="648"/>
      <c r="N11697" s="567"/>
      <c r="O11697" s="549"/>
      <c r="P11697" s="549"/>
    </row>
    <row r="11698" spans="1:19" ht="17.399999999999999">
      <c r="A11698" s="549"/>
      <c r="B11698" s="832"/>
      <c r="C11698" s="549"/>
      <c r="D11698" s="549"/>
      <c r="E11698" s="549"/>
      <c r="F11698" s="549"/>
      <c r="G11698" s="549"/>
      <c r="H11698" s="549"/>
      <c r="I11698" s="560"/>
      <c r="J11698" s="565"/>
      <c r="K11698" s="648"/>
      <c r="L11698" s="567"/>
      <c r="M11698" s="648"/>
      <c r="N11698" s="567"/>
      <c r="O11698" s="549"/>
      <c r="P11698" s="549"/>
    </row>
    <row r="11699" spans="1:19" ht="17.399999999999999">
      <c r="A11699" s="547" t="s">
        <v>83</v>
      </c>
      <c r="B11699" s="547" t="s">
        <v>1360</v>
      </c>
      <c r="C11699" s="547" t="s">
        <v>446</v>
      </c>
      <c r="D11699" s="813" t="s">
        <v>447</v>
      </c>
      <c r="E11699" s="547" t="s">
        <v>359</v>
      </c>
      <c r="F11699" s="550">
        <v>16</v>
      </c>
      <c r="G11699" s="1545" t="s">
        <v>21</v>
      </c>
      <c r="H11699" s="599" t="s">
        <v>176</v>
      </c>
      <c r="I11699" s="558">
        <v>22.93</v>
      </c>
      <c r="J11699" s="803">
        <v>7.6</v>
      </c>
      <c r="K11699" s="726">
        <v>4</v>
      </c>
      <c r="L11699" s="552">
        <f>(I11699*J11699*K11699/1000)</f>
        <v>0.69707200000000002</v>
      </c>
      <c r="M11699" s="648">
        <v>4</v>
      </c>
      <c r="N11699" s="567">
        <f t="shared" ref="N11699:N11700" si="2398">J11699*M11699*I11699/1000</f>
        <v>0.69707200000000002</v>
      </c>
      <c r="O11699" s="549"/>
      <c r="P11699" s="549"/>
      <c r="Q11699" s="1511" t="s">
        <v>1477</v>
      </c>
    </row>
    <row r="11700" spans="1:19" s="1511" customFormat="1" ht="17.399999999999999">
      <c r="A11700" s="549"/>
      <c r="B11700" s="549"/>
      <c r="C11700" s="549"/>
      <c r="D11700" s="549"/>
      <c r="E11700" s="549"/>
      <c r="F11700" s="549"/>
      <c r="G11700" s="1545" t="s">
        <v>21</v>
      </c>
      <c r="H11700" s="549" t="s">
        <v>176</v>
      </c>
      <c r="I11700" s="558">
        <v>22.93</v>
      </c>
      <c r="J11700" s="803">
        <v>12</v>
      </c>
      <c r="K11700" s="726">
        <v>38</v>
      </c>
      <c r="L11700" s="552">
        <f>(I11700*J11700*K11700/1000)</f>
        <v>10.456079999999998</v>
      </c>
      <c r="M11700" s="648"/>
      <c r="N11700" s="567">
        <f t="shared" si="2398"/>
        <v>0</v>
      </c>
      <c r="O11700" s="549"/>
      <c r="P11700" s="549"/>
      <c r="Q11700" s="1511">
        <f>10+7</f>
        <v>17</v>
      </c>
      <c r="R11700" s="126">
        <f t="shared" ref="R11700" si="2399">J11700*Q11700*I11700/1000</f>
        <v>4.6777199999999999</v>
      </c>
    </row>
    <row r="11701" spans="1:19" s="1511" customFormat="1" ht="17.399999999999999">
      <c r="A11701" s="549"/>
      <c r="B11701" s="832"/>
      <c r="C11701" s="549"/>
      <c r="D11701" s="549"/>
      <c r="E11701" s="549"/>
      <c r="F11701" s="549"/>
      <c r="G11701" s="1545"/>
      <c r="H11701" s="1545"/>
      <c r="I11701" s="558"/>
      <c r="J11701" s="565"/>
      <c r="K11701" s="708">
        <f>SUM(K11699:K11700)</f>
        <v>42</v>
      </c>
      <c r="L11701" s="765">
        <f>SUM(L11699:L11700)</f>
        <v>11.153151999999999</v>
      </c>
      <c r="M11701" s="708">
        <f>SUM(M11699:M11700)</f>
        <v>4</v>
      </c>
      <c r="N11701" s="765">
        <f>SUM(N11699:N11700)</f>
        <v>0.69707200000000002</v>
      </c>
      <c r="O11701" s="549"/>
      <c r="P11701" s="549" t="s">
        <v>1387</v>
      </c>
      <c r="Q11701" s="708">
        <f>SUM(Q11699:Q11700)</f>
        <v>17</v>
      </c>
      <c r="R11701" s="765">
        <f>SUM(R11699:R11700)</f>
        <v>4.6777199999999999</v>
      </c>
    </row>
    <row r="11702" spans="1:19" s="1511" customFormat="1" ht="17.399999999999999">
      <c r="A11702" s="549"/>
      <c r="B11702" s="832"/>
      <c r="C11702" s="549"/>
      <c r="D11702" s="549"/>
      <c r="E11702" s="549"/>
      <c r="F11702" s="549"/>
      <c r="G11702" s="549"/>
      <c r="H11702" s="549"/>
      <c r="I11702" s="560"/>
      <c r="J11702" s="565"/>
      <c r="K11702" s="708"/>
      <c r="L11702" s="765"/>
      <c r="M11702" s="766"/>
      <c r="N11702" s="765"/>
      <c r="O11702" s="549"/>
      <c r="P11702" s="549"/>
    </row>
    <row r="11703" spans="1:19" s="1511" customFormat="1" ht="17.399999999999999">
      <c r="A11703" s="547" t="s">
        <v>272</v>
      </c>
      <c r="B11703" s="852" t="s">
        <v>1364</v>
      </c>
      <c r="C11703" s="547" t="s">
        <v>19</v>
      </c>
      <c r="D11703" s="813" t="s">
        <v>854</v>
      </c>
      <c r="E11703" s="547" t="s">
        <v>359</v>
      </c>
      <c r="F11703" s="550">
        <v>16</v>
      </c>
      <c r="G11703" s="1545" t="s">
        <v>21</v>
      </c>
      <c r="H11703" s="1577" t="s">
        <v>176</v>
      </c>
      <c r="I11703" s="558">
        <v>22.93</v>
      </c>
      <c r="J11703" s="803">
        <v>6.1</v>
      </c>
      <c r="K11703" s="775">
        <v>4</v>
      </c>
      <c r="L11703" s="552">
        <f>(I11703*J11703*K11703/1000)</f>
        <v>0.55949199999999999</v>
      </c>
      <c r="M11703" s="766">
        <v>4</v>
      </c>
      <c r="N11703" s="567">
        <f>J11703*M11703*I11703/1000</f>
        <v>0.55949199999999999</v>
      </c>
      <c r="O11703" s="549"/>
      <c r="P11703" s="549"/>
      <c r="Q11703" s="1511" t="s">
        <v>1482</v>
      </c>
    </row>
    <row r="11704" spans="1:19" s="1511" customFormat="1" ht="17.399999999999999">
      <c r="A11704" s="549"/>
      <c r="B11704" s="559" t="s">
        <v>277</v>
      </c>
      <c r="C11704" s="549"/>
      <c r="D11704" s="549"/>
      <c r="E11704" s="549"/>
      <c r="F11704" s="549"/>
      <c r="G11704" s="549"/>
      <c r="H11704" s="549"/>
      <c r="I11704" s="560"/>
      <c r="J11704" s="565"/>
      <c r="K11704" s="708">
        <f>SUM(K11703:K11703)</f>
        <v>4</v>
      </c>
      <c r="L11704" s="765">
        <f>SUM(L11703:L11703)</f>
        <v>0.55949199999999999</v>
      </c>
      <c r="M11704" s="708">
        <f>SUM(M11703:M11703)</f>
        <v>4</v>
      </c>
      <c r="N11704" s="765">
        <f>SUM(N11703:N11703)</f>
        <v>0.55949199999999999</v>
      </c>
      <c r="O11704" s="549"/>
      <c r="P11704" s="549" t="s">
        <v>1388</v>
      </c>
    </row>
    <row r="11705" spans="1:19" s="1511" customFormat="1" ht="17.399999999999999">
      <c r="A11705" s="549"/>
      <c r="B11705" s="832"/>
      <c r="C11705" s="549"/>
      <c r="D11705" s="549"/>
      <c r="E11705" s="549"/>
      <c r="F11705" s="549"/>
      <c r="G11705" s="549"/>
      <c r="H11705" s="549"/>
      <c r="I11705" s="560"/>
      <c r="J11705" s="565"/>
      <c r="K11705" s="708"/>
      <c r="L11705" s="765"/>
      <c r="M11705" s="766"/>
      <c r="N11705" s="765"/>
      <c r="O11705" s="549"/>
      <c r="P11705" s="549"/>
    </row>
    <row r="11706" spans="1:19" s="1511" customFormat="1" ht="17.399999999999999">
      <c r="A11706" s="549"/>
      <c r="B11706" s="832"/>
      <c r="C11706" s="549"/>
      <c r="D11706" s="549"/>
      <c r="E11706" s="549"/>
      <c r="F11706" s="549"/>
      <c r="G11706" s="549"/>
      <c r="H11706" s="549"/>
      <c r="I11706" s="560"/>
      <c r="J11706" s="565"/>
      <c r="K11706" s="708"/>
      <c r="L11706" s="765"/>
      <c r="M11706" s="766"/>
      <c r="N11706" s="765"/>
      <c r="O11706" s="549"/>
      <c r="P11706" s="549"/>
    </row>
    <row r="11707" spans="1:19" s="1511" customFormat="1" ht="17.399999999999999">
      <c r="A11707" s="547" t="s">
        <v>272</v>
      </c>
      <c r="B11707" s="852" t="s">
        <v>1365</v>
      </c>
      <c r="C11707" s="547" t="s">
        <v>19</v>
      </c>
      <c r="D11707" s="813" t="s">
        <v>854</v>
      </c>
      <c r="E11707" s="547" t="s">
        <v>359</v>
      </c>
      <c r="F11707" s="550">
        <v>16</v>
      </c>
      <c r="G11707" s="1545" t="s">
        <v>21</v>
      </c>
      <c r="H11707" s="1577" t="s">
        <v>176</v>
      </c>
      <c r="I11707" s="558">
        <v>22.93</v>
      </c>
      <c r="J11707" s="1557">
        <v>11.25</v>
      </c>
      <c r="K11707" s="1558">
        <v>24</v>
      </c>
      <c r="L11707" s="552">
        <f>(I11707*J11707*K11707/1000)</f>
        <v>6.1910999999999996</v>
      </c>
      <c r="M11707" s="766">
        <v>5</v>
      </c>
      <c r="N11707" s="567">
        <f>J11707*M11707*I11707/1000</f>
        <v>1.2898125</v>
      </c>
      <c r="O11707" s="549"/>
      <c r="P11707" s="549"/>
      <c r="Q11707" s="1511">
        <v>1</v>
      </c>
      <c r="R11707" s="126">
        <f t="shared" ref="R11707" si="2400">J11707*Q11707*I11707/1000</f>
        <v>0.25796249999999998</v>
      </c>
      <c r="S11707" s="1511" t="s">
        <v>1482</v>
      </c>
    </row>
    <row r="11708" spans="1:19" s="1511" customFormat="1" ht="17.399999999999999">
      <c r="A11708" s="549"/>
      <c r="B11708" s="559" t="s">
        <v>277</v>
      </c>
      <c r="C11708" s="549"/>
      <c r="D11708" s="549"/>
      <c r="E11708" s="549"/>
      <c r="F11708" s="549"/>
      <c r="G11708" s="549"/>
      <c r="H11708" s="549"/>
      <c r="I11708" s="560"/>
      <c r="J11708" s="565"/>
      <c r="K11708" s="708">
        <f>SUM(K11707:K11707)</f>
        <v>24</v>
      </c>
      <c r="L11708" s="765">
        <f>SUM(L11707:L11707)</f>
        <v>6.1910999999999996</v>
      </c>
      <c r="M11708" s="708">
        <f>SUM(M11707:M11707)</f>
        <v>5</v>
      </c>
      <c r="N11708" s="765">
        <f>SUM(N11707:N11707)</f>
        <v>1.2898125</v>
      </c>
      <c r="O11708" s="549"/>
      <c r="P11708" s="549" t="s">
        <v>1388</v>
      </c>
      <c r="Q11708" s="708">
        <f>SUM(Q11707:Q11707)</f>
        <v>1</v>
      </c>
      <c r="R11708" s="765">
        <f>SUM(R11707:R11707)</f>
        <v>0.25796249999999998</v>
      </c>
    </row>
    <row r="11709" spans="1:19" s="1511" customFormat="1" ht="17.399999999999999">
      <c r="A11709" s="549"/>
      <c r="B11709" s="832"/>
      <c r="C11709" s="549"/>
      <c r="D11709" s="549"/>
      <c r="E11709" s="549"/>
      <c r="F11709" s="549"/>
      <c r="G11709" s="549"/>
      <c r="H11709" s="549"/>
      <c r="I11709" s="560"/>
      <c r="J11709" s="565"/>
      <c r="K11709" s="652"/>
      <c r="L11709" s="567"/>
      <c r="M11709" s="648"/>
      <c r="N11709" s="567"/>
      <c r="O11709" s="549"/>
      <c r="P11709" s="549"/>
    </row>
    <row r="11710" spans="1:19" ht="17.399999999999999">
      <c r="A11710" s="547" t="s">
        <v>272</v>
      </c>
      <c r="B11710" s="852" t="s">
        <v>1326</v>
      </c>
      <c r="C11710" s="547" t="s">
        <v>19</v>
      </c>
      <c r="D11710" s="547" t="s">
        <v>20</v>
      </c>
      <c r="E11710" s="547" t="s">
        <v>359</v>
      </c>
      <c r="F11710" s="550">
        <v>16</v>
      </c>
      <c r="G11710" s="549" t="s">
        <v>21</v>
      </c>
      <c r="H11710" s="599" t="s">
        <v>176</v>
      </c>
      <c r="I11710" s="558">
        <v>22.93</v>
      </c>
      <c r="J11710" s="565">
        <v>12</v>
      </c>
      <c r="K11710" s="648">
        <v>10</v>
      </c>
      <c r="L11710" s="552">
        <f>(I11710*J11710*K11710/1000)</f>
        <v>2.7515999999999994</v>
      </c>
      <c r="M11710" s="648"/>
      <c r="N11710" s="567">
        <f t="shared" ref="N11710:N11711" si="2401">J11710*M11710*I11710/1000</f>
        <v>0</v>
      </c>
      <c r="O11710" s="549"/>
      <c r="P11710" s="549"/>
      <c r="Q11710" s="497">
        <v>10</v>
      </c>
      <c r="R11710" s="126">
        <f t="shared" ref="R11710" si="2402">J11710*Q11710*I11710/1000</f>
        <v>2.7515999999999998</v>
      </c>
      <c r="S11710" s="1511" t="s">
        <v>1482</v>
      </c>
    </row>
    <row r="11711" spans="1:19" ht="17.399999999999999">
      <c r="A11711" s="549"/>
      <c r="B11711" s="549" t="s">
        <v>1325</v>
      </c>
      <c r="C11711" s="549"/>
      <c r="D11711" s="549"/>
      <c r="E11711" s="549"/>
      <c r="F11711" s="549"/>
      <c r="G11711" s="549"/>
      <c r="H11711" s="549"/>
      <c r="I11711" s="560"/>
      <c r="J11711" s="565"/>
      <c r="K11711" s="648">
        <f t="shared" ref="K11711" si="2403">SUM(K11710)</f>
        <v>10</v>
      </c>
      <c r="L11711" s="567">
        <f>SUM(L11710)</f>
        <v>2.7515999999999994</v>
      </c>
      <c r="M11711" s="648"/>
      <c r="N11711" s="567">
        <f t="shared" si="2401"/>
        <v>0</v>
      </c>
      <c r="O11711" s="549"/>
      <c r="P11711" s="549" t="s">
        <v>1388</v>
      </c>
      <c r="Q11711" s="648">
        <f t="shared" ref="Q11711" si="2404">SUM(Q11710)</f>
        <v>10</v>
      </c>
      <c r="R11711" s="567">
        <f>SUM(R11710)</f>
        <v>2.7515999999999998</v>
      </c>
    </row>
    <row r="11712" spans="1:19" ht="17.399999999999999">
      <c r="A11712" s="549"/>
      <c r="B11712" s="832"/>
      <c r="C11712" s="549"/>
      <c r="D11712" s="549"/>
      <c r="E11712" s="549"/>
      <c r="F11712" s="549"/>
      <c r="G11712" s="549"/>
      <c r="H11712" s="549"/>
      <c r="I11712" s="560"/>
      <c r="J11712" s="567"/>
      <c r="K11712" s="648">
        <f>SUM(K11699:K11711)/2</f>
        <v>80</v>
      </c>
      <c r="L11712" s="567">
        <f>SUM(L11699:L11711)/2</f>
        <v>20.655343999999992</v>
      </c>
      <c r="M11712" s="648">
        <f>SUM(M11699:M11711)/2</f>
        <v>13</v>
      </c>
      <c r="N11712" s="567">
        <f>SUM(N11699:N11711)/2</f>
        <v>2.5463765</v>
      </c>
      <c r="O11712" s="549"/>
      <c r="P11712" s="549"/>
      <c r="Q11712" s="648">
        <f>SUM(Q11699:Q11711)/2</f>
        <v>28</v>
      </c>
      <c r="R11712" s="567">
        <f>SUM(R11699:R11711)/2</f>
        <v>7.6872824999999994</v>
      </c>
    </row>
    <row r="11713" spans="1:17" s="1511" customFormat="1" ht="17.399999999999999">
      <c r="A11713" s="549"/>
      <c r="B11713" s="832"/>
      <c r="C11713" s="549"/>
      <c r="D11713" s="549"/>
      <c r="E11713" s="549"/>
      <c r="F11713" s="549"/>
      <c r="G11713" s="549"/>
      <c r="H11713" s="549"/>
      <c r="I11713" s="560"/>
      <c r="J11713" s="567"/>
      <c r="K11713" s="648"/>
      <c r="L11713" s="567"/>
      <c r="M11713" s="648"/>
      <c r="N11713" s="567"/>
      <c r="O11713" s="549"/>
      <c r="P11713" s="549"/>
    </row>
    <row r="11714" spans="1:17" s="1511" customFormat="1" ht="17.399999999999999">
      <c r="A11714" s="549"/>
      <c r="B11714" s="832"/>
      <c r="C11714" s="549"/>
      <c r="D11714" s="549"/>
      <c r="E11714" s="549"/>
      <c r="F11714" s="549"/>
      <c r="G11714" s="549"/>
      <c r="H11714" s="549"/>
      <c r="I11714" s="560"/>
      <c r="J11714" s="567"/>
      <c r="K11714" s="648"/>
      <c r="L11714" s="567"/>
      <c r="M11714" s="648"/>
      <c r="N11714" s="567"/>
      <c r="O11714" s="549"/>
      <c r="P11714" s="549"/>
    </row>
    <row r="11715" spans="1:17" s="1511" customFormat="1" ht="17.399999999999999">
      <c r="A11715" s="549"/>
      <c r="B11715" s="832"/>
      <c r="C11715" s="549"/>
      <c r="D11715" s="549"/>
      <c r="E11715" s="549"/>
      <c r="F11715" s="549"/>
      <c r="G11715" s="549"/>
      <c r="H11715" s="549"/>
      <c r="I11715" s="560"/>
      <c r="J11715" s="567"/>
      <c r="K11715" s="648"/>
      <c r="L11715" s="567"/>
      <c r="M11715" s="648"/>
      <c r="N11715" s="567"/>
      <c r="O11715" s="549"/>
      <c r="P11715" s="549"/>
    </row>
    <row r="11716" spans="1:17" s="1511" customFormat="1" ht="17.399999999999999">
      <c r="A11716" s="549"/>
      <c r="B11716" s="832"/>
      <c r="C11716" s="549"/>
      <c r="D11716" s="549"/>
      <c r="E11716" s="549"/>
      <c r="F11716" s="549"/>
      <c r="G11716" s="549"/>
      <c r="H11716" s="549"/>
      <c r="I11716" s="560"/>
      <c r="J11716" s="567"/>
      <c r="K11716" s="648"/>
      <c r="L11716" s="567"/>
      <c r="M11716" s="648"/>
      <c r="N11716" s="567"/>
      <c r="O11716" s="549"/>
      <c r="P11716" s="549"/>
    </row>
    <row r="11717" spans="1:17" s="1511" customFormat="1" ht="17.399999999999999">
      <c r="A11717" s="549"/>
      <c r="B11717" s="832"/>
      <c r="C11717" s="549"/>
      <c r="D11717" s="549"/>
      <c r="E11717" s="549"/>
      <c r="F11717" s="549"/>
      <c r="G11717" s="549"/>
      <c r="H11717" s="549"/>
      <c r="I11717" s="560"/>
      <c r="J11717" s="567"/>
      <c r="K11717" s="648"/>
      <c r="L11717" s="567"/>
      <c r="M11717" s="648"/>
      <c r="N11717" s="567"/>
      <c r="O11717" s="549"/>
      <c r="P11717" s="549"/>
    </row>
    <row r="11718" spans="1:17" s="1511" customFormat="1" ht="17.399999999999999">
      <c r="A11718" s="549"/>
      <c r="B11718" s="832"/>
      <c r="C11718" s="549"/>
      <c r="D11718" s="549"/>
      <c r="E11718" s="549"/>
      <c r="F11718" s="549"/>
      <c r="G11718" s="549"/>
      <c r="H11718" s="549"/>
      <c r="I11718" s="560"/>
      <c r="J11718" s="567"/>
      <c r="K11718" s="648"/>
      <c r="L11718" s="567"/>
      <c r="M11718" s="648"/>
      <c r="N11718" s="567"/>
      <c r="O11718" s="549"/>
      <c r="P11718" s="549"/>
    </row>
    <row r="11719" spans="1:17" s="1511" customFormat="1" ht="18">
      <c r="A11719" s="547" t="s">
        <v>83</v>
      </c>
      <c r="B11719" s="547" t="s">
        <v>1406</v>
      </c>
      <c r="C11719" s="547" t="s">
        <v>19</v>
      </c>
      <c r="D11719" s="547" t="s">
        <v>20</v>
      </c>
      <c r="E11719" s="547" t="s">
        <v>367</v>
      </c>
      <c r="F11719" s="550">
        <v>16</v>
      </c>
      <c r="G11719" s="549" t="s">
        <v>21</v>
      </c>
      <c r="H11719" s="599" t="s">
        <v>180</v>
      </c>
      <c r="I11719" s="558">
        <v>35.9</v>
      </c>
      <c r="J11719" s="1593">
        <v>11.3</v>
      </c>
      <c r="K11719" s="997">
        <v>8</v>
      </c>
      <c r="L11719" s="552">
        <f>(I11719*J11719*K11719/1000)</f>
        <v>3.2453600000000002</v>
      </c>
      <c r="M11719" s="648"/>
      <c r="N11719" s="567"/>
      <c r="O11719" s="549"/>
      <c r="P11719" s="549"/>
      <c r="Q11719" s="1511" t="s">
        <v>1482</v>
      </c>
    </row>
    <row r="11720" spans="1:17" s="1511" customFormat="1" ht="18">
      <c r="A11720" s="549"/>
      <c r="B11720" s="898" t="s">
        <v>52</v>
      </c>
      <c r="C11720" s="549"/>
      <c r="D11720" s="549"/>
      <c r="E11720" s="549"/>
      <c r="F11720" s="549"/>
      <c r="G11720" s="549"/>
      <c r="H11720" s="549"/>
      <c r="I11720" s="560"/>
      <c r="J11720" s="565"/>
      <c r="K11720" s="648">
        <f t="shared" ref="K11720" si="2405">SUM(K11719)</f>
        <v>8</v>
      </c>
      <c r="L11720" s="567">
        <f>SUM(L11719)</f>
        <v>3.2453600000000002</v>
      </c>
      <c r="M11720" s="648"/>
      <c r="N11720" s="567"/>
      <c r="O11720" s="549"/>
      <c r="P11720" s="549" t="s">
        <v>1434</v>
      </c>
    </row>
    <row r="11721" spans="1:17" s="1511" customFormat="1" ht="17.399999999999999">
      <c r="A11721" s="549"/>
      <c r="B11721" s="832"/>
      <c r="C11721" s="549"/>
      <c r="D11721" s="549"/>
      <c r="E11721" s="549"/>
      <c r="F11721" s="549"/>
      <c r="G11721" s="549"/>
      <c r="H11721" s="549"/>
      <c r="I11721" s="560"/>
      <c r="J11721" s="567"/>
      <c r="K11721" s="648"/>
      <c r="L11721" s="567"/>
      <c r="M11721" s="648"/>
      <c r="N11721" s="567"/>
      <c r="O11721" s="549"/>
      <c r="P11721" s="549"/>
    </row>
    <row r="11722" spans="1:17" s="1511" customFormat="1" ht="17.399999999999999">
      <c r="A11722" s="549"/>
      <c r="B11722" s="832"/>
      <c r="C11722" s="549"/>
      <c r="D11722" s="549"/>
      <c r="E11722" s="549"/>
      <c r="F11722" s="549"/>
      <c r="G11722" s="549"/>
      <c r="H11722" s="549"/>
      <c r="I11722" s="560"/>
      <c r="J11722" s="567"/>
      <c r="K11722" s="648"/>
      <c r="L11722" s="567"/>
      <c r="M11722" s="648"/>
      <c r="N11722" s="567"/>
      <c r="O11722" s="549"/>
      <c r="P11722" s="549"/>
    </row>
    <row r="11723" spans="1:17" s="1511" customFormat="1" ht="18">
      <c r="A11723" s="547" t="s">
        <v>83</v>
      </c>
      <c r="B11723" s="547" t="s">
        <v>1410</v>
      </c>
      <c r="C11723" s="547" t="s">
        <v>19</v>
      </c>
      <c r="D11723" s="547" t="s">
        <v>20</v>
      </c>
      <c r="E11723" s="547" t="s">
        <v>367</v>
      </c>
      <c r="F11723" s="550">
        <v>16</v>
      </c>
      <c r="G11723" s="549" t="s">
        <v>21</v>
      </c>
      <c r="H11723" s="599" t="s">
        <v>178</v>
      </c>
      <c r="I11723" s="558">
        <v>31.6</v>
      </c>
      <c r="J11723" s="996">
        <v>11.9</v>
      </c>
      <c r="K11723" s="997">
        <v>16</v>
      </c>
      <c r="L11723" s="552">
        <f t="shared" ref="L11723:L11724" si="2406">(I11723*J11723*K11723/1000)</f>
        <v>6.0166400000000007</v>
      </c>
      <c r="M11723" s="648"/>
      <c r="N11723" s="567"/>
      <c r="O11723" s="549"/>
      <c r="P11723" s="549"/>
      <c r="Q11723" s="1511" t="s">
        <v>1476</v>
      </c>
    </row>
    <row r="11724" spans="1:17" s="1511" customFormat="1" ht="18">
      <c r="A11724" s="547"/>
      <c r="B11724" s="898" t="s">
        <v>52</v>
      </c>
      <c r="C11724" s="547"/>
      <c r="D11724" s="547"/>
      <c r="E11724" s="547"/>
      <c r="F11724" s="550"/>
      <c r="G11724" s="549" t="s">
        <v>21</v>
      </c>
      <c r="H11724" s="549" t="s">
        <v>178</v>
      </c>
      <c r="I11724" s="558">
        <v>31.6</v>
      </c>
      <c r="J11724" s="996">
        <v>10.1</v>
      </c>
      <c r="K11724" s="997">
        <v>160</v>
      </c>
      <c r="L11724" s="552">
        <f t="shared" si="2406"/>
        <v>51.065600000000003</v>
      </c>
      <c r="M11724" s="648"/>
      <c r="N11724" s="567"/>
      <c r="O11724" s="549"/>
      <c r="P11724" s="549"/>
    </row>
    <row r="11725" spans="1:17" s="1511" customFormat="1" ht="18">
      <c r="A11725" s="549"/>
      <c r="B11725" s="898"/>
      <c r="C11725" s="549"/>
      <c r="D11725" s="549"/>
      <c r="E11725" s="549"/>
      <c r="F11725" s="549"/>
      <c r="G11725" s="549"/>
      <c r="H11725" s="549"/>
      <c r="I11725" s="560"/>
      <c r="J11725" s="565"/>
      <c r="K11725" s="648">
        <f>SUM(K11723:K11724)</f>
        <v>176</v>
      </c>
      <c r="L11725" s="567">
        <f>SUM(L11723:L11724)</f>
        <v>57.082240000000006</v>
      </c>
      <c r="M11725" s="648"/>
      <c r="N11725" s="567"/>
      <c r="O11725" s="549"/>
      <c r="P11725" s="549" t="s">
        <v>1412</v>
      </c>
    </row>
    <row r="11726" spans="1:17" s="1511" customFormat="1" ht="17.399999999999999">
      <c r="A11726" s="549"/>
      <c r="B11726" s="832"/>
      <c r="C11726" s="549"/>
      <c r="D11726" s="549"/>
      <c r="E11726" s="549"/>
      <c r="F11726" s="549"/>
      <c r="G11726" s="549"/>
      <c r="H11726" s="549"/>
      <c r="I11726" s="560"/>
      <c r="J11726" s="567"/>
      <c r="K11726" s="648"/>
      <c r="L11726" s="567"/>
      <c r="M11726" s="648"/>
      <c r="N11726" s="567"/>
      <c r="O11726" s="549"/>
      <c r="P11726" s="549"/>
    </row>
    <row r="11727" spans="1:17" s="1511" customFormat="1" ht="17.399999999999999">
      <c r="A11727" s="549"/>
      <c r="B11727" s="832"/>
      <c r="C11727" s="549"/>
      <c r="D11727" s="549"/>
      <c r="E11727" s="549"/>
      <c r="F11727" s="549"/>
      <c r="G11727" s="549"/>
      <c r="H11727" s="549"/>
      <c r="I11727" s="560"/>
      <c r="J11727" s="567"/>
      <c r="K11727" s="648"/>
      <c r="L11727" s="567"/>
      <c r="M11727" s="648"/>
      <c r="N11727" s="567"/>
      <c r="O11727" s="549"/>
      <c r="P11727" s="549"/>
    </row>
    <row r="11728" spans="1:17" s="1511" customFormat="1" ht="17.399999999999999">
      <c r="A11728" s="549"/>
      <c r="B11728" s="832"/>
      <c r="C11728" s="549"/>
      <c r="D11728" s="549"/>
      <c r="E11728" s="549"/>
      <c r="F11728" s="549"/>
      <c r="G11728" s="549"/>
      <c r="H11728" s="549"/>
      <c r="I11728" s="560"/>
      <c r="J11728" s="567"/>
      <c r="K11728" s="648"/>
      <c r="L11728" s="567"/>
      <c r="M11728" s="648"/>
      <c r="N11728" s="567"/>
      <c r="O11728" s="549"/>
      <c r="P11728" s="549"/>
    </row>
    <row r="11729" spans="1:16" s="1511" customFormat="1" ht="17.399999999999999">
      <c r="A11729" s="549"/>
      <c r="B11729" s="832"/>
      <c r="C11729" s="549"/>
      <c r="D11729" s="549"/>
      <c r="E11729" s="549"/>
      <c r="F11729" s="549"/>
      <c r="G11729" s="549"/>
      <c r="H11729" s="549"/>
      <c r="I11729" s="560"/>
      <c r="J11729" s="567"/>
      <c r="K11729" s="648"/>
      <c r="L11729" s="567"/>
      <c r="M11729" s="648"/>
      <c r="N11729" s="567"/>
      <c r="O11729" s="549"/>
      <c r="P11729" s="549"/>
    </row>
    <row r="11730" spans="1:16" ht="17.399999999999999">
      <c r="A11730" s="549"/>
      <c r="B11730" s="549"/>
      <c r="C11730" s="549"/>
      <c r="D11730" s="549"/>
      <c r="E11730" s="549"/>
      <c r="F11730" s="549"/>
      <c r="G11730" s="549"/>
      <c r="H11730" s="549"/>
      <c r="I11730" s="560"/>
      <c r="J11730" s="565"/>
      <c r="K11730" s="648"/>
      <c r="L11730" s="567"/>
      <c r="M11730" s="648"/>
      <c r="N11730" s="567"/>
      <c r="O11730" s="549"/>
      <c r="P11730" s="549"/>
    </row>
    <row r="11731" spans="1:16" ht="17.399999999999999">
      <c r="A11731" s="549"/>
      <c r="B11731" s="549"/>
      <c r="C11731" s="549"/>
      <c r="D11731" s="549"/>
      <c r="E11731" s="549"/>
      <c r="F11731" s="549"/>
      <c r="G11731" s="549"/>
      <c r="H11731" s="549"/>
      <c r="I11731" s="560"/>
      <c r="J11731" s="549"/>
      <c r="K11731" s="561"/>
      <c r="L11731" s="560"/>
      <c r="M11731" s="549"/>
      <c r="N11731" s="549"/>
      <c r="O11731" s="549"/>
      <c r="P11731" s="549"/>
    </row>
    <row r="11732" spans="1:16" ht="17.399999999999999">
      <c r="A11732" s="549"/>
      <c r="B11732" s="549"/>
      <c r="C11732" s="549"/>
      <c r="D11732" s="549"/>
      <c r="E11732" s="549"/>
      <c r="F11732" s="549"/>
      <c r="G11732" s="549"/>
      <c r="H11732" s="549"/>
      <c r="I11732" s="560"/>
      <c r="J11732" s="549"/>
      <c r="K11732" s="561"/>
      <c r="L11732" s="565">
        <f>+L11587+L11601+L11612+L11632+L11648+L11653+L11668+L11683+L11696+L11712+L11569+L11560+L11542+L11549+L11555+L11533+L11725+L11720</f>
        <v>731.56858699999987</v>
      </c>
      <c r="M11732" s="549"/>
      <c r="N11732" s="565">
        <f>+N11587+N11601+N11612+N11632+N11648+N11653+N11668+N11683+N11696+N11712+N11569+N11560+N11542+N11549+N11555+N11533</f>
        <v>25.914780999999994</v>
      </c>
      <c r="O11732" s="549"/>
      <c r="P11732" s="549"/>
    </row>
    <row r="11733" spans="1:16" ht="18">
      <c r="A11733" s="653" t="s">
        <v>48</v>
      </c>
      <c r="B11733" s="653"/>
      <c r="C11733" s="654"/>
      <c r="D11733" s="654"/>
      <c r="E11733" s="654"/>
      <c r="F11733" s="1536"/>
      <c r="G11733" s="654"/>
      <c r="H11733" s="1536"/>
      <c r="I11733" s="656"/>
      <c r="J11733" s="654"/>
      <c r="K11733" s="657"/>
      <c r="L11733" s="2003" t="s">
        <v>0</v>
      </c>
      <c r="M11733" s="2003"/>
      <c r="N11733" s="2003"/>
      <c r="O11733" s="2004"/>
      <c r="P11733" s="1097"/>
    </row>
    <row r="11734" spans="1:16" ht="18">
      <c r="A11734" s="658" t="s">
        <v>1</v>
      </c>
      <c r="B11734" s="658"/>
      <c r="C11734" s="658"/>
      <c r="D11734" s="659" t="s">
        <v>2</v>
      </c>
      <c r="E11734" s="659"/>
      <c r="F11734" s="660"/>
      <c r="G11734" s="660"/>
      <c r="H11734" s="660"/>
      <c r="I11734" s="661"/>
      <c r="J11734" s="660"/>
      <c r="K11734" s="662" t="s">
        <v>3</v>
      </c>
      <c r="L11734" s="660"/>
      <c r="M11734" s="658"/>
      <c r="N11734" s="660"/>
      <c r="O11734" s="663"/>
      <c r="P11734" s="1098"/>
    </row>
    <row r="11735" spans="1:16" ht="18">
      <c r="A11735" s="1536" t="s">
        <v>22</v>
      </c>
      <c r="B11735" s="1990" t="s">
        <v>23</v>
      </c>
      <c r="C11735" s="2005"/>
      <c r="D11735" s="1989"/>
      <c r="E11735" s="1536" t="s">
        <v>24</v>
      </c>
      <c r="F11735" s="1990" t="s">
        <v>25</v>
      </c>
      <c r="G11735" s="1989"/>
      <c r="H11735" s="1990" t="s">
        <v>26</v>
      </c>
      <c r="I11735" s="2005"/>
      <c r="J11735" s="2005"/>
      <c r="K11735" s="1989"/>
      <c r="L11735" s="2006" t="s">
        <v>27</v>
      </c>
      <c r="M11735" s="2006"/>
      <c r="N11735" s="2006"/>
      <c r="O11735" s="1990"/>
      <c r="P11735" s="1098"/>
    </row>
    <row r="11736" spans="1:16" ht="18">
      <c r="A11736" s="664"/>
      <c r="B11736" s="1975"/>
      <c r="C11736" s="1976"/>
      <c r="D11736" s="1977"/>
      <c r="E11736" s="665"/>
      <c r="F11736" s="1975"/>
      <c r="G11736" s="1977"/>
      <c r="H11736" s="1975"/>
      <c r="I11736" s="1976"/>
      <c r="J11736" s="1976"/>
      <c r="K11736" s="1977"/>
      <c r="L11736" s="1975"/>
      <c r="M11736" s="1976"/>
      <c r="N11736" s="1976"/>
      <c r="O11736" s="1976"/>
      <c r="P11736" s="1098"/>
    </row>
    <row r="11737" spans="1:16" ht="18">
      <c r="A11737" s="664"/>
      <c r="B11737" s="1975"/>
      <c r="C11737" s="1976"/>
      <c r="D11737" s="1977"/>
      <c r="E11737" s="665"/>
      <c r="F11737" s="1973"/>
      <c r="G11737" s="1974"/>
      <c r="H11737" s="1975"/>
      <c r="I11737" s="1976"/>
      <c r="J11737" s="1976"/>
      <c r="K11737" s="1977"/>
      <c r="L11737" s="1976"/>
      <c r="M11737" s="1976"/>
      <c r="N11737" s="1976"/>
      <c r="O11737" s="1976"/>
      <c r="P11737" s="1098"/>
    </row>
    <row r="11738" spans="1:16" ht="18">
      <c r="A11738" s="664" t="s">
        <v>28</v>
      </c>
      <c r="B11738" s="1975" t="s">
        <v>187</v>
      </c>
      <c r="C11738" s="1976"/>
      <c r="D11738" s="1977"/>
      <c r="E11738" s="665">
        <f>+L11533-4.864-301.51</f>
        <v>55.410670000000039</v>
      </c>
      <c r="F11738" s="1973">
        <v>16</v>
      </c>
      <c r="G11738" s="1974"/>
      <c r="H11738" s="1975" t="s">
        <v>20</v>
      </c>
      <c r="I11738" s="1976"/>
      <c r="J11738" s="1976"/>
      <c r="K11738" s="1977"/>
      <c r="L11738" s="1976" t="s">
        <v>1315</v>
      </c>
      <c r="M11738" s="1976"/>
      <c r="N11738" s="1976"/>
      <c r="O11738" s="1976"/>
      <c r="P11738" s="1098"/>
    </row>
    <row r="11739" spans="1:16" s="1511" customFormat="1" ht="18">
      <c r="A11739" s="664" t="s">
        <v>29</v>
      </c>
      <c r="B11739" s="1975" t="s">
        <v>556</v>
      </c>
      <c r="C11739" s="1976"/>
      <c r="D11739" s="1977"/>
      <c r="E11739" s="665">
        <f>+L11542</f>
        <v>19.547640000000001</v>
      </c>
      <c r="F11739" s="1973">
        <v>16</v>
      </c>
      <c r="G11739" s="1974"/>
      <c r="H11739" s="1975" t="s">
        <v>20</v>
      </c>
      <c r="I11739" s="1976"/>
      <c r="J11739" s="1976"/>
      <c r="K11739" s="1977"/>
      <c r="L11739" s="1976" t="s">
        <v>1366</v>
      </c>
      <c r="M11739" s="1976"/>
      <c r="N11739" s="1976"/>
      <c r="O11739" s="1976"/>
      <c r="P11739" s="1098"/>
    </row>
    <row r="11740" spans="1:16" s="1511" customFormat="1" ht="18">
      <c r="A11740" s="664" t="s">
        <v>30</v>
      </c>
      <c r="B11740" s="1975" t="s">
        <v>188</v>
      </c>
      <c r="C11740" s="1976"/>
      <c r="D11740" s="1977"/>
      <c r="E11740" s="665">
        <f>+L11549-1.454</f>
        <v>30.129599999999996</v>
      </c>
      <c r="F11740" s="1973">
        <v>16</v>
      </c>
      <c r="G11740" s="1974"/>
      <c r="H11740" s="1975" t="s">
        <v>20</v>
      </c>
      <c r="I11740" s="1976"/>
      <c r="J11740" s="1976"/>
      <c r="K11740" s="1977"/>
      <c r="L11740" s="1976" t="s">
        <v>1316</v>
      </c>
      <c r="M11740" s="1976"/>
      <c r="N11740" s="1976"/>
      <c r="O11740" s="1976"/>
      <c r="P11740" s="1098"/>
    </row>
    <row r="11741" spans="1:16" ht="18">
      <c r="A11741" s="664" t="s">
        <v>46</v>
      </c>
      <c r="B11741" s="1975" t="s">
        <v>185</v>
      </c>
      <c r="C11741" s="1976"/>
      <c r="D11741" s="1977"/>
      <c r="E11741" s="665">
        <f>+L11555-3.816</f>
        <v>10.582799999999999</v>
      </c>
      <c r="F11741" s="1973">
        <v>16</v>
      </c>
      <c r="G11741" s="1974"/>
      <c r="H11741" s="1975" t="s">
        <v>20</v>
      </c>
      <c r="I11741" s="1976"/>
      <c r="J11741" s="1976"/>
      <c r="K11741" s="1977"/>
      <c r="L11741" s="1976" t="s">
        <v>1315</v>
      </c>
      <c r="M11741" s="1976"/>
      <c r="N11741" s="1976"/>
      <c r="O11741" s="1976"/>
      <c r="P11741" s="1098"/>
    </row>
    <row r="11742" spans="1:16" s="1511" customFormat="1" ht="18">
      <c r="A11742" s="664" t="s">
        <v>58</v>
      </c>
      <c r="B11742" s="1975" t="s">
        <v>184</v>
      </c>
      <c r="C11742" s="1976"/>
      <c r="D11742" s="1977"/>
      <c r="E11742" s="665">
        <f>+L11569-0.872</f>
        <v>23.543849999999999</v>
      </c>
      <c r="F11742" s="1973">
        <v>16</v>
      </c>
      <c r="G11742" s="1974"/>
      <c r="H11742" s="1975" t="s">
        <v>20</v>
      </c>
      <c r="I11742" s="1976"/>
      <c r="J11742" s="1976"/>
      <c r="K11742" s="1977"/>
      <c r="L11742" s="1976" t="s">
        <v>1366</v>
      </c>
      <c r="M11742" s="1976"/>
      <c r="N11742" s="1976"/>
      <c r="O11742" s="1976"/>
      <c r="P11742" s="1098"/>
    </row>
    <row r="11743" spans="1:16" s="1511" customFormat="1" ht="18">
      <c r="A11743" s="664"/>
      <c r="B11743" s="1549"/>
      <c r="C11743" s="1550"/>
      <c r="D11743" s="1551"/>
      <c r="E11743" s="665"/>
      <c r="F11743" s="1552"/>
      <c r="G11743" s="1553"/>
      <c r="H11743" s="1549"/>
      <c r="I11743" s="1842"/>
      <c r="J11743" s="1550"/>
      <c r="K11743" s="1551"/>
      <c r="L11743" s="1550"/>
      <c r="M11743" s="1550"/>
      <c r="N11743" s="1550"/>
      <c r="O11743" s="1550"/>
      <c r="P11743" s="1098"/>
    </row>
    <row r="11744" spans="1:16" s="1511" customFormat="1" ht="18">
      <c r="A11744" s="664"/>
      <c r="B11744" s="1549"/>
      <c r="C11744" s="1550"/>
      <c r="D11744" s="1551"/>
      <c r="E11744" s="665"/>
      <c r="F11744" s="1552"/>
      <c r="G11744" s="1553"/>
      <c r="H11744" s="1549"/>
      <c r="I11744" s="1842"/>
      <c r="J11744" s="1550"/>
      <c r="K11744" s="1551"/>
      <c r="L11744" s="1550"/>
      <c r="M11744" s="1550"/>
      <c r="N11744" s="1550"/>
      <c r="O11744" s="1550"/>
      <c r="P11744" s="1098"/>
    </row>
    <row r="11745" spans="1:16" s="1511" customFormat="1" ht="18">
      <c r="A11745" s="664" t="s">
        <v>163</v>
      </c>
      <c r="B11745" s="1975" t="s">
        <v>301</v>
      </c>
      <c r="C11745" s="1976"/>
      <c r="D11745" s="1977"/>
      <c r="E11745" s="665">
        <f>+L11587</f>
        <v>47.04005200000001</v>
      </c>
      <c r="F11745" s="1973">
        <v>16</v>
      </c>
      <c r="G11745" s="1974"/>
      <c r="H11745" s="1975" t="s">
        <v>447</v>
      </c>
      <c r="I11745" s="1976"/>
      <c r="J11745" s="1976"/>
      <c r="K11745" s="1977"/>
      <c r="L11745" s="1976" t="s">
        <v>557</v>
      </c>
      <c r="M11745" s="1976"/>
      <c r="N11745" s="1976"/>
      <c r="O11745" s="1976"/>
      <c r="P11745" s="1098"/>
    </row>
    <row r="11746" spans="1:16" s="1511" customFormat="1" ht="18">
      <c r="A11746" s="664" t="s">
        <v>302</v>
      </c>
      <c r="B11746" s="1975" t="s">
        <v>183</v>
      </c>
      <c r="C11746" s="1976"/>
      <c r="D11746" s="1977"/>
      <c r="E11746" s="665">
        <f>+L11601-0.88</f>
        <v>34.508845000000001</v>
      </c>
      <c r="F11746" s="1973">
        <v>16</v>
      </c>
      <c r="G11746" s="1974"/>
      <c r="H11746" s="1975" t="s">
        <v>447</v>
      </c>
      <c r="I11746" s="1976"/>
      <c r="J11746" s="1976"/>
      <c r="K11746" s="1977"/>
      <c r="L11746" s="1976" t="s">
        <v>557</v>
      </c>
      <c r="M11746" s="1976"/>
      <c r="N11746" s="1976"/>
      <c r="O11746" s="1976"/>
      <c r="P11746" s="1098"/>
    </row>
    <row r="11747" spans="1:16" s="1511" customFormat="1" ht="18">
      <c r="A11747" s="664" t="s">
        <v>380</v>
      </c>
      <c r="B11747" s="1975" t="s">
        <v>835</v>
      </c>
      <c r="C11747" s="1976"/>
      <c r="D11747" s="1977"/>
      <c r="E11747" s="665">
        <f>+L11612-5.426</f>
        <v>3.6180000000000003</v>
      </c>
      <c r="F11747" s="1973">
        <v>16</v>
      </c>
      <c r="G11747" s="1974"/>
      <c r="H11747" s="1975" t="s">
        <v>447</v>
      </c>
      <c r="I11747" s="1976"/>
      <c r="J11747" s="1976"/>
      <c r="K11747" s="1977"/>
      <c r="L11747" s="1976" t="s">
        <v>557</v>
      </c>
      <c r="M11747" s="1976"/>
      <c r="N11747" s="1976"/>
      <c r="O11747" s="1976"/>
      <c r="P11747" s="1098"/>
    </row>
    <row r="11748" spans="1:16" s="1511" customFormat="1" ht="18">
      <c r="A11748" s="664" t="s">
        <v>434</v>
      </c>
      <c r="B11748" s="1975" t="s">
        <v>184</v>
      </c>
      <c r="C11748" s="1976"/>
      <c r="D11748" s="1977"/>
      <c r="E11748" s="665">
        <f>+L11632-1.412+L11720</f>
        <v>24.638352000000001</v>
      </c>
      <c r="F11748" s="1973">
        <v>16</v>
      </c>
      <c r="G11748" s="1974"/>
      <c r="H11748" s="1975" t="s">
        <v>447</v>
      </c>
      <c r="I11748" s="1976"/>
      <c r="J11748" s="1976"/>
      <c r="K11748" s="1977"/>
      <c r="L11748" s="1976" t="s">
        <v>557</v>
      </c>
      <c r="M11748" s="1976"/>
      <c r="N11748" s="1976"/>
      <c r="O11748" s="1976"/>
      <c r="P11748" s="1098"/>
    </row>
    <row r="11749" spans="1:16" s="1511" customFormat="1" ht="18">
      <c r="A11749" s="664" t="s">
        <v>474</v>
      </c>
      <c r="B11749" s="1975" t="s">
        <v>185</v>
      </c>
      <c r="C11749" s="1976"/>
      <c r="D11749" s="1977"/>
      <c r="E11749" s="665">
        <f>+L11648-1.248</f>
        <v>14.947715999999998</v>
      </c>
      <c r="F11749" s="1973">
        <v>16</v>
      </c>
      <c r="G11749" s="1974"/>
      <c r="H11749" s="1975" t="s">
        <v>447</v>
      </c>
      <c r="I11749" s="1976"/>
      <c r="J11749" s="1976"/>
      <c r="K11749" s="1977"/>
      <c r="L11749" s="1976" t="s">
        <v>557</v>
      </c>
      <c r="M11749" s="1976"/>
      <c r="N11749" s="1976"/>
      <c r="O11749" s="1976"/>
      <c r="P11749" s="1098"/>
    </row>
    <row r="11750" spans="1:16" s="1511" customFormat="1" ht="18">
      <c r="A11750" s="664" t="s">
        <v>475</v>
      </c>
      <c r="B11750" s="1975" t="s">
        <v>186</v>
      </c>
      <c r="C11750" s="1976"/>
      <c r="D11750" s="1977"/>
      <c r="E11750" s="665">
        <f>+L11653</f>
        <v>4.5503999999999998</v>
      </c>
      <c r="F11750" s="1973">
        <v>16</v>
      </c>
      <c r="G11750" s="1974"/>
      <c r="H11750" s="1975" t="s">
        <v>447</v>
      </c>
      <c r="I11750" s="1976"/>
      <c r="J11750" s="1976"/>
      <c r="K11750" s="1977"/>
      <c r="L11750" s="1976" t="s">
        <v>557</v>
      </c>
      <c r="M11750" s="1976"/>
      <c r="N11750" s="1976"/>
      <c r="O11750" s="1976"/>
      <c r="P11750" s="1098"/>
    </row>
    <row r="11751" spans="1:16" s="1511" customFormat="1" ht="18">
      <c r="A11751" s="664" t="s">
        <v>476</v>
      </c>
      <c r="B11751" s="1975" t="s">
        <v>555</v>
      </c>
      <c r="C11751" s="1976"/>
      <c r="D11751" s="1977"/>
      <c r="E11751" s="665">
        <f>+L11668-1.263</f>
        <v>25.458100000000002</v>
      </c>
      <c r="F11751" s="1973">
        <v>16</v>
      </c>
      <c r="G11751" s="1974"/>
      <c r="H11751" s="1975" t="s">
        <v>447</v>
      </c>
      <c r="I11751" s="1976"/>
      <c r="J11751" s="1976"/>
      <c r="K11751" s="1977"/>
      <c r="L11751" s="1976" t="s">
        <v>557</v>
      </c>
      <c r="M11751" s="1976"/>
      <c r="N11751" s="1976"/>
      <c r="O11751" s="1976"/>
      <c r="P11751" s="1098"/>
    </row>
    <row r="11752" spans="1:16" s="1511" customFormat="1" ht="18">
      <c r="A11752" s="664" t="s">
        <v>477</v>
      </c>
      <c r="B11752" s="1975" t="s">
        <v>187</v>
      </c>
      <c r="C11752" s="1976"/>
      <c r="D11752" s="1977"/>
      <c r="E11752" s="665">
        <f>+L11683</f>
        <v>12.613438</v>
      </c>
      <c r="F11752" s="1973">
        <v>16</v>
      </c>
      <c r="G11752" s="1974"/>
      <c r="H11752" s="1975" t="s">
        <v>447</v>
      </c>
      <c r="I11752" s="1976"/>
      <c r="J11752" s="1976"/>
      <c r="K11752" s="1977"/>
      <c r="L11752" s="1976" t="s">
        <v>557</v>
      </c>
      <c r="M11752" s="1976"/>
      <c r="N11752" s="1976"/>
      <c r="O11752" s="1976"/>
      <c r="P11752" s="1098"/>
    </row>
    <row r="11753" spans="1:16" s="1511" customFormat="1" ht="18">
      <c r="A11753" s="664" t="s">
        <v>501</v>
      </c>
      <c r="B11753" s="1975" t="s">
        <v>556</v>
      </c>
      <c r="C11753" s="1976"/>
      <c r="D11753" s="1977"/>
      <c r="E11753" s="665">
        <f>+L11696-2.205</f>
        <v>21.412440000000004</v>
      </c>
      <c r="F11753" s="1973">
        <v>16</v>
      </c>
      <c r="G11753" s="1974"/>
      <c r="H11753" s="1975" t="s">
        <v>447</v>
      </c>
      <c r="I11753" s="1976"/>
      <c r="J11753" s="1976"/>
      <c r="K11753" s="1977"/>
      <c r="L11753" s="1976" t="s">
        <v>557</v>
      </c>
      <c r="M11753" s="1976"/>
      <c r="N11753" s="1976"/>
      <c r="O11753" s="1976"/>
      <c r="P11753" s="1098"/>
    </row>
    <row r="11754" spans="1:16" ht="18">
      <c r="A11754" s="664" t="s">
        <v>504</v>
      </c>
      <c r="B11754" s="1975" t="s">
        <v>188</v>
      </c>
      <c r="C11754" s="1976"/>
      <c r="D11754" s="1977"/>
      <c r="E11754" s="665">
        <f>+L11712-2.826</f>
        <v>17.829343999999992</v>
      </c>
      <c r="F11754" s="1973">
        <v>16</v>
      </c>
      <c r="G11754" s="1974"/>
      <c r="H11754" s="1975" t="s">
        <v>447</v>
      </c>
      <c r="I11754" s="1976"/>
      <c r="J11754" s="1976"/>
      <c r="K11754" s="1977"/>
      <c r="L11754" s="1976" t="s">
        <v>557</v>
      </c>
      <c r="M11754" s="1976"/>
      <c r="N11754" s="1976"/>
      <c r="O11754" s="1976"/>
      <c r="P11754" s="1098"/>
    </row>
    <row r="11755" spans="1:16" s="1511" customFormat="1" ht="18">
      <c r="A11755" s="664"/>
      <c r="B11755" s="1580"/>
      <c r="C11755" s="1581"/>
      <c r="D11755" s="1582"/>
      <c r="E11755" s="665"/>
      <c r="F11755" s="1583"/>
      <c r="G11755" s="1584"/>
      <c r="H11755" s="1580"/>
      <c r="I11755" s="1842"/>
      <c r="J11755" s="1581"/>
      <c r="K11755" s="1582"/>
      <c r="L11755" s="1581"/>
      <c r="M11755" s="1581"/>
      <c r="N11755" s="1581"/>
      <c r="O11755" s="1581"/>
      <c r="P11755" s="1098"/>
    </row>
    <row r="11756" spans="1:16" s="1511" customFormat="1" ht="18">
      <c r="A11756" s="664" t="s">
        <v>163</v>
      </c>
      <c r="B11756" s="1975" t="s">
        <v>186</v>
      </c>
      <c r="C11756" s="1976"/>
      <c r="D11756" s="1977"/>
      <c r="E11756" s="665">
        <v>57.082000000000001</v>
      </c>
      <c r="F11756" s="1973">
        <v>16</v>
      </c>
      <c r="G11756" s="1974"/>
      <c r="H11756" s="1975" t="s">
        <v>20</v>
      </c>
      <c r="I11756" s="1976"/>
      <c r="J11756" s="1976"/>
      <c r="K11756" s="1977"/>
      <c r="L11756" s="1976" t="s">
        <v>1315</v>
      </c>
      <c r="M11756" s="1976"/>
      <c r="N11756" s="1976"/>
      <c r="O11756" s="1976"/>
      <c r="P11756" s="1098"/>
    </row>
    <row r="11757" spans="1:16" s="1511" customFormat="1" ht="18">
      <c r="A11757" s="664"/>
      <c r="B11757" s="1580"/>
      <c r="C11757" s="1581"/>
      <c r="D11757" s="1582"/>
      <c r="E11757" s="665"/>
      <c r="F11757" s="1583"/>
      <c r="G11757" s="1584"/>
      <c r="H11757" s="1580"/>
      <c r="I11757" s="1842"/>
      <c r="J11757" s="1581"/>
      <c r="K11757" s="1582"/>
      <c r="L11757" s="1581"/>
      <c r="M11757" s="1581"/>
      <c r="N11757" s="1581"/>
      <c r="O11757" s="1581"/>
      <c r="P11757" s="1098"/>
    </row>
    <row r="11758" spans="1:16" s="1511" customFormat="1" ht="18">
      <c r="A11758" s="664"/>
      <c r="B11758" s="1549"/>
      <c r="C11758" s="1550"/>
      <c r="D11758" s="1551"/>
      <c r="E11758" s="665"/>
      <c r="F11758" s="1552"/>
      <c r="G11758" s="1553"/>
      <c r="H11758" s="1549"/>
      <c r="I11758" s="1842"/>
      <c r="J11758" s="1550"/>
      <c r="K11758" s="1551"/>
      <c r="L11758" s="1550"/>
      <c r="M11758" s="1550"/>
      <c r="N11758" s="1550"/>
      <c r="O11758" s="1550"/>
      <c r="P11758" s="1098"/>
    </row>
    <row r="11759" spans="1:16" ht="18.600000000000001" thickBot="1">
      <c r="A11759" s="664"/>
      <c r="B11759" s="1529"/>
      <c r="C11759" s="1530"/>
      <c r="D11759" s="1530"/>
      <c r="E11759" s="665"/>
      <c r="F11759" s="1530"/>
      <c r="G11759" s="1531"/>
      <c r="H11759" s="1529"/>
      <c r="I11759" s="1842"/>
      <c r="J11759" s="1530"/>
      <c r="K11759" s="669"/>
      <c r="L11759" s="672"/>
      <c r="M11759" s="673"/>
      <c r="N11759" s="673"/>
      <c r="O11759" s="673"/>
      <c r="P11759" s="1098"/>
    </row>
    <row r="11760" spans="1:16" ht="18">
      <c r="A11760" s="674"/>
      <c r="B11760" s="675"/>
      <c r="C11760" s="676"/>
      <c r="D11760" s="676"/>
      <c r="E11760" s="1980">
        <f>SUM(E11736:E11759)</f>
        <v>402.91324700000001</v>
      </c>
      <c r="F11760" s="677"/>
      <c r="G11760" s="678"/>
      <c r="H11760" s="679"/>
      <c r="I11760" s="1848"/>
      <c r="J11760" s="676"/>
      <c r="K11760" s="680"/>
      <c r="L11760" s="679"/>
      <c r="M11760" s="676"/>
      <c r="N11760" s="677"/>
      <c r="O11760" s="676"/>
      <c r="P11760" s="1098"/>
    </row>
    <row r="11761" spans="1:16" ht="18.600000000000001" thickBot="1">
      <c r="A11761" s="681"/>
      <c r="B11761" s="682"/>
      <c r="C11761" s="683"/>
      <c r="D11761" s="683"/>
      <c r="E11761" s="1981"/>
      <c r="F11761" s="684"/>
      <c r="G11761" s="685"/>
      <c r="H11761" s="686"/>
      <c r="I11761" s="1850"/>
      <c r="J11761" s="683"/>
      <c r="K11761" s="687"/>
      <c r="L11761" s="686"/>
      <c r="M11761" s="683"/>
      <c r="N11761" s="684"/>
      <c r="O11761" s="683"/>
      <c r="P11761" s="1098"/>
    </row>
    <row r="11762" spans="1:16" ht="18">
      <c r="A11762" s="688" t="s">
        <v>31</v>
      </c>
      <c r="B11762" s="676"/>
      <c r="C11762" s="676"/>
      <c r="D11762" s="676"/>
      <c r="E11762" s="676"/>
      <c r="F11762" s="677"/>
      <c r="G11762" s="676"/>
      <c r="H11762" s="677"/>
      <c r="I11762" s="1848"/>
      <c r="J11762" s="676"/>
      <c r="K11762" s="689"/>
      <c r="L11762" s="677"/>
      <c r="M11762" s="676"/>
      <c r="N11762" s="677"/>
      <c r="O11762" s="676"/>
      <c r="P11762" s="1098"/>
    </row>
    <row r="11763" spans="1:16" ht="18">
      <c r="A11763" s="690"/>
      <c r="B11763" s="691"/>
      <c r="C11763" s="691"/>
      <c r="D11763" s="691"/>
      <c r="E11763" s="691"/>
      <c r="F11763" s="1532"/>
      <c r="G11763" s="691"/>
      <c r="H11763" s="1532"/>
      <c r="I11763" s="1849"/>
      <c r="J11763" s="691"/>
      <c r="K11763" s="693"/>
      <c r="L11763" s="1532"/>
      <c r="M11763" s="691"/>
      <c r="N11763" s="1532"/>
      <c r="O11763" s="691"/>
      <c r="P11763" s="1098"/>
    </row>
    <row r="11764" spans="1:16" ht="18.600000000000001" thickBot="1">
      <c r="A11764" s="1982" t="s">
        <v>32</v>
      </c>
      <c r="B11764" s="1983"/>
      <c r="C11764" s="1984" t="s">
        <v>33</v>
      </c>
      <c r="D11764" s="1985"/>
      <c r="E11764" s="694" t="s">
        <v>34</v>
      </c>
      <c r="F11764" s="694" t="s">
        <v>35</v>
      </c>
      <c r="G11764" s="1986" t="s">
        <v>36</v>
      </c>
      <c r="H11764" s="1987"/>
      <c r="I11764" s="1987"/>
      <c r="J11764" s="1987"/>
      <c r="K11764" s="1987"/>
      <c r="L11764" s="1987"/>
      <c r="M11764" s="1987"/>
      <c r="N11764" s="1987"/>
      <c r="O11764" s="1987"/>
      <c r="P11764" s="1098"/>
    </row>
    <row r="11765" spans="1:16" ht="18">
      <c r="A11765" s="1988"/>
      <c r="B11765" s="1989"/>
      <c r="C11765" s="1990"/>
      <c r="D11765" s="1989"/>
      <c r="E11765" s="1536"/>
      <c r="F11765" s="1533"/>
      <c r="G11765" s="1991"/>
      <c r="H11765" s="1992"/>
      <c r="I11765" s="1992"/>
      <c r="J11765" s="1992"/>
      <c r="K11765" s="1992"/>
      <c r="L11765" s="1992"/>
      <c r="M11765" s="1992"/>
      <c r="N11765" s="1992"/>
      <c r="O11765" s="1992"/>
      <c r="P11765" s="1098"/>
    </row>
    <row r="11766" spans="1:16" ht="18">
      <c r="A11766" s="1997" t="s">
        <v>37</v>
      </c>
      <c r="B11766" s="1998"/>
      <c r="C11766" s="1990"/>
      <c r="D11766" s="1989"/>
      <c r="E11766" s="1536"/>
      <c r="F11766" s="1533"/>
      <c r="G11766" s="1993"/>
      <c r="H11766" s="1994"/>
      <c r="I11766" s="1994"/>
      <c r="J11766" s="1994"/>
      <c r="K11766" s="1994"/>
      <c r="L11766" s="1994"/>
      <c r="M11766" s="1994"/>
      <c r="N11766" s="1994"/>
      <c r="O11766" s="1994"/>
      <c r="P11766" s="1098"/>
    </row>
    <row r="11767" spans="1:16" ht="18">
      <c r="A11767" s="1997" t="s">
        <v>38</v>
      </c>
      <c r="B11767" s="1998"/>
      <c r="C11767" s="1990"/>
      <c r="D11767" s="1989"/>
      <c r="E11767" s="1536"/>
      <c r="F11767" s="1533"/>
      <c r="G11767" s="1993"/>
      <c r="H11767" s="1994"/>
      <c r="I11767" s="1994"/>
      <c r="J11767" s="1994"/>
      <c r="K11767" s="1994"/>
      <c r="L11767" s="1994"/>
      <c r="M11767" s="1994"/>
      <c r="N11767" s="1994"/>
      <c r="O11767" s="1994"/>
      <c r="P11767" s="1098"/>
    </row>
    <row r="11768" spans="1:16" ht="18">
      <c r="A11768" s="1997" t="s">
        <v>39</v>
      </c>
      <c r="B11768" s="1998"/>
      <c r="C11768" s="1990"/>
      <c r="D11768" s="1989"/>
      <c r="E11768" s="1536"/>
      <c r="F11768" s="1533"/>
      <c r="G11768" s="1993"/>
      <c r="H11768" s="1994"/>
      <c r="I11768" s="1994"/>
      <c r="J11768" s="1994"/>
      <c r="K11768" s="1994"/>
      <c r="L11768" s="1994"/>
      <c r="M11768" s="1994"/>
      <c r="N11768" s="1994"/>
      <c r="O11768" s="1994"/>
      <c r="P11768" s="1098"/>
    </row>
    <row r="11769" spans="1:16" ht="18">
      <c r="A11769" s="1997" t="s">
        <v>40</v>
      </c>
      <c r="B11769" s="1998"/>
      <c r="C11769" s="1990"/>
      <c r="D11769" s="1989"/>
      <c r="E11769" s="1536"/>
      <c r="F11769" s="1533"/>
      <c r="G11769" s="1993"/>
      <c r="H11769" s="1994"/>
      <c r="I11769" s="1994"/>
      <c r="J11769" s="1994"/>
      <c r="K11769" s="1994"/>
      <c r="L11769" s="1994"/>
      <c r="M11769" s="1994"/>
      <c r="N11769" s="1994"/>
      <c r="O11769" s="1994"/>
      <c r="P11769" s="1098"/>
    </row>
    <row r="11770" spans="1:16" ht="18.600000000000001" thickBot="1">
      <c r="A11770" s="1999" t="s">
        <v>41</v>
      </c>
      <c r="B11770" s="2000"/>
      <c r="C11770" s="2001"/>
      <c r="D11770" s="2002"/>
      <c r="E11770" s="696"/>
      <c r="F11770" s="1534"/>
      <c r="G11770" s="1995"/>
      <c r="H11770" s="1996"/>
      <c r="I11770" s="1996"/>
      <c r="J11770" s="1996"/>
      <c r="K11770" s="1996"/>
      <c r="L11770" s="1996"/>
      <c r="M11770" s="1996"/>
      <c r="N11770" s="1996"/>
      <c r="O11770" s="1996"/>
      <c r="P11770" s="1098"/>
    </row>
    <row r="11771" spans="1:16" ht="18">
      <c r="A11771" s="690"/>
      <c r="B11771" s="691"/>
      <c r="C11771" s="691"/>
      <c r="D11771" s="691"/>
      <c r="E11771" s="691"/>
      <c r="F11771" s="1532"/>
      <c r="G11771" s="691"/>
      <c r="H11771" s="698"/>
      <c r="I11771" s="699"/>
      <c r="J11771" s="700"/>
      <c r="K11771" s="701"/>
      <c r="L11771" s="702"/>
      <c r="M11771" s="691"/>
      <c r="N11771" s="1532"/>
      <c r="O11771" s="691"/>
      <c r="P11771" s="1098"/>
    </row>
    <row r="11772" spans="1:16" ht="18">
      <c r="A11772" s="703" t="s">
        <v>42</v>
      </c>
      <c r="B11772" s="704"/>
      <c r="C11772" s="691"/>
      <c r="D11772" s="691"/>
      <c r="E11772" s="691"/>
      <c r="F11772" s="1532"/>
      <c r="G11772" s="704"/>
      <c r="H11772" s="698"/>
      <c r="I11772" s="699"/>
      <c r="J11772" s="700"/>
      <c r="K11772" s="693"/>
      <c r="L11772" s="705"/>
      <c r="M11772" s="691"/>
      <c r="N11772" s="1979" t="s">
        <v>43</v>
      </c>
      <c r="O11772" s="1979"/>
      <c r="P11772" s="1098"/>
    </row>
    <row r="11773" spans="1:16" ht="18">
      <c r="A11773" s="703"/>
      <c r="B11773" s="704"/>
      <c r="C11773" s="691"/>
      <c r="D11773" s="691"/>
      <c r="E11773" s="691"/>
      <c r="F11773" s="1532"/>
      <c r="G11773" s="691"/>
      <c r="H11773" s="1532"/>
      <c r="I11773" s="1849"/>
      <c r="J11773" s="691"/>
      <c r="K11773" s="693"/>
      <c r="L11773" s="1532"/>
      <c r="M11773" s="691"/>
      <c r="N11773" s="1532"/>
      <c r="O11773" s="704"/>
      <c r="P11773" s="1098"/>
    </row>
    <row r="11774" spans="1:16" ht="18">
      <c r="A11774" s="703" t="s">
        <v>44</v>
      </c>
      <c r="B11774" s="704"/>
      <c r="C11774" s="691"/>
      <c r="D11774" s="691"/>
      <c r="E11774" s="691"/>
      <c r="F11774" s="1532"/>
      <c r="G11774" s="691"/>
      <c r="H11774" s="1532"/>
      <c r="I11774" s="1849"/>
      <c r="J11774" s="691"/>
      <c r="K11774" s="693"/>
      <c r="L11774" s="1532"/>
      <c r="M11774" s="691"/>
      <c r="N11774" s="1979" t="s">
        <v>45</v>
      </c>
      <c r="O11774" s="1979"/>
      <c r="P11774" s="1098"/>
    </row>
    <row r="11775" spans="1:16" ht="18.600000000000001" thickBot="1">
      <c r="A11775" s="682"/>
      <c r="B11775" s="683"/>
      <c r="C11775" s="683"/>
      <c r="D11775" s="683"/>
      <c r="E11775" s="683"/>
      <c r="F11775" s="684"/>
      <c r="G11775" s="683"/>
      <c r="H11775" s="684"/>
      <c r="I11775" s="1850"/>
      <c r="J11775" s="683"/>
      <c r="K11775" s="706"/>
      <c r="L11775" s="684"/>
      <c r="M11775" s="683"/>
      <c r="N11775" s="684"/>
      <c r="O11775" s="683"/>
      <c r="P11775" s="1099"/>
    </row>
    <row r="11779" spans="1:17" ht="17.399999999999999">
      <c r="A11779" s="711" t="s">
        <v>48</v>
      </c>
      <c r="B11779" s="711"/>
      <c r="C11779" s="712"/>
      <c r="D11779" s="712"/>
      <c r="E11779" s="712"/>
      <c r="F11779" s="713"/>
      <c r="G11779" s="712"/>
      <c r="H11779" s="712"/>
      <c r="I11779" s="714"/>
      <c r="J11779" s="715"/>
      <c r="K11779" s="716"/>
      <c r="L11779" s="1978" t="s">
        <v>0</v>
      </c>
      <c r="M11779" s="1978"/>
      <c r="N11779" s="1978"/>
      <c r="O11779" s="1978"/>
      <c r="P11779" s="717"/>
    </row>
    <row r="11780" spans="1:17" ht="17.399999999999999">
      <c r="A11780" s="718" t="s">
        <v>1</v>
      </c>
      <c r="B11780" s="718"/>
      <c r="C11780" s="718"/>
      <c r="D11780" s="719" t="s">
        <v>2</v>
      </c>
      <c r="E11780" s="719"/>
      <c r="F11780" s="720"/>
      <c r="G11780" s="720"/>
      <c r="H11780" s="720"/>
      <c r="I11780" s="721"/>
      <c r="J11780" s="1568"/>
      <c r="K11780" s="723" t="s">
        <v>3</v>
      </c>
      <c r="L11780" s="1568"/>
      <c r="M11780" s="718"/>
      <c r="N11780" s="720"/>
      <c r="O11780" s="718"/>
      <c r="P11780" s="724"/>
    </row>
    <row r="11781" spans="1:17" ht="52.2">
      <c r="A11781" s="640" t="s">
        <v>4</v>
      </c>
      <c r="B11781" s="640" t="s">
        <v>5</v>
      </c>
      <c r="C11781" s="640" t="s">
        <v>6</v>
      </c>
      <c r="D11781" s="640" t="s">
        <v>7</v>
      </c>
      <c r="E11781" s="640" t="s">
        <v>8</v>
      </c>
      <c r="F11781" s="641" t="s">
        <v>9</v>
      </c>
      <c r="G11781" s="642" t="s">
        <v>10</v>
      </c>
      <c r="H11781" s="642" t="s">
        <v>11</v>
      </c>
      <c r="I11781" s="643" t="s">
        <v>12</v>
      </c>
      <c r="J11781" s="644" t="s">
        <v>13</v>
      </c>
      <c r="K11781" s="645" t="s">
        <v>14</v>
      </c>
      <c r="L11781" s="646" t="s">
        <v>15</v>
      </c>
      <c r="M11781" s="641" t="s">
        <v>16</v>
      </c>
      <c r="N11781" s="641" t="s">
        <v>17</v>
      </c>
      <c r="O11781" s="642" t="s">
        <v>18</v>
      </c>
      <c r="P11781" s="641" t="s">
        <v>192</v>
      </c>
    </row>
    <row r="11782" spans="1:17" ht="17.399999999999999">
      <c r="A11782" s="547" t="s">
        <v>272</v>
      </c>
      <c r="B11782" s="852" t="s">
        <v>1361</v>
      </c>
      <c r="C11782" s="547" t="s">
        <v>446</v>
      </c>
      <c r="D11782" s="813" t="s">
        <v>447</v>
      </c>
      <c r="E11782" s="547" t="s">
        <v>359</v>
      </c>
      <c r="F11782" s="550">
        <v>12</v>
      </c>
      <c r="G11782" s="549" t="s">
        <v>21</v>
      </c>
      <c r="H11782" s="599" t="s">
        <v>133</v>
      </c>
      <c r="I11782" s="558">
        <v>15.04</v>
      </c>
      <c r="J11782" s="567">
        <v>6</v>
      </c>
      <c r="K11782" s="648">
        <v>1</v>
      </c>
      <c r="L11782" s="552">
        <f>(I11782*J11782*K11782/1000)</f>
        <v>9.0240000000000001E-2</v>
      </c>
      <c r="M11782" s="549">
        <v>1</v>
      </c>
      <c r="N11782" s="567">
        <f>J11782*M11782*I11782/1000</f>
        <v>9.0240000000000001E-2</v>
      </c>
      <c r="O11782" s="549"/>
      <c r="P11782" s="549"/>
      <c r="Q11782" s="1511" t="s">
        <v>1477</v>
      </c>
    </row>
    <row r="11783" spans="1:17" ht="17.399999999999999">
      <c r="A11783" s="549"/>
      <c r="B11783" s="549"/>
      <c r="C11783" s="549"/>
      <c r="D11783" s="549"/>
      <c r="E11783" s="549"/>
      <c r="F11783" s="549"/>
      <c r="G11783" s="549"/>
      <c r="H11783" s="549"/>
      <c r="I11783" s="558"/>
      <c r="J11783" s="567"/>
      <c r="K11783" s="648">
        <f t="shared" ref="K11783:N11783" si="2407">SUM(K11782)</f>
        <v>1</v>
      </c>
      <c r="L11783" s="567">
        <f t="shared" si="2407"/>
        <v>9.0240000000000001E-2</v>
      </c>
      <c r="M11783" s="648">
        <f t="shared" si="2407"/>
        <v>1</v>
      </c>
      <c r="N11783" s="567">
        <f t="shared" si="2407"/>
        <v>9.0240000000000001E-2</v>
      </c>
      <c r="O11783" s="549"/>
      <c r="P11783" s="549"/>
    </row>
    <row r="11784" spans="1:17" s="1511" customFormat="1" ht="17.399999999999999">
      <c r="A11784" s="549"/>
      <c r="B11784" s="549"/>
      <c r="C11784" s="549"/>
      <c r="D11784" s="549"/>
      <c r="E11784" s="549"/>
      <c r="F11784" s="549"/>
      <c r="G11784" s="549"/>
      <c r="H11784" s="549"/>
      <c r="I11784" s="558"/>
      <c r="J11784" s="567"/>
      <c r="K11784" s="648"/>
      <c r="L11784" s="567"/>
      <c r="M11784" s="549"/>
      <c r="N11784" s="549"/>
      <c r="O11784" s="549"/>
      <c r="P11784" s="549"/>
    </row>
    <row r="11785" spans="1:17" ht="17.399999999999999">
      <c r="A11785" s="549"/>
      <c r="B11785" s="549"/>
      <c r="C11785" s="549"/>
      <c r="D11785" s="549"/>
      <c r="E11785" s="549"/>
      <c r="F11785" s="549"/>
      <c r="G11785" s="549"/>
      <c r="H11785" s="549"/>
      <c r="I11785" s="558"/>
      <c r="J11785" s="549"/>
      <c r="K11785" s="561"/>
      <c r="L11785" s="560"/>
      <c r="M11785" s="549"/>
      <c r="N11785" s="549"/>
      <c r="O11785" s="549"/>
      <c r="P11785" s="549"/>
    </row>
    <row r="11786" spans="1:17" ht="17.399999999999999">
      <c r="A11786" s="547" t="s">
        <v>83</v>
      </c>
      <c r="B11786" s="547" t="s">
        <v>1360</v>
      </c>
      <c r="C11786" s="547" t="s">
        <v>446</v>
      </c>
      <c r="D11786" s="813" t="s">
        <v>447</v>
      </c>
      <c r="E11786" s="547" t="s">
        <v>359</v>
      </c>
      <c r="F11786" s="550">
        <v>12</v>
      </c>
      <c r="G11786" s="549" t="s">
        <v>21</v>
      </c>
      <c r="H11786" s="599" t="s">
        <v>134</v>
      </c>
      <c r="I11786" s="558">
        <v>12.18</v>
      </c>
      <c r="J11786" s="567">
        <v>6.7</v>
      </c>
      <c r="K11786" s="648">
        <v>29</v>
      </c>
      <c r="L11786" s="552">
        <f t="shared" ref="L11786:L11789" si="2408">(I11786*J11786*K11786/1000)</f>
        <v>2.3665739999999995</v>
      </c>
      <c r="M11786" s="549"/>
      <c r="N11786" s="549"/>
      <c r="O11786" s="549"/>
      <c r="P11786" s="549"/>
      <c r="Q11786" s="1511" t="s">
        <v>1477</v>
      </c>
    </row>
    <row r="11787" spans="1:17" ht="17.399999999999999">
      <c r="A11787" s="549"/>
      <c r="B11787" s="549"/>
      <c r="C11787" s="549"/>
      <c r="D11787" s="549"/>
      <c r="E11787" s="549"/>
      <c r="F11787" s="549"/>
      <c r="G11787" s="549" t="s">
        <v>21</v>
      </c>
      <c r="H11787" s="549" t="s">
        <v>134</v>
      </c>
      <c r="I11787" s="558">
        <v>12.18</v>
      </c>
      <c r="J11787" s="567">
        <v>7</v>
      </c>
      <c r="K11787" s="648">
        <v>16</v>
      </c>
      <c r="L11787" s="552">
        <f t="shared" si="2408"/>
        <v>1.3641599999999998</v>
      </c>
      <c r="M11787" s="549"/>
      <c r="N11787" s="549"/>
      <c r="O11787" s="549"/>
      <c r="P11787" s="549"/>
    </row>
    <row r="11788" spans="1:17" ht="17.399999999999999">
      <c r="A11788" s="549"/>
      <c r="B11788" s="549"/>
      <c r="C11788" s="549"/>
      <c r="D11788" s="549"/>
      <c r="E11788" s="549"/>
      <c r="F11788" s="549"/>
      <c r="G11788" s="549" t="s">
        <v>21</v>
      </c>
      <c r="H11788" s="549" t="s">
        <v>134</v>
      </c>
      <c r="I11788" s="558">
        <v>12.18</v>
      </c>
      <c r="J11788" s="567">
        <v>8.6999999999999993</v>
      </c>
      <c r="K11788" s="648">
        <v>52</v>
      </c>
      <c r="L11788" s="552">
        <f t="shared" si="2408"/>
        <v>5.5102320000000002</v>
      </c>
      <c r="M11788" s="549"/>
      <c r="N11788" s="549"/>
      <c r="O11788" s="549"/>
      <c r="P11788" s="549"/>
    </row>
    <row r="11789" spans="1:17" ht="17.399999999999999">
      <c r="A11789" s="549"/>
      <c r="B11789" s="549"/>
      <c r="C11789" s="549"/>
      <c r="D11789" s="549"/>
      <c r="E11789" s="549"/>
      <c r="F11789" s="549"/>
      <c r="G11789" s="549" t="s">
        <v>21</v>
      </c>
      <c r="H11789" s="549" t="s">
        <v>134</v>
      </c>
      <c r="I11789" s="558">
        <v>12.18</v>
      </c>
      <c r="J11789" s="567">
        <v>11.3</v>
      </c>
      <c r="K11789" s="648">
        <v>1</v>
      </c>
      <c r="L11789" s="552">
        <f t="shared" si="2408"/>
        <v>0.13763400000000001</v>
      </c>
      <c r="M11789" s="549"/>
      <c r="N11789" s="549"/>
      <c r="O11789" s="549"/>
      <c r="P11789" s="549"/>
    </row>
    <row r="11790" spans="1:17" ht="17.399999999999999">
      <c r="A11790" s="549"/>
      <c r="B11790" s="549"/>
      <c r="C11790" s="549"/>
      <c r="D11790" s="549"/>
      <c r="E11790" s="549"/>
      <c r="F11790" s="549"/>
      <c r="G11790" s="549"/>
      <c r="H11790" s="549"/>
      <c r="I11790" s="558"/>
      <c r="J11790" s="567"/>
      <c r="K11790" s="648">
        <f t="shared" ref="K11790" si="2409">SUM(K11786:K11789)</f>
        <v>98</v>
      </c>
      <c r="L11790" s="567">
        <f t="shared" ref="L11790" si="2410">SUM(L11786:L11789)</f>
        <v>9.3786000000000005</v>
      </c>
      <c r="M11790" s="549"/>
      <c r="N11790" s="549"/>
      <c r="O11790" s="549"/>
      <c r="P11790" s="549" t="s">
        <v>1413</v>
      </c>
    </row>
    <row r="11791" spans="1:17" ht="17.399999999999999">
      <c r="A11791" s="549"/>
      <c r="B11791" s="549"/>
      <c r="C11791" s="549"/>
      <c r="D11791" s="549"/>
      <c r="E11791" s="549"/>
      <c r="F11791" s="549"/>
      <c r="G11791" s="549"/>
      <c r="H11791" s="549"/>
      <c r="I11791" s="558"/>
      <c r="J11791" s="549"/>
      <c r="K11791" s="561"/>
      <c r="L11791" s="560"/>
      <c r="M11791" s="549"/>
      <c r="N11791" s="549"/>
      <c r="O11791" s="549"/>
      <c r="P11791" s="549"/>
    </row>
    <row r="11792" spans="1:17" ht="17.399999999999999">
      <c r="A11792" s="547" t="s">
        <v>272</v>
      </c>
      <c r="B11792" s="852" t="s">
        <v>1363</v>
      </c>
      <c r="C11792" s="547" t="s">
        <v>446</v>
      </c>
      <c r="D11792" s="813" t="s">
        <v>447</v>
      </c>
      <c r="E11792" s="547" t="s">
        <v>359</v>
      </c>
      <c r="F11792" s="550">
        <v>12</v>
      </c>
      <c r="G11792" s="549" t="s">
        <v>21</v>
      </c>
      <c r="H11792" s="599" t="s">
        <v>134</v>
      </c>
      <c r="I11792" s="558">
        <v>12.18</v>
      </c>
      <c r="J11792" s="567">
        <v>7</v>
      </c>
      <c r="K11792" s="648">
        <v>12</v>
      </c>
      <c r="L11792" s="552">
        <f t="shared" ref="L11792:L11793" si="2411">(I11792*J11792*K11792/1000)</f>
        <v>1.0231199999999998</v>
      </c>
      <c r="M11792" s="549"/>
      <c r="N11792" s="549"/>
      <c r="O11792" s="549"/>
      <c r="P11792" s="549"/>
      <c r="Q11792" s="1511" t="s">
        <v>1477</v>
      </c>
    </row>
    <row r="11793" spans="1:17" ht="17.399999999999999">
      <c r="A11793" s="549"/>
      <c r="B11793" s="549"/>
      <c r="C11793" s="549"/>
      <c r="D11793" s="549"/>
      <c r="E11793" s="549"/>
      <c r="F11793" s="549"/>
      <c r="G11793" s="549" t="s">
        <v>21</v>
      </c>
      <c r="H11793" s="549" t="s">
        <v>134</v>
      </c>
      <c r="I11793" s="558">
        <v>12.18</v>
      </c>
      <c r="J11793" s="567">
        <v>10</v>
      </c>
      <c r="K11793" s="648">
        <v>2</v>
      </c>
      <c r="L11793" s="552">
        <f t="shared" si="2411"/>
        <v>0.24359999999999998</v>
      </c>
      <c r="M11793" s="549"/>
      <c r="N11793" s="549"/>
      <c r="O11793" s="549"/>
      <c r="P11793" s="549"/>
    </row>
    <row r="11794" spans="1:17" ht="17.399999999999999">
      <c r="A11794" s="549"/>
      <c r="B11794" s="549"/>
      <c r="C11794" s="549"/>
      <c r="D11794" s="549"/>
      <c r="E11794" s="549"/>
      <c r="F11794" s="549"/>
      <c r="G11794" s="549"/>
      <c r="H11794" s="549"/>
      <c r="I11794" s="558"/>
      <c r="J11794" s="567"/>
      <c r="K11794" s="648">
        <f t="shared" ref="K11794" si="2412">SUM(K11792:K11793)</f>
        <v>14</v>
      </c>
      <c r="L11794" s="567">
        <f t="shared" ref="L11794" si="2413">SUM(L11792:L11793)</f>
        <v>1.2667199999999998</v>
      </c>
      <c r="M11794" s="549"/>
      <c r="N11794" s="549"/>
      <c r="O11794" s="549"/>
      <c r="P11794" s="549" t="s">
        <v>1413</v>
      </c>
    </row>
    <row r="11795" spans="1:17" ht="17.399999999999999">
      <c r="A11795" s="549"/>
      <c r="B11795" s="549"/>
      <c r="C11795" s="549"/>
      <c r="D11795" s="549"/>
      <c r="E11795" s="549"/>
      <c r="F11795" s="549"/>
      <c r="G11795" s="549"/>
      <c r="H11795" s="549"/>
      <c r="I11795" s="558"/>
      <c r="J11795" s="549"/>
      <c r="K11795" s="561"/>
      <c r="L11795" s="560"/>
      <c r="M11795" s="549"/>
      <c r="N11795" s="549"/>
      <c r="O11795" s="549"/>
      <c r="P11795" s="549"/>
    </row>
    <row r="11796" spans="1:17" ht="17.399999999999999">
      <c r="A11796" s="547" t="s">
        <v>272</v>
      </c>
      <c r="B11796" s="852" t="s">
        <v>1361</v>
      </c>
      <c r="C11796" s="547" t="s">
        <v>446</v>
      </c>
      <c r="D11796" s="813" t="s">
        <v>447</v>
      </c>
      <c r="E11796" s="547" t="s">
        <v>359</v>
      </c>
      <c r="F11796" s="550">
        <v>12</v>
      </c>
      <c r="G11796" s="549" t="s">
        <v>21</v>
      </c>
      <c r="H11796" s="599" t="s">
        <v>134</v>
      </c>
      <c r="I11796" s="558">
        <v>12.18</v>
      </c>
      <c r="J11796" s="567">
        <v>7</v>
      </c>
      <c r="K11796" s="648">
        <v>13</v>
      </c>
      <c r="L11796" s="552">
        <f>(I11796*J11796*K11796/1000)</f>
        <v>1.1083799999999999</v>
      </c>
      <c r="M11796" s="549"/>
      <c r="N11796" s="549"/>
      <c r="O11796" s="549"/>
      <c r="P11796" s="549"/>
      <c r="Q11796" s="1511" t="s">
        <v>1477</v>
      </c>
    </row>
    <row r="11797" spans="1:17" ht="17.399999999999999">
      <c r="A11797" s="549"/>
      <c r="B11797" s="549"/>
      <c r="C11797" s="549"/>
      <c r="D11797" s="549"/>
      <c r="E11797" s="549"/>
      <c r="F11797" s="549"/>
      <c r="G11797" s="549" t="s">
        <v>21</v>
      </c>
      <c r="H11797" s="549" t="s">
        <v>134</v>
      </c>
      <c r="I11797" s="558">
        <v>12.18</v>
      </c>
      <c r="J11797" s="567">
        <v>10</v>
      </c>
      <c r="K11797" s="648">
        <v>6</v>
      </c>
      <c r="L11797" s="552">
        <f>(I11797*J11797*K11797/1000)</f>
        <v>0.73080000000000001</v>
      </c>
      <c r="M11797" s="549"/>
      <c r="N11797" s="549"/>
      <c r="O11797" s="549"/>
      <c r="P11797" s="549"/>
    </row>
    <row r="11798" spans="1:17" ht="17.399999999999999">
      <c r="A11798" s="549"/>
      <c r="B11798" s="549"/>
      <c r="C11798" s="549"/>
      <c r="D11798" s="549"/>
      <c r="E11798" s="549"/>
      <c r="F11798" s="549"/>
      <c r="G11798" s="549"/>
      <c r="H11798" s="549"/>
      <c r="I11798" s="558"/>
      <c r="J11798" s="567"/>
      <c r="K11798" s="648">
        <f>SUM(K11796:K11797)</f>
        <v>19</v>
      </c>
      <c r="L11798" s="567">
        <f>SUM(L11796:L11797)</f>
        <v>1.8391799999999998</v>
      </c>
      <c r="M11798" s="549"/>
      <c r="N11798" s="549"/>
      <c r="O11798" s="549"/>
      <c r="P11798" s="549" t="s">
        <v>1413</v>
      </c>
    </row>
    <row r="11799" spans="1:17" s="1511" customFormat="1" ht="17.399999999999999">
      <c r="A11799" s="549"/>
      <c r="B11799" s="549"/>
      <c r="C11799" s="549"/>
      <c r="D11799" s="549"/>
      <c r="E11799" s="549"/>
      <c r="F11799" s="549"/>
      <c r="G11799" s="549"/>
      <c r="H11799" s="549"/>
      <c r="I11799" s="558"/>
      <c r="J11799" s="567"/>
      <c r="K11799" s="648"/>
      <c r="L11799" s="567"/>
      <c r="M11799" s="549"/>
      <c r="N11799" s="549"/>
      <c r="O11799" s="549"/>
      <c r="P11799" s="549"/>
    </row>
    <row r="11800" spans="1:17" s="1511" customFormat="1" ht="17.399999999999999">
      <c r="A11800" s="547" t="s">
        <v>272</v>
      </c>
      <c r="B11800" s="1169" t="s">
        <v>1398</v>
      </c>
      <c r="C11800" s="547" t="s">
        <v>446</v>
      </c>
      <c r="D11800" s="813" t="s">
        <v>447</v>
      </c>
      <c r="E11800" s="547" t="s">
        <v>359</v>
      </c>
      <c r="F11800" s="550">
        <v>12</v>
      </c>
      <c r="G11800" s="549" t="s">
        <v>21</v>
      </c>
      <c r="H11800" s="828" t="s">
        <v>134</v>
      </c>
      <c r="I11800" s="558">
        <v>12.18</v>
      </c>
      <c r="J11800" s="567">
        <v>9</v>
      </c>
      <c r="K11800" s="648">
        <v>1</v>
      </c>
      <c r="L11800" s="552">
        <f>(I11800*J11800*K11800/1000)</f>
        <v>0.10962000000000001</v>
      </c>
      <c r="M11800" s="549"/>
      <c r="N11800" s="549"/>
      <c r="O11800" s="549"/>
      <c r="P11800" s="549"/>
    </row>
    <row r="11801" spans="1:17" s="1511" customFormat="1" ht="17.399999999999999">
      <c r="A11801" s="549"/>
      <c r="B11801" s="781" t="s">
        <v>1399</v>
      </c>
      <c r="C11801" s="549"/>
      <c r="D11801" s="549"/>
      <c r="E11801" s="549"/>
      <c r="F11801" s="549"/>
      <c r="G11801" s="549"/>
      <c r="H11801" s="549"/>
      <c r="I11801" s="558"/>
      <c r="J11801" s="567"/>
      <c r="K11801" s="648">
        <f t="shared" ref="K11801:N11801" si="2414">SUM(K11800)</f>
        <v>1</v>
      </c>
      <c r="L11801" s="567">
        <f>SUM(L11800)</f>
        <v>0.10962000000000001</v>
      </c>
      <c r="M11801" s="648">
        <f t="shared" si="2414"/>
        <v>0</v>
      </c>
      <c r="N11801" s="567">
        <f t="shared" si="2414"/>
        <v>0</v>
      </c>
      <c r="O11801" s="549"/>
      <c r="P11801" s="549"/>
    </row>
    <row r="11802" spans="1:17" s="1511" customFormat="1" ht="17.399999999999999">
      <c r="A11802" s="549"/>
      <c r="B11802" s="1585"/>
      <c r="C11802" s="549"/>
      <c r="D11802" s="549"/>
      <c r="E11802" s="549"/>
      <c r="F11802" s="549"/>
      <c r="G11802" s="549"/>
      <c r="H11802" s="549"/>
      <c r="I11802" s="558"/>
      <c r="J11802" s="567"/>
      <c r="K11802" s="648"/>
      <c r="L11802" s="567"/>
      <c r="M11802" s="648"/>
      <c r="N11802" s="567"/>
      <c r="O11802" s="549"/>
      <c r="P11802" s="549"/>
    </row>
    <row r="11803" spans="1:17" s="1511" customFormat="1" ht="17.399999999999999">
      <c r="A11803" s="549"/>
      <c r="B11803" s="1585"/>
      <c r="C11803" s="549"/>
      <c r="D11803" s="549"/>
      <c r="E11803" s="549"/>
      <c r="F11803" s="549"/>
      <c r="G11803" s="549"/>
      <c r="H11803" s="549"/>
      <c r="I11803" s="558"/>
      <c r="J11803" s="567"/>
      <c r="K11803" s="648"/>
      <c r="L11803" s="567"/>
      <c r="M11803" s="648"/>
      <c r="N11803" s="567"/>
      <c r="O11803" s="549"/>
      <c r="P11803" s="549"/>
    </row>
    <row r="11804" spans="1:17" s="1511" customFormat="1" ht="17.399999999999999">
      <c r="A11804" s="547" t="s">
        <v>83</v>
      </c>
      <c r="B11804" s="547" t="s">
        <v>1406</v>
      </c>
      <c r="C11804" s="547" t="s">
        <v>19</v>
      </c>
      <c r="D11804" s="547" t="s">
        <v>20</v>
      </c>
      <c r="E11804" s="549" t="s">
        <v>367</v>
      </c>
      <c r="F11804" s="550">
        <v>12</v>
      </c>
      <c r="G11804" s="549" t="s">
        <v>21</v>
      </c>
      <c r="H11804" s="599" t="s">
        <v>134</v>
      </c>
      <c r="I11804" s="558">
        <v>12.2</v>
      </c>
      <c r="J11804" s="567">
        <v>12</v>
      </c>
      <c r="K11804" s="648">
        <v>2</v>
      </c>
      <c r="L11804" s="552">
        <f>(I11804*J11804*K11804/1000)</f>
        <v>0.29279999999999995</v>
      </c>
      <c r="M11804" s="648"/>
      <c r="N11804" s="567"/>
      <c r="O11804" s="549"/>
      <c r="P11804" s="549"/>
      <c r="Q11804" s="1511" t="s">
        <v>1477</v>
      </c>
    </row>
    <row r="11805" spans="1:17" s="1511" customFormat="1" ht="17.399999999999999">
      <c r="A11805" s="549"/>
      <c r="B11805" s="549" t="s">
        <v>52</v>
      </c>
      <c r="C11805" s="549"/>
      <c r="D11805" s="549"/>
      <c r="E11805" s="549"/>
      <c r="F11805" s="549"/>
      <c r="G11805" s="549" t="s">
        <v>21</v>
      </c>
      <c r="H11805" s="549" t="s">
        <v>134</v>
      </c>
      <c r="I11805" s="558">
        <v>12.2</v>
      </c>
      <c r="J11805" s="567">
        <v>10.5</v>
      </c>
      <c r="K11805" s="648">
        <v>13</v>
      </c>
      <c r="L11805" s="552">
        <f>(I11805*J11805*K11805/1000)</f>
        <v>1.6653</v>
      </c>
      <c r="M11805" s="648"/>
      <c r="N11805" s="567"/>
      <c r="O11805" s="549"/>
      <c r="P11805" s="549"/>
    </row>
    <row r="11806" spans="1:17" s="1511" customFormat="1" ht="17.399999999999999">
      <c r="A11806" s="549"/>
      <c r="B11806" s="832"/>
      <c r="C11806" s="549"/>
      <c r="D11806" s="549"/>
      <c r="E11806" s="549"/>
      <c r="F11806" s="549"/>
      <c r="G11806" s="549" t="s">
        <v>21</v>
      </c>
      <c r="H11806" s="549" t="s">
        <v>134</v>
      </c>
      <c r="I11806" s="558">
        <v>12.2</v>
      </c>
      <c r="J11806" s="567">
        <v>11.5</v>
      </c>
      <c r="K11806" s="648">
        <v>8</v>
      </c>
      <c r="L11806" s="552">
        <f>(I11806*J11806*K11806/1000)</f>
        <v>1.1223999999999998</v>
      </c>
      <c r="M11806" s="648"/>
      <c r="N11806" s="567"/>
      <c r="O11806" s="549"/>
      <c r="P11806" s="549"/>
    </row>
    <row r="11807" spans="1:17" s="1511" customFormat="1" ht="17.399999999999999">
      <c r="A11807" s="549"/>
      <c r="B11807" s="1585"/>
      <c r="C11807" s="549"/>
      <c r="D11807" s="549"/>
      <c r="E11807" s="549"/>
      <c r="F11807" s="549"/>
      <c r="G11807" s="549"/>
      <c r="H11807" s="549"/>
      <c r="I11807" s="558"/>
      <c r="J11807" s="567"/>
      <c r="K11807" s="648">
        <f>SUM(K11804:K11806)</f>
        <v>23</v>
      </c>
      <c r="L11807" s="567">
        <f>SUM(L11804:L11806)</f>
        <v>3.0804999999999998</v>
      </c>
      <c r="M11807" s="648"/>
      <c r="N11807" s="567"/>
      <c r="O11807" s="549"/>
      <c r="P11807" s="549" t="s">
        <v>1414</v>
      </c>
    </row>
    <row r="11808" spans="1:17" s="1511" customFormat="1" ht="17.399999999999999">
      <c r="A11808" s="549"/>
      <c r="B11808" s="1585"/>
      <c r="C11808" s="549"/>
      <c r="D11808" s="549"/>
      <c r="E11808" s="549"/>
      <c r="F11808" s="549"/>
      <c r="G11808" s="549"/>
      <c r="H11808" s="549"/>
      <c r="I11808" s="558"/>
      <c r="J11808" s="567"/>
      <c r="K11808" s="648"/>
      <c r="L11808" s="567"/>
      <c r="M11808" s="648"/>
      <c r="N11808" s="567"/>
      <c r="O11808" s="549"/>
      <c r="P11808" s="549"/>
    </row>
    <row r="11809" spans="1:17" s="1511" customFormat="1" ht="17.399999999999999">
      <c r="A11809" s="547" t="s">
        <v>83</v>
      </c>
      <c r="B11809" s="547" t="s">
        <v>1408</v>
      </c>
      <c r="C11809" s="547" t="s">
        <v>19</v>
      </c>
      <c r="D11809" s="547" t="s">
        <v>20</v>
      </c>
      <c r="E11809" s="549" t="s">
        <v>464</v>
      </c>
      <c r="F11809" s="550">
        <v>12</v>
      </c>
      <c r="G11809" s="549" t="s">
        <v>21</v>
      </c>
      <c r="H11809" s="599" t="s">
        <v>134</v>
      </c>
      <c r="I11809" s="558">
        <v>12.2</v>
      </c>
      <c r="J11809" s="567">
        <v>12</v>
      </c>
      <c r="K11809" s="648">
        <v>12</v>
      </c>
      <c r="L11809" s="552">
        <f>(I11809*J11809*K11809/1000)</f>
        <v>1.7567999999999997</v>
      </c>
      <c r="M11809" s="648"/>
      <c r="N11809" s="567"/>
      <c r="O11809" s="549"/>
      <c r="P11809" s="549"/>
      <c r="Q11809" s="1511" t="s">
        <v>1477</v>
      </c>
    </row>
    <row r="11810" spans="1:17" s="1511" customFormat="1" ht="17.399999999999999">
      <c r="A11810" s="549"/>
      <c r="B11810" s="549" t="s">
        <v>1407</v>
      </c>
      <c r="C11810" s="549"/>
      <c r="D11810" s="549"/>
      <c r="E11810" s="549"/>
      <c r="F11810" s="549"/>
      <c r="G11810" s="549"/>
      <c r="H11810" s="549"/>
      <c r="I11810" s="558"/>
      <c r="J11810" s="567"/>
      <c r="K11810" s="648">
        <f>SUM(K11809)</f>
        <v>12</v>
      </c>
      <c r="L11810" s="567">
        <f>SUM(L11809)</f>
        <v>1.7567999999999997</v>
      </c>
      <c r="M11810" s="648"/>
      <c r="N11810" s="567"/>
      <c r="O11810" s="549"/>
      <c r="P11810" s="549" t="s">
        <v>1415</v>
      </c>
    </row>
    <row r="11811" spans="1:17" s="1511" customFormat="1" ht="17.399999999999999">
      <c r="A11811" s="549"/>
      <c r="B11811" s="549"/>
      <c r="C11811" s="549"/>
      <c r="D11811" s="549"/>
      <c r="E11811" s="549"/>
      <c r="F11811" s="549"/>
      <c r="G11811" s="549"/>
      <c r="H11811" s="549"/>
      <c r="I11811" s="558"/>
      <c r="J11811" s="567"/>
      <c r="K11811" s="648">
        <f>SUM(K11786:K11810)/2</f>
        <v>167</v>
      </c>
      <c r="L11811" s="567">
        <f>SUM(L11786:L11810)/2</f>
        <v>17.431419999999996</v>
      </c>
      <c r="M11811" s="648">
        <f>SUM(M11786:M11801)/2</f>
        <v>0</v>
      </c>
      <c r="N11811" s="567">
        <f>SUM(N11786:N11801)/2</f>
        <v>0</v>
      </c>
      <c r="O11811" s="549"/>
      <c r="P11811" s="549"/>
    </row>
    <row r="11812" spans="1:17" s="1511" customFormat="1" ht="17.399999999999999">
      <c r="A11812" s="549"/>
      <c r="B11812" s="549"/>
      <c r="C11812" s="549"/>
      <c r="D11812" s="549"/>
      <c r="E11812" s="549"/>
      <c r="F11812" s="549"/>
      <c r="G11812" s="549"/>
      <c r="H11812" s="549"/>
      <c r="I11812" s="558"/>
      <c r="J11812" s="567"/>
      <c r="K11812" s="648"/>
      <c r="L11812" s="567"/>
      <c r="M11812" s="549"/>
      <c r="N11812" s="549"/>
      <c r="O11812" s="549"/>
      <c r="P11812" s="549"/>
    </row>
    <row r="11813" spans="1:17" s="1511" customFormat="1" ht="17.399999999999999">
      <c r="A11813" s="549"/>
      <c r="B11813" s="549"/>
      <c r="C11813" s="549"/>
      <c r="D11813" s="549"/>
      <c r="E11813" s="549"/>
      <c r="F11813" s="549"/>
      <c r="G11813" s="549"/>
      <c r="H11813" s="549"/>
      <c r="I11813" s="558"/>
      <c r="J11813" s="567"/>
      <c r="K11813" s="648"/>
      <c r="L11813" s="567"/>
      <c r="M11813" s="549"/>
      <c r="N11813" s="549"/>
      <c r="O11813" s="549"/>
      <c r="P11813" s="549"/>
    </row>
    <row r="11814" spans="1:17" ht="17.399999999999999">
      <c r="A11814" s="547" t="s">
        <v>272</v>
      </c>
      <c r="B11814" s="852" t="s">
        <v>1363</v>
      </c>
      <c r="C11814" s="547" t="s">
        <v>446</v>
      </c>
      <c r="D11814" s="813" t="s">
        <v>447</v>
      </c>
      <c r="E11814" s="547" t="s">
        <v>359</v>
      </c>
      <c r="F11814" s="550">
        <v>12</v>
      </c>
      <c r="G11814" s="549" t="s">
        <v>21</v>
      </c>
      <c r="H11814" s="599" t="s">
        <v>119</v>
      </c>
      <c r="I11814" s="558">
        <v>10.73</v>
      </c>
      <c r="J11814" s="567">
        <v>11.4</v>
      </c>
      <c r="K11814" s="648">
        <v>1</v>
      </c>
      <c r="L11814" s="552">
        <f t="shared" ref="L11814:L11815" si="2415">(I11814*J11814*K11814/1000)</f>
        <v>0.122322</v>
      </c>
      <c r="M11814" s="549"/>
      <c r="N11814" s="549"/>
      <c r="O11814" s="549"/>
      <c r="P11814" s="549"/>
      <c r="Q11814" s="1511" t="s">
        <v>1477</v>
      </c>
    </row>
    <row r="11815" spans="1:17" ht="17.399999999999999">
      <c r="A11815" s="549"/>
      <c r="B11815" s="549"/>
      <c r="C11815" s="549"/>
      <c r="D11815" s="549"/>
      <c r="E11815" s="549"/>
      <c r="F11815" s="549"/>
      <c r="G11815" s="549" t="s">
        <v>21</v>
      </c>
      <c r="H11815" s="549" t="s">
        <v>119</v>
      </c>
      <c r="I11815" s="558">
        <v>10.73</v>
      </c>
      <c r="J11815" s="567">
        <v>12</v>
      </c>
      <c r="K11815" s="648">
        <v>11</v>
      </c>
      <c r="L11815" s="552">
        <f t="shared" si="2415"/>
        <v>1.4163599999999998</v>
      </c>
      <c r="M11815" s="549"/>
      <c r="N11815" s="549"/>
      <c r="O11815" s="549"/>
      <c r="P11815" s="549"/>
    </row>
    <row r="11816" spans="1:17" ht="17.399999999999999">
      <c r="A11816" s="549"/>
      <c r="B11816" s="549"/>
      <c r="C11816" s="549"/>
      <c r="D11816" s="549"/>
      <c r="E11816" s="549"/>
      <c r="F11816" s="549"/>
      <c r="G11816" s="549"/>
      <c r="H11816" s="549"/>
      <c r="I11816" s="558"/>
      <c r="J11816" s="567"/>
      <c r="K11816" s="648">
        <f t="shared" ref="K11816" si="2416">SUM(K11814:K11815)</f>
        <v>12</v>
      </c>
      <c r="L11816" s="567">
        <f t="shared" ref="L11816" si="2417">SUM(L11814:L11815)</f>
        <v>1.5386819999999999</v>
      </c>
      <c r="M11816" s="549"/>
      <c r="N11816" s="549"/>
      <c r="O11816" s="549"/>
      <c r="P11816" s="549" t="s">
        <v>1416</v>
      </c>
    </row>
    <row r="11817" spans="1:17" s="1511" customFormat="1" ht="17.399999999999999">
      <c r="A11817" s="549"/>
      <c r="B11817" s="549"/>
      <c r="C11817" s="549"/>
      <c r="D11817" s="549"/>
      <c r="E11817" s="549"/>
      <c r="F11817" s="549"/>
      <c r="G11817" s="549"/>
      <c r="H11817" s="549"/>
      <c r="I11817" s="558"/>
      <c r="J11817" s="567"/>
      <c r="K11817" s="648"/>
      <c r="L11817" s="567"/>
      <c r="M11817" s="549"/>
      <c r="N11817" s="549"/>
      <c r="O11817" s="549"/>
      <c r="P11817" s="549"/>
    </row>
    <row r="11818" spans="1:17" ht="17.399999999999999">
      <c r="A11818" s="547" t="s">
        <v>83</v>
      </c>
      <c r="B11818" s="547" t="s">
        <v>1360</v>
      </c>
      <c r="C11818" s="547" t="s">
        <v>446</v>
      </c>
      <c r="D11818" s="813" t="s">
        <v>447</v>
      </c>
      <c r="E11818" s="547" t="s">
        <v>359</v>
      </c>
      <c r="F11818" s="550">
        <v>12</v>
      </c>
      <c r="G11818" s="549" t="s">
        <v>21</v>
      </c>
      <c r="H11818" s="599" t="s">
        <v>119</v>
      </c>
      <c r="I11818" s="558">
        <v>10.73</v>
      </c>
      <c r="J11818" s="567">
        <v>6.3</v>
      </c>
      <c r="K11818" s="648">
        <v>45</v>
      </c>
      <c r="L11818" s="552">
        <f t="shared" ref="L11818:L11826" si="2418">(I11818*J11818*K11818/1000)</f>
        <v>3.0419550000000002</v>
      </c>
      <c r="M11818" s="549">
        <v>1</v>
      </c>
      <c r="N11818" s="567">
        <f>J11818*M11818*I11818/1000</f>
        <v>6.7599000000000006E-2</v>
      </c>
      <c r="O11818" s="549"/>
      <c r="P11818" s="549"/>
      <c r="Q11818" s="1511" t="s">
        <v>1477</v>
      </c>
    </row>
    <row r="11819" spans="1:17" ht="17.399999999999999">
      <c r="A11819" s="549"/>
      <c r="B11819" s="549"/>
      <c r="C11819" s="549"/>
      <c r="D11819" s="549"/>
      <c r="E11819" s="549"/>
      <c r="F11819" s="549"/>
      <c r="G11819" s="549" t="s">
        <v>21</v>
      </c>
      <c r="H11819" s="549" t="s">
        <v>119</v>
      </c>
      <c r="I11819" s="558">
        <v>10.73</v>
      </c>
      <c r="J11819" s="567">
        <v>6.6</v>
      </c>
      <c r="K11819" s="648">
        <v>114</v>
      </c>
      <c r="L11819" s="552">
        <f t="shared" si="2418"/>
        <v>8.0732520000000001</v>
      </c>
      <c r="M11819" s="549"/>
      <c r="N11819" s="549"/>
      <c r="O11819" s="549"/>
      <c r="P11819" s="549"/>
    </row>
    <row r="11820" spans="1:17" ht="17.399999999999999">
      <c r="A11820" s="549"/>
      <c r="B11820" s="549"/>
      <c r="C11820" s="549"/>
      <c r="D11820" s="549"/>
      <c r="E11820" s="549"/>
      <c r="F11820" s="549"/>
      <c r="G11820" s="549" t="s">
        <v>21</v>
      </c>
      <c r="H11820" s="549" t="s">
        <v>119</v>
      </c>
      <c r="I11820" s="558">
        <v>10.73</v>
      </c>
      <c r="J11820" s="567">
        <v>6.8</v>
      </c>
      <c r="K11820" s="648">
        <v>56</v>
      </c>
      <c r="L11820" s="552">
        <f t="shared" si="2418"/>
        <v>4.0859839999999998</v>
      </c>
      <c r="M11820" s="549"/>
      <c r="N11820" s="549"/>
      <c r="O11820" s="549"/>
      <c r="P11820" s="549"/>
    </row>
    <row r="11821" spans="1:17" ht="17.399999999999999">
      <c r="A11821" s="549"/>
      <c r="B11821" s="549"/>
      <c r="C11821" s="549"/>
      <c r="D11821" s="549"/>
      <c r="E11821" s="549"/>
      <c r="F11821" s="549"/>
      <c r="G11821" s="549" t="s">
        <v>21</v>
      </c>
      <c r="H11821" s="549" t="s">
        <v>119</v>
      </c>
      <c r="I11821" s="558">
        <v>10.73</v>
      </c>
      <c r="J11821" s="567">
        <v>7.1</v>
      </c>
      <c r="K11821" s="648">
        <v>101</v>
      </c>
      <c r="L11821" s="552">
        <f t="shared" si="2418"/>
        <v>7.6944829999999991</v>
      </c>
      <c r="M11821" s="549"/>
      <c r="N11821" s="549"/>
      <c r="O11821" s="549"/>
      <c r="P11821" s="549"/>
    </row>
    <row r="11822" spans="1:17" ht="17.399999999999999">
      <c r="A11822" s="549"/>
      <c r="B11822" s="549"/>
      <c r="C11822" s="549"/>
      <c r="D11822" s="549"/>
      <c r="E11822" s="549"/>
      <c r="F11822" s="549"/>
      <c r="G11822" s="549" t="s">
        <v>21</v>
      </c>
      <c r="H11822" s="549" t="s">
        <v>119</v>
      </c>
      <c r="I11822" s="558">
        <v>10.73</v>
      </c>
      <c r="J11822" s="567">
        <v>7.45</v>
      </c>
      <c r="K11822" s="648">
        <v>56</v>
      </c>
      <c r="L11822" s="552">
        <f t="shared" si="2418"/>
        <v>4.4765560000000004</v>
      </c>
      <c r="M11822" s="549">
        <v>1</v>
      </c>
      <c r="N11822" s="567">
        <f>J11822*M11822*I11822/1000</f>
        <v>7.993850000000001E-2</v>
      </c>
      <c r="O11822" s="549"/>
      <c r="P11822" s="549"/>
    </row>
    <row r="11823" spans="1:17" ht="17.399999999999999">
      <c r="A11823" s="549"/>
      <c r="B11823" s="549"/>
      <c r="C11823" s="549"/>
      <c r="D11823" s="549"/>
      <c r="E11823" s="549"/>
      <c r="F11823" s="549"/>
      <c r="G11823" s="549" t="s">
        <v>21</v>
      </c>
      <c r="H11823" s="549" t="s">
        <v>119</v>
      </c>
      <c r="I11823" s="558">
        <v>10.73</v>
      </c>
      <c r="J11823" s="567">
        <v>7.7</v>
      </c>
      <c r="K11823" s="648">
        <v>156</v>
      </c>
      <c r="L11823" s="552">
        <f t="shared" si="2418"/>
        <v>12.888876000000002</v>
      </c>
      <c r="M11823" s="549"/>
      <c r="N11823" s="549"/>
      <c r="O11823" s="549"/>
      <c r="P11823" s="549"/>
    </row>
    <row r="11824" spans="1:17" ht="17.399999999999999">
      <c r="A11824" s="549"/>
      <c r="B11824" s="549"/>
      <c r="C11824" s="549"/>
      <c r="D11824" s="549"/>
      <c r="E11824" s="549"/>
      <c r="F11824" s="549"/>
      <c r="G11824" s="549" t="s">
        <v>21</v>
      </c>
      <c r="H11824" s="549" t="s">
        <v>119</v>
      </c>
      <c r="I11824" s="558">
        <v>10.73</v>
      </c>
      <c r="J11824" s="567">
        <v>8</v>
      </c>
      <c r="K11824" s="648">
        <v>78</v>
      </c>
      <c r="L11824" s="552">
        <f t="shared" si="2418"/>
        <v>6.6955200000000001</v>
      </c>
      <c r="M11824" s="549">
        <f>2+2+2+1+1</f>
        <v>8</v>
      </c>
      <c r="N11824" s="567">
        <f t="shared" ref="N11824:N11826" si="2419">J11824*M11824*I11824/1000</f>
        <v>0.68672</v>
      </c>
      <c r="O11824" s="549"/>
      <c r="P11824" s="549"/>
    </row>
    <row r="11825" spans="1:17" ht="17.399999999999999">
      <c r="A11825" s="549"/>
      <c r="B11825" s="549"/>
      <c r="C11825" s="549"/>
      <c r="D11825" s="549"/>
      <c r="E11825" s="549"/>
      <c r="F11825" s="549"/>
      <c r="G11825" s="549" t="s">
        <v>21</v>
      </c>
      <c r="H11825" s="549" t="s">
        <v>119</v>
      </c>
      <c r="I11825" s="558">
        <v>10.73</v>
      </c>
      <c r="J11825" s="567">
        <v>9.15</v>
      </c>
      <c r="K11825" s="648">
        <v>60</v>
      </c>
      <c r="L11825" s="552">
        <f t="shared" si="2418"/>
        <v>5.8907700000000007</v>
      </c>
      <c r="M11825" s="549">
        <f>1+3+3</f>
        <v>7</v>
      </c>
      <c r="N11825" s="567">
        <f t="shared" si="2419"/>
        <v>0.68725649999999994</v>
      </c>
      <c r="O11825" s="549"/>
      <c r="P11825" s="549"/>
    </row>
    <row r="11826" spans="1:17" ht="17.399999999999999">
      <c r="A11826" s="549"/>
      <c r="B11826" s="549"/>
      <c r="C11826" s="549"/>
      <c r="D11826" s="549"/>
      <c r="E11826" s="549"/>
      <c r="F11826" s="549"/>
      <c r="G11826" s="549" t="s">
        <v>21</v>
      </c>
      <c r="H11826" s="549" t="s">
        <v>119</v>
      </c>
      <c r="I11826" s="558">
        <v>10.73</v>
      </c>
      <c r="J11826" s="567">
        <v>11.4</v>
      </c>
      <c r="K11826" s="648">
        <v>61</v>
      </c>
      <c r="L11826" s="552">
        <f t="shared" si="2418"/>
        <v>7.4616419999999994</v>
      </c>
      <c r="M11826" s="549">
        <v>3</v>
      </c>
      <c r="N11826" s="567">
        <f t="shared" si="2419"/>
        <v>0.36696600000000007</v>
      </c>
      <c r="O11826" s="549"/>
      <c r="P11826" s="549"/>
    </row>
    <row r="11827" spans="1:17" ht="17.399999999999999">
      <c r="A11827" s="549"/>
      <c r="B11827" s="549"/>
      <c r="C11827" s="549"/>
      <c r="D11827" s="549"/>
      <c r="E11827" s="549"/>
      <c r="F11827" s="549"/>
      <c r="G11827" s="549"/>
      <c r="H11827" s="549"/>
      <c r="I11827" s="558"/>
      <c r="J11827" s="567"/>
      <c r="K11827" s="648">
        <f t="shared" ref="K11827" si="2420">SUM(K11818:K11826)</f>
        <v>727</v>
      </c>
      <c r="L11827" s="567">
        <f t="shared" ref="L11827:N11827" si="2421">SUM(L11818:L11826)</f>
        <v>60.309038000000008</v>
      </c>
      <c r="M11827" s="648">
        <f>SUM(M11818:M11826)</f>
        <v>20</v>
      </c>
      <c r="N11827" s="567">
        <f t="shared" si="2421"/>
        <v>1.8884799999999999</v>
      </c>
      <c r="O11827" s="549"/>
      <c r="P11827" s="549" t="s">
        <v>1416</v>
      </c>
    </row>
    <row r="11828" spans="1:17" s="1511" customFormat="1" ht="17.399999999999999">
      <c r="A11828" s="549"/>
      <c r="B11828" s="549"/>
      <c r="C11828" s="549"/>
      <c r="D11828" s="549"/>
      <c r="E11828" s="549"/>
      <c r="F11828" s="549"/>
      <c r="G11828" s="549"/>
      <c r="H11828" s="549"/>
      <c r="I11828" s="558"/>
      <c r="J11828" s="549"/>
      <c r="K11828" s="561"/>
      <c r="L11828" s="560"/>
      <c r="M11828" s="549"/>
      <c r="N11828" s="549"/>
      <c r="O11828" s="549"/>
      <c r="P11828" s="549"/>
    </row>
    <row r="11829" spans="1:17" ht="17.399999999999999">
      <c r="A11829" s="547" t="s">
        <v>272</v>
      </c>
      <c r="B11829" s="852" t="s">
        <v>1361</v>
      </c>
      <c r="C11829" s="547" t="s">
        <v>446</v>
      </c>
      <c r="D11829" s="813" t="s">
        <v>447</v>
      </c>
      <c r="E11829" s="547" t="s">
        <v>359</v>
      </c>
      <c r="F11829" s="550">
        <v>12</v>
      </c>
      <c r="G11829" s="549" t="s">
        <v>21</v>
      </c>
      <c r="H11829" s="599" t="s">
        <v>119</v>
      </c>
      <c r="I11829" s="558">
        <v>10.73</v>
      </c>
      <c r="J11829" s="567">
        <v>7.1</v>
      </c>
      <c r="K11829" s="648">
        <v>19</v>
      </c>
      <c r="L11829" s="552">
        <f>(I11829*J11829*K11829/1000)</f>
        <v>1.4474769999999999</v>
      </c>
      <c r="M11829" s="549"/>
      <c r="N11829" s="549"/>
      <c r="O11829" s="549"/>
      <c r="P11829" s="549"/>
      <c r="Q11829" s="1511" t="s">
        <v>1477</v>
      </c>
    </row>
    <row r="11830" spans="1:17" ht="17.399999999999999">
      <c r="A11830" s="549"/>
      <c r="B11830" s="549"/>
      <c r="C11830" s="549"/>
      <c r="D11830" s="549"/>
      <c r="E11830" s="549"/>
      <c r="F11830" s="549"/>
      <c r="G11830" s="549" t="s">
        <v>21</v>
      </c>
      <c r="H11830" s="549" t="s">
        <v>119</v>
      </c>
      <c r="I11830" s="558">
        <v>10.73</v>
      </c>
      <c r="J11830" s="567">
        <v>10.5</v>
      </c>
      <c r="K11830" s="648">
        <v>16</v>
      </c>
      <c r="L11830" s="552">
        <f>(I11830*J11830*K11830/1000)</f>
        <v>1.80264</v>
      </c>
      <c r="M11830" s="549"/>
      <c r="N11830" s="549"/>
      <c r="O11830" s="549"/>
      <c r="P11830" s="549"/>
    </row>
    <row r="11831" spans="1:17" ht="17.399999999999999">
      <c r="A11831" s="549"/>
      <c r="B11831" s="549"/>
      <c r="C11831" s="549"/>
      <c r="D11831" s="549"/>
      <c r="E11831" s="549"/>
      <c r="F11831" s="549"/>
      <c r="G11831" s="549" t="s">
        <v>21</v>
      </c>
      <c r="H11831" s="549" t="s">
        <v>119</v>
      </c>
      <c r="I11831" s="558">
        <v>10.73</v>
      </c>
      <c r="J11831" s="567">
        <v>11.4</v>
      </c>
      <c r="K11831" s="648">
        <v>5</v>
      </c>
      <c r="L11831" s="552">
        <f>(I11831*J11831*K11831/1000)</f>
        <v>0.61160999999999999</v>
      </c>
      <c r="M11831" s="549"/>
      <c r="N11831" s="549"/>
      <c r="O11831" s="549"/>
      <c r="P11831" s="549"/>
    </row>
    <row r="11832" spans="1:17" ht="17.399999999999999">
      <c r="A11832" s="549"/>
      <c r="B11832" s="549"/>
      <c r="C11832" s="549"/>
      <c r="D11832" s="549"/>
      <c r="E11832" s="549"/>
      <c r="F11832" s="549"/>
      <c r="G11832" s="549" t="s">
        <v>21</v>
      </c>
      <c r="H11832" s="549" t="s">
        <v>119</v>
      </c>
      <c r="I11832" s="558">
        <v>10.73</v>
      </c>
      <c r="J11832" s="567">
        <v>12</v>
      </c>
      <c r="K11832" s="648">
        <v>11</v>
      </c>
      <c r="L11832" s="552">
        <f>(I11832*J11832*K11832/1000)</f>
        <v>1.4163599999999998</v>
      </c>
      <c r="M11832" s="549"/>
      <c r="N11832" s="549"/>
      <c r="O11832" s="549"/>
      <c r="P11832" s="549"/>
    </row>
    <row r="11833" spans="1:17" ht="17.399999999999999">
      <c r="A11833" s="549"/>
      <c r="B11833" s="549"/>
      <c r="C11833" s="549"/>
      <c r="D11833" s="549"/>
      <c r="E11833" s="549"/>
      <c r="F11833" s="549"/>
      <c r="G11833" s="549"/>
      <c r="H11833" s="549"/>
      <c r="I11833" s="558"/>
      <c r="J11833" s="567"/>
      <c r="K11833" s="648">
        <f t="shared" ref="K11833" si="2422">SUM(K11829:K11832)</f>
        <v>51</v>
      </c>
      <c r="L11833" s="567">
        <f t="shared" ref="L11833" si="2423">SUM(L11829:L11832)</f>
        <v>5.2780870000000002</v>
      </c>
      <c r="M11833" s="549"/>
      <c r="N11833" s="549"/>
      <c r="O11833" s="549"/>
      <c r="P11833" s="549" t="s">
        <v>1416</v>
      </c>
    </row>
    <row r="11834" spans="1:17" ht="17.399999999999999">
      <c r="A11834" s="549"/>
      <c r="B11834" s="549"/>
      <c r="C11834" s="549"/>
      <c r="D11834" s="549"/>
      <c r="E11834" s="549"/>
      <c r="F11834" s="549"/>
      <c r="G11834" s="549"/>
      <c r="H11834" s="549"/>
      <c r="I11834" s="558"/>
      <c r="J11834" s="549"/>
      <c r="K11834" s="561"/>
      <c r="L11834" s="560"/>
      <c r="M11834" s="549"/>
      <c r="N11834" s="549"/>
      <c r="O11834" s="549"/>
      <c r="P11834" s="549"/>
    </row>
    <row r="11835" spans="1:17" ht="17.399999999999999">
      <c r="A11835" s="547" t="s">
        <v>272</v>
      </c>
      <c r="B11835" s="852" t="s">
        <v>1362</v>
      </c>
      <c r="C11835" s="547" t="s">
        <v>19</v>
      </c>
      <c r="D11835" s="547" t="s">
        <v>20</v>
      </c>
      <c r="E11835" s="549" t="s">
        <v>878</v>
      </c>
      <c r="F11835" s="550">
        <v>12</v>
      </c>
      <c r="G11835" s="549" t="s">
        <v>21</v>
      </c>
      <c r="H11835" s="599" t="s">
        <v>119</v>
      </c>
      <c r="I11835" s="558">
        <v>10.7</v>
      </c>
      <c r="J11835" s="567">
        <v>10.5</v>
      </c>
      <c r="K11835" s="648">
        <v>5</v>
      </c>
      <c r="L11835" s="552">
        <f>(I11835*J11835*K11835/1000)</f>
        <v>0.56174999999999997</v>
      </c>
      <c r="M11835" s="549">
        <v>5</v>
      </c>
      <c r="N11835" s="567">
        <f t="shared" ref="N11835:N11836" si="2424">J11835*M11835*I11835/1000</f>
        <v>0.56174999999999997</v>
      </c>
      <c r="O11835" s="549"/>
      <c r="P11835" s="549"/>
      <c r="Q11835" s="1511" t="s">
        <v>1482</v>
      </c>
    </row>
    <row r="11836" spans="1:17" ht="17.399999999999999">
      <c r="A11836" s="549"/>
      <c r="B11836" s="832" t="s">
        <v>423</v>
      </c>
      <c r="C11836" s="549"/>
      <c r="D11836" s="549"/>
      <c r="E11836" s="549"/>
      <c r="F11836" s="549"/>
      <c r="G11836" s="549" t="s">
        <v>21</v>
      </c>
      <c r="H11836" s="549" t="s">
        <v>119</v>
      </c>
      <c r="I11836" s="558">
        <v>10.7</v>
      </c>
      <c r="J11836" s="567">
        <v>12</v>
      </c>
      <c r="K11836" s="648">
        <v>3</v>
      </c>
      <c r="L11836" s="552">
        <f>(I11836*J11836*K11836/1000)</f>
        <v>0.38519999999999993</v>
      </c>
      <c r="M11836" s="549">
        <v>1</v>
      </c>
      <c r="N11836" s="567">
        <f t="shared" si="2424"/>
        <v>0.12839999999999999</v>
      </c>
      <c r="O11836" s="549"/>
      <c r="P11836" s="549"/>
    </row>
    <row r="11837" spans="1:17" ht="17.399999999999999">
      <c r="A11837" s="549"/>
      <c r="B11837" s="832"/>
      <c r="C11837" s="549"/>
      <c r="D11837" s="549"/>
      <c r="E11837" s="549"/>
      <c r="F11837" s="549"/>
      <c r="G11837" s="549"/>
      <c r="H11837" s="549"/>
      <c r="I11837" s="558"/>
      <c r="J11837" s="567"/>
      <c r="K11837" s="648">
        <f t="shared" ref="K11837:M11837" si="2425">SUM(K11835:K11836)</f>
        <v>8</v>
      </c>
      <c r="L11837" s="567">
        <f>SUM(L11835:L11836)</f>
        <v>0.94694999999999996</v>
      </c>
      <c r="M11837" s="648">
        <f t="shared" si="2425"/>
        <v>6</v>
      </c>
      <c r="N11837" s="567">
        <f>SUM(N11835:N11836)</f>
        <v>0.69014999999999993</v>
      </c>
      <c r="O11837" s="549"/>
      <c r="P11837" s="549"/>
    </row>
    <row r="11838" spans="1:17" s="1511" customFormat="1" ht="17.399999999999999">
      <c r="A11838" s="549"/>
      <c r="B11838" s="832"/>
      <c r="C11838" s="549"/>
      <c r="D11838" s="549"/>
      <c r="E11838" s="549"/>
      <c r="F11838" s="549"/>
      <c r="G11838" s="549"/>
      <c r="H11838" s="549"/>
      <c r="I11838" s="558"/>
      <c r="J11838" s="567"/>
      <c r="K11838" s="648">
        <f>SUM(K11814:K11837)/2</f>
        <v>798</v>
      </c>
      <c r="L11838" s="567">
        <f>SUM(L11814:L11837)/2</f>
        <v>68.072756999999996</v>
      </c>
      <c r="M11838" s="648">
        <f>SUM(M11814:M11837)/2</f>
        <v>26</v>
      </c>
      <c r="N11838" s="567">
        <f>SUM(N11814:N11837)/2</f>
        <v>2.57863</v>
      </c>
      <c r="O11838" s="549"/>
      <c r="P11838" s="549"/>
    </row>
    <row r="11839" spans="1:17" s="1511" customFormat="1" ht="17.399999999999999">
      <c r="A11839" s="549"/>
      <c r="B11839" s="832"/>
      <c r="C11839" s="549"/>
      <c r="D11839" s="549"/>
      <c r="E11839" s="549"/>
      <c r="F11839" s="549"/>
      <c r="G11839" s="549"/>
      <c r="H11839" s="549"/>
      <c r="I11839" s="558"/>
      <c r="J11839" s="567"/>
      <c r="K11839" s="648"/>
      <c r="L11839" s="567"/>
      <c r="M11839" s="549"/>
      <c r="N11839" s="549"/>
      <c r="O11839" s="549"/>
      <c r="P11839" s="549"/>
    </row>
    <row r="11840" spans="1:17" ht="17.399999999999999">
      <c r="A11840" s="549"/>
      <c r="B11840" s="549"/>
      <c r="C11840" s="549"/>
      <c r="D11840" s="549"/>
      <c r="E11840" s="549"/>
      <c r="F11840" s="549"/>
      <c r="G11840" s="549"/>
      <c r="H11840" s="549"/>
      <c r="I11840" s="558"/>
      <c r="J11840" s="549"/>
      <c r="K11840" s="561"/>
      <c r="L11840" s="560"/>
      <c r="M11840" s="549"/>
      <c r="N11840" s="549"/>
      <c r="O11840" s="549"/>
      <c r="P11840" s="549"/>
    </row>
    <row r="11841" spans="1:17" ht="17.399999999999999">
      <c r="A11841" s="547" t="s">
        <v>83</v>
      </c>
      <c r="B11841" s="547" t="s">
        <v>1360</v>
      </c>
      <c r="C11841" s="547" t="s">
        <v>446</v>
      </c>
      <c r="D11841" s="813" t="s">
        <v>447</v>
      </c>
      <c r="E11841" s="547" t="s">
        <v>359</v>
      </c>
      <c r="F11841" s="550">
        <v>12</v>
      </c>
      <c r="G11841" s="549" t="s">
        <v>21</v>
      </c>
      <c r="H11841" s="599" t="s">
        <v>118</v>
      </c>
      <c r="I11841" s="558">
        <v>9.26</v>
      </c>
      <c r="J11841" s="567">
        <v>6.7</v>
      </c>
      <c r="K11841" s="648">
        <v>94</v>
      </c>
      <c r="L11841" s="552">
        <f t="shared" ref="L11841:L11850" si="2426">(I11841*J11841*K11841/1000)</f>
        <v>5.8319480000000006</v>
      </c>
      <c r="M11841" s="549">
        <v>94</v>
      </c>
      <c r="N11841" s="567">
        <f t="shared" ref="N11841:N11850" si="2427">J11841*M11841*I11841/1000</f>
        <v>5.8319480000000006</v>
      </c>
      <c r="O11841" s="549"/>
      <c r="P11841" s="549"/>
      <c r="Q11841" s="1511" t="s">
        <v>1477</v>
      </c>
    </row>
    <row r="11842" spans="1:17" ht="17.399999999999999">
      <c r="A11842" s="549"/>
      <c r="B11842" s="549"/>
      <c r="C11842" s="549"/>
      <c r="D11842" s="549"/>
      <c r="E11842" s="549"/>
      <c r="F11842" s="549"/>
      <c r="G11842" s="549" t="s">
        <v>21</v>
      </c>
      <c r="H11842" s="549" t="s">
        <v>118</v>
      </c>
      <c r="I11842" s="558">
        <v>9.26</v>
      </c>
      <c r="J11842" s="567">
        <v>7.25</v>
      </c>
      <c r="K11842" s="648">
        <v>65</v>
      </c>
      <c r="L11842" s="552">
        <f t="shared" si="2426"/>
        <v>4.3637750000000004</v>
      </c>
      <c r="M11842" s="549">
        <f>4+4+6</f>
        <v>14</v>
      </c>
      <c r="N11842" s="567">
        <f t="shared" si="2427"/>
        <v>0.93989</v>
      </c>
      <c r="O11842" s="549"/>
      <c r="P11842" s="549"/>
    </row>
    <row r="11843" spans="1:17" ht="17.399999999999999">
      <c r="A11843" s="549"/>
      <c r="B11843" s="549"/>
      <c r="C11843" s="549"/>
      <c r="D11843" s="549"/>
      <c r="E11843" s="549"/>
      <c r="F11843" s="549"/>
      <c r="G11843" s="549" t="s">
        <v>21</v>
      </c>
      <c r="H11843" s="549" t="s">
        <v>118</v>
      </c>
      <c r="I11843" s="558">
        <v>9.26</v>
      </c>
      <c r="J11843" s="567">
        <v>8</v>
      </c>
      <c r="K11843" s="648">
        <v>65</v>
      </c>
      <c r="L11843" s="552">
        <f t="shared" si="2426"/>
        <v>4.8151999999999999</v>
      </c>
      <c r="M11843" s="549">
        <f>1+3+1</f>
        <v>5</v>
      </c>
      <c r="N11843" s="567">
        <f t="shared" si="2427"/>
        <v>0.37039999999999995</v>
      </c>
      <c r="O11843" s="549"/>
      <c r="P11843" s="549"/>
    </row>
    <row r="11844" spans="1:17" ht="17.399999999999999">
      <c r="A11844" s="549"/>
      <c r="B11844" s="549"/>
      <c r="C11844" s="549"/>
      <c r="D11844" s="549"/>
      <c r="E11844" s="549"/>
      <c r="F11844" s="549"/>
      <c r="G11844" s="549" t="s">
        <v>21</v>
      </c>
      <c r="H11844" s="549" t="s">
        <v>118</v>
      </c>
      <c r="I11844" s="558">
        <v>9.26</v>
      </c>
      <c r="J11844" s="567">
        <v>8.6999999999999993</v>
      </c>
      <c r="K11844" s="648">
        <v>88</v>
      </c>
      <c r="L11844" s="552">
        <f t="shared" si="2426"/>
        <v>7.0894560000000002</v>
      </c>
      <c r="M11844" s="549"/>
      <c r="N11844" s="549"/>
      <c r="O11844" s="549"/>
      <c r="P11844" s="549"/>
    </row>
    <row r="11845" spans="1:17" ht="17.399999999999999">
      <c r="A11845" s="549"/>
      <c r="B11845" s="549"/>
      <c r="C11845" s="549"/>
      <c r="D11845" s="549"/>
      <c r="E11845" s="549"/>
      <c r="F11845" s="549"/>
      <c r="G11845" s="549" t="s">
        <v>21</v>
      </c>
      <c r="H11845" s="549" t="s">
        <v>118</v>
      </c>
      <c r="I11845" s="558">
        <v>9.26</v>
      </c>
      <c r="J11845" s="567">
        <v>9</v>
      </c>
      <c r="K11845" s="648">
        <v>33</v>
      </c>
      <c r="L11845" s="552">
        <f t="shared" si="2426"/>
        <v>2.7502200000000001</v>
      </c>
      <c r="M11845" s="549">
        <f>4+1+1+1</f>
        <v>7</v>
      </c>
      <c r="N11845" s="567">
        <f t="shared" si="2427"/>
        <v>0.58338000000000001</v>
      </c>
      <c r="O11845" s="549"/>
      <c r="P11845" s="549"/>
    </row>
    <row r="11846" spans="1:17" ht="17.399999999999999">
      <c r="A11846" s="549"/>
      <c r="B11846" s="549"/>
      <c r="C11846" s="549"/>
      <c r="D11846" s="549"/>
      <c r="E11846" s="549"/>
      <c r="F11846" s="549"/>
      <c r="G11846" s="549" t="s">
        <v>21</v>
      </c>
      <c r="H11846" s="549" t="s">
        <v>118</v>
      </c>
      <c r="I11846" s="558">
        <v>9.26</v>
      </c>
      <c r="J11846" s="567">
        <v>10</v>
      </c>
      <c r="K11846" s="648">
        <v>45</v>
      </c>
      <c r="L11846" s="552">
        <f t="shared" si="2426"/>
        <v>4.1669999999999998</v>
      </c>
      <c r="M11846" s="549">
        <f>1+1</f>
        <v>2</v>
      </c>
      <c r="N11846" s="567">
        <f t="shared" si="2427"/>
        <v>0.18519999999999998</v>
      </c>
      <c r="O11846" s="549"/>
      <c r="P11846" s="549"/>
    </row>
    <row r="11847" spans="1:17" ht="17.399999999999999">
      <c r="A11847" s="549"/>
      <c r="B11847" s="549"/>
      <c r="C11847" s="549"/>
      <c r="D11847" s="549"/>
      <c r="E11847" s="549"/>
      <c r="F11847" s="549"/>
      <c r="G11847" s="549" t="s">
        <v>21</v>
      </c>
      <c r="H11847" s="549" t="s">
        <v>118</v>
      </c>
      <c r="I11847" s="558">
        <v>9.26</v>
      </c>
      <c r="J11847" s="567">
        <v>10.6</v>
      </c>
      <c r="K11847" s="648">
        <v>35</v>
      </c>
      <c r="L11847" s="552">
        <f t="shared" si="2426"/>
        <v>3.4354599999999995</v>
      </c>
      <c r="M11847" s="549"/>
      <c r="N11847" s="567">
        <f t="shared" si="2427"/>
        <v>0</v>
      </c>
      <c r="O11847" s="549"/>
      <c r="P11847" s="549"/>
    </row>
    <row r="11848" spans="1:17" ht="17.399999999999999">
      <c r="A11848" s="549"/>
      <c r="B11848" s="549"/>
      <c r="C11848" s="549"/>
      <c r="D11848" s="549"/>
      <c r="E11848" s="549"/>
      <c r="F11848" s="549"/>
      <c r="G11848" s="549" t="s">
        <v>21</v>
      </c>
      <c r="H11848" s="549" t="s">
        <v>118</v>
      </c>
      <c r="I11848" s="558">
        <v>9.26</v>
      </c>
      <c r="J11848" s="567">
        <v>11.1</v>
      </c>
      <c r="K11848" s="648">
        <v>45</v>
      </c>
      <c r="L11848" s="552">
        <f t="shared" si="2426"/>
        <v>4.6253700000000002</v>
      </c>
      <c r="M11848" s="549">
        <f>1+2</f>
        <v>3</v>
      </c>
      <c r="N11848" s="567">
        <f t="shared" si="2427"/>
        <v>0.30835799999999997</v>
      </c>
      <c r="O11848" s="549"/>
      <c r="P11848" s="549"/>
    </row>
    <row r="11849" spans="1:17" ht="17.399999999999999">
      <c r="A11849" s="549"/>
      <c r="B11849" s="549"/>
      <c r="C11849" s="549"/>
      <c r="D11849" s="549"/>
      <c r="E11849" s="549"/>
      <c r="F11849" s="549"/>
      <c r="G11849" s="549" t="s">
        <v>21</v>
      </c>
      <c r="H11849" s="549" t="s">
        <v>118</v>
      </c>
      <c r="I11849" s="558">
        <v>9.26</v>
      </c>
      <c r="J11849" s="567">
        <v>11.6</v>
      </c>
      <c r="K11849" s="648">
        <v>25</v>
      </c>
      <c r="L11849" s="552">
        <f t="shared" si="2426"/>
        <v>2.6854</v>
      </c>
      <c r="M11849" s="549">
        <f>1+3</f>
        <v>4</v>
      </c>
      <c r="N11849" s="567">
        <f t="shared" si="2427"/>
        <v>0.42966399999999999</v>
      </c>
      <c r="O11849" s="549"/>
      <c r="P11849" s="549"/>
    </row>
    <row r="11850" spans="1:17" ht="17.399999999999999">
      <c r="A11850" s="549"/>
      <c r="B11850" s="549"/>
      <c r="C11850" s="549"/>
      <c r="D11850" s="549"/>
      <c r="E11850" s="549"/>
      <c r="F11850" s="549"/>
      <c r="G11850" s="549" t="s">
        <v>21</v>
      </c>
      <c r="H11850" s="549" t="s">
        <v>118</v>
      </c>
      <c r="I11850" s="558">
        <v>9.26</v>
      </c>
      <c r="J11850" s="567">
        <v>12</v>
      </c>
      <c r="K11850" s="648">
        <v>49</v>
      </c>
      <c r="L11850" s="552">
        <f t="shared" si="2426"/>
        <v>5.4448800000000004</v>
      </c>
      <c r="M11850" s="549">
        <f>1+9+5</f>
        <v>15</v>
      </c>
      <c r="N11850" s="567">
        <f t="shared" si="2427"/>
        <v>1.6668000000000001</v>
      </c>
      <c r="O11850" s="549"/>
      <c r="P11850" s="549"/>
    </row>
    <row r="11851" spans="1:17" ht="17.399999999999999">
      <c r="A11851" s="549"/>
      <c r="B11851" s="549"/>
      <c r="C11851" s="549"/>
      <c r="D11851" s="549"/>
      <c r="E11851" s="549"/>
      <c r="F11851" s="550"/>
      <c r="G11851" s="549"/>
      <c r="H11851" s="549"/>
      <c r="I11851" s="558"/>
      <c r="J11851" s="567"/>
      <c r="K11851" s="648">
        <f t="shared" ref="K11851" si="2428">SUM(K11841:K11850)</f>
        <v>544</v>
      </c>
      <c r="L11851" s="567">
        <f>SUM(L11841:L11850)</f>
        <v>45.208708999999999</v>
      </c>
      <c r="M11851" s="648">
        <f>SUM(M11841:M11850)</f>
        <v>144</v>
      </c>
      <c r="N11851" s="567">
        <f>SUM(N11841:N11850)</f>
        <v>10.315640000000002</v>
      </c>
      <c r="O11851" s="549"/>
      <c r="P11851" s="549" t="s">
        <v>1417</v>
      </c>
    </row>
    <row r="11852" spans="1:17" s="1511" customFormat="1" ht="17.399999999999999">
      <c r="A11852" s="549"/>
      <c r="B11852" s="549"/>
      <c r="C11852" s="549"/>
      <c r="D11852" s="549"/>
      <c r="E11852" s="549"/>
      <c r="F11852" s="550"/>
      <c r="G11852" s="549"/>
      <c r="H11852" s="549"/>
      <c r="I11852" s="558"/>
      <c r="J11852" s="567"/>
      <c r="K11852" s="648"/>
      <c r="L11852" s="567"/>
      <c r="M11852" s="549"/>
      <c r="N11852" s="549"/>
      <c r="O11852" s="549"/>
      <c r="P11852" s="549"/>
    </row>
    <row r="11853" spans="1:17" ht="17.399999999999999">
      <c r="A11853" s="547" t="s">
        <v>272</v>
      </c>
      <c r="B11853" s="852" t="s">
        <v>1363</v>
      </c>
      <c r="C11853" s="547" t="s">
        <v>446</v>
      </c>
      <c r="D11853" s="813" t="s">
        <v>447</v>
      </c>
      <c r="E11853" s="547" t="s">
        <v>359</v>
      </c>
      <c r="F11853" s="550">
        <v>12</v>
      </c>
      <c r="G11853" s="549" t="s">
        <v>21</v>
      </c>
      <c r="H11853" s="599" t="s">
        <v>118</v>
      </c>
      <c r="I11853" s="558">
        <v>9.26</v>
      </c>
      <c r="J11853" s="567">
        <v>10</v>
      </c>
      <c r="K11853" s="648">
        <v>5</v>
      </c>
      <c r="L11853" s="552">
        <f t="shared" ref="L11853:L11854" si="2429">(I11853*J11853*K11853/1000)</f>
        <v>0.46300000000000002</v>
      </c>
      <c r="M11853" s="549"/>
      <c r="N11853" s="549"/>
      <c r="O11853" s="549"/>
      <c r="P11853" s="549"/>
      <c r="Q11853" s="1511" t="s">
        <v>1477</v>
      </c>
    </row>
    <row r="11854" spans="1:17" ht="17.399999999999999">
      <c r="A11854" s="549"/>
      <c r="B11854" s="549"/>
      <c r="C11854" s="549"/>
      <c r="D11854" s="549"/>
      <c r="E11854" s="549"/>
      <c r="F11854" s="549"/>
      <c r="G11854" s="549" t="s">
        <v>21</v>
      </c>
      <c r="H11854" s="549" t="s">
        <v>118</v>
      </c>
      <c r="I11854" s="558">
        <v>9.26</v>
      </c>
      <c r="J11854" s="567">
        <v>11.1</v>
      </c>
      <c r="K11854" s="648">
        <v>4</v>
      </c>
      <c r="L11854" s="552">
        <f t="shared" si="2429"/>
        <v>0.41114400000000001</v>
      </c>
      <c r="M11854" s="549"/>
      <c r="N11854" s="549"/>
      <c r="O11854" s="549"/>
      <c r="P11854" s="549"/>
    </row>
    <row r="11855" spans="1:17" ht="17.399999999999999">
      <c r="A11855" s="549"/>
      <c r="B11855" s="549"/>
      <c r="C11855" s="549"/>
      <c r="D11855" s="549"/>
      <c r="E11855" s="549"/>
      <c r="F11855" s="549"/>
      <c r="G11855" s="549"/>
      <c r="H11855" s="549"/>
      <c r="I11855" s="558"/>
      <c r="J11855" s="567"/>
      <c r="K11855" s="648">
        <f t="shared" ref="K11855:M11855" si="2430">SUM(K11853:K11854)</f>
        <v>9</v>
      </c>
      <c r="L11855" s="567">
        <f t="shared" ref="L11855:N11855" si="2431">SUM(L11853:L11854)</f>
        <v>0.87414400000000003</v>
      </c>
      <c r="M11855" s="648">
        <f t="shared" si="2430"/>
        <v>0</v>
      </c>
      <c r="N11855" s="567">
        <f t="shared" si="2431"/>
        <v>0</v>
      </c>
      <c r="O11855" s="549"/>
      <c r="P11855" s="549" t="s">
        <v>1417</v>
      </c>
    </row>
    <row r="11856" spans="1:17" s="1511" customFormat="1" ht="17.399999999999999">
      <c r="A11856" s="549"/>
      <c r="B11856" s="549"/>
      <c r="C11856" s="549"/>
      <c r="D11856" s="549"/>
      <c r="E11856" s="549"/>
      <c r="F11856" s="549"/>
      <c r="G11856" s="549"/>
      <c r="H11856" s="549"/>
      <c r="I11856" s="558"/>
      <c r="J11856" s="567"/>
      <c r="K11856" s="648"/>
      <c r="L11856" s="567"/>
      <c r="M11856" s="549"/>
      <c r="N11856" s="549"/>
      <c r="O11856" s="549"/>
      <c r="P11856" s="549"/>
    </row>
    <row r="11857" spans="1:20" ht="17.399999999999999">
      <c r="A11857" s="547" t="s">
        <v>272</v>
      </c>
      <c r="B11857" s="852" t="s">
        <v>1361</v>
      </c>
      <c r="C11857" s="547" t="s">
        <v>446</v>
      </c>
      <c r="D11857" s="813" t="s">
        <v>447</v>
      </c>
      <c r="E11857" s="547" t="s">
        <v>359</v>
      </c>
      <c r="F11857" s="550">
        <v>12</v>
      </c>
      <c r="G11857" s="549" t="s">
        <v>21</v>
      </c>
      <c r="H11857" s="599" t="s">
        <v>118</v>
      </c>
      <c r="I11857" s="558">
        <v>9.26</v>
      </c>
      <c r="J11857" s="567">
        <v>7.25</v>
      </c>
      <c r="K11857" s="648">
        <v>9</v>
      </c>
      <c r="L11857" s="552">
        <f>(I11857*J11857*K11857/1000)</f>
        <v>0.60421500000000006</v>
      </c>
      <c r="M11857" s="549"/>
      <c r="N11857" s="549"/>
      <c r="O11857" s="549"/>
      <c r="P11857" s="549"/>
      <c r="Q11857" s="1511" t="s">
        <v>1477</v>
      </c>
    </row>
    <row r="11858" spans="1:20" ht="17.399999999999999">
      <c r="A11858" s="549"/>
      <c r="B11858" s="549"/>
      <c r="C11858" s="549"/>
      <c r="D11858" s="549"/>
      <c r="E11858" s="549"/>
      <c r="F11858" s="549"/>
      <c r="G11858" s="549" t="s">
        <v>21</v>
      </c>
      <c r="H11858" s="549" t="s">
        <v>118</v>
      </c>
      <c r="I11858" s="558">
        <v>9.26</v>
      </c>
      <c r="J11858" s="567">
        <v>10.5</v>
      </c>
      <c r="K11858" s="648">
        <v>44</v>
      </c>
      <c r="L11858" s="552">
        <f>(I11858*J11858*K11858/1000)</f>
        <v>4.2781199999999995</v>
      </c>
      <c r="M11858" s="549"/>
      <c r="N11858" s="549"/>
      <c r="O11858" s="549"/>
      <c r="P11858" s="549"/>
    </row>
    <row r="11859" spans="1:20" ht="17.399999999999999">
      <c r="A11859" s="549"/>
      <c r="B11859" s="549"/>
      <c r="C11859" s="549"/>
      <c r="D11859" s="549"/>
      <c r="E11859" s="549"/>
      <c r="F11859" s="549"/>
      <c r="G11859" s="549" t="s">
        <v>21</v>
      </c>
      <c r="H11859" s="549" t="s">
        <v>118</v>
      </c>
      <c r="I11859" s="558">
        <v>9.26</v>
      </c>
      <c r="J11859" s="567">
        <v>12</v>
      </c>
      <c r="K11859" s="648">
        <v>9</v>
      </c>
      <c r="L11859" s="552">
        <f>(I11859*J11859*K11859/1000)</f>
        <v>1.0000800000000001</v>
      </c>
      <c r="M11859" s="549"/>
      <c r="N11859" s="549"/>
      <c r="O11859" s="549"/>
      <c r="P11859" s="549"/>
    </row>
    <row r="11860" spans="1:20" ht="17.399999999999999">
      <c r="A11860" s="549"/>
      <c r="B11860" s="549"/>
      <c r="C11860" s="549"/>
      <c r="D11860" s="549"/>
      <c r="E11860" s="549"/>
      <c r="F11860" s="549"/>
      <c r="G11860" s="549"/>
      <c r="H11860" s="549"/>
      <c r="I11860" s="558"/>
      <c r="J11860" s="567"/>
      <c r="K11860" s="648">
        <f t="shared" ref="K11860:M11860" si="2432">SUM(K11857:K11859)</f>
        <v>62</v>
      </c>
      <c r="L11860" s="567">
        <f>SUM(L11857:L11859)</f>
        <v>5.8824149999999999</v>
      </c>
      <c r="M11860" s="648">
        <f t="shared" si="2432"/>
        <v>0</v>
      </c>
      <c r="N11860" s="567">
        <f t="shared" ref="N11860" si="2433">SUM(N11857:N11859)</f>
        <v>0</v>
      </c>
      <c r="O11860" s="549"/>
      <c r="P11860" s="549" t="s">
        <v>1417</v>
      </c>
    </row>
    <row r="11861" spans="1:20" s="1511" customFormat="1" ht="17.399999999999999">
      <c r="A11861" s="549"/>
      <c r="B11861" s="549"/>
      <c r="C11861" s="549"/>
      <c r="D11861" s="549"/>
      <c r="E11861" s="549"/>
      <c r="F11861" s="549"/>
      <c r="G11861" s="549"/>
      <c r="H11861" s="549"/>
      <c r="I11861" s="558"/>
      <c r="J11861" s="567"/>
      <c r="K11861" s="648"/>
      <c r="L11861" s="567"/>
      <c r="M11861" s="648"/>
      <c r="N11861" s="567"/>
      <c r="O11861" s="549"/>
      <c r="P11861" s="549"/>
    </row>
    <row r="11862" spans="1:20" s="1511" customFormat="1" ht="17.399999999999999">
      <c r="A11862" s="547" t="s">
        <v>1400</v>
      </c>
      <c r="B11862" s="1169" t="s">
        <v>308</v>
      </c>
      <c r="C11862" s="547" t="s">
        <v>446</v>
      </c>
      <c r="D11862" s="813" t="s">
        <v>447</v>
      </c>
      <c r="E11862" s="547" t="s">
        <v>359</v>
      </c>
      <c r="F11862" s="550">
        <v>12</v>
      </c>
      <c r="G11862" s="549" t="s">
        <v>21</v>
      </c>
      <c r="H11862" s="1622" t="s">
        <v>118</v>
      </c>
      <c r="I11862" s="558">
        <v>9.26</v>
      </c>
      <c r="J11862" s="567">
        <v>7.1</v>
      </c>
      <c r="K11862" s="648">
        <v>18</v>
      </c>
      <c r="L11862" s="552">
        <f>(I11862*J11862*K11862/1000)</f>
        <v>1.1834279999999999</v>
      </c>
      <c r="M11862" s="549"/>
      <c r="N11862" s="549"/>
      <c r="O11862" s="549"/>
      <c r="P11862" s="549"/>
    </row>
    <row r="11863" spans="1:20" s="1511" customFormat="1" ht="17.399999999999999">
      <c r="A11863" s="549"/>
      <c r="B11863" s="964" t="s">
        <v>73</v>
      </c>
      <c r="C11863" s="549"/>
      <c r="D11863" s="549"/>
      <c r="E11863" s="549"/>
      <c r="F11863" s="549"/>
      <c r="G11863" s="549" t="s">
        <v>21</v>
      </c>
      <c r="H11863" s="549" t="s">
        <v>118</v>
      </c>
      <c r="I11863" s="558">
        <v>9.26</v>
      </c>
      <c r="J11863" s="567">
        <v>7.7</v>
      </c>
      <c r="K11863" s="648">
        <v>8</v>
      </c>
      <c r="L11863" s="552">
        <f>(I11863*J11863*K11863/1000)</f>
        <v>0.57041600000000003</v>
      </c>
      <c r="M11863" s="549"/>
      <c r="N11863" s="549"/>
      <c r="O11863" s="549"/>
      <c r="P11863" s="549"/>
    </row>
    <row r="11864" spans="1:20" s="1511" customFormat="1" ht="17.399999999999999">
      <c r="A11864" s="549"/>
      <c r="B11864" s="549"/>
      <c r="C11864" s="549"/>
      <c r="D11864" s="549"/>
      <c r="E11864" s="549"/>
      <c r="F11864" s="549"/>
      <c r="G11864" s="549"/>
      <c r="H11864" s="549"/>
      <c r="I11864" s="558"/>
      <c r="J11864" s="567"/>
      <c r="K11864" s="648">
        <f>SUM(K11862:K11863)</f>
        <v>26</v>
      </c>
      <c r="L11864" s="567">
        <f>SUM(L11862:L11863)</f>
        <v>1.753844</v>
      </c>
      <c r="M11864" s="648">
        <f>SUM(M11862:M11863)</f>
        <v>0</v>
      </c>
      <c r="N11864" s="567">
        <f>SUM(N11862:N11863)</f>
        <v>0</v>
      </c>
      <c r="O11864" s="549"/>
      <c r="P11864" s="549"/>
    </row>
    <row r="11865" spans="1:20" s="1511" customFormat="1" ht="17.399999999999999">
      <c r="A11865" s="549"/>
      <c r="B11865" s="549"/>
      <c r="C11865" s="549"/>
      <c r="D11865" s="549"/>
      <c r="E11865" s="549"/>
      <c r="F11865" s="549"/>
      <c r="G11865" s="549"/>
      <c r="H11865" s="549"/>
      <c r="I11865" s="558"/>
      <c r="J11865" s="567"/>
      <c r="K11865" s="648">
        <f>SUM(K11841:K11864)/2</f>
        <v>641</v>
      </c>
      <c r="L11865" s="567">
        <f>SUM(L11841:L11864)/2</f>
        <v>53.719111999999988</v>
      </c>
      <c r="M11865" s="648">
        <f>SUM(M11841:M11864)/2</f>
        <v>144</v>
      </c>
      <c r="N11865" s="567">
        <f>SUM(N11841:N11864)/2</f>
        <v>10.315640000000002</v>
      </c>
      <c r="O11865" s="549"/>
      <c r="P11865" s="549"/>
    </row>
    <row r="11866" spans="1:20" s="1511" customFormat="1" ht="17.399999999999999">
      <c r="A11866" s="549"/>
      <c r="B11866" s="549"/>
      <c r="C11866" s="549"/>
      <c r="D11866" s="549"/>
      <c r="E11866" s="549"/>
      <c r="F11866" s="549"/>
      <c r="G11866" s="549"/>
      <c r="H11866" s="549"/>
      <c r="I11866" s="558"/>
      <c r="J11866" s="567"/>
      <c r="K11866" s="648"/>
      <c r="L11866" s="567"/>
      <c r="M11866" s="549"/>
      <c r="N11866" s="549"/>
      <c r="O11866" s="549"/>
      <c r="P11866" s="549"/>
    </row>
    <row r="11867" spans="1:20" s="1511" customFormat="1" ht="17.399999999999999">
      <c r="A11867" s="549"/>
      <c r="B11867" s="549"/>
      <c r="C11867" s="549"/>
      <c r="D11867" s="549"/>
      <c r="E11867" s="549"/>
      <c r="F11867" s="549"/>
      <c r="G11867" s="549"/>
      <c r="H11867" s="549"/>
      <c r="I11867" s="558"/>
      <c r="J11867" s="567"/>
      <c r="K11867" s="648"/>
      <c r="L11867" s="567"/>
      <c r="M11867" s="549"/>
      <c r="N11867" s="549"/>
      <c r="O11867" s="549"/>
      <c r="P11867" s="549"/>
    </row>
    <row r="11868" spans="1:20" ht="17.399999999999999">
      <c r="A11868" s="549"/>
      <c r="B11868" s="549"/>
      <c r="C11868" s="549"/>
      <c r="D11868" s="549"/>
      <c r="E11868" s="549"/>
      <c r="F11868" s="549"/>
      <c r="G11868" s="549"/>
      <c r="H11868" s="549"/>
      <c r="I11868" s="558"/>
      <c r="J11868" s="549"/>
      <c r="K11868" s="561"/>
      <c r="L11868" s="560"/>
      <c r="M11868" s="549"/>
      <c r="N11868" s="549"/>
      <c r="O11868" s="549"/>
      <c r="P11868" s="549"/>
    </row>
    <row r="11869" spans="1:20" ht="17.399999999999999">
      <c r="A11869" s="547" t="s">
        <v>272</v>
      </c>
      <c r="B11869" s="852" t="s">
        <v>1364</v>
      </c>
      <c r="C11869" s="547" t="s">
        <v>19</v>
      </c>
      <c r="D11869" s="813" t="s">
        <v>854</v>
      </c>
      <c r="E11869" s="547" t="s">
        <v>359</v>
      </c>
      <c r="F11869" s="550">
        <v>12</v>
      </c>
      <c r="G11869" s="549" t="s">
        <v>21</v>
      </c>
      <c r="H11869" s="599" t="s">
        <v>118</v>
      </c>
      <c r="I11869" s="558">
        <v>9.26</v>
      </c>
      <c r="J11869" s="567">
        <v>9.5</v>
      </c>
      <c r="K11869" s="648">
        <v>144</v>
      </c>
      <c r="L11869" s="552">
        <f t="shared" ref="L11869:L11871" si="2434">(I11869*J11869*K11869/1000)</f>
        <v>12.667680000000001</v>
      </c>
      <c r="M11869" s="549">
        <f>3+3+2+1+2</f>
        <v>11</v>
      </c>
      <c r="N11869" s="567">
        <f>J11869*M11869*I11869/1000</f>
        <v>0.96766999999999992</v>
      </c>
      <c r="O11869" s="549"/>
      <c r="P11869" s="549"/>
      <c r="Q11869" s="1511" t="s">
        <v>1475</v>
      </c>
      <c r="T11869">
        <v>19</v>
      </c>
    </row>
    <row r="11870" spans="1:20" ht="17.399999999999999">
      <c r="A11870" s="549"/>
      <c r="B11870" s="559" t="s">
        <v>277</v>
      </c>
      <c r="C11870" s="549"/>
      <c r="D11870" s="549"/>
      <c r="E11870" s="549"/>
      <c r="F11870" s="549"/>
      <c r="G11870" s="549" t="s">
        <v>21</v>
      </c>
      <c r="H11870" s="549" t="s">
        <v>118</v>
      </c>
      <c r="I11870" s="558">
        <v>9.26</v>
      </c>
      <c r="J11870" s="567">
        <v>10.5</v>
      </c>
      <c r="K11870" s="648">
        <v>80</v>
      </c>
      <c r="L11870" s="552">
        <f t="shared" si="2434"/>
        <v>7.7784000000000004</v>
      </c>
      <c r="M11870" s="549">
        <f>8+3+2+4+5</f>
        <v>22</v>
      </c>
      <c r="N11870" s="567">
        <f>J11870*M11870*I11870/1000</f>
        <v>2.1390599999999997</v>
      </c>
      <c r="O11870" s="549"/>
      <c r="P11870" s="549"/>
      <c r="T11870">
        <v>15</v>
      </c>
    </row>
    <row r="11871" spans="1:20" ht="17.399999999999999">
      <c r="A11871" s="549"/>
      <c r="B11871" s="549"/>
      <c r="C11871" s="549"/>
      <c r="D11871" s="549"/>
      <c r="E11871" s="549"/>
      <c r="F11871" s="549"/>
      <c r="G11871" s="549" t="s">
        <v>21</v>
      </c>
      <c r="H11871" s="549" t="s">
        <v>118</v>
      </c>
      <c r="I11871" s="558">
        <v>9.26</v>
      </c>
      <c r="J11871" s="567">
        <v>12</v>
      </c>
      <c r="K11871" s="648">
        <v>2</v>
      </c>
      <c r="L11871" s="552">
        <f t="shared" si="2434"/>
        <v>0.22224000000000002</v>
      </c>
      <c r="M11871" s="549">
        <v>2</v>
      </c>
      <c r="N11871" s="567">
        <f>J11871*M11871*I11871/1000</f>
        <v>0.22224000000000002</v>
      </c>
      <c r="O11871" s="549"/>
      <c r="P11871" s="549"/>
      <c r="T11871">
        <v>2</v>
      </c>
    </row>
    <row r="11872" spans="1:20" ht="17.399999999999999">
      <c r="A11872" s="549"/>
      <c r="B11872" s="549"/>
      <c r="C11872" s="549"/>
      <c r="D11872" s="549"/>
      <c r="E11872" s="549"/>
      <c r="F11872" s="549"/>
      <c r="G11872" s="549"/>
      <c r="H11872" s="549"/>
      <c r="I11872" s="558"/>
      <c r="J11872" s="567"/>
      <c r="K11872" s="648">
        <f>SUM(K11869:K11871)</f>
        <v>226</v>
      </c>
      <c r="L11872" s="567">
        <f>SUM(L11869:L11871)</f>
        <v>20.668320000000001</v>
      </c>
      <c r="M11872" s="648">
        <f>SUM(M11869:M11871)</f>
        <v>35</v>
      </c>
      <c r="N11872" s="567">
        <f>SUM(N11869:N11871)</f>
        <v>3.32897</v>
      </c>
      <c r="O11872" s="549"/>
      <c r="P11872" s="549" t="s">
        <v>1418</v>
      </c>
    </row>
    <row r="11873" spans="1:19" s="1511" customFormat="1" ht="17.399999999999999">
      <c r="A11873" s="549"/>
      <c r="B11873" s="549"/>
      <c r="C11873" s="549"/>
      <c r="D11873" s="549"/>
      <c r="E11873" s="549"/>
      <c r="F11873" s="549"/>
      <c r="G11873" s="549"/>
      <c r="H11873" s="549"/>
      <c r="I11873" s="558"/>
      <c r="J11873" s="567"/>
      <c r="K11873" s="648"/>
      <c r="L11873" s="567"/>
      <c r="M11873" s="549"/>
      <c r="N11873" s="549"/>
      <c r="O11873" s="549"/>
      <c r="P11873" s="549"/>
    </row>
    <row r="11874" spans="1:19" s="1511" customFormat="1" ht="17.399999999999999">
      <c r="A11874" s="549"/>
      <c r="B11874" s="549"/>
      <c r="C11874" s="549"/>
      <c r="D11874" s="549"/>
      <c r="E11874" s="549"/>
      <c r="F11874" s="549"/>
      <c r="G11874" s="549"/>
      <c r="H11874" s="549"/>
      <c r="I11874" s="558"/>
      <c r="J11874" s="567"/>
      <c r="K11874" s="648"/>
      <c r="L11874" s="567"/>
      <c r="M11874" s="549"/>
      <c r="N11874" s="549"/>
      <c r="O11874" s="549"/>
      <c r="P11874" s="549"/>
    </row>
    <row r="11875" spans="1:19" ht="17.399999999999999">
      <c r="A11875" s="549"/>
      <c r="B11875" s="549"/>
      <c r="C11875" s="549"/>
      <c r="D11875" s="549"/>
      <c r="E11875" s="549"/>
      <c r="F11875" s="549"/>
      <c r="G11875" s="549"/>
      <c r="H11875" s="549"/>
      <c r="I11875" s="558"/>
      <c r="J11875" s="549"/>
      <c r="K11875" s="561"/>
      <c r="L11875" s="560"/>
      <c r="M11875" s="549"/>
      <c r="N11875" s="549"/>
      <c r="O11875" s="549"/>
      <c r="P11875" s="549"/>
    </row>
    <row r="11876" spans="1:19" ht="17.399999999999999">
      <c r="A11876" s="547" t="s">
        <v>272</v>
      </c>
      <c r="B11876" s="852" t="s">
        <v>1364</v>
      </c>
      <c r="C11876" s="547" t="s">
        <v>19</v>
      </c>
      <c r="D11876" s="813" t="s">
        <v>60</v>
      </c>
      <c r="E11876" s="547" t="s">
        <v>270</v>
      </c>
      <c r="F11876" s="550">
        <v>8.5</v>
      </c>
      <c r="G11876" s="549" t="s">
        <v>61</v>
      </c>
      <c r="H11876" s="599" t="s">
        <v>118</v>
      </c>
      <c r="I11876" s="558">
        <v>9.26</v>
      </c>
      <c r="J11876" s="567">
        <v>7.6</v>
      </c>
      <c r="K11876" s="648">
        <v>169</v>
      </c>
      <c r="L11876" s="552">
        <f t="shared" ref="L11876:L11878" si="2435">(I11876*J11876*K11876/1000)</f>
        <v>11.893543999999999</v>
      </c>
      <c r="M11876" s="549">
        <v>16</v>
      </c>
      <c r="N11876" s="567">
        <f>J11876*M11876*I11876/1000</f>
        <v>1.1260159999999999</v>
      </c>
      <c r="O11876" s="549"/>
      <c r="P11876" s="549"/>
      <c r="Q11876" s="1511" t="s">
        <v>1482</v>
      </c>
      <c r="S11876">
        <f>50.9*92%</f>
        <v>46.828000000000003</v>
      </c>
    </row>
    <row r="11877" spans="1:19" ht="17.399999999999999">
      <c r="A11877" s="549"/>
      <c r="B11877" s="559" t="s">
        <v>277</v>
      </c>
      <c r="C11877" s="549"/>
      <c r="D11877" s="549"/>
      <c r="E11877" s="549"/>
      <c r="F11877" s="549"/>
      <c r="G11877" s="549" t="s">
        <v>61</v>
      </c>
      <c r="H11877" s="549" t="s">
        <v>118</v>
      </c>
      <c r="I11877" s="558">
        <v>9.26</v>
      </c>
      <c r="J11877" s="567">
        <v>10.5</v>
      </c>
      <c r="K11877" s="648">
        <v>17</v>
      </c>
      <c r="L11877" s="552">
        <f t="shared" si="2435"/>
        <v>1.6529100000000001</v>
      </c>
      <c r="M11877" s="549"/>
      <c r="N11877" s="549"/>
      <c r="O11877" s="549"/>
      <c r="P11877" s="549"/>
    </row>
    <row r="11878" spans="1:19" ht="17.399999999999999">
      <c r="A11878" s="549"/>
      <c r="B11878" s="549"/>
      <c r="C11878" s="549"/>
      <c r="D11878" s="549"/>
      <c r="E11878" s="549"/>
      <c r="F11878" s="549"/>
      <c r="G11878" s="549" t="s">
        <v>61</v>
      </c>
      <c r="H11878" s="549" t="s">
        <v>118</v>
      </c>
      <c r="I11878" s="558">
        <v>9.26</v>
      </c>
      <c r="J11878" s="567">
        <v>11</v>
      </c>
      <c r="K11878" s="648">
        <v>76</v>
      </c>
      <c r="L11878" s="552">
        <f t="shared" si="2435"/>
        <v>7.7413599999999994</v>
      </c>
      <c r="M11878" s="549"/>
      <c r="N11878" s="549"/>
      <c r="O11878" s="549"/>
      <c r="P11878" s="549"/>
      <c r="S11878">
        <f>57.114-S11876</f>
        <v>10.285999999999994</v>
      </c>
    </row>
    <row r="11879" spans="1:19" ht="17.399999999999999">
      <c r="A11879" s="549"/>
      <c r="B11879" s="549"/>
      <c r="C11879" s="549"/>
      <c r="D11879" s="549"/>
      <c r="E11879" s="549"/>
      <c r="F11879" s="549"/>
      <c r="G11879" s="549"/>
      <c r="H11879" s="549"/>
      <c r="I11879" s="558"/>
      <c r="J11879" s="567"/>
      <c r="K11879" s="648">
        <f t="shared" ref="K11879:N11879" si="2436">SUM(K11876:K11878)</f>
        <v>262</v>
      </c>
      <c r="L11879" s="567">
        <f t="shared" si="2436"/>
        <v>21.287813999999997</v>
      </c>
      <c r="M11879" s="648">
        <f t="shared" si="2436"/>
        <v>16</v>
      </c>
      <c r="N11879" s="567">
        <f t="shared" si="2436"/>
        <v>1.1260159999999999</v>
      </c>
      <c r="O11879" s="549"/>
      <c r="P11879" s="549" t="s">
        <v>1427</v>
      </c>
    </row>
    <row r="11880" spans="1:19" s="1511" customFormat="1" ht="17.399999999999999">
      <c r="A11880" s="549"/>
      <c r="B11880" s="549"/>
      <c r="C11880" s="549"/>
      <c r="D11880" s="549"/>
      <c r="E11880" s="549"/>
      <c r="F11880" s="549"/>
      <c r="G11880" s="549"/>
      <c r="H11880" s="549"/>
      <c r="I11880" s="558"/>
      <c r="J11880" s="567"/>
      <c r="K11880" s="648"/>
      <c r="L11880" s="567"/>
      <c r="M11880" s="549"/>
      <c r="N11880" s="549"/>
      <c r="O11880" s="549"/>
      <c r="P11880" s="549"/>
    </row>
    <row r="11881" spans="1:19" s="1511" customFormat="1" ht="17.399999999999999">
      <c r="A11881" s="549"/>
      <c r="B11881" s="549"/>
      <c r="C11881" s="549"/>
      <c r="D11881" s="549"/>
      <c r="E11881" s="549"/>
      <c r="F11881" s="549"/>
      <c r="G11881" s="549"/>
      <c r="H11881" s="549"/>
      <c r="I11881" s="558"/>
      <c r="J11881" s="567"/>
      <c r="K11881" s="648"/>
      <c r="L11881" s="567"/>
      <c r="M11881" s="549"/>
      <c r="N11881" s="549"/>
      <c r="O11881" s="549"/>
      <c r="P11881" s="549"/>
    </row>
    <row r="11882" spans="1:19" s="1511" customFormat="1" ht="17.399999999999999">
      <c r="A11882" s="547" t="s">
        <v>83</v>
      </c>
      <c r="B11882" s="547" t="s">
        <v>1406</v>
      </c>
      <c r="C11882" s="547" t="s">
        <v>19</v>
      </c>
      <c r="D11882" s="813" t="s">
        <v>60</v>
      </c>
      <c r="E11882" s="547" t="s">
        <v>247</v>
      </c>
      <c r="F11882" s="550">
        <v>12</v>
      </c>
      <c r="G11882" s="549" t="s">
        <v>61</v>
      </c>
      <c r="H11882" s="599" t="s">
        <v>118</v>
      </c>
      <c r="I11882" s="558">
        <v>9.26</v>
      </c>
      <c r="J11882" s="647">
        <v>6.35</v>
      </c>
      <c r="K11882" s="648">
        <v>4</v>
      </c>
      <c r="L11882" s="552">
        <f>(I11882*J11882*K11882/1000)</f>
        <v>0.23520399999999997</v>
      </c>
      <c r="M11882" s="549"/>
      <c r="N11882" s="549"/>
      <c r="O11882" s="549"/>
      <c r="P11882" s="549"/>
      <c r="Q11882" s="1511" t="s">
        <v>1482</v>
      </c>
      <c r="S11882" s="1511">
        <f>91.46+37.761+2.894</f>
        <v>132.11500000000001</v>
      </c>
    </row>
    <row r="11883" spans="1:19" s="1511" customFormat="1" ht="17.399999999999999">
      <c r="A11883" s="549"/>
      <c r="B11883" s="717" t="s">
        <v>52</v>
      </c>
      <c r="C11883" s="549"/>
      <c r="D11883" s="549"/>
      <c r="E11883" s="549"/>
      <c r="F11883" s="549"/>
      <c r="G11883" s="549" t="s">
        <v>61</v>
      </c>
      <c r="H11883" s="549" t="s">
        <v>118</v>
      </c>
      <c r="I11883" s="558">
        <v>9.26</v>
      </c>
      <c r="J11883" s="647">
        <v>9.1999999999999993</v>
      </c>
      <c r="K11883" s="648">
        <v>16</v>
      </c>
      <c r="L11883" s="552">
        <f>(I11883*J11883*K11883/1000)</f>
        <v>1.3630719999999998</v>
      </c>
      <c r="M11883" s="549"/>
      <c r="N11883" s="549"/>
      <c r="O11883" s="549"/>
      <c r="P11883" s="549"/>
    </row>
    <row r="11884" spans="1:19" s="1511" customFormat="1" ht="17.399999999999999">
      <c r="A11884" s="549"/>
      <c r="B11884" s="549"/>
      <c r="C11884" s="549"/>
      <c r="D11884" s="549"/>
      <c r="E11884" s="549"/>
      <c r="F11884" s="549"/>
      <c r="G11884" s="549"/>
      <c r="H11884" s="549"/>
      <c r="I11884" s="558"/>
      <c r="J11884" s="567"/>
      <c r="K11884" s="648">
        <f>SUM(K11882:K11883)</f>
        <v>20</v>
      </c>
      <c r="L11884" s="567">
        <f>SUM(L11882:L11883)</f>
        <v>1.5982759999999998</v>
      </c>
      <c r="M11884" s="549"/>
      <c r="N11884" s="549"/>
      <c r="O11884" s="549"/>
      <c r="P11884" s="549" t="s">
        <v>1428</v>
      </c>
    </row>
    <row r="11885" spans="1:19" s="1511" customFormat="1" ht="17.399999999999999">
      <c r="A11885" s="549"/>
      <c r="B11885" s="549"/>
      <c r="C11885" s="549"/>
      <c r="D11885" s="549"/>
      <c r="E11885" s="549"/>
      <c r="F11885" s="549"/>
      <c r="G11885" s="549"/>
      <c r="H11885" s="549"/>
      <c r="I11885" s="558"/>
      <c r="J11885" s="567"/>
      <c r="K11885" s="648">
        <f>+K11884+K11879</f>
        <v>282</v>
      </c>
      <c r="L11885" s="567">
        <f>+L11884+L11879</f>
        <v>22.886089999999996</v>
      </c>
      <c r="M11885" s="549"/>
      <c r="N11885" s="567">
        <f>+N11884+N11879</f>
        <v>1.1260159999999999</v>
      </c>
      <c r="O11885" s="549"/>
      <c r="P11885" s="549"/>
    </row>
    <row r="11886" spans="1:19" s="1511" customFormat="1" ht="17.399999999999999">
      <c r="A11886" s="549"/>
      <c r="B11886" s="549"/>
      <c r="C11886" s="549"/>
      <c r="D11886" s="549"/>
      <c r="E11886" s="549"/>
      <c r="F11886" s="549"/>
      <c r="G11886" s="549"/>
      <c r="H11886" s="549"/>
      <c r="I11886" s="558"/>
      <c r="J11886" s="567"/>
      <c r="K11886" s="648"/>
      <c r="L11886" s="567"/>
      <c r="M11886" s="549"/>
      <c r="N11886" s="549"/>
      <c r="O11886" s="549"/>
      <c r="P11886" s="549"/>
    </row>
    <row r="11887" spans="1:19" s="1511" customFormat="1" ht="17.399999999999999">
      <c r="A11887" s="549"/>
      <c r="B11887" s="549"/>
      <c r="C11887" s="549"/>
      <c r="D11887" s="549"/>
      <c r="E11887" s="549"/>
      <c r="F11887" s="549"/>
      <c r="G11887" s="549"/>
      <c r="H11887" s="549"/>
      <c r="I11887" s="558"/>
      <c r="J11887" s="567"/>
      <c r="K11887" s="648"/>
      <c r="L11887" s="567"/>
      <c r="M11887" s="549"/>
      <c r="N11887" s="549"/>
      <c r="O11887" s="549"/>
      <c r="P11887" s="549"/>
    </row>
    <row r="11888" spans="1:19" ht="17.399999999999999">
      <c r="A11888" s="549"/>
      <c r="B11888" s="549"/>
      <c r="C11888" s="549"/>
      <c r="D11888" s="549"/>
      <c r="E11888" s="549"/>
      <c r="F11888" s="549"/>
      <c r="G11888" s="549"/>
      <c r="H11888" s="549"/>
      <c r="I11888" s="558"/>
      <c r="J11888" s="549"/>
      <c r="K11888" s="561"/>
      <c r="L11888" s="560"/>
      <c r="M11888" s="549"/>
      <c r="N11888" s="549"/>
      <c r="O11888" s="549"/>
      <c r="P11888" s="549"/>
    </row>
    <row r="11889" spans="1:17" ht="17.399999999999999">
      <c r="A11889" s="547" t="s">
        <v>83</v>
      </c>
      <c r="B11889" s="547" t="s">
        <v>1360</v>
      </c>
      <c r="C11889" s="547" t="s">
        <v>446</v>
      </c>
      <c r="D11889" s="813" t="s">
        <v>450</v>
      </c>
      <c r="E11889" s="547" t="s">
        <v>270</v>
      </c>
      <c r="F11889" s="550">
        <v>8.5</v>
      </c>
      <c r="G11889" s="549" t="s">
        <v>61</v>
      </c>
      <c r="H11889" s="599" t="s">
        <v>118</v>
      </c>
      <c r="I11889" s="558">
        <v>9.26</v>
      </c>
      <c r="J11889" s="567">
        <v>12</v>
      </c>
      <c r="K11889" s="648">
        <v>13</v>
      </c>
      <c r="L11889" s="552">
        <f>(I11889*J11889*K11889/1000)</f>
        <v>1.4445599999999998</v>
      </c>
      <c r="M11889" s="549"/>
      <c r="N11889" s="549"/>
      <c r="O11889" s="549"/>
      <c r="P11889" s="549"/>
      <c r="Q11889" s="1511" t="s">
        <v>1482</v>
      </c>
    </row>
    <row r="11890" spans="1:17" ht="17.399999999999999">
      <c r="A11890" s="549"/>
      <c r="B11890" s="549"/>
      <c r="C11890" s="549"/>
      <c r="D11890" s="549"/>
      <c r="E11890" s="549"/>
      <c r="F11890" s="549"/>
      <c r="G11890" s="549"/>
      <c r="H11890" s="549"/>
      <c r="I11890" s="558"/>
      <c r="J11890" s="567"/>
      <c r="K11890" s="648">
        <f t="shared" ref="K11890:L11890" si="2437">SUM(K11889)</f>
        <v>13</v>
      </c>
      <c r="L11890" s="567">
        <f t="shared" si="2437"/>
        <v>1.4445599999999998</v>
      </c>
      <c r="M11890" s="549"/>
      <c r="N11890" s="549"/>
      <c r="O11890" s="549"/>
      <c r="P11890" s="549"/>
    </row>
    <row r="11891" spans="1:17" ht="17.399999999999999">
      <c r="A11891" s="549"/>
      <c r="B11891" s="549"/>
      <c r="C11891" s="549"/>
      <c r="D11891" s="549"/>
      <c r="E11891" s="549"/>
      <c r="F11891" s="549"/>
      <c r="G11891" s="549"/>
      <c r="H11891" s="549"/>
      <c r="I11891" s="558"/>
      <c r="J11891" s="549"/>
      <c r="K11891" s="561"/>
      <c r="L11891" s="560"/>
      <c r="M11891" s="549"/>
      <c r="N11891" s="549"/>
      <c r="O11891" s="549"/>
      <c r="P11891" s="549"/>
    </row>
    <row r="11892" spans="1:17" ht="17.399999999999999">
      <c r="A11892" s="547" t="s">
        <v>272</v>
      </c>
      <c r="B11892" s="547" t="s">
        <v>1363</v>
      </c>
      <c r="C11892" s="547" t="s">
        <v>446</v>
      </c>
      <c r="D11892" s="813" t="s">
        <v>450</v>
      </c>
      <c r="E11892" s="547" t="s">
        <v>270</v>
      </c>
      <c r="F11892" s="550">
        <v>8.5</v>
      </c>
      <c r="G11892" s="549" t="s">
        <v>61</v>
      </c>
      <c r="H11892" s="599" t="s">
        <v>118</v>
      </c>
      <c r="I11892" s="558">
        <v>9.26</v>
      </c>
      <c r="J11892" s="567">
        <v>7.75</v>
      </c>
      <c r="K11892" s="648">
        <v>4</v>
      </c>
      <c r="L11892" s="552">
        <f t="shared" ref="L11892:L11894" si="2438">(I11892*J11892*K11892/1000)</f>
        <v>0.28705999999999998</v>
      </c>
      <c r="M11892" s="549"/>
      <c r="N11892" s="549"/>
      <c r="O11892" s="549"/>
      <c r="P11892" s="549"/>
      <c r="Q11892" s="1511" t="s">
        <v>1482</v>
      </c>
    </row>
    <row r="11893" spans="1:17" ht="17.399999999999999">
      <c r="A11893" s="549"/>
      <c r="B11893" s="549"/>
      <c r="C11893" s="549"/>
      <c r="D11893" s="549"/>
      <c r="E11893" s="549"/>
      <c r="F11893" s="549"/>
      <c r="G11893" s="549" t="s">
        <v>61</v>
      </c>
      <c r="H11893" s="549" t="s">
        <v>118</v>
      </c>
      <c r="I11893" s="558">
        <v>9.26</v>
      </c>
      <c r="J11893" s="567">
        <v>11</v>
      </c>
      <c r="K11893" s="648">
        <v>14</v>
      </c>
      <c r="L11893" s="552">
        <f t="shared" si="2438"/>
        <v>1.42604</v>
      </c>
      <c r="M11893" s="549"/>
      <c r="N11893" s="549"/>
      <c r="O11893" s="549"/>
      <c r="P11893" s="549"/>
    </row>
    <row r="11894" spans="1:17" ht="17.399999999999999">
      <c r="A11894" s="549"/>
      <c r="B11894" s="549"/>
      <c r="C11894" s="549"/>
      <c r="D11894" s="549"/>
      <c r="E11894" s="549"/>
      <c r="F11894" s="549"/>
      <c r="G11894" s="549" t="s">
        <v>61</v>
      </c>
      <c r="H11894" s="549" t="s">
        <v>118</v>
      </c>
      <c r="I11894" s="558">
        <v>9.26</v>
      </c>
      <c r="J11894" s="567">
        <v>12</v>
      </c>
      <c r="K11894" s="648">
        <v>6</v>
      </c>
      <c r="L11894" s="552">
        <f t="shared" si="2438"/>
        <v>0.66671999999999998</v>
      </c>
      <c r="M11894" s="549"/>
      <c r="N11894" s="549"/>
      <c r="O11894" s="549"/>
      <c r="P11894" s="549"/>
    </row>
    <row r="11895" spans="1:17" ht="17.399999999999999">
      <c r="A11895" s="549"/>
      <c r="B11895" s="549"/>
      <c r="C11895" s="549"/>
      <c r="D11895" s="549"/>
      <c r="E11895" s="549"/>
      <c r="F11895" s="549"/>
      <c r="G11895" s="549"/>
      <c r="H11895" s="549"/>
      <c r="I11895" s="558"/>
      <c r="J11895" s="567"/>
      <c r="K11895" s="648">
        <f t="shared" ref="K11895" si="2439">SUM(K11892:K11894)</f>
        <v>24</v>
      </c>
      <c r="L11895" s="567">
        <f t="shared" ref="L11895" si="2440">SUM(L11892:L11894)</f>
        <v>2.3798199999999996</v>
      </c>
      <c r="M11895" s="549"/>
      <c r="N11895" s="549"/>
      <c r="O11895" s="549"/>
      <c r="P11895" s="549"/>
    </row>
    <row r="11896" spans="1:17" s="1511" customFormat="1" ht="17.399999999999999">
      <c r="A11896" s="549"/>
      <c r="B11896" s="549"/>
      <c r="C11896" s="549"/>
      <c r="D11896" s="549"/>
      <c r="E11896" s="549"/>
      <c r="F11896" s="549"/>
      <c r="G11896" s="549"/>
      <c r="H11896" s="549"/>
      <c r="I11896" s="558"/>
      <c r="J11896" s="567"/>
      <c r="K11896" s="648"/>
      <c r="L11896" s="567"/>
      <c r="M11896" s="549"/>
      <c r="N11896" s="549"/>
      <c r="O11896" s="549"/>
      <c r="P11896" s="549"/>
    </row>
    <row r="11897" spans="1:17" ht="17.399999999999999">
      <c r="A11897" s="547" t="s">
        <v>272</v>
      </c>
      <c r="B11897" s="547" t="s">
        <v>1361</v>
      </c>
      <c r="C11897" s="547" t="s">
        <v>446</v>
      </c>
      <c r="D11897" s="813" t="s">
        <v>450</v>
      </c>
      <c r="E11897" s="547" t="s">
        <v>270</v>
      </c>
      <c r="F11897" s="550">
        <v>8.5</v>
      </c>
      <c r="G11897" s="549" t="s">
        <v>61</v>
      </c>
      <c r="H11897" s="599" t="s">
        <v>118</v>
      </c>
      <c r="I11897" s="558">
        <v>9.26</v>
      </c>
      <c r="J11897" s="567">
        <v>7.75</v>
      </c>
      <c r="K11897" s="648">
        <v>3</v>
      </c>
      <c r="L11897" s="552">
        <f t="shared" ref="L11897:L11900" si="2441">(I11897*J11897*K11897/1000)</f>
        <v>0.21529500000000001</v>
      </c>
      <c r="M11897" s="549"/>
      <c r="N11897" s="549"/>
      <c r="O11897" s="549"/>
      <c r="P11897" s="549"/>
      <c r="Q11897" s="1511" t="s">
        <v>1482</v>
      </c>
    </row>
    <row r="11898" spans="1:17" ht="17.399999999999999">
      <c r="A11898" s="549"/>
      <c r="B11898" s="549"/>
      <c r="C11898" s="549"/>
      <c r="D11898" s="549"/>
      <c r="E11898" s="549"/>
      <c r="F11898" s="549"/>
      <c r="G11898" s="549" t="s">
        <v>61</v>
      </c>
      <c r="H11898" s="549" t="s">
        <v>118</v>
      </c>
      <c r="I11898" s="558">
        <v>9.26</v>
      </c>
      <c r="J11898" s="567">
        <v>9.5</v>
      </c>
      <c r="K11898" s="648">
        <v>19</v>
      </c>
      <c r="L11898" s="552">
        <f t="shared" si="2441"/>
        <v>1.67143</v>
      </c>
      <c r="M11898" s="549"/>
      <c r="N11898" s="549"/>
      <c r="O11898" s="549"/>
      <c r="P11898" s="549"/>
    </row>
    <row r="11899" spans="1:17" ht="17.399999999999999">
      <c r="A11899" s="549"/>
      <c r="B11899" s="549"/>
      <c r="C11899" s="549"/>
      <c r="D11899" s="549"/>
      <c r="E11899" s="549"/>
      <c r="F11899" s="549"/>
      <c r="G11899" s="549" t="s">
        <v>61</v>
      </c>
      <c r="H11899" s="549" t="s">
        <v>118</v>
      </c>
      <c r="I11899" s="558">
        <v>9.26</v>
      </c>
      <c r="J11899" s="567">
        <v>10</v>
      </c>
      <c r="K11899" s="648">
        <v>12</v>
      </c>
      <c r="L11899" s="552">
        <f t="shared" si="2441"/>
        <v>1.1111999999999997</v>
      </c>
      <c r="M11899" s="549"/>
      <c r="N11899" s="549"/>
      <c r="O11899" s="549"/>
      <c r="P11899" s="549"/>
    </row>
    <row r="11900" spans="1:17" ht="17.399999999999999">
      <c r="A11900" s="549"/>
      <c r="B11900" s="549"/>
      <c r="C11900" s="549"/>
      <c r="D11900" s="549"/>
      <c r="E11900" s="549"/>
      <c r="F11900" s="549"/>
      <c r="G11900" s="549" t="s">
        <v>61</v>
      </c>
      <c r="H11900" s="549" t="s">
        <v>118</v>
      </c>
      <c r="I11900" s="558">
        <v>9.26</v>
      </c>
      <c r="J11900" s="567">
        <v>12</v>
      </c>
      <c r="K11900" s="648">
        <v>5</v>
      </c>
      <c r="L11900" s="552">
        <f t="shared" si="2441"/>
        <v>0.55559999999999998</v>
      </c>
      <c r="M11900" s="549"/>
      <c r="N11900" s="549"/>
      <c r="O11900" s="549"/>
      <c r="P11900" s="549"/>
    </row>
    <row r="11901" spans="1:17" ht="17.399999999999999">
      <c r="A11901" s="549"/>
      <c r="B11901" s="549"/>
      <c r="C11901" s="549"/>
      <c r="D11901" s="549"/>
      <c r="E11901" s="549"/>
      <c r="F11901" s="549"/>
      <c r="G11901" s="549"/>
      <c r="H11901" s="549"/>
      <c r="I11901" s="558"/>
      <c r="J11901" s="567"/>
      <c r="K11901" s="648">
        <f t="shared" ref="K11901" si="2442">SUM(K11897:K11900)</f>
        <v>39</v>
      </c>
      <c r="L11901" s="567">
        <f>SUM(L11897:L11900)</f>
        <v>3.5535249999999996</v>
      </c>
      <c r="M11901" s="549"/>
      <c r="N11901" s="549"/>
      <c r="O11901" s="549"/>
      <c r="P11901" s="549"/>
    </row>
    <row r="11902" spans="1:17" s="1511" customFormat="1" ht="17.399999999999999">
      <c r="A11902" s="549"/>
      <c r="B11902" s="549"/>
      <c r="C11902" s="549"/>
      <c r="D11902" s="549"/>
      <c r="E11902" s="549"/>
      <c r="F11902" s="549"/>
      <c r="G11902" s="549"/>
      <c r="H11902" s="549"/>
      <c r="I11902" s="558"/>
      <c r="J11902" s="567"/>
      <c r="K11902" s="648"/>
      <c r="L11902" s="567"/>
      <c r="M11902" s="549"/>
      <c r="N11902" s="549"/>
      <c r="O11902" s="549"/>
      <c r="P11902" s="549"/>
    </row>
    <row r="11903" spans="1:17" s="1511" customFormat="1" ht="17.399999999999999">
      <c r="A11903" s="547" t="s">
        <v>272</v>
      </c>
      <c r="B11903" s="547" t="s">
        <v>1397</v>
      </c>
      <c r="C11903" s="547" t="s">
        <v>446</v>
      </c>
      <c r="D11903" s="813" t="s">
        <v>450</v>
      </c>
      <c r="E11903" s="547" t="s">
        <v>270</v>
      </c>
      <c r="F11903" s="550">
        <v>8.5</v>
      </c>
      <c r="G11903" s="549" t="s">
        <v>61</v>
      </c>
      <c r="H11903" s="828" t="s">
        <v>118</v>
      </c>
      <c r="I11903" s="558">
        <v>9.26</v>
      </c>
      <c r="J11903" s="950">
        <v>11.5</v>
      </c>
      <c r="K11903" s="951">
        <v>11</v>
      </c>
      <c r="L11903" s="552">
        <f>(I11903*J11903*K11903/1000)</f>
        <v>1.1713899999999999</v>
      </c>
      <c r="M11903" s="549"/>
      <c r="N11903" s="549"/>
      <c r="O11903" s="549"/>
      <c r="P11903" s="549"/>
    </row>
    <row r="11904" spans="1:17" s="1511" customFormat="1" ht="17.399999999999999">
      <c r="A11904" s="549"/>
      <c r="B11904" s="754" t="s">
        <v>240</v>
      </c>
      <c r="C11904" s="549"/>
      <c r="D11904" s="549"/>
      <c r="E11904" s="549"/>
      <c r="F11904" s="549"/>
      <c r="G11904" s="549" t="s">
        <v>61</v>
      </c>
      <c r="H11904" s="549" t="s">
        <v>118</v>
      </c>
      <c r="I11904" s="558">
        <v>9.26</v>
      </c>
      <c r="J11904" s="950">
        <v>12</v>
      </c>
      <c r="K11904" s="951">
        <v>4</v>
      </c>
      <c r="L11904" s="552">
        <f>(I11904*J11904*K11904/1000)</f>
        <v>0.44448000000000004</v>
      </c>
      <c r="M11904" s="549"/>
      <c r="N11904" s="549"/>
      <c r="O11904" s="549"/>
      <c r="P11904" s="549"/>
    </row>
    <row r="11905" spans="1:17" s="1511" customFormat="1" ht="17.399999999999999">
      <c r="A11905" s="549"/>
      <c r="B11905" s="549"/>
      <c r="C11905" s="549"/>
      <c r="D11905" s="549"/>
      <c r="E11905" s="549"/>
      <c r="F11905" s="549"/>
      <c r="G11905" s="549"/>
      <c r="H11905" s="549"/>
      <c r="I11905" s="558"/>
      <c r="J11905" s="567"/>
      <c r="K11905" s="648">
        <f>SUM(K11903:K11904)</f>
        <v>15</v>
      </c>
      <c r="L11905" s="567">
        <f>SUM(L11903:L11904)</f>
        <v>1.6158699999999999</v>
      </c>
      <c r="M11905" s="549"/>
      <c r="N11905" s="549"/>
      <c r="O11905" s="549"/>
      <c r="P11905" s="549"/>
    </row>
    <row r="11906" spans="1:17" s="1511" customFormat="1" ht="17.399999999999999">
      <c r="A11906" s="549"/>
      <c r="B11906" s="549"/>
      <c r="C11906" s="549"/>
      <c r="D11906" s="549"/>
      <c r="E11906" s="549"/>
      <c r="F11906" s="549"/>
      <c r="G11906" s="549"/>
      <c r="H11906" s="549"/>
      <c r="I11906" s="558"/>
      <c r="J11906" s="567"/>
      <c r="K11906" s="648">
        <f>SUM(K11889:K11905)/2</f>
        <v>91</v>
      </c>
      <c r="L11906" s="567">
        <f>SUM(L11889:L11905)/2</f>
        <v>8.9937749999999994</v>
      </c>
      <c r="M11906" s="549"/>
      <c r="N11906" s="549"/>
      <c r="O11906" s="549"/>
      <c r="P11906" s="549" t="s">
        <v>1426</v>
      </c>
    </row>
    <row r="11907" spans="1:17" s="1511" customFormat="1" ht="17.399999999999999">
      <c r="A11907" s="549"/>
      <c r="B11907" s="549"/>
      <c r="C11907" s="549"/>
      <c r="D11907" s="549"/>
      <c r="E11907" s="549"/>
      <c r="F11907" s="549"/>
      <c r="G11907" s="549"/>
      <c r="H11907" s="549"/>
      <c r="I11907" s="558"/>
      <c r="J11907" s="567"/>
      <c r="K11907" s="648"/>
      <c r="L11907" s="567"/>
      <c r="M11907" s="549"/>
      <c r="N11907" s="549"/>
      <c r="O11907" s="549"/>
      <c r="P11907" s="549"/>
    </row>
    <row r="11908" spans="1:17" s="1511" customFormat="1" ht="17.399999999999999">
      <c r="A11908" s="549"/>
      <c r="B11908" s="549"/>
      <c r="C11908" s="549"/>
      <c r="D11908" s="549"/>
      <c r="E11908" s="549"/>
      <c r="F11908" s="549"/>
      <c r="G11908" s="549"/>
      <c r="H11908" s="549"/>
      <c r="I11908" s="558"/>
      <c r="J11908" s="567"/>
      <c r="K11908" s="648"/>
      <c r="L11908" s="567"/>
      <c r="M11908" s="549"/>
      <c r="N11908" s="549"/>
      <c r="O11908" s="549"/>
      <c r="P11908" s="549"/>
    </row>
    <row r="11909" spans="1:17" ht="17.399999999999999">
      <c r="A11909" s="547" t="s">
        <v>272</v>
      </c>
      <c r="B11909" s="547" t="s">
        <v>1363</v>
      </c>
      <c r="C11909" s="547" t="s">
        <v>446</v>
      </c>
      <c r="D11909" s="813" t="s">
        <v>450</v>
      </c>
      <c r="E11909" s="547" t="s">
        <v>270</v>
      </c>
      <c r="F11909" s="550">
        <v>8.5</v>
      </c>
      <c r="G11909" s="549" t="s">
        <v>61</v>
      </c>
      <c r="H11909" s="599" t="s">
        <v>119</v>
      </c>
      <c r="I11909" s="558">
        <v>10.73</v>
      </c>
      <c r="J11909" s="567">
        <v>11.5</v>
      </c>
      <c r="K11909" s="648">
        <v>8</v>
      </c>
      <c r="L11909" s="552">
        <f>(I11909*J11909*K11909/1000)</f>
        <v>0.98716000000000004</v>
      </c>
      <c r="M11909" s="549"/>
      <c r="N11909" s="549"/>
      <c r="O11909" s="549"/>
      <c r="P11909" s="549"/>
      <c r="Q11909" s="1511" t="s">
        <v>1482</v>
      </c>
    </row>
    <row r="11910" spans="1:17" ht="17.399999999999999">
      <c r="A11910" s="549"/>
      <c r="B11910" s="549"/>
      <c r="C11910" s="549"/>
      <c r="D11910" s="549"/>
      <c r="E11910" s="549"/>
      <c r="F11910" s="549"/>
      <c r="G11910" s="549"/>
      <c r="H11910" s="549"/>
      <c r="I11910" s="558"/>
      <c r="J11910" s="567"/>
      <c r="K11910" s="648">
        <f t="shared" ref="K11910:L11910" si="2443">SUM(K11909)</f>
        <v>8</v>
      </c>
      <c r="L11910" s="567">
        <f t="shared" si="2443"/>
        <v>0.98716000000000004</v>
      </c>
      <c r="M11910" s="549"/>
      <c r="N11910" s="549"/>
      <c r="O11910" s="549"/>
      <c r="P11910" s="549" t="s">
        <v>1429</v>
      </c>
    </row>
    <row r="11911" spans="1:17" s="1511" customFormat="1" ht="17.399999999999999">
      <c r="A11911" s="549"/>
      <c r="B11911" s="549"/>
      <c r="C11911" s="549"/>
      <c r="D11911" s="549"/>
      <c r="E11911" s="549"/>
      <c r="F11911" s="549"/>
      <c r="G11911" s="549"/>
      <c r="H11911" s="549"/>
      <c r="I11911" s="558"/>
      <c r="J11911" s="567"/>
      <c r="K11911" s="648"/>
      <c r="L11911" s="567"/>
      <c r="M11911" s="549"/>
      <c r="N11911" s="549"/>
      <c r="O11911" s="549"/>
      <c r="P11911" s="549"/>
    </row>
    <row r="11912" spans="1:17" ht="17.399999999999999">
      <c r="A11912" s="547" t="s">
        <v>272</v>
      </c>
      <c r="B11912" s="547" t="s">
        <v>1361</v>
      </c>
      <c r="C11912" s="547" t="s">
        <v>446</v>
      </c>
      <c r="D11912" s="813" t="s">
        <v>450</v>
      </c>
      <c r="E11912" s="547" t="s">
        <v>270</v>
      </c>
      <c r="F11912" s="550">
        <v>8.5</v>
      </c>
      <c r="G11912" s="549" t="s">
        <v>61</v>
      </c>
      <c r="H11912" s="599" t="s">
        <v>119</v>
      </c>
      <c r="I11912" s="558">
        <v>10.73</v>
      </c>
      <c r="J11912" s="567">
        <v>8</v>
      </c>
      <c r="K11912" s="648">
        <v>6</v>
      </c>
      <c r="L11912" s="552">
        <f t="shared" ref="L11912:L11914" si="2444">(I11912*J11912*K11912/1000)</f>
        <v>0.51503999999999994</v>
      </c>
      <c r="M11912" s="549"/>
      <c r="N11912" s="549"/>
      <c r="O11912" s="549"/>
      <c r="P11912" s="549"/>
      <c r="Q11912" s="1511" t="s">
        <v>1482</v>
      </c>
    </row>
    <row r="11913" spans="1:17" ht="17.399999999999999">
      <c r="A11913" s="549"/>
      <c r="B11913" s="549"/>
      <c r="C11913" s="549"/>
      <c r="D11913" s="549"/>
      <c r="E11913" s="549"/>
      <c r="F11913" s="549"/>
      <c r="G11913" s="549" t="s">
        <v>61</v>
      </c>
      <c r="H11913" s="549" t="s">
        <v>119</v>
      </c>
      <c r="I11913" s="558">
        <v>10.73</v>
      </c>
      <c r="J11913" s="567">
        <v>9</v>
      </c>
      <c r="K11913" s="648">
        <v>4</v>
      </c>
      <c r="L11913" s="552">
        <f t="shared" si="2444"/>
        <v>0.38628000000000001</v>
      </c>
      <c r="M11913" s="549"/>
      <c r="N11913" s="549"/>
      <c r="O11913" s="549"/>
      <c r="P11913" s="549"/>
    </row>
    <row r="11914" spans="1:17" ht="17.399999999999999">
      <c r="A11914" s="549"/>
      <c r="B11914" s="549"/>
      <c r="C11914" s="549"/>
      <c r="D11914" s="549"/>
      <c r="E11914" s="549"/>
      <c r="F11914" s="549"/>
      <c r="G11914" s="549" t="s">
        <v>61</v>
      </c>
      <c r="H11914" s="549" t="s">
        <v>119</v>
      </c>
      <c r="I11914" s="558">
        <v>10.73</v>
      </c>
      <c r="J11914" s="567">
        <v>10.5</v>
      </c>
      <c r="K11914" s="648">
        <v>4</v>
      </c>
      <c r="L11914" s="552">
        <f t="shared" si="2444"/>
        <v>0.45066000000000001</v>
      </c>
      <c r="M11914" s="549"/>
      <c r="N11914" s="549"/>
      <c r="O11914" s="549"/>
      <c r="P11914" s="549"/>
    </row>
    <row r="11915" spans="1:17" ht="17.399999999999999">
      <c r="A11915" s="549"/>
      <c r="B11915" s="549"/>
      <c r="C11915" s="549"/>
      <c r="D11915" s="549"/>
      <c r="E11915" s="549"/>
      <c r="F11915" s="549"/>
      <c r="G11915" s="549"/>
      <c r="H11915" s="549"/>
      <c r="I11915" s="558"/>
      <c r="J11915" s="567"/>
      <c r="K11915" s="648">
        <f t="shared" ref="K11915" si="2445">SUM(K11912:K11914)</f>
        <v>14</v>
      </c>
      <c r="L11915" s="567">
        <f t="shared" ref="L11915" si="2446">SUM(L11912:L11914)</f>
        <v>1.35198</v>
      </c>
      <c r="M11915" s="549"/>
      <c r="N11915" s="549"/>
      <c r="O11915" s="549"/>
      <c r="P11915" s="549" t="s">
        <v>1429</v>
      </c>
    </row>
    <row r="11916" spans="1:17" s="1511" customFormat="1" ht="17.399999999999999">
      <c r="A11916" s="549"/>
      <c r="B11916" s="549"/>
      <c r="C11916" s="549"/>
      <c r="D11916" s="549"/>
      <c r="E11916" s="549"/>
      <c r="F11916" s="549"/>
      <c r="G11916" s="549"/>
      <c r="H11916" s="549"/>
      <c r="I11916" s="558"/>
      <c r="J11916" s="567"/>
      <c r="K11916" s="648"/>
      <c r="L11916" s="567"/>
      <c r="M11916" s="549"/>
      <c r="N11916" s="549"/>
      <c r="O11916" s="549"/>
      <c r="P11916" s="549"/>
    </row>
    <row r="11917" spans="1:17" ht="17.399999999999999">
      <c r="A11917" s="547" t="s">
        <v>272</v>
      </c>
      <c r="B11917" s="852" t="s">
        <v>1364</v>
      </c>
      <c r="C11917" s="547" t="s">
        <v>19</v>
      </c>
      <c r="D11917" s="813" t="s">
        <v>60</v>
      </c>
      <c r="E11917" s="547" t="s">
        <v>270</v>
      </c>
      <c r="F11917" s="550">
        <v>8.5</v>
      </c>
      <c r="G11917" s="549" t="s">
        <v>61</v>
      </c>
      <c r="H11917" s="599" t="s">
        <v>119</v>
      </c>
      <c r="I11917" s="558">
        <v>10.73</v>
      </c>
      <c r="J11917" s="567">
        <v>9</v>
      </c>
      <c r="K11917" s="648">
        <v>21</v>
      </c>
      <c r="L11917" s="552">
        <f>(I11917*J11917*K11917/1000)</f>
        <v>2.0279700000000003</v>
      </c>
      <c r="M11917" s="549"/>
      <c r="N11917" s="549"/>
      <c r="O11917" s="549"/>
      <c r="P11917" s="549"/>
      <c r="Q11917" s="1511" t="s">
        <v>1482</v>
      </c>
    </row>
    <row r="11918" spans="1:17" ht="17.399999999999999">
      <c r="A11918" s="549"/>
      <c r="B11918" s="559" t="s">
        <v>277</v>
      </c>
      <c r="C11918" s="549"/>
      <c r="D11918" s="549"/>
      <c r="E11918" s="549"/>
      <c r="F11918" s="549"/>
      <c r="G11918" s="549"/>
      <c r="H11918" s="549"/>
      <c r="I11918" s="558"/>
      <c r="J11918" s="567"/>
      <c r="K11918" s="648">
        <f t="shared" ref="K11918:L11918" si="2447">SUM(K11917)</f>
        <v>21</v>
      </c>
      <c r="L11918" s="567">
        <f t="shared" si="2447"/>
        <v>2.0279700000000003</v>
      </c>
      <c r="M11918" s="549"/>
      <c r="N11918" s="549"/>
      <c r="O11918" s="549"/>
      <c r="P11918" s="549" t="s">
        <v>1430</v>
      </c>
    </row>
    <row r="11919" spans="1:17" s="1511" customFormat="1" ht="17.399999999999999">
      <c r="A11919" s="549"/>
      <c r="B11919" s="559"/>
      <c r="C11919" s="549"/>
      <c r="D11919" s="549"/>
      <c r="E11919" s="549"/>
      <c r="F11919" s="549"/>
      <c r="G11919" s="549"/>
      <c r="H11919" s="549"/>
      <c r="I11919" s="558"/>
      <c r="J11919" s="567"/>
      <c r="K11919" s="648"/>
      <c r="L11919" s="567"/>
      <c r="M11919" s="549"/>
      <c r="N11919" s="549"/>
      <c r="O11919" s="549"/>
      <c r="P11919" s="549"/>
    </row>
    <row r="11920" spans="1:17" s="1511" customFormat="1" ht="18">
      <c r="A11920" s="547" t="s">
        <v>272</v>
      </c>
      <c r="B11920" s="1169" t="s">
        <v>1411</v>
      </c>
      <c r="C11920" s="547" t="s">
        <v>19</v>
      </c>
      <c r="D11920" s="813" t="s">
        <v>60</v>
      </c>
      <c r="E11920" s="547" t="s">
        <v>270</v>
      </c>
      <c r="F11920" s="550">
        <v>8.5</v>
      </c>
      <c r="G11920" s="898" t="s">
        <v>61</v>
      </c>
      <c r="H11920" s="1623" t="s">
        <v>119</v>
      </c>
      <c r="I11920" s="1586">
        <v>10.73</v>
      </c>
      <c r="J11920" s="914">
        <v>9.75</v>
      </c>
      <c r="K11920" s="915">
        <v>20</v>
      </c>
      <c r="L11920" s="552">
        <f t="shared" ref="L11920" si="2448">(I11920*J11920*K11920/1000)</f>
        <v>2.0923500000000002</v>
      </c>
      <c r="M11920" s="549"/>
      <c r="N11920" s="549"/>
      <c r="O11920" s="549"/>
      <c r="P11920" s="549"/>
    </row>
    <row r="11921" spans="1:17" s="1511" customFormat="1" ht="17.399999999999999">
      <c r="A11921" s="549"/>
      <c r="B11921" s="1592" t="s">
        <v>1431</v>
      </c>
      <c r="C11921" s="549"/>
      <c r="D11921" s="549"/>
      <c r="E11921" s="549"/>
      <c r="F11921" s="549"/>
      <c r="G11921" s="549"/>
      <c r="H11921" s="549"/>
      <c r="I11921" s="558"/>
      <c r="J11921" s="567"/>
      <c r="K11921" s="648">
        <f t="shared" ref="K11921:L11921" si="2449">SUM(K11920)</f>
        <v>20</v>
      </c>
      <c r="L11921" s="567">
        <f t="shared" si="2449"/>
        <v>2.0923500000000002</v>
      </c>
      <c r="M11921" s="549"/>
      <c r="N11921" s="549"/>
      <c r="O11921" s="549"/>
      <c r="P11921" s="549"/>
    </row>
    <row r="11922" spans="1:17" s="1511" customFormat="1" ht="17.399999999999999">
      <c r="A11922" s="549"/>
      <c r="B11922" s="559"/>
      <c r="C11922" s="549"/>
      <c r="D11922" s="549"/>
      <c r="E11922" s="549"/>
      <c r="F11922" s="549"/>
      <c r="G11922" s="549"/>
      <c r="H11922" s="549"/>
      <c r="I11922" s="558"/>
      <c r="J11922" s="567"/>
      <c r="K11922" s="648">
        <f>SUM(K11909:K11921)/2</f>
        <v>63</v>
      </c>
      <c r="L11922" s="567">
        <f>SUM(L11909:L11921)/2</f>
        <v>6.45946</v>
      </c>
      <c r="M11922" s="549"/>
      <c r="N11922" s="549"/>
      <c r="O11922" s="549"/>
      <c r="P11922" s="549"/>
    </row>
    <row r="11923" spans="1:17" s="1511" customFormat="1" ht="17.399999999999999">
      <c r="A11923" s="549"/>
      <c r="B11923" s="559"/>
      <c r="C11923" s="549"/>
      <c r="D11923" s="549"/>
      <c r="E11923" s="549"/>
      <c r="F11923" s="549"/>
      <c r="G11923" s="549"/>
      <c r="H11923" s="549"/>
      <c r="I11923" s="558"/>
      <c r="J11923" s="567"/>
      <c r="K11923" s="648"/>
      <c r="L11923" s="567"/>
      <c r="M11923" s="549"/>
      <c r="N11923" s="549"/>
      <c r="O11923" s="549"/>
      <c r="P11923" s="549"/>
    </row>
    <row r="11924" spans="1:17" ht="17.399999999999999">
      <c r="A11924" s="549"/>
      <c r="B11924" s="549"/>
      <c r="C11924" s="549"/>
      <c r="D11924" s="549"/>
      <c r="E11924" s="549"/>
      <c r="F11924" s="549"/>
      <c r="G11924" s="549"/>
      <c r="H11924" s="549"/>
      <c r="I11924" s="558"/>
      <c r="J11924" s="549"/>
      <c r="K11924" s="561"/>
      <c r="L11924" s="560"/>
      <c r="M11924" s="549"/>
      <c r="N11924" s="549"/>
      <c r="O11924" s="549"/>
      <c r="P11924" s="549"/>
    </row>
    <row r="11925" spans="1:17" ht="17.399999999999999">
      <c r="A11925" s="547" t="s">
        <v>272</v>
      </c>
      <c r="B11925" s="547" t="s">
        <v>1363</v>
      </c>
      <c r="C11925" s="547" t="s">
        <v>446</v>
      </c>
      <c r="D11925" s="813" t="s">
        <v>450</v>
      </c>
      <c r="E11925" s="547" t="s">
        <v>270</v>
      </c>
      <c r="F11925" s="550">
        <v>8.5</v>
      </c>
      <c r="G11925" s="549" t="s">
        <v>61</v>
      </c>
      <c r="H11925" s="599" t="s">
        <v>134</v>
      </c>
      <c r="I11925" s="558">
        <v>12.18</v>
      </c>
      <c r="J11925" s="567">
        <v>8</v>
      </c>
      <c r="K11925" s="648">
        <v>2</v>
      </c>
      <c r="L11925" s="552">
        <f>(I11925*J11925*K11925/1000)</f>
        <v>0.19488</v>
      </c>
      <c r="M11925" s="549"/>
      <c r="N11925" s="549"/>
      <c r="O11925" s="549"/>
      <c r="P11925" s="549"/>
      <c r="Q11925" s="1511" t="s">
        <v>1482</v>
      </c>
    </row>
    <row r="11926" spans="1:17" ht="17.399999999999999">
      <c r="A11926" s="549"/>
      <c r="B11926" s="549"/>
      <c r="C11926" s="549"/>
      <c r="D11926" s="549"/>
      <c r="E11926" s="549"/>
      <c r="F11926" s="549"/>
      <c r="G11926" s="549"/>
      <c r="H11926" s="549"/>
      <c r="I11926" s="558"/>
      <c r="J11926" s="567"/>
      <c r="K11926" s="648">
        <f t="shared" ref="K11926:L11926" si="2450">SUM(K11925)</f>
        <v>2</v>
      </c>
      <c r="L11926" s="567">
        <f t="shared" si="2450"/>
        <v>0.19488</v>
      </c>
      <c r="M11926" s="549"/>
      <c r="N11926" s="549"/>
      <c r="O11926" s="549"/>
      <c r="P11926" s="549"/>
    </row>
    <row r="11927" spans="1:17" ht="17.399999999999999">
      <c r="A11927" s="549"/>
      <c r="B11927" s="549"/>
      <c r="C11927" s="549"/>
      <c r="D11927" s="549"/>
      <c r="E11927" s="549"/>
      <c r="F11927" s="549"/>
      <c r="G11927" s="549"/>
      <c r="H11927" s="549"/>
      <c r="I11927" s="558"/>
      <c r="J11927" s="549"/>
      <c r="K11927" s="561"/>
      <c r="L11927" s="560"/>
      <c r="M11927" s="549"/>
      <c r="N11927" s="549"/>
      <c r="O11927" s="549"/>
      <c r="P11927" s="549"/>
    </row>
    <row r="11928" spans="1:17" ht="17.399999999999999">
      <c r="A11928" s="547" t="s">
        <v>272</v>
      </c>
      <c r="B11928" s="547" t="s">
        <v>1361</v>
      </c>
      <c r="C11928" s="547" t="s">
        <v>446</v>
      </c>
      <c r="D11928" s="813" t="s">
        <v>450</v>
      </c>
      <c r="E11928" s="547" t="s">
        <v>270</v>
      </c>
      <c r="F11928" s="550">
        <v>8.5</v>
      </c>
      <c r="G11928" s="549" t="s">
        <v>61</v>
      </c>
      <c r="H11928" s="599" t="s">
        <v>134</v>
      </c>
      <c r="I11928" s="558">
        <v>12.18</v>
      </c>
      <c r="J11928" s="567">
        <v>8</v>
      </c>
      <c r="K11928" s="648">
        <v>16</v>
      </c>
      <c r="L11928" s="552">
        <f t="shared" ref="L11928:L11931" si="2451">(I11928*J11928*K11928/1000)</f>
        <v>1.55904</v>
      </c>
      <c r="M11928" s="549"/>
      <c r="N11928" s="549"/>
      <c r="O11928" s="549"/>
      <c r="P11928" s="549"/>
      <c r="Q11928" s="1511" t="s">
        <v>1482</v>
      </c>
    </row>
    <row r="11929" spans="1:17" ht="17.399999999999999">
      <c r="A11929" s="549"/>
      <c r="B11929" s="549"/>
      <c r="C11929" s="549"/>
      <c r="D11929" s="549"/>
      <c r="E11929" s="549"/>
      <c r="F11929" s="549"/>
      <c r="G11929" s="549" t="s">
        <v>61</v>
      </c>
      <c r="H11929" s="549" t="s">
        <v>134</v>
      </c>
      <c r="I11929" s="558">
        <v>12.18</v>
      </c>
      <c r="J11929" s="567">
        <v>9.5</v>
      </c>
      <c r="K11929" s="648">
        <v>8</v>
      </c>
      <c r="L11929" s="552">
        <f t="shared" si="2451"/>
        <v>0.92567999999999995</v>
      </c>
      <c r="M11929" s="549"/>
      <c r="N11929" s="549"/>
      <c r="O11929" s="549"/>
      <c r="P11929" s="549"/>
    </row>
    <row r="11930" spans="1:17" ht="17.399999999999999">
      <c r="A11930" s="549"/>
      <c r="B11930" s="549"/>
      <c r="C11930" s="549"/>
      <c r="D11930" s="549"/>
      <c r="E11930" s="549"/>
      <c r="F11930" s="549"/>
      <c r="G11930" s="549" t="s">
        <v>61</v>
      </c>
      <c r="H11930" s="549" t="s">
        <v>134</v>
      </c>
      <c r="I11930" s="558">
        <v>12.18</v>
      </c>
      <c r="J11930" s="567">
        <v>10.75</v>
      </c>
      <c r="K11930" s="648">
        <v>4</v>
      </c>
      <c r="L11930" s="552">
        <f t="shared" si="2451"/>
        <v>0.52373999999999998</v>
      </c>
      <c r="M11930" s="549"/>
      <c r="N11930" s="549"/>
      <c r="O11930" s="549"/>
      <c r="P11930" s="549"/>
    </row>
    <row r="11931" spans="1:17" ht="17.399999999999999">
      <c r="A11931" s="549"/>
      <c r="B11931" s="549"/>
      <c r="C11931" s="549"/>
      <c r="D11931" s="549"/>
      <c r="E11931" s="549"/>
      <c r="F11931" s="549"/>
      <c r="G11931" s="549" t="s">
        <v>61</v>
      </c>
      <c r="H11931" s="549" t="s">
        <v>134</v>
      </c>
      <c r="I11931" s="558">
        <v>12.18</v>
      </c>
      <c r="J11931" s="567">
        <v>11.5</v>
      </c>
      <c r="K11931" s="648">
        <v>4</v>
      </c>
      <c r="L11931" s="552">
        <f t="shared" si="2451"/>
        <v>0.56028</v>
      </c>
      <c r="M11931" s="549"/>
      <c r="N11931" s="549"/>
      <c r="O11931" s="549"/>
      <c r="P11931" s="549"/>
    </row>
    <row r="11932" spans="1:17" ht="17.399999999999999">
      <c r="A11932" s="549"/>
      <c r="B11932" s="549"/>
      <c r="C11932" s="549"/>
      <c r="D11932" s="549"/>
      <c r="E11932" s="549"/>
      <c r="F11932" s="549"/>
      <c r="G11932" s="549"/>
      <c r="H11932" s="549"/>
      <c r="I11932" s="558"/>
      <c r="J11932" s="567"/>
      <c r="K11932" s="648">
        <f t="shared" ref="K11932" si="2452">SUM(K11928:K11931)</f>
        <v>32</v>
      </c>
      <c r="L11932" s="567">
        <f>SUM(L11928:L11931)</f>
        <v>3.56874</v>
      </c>
      <c r="M11932" s="549"/>
      <c r="N11932" s="549"/>
      <c r="O11932" s="549"/>
      <c r="P11932" s="549"/>
    </row>
    <row r="11933" spans="1:17" s="1511" customFormat="1" ht="17.399999999999999">
      <c r="A11933" s="549"/>
      <c r="B11933" s="549"/>
      <c r="C11933" s="549"/>
      <c r="D11933" s="549"/>
      <c r="E11933" s="549"/>
      <c r="F11933" s="549"/>
      <c r="G11933" s="549"/>
      <c r="H11933" s="549"/>
      <c r="I11933" s="558"/>
      <c r="J11933" s="567"/>
      <c r="K11933" s="648">
        <f>SUM(K11925:K11932)/2</f>
        <v>34</v>
      </c>
      <c r="L11933" s="567">
        <f>SUM(L11925:L11932)/2</f>
        <v>3.76362</v>
      </c>
      <c r="M11933" s="549"/>
      <c r="N11933" s="549"/>
      <c r="O11933" s="549"/>
      <c r="P11933" s="549" t="s">
        <v>1432</v>
      </c>
    </row>
    <row r="11934" spans="1:17" s="1511" customFormat="1" ht="17.399999999999999">
      <c r="A11934" s="549"/>
      <c r="B11934" s="549"/>
      <c r="C11934" s="549"/>
      <c r="D11934" s="549"/>
      <c r="E11934" s="549"/>
      <c r="F11934" s="549"/>
      <c r="G11934" s="549"/>
      <c r="H11934" s="549"/>
      <c r="I11934" s="558"/>
      <c r="J11934" s="567"/>
      <c r="K11934" s="648"/>
      <c r="L11934" s="567"/>
      <c r="M11934" s="549"/>
      <c r="N11934" s="549"/>
      <c r="O11934" s="549"/>
      <c r="P11934" s="549"/>
    </row>
    <row r="11935" spans="1:17" s="1511" customFormat="1" ht="17.399999999999999">
      <c r="A11935" s="549"/>
      <c r="B11935" s="549"/>
      <c r="C11935" s="549"/>
      <c r="D11935" s="549"/>
      <c r="E11935" s="549"/>
      <c r="F11935" s="549"/>
      <c r="G11935" s="549"/>
      <c r="H11935" s="549"/>
      <c r="I11935" s="558"/>
      <c r="J11935" s="567"/>
      <c r="K11935" s="648"/>
      <c r="L11935" s="567"/>
      <c r="M11935" s="549"/>
      <c r="N11935" s="549"/>
      <c r="O11935" s="549"/>
      <c r="P11935" s="549"/>
    </row>
    <row r="11936" spans="1:17" ht="17.399999999999999">
      <c r="A11936" s="547" t="s">
        <v>272</v>
      </c>
      <c r="B11936" s="547" t="s">
        <v>1361</v>
      </c>
      <c r="C11936" s="547" t="s">
        <v>446</v>
      </c>
      <c r="D11936" s="813" t="s">
        <v>450</v>
      </c>
      <c r="E11936" s="547" t="s">
        <v>270</v>
      </c>
      <c r="F11936" s="550">
        <v>8.5</v>
      </c>
      <c r="G11936" s="549" t="s">
        <v>61</v>
      </c>
      <c r="H11936" s="599" t="s">
        <v>133</v>
      </c>
      <c r="I11936" s="558">
        <v>15.04</v>
      </c>
      <c r="J11936" s="567">
        <v>11</v>
      </c>
      <c r="K11936" s="648">
        <v>2</v>
      </c>
      <c r="L11936" s="552">
        <f>(I11936*J11936*K11936/1000)</f>
        <v>0.33088000000000001</v>
      </c>
      <c r="M11936" s="549"/>
      <c r="N11936" s="549"/>
      <c r="O11936" s="549"/>
      <c r="P11936" s="549"/>
      <c r="Q11936" s="1511" t="s">
        <v>1482</v>
      </c>
    </row>
    <row r="11937" spans="1:17" ht="17.399999999999999">
      <c r="A11937" s="549"/>
      <c r="B11937" s="549"/>
      <c r="C11937" s="549"/>
      <c r="D11937" s="549"/>
      <c r="E11937" s="549"/>
      <c r="F11937" s="549"/>
      <c r="G11937" s="549"/>
      <c r="H11937" s="549"/>
      <c r="I11937" s="558"/>
      <c r="J11937" s="567"/>
      <c r="K11937" s="648">
        <f t="shared" ref="K11937" si="2453">SUM(K11936)</f>
        <v>2</v>
      </c>
      <c r="L11937" s="567">
        <f>SUM(L11936)</f>
        <v>0.33088000000000001</v>
      </c>
      <c r="M11937" s="549"/>
      <c r="N11937" s="549"/>
      <c r="O11937" s="549"/>
      <c r="P11937" s="549" t="s">
        <v>1433</v>
      </c>
    </row>
    <row r="11938" spans="1:17" s="1511" customFormat="1" ht="17.399999999999999">
      <c r="A11938" s="549"/>
      <c r="B11938" s="549"/>
      <c r="C11938" s="549"/>
      <c r="D11938" s="549"/>
      <c r="E11938" s="549"/>
      <c r="F11938" s="549"/>
      <c r="G11938" s="549"/>
      <c r="H11938" s="549"/>
      <c r="I11938" s="558"/>
      <c r="J11938" s="567"/>
      <c r="K11938" s="648"/>
      <c r="L11938" s="567"/>
      <c r="M11938" s="549"/>
      <c r="N11938" s="549"/>
      <c r="O11938" s="549"/>
      <c r="P11938" s="549"/>
    </row>
    <row r="11939" spans="1:17" s="1511" customFormat="1" ht="17.399999999999999">
      <c r="A11939" s="549"/>
      <c r="B11939" s="549"/>
      <c r="C11939" s="549"/>
      <c r="D11939" s="549"/>
      <c r="E11939" s="549"/>
      <c r="F11939" s="549"/>
      <c r="G11939" s="549"/>
      <c r="H11939" s="549"/>
      <c r="I11939" s="558"/>
      <c r="J11939" s="567"/>
      <c r="K11939" s="648"/>
      <c r="L11939" s="567"/>
      <c r="M11939" s="549"/>
      <c r="N11939" s="549"/>
      <c r="O11939" s="549"/>
      <c r="P11939" s="549"/>
    </row>
    <row r="11940" spans="1:17" s="1511" customFormat="1" ht="17.399999999999999">
      <c r="A11940" s="549"/>
      <c r="B11940" s="549"/>
      <c r="C11940" s="549"/>
      <c r="D11940" s="549"/>
      <c r="E11940" s="549"/>
      <c r="F11940" s="549"/>
      <c r="G11940" s="549"/>
      <c r="H11940" s="549"/>
      <c r="I11940" s="558"/>
      <c r="J11940" s="567"/>
      <c r="K11940" s="648"/>
      <c r="L11940" s="567"/>
      <c r="M11940" s="549"/>
      <c r="N11940" s="549"/>
      <c r="O11940" s="549"/>
      <c r="P11940" s="549"/>
    </row>
    <row r="11941" spans="1:17" s="1511" customFormat="1" ht="17.399999999999999">
      <c r="A11941" s="549"/>
      <c r="B11941" s="549"/>
      <c r="C11941" s="549"/>
      <c r="D11941" s="549"/>
      <c r="E11941" s="549"/>
      <c r="F11941" s="549"/>
      <c r="G11941" s="549"/>
      <c r="H11941" s="549"/>
      <c r="I11941" s="558"/>
      <c r="J11941" s="567"/>
      <c r="K11941" s="648"/>
      <c r="L11941" s="567"/>
      <c r="M11941" s="549"/>
      <c r="N11941" s="549"/>
      <c r="O11941" s="549"/>
      <c r="P11941" s="549"/>
    </row>
    <row r="11942" spans="1:17" s="1511" customFormat="1" ht="17.399999999999999">
      <c r="A11942" s="549"/>
      <c r="B11942" s="549"/>
      <c r="C11942" s="549"/>
      <c r="D11942" s="549"/>
      <c r="E11942" s="549"/>
      <c r="F11942" s="549"/>
      <c r="G11942" s="549"/>
      <c r="H11942" s="549"/>
      <c r="I11942" s="558"/>
      <c r="J11942" s="567"/>
      <c r="K11942" s="648"/>
      <c r="L11942" s="567"/>
      <c r="M11942" s="549"/>
      <c r="N11942" s="549"/>
      <c r="O11942" s="549"/>
      <c r="P11942" s="549"/>
    </row>
    <row r="11943" spans="1:17" s="1511" customFormat="1" ht="17.399999999999999">
      <c r="A11943" s="547" t="s">
        <v>83</v>
      </c>
      <c r="B11943" s="547" t="s">
        <v>1406</v>
      </c>
      <c r="C11943" s="547" t="s">
        <v>19</v>
      </c>
      <c r="D11943" s="813" t="s">
        <v>854</v>
      </c>
      <c r="E11943" s="549" t="s">
        <v>367</v>
      </c>
      <c r="F11943" s="550">
        <v>12</v>
      </c>
      <c r="G11943" s="549" t="s">
        <v>21</v>
      </c>
      <c r="H11943" s="599" t="s">
        <v>118</v>
      </c>
      <c r="I11943" s="558">
        <v>9.26</v>
      </c>
      <c r="J11943" s="567">
        <v>11.3</v>
      </c>
      <c r="K11943" s="648">
        <v>11</v>
      </c>
      <c r="L11943" s="552">
        <f>(I11943*J11943*K11943/1000)</f>
        <v>1.1510180000000001</v>
      </c>
      <c r="M11943" s="549"/>
      <c r="N11943" s="549"/>
      <c r="O11943" s="549"/>
      <c r="P11943" s="549"/>
      <c r="Q11943" s="1511" t="s">
        <v>1475</v>
      </c>
    </row>
    <row r="11944" spans="1:17" s="1511" customFormat="1" ht="17.399999999999999">
      <c r="A11944" s="549"/>
      <c r="B11944" s="728" t="s">
        <v>52</v>
      </c>
      <c r="C11944" s="549"/>
      <c r="D11944" s="549"/>
      <c r="E11944" s="549"/>
      <c r="F11944" s="549"/>
      <c r="G11944" s="549"/>
      <c r="H11944" s="549"/>
      <c r="I11944" s="558"/>
      <c r="J11944" s="567"/>
      <c r="K11944" s="648">
        <f>SUM(K11943)</f>
        <v>11</v>
      </c>
      <c r="L11944" s="567">
        <f>SUM(L11943)</f>
        <v>1.1510180000000001</v>
      </c>
      <c r="M11944" s="648">
        <f>SUM(M11943)</f>
        <v>0</v>
      </c>
      <c r="N11944" s="567">
        <f>SUM(N11943)</f>
        <v>0</v>
      </c>
      <c r="O11944" s="549"/>
      <c r="P11944" s="549"/>
    </row>
    <row r="11945" spans="1:17" s="1511" customFormat="1" ht="17.399999999999999">
      <c r="A11945" s="549"/>
      <c r="B11945" s="549"/>
      <c r="C11945" s="549"/>
      <c r="D11945" s="549"/>
      <c r="E11945" s="549"/>
      <c r="F11945" s="549"/>
      <c r="G11945" s="549"/>
      <c r="H11945" s="549"/>
      <c r="I11945" s="558"/>
      <c r="J11945" s="567"/>
      <c r="K11945" s="648"/>
      <c r="L11945" s="567"/>
      <c r="M11945" s="549"/>
      <c r="N11945" s="549"/>
      <c r="O11945" s="549"/>
      <c r="P11945" s="549"/>
    </row>
    <row r="11946" spans="1:17" s="1511" customFormat="1" ht="17.399999999999999">
      <c r="A11946" s="547" t="s">
        <v>83</v>
      </c>
      <c r="B11946" s="547" t="s">
        <v>1410</v>
      </c>
      <c r="C11946" s="547" t="s">
        <v>19</v>
      </c>
      <c r="D11946" s="813" t="s">
        <v>854</v>
      </c>
      <c r="E11946" s="549" t="s">
        <v>367</v>
      </c>
      <c r="F11946" s="550">
        <v>12</v>
      </c>
      <c r="G11946" s="549" t="s">
        <v>21</v>
      </c>
      <c r="H11946" s="599" t="s">
        <v>118</v>
      </c>
      <c r="I11946" s="558">
        <v>9.26</v>
      </c>
      <c r="J11946" s="567">
        <v>11.8</v>
      </c>
      <c r="K11946" s="648">
        <v>160</v>
      </c>
      <c r="L11946" s="552">
        <f>(I11946*J11946*K11946/1000)</f>
        <v>17.482880000000002</v>
      </c>
      <c r="M11946" s="549"/>
      <c r="N11946" s="549"/>
      <c r="O11946" s="549"/>
      <c r="P11946" s="549"/>
      <c r="Q11946" s="1511" t="s">
        <v>1475</v>
      </c>
    </row>
    <row r="11947" spans="1:17" s="1511" customFormat="1" ht="17.399999999999999">
      <c r="A11947" s="549"/>
      <c r="B11947" s="728" t="s">
        <v>52</v>
      </c>
      <c r="C11947" s="549"/>
      <c r="D11947" s="549"/>
      <c r="E11947" s="549"/>
      <c r="F11947" s="549"/>
      <c r="G11947" s="549" t="s">
        <v>21</v>
      </c>
      <c r="H11947" s="549" t="s">
        <v>118</v>
      </c>
      <c r="I11947" s="558">
        <v>9.26</v>
      </c>
      <c r="J11947" s="567">
        <v>11.3</v>
      </c>
      <c r="K11947" s="648">
        <v>28</v>
      </c>
      <c r="L11947" s="552">
        <f>(I11947*J11947*K11947/1000)</f>
        <v>2.9298640000000002</v>
      </c>
      <c r="M11947" s="549"/>
      <c r="N11947" s="549"/>
      <c r="O11947" s="549"/>
      <c r="P11947" s="549"/>
    </row>
    <row r="11948" spans="1:17" s="1511" customFormat="1" ht="17.399999999999999">
      <c r="A11948" s="549"/>
      <c r="B11948" s="549"/>
      <c r="C11948" s="549"/>
      <c r="D11948" s="549"/>
      <c r="E11948" s="549"/>
      <c r="F11948" s="549"/>
      <c r="G11948" s="549" t="s">
        <v>21</v>
      </c>
      <c r="H11948" s="549" t="s">
        <v>118</v>
      </c>
      <c r="I11948" s="558">
        <v>9.26</v>
      </c>
      <c r="J11948" s="567">
        <v>10.3</v>
      </c>
      <c r="K11948" s="648">
        <v>80</v>
      </c>
      <c r="L11948" s="552">
        <f>(I11948*J11948*K11948/1000)</f>
        <v>7.6302399999999997</v>
      </c>
      <c r="M11948" s="549"/>
      <c r="N11948" s="549"/>
      <c r="O11948" s="549"/>
      <c r="P11948" s="549"/>
    </row>
    <row r="11949" spans="1:17" s="1511" customFormat="1" ht="17.399999999999999">
      <c r="A11949" s="549"/>
      <c r="B11949" s="549"/>
      <c r="C11949" s="549"/>
      <c r="D11949" s="549"/>
      <c r="E11949" s="549"/>
      <c r="F11949" s="549"/>
      <c r="G11949" s="549"/>
      <c r="H11949" s="549"/>
      <c r="I11949" s="558"/>
      <c r="J11949" s="567"/>
      <c r="K11949" s="648">
        <f>SUM(K11946:K11948)</f>
        <v>268</v>
      </c>
      <c r="L11949" s="567">
        <f>SUM(L11946:L11948)</f>
        <v>28.042984000000004</v>
      </c>
      <c r="M11949" s="648">
        <f>SUM(M11946:M11948)</f>
        <v>0</v>
      </c>
      <c r="N11949" s="567">
        <f>SUM(N11946:N11948)</f>
        <v>0</v>
      </c>
      <c r="O11949" s="549"/>
      <c r="P11949" s="549"/>
    </row>
    <row r="11950" spans="1:17" s="1511" customFormat="1" ht="17.399999999999999">
      <c r="A11950" s="549"/>
      <c r="B11950" s="549"/>
      <c r="C11950" s="549"/>
      <c r="D11950" s="549"/>
      <c r="E11950" s="549"/>
      <c r="F11950" s="549"/>
      <c r="G11950" s="549"/>
      <c r="H11950" s="549"/>
      <c r="I11950" s="558"/>
      <c r="J11950" s="567"/>
      <c r="K11950" s="648">
        <f>SUM(K11943:K11949)/2</f>
        <v>279</v>
      </c>
      <c r="L11950" s="567">
        <f>SUM(L11943:L11949)/2</f>
        <v>29.194002000000005</v>
      </c>
      <c r="M11950" s="648">
        <f>SUM(M11943:M11949)/2</f>
        <v>0</v>
      </c>
      <c r="N11950" s="567">
        <f>SUM(N11943:N11949)/2</f>
        <v>0</v>
      </c>
      <c r="O11950" s="549"/>
      <c r="P11950" s="549" t="s">
        <v>1419</v>
      </c>
    </row>
    <row r="11951" spans="1:17" s="1511" customFormat="1" ht="17.399999999999999">
      <c r="A11951" s="549"/>
      <c r="B11951" s="549"/>
      <c r="C11951" s="549"/>
      <c r="D11951" s="549"/>
      <c r="E11951" s="549"/>
      <c r="F11951" s="549"/>
      <c r="G11951" s="549"/>
      <c r="H11951" s="549"/>
      <c r="I11951" s="558"/>
      <c r="J11951" s="567"/>
      <c r="K11951" s="648"/>
      <c r="L11951" s="567"/>
      <c r="M11951" s="549"/>
      <c r="N11951" s="549"/>
      <c r="O11951" s="549"/>
      <c r="P11951" s="549"/>
    </row>
    <row r="11952" spans="1:17" s="1511" customFormat="1" ht="17.399999999999999">
      <c r="A11952" s="549"/>
      <c r="B11952" s="549"/>
      <c r="C11952" s="549"/>
      <c r="D11952" s="549"/>
      <c r="E11952" s="549"/>
      <c r="F11952" s="549"/>
      <c r="G11952" s="549"/>
      <c r="H11952" s="549"/>
      <c r="I11952" s="558"/>
      <c r="J11952" s="567"/>
      <c r="K11952" s="648"/>
      <c r="L11952" s="567"/>
      <c r="M11952" s="549"/>
      <c r="N11952" s="549"/>
      <c r="O11952" s="549"/>
      <c r="P11952" s="549"/>
    </row>
    <row r="11953" spans="1:21" s="1511" customFormat="1" ht="17.399999999999999">
      <c r="A11953" s="547" t="s">
        <v>83</v>
      </c>
      <c r="B11953" s="547" t="s">
        <v>1410</v>
      </c>
      <c r="C11953" s="547" t="s">
        <v>19</v>
      </c>
      <c r="D11953" s="813" t="s">
        <v>854</v>
      </c>
      <c r="E11953" s="549" t="s">
        <v>367</v>
      </c>
      <c r="F11953" s="550">
        <v>12</v>
      </c>
      <c r="G11953" s="549" t="s">
        <v>21</v>
      </c>
      <c r="H11953" s="599" t="s">
        <v>119</v>
      </c>
      <c r="I11953" s="558">
        <v>10.7</v>
      </c>
      <c r="J11953" s="567">
        <v>7.8</v>
      </c>
      <c r="K11953" s="648">
        <v>712</v>
      </c>
      <c r="L11953" s="552">
        <f>(I11953*J11953*K11953/1000)</f>
        <v>59.423519999999996</v>
      </c>
      <c r="M11953" s="549">
        <f>25+18+1+3+2+1</f>
        <v>50</v>
      </c>
      <c r="N11953" s="567">
        <f t="shared" ref="N11953:N11957" si="2454">J11953*M11953*I11953/1000</f>
        <v>4.173</v>
      </c>
      <c r="O11953" s="549"/>
      <c r="P11953" s="549"/>
      <c r="Q11953" s="1511">
        <f>33+31+8+31+21+36+36+39+35+35+31+32+32+29+30+32+32+29</f>
        <v>552</v>
      </c>
      <c r="R11953" s="126">
        <f>J11953*Q11953*I11953/1000</f>
        <v>46.069919999999989</v>
      </c>
      <c r="S11953" s="1511">
        <f>31+8</f>
        <v>39</v>
      </c>
      <c r="T11953" s="126">
        <f>J11953*S11953*I11953/1000</f>
        <v>3.2549399999999995</v>
      </c>
      <c r="U11953" s="1511" t="s">
        <v>1476</v>
      </c>
    </row>
    <row r="11954" spans="1:21" s="1511" customFormat="1" ht="17.399999999999999">
      <c r="A11954" s="549"/>
      <c r="B11954" s="728" t="s">
        <v>52</v>
      </c>
      <c r="C11954" s="549"/>
      <c r="D11954" s="549"/>
      <c r="E11954" s="549"/>
      <c r="F11954" s="549"/>
      <c r="G11954" s="549" t="s">
        <v>21</v>
      </c>
      <c r="H11954" s="549" t="s">
        <v>119</v>
      </c>
      <c r="I11954" s="558">
        <v>10.7</v>
      </c>
      <c r="J11954" s="567">
        <v>9.4</v>
      </c>
      <c r="K11954" s="648">
        <v>224</v>
      </c>
      <c r="L11954" s="552">
        <f>(I11954*J11954*K11954/1000)</f>
        <v>22.529919999999997</v>
      </c>
      <c r="M11954" s="549">
        <f>13+5+3+2+1+1</f>
        <v>25</v>
      </c>
      <c r="N11954" s="567">
        <f t="shared" si="2454"/>
        <v>2.5145</v>
      </c>
      <c r="O11954" s="549"/>
      <c r="P11954" s="549"/>
      <c r="Q11954" s="1511">
        <f>29+7+32+1+28+33+27+26+8</f>
        <v>191</v>
      </c>
      <c r="R11954" s="126">
        <f>J11954*Q11954*I11954/1000</f>
        <v>19.21078</v>
      </c>
      <c r="S11954" s="1511">
        <f>8+32+1+29+7</f>
        <v>77</v>
      </c>
      <c r="T11954" s="126">
        <f t="shared" ref="T11954:T11957" si="2455">J11954*S11954*I11954/1000</f>
        <v>7.7446599999999997</v>
      </c>
    </row>
    <row r="11955" spans="1:21" s="1511" customFormat="1" ht="17.399999999999999">
      <c r="A11955" s="549"/>
      <c r="B11955" s="549"/>
      <c r="C11955" s="549"/>
      <c r="D11955" s="549"/>
      <c r="E11955" s="549"/>
      <c r="F11955" s="549"/>
      <c r="G11955" s="549" t="s">
        <v>21</v>
      </c>
      <c r="H11955" s="549" t="s">
        <v>119</v>
      </c>
      <c r="I11955" s="558">
        <v>10.7</v>
      </c>
      <c r="J11955" s="567">
        <v>10.4</v>
      </c>
      <c r="K11955" s="648">
        <v>122</v>
      </c>
      <c r="L11955" s="552">
        <f>(I11955*J11955*K11955/1000)</f>
        <v>13.57616</v>
      </c>
      <c r="M11955" s="549">
        <f>1+1+6+1</f>
        <v>9</v>
      </c>
      <c r="N11955" s="567">
        <f t="shared" si="2454"/>
        <v>1.00152</v>
      </c>
      <c r="O11955" s="549"/>
      <c r="P11955" s="549"/>
      <c r="Q11955" s="1511">
        <f>16+1+3+30+2+31+25+26+7-28</f>
        <v>113</v>
      </c>
      <c r="R11955" s="126">
        <f>J11955*Q11955*I11955/1000</f>
        <v>12.574639999999999</v>
      </c>
      <c r="S11955" s="1511">
        <f>30+16+1+3</f>
        <v>50</v>
      </c>
      <c r="T11955" s="126">
        <f t="shared" si="2455"/>
        <v>5.5640000000000001</v>
      </c>
    </row>
    <row r="11956" spans="1:21" s="1511" customFormat="1" ht="17.399999999999999">
      <c r="A11956" s="549"/>
      <c r="B11956" s="549"/>
      <c r="C11956" s="549"/>
      <c r="D11956" s="549"/>
      <c r="E11956" s="549"/>
      <c r="F11956" s="549"/>
      <c r="G11956" s="549" t="s">
        <v>21</v>
      </c>
      <c r="H11956" s="549" t="s">
        <v>119</v>
      </c>
      <c r="I11956" s="558">
        <v>10.7</v>
      </c>
      <c r="J11956" s="567">
        <v>11.6</v>
      </c>
      <c r="K11956" s="648">
        <v>298</v>
      </c>
      <c r="L11956" s="552">
        <f>(I11956*J11956*K11956/1000)</f>
        <v>36.987759999999994</v>
      </c>
      <c r="M11956" s="549">
        <f>1+1+1</f>
        <v>3</v>
      </c>
      <c r="N11956" s="567">
        <f t="shared" si="2454"/>
        <v>0.37235999999999997</v>
      </c>
      <c r="O11956" s="549"/>
      <c r="P11956" s="549"/>
      <c r="Q11956" s="1511">
        <f>22+4+27+25+25+1+25+25+25+24+3-20</f>
        <v>186</v>
      </c>
      <c r="R11956" s="126">
        <f>J11956*Q11956*I11956/1000</f>
        <v>23.086319999999997</v>
      </c>
      <c r="S11956" s="1511">
        <f>25+25+24+3+22+4+27+25+1</f>
        <v>156</v>
      </c>
      <c r="T11956" s="126">
        <f t="shared" si="2455"/>
        <v>19.362719999999996</v>
      </c>
    </row>
    <row r="11957" spans="1:21" s="1511" customFormat="1" ht="17.399999999999999">
      <c r="A11957" s="549"/>
      <c r="B11957" s="549"/>
      <c r="C11957" s="549"/>
      <c r="D11957" s="549"/>
      <c r="E11957" s="549"/>
      <c r="F11957" s="549"/>
      <c r="G11957" s="549" t="s">
        <v>21</v>
      </c>
      <c r="H11957" s="549" t="s">
        <v>119</v>
      </c>
      <c r="I11957" s="558">
        <v>10.7</v>
      </c>
      <c r="J11957" s="567">
        <v>12</v>
      </c>
      <c r="K11957" s="648">
        <v>160</v>
      </c>
      <c r="L11957" s="552">
        <f>(I11957*J11957*K11957/1000)</f>
        <v>20.543999999999997</v>
      </c>
      <c r="M11957" s="549"/>
      <c r="N11957" s="567">
        <f t="shared" si="2454"/>
        <v>0</v>
      </c>
      <c r="O11957" s="549"/>
      <c r="P11957" s="549"/>
      <c r="Q11957" s="1511">
        <f>22+9+7+19+20+1+2+1+24+18+25+24+9-2</f>
        <v>179</v>
      </c>
      <c r="R11957" s="126">
        <f>J11957*Q11957*I11957/1000</f>
        <v>22.983599999999999</v>
      </c>
      <c r="S11957" s="1511">
        <f>9+1+2+1+9+7</f>
        <v>29</v>
      </c>
      <c r="T11957" s="126">
        <f t="shared" si="2455"/>
        <v>3.7235999999999998</v>
      </c>
    </row>
    <row r="11958" spans="1:21" s="1511" customFormat="1" ht="17.399999999999999">
      <c r="A11958" s="549"/>
      <c r="B11958" s="549"/>
      <c r="C11958" s="549"/>
      <c r="D11958" s="549"/>
      <c r="E11958" s="549"/>
      <c r="F11958" s="549"/>
      <c r="G11958" s="549"/>
      <c r="H11958" s="549"/>
      <c r="I11958" s="558"/>
      <c r="J11958" s="567"/>
      <c r="K11958" s="648">
        <f>SUM(K11953:K11957)</f>
        <v>1516</v>
      </c>
      <c r="L11958" s="567">
        <f>SUM(L11953:L11957)</f>
        <v>153.06135999999998</v>
      </c>
      <c r="M11958" s="648">
        <f>SUM(M11953:M11957)</f>
        <v>87</v>
      </c>
      <c r="N11958" s="567">
        <f>SUM(N11953:N11957)</f>
        <v>8.0613799999999998</v>
      </c>
      <c r="O11958" s="549"/>
      <c r="P11958" s="549"/>
      <c r="Q11958" s="648">
        <f>SUM(Q11953:Q11957)</f>
        <v>1221</v>
      </c>
      <c r="R11958" s="567">
        <f>SUM(R11953:R11957)</f>
        <v>123.92525999999999</v>
      </c>
      <c r="S11958" s="648">
        <f>SUM(S11953:S11957)</f>
        <v>351</v>
      </c>
      <c r="T11958" s="567">
        <f>SUM(T11953:T11957)</f>
        <v>39.649919999999995</v>
      </c>
    </row>
    <row r="11959" spans="1:21" s="1511" customFormat="1" ht="17.399999999999999">
      <c r="A11959" s="549"/>
      <c r="B11959" s="549"/>
      <c r="C11959" s="549"/>
      <c r="D11959" s="549"/>
      <c r="E11959" s="549"/>
      <c r="F11959" s="549"/>
      <c r="G11959" s="549"/>
      <c r="H11959" s="549"/>
      <c r="I11959" s="558"/>
      <c r="J11959" s="567"/>
      <c r="K11959" s="648"/>
      <c r="L11959" s="567"/>
      <c r="M11959" s="549"/>
      <c r="N11959" s="549"/>
      <c r="O11959" s="549"/>
      <c r="P11959" s="549"/>
    </row>
    <row r="11960" spans="1:21" s="1511" customFormat="1" ht="17.399999999999999">
      <c r="A11960" s="547" t="s">
        <v>83</v>
      </c>
      <c r="B11960" s="547" t="s">
        <v>1406</v>
      </c>
      <c r="C11960" s="547" t="s">
        <v>19</v>
      </c>
      <c r="D11960" s="813" t="s">
        <v>854</v>
      </c>
      <c r="E11960" s="549" t="s">
        <v>367</v>
      </c>
      <c r="F11960" s="550">
        <v>12</v>
      </c>
      <c r="G11960" s="549" t="s">
        <v>21</v>
      </c>
      <c r="H11960" s="599" t="s">
        <v>119</v>
      </c>
      <c r="I11960" s="558">
        <v>10.7</v>
      </c>
      <c r="J11960" s="567">
        <v>12</v>
      </c>
      <c r="K11960" s="648">
        <v>2</v>
      </c>
      <c r="L11960" s="552">
        <f t="shared" ref="L11960:L11962" si="2456">(I11960*J11960*K11960/1000)</f>
        <v>0.25679999999999997</v>
      </c>
      <c r="M11960" s="549"/>
      <c r="N11960" s="549"/>
      <c r="O11960" s="549"/>
      <c r="P11960" s="549"/>
      <c r="Q11960" s="1511">
        <v>20</v>
      </c>
      <c r="R11960" s="126">
        <f>J11960*Q11960*I11960/1000</f>
        <v>2.5680000000000001</v>
      </c>
      <c r="U11960" s="1511" t="s">
        <v>1476</v>
      </c>
    </row>
    <row r="11961" spans="1:21" s="1511" customFormat="1" ht="17.399999999999999">
      <c r="A11961" s="549"/>
      <c r="B11961" s="728" t="s">
        <v>52</v>
      </c>
      <c r="C11961" s="549"/>
      <c r="D11961" s="549"/>
      <c r="E11961" s="549"/>
      <c r="F11961" s="549"/>
      <c r="G11961" s="549" t="s">
        <v>21</v>
      </c>
      <c r="H11961" s="549" t="s">
        <v>119</v>
      </c>
      <c r="I11961" s="558">
        <v>10.7</v>
      </c>
      <c r="J11961" s="567">
        <v>9.4</v>
      </c>
      <c r="K11961" s="648">
        <v>10</v>
      </c>
      <c r="L11961" s="552">
        <f t="shared" si="2456"/>
        <v>1.0058</v>
      </c>
      <c r="M11961" s="549"/>
      <c r="N11961" s="549"/>
      <c r="O11961" s="549"/>
      <c r="P11961" s="549"/>
      <c r="Q11961" s="1511">
        <v>10</v>
      </c>
      <c r="R11961" s="126">
        <f>J11961*Q11961*I11961/1000</f>
        <v>1.0058</v>
      </c>
    </row>
    <row r="11962" spans="1:21" s="1511" customFormat="1" ht="17.399999999999999">
      <c r="A11962" s="549"/>
      <c r="B11962" s="549"/>
      <c r="C11962" s="549"/>
      <c r="D11962" s="549"/>
      <c r="E11962" s="549"/>
      <c r="F11962" s="549"/>
      <c r="G11962" s="549" t="s">
        <v>21</v>
      </c>
      <c r="H11962" s="549" t="s">
        <v>119</v>
      </c>
      <c r="I11962" s="558">
        <v>10.7</v>
      </c>
      <c r="J11962" s="567">
        <v>11.6</v>
      </c>
      <c r="K11962" s="648">
        <v>20</v>
      </c>
      <c r="L11962" s="552">
        <f t="shared" si="2456"/>
        <v>2.4823999999999997</v>
      </c>
      <c r="M11962" s="549"/>
      <c r="N11962" s="549"/>
      <c r="O11962" s="549"/>
      <c r="P11962" s="549"/>
      <c r="Q11962" s="1511">
        <v>2</v>
      </c>
      <c r="R11962" s="126">
        <f>J11962*Q11962*I11962/1000</f>
        <v>0.24823999999999999</v>
      </c>
    </row>
    <row r="11963" spans="1:21" s="1511" customFormat="1" ht="17.399999999999999">
      <c r="A11963" s="549"/>
      <c r="B11963" s="549"/>
      <c r="C11963" s="549"/>
      <c r="D11963" s="549"/>
      <c r="E11963" s="549"/>
      <c r="F11963" s="549"/>
      <c r="G11963" s="549"/>
      <c r="H11963" s="549"/>
      <c r="I11963" s="558"/>
      <c r="J11963" s="567"/>
      <c r="K11963" s="648">
        <f>SUM(K11960:K11962)</f>
        <v>32</v>
      </c>
      <c r="L11963" s="567">
        <f>SUM(L11960:L11962)</f>
        <v>3.7449999999999997</v>
      </c>
      <c r="M11963" s="648">
        <f>SUM(M11960:M11962)</f>
        <v>0</v>
      </c>
      <c r="N11963" s="567">
        <f>SUM(N11960:N11962)</f>
        <v>0</v>
      </c>
      <c r="O11963" s="549"/>
      <c r="P11963" s="549"/>
      <c r="Q11963" s="648">
        <f>SUM(Q11960:Q11962)</f>
        <v>32</v>
      </c>
      <c r="R11963" s="567">
        <f>SUM(R11960:R11962)</f>
        <v>3.8220400000000003</v>
      </c>
    </row>
    <row r="11964" spans="1:21" s="1511" customFormat="1" ht="17.399999999999999">
      <c r="A11964" s="549"/>
      <c r="B11964" s="549"/>
      <c r="C11964" s="549"/>
      <c r="D11964" s="549"/>
      <c r="E11964" s="549"/>
      <c r="F11964" s="549"/>
      <c r="G11964" s="549"/>
      <c r="H11964" s="549"/>
      <c r="I11964" s="558"/>
      <c r="J11964" s="567"/>
      <c r="K11964" s="648">
        <f>SUM(K11953:K11963)/2</f>
        <v>1548</v>
      </c>
      <c r="L11964" s="567">
        <f>SUM(L11953:L11963)/2</f>
        <v>156.80635999999998</v>
      </c>
      <c r="M11964" s="648">
        <f>SUM(M11953:M11963)/2</f>
        <v>87</v>
      </c>
      <c r="N11964" s="567">
        <f>SUM(N11953:N11963)/2</f>
        <v>8.0613799999999998</v>
      </c>
      <c r="O11964" s="549"/>
      <c r="P11964" s="549" t="s">
        <v>1420</v>
      </c>
      <c r="Q11964" s="648">
        <f>SUM(Q11953:Q11963)/2</f>
        <v>1253</v>
      </c>
      <c r="R11964" s="567">
        <f>SUM(R11953:R11963)/2</f>
        <v>127.7473</v>
      </c>
    </row>
    <row r="11965" spans="1:21" s="1511" customFormat="1" ht="17.399999999999999">
      <c r="A11965" s="549"/>
      <c r="B11965" s="549"/>
      <c r="C11965" s="549"/>
      <c r="D11965" s="549"/>
      <c r="E11965" s="549"/>
      <c r="F11965" s="549"/>
      <c r="G11965" s="549"/>
      <c r="H11965" s="549"/>
      <c r="I11965" s="558"/>
      <c r="J11965" s="567"/>
      <c r="K11965" s="648"/>
      <c r="L11965" s="567"/>
      <c r="M11965" s="549"/>
      <c r="N11965" s="549"/>
      <c r="O11965" s="549"/>
      <c r="P11965" s="549"/>
    </row>
    <row r="11966" spans="1:21" s="1511" customFormat="1" ht="17.399999999999999">
      <c r="A11966" s="549"/>
      <c r="B11966" s="549"/>
      <c r="C11966" s="549"/>
      <c r="D11966" s="549"/>
      <c r="E11966" s="549"/>
      <c r="F11966" s="549"/>
      <c r="G11966" s="549"/>
      <c r="H11966" s="549"/>
      <c r="I11966" s="558"/>
      <c r="J11966" s="567"/>
      <c r="K11966" s="648"/>
      <c r="L11966" s="567"/>
      <c r="M11966" s="549"/>
      <c r="N11966" s="549"/>
      <c r="O11966" s="549"/>
      <c r="P11966" s="549"/>
    </row>
    <row r="11967" spans="1:21" s="1511" customFormat="1" ht="17.399999999999999">
      <c r="A11967" s="547" t="s">
        <v>83</v>
      </c>
      <c r="B11967" s="547" t="s">
        <v>1410</v>
      </c>
      <c r="C11967" s="547" t="s">
        <v>19</v>
      </c>
      <c r="D11967" s="813" t="s">
        <v>854</v>
      </c>
      <c r="E11967" s="549" t="s">
        <v>367</v>
      </c>
      <c r="F11967" s="550">
        <v>12</v>
      </c>
      <c r="G11967" s="549" t="s">
        <v>21</v>
      </c>
      <c r="H11967" s="599" t="s">
        <v>134</v>
      </c>
      <c r="I11967" s="558">
        <v>12.2</v>
      </c>
      <c r="J11967" s="567">
        <v>10.5</v>
      </c>
      <c r="K11967" s="648">
        <v>482</v>
      </c>
      <c r="L11967" s="552">
        <f>(I11967*J11967*K11967/1000)</f>
        <v>61.744199999999999</v>
      </c>
      <c r="M11967" s="549"/>
      <c r="N11967" s="549"/>
      <c r="O11967" s="549"/>
      <c r="P11967" s="549"/>
      <c r="Q11967" s="1511" t="s">
        <v>1477</v>
      </c>
    </row>
    <row r="11968" spans="1:21" s="1511" customFormat="1" ht="17.399999999999999">
      <c r="A11968" s="549"/>
      <c r="B11968" s="728" t="s">
        <v>52</v>
      </c>
      <c r="C11968" s="549"/>
      <c r="D11968" s="549"/>
      <c r="E11968" s="549"/>
      <c r="F11968" s="549"/>
      <c r="G11968" s="549" t="s">
        <v>21</v>
      </c>
      <c r="H11968" s="549" t="s">
        <v>134</v>
      </c>
      <c r="I11968" s="558">
        <v>12.2</v>
      </c>
      <c r="J11968" s="567">
        <v>11.5</v>
      </c>
      <c r="K11968" s="648">
        <v>192</v>
      </c>
      <c r="L11968" s="552">
        <f>(I11968*J11968*K11968/1000)</f>
        <v>26.9376</v>
      </c>
      <c r="M11968" s="549"/>
      <c r="N11968" s="549"/>
      <c r="O11968" s="549"/>
      <c r="P11968" s="549"/>
    </row>
    <row r="11969" spans="1:17" s="1511" customFormat="1" ht="17.399999999999999">
      <c r="A11969" s="549"/>
      <c r="B11969" s="549"/>
      <c r="C11969" s="549"/>
      <c r="D11969" s="549"/>
      <c r="E11969" s="549"/>
      <c r="F11969" s="549"/>
      <c r="G11969" s="549" t="s">
        <v>21</v>
      </c>
      <c r="H11969" s="549" t="s">
        <v>134</v>
      </c>
      <c r="I11969" s="558">
        <v>12.2</v>
      </c>
      <c r="J11969" s="567">
        <v>11.25</v>
      </c>
      <c r="K11969" s="648">
        <v>242</v>
      </c>
      <c r="L11969" s="552">
        <f>(I11969*J11969*K11969/1000)</f>
        <v>33.214500000000001</v>
      </c>
      <c r="M11969" s="549"/>
      <c r="N11969" s="549"/>
      <c r="O11969" s="549"/>
      <c r="P11969" s="549"/>
    </row>
    <row r="11970" spans="1:17" s="1511" customFormat="1" ht="17.399999999999999">
      <c r="A11970" s="549"/>
      <c r="B11970" s="549"/>
      <c r="C11970" s="549"/>
      <c r="D11970" s="549"/>
      <c r="E11970" s="549"/>
      <c r="F11970" s="549"/>
      <c r="G11970" s="549"/>
      <c r="H11970" s="549"/>
      <c r="I11970" s="558"/>
      <c r="J11970" s="567"/>
      <c r="K11970" s="648">
        <f>SUM(K11967:K11969)</f>
        <v>916</v>
      </c>
      <c r="L11970" s="567">
        <f>SUM(L11967:L11969)</f>
        <v>121.8963</v>
      </c>
      <c r="M11970" s="549"/>
      <c r="N11970" s="549"/>
      <c r="O11970" s="549"/>
      <c r="P11970" s="549" t="s">
        <v>1421</v>
      </c>
    </row>
    <row r="11971" spans="1:17" s="1511" customFormat="1" ht="17.399999999999999">
      <c r="A11971" s="549"/>
      <c r="B11971" s="549"/>
      <c r="C11971" s="549"/>
      <c r="D11971" s="549"/>
      <c r="E11971" s="549"/>
      <c r="F11971" s="549"/>
      <c r="G11971" s="549"/>
      <c r="H11971" s="549"/>
      <c r="I11971" s="558"/>
      <c r="J11971" s="567"/>
      <c r="K11971" s="648"/>
      <c r="L11971" s="567"/>
      <c r="M11971" s="549"/>
      <c r="N11971" s="549"/>
      <c r="O11971" s="549"/>
      <c r="P11971" s="549"/>
    </row>
    <row r="11972" spans="1:17" s="1511" customFormat="1" ht="17.399999999999999">
      <c r="A11972" s="549"/>
      <c r="B11972" s="549"/>
      <c r="C11972" s="549"/>
      <c r="D11972" s="549"/>
      <c r="E11972" s="549"/>
      <c r="F11972" s="549"/>
      <c r="G11972" s="549"/>
      <c r="H11972" s="549"/>
      <c r="I11972" s="558"/>
      <c r="J11972" s="567"/>
      <c r="K11972" s="648"/>
      <c r="L11972" s="567"/>
      <c r="M11972" s="549"/>
      <c r="N11972" s="549"/>
      <c r="O11972" s="549"/>
      <c r="P11972" s="549"/>
    </row>
    <row r="11973" spans="1:17" s="1511" customFormat="1" ht="17.399999999999999">
      <c r="A11973" s="549"/>
      <c r="B11973" s="549"/>
      <c r="C11973" s="549"/>
      <c r="D11973" s="549"/>
      <c r="E11973" s="549"/>
      <c r="F11973" s="549"/>
      <c r="G11973" s="549"/>
      <c r="H11973" s="549"/>
      <c r="I11973" s="558"/>
      <c r="J11973" s="567"/>
      <c r="K11973" s="648"/>
      <c r="L11973" s="567"/>
      <c r="M11973" s="549"/>
      <c r="N11973" s="549"/>
      <c r="O11973" s="549"/>
      <c r="P11973" s="549"/>
    </row>
    <row r="11974" spans="1:17" s="1511" customFormat="1" ht="17.399999999999999">
      <c r="A11974" s="547" t="s">
        <v>83</v>
      </c>
      <c r="B11974" s="547" t="s">
        <v>1406</v>
      </c>
      <c r="C11974" s="547" t="s">
        <v>19</v>
      </c>
      <c r="D11974" s="813" t="s">
        <v>854</v>
      </c>
      <c r="E11974" s="549" t="s">
        <v>367</v>
      </c>
      <c r="F11974" s="550">
        <v>12</v>
      </c>
      <c r="G11974" s="549" t="s">
        <v>21</v>
      </c>
      <c r="H11974" s="599" t="s">
        <v>205</v>
      </c>
      <c r="I11974" s="558">
        <v>13.6</v>
      </c>
      <c r="J11974" s="567">
        <v>6.6</v>
      </c>
      <c r="K11974" s="648">
        <v>8</v>
      </c>
      <c r="L11974" s="552">
        <f t="shared" ref="L11974" si="2457">(I11974*J11974*K11974/1000)</f>
        <v>0.71807999999999994</v>
      </c>
      <c r="M11974" s="549">
        <v>8</v>
      </c>
      <c r="N11974" s="567">
        <f>J11974*M11974*I11974/1000</f>
        <v>0.71807999999999994</v>
      </c>
      <c r="O11974" s="549"/>
      <c r="P11974" s="549"/>
      <c r="Q11974" s="1511" t="s">
        <v>1482</v>
      </c>
    </row>
    <row r="11975" spans="1:17" s="1511" customFormat="1" ht="17.399999999999999">
      <c r="A11975" s="549"/>
      <c r="B11975" s="728" t="s">
        <v>52</v>
      </c>
      <c r="C11975" s="549"/>
      <c r="D11975" s="549"/>
      <c r="E11975" s="549"/>
      <c r="F11975" s="549"/>
      <c r="G11975" s="549"/>
      <c r="H11975" s="549"/>
      <c r="I11975" s="558"/>
      <c r="J11975" s="567"/>
      <c r="K11975" s="648">
        <f>SUM(K11974:K11974)</f>
        <v>8</v>
      </c>
      <c r="L11975" s="567">
        <f>SUM(L11974:L11974)</f>
        <v>0.71807999999999994</v>
      </c>
      <c r="M11975" s="648">
        <f>SUM(M11974:M11974)</f>
        <v>8</v>
      </c>
      <c r="N11975" s="567">
        <f>SUM(N11974:N11974)</f>
        <v>0.71807999999999994</v>
      </c>
      <c r="O11975" s="549"/>
      <c r="P11975" s="549"/>
    </row>
    <row r="11976" spans="1:17" s="1511" customFormat="1" ht="17.399999999999999">
      <c r="A11976" s="549"/>
      <c r="B11976" s="549"/>
      <c r="C11976" s="549"/>
      <c r="D11976" s="549"/>
      <c r="E11976" s="549"/>
      <c r="F11976" s="549"/>
      <c r="G11976" s="549"/>
      <c r="H11976" s="549"/>
      <c r="I11976" s="558"/>
      <c r="J11976" s="567"/>
      <c r="K11976" s="648"/>
      <c r="L11976" s="567"/>
      <c r="M11976" s="549"/>
      <c r="N11976" s="549"/>
      <c r="O11976" s="549"/>
      <c r="P11976" s="549"/>
    </row>
    <row r="11977" spans="1:17" s="1511" customFormat="1" ht="17.399999999999999">
      <c r="A11977" s="547" t="s">
        <v>83</v>
      </c>
      <c r="B11977" s="547" t="s">
        <v>1410</v>
      </c>
      <c r="C11977" s="547" t="s">
        <v>19</v>
      </c>
      <c r="D11977" s="813" t="s">
        <v>854</v>
      </c>
      <c r="E11977" s="549" t="s">
        <v>367</v>
      </c>
      <c r="F11977" s="550">
        <v>12</v>
      </c>
      <c r="G11977" s="549" t="s">
        <v>21</v>
      </c>
      <c r="H11977" s="599" t="s">
        <v>205</v>
      </c>
      <c r="I11977" s="558">
        <v>13.6</v>
      </c>
      <c r="J11977" s="567">
        <v>6.6</v>
      </c>
      <c r="K11977" s="648">
        <v>112</v>
      </c>
      <c r="L11977" s="552">
        <f>(I11977*J11977*K11977/1000)</f>
        <v>10.05312</v>
      </c>
      <c r="M11977" s="549">
        <v>10</v>
      </c>
      <c r="N11977" s="567">
        <f>J11977*M11977*I11977/1000</f>
        <v>0.89760000000000006</v>
      </c>
      <c r="O11977" s="549"/>
      <c r="P11977" s="549"/>
      <c r="Q11977" s="1511" t="s">
        <v>1482</v>
      </c>
    </row>
    <row r="11978" spans="1:17" s="1511" customFormat="1" ht="17.399999999999999">
      <c r="A11978" s="549"/>
      <c r="B11978" s="728" t="s">
        <v>52</v>
      </c>
      <c r="C11978" s="549"/>
      <c r="D11978" s="549"/>
      <c r="E11978" s="549"/>
      <c r="F11978" s="549"/>
      <c r="G11978" s="549"/>
      <c r="H11978" s="549"/>
      <c r="I11978" s="558"/>
      <c r="J11978" s="567"/>
      <c r="K11978" s="648">
        <f>SUM(K11977:K11977)</f>
        <v>112</v>
      </c>
      <c r="L11978" s="567">
        <f>SUM(L11977:L11977)</f>
        <v>10.05312</v>
      </c>
      <c r="M11978" s="648">
        <f>SUM(M11977:M11977)</f>
        <v>10</v>
      </c>
      <c r="N11978" s="567">
        <f>SUM(N11977:N11977)</f>
        <v>0.89760000000000006</v>
      </c>
      <c r="O11978" s="549"/>
      <c r="P11978" s="549"/>
    </row>
    <row r="11979" spans="1:17" s="1511" customFormat="1" ht="17.399999999999999">
      <c r="A11979" s="549"/>
      <c r="B11979" s="549"/>
      <c r="C11979" s="549"/>
      <c r="D11979" s="549"/>
      <c r="E11979" s="549"/>
      <c r="F11979" s="549"/>
      <c r="G11979" s="549"/>
      <c r="H11979" s="549"/>
      <c r="I11979" s="558"/>
      <c r="J11979" s="567"/>
      <c r="K11979" s="648">
        <f>SUM(K11974:K11978)/2</f>
        <v>120</v>
      </c>
      <c r="L11979" s="567">
        <f>SUM(L11974:L11978)/2</f>
        <v>10.7712</v>
      </c>
      <c r="M11979" s="648">
        <f>SUM(M11974:M11978)/2</f>
        <v>18</v>
      </c>
      <c r="N11979" s="567">
        <f>SUM(N11974:N11978)/2</f>
        <v>1.61568</v>
      </c>
      <c r="O11979" s="549"/>
      <c r="P11979" s="549" t="s">
        <v>1422</v>
      </c>
    </row>
    <row r="11980" spans="1:17" s="1511" customFormat="1" ht="17.399999999999999">
      <c r="A11980" s="549"/>
      <c r="B11980" s="549"/>
      <c r="C11980" s="549"/>
      <c r="D11980" s="549"/>
      <c r="E11980" s="549"/>
      <c r="F11980" s="549"/>
      <c r="G11980" s="549"/>
      <c r="H11980" s="549"/>
      <c r="I11980" s="558"/>
      <c r="J11980" s="567"/>
      <c r="K11980" s="648"/>
      <c r="L11980" s="567"/>
      <c r="M11980" s="549"/>
      <c r="N11980" s="549"/>
      <c r="O11980" s="549"/>
      <c r="P11980" s="549"/>
    </row>
    <row r="11981" spans="1:17" s="1511" customFormat="1" ht="17.399999999999999">
      <c r="A11981" s="549"/>
      <c r="B11981" s="549"/>
      <c r="C11981" s="549"/>
      <c r="D11981" s="549"/>
      <c r="E11981" s="549"/>
      <c r="F11981" s="549"/>
      <c r="G11981" s="549"/>
      <c r="H11981" s="549"/>
      <c r="I11981" s="558"/>
      <c r="J11981" s="567"/>
      <c r="K11981" s="648"/>
      <c r="L11981" s="567"/>
      <c r="M11981" s="549"/>
      <c r="N11981" s="549"/>
      <c r="O11981" s="549"/>
      <c r="P11981" s="549"/>
    </row>
    <row r="11982" spans="1:17" s="1511" customFormat="1" ht="17.399999999999999">
      <c r="A11982" s="549"/>
      <c r="B11982" s="549"/>
      <c r="C11982" s="549"/>
      <c r="D11982" s="549"/>
      <c r="E11982" s="549"/>
      <c r="F11982" s="549"/>
      <c r="G11982" s="549"/>
      <c r="H11982" s="549"/>
      <c r="I11982" s="558"/>
      <c r="J11982" s="567"/>
      <c r="K11982" s="648"/>
      <c r="L11982" s="567"/>
      <c r="M11982" s="549"/>
      <c r="N11982" s="549"/>
      <c r="O11982" s="549"/>
      <c r="P11982" s="549"/>
    </row>
    <row r="11983" spans="1:17" s="1511" customFormat="1" ht="17.399999999999999">
      <c r="A11983" s="547" t="s">
        <v>83</v>
      </c>
      <c r="B11983" s="547" t="s">
        <v>1410</v>
      </c>
      <c r="C11983" s="547" t="s">
        <v>19</v>
      </c>
      <c r="D11983" s="813" t="s">
        <v>60</v>
      </c>
      <c r="E11983" s="547" t="s">
        <v>247</v>
      </c>
      <c r="F11983" s="550">
        <v>12</v>
      </c>
      <c r="G11983" s="549" t="s">
        <v>61</v>
      </c>
      <c r="H11983" s="599" t="s">
        <v>134</v>
      </c>
      <c r="I11983" s="558">
        <v>12.2</v>
      </c>
      <c r="J11983" s="911">
        <v>11.9</v>
      </c>
      <c r="K11983" s="912">
        <v>40</v>
      </c>
      <c r="L11983" s="552">
        <f t="shared" ref="L11983:L11984" si="2458">(I11983*J11983*K11983/1000)</f>
        <v>5.8072000000000008</v>
      </c>
      <c r="M11983" s="549">
        <v>2</v>
      </c>
      <c r="N11983" s="567">
        <f t="shared" ref="N11983:N11984" si="2459">J11983*M11983*I11983/1000</f>
        <v>0.29036000000000001</v>
      </c>
      <c r="O11983" s="549"/>
      <c r="P11983" s="549"/>
      <c r="Q11983" s="1511" t="s">
        <v>1482</v>
      </c>
    </row>
    <row r="11984" spans="1:17" s="1511" customFormat="1" ht="17.399999999999999">
      <c r="A11984" s="549"/>
      <c r="B11984" s="717" t="s">
        <v>52</v>
      </c>
      <c r="C11984" s="549"/>
      <c r="D11984" s="549"/>
      <c r="E11984" s="549"/>
      <c r="F11984" s="549"/>
      <c r="G11984" s="549" t="s">
        <v>61</v>
      </c>
      <c r="H11984" s="549" t="s">
        <v>134</v>
      </c>
      <c r="I11984" s="558">
        <v>12.2</v>
      </c>
      <c r="J11984" s="911">
        <v>8</v>
      </c>
      <c r="K11984" s="912">
        <v>20</v>
      </c>
      <c r="L11984" s="552">
        <f t="shared" si="2458"/>
        <v>1.952</v>
      </c>
      <c r="M11984" s="549">
        <v>7</v>
      </c>
      <c r="N11984" s="567">
        <f t="shared" si="2459"/>
        <v>0.68319999999999992</v>
      </c>
      <c r="O11984" s="549"/>
      <c r="P11984" s="549"/>
    </row>
    <row r="11985" spans="1:17" s="1511" customFormat="1" ht="17.399999999999999">
      <c r="A11985" s="549"/>
      <c r="B11985" s="549"/>
      <c r="C11985" s="549"/>
      <c r="D11985" s="549"/>
      <c r="E11985" s="549"/>
      <c r="F11985" s="549"/>
      <c r="G11985" s="549"/>
      <c r="H11985" s="549"/>
      <c r="I11985" s="558"/>
      <c r="J11985" s="567"/>
      <c r="K11985" s="648">
        <f>SUM(K11983:K11984)</f>
        <v>60</v>
      </c>
      <c r="L11985" s="567">
        <f>SUM(L11983:L11984)</f>
        <v>7.7592000000000008</v>
      </c>
      <c r="M11985" s="648">
        <f>SUM(M11983:M11984)</f>
        <v>9</v>
      </c>
      <c r="N11985" s="567">
        <f>SUM(N11983:N11984)</f>
        <v>0.97355999999999998</v>
      </c>
      <c r="O11985" s="549"/>
      <c r="P11985" s="549"/>
    </row>
    <row r="11986" spans="1:17" s="1511" customFormat="1" ht="17.399999999999999">
      <c r="A11986" s="549"/>
      <c r="B11986" s="549"/>
      <c r="C11986" s="549"/>
      <c r="D11986" s="549"/>
      <c r="E11986" s="549"/>
      <c r="F11986" s="549"/>
      <c r="G11986" s="549"/>
      <c r="H11986" s="549"/>
      <c r="I11986" s="558"/>
      <c r="J11986" s="567"/>
      <c r="K11986" s="648"/>
      <c r="L11986" s="567"/>
      <c r="M11986" s="549"/>
      <c r="N11986" s="549"/>
      <c r="O11986" s="549"/>
      <c r="P11986" s="549"/>
    </row>
    <row r="11987" spans="1:17" s="1511" customFormat="1" ht="17.399999999999999">
      <c r="A11987" s="547" t="s">
        <v>83</v>
      </c>
      <c r="B11987" s="547" t="s">
        <v>1406</v>
      </c>
      <c r="C11987" s="547" t="s">
        <v>19</v>
      </c>
      <c r="D11987" s="813" t="s">
        <v>60</v>
      </c>
      <c r="E11987" s="547" t="s">
        <v>247</v>
      </c>
      <c r="F11987" s="550">
        <v>12</v>
      </c>
      <c r="G11987" s="549" t="s">
        <v>61</v>
      </c>
      <c r="H11987" s="599" t="s">
        <v>134</v>
      </c>
      <c r="I11987" s="558">
        <v>12.2</v>
      </c>
      <c r="J11987" s="911">
        <v>8</v>
      </c>
      <c r="K11987" s="912">
        <v>2</v>
      </c>
      <c r="L11987" s="552">
        <f t="shared" ref="L11987" si="2460">(I11987*J11987*K11987/1000)</f>
        <v>0.19519999999999998</v>
      </c>
      <c r="M11987" s="549"/>
      <c r="N11987" s="549"/>
      <c r="O11987" s="549"/>
      <c r="P11987" s="549"/>
      <c r="Q11987" s="1511" t="s">
        <v>1482</v>
      </c>
    </row>
    <row r="11988" spans="1:17" s="1511" customFormat="1" ht="17.399999999999999">
      <c r="A11988" s="549"/>
      <c r="B11988" s="717" t="s">
        <v>52</v>
      </c>
      <c r="C11988" s="549"/>
      <c r="D11988" s="549"/>
      <c r="E11988" s="549"/>
      <c r="F11988" s="549"/>
      <c r="G11988" s="549"/>
      <c r="H11988" s="549"/>
      <c r="I11988" s="558"/>
      <c r="J11988" s="567"/>
      <c r="K11988" s="648">
        <f>SUM(K11987:K11987)</f>
        <v>2</v>
      </c>
      <c r="L11988" s="567">
        <f>SUM(L11987:L11987)</f>
        <v>0.19519999999999998</v>
      </c>
      <c r="M11988" s="549"/>
      <c r="N11988" s="549"/>
      <c r="O11988" s="549"/>
      <c r="P11988" s="549"/>
    </row>
    <row r="11989" spans="1:17" s="1511" customFormat="1" ht="17.399999999999999">
      <c r="A11989" s="549"/>
      <c r="B11989" s="549"/>
      <c r="C11989" s="549"/>
      <c r="D11989" s="549"/>
      <c r="E11989" s="549"/>
      <c r="F11989" s="549"/>
      <c r="G11989" s="549"/>
      <c r="H11989" s="549"/>
      <c r="I11989" s="558"/>
      <c r="J11989" s="567"/>
      <c r="K11989" s="648">
        <f>SUM(K11983:K11988)/2</f>
        <v>62</v>
      </c>
      <c r="L11989" s="567">
        <f>SUM(L11983:L11988)/2</f>
        <v>7.9544000000000006</v>
      </c>
      <c r="M11989" s="648">
        <f>SUM(M11983:M11988)/2</f>
        <v>9</v>
      </c>
      <c r="N11989" s="567">
        <f>SUM(N11983:N11988)/2</f>
        <v>0.97355999999999998</v>
      </c>
      <c r="O11989" s="549"/>
      <c r="P11989" s="549" t="s">
        <v>1423</v>
      </c>
    </row>
    <row r="11990" spans="1:17" s="1511" customFormat="1" ht="17.399999999999999">
      <c r="A11990" s="549"/>
      <c r="B11990" s="549"/>
      <c r="C11990" s="549"/>
      <c r="D11990" s="549"/>
      <c r="E11990" s="549"/>
      <c r="F11990" s="549"/>
      <c r="G11990" s="549"/>
      <c r="H11990" s="549"/>
      <c r="I11990" s="558"/>
      <c r="J11990" s="567"/>
      <c r="K11990" s="648"/>
      <c r="L11990" s="567"/>
      <c r="M11990" s="549"/>
      <c r="N11990" s="549"/>
      <c r="O11990" s="549"/>
      <c r="P11990" s="549"/>
    </row>
    <row r="11991" spans="1:17" s="1511" customFormat="1" ht="17.399999999999999">
      <c r="A11991" s="549"/>
      <c r="B11991" s="549"/>
      <c r="C11991" s="549"/>
      <c r="D11991" s="549"/>
      <c r="E11991" s="549"/>
      <c r="F11991" s="549"/>
      <c r="G11991" s="549"/>
      <c r="H11991" s="549"/>
      <c r="I11991" s="558"/>
      <c r="J11991" s="567"/>
      <c r="K11991" s="648"/>
      <c r="L11991" s="567"/>
      <c r="M11991" s="549"/>
      <c r="N11991" s="549"/>
      <c r="O11991" s="549"/>
      <c r="P11991" s="549"/>
    </row>
    <row r="11992" spans="1:17" s="1511" customFormat="1" ht="17.399999999999999">
      <c r="A11992" s="547" t="s">
        <v>83</v>
      </c>
      <c r="B11992" s="547" t="s">
        <v>1406</v>
      </c>
      <c r="C11992" s="547" t="s">
        <v>19</v>
      </c>
      <c r="D11992" s="813" t="s">
        <v>60</v>
      </c>
      <c r="E11992" s="547" t="s">
        <v>247</v>
      </c>
      <c r="F11992" s="550">
        <v>12</v>
      </c>
      <c r="G11992" s="549" t="s">
        <v>61</v>
      </c>
      <c r="H11992" s="599" t="s">
        <v>119</v>
      </c>
      <c r="I11992" s="558">
        <v>10.7</v>
      </c>
      <c r="J11992" s="911">
        <v>6.5</v>
      </c>
      <c r="K11992" s="912">
        <v>4</v>
      </c>
      <c r="L11992" s="552">
        <f t="shared" ref="L11992" si="2461">(I11992*J11992*K11992/1000)</f>
        <v>0.2782</v>
      </c>
      <c r="M11992" s="549">
        <v>4</v>
      </c>
      <c r="N11992" s="567">
        <f t="shared" ref="N11992" si="2462">J11992*M11992*I11992/1000</f>
        <v>0.2782</v>
      </c>
      <c r="O11992" s="549"/>
      <c r="P11992" s="549"/>
      <c r="Q11992" s="1511" t="s">
        <v>1482</v>
      </c>
    </row>
    <row r="11993" spans="1:17" s="1511" customFormat="1" ht="17.399999999999999">
      <c r="A11993" s="549"/>
      <c r="B11993" s="717" t="s">
        <v>52</v>
      </c>
      <c r="C11993" s="549"/>
      <c r="D11993" s="549"/>
      <c r="E11993" s="549"/>
      <c r="F11993" s="549"/>
      <c r="G11993" s="549"/>
      <c r="H11993" s="549"/>
      <c r="I11993" s="558"/>
      <c r="J11993" s="567"/>
      <c r="K11993" s="648">
        <f>SUM(K11992:K11992)</f>
        <v>4</v>
      </c>
      <c r="L11993" s="567">
        <f>SUM(L11992:L11992)</f>
        <v>0.2782</v>
      </c>
      <c r="M11993" s="648">
        <f>SUM(M11992:M11992)</f>
        <v>4</v>
      </c>
      <c r="N11993" s="567">
        <f>SUM(N11992:N11992)</f>
        <v>0.2782</v>
      </c>
      <c r="O11993" s="549"/>
      <c r="P11993" s="549"/>
    </row>
    <row r="11994" spans="1:17" s="1511" customFormat="1" ht="17.399999999999999">
      <c r="A11994" s="549"/>
      <c r="B11994" s="549"/>
      <c r="C11994" s="549"/>
      <c r="D11994" s="549"/>
      <c r="E11994" s="549"/>
      <c r="F11994" s="549"/>
      <c r="G11994" s="549"/>
      <c r="H11994" s="549"/>
      <c r="I11994" s="558"/>
      <c r="J11994" s="567"/>
      <c r="K11994" s="648"/>
      <c r="L11994" s="567"/>
      <c r="M11994" s="549"/>
      <c r="N11994" s="549"/>
      <c r="O11994" s="549"/>
      <c r="P11994" s="549"/>
    </row>
    <row r="11995" spans="1:17" s="1511" customFormat="1" ht="17.399999999999999">
      <c r="A11995" s="547" t="s">
        <v>83</v>
      </c>
      <c r="B11995" s="547" t="s">
        <v>1410</v>
      </c>
      <c r="C11995" s="547" t="s">
        <v>19</v>
      </c>
      <c r="D11995" s="813" t="s">
        <v>60</v>
      </c>
      <c r="E11995" s="547" t="s">
        <v>247</v>
      </c>
      <c r="F11995" s="550">
        <v>12</v>
      </c>
      <c r="G11995" s="549" t="s">
        <v>61</v>
      </c>
      <c r="H11995" s="599" t="s">
        <v>119</v>
      </c>
      <c r="I11995" s="558">
        <v>10.7</v>
      </c>
      <c r="J11995" s="911">
        <v>6.5</v>
      </c>
      <c r="K11995" s="912">
        <v>160</v>
      </c>
      <c r="L11995" s="552">
        <f>(I11995*J11995*K11995/1000)</f>
        <v>11.128</v>
      </c>
      <c r="M11995" s="549">
        <f>1+4+4+2</f>
        <v>11</v>
      </c>
      <c r="N11995" s="567">
        <f t="shared" ref="N11995" si="2463">J11995*M11995*I11995/1000</f>
        <v>0.76505000000000001</v>
      </c>
      <c r="O11995" s="549"/>
      <c r="P11995" s="549"/>
      <c r="Q11995" s="1511" t="s">
        <v>1482</v>
      </c>
    </row>
    <row r="11996" spans="1:17" s="1511" customFormat="1" ht="17.399999999999999">
      <c r="A11996" s="549"/>
      <c r="B11996" s="717" t="s">
        <v>52</v>
      </c>
      <c r="C11996" s="549"/>
      <c r="D11996" s="549"/>
      <c r="E11996" s="549"/>
      <c r="F11996" s="549"/>
      <c r="G11996" s="549"/>
      <c r="H11996" s="549"/>
      <c r="I11996" s="558"/>
      <c r="J11996" s="567"/>
      <c r="K11996" s="648">
        <f>SUM(K11995:K11995)</f>
        <v>160</v>
      </c>
      <c r="L11996" s="567">
        <f>SUM(L11995:L11995)</f>
        <v>11.128</v>
      </c>
      <c r="M11996" s="648">
        <f>SUM(M11995:M11995)</f>
        <v>11</v>
      </c>
      <c r="N11996" s="567">
        <f>SUM(N11995:N11995)</f>
        <v>0.76505000000000001</v>
      </c>
      <c r="O11996" s="549"/>
      <c r="P11996" s="549"/>
    </row>
    <row r="11997" spans="1:17" s="1511" customFormat="1" ht="17.399999999999999">
      <c r="A11997" s="549"/>
      <c r="B11997" s="549"/>
      <c r="C11997" s="549"/>
      <c r="D11997" s="549"/>
      <c r="E11997" s="549"/>
      <c r="F11997" s="549"/>
      <c r="G11997" s="549"/>
      <c r="H11997" s="549"/>
      <c r="I11997" s="558"/>
      <c r="J11997" s="567"/>
      <c r="K11997" s="648">
        <f>SUM(K11992:K11996)/2</f>
        <v>164</v>
      </c>
      <c r="L11997" s="567">
        <f>SUM(L11992:L11996)/2</f>
        <v>11.4062</v>
      </c>
      <c r="M11997" s="648">
        <f>SUM(M11992:M11996)/2</f>
        <v>15</v>
      </c>
      <c r="N11997" s="567">
        <f>SUM(N11992:N11996)/2</f>
        <v>1.04325</v>
      </c>
      <c r="O11997" s="549"/>
      <c r="P11997" s="549" t="s">
        <v>1424</v>
      </c>
    </row>
    <row r="11998" spans="1:17" s="1511" customFormat="1" ht="17.399999999999999">
      <c r="A11998" s="549"/>
      <c r="B11998" s="549"/>
      <c r="C11998" s="549"/>
      <c r="D11998" s="549"/>
      <c r="E11998" s="549"/>
      <c r="F11998" s="549"/>
      <c r="G11998" s="549"/>
      <c r="H11998" s="549"/>
      <c r="I11998" s="558"/>
      <c r="J11998" s="567"/>
      <c r="K11998" s="648"/>
      <c r="L11998" s="567"/>
      <c r="M11998" s="549"/>
      <c r="N11998" s="549"/>
      <c r="O11998" s="549"/>
      <c r="P11998" s="549"/>
    </row>
    <row r="11999" spans="1:17" s="1511" customFormat="1" ht="17.399999999999999">
      <c r="A11999" s="549"/>
      <c r="B11999" s="549"/>
      <c r="C11999" s="549"/>
      <c r="D11999" s="549"/>
      <c r="E11999" s="549"/>
      <c r="F11999" s="549"/>
      <c r="G11999" s="549"/>
      <c r="H11999" s="549"/>
      <c r="I11999" s="558"/>
      <c r="J11999" s="567"/>
      <c r="K11999" s="648"/>
      <c r="L11999" s="567"/>
      <c r="M11999" s="549"/>
      <c r="N11999" s="549"/>
      <c r="O11999" s="549"/>
      <c r="P11999" s="549"/>
    </row>
    <row r="12000" spans="1:17" s="1511" customFormat="1" ht="17.399999999999999">
      <c r="A12000" s="549"/>
      <c r="B12000" s="549"/>
      <c r="C12000" s="549"/>
      <c r="D12000" s="549"/>
      <c r="E12000" s="549"/>
      <c r="F12000" s="549"/>
      <c r="G12000" s="549"/>
      <c r="H12000" s="549"/>
      <c r="I12000" s="558"/>
      <c r="J12000" s="567"/>
      <c r="K12000" s="648"/>
      <c r="L12000" s="567"/>
      <c r="M12000" s="549"/>
      <c r="N12000" s="549"/>
      <c r="O12000" s="549"/>
      <c r="P12000" s="549"/>
    </row>
    <row r="12001" spans="1:17" s="1511" customFormat="1" ht="17.399999999999999">
      <c r="A12001" s="549"/>
      <c r="B12001" s="549"/>
      <c r="C12001" s="549"/>
      <c r="D12001" s="549"/>
      <c r="E12001" s="549"/>
      <c r="F12001" s="549"/>
      <c r="G12001" s="549"/>
      <c r="H12001" s="549"/>
      <c r="I12001" s="558"/>
      <c r="J12001" s="567"/>
      <c r="K12001" s="648"/>
      <c r="L12001" s="567"/>
      <c r="M12001" s="549"/>
      <c r="N12001" s="549"/>
      <c r="O12001" s="549"/>
      <c r="P12001" s="549"/>
    </row>
    <row r="12002" spans="1:17" s="1511" customFormat="1" ht="17.399999999999999">
      <c r="A12002" s="547" t="s">
        <v>83</v>
      </c>
      <c r="B12002" s="547" t="s">
        <v>1410</v>
      </c>
      <c r="C12002" s="547" t="s">
        <v>19</v>
      </c>
      <c r="D12002" s="813" t="s">
        <v>60</v>
      </c>
      <c r="E12002" s="547" t="s">
        <v>247</v>
      </c>
      <c r="F12002" s="550">
        <v>12</v>
      </c>
      <c r="G12002" s="549" t="s">
        <v>61</v>
      </c>
      <c r="H12002" s="599" t="s">
        <v>118</v>
      </c>
      <c r="I12002" s="558">
        <v>9.26</v>
      </c>
      <c r="J12002" s="911">
        <v>9.15</v>
      </c>
      <c r="K12002" s="912">
        <v>320</v>
      </c>
      <c r="L12002" s="552">
        <f>(I12002*J12002*K12002/1000)</f>
        <v>27.11328</v>
      </c>
      <c r="M12002" s="549"/>
      <c r="N12002" s="549"/>
      <c r="O12002" s="549"/>
      <c r="P12002" s="549"/>
      <c r="Q12002" s="1511" t="s">
        <v>1482</v>
      </c>
    </row>
    <row r="12003" spans="1:17" s="1511" customFormat="1" ht="17.399999999999999">
      <c r="A12003" s="549"/>
      <c r="B12003" s="717" t="s">
        <v>52</v>
      </c>
      <c r="C12003" s="549"/>
      <c r="D12003" s="549"/>
      <c r="E12003" s="549"/>
      <c r="F12003" s="549"/>
      <c r="G12003" s="549" t="s">
        <v>61</v>
      </c>
      <c r="H12003" s="549" t="s">
        <v>118</v>
      </c>
      <c r="I12003" s="558">
        <v>9.26</v>
      </c>
      <c r="J12003" s="911">
        <v>6.35</v>
      </c>
      <c r="K12003" s="912">
        <v>160</v>
      </c>
      <c r="L12003" s="552">
        <f>(I12003*J12003*K12003/1000)</f>
        <v>9.4081600000000005</v>
      </c>
      <c r="M12003" s="549"/>
      <c r="N12003" s="549"/>
      <c r="O12003" s="549"/>
      <c r="P12003" s="549"/>
    </row>
    <row r="12004" spans="1:17" s="1511" customFormat="1" ht="17.399999999999999">
      <c r="A12004" s="549"/>
      <c r="B12004" s="549"/>
      <c r="C12004" s="549"/>
      <c r="D12004" s="549"/>
      <c r="E12004" s="549"/>
      <c r="F12004" s="549"/>
      <c r="G12004" s="549" t="s">
        <v>61</v>
      </c>
      <c r="H12004" s="549" t="s">
        <v>118</v>
      </c>
      <c r="I12004" s="558">
        <v>9.26</v>
      </c>
      <c r="J12004" s="911">
        <v>6.5</v>
      </c>
      <c r="K12004" s="912">
        <v>320</v>
      </c>
      <c r="L12004" s="552">
        <f>(I12004*J12004*K12004/1000)</f>
        <v>19.2608</v>
      </c>
      <c r="M12004" s="549">
        <v>5</v>
      </c>
      <c r="N12004" s="567">
        <f t="shared" ref="N12004" si="2464">J12004*M12004*I12004/1000</f>
        <v>0.30095</v>
      </c>
      <c r="O12004" s="549"/>
      <c r="P12004" s="549"/>
    </row>
    <row r="12005" spans="1:17" s="1511" customFormat="1" ht="17.399999999999999">
      <c r="A12005" s="549"/>
      <c r="B12005" s="549"/>
      <c r="C12005" s="549"/>
      <c r="D12005" s="549"/>
      <c r="E12005" s="549"/>
      <c r="F12005" s="549"/>
      <c r="G12005" s="549"/>
      <c r="H12005" s="549"/>
      <c r="I12005" s="558"/>
      <c r="J12005" s="567"/>
      <c r="K12005" s="648">
        <f>SUM(K12002:K12004)</f>
        <v>800</v>
      </c>
      <c r="L12005" s="567">
        <f>SUM(L12002:L12004)</f>
        <v>55.782240000000002</v>
      </c>
      <c r="M12005" s="648">
        <f>SUM(M12002:M12004)</f>
        <v>5</v>
      </c>
      <c r="N12005" s="567">
        <f>SUM(N12002:N12004)</f>
        <v>0.30095</v>
      </c>
      <c r="O12005" s="549"/>
      <c r="P12005" s="549" t="s">
        <v>1425</v>
      </c>
    </row>
    <row r="12006" spans="1:17" s="1511" customFormat="1" ht="17.399999999999999">
      <c r="A12006" s="549"/>
      <c r="B12006" s="549"/>
      <c r="C12006" s="549"/>
      <c r="D12006" s="549"/>
      <c r="E12006" s="549"/>
      <c r="F12006" s="549"/>
      <c r="G12006" s="549"/>
      <c r="H12006" s="549"/>
      <c r="I12006" s="558"/>
      <c r="J12006" s="567"/>
      <c r="K12006" s="648"/>
      <c r="L12006" s="567"/>
      <c r="M12006" s="549"/>
      <c r="N12006" s="549"/>
      <c r="O12006" s="549"/>
      <c r="P12006" s="549"/>
    </row>
    <row r="12007" spans="1:17" s="1511" customFormat="1" ht="17.399999999999999">
      <c r="A12007" s="549"/>
      <c r="B12007" s="549"/>
      <c r="C12007" s="549"/>
      <c r="D12007" s="549"/>
      <c r="E12007" s="549"/>
      <c r="F12007" s="549"/>
      <c r="G12007" s="549"/>
      <c r="H12007" s="549"/>
      <c r="I12007" s="558"/>
      <c r="J12007" s="567"/>
      <c r="K12007" s="648"/>
      <c r="L12007" s="567"/>
      <c r="M12007" s="549"/>
      <c r="N12007" s="549"/>
      <c r="O12007" s="549"/>
      <c r="P12007" s="549"/>
    </row>
    <row r="12008" spans="1:17" s="1511" customFormat="1" ht="17.399999999999999">
      <c r="A12008" s="549"/>
      <c r="B12008" s="549"/>
      <c r="C12008" s="549"/>
      <c r="D12008" s="549"/>
      <c r="E12008" s="549"/>
      <c r="F12008" s="549"/>
      <c r="G12008" s="549"/>
      <c r="H12008" s="549"/>
      <c r="I12008" s="558"/>
      <c r="J12008" s="567"/>
      <c r="K12008" s="648"/>
      <c r="L12008" s="567"/>
      <c r="M12008" s="549"/>
      <c r="N12008" s="549"/>
      <c r="O12008" s="549"/>
      <c r="P12008" s="549"/>
    </row>
    <row r="12009" spans="1:17" ht="17.399999999999999">
      <c r="A12009" s="549"/>
      <c r="B12009" s="549"/>
      <c r="C12009" s="549"/>
      <c r="D12009" s="549"/>
      <c r="E12009" s="549"/>
      <c r="F12009" s="549"/>
      <c r="G12009" s="549"/>
      <c r="H12009" s="549"/>
      <c r="I12009" s="558"/>
      <c r="J12009" s="549"/>
      <c r="K12009" s="652">
        <f>+K11989+K11997+K12005+K11979+K11970+K11964+K11950+K11937+K11933+K11922+K11906+K11885+K11872+K11865+K11838+K11811+K11783</f>
        <v>6194</v>
      </c>
      <c r="L12009" s="565">
        <f>+L11989+L11997+L12005+L11979+L11970+L11964+L11950+L11937+L11933+L11922+L11906+L11885+L11872+L11865+L11838+L11811+L11783</f>
        <v>596.22637599999996</v>
      </c>
      <c r="M12009" s="652">
        <f>+M11989+M11997+M12005+M11979+M11970+M11964+M11950+M11937+M11933+M11922+M11906+M11885+M11872+M11865+M11838+M11811+M11783</f>
        <v>340</v>
      </c>
      <c r="N12009" s="565">
        <f>+N11989+N11997+N12005+N11979+N11970+N11964+N11950+N11937+N11933+N11922+N11906+N11885+N11872+N11865+N11838+N11811+N11783</f>
        <v>29.434316000000006</v>
      </c>
      <c r="O12009" s="549"/>
      <c r="P12009" s="549"/>
    </row>
    <row r="12010" spans="1:17" s="1511" customFormat="1" ht="18">
      <c r="A12010" s="653" t="s">
        <v>48</v>
      </c>
      <c r="B12010" s="653"/>
      <c r="C12010" s="654"/>
      <c r="D12010" s="654"/>
      <c r="E12010" s="654"/>
      <c r="F12010" s="1569"/>
      <c r="G12010" s="654"/>
      <c r="H12010" s="1569"/>
      <c r="I12010" s="656"/>
      <c r="J12010" s="654"/>
      <c r="K12010" s="657"/>
      <c r="L12010" s="2003" t="s">
        <v>0</v>
      </c>
      <c r="M12010" s="2003"/>
      <c r="N12010" s="2003"/>
      <c r="O12010" s="2004"/>
      <c r="P12010" s="1097"/>
    </row>
    <row r="12011" spans="1:17" s="1511" customFormat="1" ht="18">
      <c r="A12011" s="658" t="s">
        <v>1</v>
      </c>
      <c r="B12011" s="658"/>
      <c r="C12011" s="658"/>
      <c r="D12011" s="659" t="s">
        <v>2</v>
      </c>
      <c r="E12011" s="659"/>
      <c r="F12011" s="660"/>
      <c r="G12011" s="660"/>
      <c r="H12011" s="660"/>
      <c r="I12011" s="661"/>
      <c r="J12011" s="660"/>
      <c r="K12011" s="662" t="s">
        <v>3</v>
      </c>
      <c r="L12011" s="660"/>
      <c r="M12011" s="658"/>
      <c r="N12011" s="660"/>
      <c r="O12011" s="663"/>
      <c r="P12011" s="1098"/>
    </row>
    <row r="12012" spans="1:17" s="1511" customFormat="1" ht="18">
      <c r="A12012" s="1569" t="s">
        <v>22</v>
      </c>
      <c r="B12012" s="1990" t="s">
        <v>23</v>
      </c>
      <c r="C12012" s="2005"/>
      <c r="D12012" s="1989"/>
      <c r="E12012" s="1569" t="s">
        <v>24</v>
      </c>
      <c r="F12012" s="1990" t="s">
        <v>25</v>
      </c>
      <c r="G12012" s="1989"/>
      <c r="H12012" s="1990" t="s">
        <v>26</v>
      </c>
      <c r="I12012" s="2005"/>
      <c r="J12012" s="2005"/>
      <c r="K12012" s="1989"/>
      <c r="L12012" s="2006" t="s">
        <v>27</v>
      </c>
      <c r="M12012" s="2006"/>
      <c r="N12012" s="2006"/>
      <c r="O12012" s="1990"/>
      <c r="P12012" s="1098"/>
    </row>
    <row r="12013" spans="1:17" s="1511" customFormat="1" ht="18">
      <c r="A12013" s="664"/>
      <c r="B12013" s="1975"/>
      <c r="C12013" s="1976"/>
      <c r="D12013" s="1977"/>
      <c r="E12013" s="665"/>
      <c r="F12013" s="1975"/>
      <c r="G12013" s="1977"/>
      <c r="H12013" s="1975"/>
      <c r="I12013" s="1976"/>
      <c r="J12013" s="1976"/>
      <c r="K12013" s="1977"/>
      <c r="L12013" s="1975"/>
      <c r="M12013" s="1976"/>
      <c r="N12013" s="1976"/>
      <c r="O12013" s="1976"/>
      <c r="P12013" s="1098"/>
    </row>
    <row r="12014" spans="1:17" s="1511" customFormat="1" ht="18">
      <c r="A12014" s="664"/>
      <c r="B12014" s="1561"/>
      <c r="C12014" s="1560"/>
      <c r="D12014" s="1562"/>
      <c r="E12014" s="665"/>
      <c r="F12014" s="1561"/>
      <c r="G12014" s="1562"/>
      <c r="H12014" s="1561"/>
      <c r="I12014" s="1842"/>
      <c r="J12014" s="1560"/>
      <c r="K12014" s="1562"/>
      <c r="L12014" s="1560"/>
      <c r="M12014" s="1560"/>
      <c r="N12014" s="1560"/>
      <c r="O12014" s="1560"/>
      <c r="P12014" s="1098"/>
    </row>
    <row r="12015" spans="1:17" s="1511" customFormat="1" ht="18">
      <c r="A12015" s="664" t="s">
        <v>28</v>
      </c>
      <c r="B12015" s="1975" t="s">
        <v>138</v>
      </c>
      <c r="C12015" s="1976"/>
      <c r="D12015" s="1977"/>
      <c r="E12015" s="665">
        <f>+L11811</f>
        <v>17.431419999999996</v>
      </c>
      <c r="F12015" s="1973">
        <v>12</v>
      </c>
      <c r="G12015" s="1974"/>
      <c r="H12015" s="1975" t="s">
        <v>447</v>
      </c>
      <c r="I12015" s="1976"/>
      <c r="J12015" s="1976"/>
      <c r="K12015" s="1977"/>
      <c r="L12015" s="1975" t="s">
        <v>1046</v>
      </c>
      <c r="M12015" s="1976"/>
      <c r="N12015" s="1976"/>
      <c r="O12015" s="2008"/>
      <c r="P12015" s="1098"/>
    </row>
    <row r="12016" spans="1:17" s="1511" customFormat="1" ht="18">
      <c r="A12016" s="664" t="s">
        <v>29</v>
      </c>
      <c r="B12016" s="1975" t="s">
        <v>137</v>
      </c>
      <c r="C12016" s="1976"/>
      <c r="D12016" s="1977"/>
      <c r="E12016" s="665">
        <f>+L11838-2.579</f>
        <v>65.493757000000002</v>
      </c>
      <c r="F12016" s="1973">
        <v>12</v>
      </c>
      <c r="G12016" s="1974"/>
      <c r="H12016" s="1975" t="s">
        <v>447</v>
      </c>
      <c r="I12016" s="1976"/>
      <c r="J12016" s="1976"/>
      <c r="K12016" s="1977"/>
      <c r="L12016" s="1975" t="s">
        <v>1046</v>
      </c>
      <c r="M12016" s="1976"/>
      <c r="N12016" s="1976"/>
      <c r="O12016" s="2008"/>
      <c r="P12016" s="1098"/>
    </row>
    <row r="12017" spans="1:16" s="1511" customFormat="1" ht="18">
      <c r="A12017" s="664" t="s">
        <v>30</v>
      </c>
      <c r="B12017" s="1975" t="s">
        <v>136</v>
      </c>
      <c r="C12017" s="1976"/>
      <c r="D12017" s="1977"/>
      <c r="E12017" s="665">
        <f>+L11865-10.316</f>
        <v>43.403111999999986</v>
      </c>
      <c r="F12017" s="1973">
        <v>12</v>
      </c>
      <c r="G12017" s="1974"/>
      <c r="H12017" s="1975" t="s">
        <v>447</v>
      </c>
      <c r="I12017" s="1976"/>
      <c r="J12017" s="1976"/>
      <c r="K12017" s="1977"/>
      <c r="L12017" s="1975" t="s">
        <v>1046</v>
      </c>
      <c r="M12017" s="1976"/>
      <c r="N12017" s="1976"/>
      <c r="O12017" s="2008"/>
      <c r="P12017" s="1098"/>
    </row>
    <row r="12018" spans="1:16" s="1511" customFormat="1" ht="18">
      <c r="A12018" s="664"/>
      <c r="B12018" s="1975"/>
      <c r="C12018" s="1976"/>
      <c r="D12018" s="1977"/>
      <c r="E12018" s="665"/>
      <c r="F12018" s="1973"/>
      <c r="G12018" s="1974"/>
      <c r="H12018" s="1975"/>
      <c r="I12018" s="1976"/>
      <c r="J12018" s="1976"/>
      <c r="K12018" s="1977"/>
      <c r="L12018" s="1975"/>
      <c r="M12018" s="1976"/>
      <c r="N12018" s="1976"/>
      <c r="O12018" s="2008"/>
      <c r="P12018" s="1098"/>
    </row>
    <row r="12019" spans="1:16" s="1511" customFormat="1" ht="18">
      <c r="A12019" s="664" t="s">
        <v>46</v>
      </c>
      <c r="B12019" s="1975" t="s">
        <v>136</v>
      </c>
      <c r="C12019" s="1976"/>
      <c r="D12019" s="1977"/>
      <c r="E12019" s="665">
        <f>+L11872-3.329+L11950</f>
        <v>46.533322000000005</v>
      </c>
      <c r="F12019" s="1973">
        <v>12</v>
      </c>
      <c r="G12019" s="1974"/>
      <c r="H12019" s="1975" t="s">
        <v>49</v>
      </c>
      <c r="I12019" s="1976"/>
      <c r="J12019" s="1976"/>
      <c r="K12019" s="1977"/>
      <c r="L12019" s="1975" t="s">
        <v>1046</v>
      </c>
      <c r="M12019" s="1976"/>
      <c r="N12019" s="1976"/>
      <c r="O12019" s="2008"/>
      <c r="P12019" s="1098"/>
    </row>
    <row r="12020" spans="1:16" s="1511" customFormat="1" ht="18">
      <c r="A12020" s="664" t="s">
        <v>58</v>
      </c>
      <c r="B12020" s="1975" t="s">
        <v>137</v>
      </c>
      <c r="C12020" s="1976"/>
      <c r="D12020" s="1977"/>
      <c r="E12020" s="665">
        <f>+L11964-8.061</f>
        <v>148.74535999999998</v>
      </c>
      <c r="F12020" s="1973">
        <v>12</v>
      </c>
      <c r="G12020" s="1974"/>
      <c r="H12020" s="1975" t="s">
        <v>49</v>
      </c>
      <c r="I12020" s="1976"/>
      <c r="J12020" s="1976"/>
      <c r="K12020" s="1977"/>
      <c r="L12020" s="1975" t="s">
        <v>1046</v>
      </c>
      <c r="M12020" s="1976"/>
      <c r="N12020" s="1976"/>
      <c r="O12020" s="2008"/>
      <c r="P12020" s="1098"/>
    </row>
    <row r="12021" spans="1:16" s="1511" customFormat="1" ht="18">
      <c r="A12021" s="664" t="s">
        <v>163</v>
      </c>
      <c r="B12021" s="1975" t="s">
        <v>138</v>
      </c>
      <c r="C12021" s="1976"/>
      <c r="D12021" s="1977"/>
      <c r="E12021" s="665">
        <f>+L11970</f>
        <v>121.8963</v>
      </c>
      <c r="F12021" s="1973">
        <v>12</v>
      </c>
      <c r="G12021" s="1974"/>
      <c r="H12021" s="1975" t="s">
        <v>49</v>
      </c>
      <c r="I12021" s="1976"/>
      <c r="J12021" s="1976"/>
      <c r="K12021" s="1977"/>
      <c r="L12021" s="1975" t="s">
        <v>1046</v>
      </c>
      <c r="M12021" s="1976"/>
      <c r="N12021" s="1976"/>
      <c r="O12021" s="2008"/>
      <c r="P12021" s="1098"/>
    </row>
    <row r="12022" spans="1:16" s="1511" customFormat="1" ht="18">
      <c r="A12022" s="664" t="s">
        <v>302</v>
      </c>
      <c r="B12022" s="1975" t="s">
        <v>741</v>
      </c>
      <c r="C12022" s="1976"/>
      <c r="D12022" s="1977"/>
      <c r="E12022" s="665">
        <f>+L11979-1.616</f>
        <v>9.1552000000000007</v>
      </c>
      <c r="F12022" s="1973">
        <v>12</v>
      </c>
      <c r="G12022" s="1974"/>
      <c r="H12022" s="1975" t="s">
        <v>49</v>
      </c>
      <c r="I12022" s="1976"/>
      <c r="J12022" s="1976"/>
      <c r="K12022" s="1977"/>
      <c r="L12022" s="1975" t="s">
        <v>1046</v>
      </c>
      <c r="M12022" s="1976"/>
      <c r="N12022" s="1976"/>
      <c r="O12022" s="2008"/>
      <c r="P12022" s="1098"/>
    </row>
    <row r="12023" spans="1:16" s="1511" customFormat="1" ht="18">
      <c r="A12023" s="664"/>
      <c r="B12023" s="1580"/>
      <c r="C12023" s="1581"/>
      <c r="D12023" s="1582"/>
      <c r="E12023" s="665"/>
      <c r="F12023" s="1583"/>
      <c r="G12023" s="1584"/>
      <c r="H12023" s="1581"/>
      <c r="I12023" s="1842"/>
      <c r="J12023" s="1581"/>
      <c r="K12023" s="1581"/>
      <c r="L12023" s="1581"/>
      <c r="M12023" s="1581"/>
      <c r="N12023" s="1581"/>
      <c r="O12023" s="1581"/>
      <c r="P12023" s="1098"/>
    </row>
    <row r="12024" spans="1:16" s="1511" customFormat="1" ht="18">
      <c r="A12024" s="664"/>
      <c r="B12024" s="1580"/>
      <c r="C12024" s="1581"/>
      <c r="D12024" s="1582"/>
      <c r="E12024" s="665"/>
      <c r="F12024" s="1583"/>
      <c r="G12024" s="1584"/>
      <c r="H12024" s="1581"/>
      <c r="I12024" s="1842"/>
      <c r="J12024" s="1581"/>
      <c r="K12024" s="1581"/>
      <c r="L12024" s="1581"/>
      <c r="M12024" s="1581"/>
      <c r="N12024" s="1581"/>
      <c r="O12024" s="1581"/>
      <c r="P12024" s="1098"/>
    </row>
    <row r="12025" spans="1:16" s="1511" customFormat="1" ht="18">
      <c r="A12025" s="664" t="s">
        <v>380</v>
      </c>
      <c r="B12025" s="1975" t="s">
        <v>1183</v>
      </c>
      <c r="C12025" s="1976"/>
      <c r="D12025" s="1977"/>
      <c r="E12025" s="665">
        <f>+L11989-0.974</f>
        <v>6.9804000000000004</v>
      </c>
      <c r="F12025" s="1973">
        <v>12</v>
      </c>
      <c r="G12025" s="1974"/>
      <c r="H12025" s="1975" t="s">
        <v>60</v>
      </c>
      <c r="I12025" s="1976"/>
      <c r="J12025" s="1976"/>
      <c r="K12025" s="1977"/>
      <c r="L12025" s="1976" t="s">
        <v>1138</v>
      </c>
      <c r="M12025" s="1976"/>
      <c r="N12025" s="1976"/>
      <c r="O12025" s="1976"/>
      <c r="P12025" s="1098"/>
    </row>
    <row r="12026" spans="1:16" s="1511" customFormat="1" ht="18">
      <c r="A12026" s="664" t="s">
        <v>434</v>
      </c>
      <c r="B12026" s="1975" t="s">
        <v>1182</v>
      </c>
      <c r="C12026" s="1976"/>
      <c r="D12026" s="1977"/>
      <c r="E12026" s="665">
        <f>+L11997-1.043</f>
        <v>10.363200000000001</v>
      </c>
      <c r="F12026" s="1973">
        <v>12</v>
      </c>
      <c r="G12026" s="1974"/>
      <c r="H12026" s="1975" t="s">
        <v>60</v>
      </c>
      <c r="I12026" s="1976"/>
      <c r="J12026" s="1976"/>
      <c r="K12026" s="1977"/>
      <c r="L12026" s="1976" t="s">
        <v>1138</v>
      </c>
      <c r="M12026" s="1976"/>
      <c r="N12026" s="1976"/>
      <c r="O12026" s="1976"/>
      <c r="P12026" s="1098"/>
    </row>
    <row r="12027" spans="1:16" s="1511" customFormat="1" ht="18">
      <c r="A12027" s="664" t="s">
        <v>474</v>
      </c>
      <c r="B12027" s="1975" t="s">
        <v>154</v>
      </c>
      <c r="C12027" s="1976"/>
      <c r="D12027" s="1977"/>
      <c r="E12027" s="665">
        <f>+L11879-1.126+L11884+L12005-0.301</f>
        <v>77.241329999999991</v>
      </c>
      <c r="F12027" s="1973">
        <v>12</v>
      </c>
      <c r="G12027" s="1974"/>
      <c r="H12027" s="1975" t="s">
        <v>60</v>
      </c>
      <c r="I12027" s="1976"/>
      <c r="J12027" s="1976"/>
      <c r="K12027" s="1977"/>
      <c r="L12027" s="1976" t="s">
        <v>1138</v>
      </c>
      <c r="M12027" s="1976"/>
      <c r="N12027" s="1976"/>
      <c r="O12027" s="1976"/>
      <c r="P12027" s="1098"/>
    </row>
    <row r="12028" spans="1:16" s="1511" customFormat="1" ht="18">
      <c r="A12028" s="664"/>
      <c r="B12028" s="1580"/>
      <c r="C12028" s="1581"/>
      <c r="D12028" s="1582"/>
      <c r="E12028" s="665"/>
      <c r="F12028" s="1583"/>
      <c r="G12028" s="1584"/>
      <c r="H12028" s="1580"/>
      <c r="I12028" s="1842"/>
      <c r="J12028" s="1581"/>
      <c r="K12028" s="1582"/>
      <c r="L12028" s="1581"/>
      <c r="M12028" s="1581"/>
      <c r="N12028" s="1581"/>
      <c r="O12028" s="1581"/>
      <c r="P12028" s="1098"/>
    </row>
    <row r="12029" spans="1:16" s="1511" customFormat="1" ht="18">
      <c r="A12029" s="664"/>
      <c r="B12029" s="1561"/>
      <c r="C12029" s="1560"/>
      <c r="D12029" s="1562"/>
      <c r="E12029" s="665"/>
      <c r="F12029" s="1563"/>
      <c r="G12029" s="1564"/>
      <c r="H12029" s="1561"/>
      <c r="I12029" s="1842"/>
      <c r="J12029" s="1560"/>
      <c r="K12029" s="1562"/>
      <c r="L12029" s="1560"/>
      <c r="M12029" s="1560"/>
      <c r="N12029" s="1560"/>
      <c r="O12029" s="1560"/>
      <c r="P12029" s="1098"/>
    </row>
    <row r="12030" spans="1:16" s="1511" customFormat="1" ht="18">
      <c r="A12030" s="664" t="s">
        <v>475</v>
      </c>
      <c r="B12030" s="1975" t="s">
        <v>154</v>
      </c>
      <c r="C12030" s="1976"/>
      <c r="D12030" s="1977"/>
      <c r="E12030" s="665">
        <f>+L11906</f>
        <v>8.9937749999999994</v>
      </c>
      <c r="F12030" s="1973">
        <v>8.5</v>
      </c>
      <c r="G12030" s="1974"/>
      <c r="H12030" s="1975" t="s">
        <v>450</v>
      </c>
      <c r="I12030" s="1976"/>
      <c r="J12030" s="1976"/>
      <c r="K12030" s="1977"/>
      <c r="L12030" s="1976" t="s">
        <v>1138</v>
      </c>
      <c r="M12030" s="1976"/>
      <c r="N12030" s="1976"/>
      <c r="O12030" s="1976"/>
      <c r="P12030" s="1098"/>
    </row>
    <row r="12031" spans="1:16" s="1511" customFormat="1" ht="18">
      <c r="A12031" s="664" t="s">
        <v>476</v>
      </c>
      <c r="B12031" s="1975" t="s">
        <v>1182</v>
      </c>
      <c r="C12031" s="1976"/>
      <c r="D12031" s="1977"/>
      <c r="E12031" s="665">
        <f>+L11922</f>
        <v>6.45946</v>
      </c>
      <c r="F12031" s="1973">
        <v>8.5</v>
      </c>
      <c r="G12031" s="1974"/>
      <c r="H12031" s="1975" t="s">
        <v>450</v>
      </c>
      <c r="I12031" s="1976"/>
      <c r="J12031" s="1976"/>
      <c r="K12031" s="1977"/>
      <c r="L12031" s="1976" t="s">
        <v>1138</v>
      </c>
      <c r="M12031" s="1976"/>
      <c r="N12031" s="1976"/>
      <c r="O12031" s="1976"/>
      <c r="P12031" s="1098"/>
    </row>
    <row r="12032" spans="1:16" s="1511" customFormat="1" ht="18">
      <c r="A12032" s="664" t="s">
        <v>477</v>
      </c>
      <c r="B12032" s="1975" t="s">
        <v>1183</v>
      </c>
      <c r="C12032" s="1976"/>
      <c r="D12032" s="1977"/>
      <c r="E12032" s="665">
        <v>5</v>
      </c>
      <c r="F12032" s="1973">
        <v>8.5</v>
      </c>
      <c r="G12032" s="1974"/>
      <c r="H12032" s="1975" t="s">
        <v>450</v>
      </c>
      <c r="I12032" s="1976"/>
      <c r="J12032" s="1976"/>
      <c r="K12032" s="1977"/>
      <c r="L12032" s="1976" t="s">
        <v>1138</v>
      </c>
      <c r="M12032" s="1976"/>
      <c r="N12032" s="1976"/>
      <c r="O12032" s="1976"/>
      <c r="P12032" s="1098"/>
    </row>
    <row r="12033" spans="1:16" s="1511" customFormat="1" ht="18">
      <c r="A12033" s="664" t="s">
        <v>501</v>
      </c>
      <c r="B12033" s="1975" t="s">
        <v>1184</v>
      </c>
      <c r="C12033" s="1976"/>
      <c r="D12033" s="1977"/>
      <c r="E12033" s="665">
        <v>3</v>
      </c>
      <c r="F12033" s="1973">
        <v>8.5</v>
      </c>
      <c r="G12033" s="1974"/>
      <c r="H12033" s="1975" t="s">
        <v>450</v>
      </c>
      <c r="I12033" s="1976"/>
      <c r="J12033" s="1976"/>
      <c r="K12033" s="1977"/>
      <c r="L12033" s="1976" t="s">
        <v>1138</v>
      </c>
      <c r="M12033" s="1976"/>
      <c r="N12033" s="1976"/>
      <c r="O12033" s="1976"/>
      <c r="P12033" s="1098"/>
    </row>
    <row r="12034" spans="1:16" s="1511" customFormat="1" ht="18">
      <c r="A12034" s="664"/>
      <c r="B12034" s="1561"/>
      <c r="C12034" s="1560"/>
      <c r="D12034" s="1562"/>
      <c r="E12034" s="665"/>
      <c r="F12034" s="1563"/>
      <c r="G12034" s="1564"/>
      <c r="H12034" s="1561"/>
      <c r="I12034" s="1842"/>
      <c r="J12034" s="1560"/>
      <c r="K12034" s="1562"/>
      <c r="L12034" s="1560"/>
      <c r="M12034" s="1560"/>
      <c r="N12034" s="1560"/>
      <c r="O12034" s="1560"/>
      <c r="P12034" s="1098"/>
    </row>
    <row r="12035" spans="1:16" s="1511" customFormat="1" ht="18">
      <c r="A12035" s="664"/>
      <c r="B12035" s="1606"/>
      <c r="C12035" s="1607"/>
      <c r="D12035" s="1607"/>
      <c r="E12035" s="665"/>
      <c r="F12035" s="1614"/>
      <c r="G12035" s="1609"/>
      <c r="H12035" s="1606"/>
      <c r="I12035" s="1842"/>
      <c r="J12035" s="1607"/>
      <c r="K12035" s="1608"/>
      <c r="L12035" s="1607"/>
      <c r="M12035" s="1607"/>
      <c r="N12035" s="1607"/>
      <c r="O12035" s="1607"/>
      <c r="P12035" s="1098"/>
    </row>
    <row r="12036" spans="1:16" s="1511" customFormat="1" ht="18">
      <c r="A12036" s="664"/>
      <c r="B12036" s="1606"/>
      <c r="C12036" s="1607"/>
      <c r="D12036" s="1607"/>
      <c r="E12036" s="665"/>
      <c r="F12036" s="1614"/>
      <c r="G12036" s="1609"/>
      <c r="H12036" s="1606"/>
      <c r="I12036" s="1842"/>
      <c r="J12036" s="1607"/>
      <c r="K12036" s="1608"/>
      <c r="L12036" s="1607"/>
      <c r="M12036" s="1607"/>
      <c r="N12036" s="1607"/>
      <c r="O12036" s="1607"/>
      <c r="P12036" s="1098"/>
    </row>
    <row r="12037" spans="1:16" s="1511" customFormat="1" ht="18">
      <c r="A12037" s="664"/>
      <c r="B12037" s="1606"/>
      <c r="C12037" s="1607"/>
      <c r="D12037" s="1607"/>
      <c r="E12037" s="665"/>
      <c r="F12037" s="1614"/>
      <c r="G12037" s="1609"/>
      <c r="H12037" s="1606"/>
      <c r="I12037" s="1842"/>
      <c r="J12037" s="1607"/>
      <c r="K12037" s="1608"/>
      <c r="L12037" s="1607"/>
      <c r="M12037" s="1607"/>
      <c r="N12037" s="1607"/>
      <c r="O12037" s="1607"/>
      <c r="P12037" s="1098"/>
    </row>
    <row r="12038" spans="1:16" s="1511" customFormat="1" ht="18.600000000000001" thickBot="1">
      <c r="A12038" s="664"/>
      <c r="B12038" s="1561"/>
      <c r="C12038" s="1560"/>
      <c r="D12038" s="1560"/>
      <c r="E12038" s="665"/>
      <c r="F12038" s="1560"/>
      <c r="G12038" s="1562"/>
      <c r="H12038" s="1561"/>
      <c r="I12038" s="1842"/>
      <c r="J12038" s="1560"/>
      <c r="K12038" s="669"/>
      <c r="L12038" s="672"/>
      <c r="M12038" s="673"/>
      <c r="N12038" s="673"/>
      <c r="O12038" s="673"/>
      <c r="P12038" s="1098"/>
    </row>
    <row r="12039" spans="1:16" s="1511" customFormat="1" ht="18">
      <c r="A12039" s="674"/>
      <c r="B12039" s="675"/>
      <c r="C12039" s="676"/>
      <c r="D12039" s="676"/>
      <c r="E12039" s="1980">
        <f>SUM(E12013:E12038)</f>
        <v>570.6966359999999</v>
      </c>
      <c r="F12039" s="677"/>
      <c r="G12039" s="678"/>
      <c r="H12039" s="679"/>
      <c r="I12039" s="1848"/>
      <c r="J12039" s="676"/>
      <c r="K12039" s="680"/>
      <c r="L12039" s="679"/>
      <c r="M12039" s="676"/>
      <c r="N12039" s="677"/>
      <c r="O12039" s="676"/>
      <c r="P12039" s="1098"/>
    </row>
    <row r="12040" spans="1:16" s="1511" customFormat="1" ht="18.600000000000001" thickBot="1">
      <c r="A12040" s="681"/>
      <c r="B12040" s="682"/>
      <c r="C12040" s="683"/>
      <c r="D12040" s="683"/>
      <c r="E12040" s="1981"/>
      <c r="F12040" s="684"/>
      <c r="G12040" s="685"/>
      <c r="H12040" s="686"/>
      <c r="I12040" s="1850"/>
      <c r="J12040" s="683"/>
      <c r="K12040" s="687"/>
      <c r="L12040" s="686"/>
      <c r="M12040" s="683"/>
      <c r="N12040" s="684"/>
      <c r="O12040" s="683"/>
      <c r="P12040" s="1098"/>
    </row>
    <row r="12041" spans="1:16" s="1511" customFormat="1" ht="18">
      <c r="A12041" s="688" t="s">
        <v>31</v>
      </c>
      <c r="B12041" s="676"/>
      <c r="C12041" s="676"/>
      <c r="D12041" s="676"/>
      <c r="E12041" s="676"/>
      <c r="F12041" s="677"/>
      <c r="G12041" s="676"/>
      <c r="H12041" s="677"/>
      <c r="I12041" s="1848"/>
      <c r="J12041" s="676"/>
      <c r="K12041" s="689"/>
      <c r="L12041" s="677"/>
      <c r="M12041" s="676"/>
      <c r="N12041" s="677"/>
      <c r="O12041" s="676"/>
      <c r="P12041" s="1098"/>
    </row>
    <row r="12042" spans="1:16" s="1511" customFormat="1" ht="18">
      <c r="A12042" s="690"/>
      <c r="B12042" s="691"/>
      <c r="C12042" s="691"/>
      <c r="D12042" s="691"/>
      <c r="E12042" s="691"/>
      <c r="F12042" s="1565"/>
      <c r="G12042" s="691"/>
      <c r="H12042" s="1565"/>
      <c r="I12042" s="1849"/>
      <c r="J12042" s="691"/>
      <c r="K12042" s="693"/>
      <c r="L12042" s="1565"/>
      <c r="M12042" s="691"/>
      <c r="N12042" s="1565"/>
      <c r="O12042" s="691"/>
      <c r="P12042" s="1098"/>
    </row>
    <row r="12043" spans="1:16" s="1511" customFormat="1" ht="18.600000000000001" thickBot="1">
      <c r="A12043" s="1982" t="s">
        <v>32</v>
      </c>
      <c r="B12043" s="1983"/>
      <c r="C12043" s="1984" t="s">
        <v>33</v>
      </c>
      <c r="D12043" s="1985"/>
      <c r="E12043" s="694" t="s">
        <v>34</v>
      </c>
      <c r="F12043" s="694" t="s">
        <v>35</v>
      </c>
      <c r="G12043" s="1986" t="s">
        <v>36</v>
      </c>
      <c r="H12043" s="1987"/>
      <c r="I12043" s="1987"/>
      <c r="J12043" s="1987"/>
      <c r="K12043" s="1987"/>
      <c r="L12043" s="1987"/>
      <c r="M12043" s="1987"/>
      <c r="N12043" s="1987"/>
      <c r="O12043" s="1987"/>
      <c r="P12043" s="1098"/>
    </row>
    <row r="12044" spans="1:16" s="1511" customFormat="1" ht="18">
      <c r="A12044" s="1988"/>
      <c r="B12044" s="1989"/>
      <c r="C12044" s="1990"/>
      <c r="D12044" s="1989"/>
      <c r="E12044" s="1569"/>
      <c r="F12044" s="1566"/>
      <c r="G12044" s="1991"/>
      <c r="H12044" s="1992"/>
      <c r="I12044" s="1992"/>
      <c r="J12044" s="1992"/>
      <c r="K12044" s="1992"/>
      <c r="L12044" s="1992"/>
      <c r="M12044" s="1992"/>
      <c r="N12044" s="1992"/>
      <c r="O12044" s="1992"/>
      <c r="P12044" s="1098"/>
    </row>
    <row r="12045" spans="1:16" s="1511" customFormat="1" ht="18">
      <c r="A12045" s="1997" t="s">
        <v>37</v>
      </c>
      <c r="B12045" s="1998"/>
      <c r="C12045" s="1990"/>
      <c r="D12045" s="1989"/>
      <c r="E12045" s="1569"/>
      <c r="F12045" s="1566"/>
      <c r="G12045" s="1993"/>
      <c r="H12045" s="1994"/>
      <c r="I12045" s="1994"/>
      <c r="J12045" s="1994"/>
      <c r="K12045" s="1994"/>
      <c r="L12045" s="1994"/>
      <c r="M12045" s="1994"/>
      <c r="N12045" s="1994"/>
      <c r="O12045" s="1994"/>
      <c r="P12045" s="1098"/>
    </row>
    <row r="12046" spans="1:16" s="1511" customFormat="1" ht="18">
      <c r="A12046" s="1997" t="s">
        <v>38</v>
      </c>
      <c r="B12046" s="1998"/>
      <c r="C12046" s="1990"/>
      <c r="D12046" s="1989"/>
      <c r="E12046" s="1569"/>
      <c r="F12046" s="1566"/>
      <c r="G12046" s="1993"/>
      <c r="H12046" s="1994"/>
      <c r="I12046" s="1994"/>
      <c r="J12046" s="1994"/>
      <c r="K12046" s="1994"/>
      <c r="L12046" s="1994"/>
      <c r="M12046" s="1994"/>
      <c r="N12046" s="1994"/>
      <c r="O12046" s="1994"/>
      <c r="P12046" s="1098"/>
    </row>
    <row r="12047" spans="1:16" s="1511" customFormat="1" ht="18">
      <c r="A12047" s="1997" t="s">
        <v>39</v>
      </c>
      <c r="B12047" s="1998"/>
      <c r="C12047" s="1990"/>
      <c r="D12047" s="1989"/>
      <c r="E12047" s="1569"/>
      <c r="F12047" s="1566"/>
      <c r="G12047" s="1993"/>
      <c r="H12047" s="1994"/>
      <c r="I12047" s="1994"/>
      <c r="J12047" s="1994"/>
      <c r="K12047" s="1994"/>
      <c r="L12047" s="1994"/>
      <c r="M12047" s="1994"/>
      <c r="N12047" s="1994"/>
      <c r="O12047" s="1994"/>
      <c r="P12047" s="1098"/>
    </row>
    <row r="12048" spans="1:16" s="1511" customFormat="1" ht="18">
      <c r="A12048" s="1997" t="s">
        <v>40</v>
      </c>
      <c r="B12048" s="1998"/>
      <c r="C12048" s="1990"/>
      <c r="D12048" s="1989"/>
      <c r="E12048" s="1569"/>
      <c r="F12048" s="1566"/>
      <c r="G12048" s="1993"/>
      <c r="H12048" s="1994"/>
      <c r="I12048" s="1994"/>
      <c r="J12048" s="1994"/>
      <c r="K12048" s="1994"/>
      <c r="L12048" s="1994"/>
      <c r="M12048" s="1994"/>
      <c r="N12048" s="1994"/>
      <c r="O12048" s="1994"/>
      <c r="P12048" s="1098"/>
    </row>
    <row r="12049" spans="1:17" s="1511" customFormat="1" ht="18.600000000000001" thickBot="1">
      <c r="A12049" s="1999" t="s">
        <v>41</v>
      </c>
      <c r="B12049" s="2000"/>
      <c r="C12049" s="2001"/>
      <c r="D12049" s="2002"/>
      <c r="E12049" s="696"/>
      <c r="F12049" s="1567"/>
      <c r="G12049" s="1995"/>
      <c r="H12049" s="1996"/>
      <c r="I12049" s="1996"/>
      <c r="J12049" s="1996"/>
      <c r="K12049" s="1996"/>
      <c r="L12049" s="1996"/>
      <c r="M12049" s="1996"/>
      <c r="N12049" s="1996"/>
      <c r="O12049" s="1996"/>
      <c r="P12049" s="1098"/>
    </row>
    <row r="12050" spans="1:17" s="1511" customFormat="1" ht="18">
      <c r="A12050" s="690"/>
      <c r="B12050" s="691"/>
      <c r="C12050" s="691"/>
      <c r="D12050" s="691"/>
      <c r="E12050" s="691"/>
      <c r="F12050" s="1565"/>
      <c r="G12050" s="691"/>
      <c r="H12050" s="698"/>
      <c r="I12050" s="699"/>
      <c r="J12050" s="700"/>
      <c r="K12050" s="701"/>
      <c r="L12050" s="702"/>
      <c r="M12050" s="691"/>
      <c r="N12050" s="1565"/>
      <c r="O12050" s="691"/>
      <c r="P12050" s="1098"/>
    </row>
    <row r="12051" spans="1:17" s="1511" customFormat="1" ht="18">
      <c r="A12051" s="703" t="s">
        <v>42</v>
      </c>
      <c r="B12051" s="704"/>
      <c r="C12051" s="691"/>
      <c r="D12051" s="691"/>
      <c r="E12051" s="691"/>
      <c r="F12051" s="1565"/>
      <c r="G12051" s="704"/>
      <c r="H12051" s="698"/>
      <c r="I12051" s="699"/>
      <c r="J12051" s="700"/>
      <c r="K12051" s="693"/>
      <c r="L12051" s="705"/>
      <c r="M12051" s="691"/>
      <c r="N12051" s="1979" t="s">
        <v>43</v>
      </c>
      <c r="O12051" s="1979"/>
      <c r="P12051" s="1098"/>
    </row>
    <row r="12052" spans="1:17" s="1511" customFormat="1" ht="18">
      <c r="A12052" s="703"/>
      <c r="B12052" s="704"/>
      <c r="C12052" s="691"/>
      <c r="D12052" s="691"/>
      <c r="E12052" s="691"/>
      <c r="F12052" s="1565"/>
      <c r="G12052" s="691"/>
      <c r="H12052" s="1565"/>
      <c r="I12052" s="1849"/>
      <c r="J12052" s="691"/>
      <c r="K12052" s="693"/>
      <c r="L12052" s="1565"/>
      <c r="M12052" s="691"/>
      <c r="N12052" s="1565"/>
      <c r="O12052" s="704"/>
      <c r="P12052" s="1098"/>
    </row>
    <row r="12053" spans="1:17" s="1511" customFormat="1" ht="18">
      <c r="A12053" s="703" t="s">
        <v>44</v>
      </c>
      <c r="B12053" s="704"/>
      <c r="C12053" s="691"/>
      <c r="D12053" s="691"/>
      <c r="E12053" s="691"/>
      <c r="F12053" s="1565"/>
      <c r="G12053" s="691"/>
      <c r="H12053" s="1565"/>
      <c r="I12053" s="1849"/>
      <c r="J12053" s="691"/>
      <c r="K12053" s="693"/>
      <c r="L12053" s="1565"/>
      <c r="M12053" s="691"/>
      <c r="N12053" s="1979" t="s">
        <v>45</v>
      </c>
      <c r="O12053" s="1979"/>
      <c r="P12053" s="1098"/>
    </row>
    <row r="12054" spans="1:17" s="1511" customFormat="1" ht="18.600000000000001" thickBot="1">
      <c r="A12054" s="682"/>
      <c r="B12054" s="683"/>
      <c r="C12054" s="683"/>
      <c r="D12054" s="683"/>
      <c r="E12054" s="683"/>
      <c r="F12054" s="684"/>
      <c r="G12054" s="683"/>
      <c r="H12054" s="684"/>
      <c r="I12054" s="1850"/>
      <c r="J12054" s="683"/>
      <c r="K12054" s="706"/>
      <c r="L12054" s="684"/>
      <c r="M12054" s="683"/>
      <c r="N12054" s="684"/>
      <c r="O12054" s="683"/>
      <c r="P12054" s="1099"/>
    </row>
    <row r="12059" spans="1:17" ht="17.399999999999999">
      <c r="A12059" s="711" t="s">
        <v>48</v>
      </c>
      <c r="B12059" s="711"/>
      <c r="C12059" s="712"/>
      <c r="D12059" s="712"/>
      <c r="E12059" s="712"/>
      <c r="F12059" s="713"/>
      <c r="G12059" s="712"/>
      <c r="H12059" s="712"/>
      <c r="I12059" s="714"/>
      <c r="J12059" s="715"/>
      <c r="K12059" s="716"/>
      <c r="L12059" s="1978" t="s">
        <v>0</v>
      </c>
      <c r="M12059" s="1978"/>
      <c r="N12059" s="1978"/>
      <c r="O12059" s="1978"/>
      <c r="P12059" s="717"/>
    </row>
    <row r="12060" spans="1:17" ht="17.399999999999999">
      <c r="A12060" s="718" t="s">
        <v>1</v>
      </c>
      <c r="B12060" s="718"/>
      <c r="C12060" s="718"/>
      <c r="D12060" s="719" t="s">
        <v>2</v>
      </c>
      <c r="E12060" s="719"/>
      <c r="F12060" s="720"/>
      <c r="G12060" s="720"/>
      <c r="H12060" s="720"/>
      <c r="I12060" s="721"/>
      <c r="J12060" s="1568"/>
      <c r="K12060" s="723" t="s">
        <v>3</v>
      </c>
      <c r="L12060" s="1568"/>
      <c r="M12060" s="718"/>
      <c r="N12060" s="720"/>
      <c r="O12060" s="718"/>
      <c r="P12060" s="724"/>
    </row>
    <row r="12061" spans="1:17" ht="52.2">
      <c r="A12061" s="640" t="s">
        <v>4</v>
      </c>
      <c r="B12061" s="640" t="s">
        <v>5</v>
      </c>
      <c r="C12061" s="640" t="s">
        <v>6</v>
      </c>
      <c r="D12061" s="640" t="s">
        <v>7</v>
      </c>
      <c r="E12061" s="640" t="s">
        <v>8</v>
      </c>
      <c r="F12061" s="641" t="s">
        <v>9</v>
      </c>
      <c r="G12061" s="642" t="s">
        <v>10</v>
      </c>
      <c r="H12061" s="642" t="s">
        <v>11</v>
      </c>
      <c r="I12061" s="643" t="s">
        <v>12</v>
      </c>
      <c r="J12061" s="644" t="s">
        <v>13</v>
      </c>
      <c r="K12061" s="645" t="s">
        <v>14</v>
      </c>
      <c r="L12061" s="646" t="s">
        <v>15</v>
      </c>
      <c r="M12061" s="641" t="s">
        <v>16</v>
      </c>
      <c r="N12061" s="641" t="s">
        <v>17</v>
      </c>
      <c r="O12061" s="642" t="s">
        <v>18</v>
      </c>
      <c r="P12061" s="641" t="s">
        <v>192</v>
      </c>
    </row>
    <row r="12062" spans="1:17" s="1511" customFormat="1" ht="17.399999999999999">
      <c r="A12062" s="549"/>
      <c r="B12062" s="832"/>
      <c r="C12062" s="549"/>
      <c r="D12062" s="549"/>
      <c r="E12062" s="549"/>
      <c r="F12062" s="549"/>
      <c r="G12062" s="549"/>
      <c r="H12062" s="549"/>
      <c r="I12062" s="558"/>
      <c r="J12062" s="567"/>
      <c r="K12062" s="648"/>
      <c r="L12062" s="567"/>
      <c r="M12062" s="549"/>
      <c r="N12062" s="549"/>
      <c r="O12062" s="549"/>
      <c r="P12062" s="549"/>
    </row>
    <row r="12063" spans="1:17" s="1511" customFormat="1" ht="17.399999999999999">
      <c r="A12063" s="547" t="s">
        <v>83</v>
      </c>
      <c r="B12063" s="547" t="s">
        <v>1410</v>
      </c>
      <c r="C12063" s="547" t="s">
        <v>19</v>
      </c>
      <c r="D12063" s="813" t="s">
        <v>60</v>
      </c>
      <c r="E12063" s="547" t="s">
        <v>247</v>
      </c>
      <c r="F12063" s="550">
        <v>11</v>
      </c>
      <c r="G12063" s="549" t="s">
        <v>61</v>
      </c>
      <c r="H12063" s="599" t="s">
        <v>53</v>
      </c>
      <c r="I12063" s="558">
        <v>8.3000000000000007</v>
      </c>
      <c r="J12063" s="567">
        <v>10.199999999999999</v>
      </c>
      <c r="K12063" s="648">
        <v>330</v>
      </c>
      <c r="L12063" s="552">
        <f>(I12063*J12063*K12063/1000)</f>
        <v>27.937799999999999</v>
      </c>
      <c r="M12063" s="549"/>
      <c r="N12063" s="549"/>
      <c r="O12063" s="549"/>
      <c r="P12063" s="549"/>
      <c r="Q12063" s="1511" t="s">
        <v>1501</v>
      </c>
    </row>
    <row r="12064" spans="1:17" s="1511" customFormat="1" ht="17.399999999999999">
      <c r="A12064" s="549"/>
      <c r="B12064" s="549" t="s">
        <v>52</v>
      </c>
      <c r="C12064" s="549"/>
      <c r="D12064" s="549"/>
      <c r="E12064" s="549"/>
      <c r="F12064" s="549"/>
      <c r="G12064" s="549" t="s">
        <v>61</v>
      </c>
      <c r="H12064" s="549" t="s">
        <v>53</v>
      </c>
      <c r="I12064" s="558">
        <v>8.3000000000000007</v>
      </c>
      <c r="J12064" s="567">
        <v>11.35</v>
      </c>
      <c r="K12064" s="648">
        <v>52</v>
      </c>
      <c r="L12064" s="552">
        <f>(I12064*J12064*K12064/1000)</f>
        <v>4.8986599999999996</v>
      </c>
      <c r="M12064" s="549"/>
      <c r="N12064" s="549"/>
      <c r="O12064" s="549"/>
      <c r="P12064" s="549"/>
    </row>
    <row r="12065" spans="1:17" s="1511" customFormat="1" ht="17.399999999999999">
      <c r="A12065" s="549"/>
      <c r="B12065" s="832"/>
      <c r="C12065" s="549"/>
      <c r="D12065" s="549"/>
      <c r="E12065" s="549"/>
      <c r="F12065" s="549"/>
      <c r="G12065" s="549"/>
      <c r="H12065" s="549"/>
      <c r="I12065" s="558"/>
      <c r="J12065" s="567"/>
      <c r="K12065" s="648">
        <f>SUM(K12063:K12064)</f>
        <v>382</v>
      </c>
      <c r="L12065" s="567">
        <f>SUM(L12063:L12064)</f>
        <v>32.836460000000002</v>
      </c>
      <c r="M12065" s="549"/>
      <c r="N12065" s="549"/>
      <c r="O12065" s="549"/>
      <c r="P12065" s="549" t="s">
        <v>1441</v>
      </c>
    </row>
    <row r="12066" spans="1:17" s="1511" customFormat="1" ht="17.399999999999999">
      <c r="A12066" s="549"/>
      <c r="B12066" s="832"/>
      <c r="C12066" s="549"/>
      <c r="D12066" s="549"/>
      <c r="E12066" s="549"/>
      <c r="F12066" s="549"/>
      <c r="G12066" s="549"/>
      <c r="H12066" s="549"/>
      <c r="I12066" s="558"/>
      <c r="J12066" s="567"/>
      <c r="K12066" s="648"/>
      <c r="L12066" s="567"/>
      <c r="M12066" s="549"/>
      <c r="N12066" s="549"/>
      <c r="O12066" s="549"/>
      <c r="P12066" s="549"/>
    </row>
    <row r="12067" spans="1:17" s="1511" customFormat="1" ht="17.399999999999999">
      <c r="A12067" s="549"/>
      <c r="B12067" s="832"/>
      <c r="C12067" s="549"/>
      <c r="D12067" s="549"/>
      <c r="E12067" s="549"/>
      <c r="F12067" s="549"/>
      <c r="G12067" s="549"/>
      <c r="H12067" s="549"/>
      <c r="I12067" s="558"/>
      <c r="J12067" s="567"/>
      <c r="K12067" s="648"/>
      <c r="L12067" s="567"/>
      <c r="M12067" s="549"/>
      <c r="N12067" s="549"/>
      <c r="O12067" s="549"/>
      <c r="P12067" s="549"/>
    </row>
    <row r="12068" spans="1:17" s="1511" customFormat="1" ht="17.399999999999999">
      <c r="A12068" s="547" t="s">
        <v>83</v>
      </c>
      <c r="B12068" s="547" t="s">
        <v>1410</v>
      </c>
      <c r="C12068" s="547" t="s">
        <v>19</v>
      </c>
      <c r="D12068" s="813" t="s">
        <v>60</v>
      </c>
      <c r="E12068" s="547" t="s">
        <v>247</v>
      </c>
      <c r="F12068" s="550">
        <v>11</v>
      </c>
      <c r="G12068" s="549" t="s">
        <v>61</v>
      </c>
      <c r="H12068" s="599" t="s">
        <v>54</v>
      </c>
      <c r="I12068" s="558">
        <v>9.61</v>
      </c>
      <c r="J12068" s="567">
        <v>6.15</v>
      </c>
      <c r="K12068" s="648">
        <v>160</v>
      </c>
      <c r="L12068" s="552">
        <f>(I12068*J12068*K12068/1000)</f>
        <v>9.4562399999999993</v>
      </c>
      <c r="M12068" s="549"/>
      <c r="N12068" s="549"/>
      <c r="O12068" s="549"/>
      <c r="P12068" s="549"/>
      <c r="Q12068" s="1511" t="s">
        <v>1501</v>
      </c>
    </row>
    <row r="12069" spans="1:17" s="1511" customFormat="1" ht="17.399999999999999">
      <c r="A12069" s="549"/>
      <c r="B12069" s="549" t="s">
        <v>52</v>
      </c>
      <c r="C12069" s="549"/>
      <c r="D12069" s="549"/>
      <c r="E12069" s="549"/>
      <c r="F12069" s="549"/>
      <c r="G12069" s="549" t="s">
        <v>61</v>
      </c>
      <c r="H12069" s="549" t="s">
        <v>54</v>
      </c>
      <c r="I12069" s="558">
        <v>9.61</v>
      </c>
      <c r="J12069" s="567">
        <v>6.8</v>
      </c>
      <c r="K12069" s="648">
        <v>160</v>
      </c>
      <c r="L12069" s="552">
        <f>(I12069*J12069*K12069/1000)</f>
        <v>10.455680000000001</v>
      </c>
      <c r="M12069" s="549"/>
      <c r="N12069" s="549"/>
      <c r="O12069" s="549"/>
      <c r="P12069" s="549"/>
    </row>
    <row r="12070" spans="1:17" s="1511" customFormat="1" ht="17.399999999999999">
      <c r="A12070" s="549"/>
      <c r="B12070" s="832"/>
      <c r="C12070" s="549"/>
      <c r="D12070" s="549"/>
      <c r="E12070" s="549"/>
      <c r="F12070" s="549"/>
      <c r="G12070" s="549" t="s">
        <v>61</v>
      </c>
      <c r="H12070" s="549" t="s">
        <v>54</v>
      </c>
      <c r="I12070" s="558">
        <v>9.61</v>
      </c>
      <c r="J12070" s="567">
        <v>8</v>
      </c>
      <c r="K12070" s="648">
        <v>52</v>
      </c>
      <c r="L12070" s="552">
        <f>(I12070*J12070*K12070/1000)</f>
        <v>3.99776</v>
      </c>
      <c r="M12070" s="549"/>
      <c r="N12070" s="549"/>
      <c r="O12070" s="549"/>
      <c r="P12070" s="549"/>
    </row>
    <row r="12071" spans="1:17" s="1511" customFormat="1" ht="17.399999999999999">
      <c r="A12071" s="549"/>
      <c r="B12071" s="832"/>
      <c r="C12071" s="549"/>
      <c r="D12071" s="549"/>
      <c r="E12071" s="549"/>
      <c r="F12071" s="549"/>
      <c r="G12071" s="549" t="s">
        <v>61</v>
      </c>
      <c r="H12071" s="549" t="s">
        <v>54</v>
      </c>
      <c r="I12071" s="558">
        <v>9.61</v>
      </c>
      <c r="J12071" s="567">
        <v>12</v>
      </c>
      <c r="K12071" s="648">
        <v>32</v>
      </c>
      <c r="L12071" s="552">
        <f>(I12071*J12071*K12071/1000)</f>
        <v>3.6902399999999997</v>
      </c>
      <c r="M12071" s="549"/>
      <c r="N12071" s="549"/>
      <c r="O12071" s="549"/>
      <c r="P12071" s="549"/>
    </row>
    <row r="12072" spans="1:17" s="1511" customFormat="1" ht="17.399999999999999">
      <c r="A12072" s="549"/>
      <c r="B12072" s="832"/>
      <c r="C12072" s="549"/>
      <c r="D12072" s="549"/>
      <c r="E12072" s="549"/>
      <c r="F12072" s="549"/>
      <c r="G12072" s="549"/>
      <c r="H12072" s="549"/>
      <c r="I12072" s="558"/>
      <c r="J12072" s="567"/>
      <c r="K12072" s="648">
        <f>SUM(K12068:K12071)</f>
        <v>404</v>
      </c>
      <c r="L12072" s="567">
        <f>SUM(L12068:L12071)</f>
        <v>27.599920000000001</v>
      </c>
      <c r="M12072" s="549"/>
      <c r="N12072" s="549"/>
      <c r="O12072" s="549"/>
      <c r="P12072" s="549" t="s">
        <v>1442</v>
      </c>
    </row>
    <row r="12073" spans="1:17" s="1511" customFormat="1" ht="17.399999999999999">
      <c r="A12073" s="549"/>
      <c r="B12073" s="832"/>
      <c r="C12073" s="549"/>
      <c r="D12073" s="549"/>
      <c r="E12073" s="549"/>
      <c r="F12073" s="549"/>
      <c r="G12073" s="549"/>
      <c r="H12073" s="549"/>
      <c r="I12073" s="558"/>
      <c r="J12073" s="567"/>
      <c r="K12073" s="648"/>
      <c r="L12073" s="567"/>
      <c r="M12073" s="549"/>
      <c r="N12073" s="549"/>
      <c r="O12073" s="549"/>
      <c r="P12073" s="549"/>
    </row>
    <row r="12074" spans="1:17" s="1511" customFormat="1" ht="17.399999999999999">
      <c r="A12074" s="549"/>
      <c r="B12074" s="549"/>
      <c r="C12074" s="549"/>
      <c r="D12074" s="549"/>
      <c r="E12074" s="549"/>
      <c r="F12074" s="549"/>
      <c r="G12074" s="549"/>
      <c r="H12074" s="549"/>
      <c r="I12074" s="558"/>
      <c r="J12074" s="567"/>
      <c r="K12074" s="648"/>
      <c r="L12074" s="567"/>
      <c r="M12074" s="549"/>
      <c r="N12074" s="549"/>
      <c r="O12074" s="549"/>
      <c r="P12074" s="549"/>
    </row>
    <row r="12075" spans="1:17" s="1511" customFormat="1" ht="17.399999999999999">
      <c r="A12075" s="547" t="s">
        <v>83</v>
      </c>
      <c r="B12075" s="547" t="s">
        <v>1410</v>
      </c>
      <c r="C12075" s="547" t="s">
        <v>19</v>
      </c>
      <c r="D12075" s="813" t="s">
        <v>854</v>
      </c>
      <c r="E12075" s="549" t="s">
        <v>367</v>
      </c>
      <c r="F12075" s="550">
        <v>11</v>
      </c>
      <c r="G12075" s="549" t="s">
        <v>21</v>
      </c>
      <c r="H12075" s="599" t="s">
        <v>54</v>
      </c>
      <c r="I12075" s="558">
        <v>9.61</v>
      </c>
      <c r="J12075" s="567">
        <v>9.4</v>
      </c>
      <c r="K12075" s="648">
        <v>160</v>
      </c>
      <c r="L12075" s="552">
        <f>(I12075*J12075*K12075/1000)</f>
        <v>14.453440000000001</v>
      </c>
      <c r="M12075" s="549"/>
      <c r="N12075" s="549"/>
      <c r="O12075" s="549"/>
      <c r="P12075" s="549"/>
      <c r="Q12075" s="1511" t="s">
        <v>1501</v>
      </c>
    </row>
    <row r="12076" spans="1:17" s="1511" customFormat="1" ht="17.399999999999999">
      <c r="A12076" s="549"/>
      <c r="B12076" s="728" t="s">
        <v>52</v>
      </c>
      <c r="C12076" s="549"/>
      <c r="D12076" s="549"/>
      <c r="E12076" s="549"/>
      <c r="F12076" s="549"/>
      <c r="G12076" s="549" t="s">
        <v>21</v>
      </c>
      <c r="H12076" s="549" t="s">
        <v>54</v>
      </c>
      <c r="I12076" s="558">
        <v>9.61</v>
      </c>
      <c r="J12076" s="567">
        <v>10.6</v>
      </c>
      <c r="K12076" s="648">
        <v>80</v>
      </c>
      <c r="L12076" s="552">
        <f>(I12076*J12076*K12076/1000)</f>
        <v>8.1492799999999992</v>
      </c>
      <c r="M12076" s="549"/>
      <c r="N12076" s="549"/>
      <c r="O12076" s="549"/>
      <c r="P12076" s="549"/>
    </row>
    <row r="12077" spans="1:17" s="1511" customFormat="1" ht="17.399999999999999">
      <c r="A12077" s="549"/>
      <c r="B12077" s="832"/>
      <c r="C12077" s="549"/>
      <c r="D12077" s="549"/>
      <c r="E12077" s="549"/>
      <c r="F12077" s="549"/>
      <c r="G12077" s="549"/>
      <c r="H12077" s="549"/>
      <c r="I12077" s="558"/>
      <c r="J12077" s="567"/>
      <c r="K12077" s="648">
        <f t="shared" ref="K12077" si="2465">SUM(K12075:K12076)</f>
        <v>240</v>
      </c>
      <c r="L12077" s="567">
        <f>SUM(L12075:L12076)</f>
        <v>22.602719999999998</v>
      </c>
      <c r="M12077" s="549"/>
      <c r="N12077" s="549"/>
      <c r="O12077" s="549"/>
      <c r="P12077" s="549" t="s">
        <v>1443</v>
      </c>
    </row>
    <row r="12078" spans="1:17" s="1511" customFormat="1" ht="17.399999999999999">
      <c r="A12078" s="549"/>
      <c r="B12078" s="832"/>
      <c r="C12078" s="549"/>
      <c r="D12078" s="549"/>
      <c r="E12078" s="549"/>
      <c r="F12078" s="549"/>
      <c r="G12078" s="549"/>
      <c r="H12078" s="549"/>
      <c r="I12078" s="558"/>
      <c r="J12078" s="567"/>
      <c r="K12078" s="648"/>
      <c r="L12078" s="567"/>
      <c r="M12078" s="549"/>
      <c r="N12078" s="549"/>
      <c r="O12078" s="549"/>
      <c r="P12078" s="549"/>
    </row>
    <row r="12079" spans="1:17" s="1511" customFormat="1" ht="17.399999999999999">
      <c r="A12079" s="549"/>
      <c r="B12079" s="832"/>
      <c r="C12079" s="549"/>
      <c r="D12079" s="549"/>
      <c r="E12079" s="549"/>
      <c r="F12079" s="549"/>
      <c r="G12079" s="549"/>
      <c r="H12079" s="549"/>
      <c r="I12079" s="558"/>
      <c r="J12079" s="567"/>
      <c r="K12079" s="648">
        <f>SUM(K12075:K12078)/2</f>
        <v>240</v>
      </c>
      <c r="L12079" s="567">
        <f>SUM(L12075:L12078)/2</f>
        <v>22.602719999999998</v>
      </c>
      <c r="M12079" s="549"/>
      <c r="N12079" s="549"/>
      <c r="O12079" s="549"/>
      <c r="P12079" s="549"/>
    </row>
    <row r="12080" spans="1:17" ht="17.399999999999999">
      <c r="A12080" s="549"/>
      <c r="B12080" s="549"/>
      <c r="C12080" s="549"/>
      <c r="D12080" s="549"/>
      <c r="E12080" s="549"/>
      <c r="F12080" s="549"/>
      <c r="G12080" s="549"/>
      <c r="H12080" s="549"/>
      <c r="I12080" s="558"/>
      <c r="J12080" s="567"/>
      <c r="K12080" s="648"/>
      <c r="L12080" s="552"/>
      <c r="M12080" s="549"/>
      <c r="N12080" s="549"/>
      <c r="O12080" s="549"/>
      <c r="P12080" s="549"/>
    </row>
    <row r="12081" spans="1:19" ht="17.399999999999999">
      <c r="A12081" s="549"/>
      <c r="B12081" s="549"/>
      <c r="C12081" s="549"/>
      <c r="D12081" s="549"/>
      <c r="E12081" s="549"/>
      <c r="F12081" s="549"/>
      <c r="G12081" s="549"/>
      <c r="H12081" s="549"/>
      <c r="I12081" s="558"/>
      <c r="J12081" s="549"/>
      <c r="K12081" s="561"/>
      <c r="L12081" s="560"/>
      <c r="M12081" s="549"/>
      <c r="N12081" s="549"/>
      <c r="O12081" s="549"/>
      <c r="P12081" s="549"/>
    </row>
    <row r="12082" spans="1:19" s="1511" customFormat="1" ht="17.399999999999999">
      <c r="A12082" s="547" t="s">
        <v>83</v>
      </c>
      <c r="B12082" s="547" t="s">
        <v>1410</v>
      </c>
      <c r="C12082" s="547" t="s">
        <v>19</v>
      </c>
      <c r="D12082" s="813" t="s">
        <v>854</v>
      </c>
      <c r="E12082" s="549" t="s">
        <v>367</v>
      </c>
      <c r="F12082" s="550">
        <v>11</v>
      </c>
      <c r="G12082" s="549" t="s">
        <v>21</v>
      </c>
      <c r="H12082" s="599" t="s">
        <v>53</v>
      </c>
      <c r="I12082" s="558">
        <v>8.3000000000000007</v>
      </c>
      <c r="J12082" s="567">
        <v>8.1</v>
      </c>
      <c r="K12082" s="648">
        <v>160</v>
      </c>
      <c r="L12082" s="552">
        <f>(I12082*J12082*K12082/1000)</f>
        <v>10.756800000000002</v>
      </c>
      <c r="M12082" s="549"/>
      <c r="N12082" s="549"/>
      <c r="O12082" s="549"/>
      <c r="P12082" s="549"/>
      <c r="Q12082" s="1511" t="s">
        <v>1501</v>
      </c>
    </row>
    <row r="12083" spans="1:19" s="1511" customFormat="1" ht="17.399999999999999">
      <c r="A12083" s="549"/>
      <c r="B12083" s="728" t="s">
        <v>52</v>
      </c>
      <c r="C12083" s="549"/>
      <c r="D12083" s="549"/>
      <c r="E12083" s="549"/>
      <c r="F12083" s="549"/>
      <c r="G12083" s="549" t="s">
        <v>21</v>
      </c>
      <c r="H12083" s="549" t="s">
        <v>53</v>
      </c>
      <c r="I12083" s="558">
        <v>8.3000000000000007</v>
      </c>
      <c r="J12083" s="567">
        <v>12</v>
      </c>
      <c r="K12083" s="648">
        <v>160</v>
      </c>
      <c r="L12083" s="552">
        <f>(I12083*J12083*K12083/1000)</f>
        <v>15.936000000000002</v>
      </c>
      <c r="M12083" s="549"/>
      <c r="N12083" s="549"/>
      <c r="O12083" s="549"/>
      <c r="P12083" s="549"/>
    </row>
    <row r="12084" spans="1:19" s="1511" customFormat="1" ht="17.399999999999999">
      <c r="A12084" s="549"/>
      <c r="B12084" s="549"/>
      <c r="C12084" s="549"/>
      <c r="D12084" s="549"/>
      <c r="E12084" s="549"/>
      <c r="F12084" s="549"/>
      <c r="G12084" s="549"/>
      <c r="H12084" s="549"/>
      <c r="I12084" s="558"/>
      <c r="J12084" s="567"/>
      <c r="K12084" s="648">
        <f t="shared" ref="K12084" si="2466">SUM(K12082:K12083)</f>
        <v>320</v>
      </c>
      <c r="L12084" s="567">
        <f>SUM(L12082:L12083)</f>
        <v>26.692800000000005</v>
      </c>
      <c r="M12084" s="549"/>
      <c r="N12084" s="549"/>
      <c r="O12084" s="549"/>
      <c r="P12084" s="549" t="s">
        <v>1444</v>
      </c>
    </row>
    <row r="12085" spans="1:19" s="1511" customFormat="1" ht="17.399999999999999">
      <c r="A12085" s="549"/>
      <c r="B12085" s="549"/>
      <c r="C12085" s="549"/>
      <c r="D12085" s="549"/>
      <c r="E12085" s="549"/>
      <c r="F12085" s="549"/>
      <c r="G12085" s="549"/>
      <c r="H12085" s="549"/>
      <c r="I12085" s="558"/>
      <c r="J12085" s="567"/>
      <c r="K12085" s="648"/>
      <c r="L12085" s="567"/>
      <c r="M12085" s="549"/>
      <c r="N12085" s="549"/>
      <c r="O12085" s="549"/>
      <c r="P12085" s="549"/>
    </row>
    <row r="12086" spans="1:19" ht="17.399999999999999">
      <c r="A12086" s="547" t="s">
        <v>272</v>
      </c>
      <c r="B12086" s="547" t="s">
        <v>1364</v>
      </c>
      <c r="C12086" s="547" t="s">
        <v>19</v>
      </c>
      <c r="D12086" s="813" t="s">
        <v>854</v>
      </c>
      <c r="E12086" s="547" t="s">
        <v>359</v>
      </c>
      <c r="F12086" s="550">
        <v>11</v>
      </c>
      <c r="G12086" s="549" t="s">
        <v>21</v>
      </c>
      <c r="H12086" s="599" t="s">
        <v>53</v>
      </c>
      <c r="I12086" s="558">
        <v>8.32</v>
      </c>
      <c r="J12086" s="567">
        <v>9</v>
      </c>
      <c r="K12086" s="648">
        <v>106</v>
      </c>
      <c r="L12086" s="552">
        <f t="shared" ref="L12086:L12090" si="2467">(I12086*J12086*K12086/1000)</f>
        <v>7.9372799999999994</v>
      </c>
      <c r="M12086" s="549"/>
      <c r="N12086" s="567">
        <f t="shared" ref="N12086:N12087" si="2468">J12086*M12086*I12086/1000</f>
        <v>0</v>
      </c>
      <c r="O12086" s="549"/>
      <c r="P12086" s="549"/>
      <c r="Q12086" s="1511" t="s">
        <v>1501</v>
      </c>
    </row>
    <row r="12087" spans="1:19" ht="17.399999999999999">
      <c r="A12087" s="549"/>
      <c r="B12087" s="559" t="s">
        <v>277</v>
      </c>
      <c r="C12087" s="549"/>
      <c r="D12087" s="549"/>
      <c r="E12087" s="549"/>
      <c r="F12087" s="549"/>
      <c r="G12087" s="549" t="s">
        <v>21</v>
      </c>
      <c r="H12087" s="549" t="s">
        <v>53</v>
      </c>
      <c r="I12087" s="558">
        <v>8.32</v>
      </c>
      <c r="J12087" s="567">
        <v>10</v>
      </c>
      <c r="K12087" s="648">
        <v>1</v>
      </c>
      <c r="L12087" s="552">
        <f t="shared" si="2467"/>
        <v>8.3199999999999996E-2</v>
      </c>
      <c r="M12087" s="549"/>
      <c r="N12087" s="567">
        <f t="shared" si="2468"/>
        <v>0</v>
      </c>
      <c r="O12087" s="549"/>
      <c r="P12087" s="549"/>
    </row>
    <row r="12088" spans="1:19" ht="17.399999999999999">
      <c r="A12088" s="549"/>
      <c r="B12088" s="549"/>
      <c r="C12088" s="549"/>
      <c r="D12088" s="549"/>
      <c r="E12088" s="549"/>
      <c r="F12088" s="549"/>
      <c r="G12088" s="549" t="s">
        <v>21</v>
      </c>
      <c r="H12088" s="549" t="s">
        <v>53</v>
      </c>
      <c r="I12088" s="558">
        <v>8.32</v>
      </c>
      <c r="J12088" s="567">
        <v>10.5</v>
      </c>
      <c r="K12088" s="648">
        <v>35</v>
      </c>
      <c r="L12088" s="552">
        <f t="shared" si="2467"/>
        <v>3.0575999999999999</v>
      </c>
      <c r="M12088" s="549">
        <f>4+9-4</f>
        <v>9</v>
      </c>
      <c r="N12088" s="567">
        <f>J12088*M12088*I12088/1000</f>
        <v>0.78624000000000005</v>
      </c>
      <c r="O12088" s="549"/>
      <c r="P12088" s="549"/>
      <c r="Q12088" s="497">
        <v>4</v>
      </c>
    </row>
    <row r="12089" spans="1:19" ht="17.399999999999999">
      <c r="A12089" s="549"/>
      <c r="B12089" s="549"/>
      <c r="C12089" s="549"/>
      <c r="D12089" s="549"/>
      <c r="E12089" s="549"/>
      <c r="F12089" s="549"/>
      <c r="G12089" s="549" t="s">
        <v>21</v>
      </c>
      <c r="H12089" s="549" t="s">
        <v>53</v>
      </c>
      <c r="I12089" s="558">
        <v>8.32</v>
      </c>
      <c r="J12089" s="567">
        <v>11</v>
      </c>
      <c r="K12089" s="648">
        <v>26</v>
      </c>
      <c r="L12089" s="552">
        <f t="shared" si="2467"/>
        <v>2.3795200000000003</v>
      </c>
      <c r="M12089" s="549">
        <f>3+9+3-6-3</f>
        <v>6</v>
      </c>
      <c r="N12089" s="567">
        <f>J12089*M12089*I12089/1000</f>
        <v>0.54912000000000005</v>
      </c>
      <c r="O12089" s="549"/>
      <c r="P12089" s="549"/>
      <c r="Q12089" s="497">
        <v>3</v>
      </c>
    </row>
    <row r="12090" spans="1:19" ht="17.399999999999999">
      <c r="A12090" s="549"/>
      <c r="B12090" s="549"/>
      <c r="C12090" s="549"/>
      <c r="D12090" s="549"/>
      <c r="E12090" s="549"/>
      <c r="F12090" s="549"/>
      <c r="G12090" s="549" t="s">
        <v>21</v>
      </c>
      <c r="H12090" s="549" t="s">
        <v>53</v>
      </c>
      <c r="I12090" s="558">
        <v>8.32</v>
      </c>
      <c r="J12090" s="567">
        <v>12</v>
      </c>
      <c r="K12090" s="648">
        <v>23</v>
      </c>
      <c r="L12090" s="552">
        <f t="shared" si="2467"/>
        <v>2.2963200000000001</v>
      </c>
      <c r="M12090" s="549">
        <f>2+4</f>
        <v>6</v>
      </c>
      <c r="N12090" s="567">
        <f>J12090*M12090*I12090/1000</f>
        <v>0.59904000000000002</v>
      </c>
      <c r="O12090" s="549"/>
      <c r="P12090" s="549"/>
    </row>
    <row r="12091" spans="1:19" ht="17.399999999999999">
      <c r="A12091" s="549"/>
      <c r="B12091" s="549"/>
      <c r="C12091" s="549"/>
      <c r="D12091" s="549"/>
      <c r="E12091" s="549"/>
      <c r="F12091" s="549"/>
      <c r="G12091" s="549"/>
      <c r="H12091" s="549"/>
      <c r="I12091" s="558"/>
      <c r="J12091" s="567"/>
      <c r="K12091" s="648">
        <f t="shared" ref="K12091" si="2469">SUM(K12086:K12090)</f>
        <v>191</v>
      </c>
      <c r="L12091" s="567">
        <f>SUM(L12086:L12090)</f>
        <v>15.753919999999999</v>
      </c>
      <c r="M12091" s="648">
        <f>SUM(M12086:M12090)</f>
        <v>21</v>
      </c>
      <c r="N12091" s="567">
        <f>SUM(N12086:N12090)</f>
        <v>1.9344000000000001</v>
      </c>
      <c r="O12091" s="549"/>
      <c r="P12091" s="549" t="s">
        <v>1445</v>
      </c>
    </row>
    <row r="12092" spans="1:19" s="1511" customFormat="1" ht="17.399999999999999">
      <c r="A12092" s="549"/>
      <c r="B12092" s="549"/>
      <c r="C12092" s="549"/>
      <c r="D12092" s="549"/>
      <c r="E12092" s="549"/>
      <c r="F12092" s="549"/>
      <c r="G12092" s="549"/>
      <c r="H12092" s="549"/>
      <c r="I12092" s="558"/>
      <c r="J12092" s="567"/>
      <c r="K12092" s="648">
        <f>SUM(K12082:K12091)/2</f>
        <v>511</v>
      </c>
      <c r="L12092" s="567">
        <f>SUM(L12082:L12091)/2</f>
        <v>42.446719999999999</v>
      </c>
      <c r="M12092" s="766">
        <f>SUM(M12082:M12091)/2</f>
        <v>21</v>
      </c>
      <c r="N12092" s="765">
        <f>SUM(N12082:N12091)/2</f>
        <v>1.9344000000000001</v>
      </c>
      <c r="O12092" s="549"/>
      <c r="P12092" s="549"/>
    </row>
    <row r="12093" spans="1:19" s="1511" customFormat="1" ht="17.399999999999999">
      <c r="A12093" s="549"/>
      <c r="B12093" s="549"/>
      <c r="C12093" s="549"/>
      <c r="D12093" s="549"/>
      <c r="E12093" s="549"/>
      <c r="F12093" s="549"/>
      <c r="G12093" s="549"/>
      <c r="H12093" s="549"/>
      <c r="I12093" s="558"/>
      <c r="J12093" s="567"/>
      <c r="K12093" s="648"/>
      <c r="L12093" s="567"/>
      <c r="M12093" s="648"/>
      <c r="N12093" s="567"/>
      <c r="O12093" s="549"/>
      <c r="P12093" s="549"/>
    </row>
    <row r="12094" spans="1:19" s="1511" customFormat="1" ht="17.399999999999999">
      <c r="A12094" s="549"/>
      <c r="B12094" s="549"/>
      <c r="C12094" s="549"/>
      <c r="D12094" s="549"/>
      <c r="E12094" s="549"/>
      <c r="F12094" s="549"/>
      <c r="G12094" s="549"/>
      <c r="H12094" s="549"/>
      <c r="I12094" s="558"/>
      <c r="J12094" s="567"/>
      <c r="K12094" s="648"/>
      <c r="L12094" s="567"/>
      <c r="M12094" s="549"/>
      <c r="N12094" s="549"/>
      <c r="O12094" s="549"/>
      <c r="P12094" s="549"/>
    </row>
    <row r="12095" spans="1:19" s="1511" customFormat="1" ht="17.399999999999999">
      <c r="A12095" s="549"/>
      <c r="B12095" s="549"/>
      <c r="C12095" s="549"/>
      <c r="D12095" s="549"/>
      <c r="E12095" s="549"/>
      <c r="F12095" s="549"/>
      <c r="G12095" s="549"/>
      <c r="H12095" s="549"/>
      <c r="I12095" s="558"/>
      <c r="J12095" s="567"/>
      <c r="K12095" s="648"/>
      <c r="L12095" s="567"/>
      <c r="M12095" s="549"/>
      <c r="N12095" s="549"/>
      <c r="O12095" s="549"/>
      <c r="P12095" s="549"/>
    </row>
    <row r="12096" spans="1:19" ht="17.399999999999999">
      <c r="A12096" s="547" t="s">
        <v>272</v>
      </c>
      <c r="B12096" s="547" t="s">
        <v>1364</v>
      </c>
      <c r="C12096" s="547" t="s">
        <v>19</v>
      </c>
      <c r="D12096" s="813" t="s">
        <v>854</v>
      </c>
      <c r="E12096" s="547" t="s">
        <v>359</v>
      </c>
      <c r="F12096" s="550">
        <v>11</v>
      </c>
      <c r="G12096" s="549" t="s">
        <v>21</v>
      </c>
      <c r="H12096" s="599" t="s">
        <v>91</v>
      </c>
      <c r="I12096" s="558">
        <v>6.97</v>
      </c>
      <c r="J12096" s="567">
        <v>10</v>
      </c>
      <c r="K12096" s="648">
        <v>83</v>
      </c>
      <c r="L12096" s="552">
        <f t="shared" ref="L12096:L12098" si="2470">(I12096*J12096*K12096/1000)</f>
        <v>5.7851000000000008</v>
      </c>
      <c r="M12096" s="561">
        <f>2+1+2+1+2+3+1-2</f>
        <v>10</v>
      </c>
      <c r="N12096" s="567">
        <f>J12096*M12096*I12096/1000</f>
        <v>0.69699999999999995</v>
      </c>
      <c r="O12096" s="549"/>
      <c r="P12096" s="549"/>
      <c r="Q12096" s="497">
        <f>12+36</f>
        <v>48</v>
      </c>
      <c r="R12096" s="126">
        <f>J12096*Q12096*I12096/1000</f>
        <v>3.3456000000000001</v>
      </c>
      <c r="S12096" s="1511" t="s">
        <v>1501</v>
      </c>
    </row>
    <row r="12097" spans="1:18" ht="17.399999999999999">
      <c r="A12097" s="549"/>
      <c r="B12097" s="559" t="s">
        <v>277</v>
      </c>
      <c r="C12097" s="549"/>
      <c r="D12097" s="549"/>
      <c r="E12097" s="549"/>
      <c r="F12097" s="549"/>
      <c r="G12097" s="549" t="s">
        <v>21</v>
      </c>
      <c r="H12097" s="549" t="s">
        <v>91</v>
      </c>
      <c r="I12097" s="558">
        <v>6.97</v>
      </c>
      <c r="J12097" s="567">
        <v>10.5</v>
      </c>
      <c r="K12097" s="648">
        <v>26</v>
      </c>
      <c r="L12097" s="552">
        <f t="shared" si="2470"/>
        <v>1.9028099999999999</v>
      </c>
      <c r="M12097" s="561"/>
      <c r="N12097" s="567">
        <f>J12097*M12097*I12097/1000</f>
        <v>0</v>
      </c>
      <c r="O12097" s="549"/>
      <c r="P12097" s="549"/>
      <c r="Q12097" s="497">
        <v>19</v>
      </c>
      <c r="R12097" s="126">
        <f>J12097*Q12097*I12097/1000</f>
        <v>1.3905149999999999</v>
      </c>
    </row>
    <row r="12098" spans="1:18" ht="17.399999999999999">
      <c r="A12098" s="549"/>
      <c r="B12098" s="549"/>
      <c r="C12098" s="549"/>
      <c r="D12098" s="549"/>
      <c r="E12098" s="549"/>
      <c r="F12098" s="549"/>
      <c r="G12098" s="549" t="s">
        <v>21</v>
      </c>
      <c r="H12098" s="549" t="s">
        <v>91</v>
      </c>
      <c r="I12098" s="558">
        <v>6.97</v>
      </c>
      <c r="J12098" s="567">
        <v>12</v>
      </c>
      <c r="K12098" s="648">
        <v>84</v>
      </c>
      <c r="L12098" s="552">
        <f t="shared" si="2470"/>
        <v>7.02576</v>
      </c>
      <c r="M12098" s="561">
        <f>2+2+1</f>
        <v>5</v>
      </c>
      <c r="N12098" s="567">
        <f>J12098*M12098*I12098/1000</f>
        <v>0.41820000000000002</v>
      </c>
      <c r="O12098" s="549"/>
      <c r="P12098" s="549"/>
      <c r="Q12098" s="497">
        <f>6+38</f>
        <v>44</v>
      </c>
      <c r="R12098" s="126">
        <f>J12098*Q12098*I12098/1000</f>
        <v>3.6801599999999999</v>
      </c>
    </row>
    <row r="12099" spans="1:18" ht="17.399999999999999">
      <c r="A12099" s="549"/>
      <c r="B12099" s="549"/>
      <c r="C12099" s="549"/>
      <c r="D12099" s="549"/>
      <c r="E12099" s="549"/>
      <c r="F12099" s="549"/>
      <c r="G12099" s="549"/>
      <c r="H12099" s="549"/>
      <c r="I12099" s="558"/>
      <c r="J12099" s="567"/>
      <c r="K12099" s="648">
        <f>SUM(K12096:K12098)</f>
        <v>193</v>
      </c>
      <c r="L12099" s="567">
        <f>SUM(L12096:L12098)</f>
        <v>14.71367</v>
      </c>
      <c r="M12099" s="652">
        <f>SUM(M12096:M12098)</f>
        <v>15</v>
      </c>
      <c r="N12099" s="567">
        <f>SUM(N12096:N12098)</f>
        <v>1.1152</v>
      </c>
      <c r="O12099" s="549"/>
      <c r="P12099" s="549" t="s">
        <v>1446</v>
      </c>
      <c r="Q12099" s="652">
        <f>SUM(Q12096:Q12098)</f>
        <v>111</v>
      </c>
      <c r="R12099" s="567">
        <f>SUM(R12096:R12098)</f>
        <v>8.4162749999999988</v>
      </c>
    </row>
    <row r="12100" spans="1:18" s="1511" customFormat="1" ht="17.399999999999999">
      <c r="A12100" s="549"/>
      <c r="B12100" s="549"/>
      <c r="C12100" s="549"/>
      <c r="D12100" s="549"/>
      <c r="E12100" s="549"/>
      <c r="F12100" s="549"/>
      <c r="G12100" s="549"/>
      <c r="H12100" s="549"/>
      <c r="I12100" s="558"/>
      <c r="J12100" s="567"/>
      <c r="K12100" s="648">
        <f>SUM(K12095:K12099)/2</f>
        <v>193</v>
      </c>
      <c r="L12100" s="567">
        <f>SUM(L12095:L12099)/2</f>
        <v>14.71367</v>
      </c>
      <c r="M12100" s="652">
        <f>SUM(M12095:M12099)/2</f>
        <v>15</v>
      </c>
      <c r="N12100" s="567">
        <f>SUM(N12095:N12099)/2</f>
        <v>1.1152</v>
      </c>
      <c r="O12100" s="549"/>
      <c r="P12100" s="549"/>
    </row>
    <row r="12101" spans="1:18" s="1511" customFormat="1" ht="17.399999999999999">
      <c r="A12101" s="549"/>
      <c r="B12101" s="549"/>
      <c r="C12101" s="549"/>
      <c r="D12101" s="549"/>
      <c r="E12101" s="549"/>
      <c r="F12101" s="549"/>
      <c r="G12101" s="549"/>
      <c r="H12101" s="549"/>
      <c r="I12101" s="558"/>
      <c r="J12101" s="567"/>
      <c r="K12101" s="648"/>
      <c r="L12101" s="567"/>
      <c r="M12101" s="652"/>
      <c r="N12101" s="567"/>
      <c r="O12101" s="549"/>
      <c r="P12101" s="549"/>
    </row>
    <row r="12102" spans="1:18" s="1511" customFormat="1" ht="17.399999999999999">
      <c r="A12102" s="549"/>
      <c r="B12102" s="549"/>
      <c r="C12102" s="549"/>
      <c r="D12102" s="549"/>
      <c r="E12102" s="549"/>
      <c r="F12102" s="549"/>
      <c r="G12102" s="549"/>
      <c r="H12102" s="549"/>
      <c r="I12102" s="558"/>
      <c r="J12102" s="567"/>
      <c r="K12102" s="648"/>
      <c r="L12102" s="567"/>
      <c r="M12102" s="652"/>
      <c r="N12102" s="567"/>
      <c r="O12102" s="549"/>
      <c r="P12102" s="549"/>
    </row>
    <row r="12103" spans="1:18" ht="17.399999999999999">
      <c r="A12103" s="547" t="s">
        <v>83</v>
      </c>
      <c r="B12103" s="547" t="s">
        <v>1360</v>
      </c>
      <c r="C12103" s="547" t="s">
        <v>446</v>
      </c>
      <c r="D12103" s="813" t="s">
        <v>447</v>
      </c>
      <c r="E12103" s="547" t="s">
        <v>359</v>
      </c>
      <c r="F12103" s="550">
        <v>11</v>
      </c>
      <c r="G12103" s="549" t="s">
        <v>21</v>
      </c>
      <c r="H12103" s="599" t="s">
        <v>91</v>
      </c>
      <c r="I12103" s="558">
        <v>6.97</v>
      </c>
      <c r="J12103" s="567">
        <v>8</v>
      </c>
      <c r="K12103" s="648">
        <v>14</v>
      </c>
      <c r="L12103" s="552">
        <f t="shared" ref="L12103:L12114" si="2471">(I12103*J12103*K12103/1000)</f>
        <v>0.78064</v>
      </c>
      <c r="M12103" s="549">
        <v>7</v>
      </c>
      <c r="N12103" s="567">
        <f t="shared" ref="N12103:N12114" si="2472">J12103*M12103*I12103/1000</f>
        <v>0.39032</v>
      </c>
      <c r="O12103" s="549"/>
      <c r="P12103" s="549"/>
      <c r="Q12103" s="1511" t="s">
        <v>1502</v>
      </c>
    </row>
    <row r="12104" spans="1:18" ht="17.399999999999999">
      <c r="A12104" s="549"/>
      <c r="B12104" s="549"/>
      <c r="C12104" s="549"/>
      <c r="D12104" s="549"/>
      <c r="E12104" s="549"/>
      <c r="F12104" s="549"/>
      <c r="G12104" s="549" t="s">
        <v>21</v>
      </c>
      <c r="H12104" s="549" t="s">
        <v>91</v>
      </c>
      <c r="I12104" s="558">
        <v>6.97</v>
      </c>
      <c r="J12104" s="567">
        <v>9.1999999999999993</v>
      </c>
      <c r="K12104" s="648">
        <v>40</v>
      </c>
      <c r="L12104" s="552">
        <f t="shared" si="2471"/>
        <v>2.5649600000000001</v>
      </c>
      <c r="M12104" s="549"/>
      <c r="N12104" s="567">
        <f t="shared" si="2472"/>
        <v>0</v>
      </c>
      <c r="O12104" s="549"/>
      <c r="P12104" s="549"/>
    </row>
    <row r="12105" spans="1:18" ht="17.399999999999999">
      <c r="A12105" s="549"/>
      <c r="B12105" s="549"/>
      <c r="C12105" s="549"/>
      <c r="D12105" s="549"/>
      <c r="E12105" s="549"/>
      <c r="F12105" s="549"/>
      <c r="G12105" s="549" t="s">
        <v>21</v>
      </c>
      <c r="H12105" s="549" t="s">
        <v>91</v>
      </c>
      <c r="I12105" s="558">
        <v>6.97</v>
      </c>
      <c r="J12105" s="567">
        <v>9.5</v>
      </c>
      <c r="K12105" s="648">
        <v>28</v>
      </c>
      <c r="L12105" s="552">
        <f t="shared" si="2471"/>
        <v>1.85402</v>
      </c>
      <c r="M12105" s="549">
        <f>10+10</f>
        <v>20</v>
      </c>
      <c r="N12105" s="567">
        <f t="shared" si="2472"/>
        <v>1.3243</v>
      </c>
      <c r="O12105" s="549"/>
      <c r="P12105" s="549"/>
    </row>
    <row r="12106" spans="1:18" ht="17.399999999999999">
      <c r="A12106" s="549"/>
      <c r="B12106" s="549"/>
      <c r="C12106" s="549"/>
      <c r="D12106" s="549"/>
      <c r="E12106" s="549"/>
      <c r="F12106" s="549"/>
      <c r="G12106" s="549" t="s">
        <v>21</v>
      </c>
      <c r="H12106" s="549" t="s">
        <v>91</v>
      </c>
      <c r="I12106" s="558">
        <v>6.97</v>
      </c>
      <c r="J12106" s="567">
        <v>10.1</v>
      </c>
      <c r="K12106" s="648">
        <v>47</v>
      </c>
      <c r="L12106" s="552">
        <f t="shared" si="2471"/>
        <v>3.3086589999999996</v>
      </c>
      <c r="M12106" s="549"/>
      <c r="N12106" s="567">
        <f t="shared" si="2472"/>
        <v>0</v>
      </c>
      <c r="O12106" s="549"/>
      <c r="P12106" s="549"/>
    </row>
    <row r="12107" spans="1:18" ht="17.399999999999999">
      <c r="A12107" s="549"/>
      <c r="B12107" s="549"/>
      <c r="C12107" s="549"/>
      <c r="D12107" s="549"/>
      <c r="E12107" s="549"/>
      <c r="F12107" s="549"/>
      <c r="G12107" s="549" t="s">
        <v>21</v>
      </c>
      <c r="H12107" s="549" t="s">
        <v>91</v>
      </c>
      <c r="I12107" s="558">
        <v>6.97</v>
      </c>
      <c r="J12107" s="567">
        <v>10.5</v>
      </c>
      <c r="K12107" s="648">
        <v>40</v>
      </c>
      <c r="L12107" s="552">
        <f t="shared" si="2471"/>
        <v>2.9274</v>
      </c>
      <c r="M12107" s="549">
        <v>1</v>
      </c>
      <c r="N12107" s="567">
        <f t="shared" si="2472"/>
        <v>7.3185E-2</v>
      </c>
      <c r="O12107" s="549"/>
      <c r="P12107" s="549"/>
    </row>
    <row r="12108" spans="1:18" ht="17.399999999999999">
      <c r="A12108" s="549"/>
      <c r="B12108" s="549"/>
      <c r="C12108" s="549"/>
      <c r="D12108" s="549"/>
      <c r="E12108" s="549"/>
      <c r="F12108" s="549"/>
      <c r="G12108" s="549" t="s">
        <v>21</v>
      </c>
      <c r="H12108" s="549" t="s">
        <v>91</v>
      </c>
      <c r="I12108" s="558">
        <v>6.97</v>
      </c>
      <c r="J12108" s="567">
        <v>10.6</v>
      </c>
      <c r="K12108" s="648">
        <v>64</v>
      </c>
      <c r="L12108" s="552">
        <f t="shared" si="2471"/>
        <v>4.7284479999999993</v>
      </c>
      <c r="M12108" s="549">
        <v>1</v>
      </c>
      <c r="N12108" s="567">
        <f t="shared" si="2472"/>
        <v>7.3881999999999989E-2</v>
      </c>
      <c r="O12108" s="549"/>
      <c r="P12108" s="549"/>
    </row>
    <row r="12109" spans="1:18" ht="17.399999999999999">
      <c r="A12109" s="549"/>
      <c r="B12109" s="549"/>
      <c r="C12109" s="549"/>
      <c r="D12109" s="549"/>
      <c r="E12109" s="549"/>
      <c r="F12109" s="549"/>
      <c r="G12109" s="549" t="s">
        <v>21</v>
      </c>
      <c r="H12109" s="549" t="s">
        <v>91</v>
      </c>
      <c r="I12109" s="558">
        <v>6.97</v>
      </c>
      <c r="J12109" s="567">
        <v>10.85</v>
      </c>
      <c r="K12109" s="648">
        <v>58</v>
      </c>
      <c r="L12109" s="552">
        <f t="shared" si="2471"/>
        <v>4.3862209999999999</v>
      </c>
      <c r="M12109" s="549"/>
      <c r="N12109" s="567">
        <f t="shared" si="2472"/>
        <v>0</v>
      </c>
      <c r="O12109" s="549"/>
      <c r="P12109" s="549"/>
    </row>
    <row r="12110" spans="1:18" ht="17.399999999999999">
      <c r="A12110" s="549"/>
      <c r="B12110" s="549"/>
      <c r="C12110" s="549"/>
      <c r="D12110" s="549"/>
      <c r="E12110" s="549"/>
      <c r="F12110" s="549"/>
      <c r="G12110" s="549" t="s">
        <v>21</v>
      </c>
      <c r="H12110" s="549" t="s">
        <v>91</v>
      </c>
      <c r="I12110" s="558">
        <v>6.97</v>
      </c>
      <c r="J12110" s="567">
        <v>11</v>
      </c>
      <c r="K12110" s="648">
        <v>37</v>
      </c>
      <c r="L12110" s="552">
        <f t="shared" si="2471"/>
        <v>2.8367900000000001</v>
      </c>
      <c r="M12110" s="549"/>
      <c r="N12110" s="567">
        <f t="shared" si="2472"/>
        <v>0</v>
      </c>
      <c r="O12110" s="549"/>
      <c r="P12110" s="549"/>
    </row>
    <row r="12111" spans="1:18" ht="17.399999999999999">
      <c r="A12111" s="549"/>
      <c r="B12111" s="549"/>
      <c r="C12111" s="549"/>
      <c r="D12111" s="549"/>
      <c r="E12111" s="549"/>
      <c r="F12111" s="549"/>
      <c r="G12111" s="549" t="s">
        <v>21</v>
      </c>
      <c r="H12111" s="549" t="s">
        <v>91</v>
      </c>
      <c r="I12111" s="558">
        <v>6.97</v>
      </c>
      <c r="J12111" s="567">
        <v>11.2</v>
      </c>
      <c r="K12111" s="648">
        <v>43</v>
      </c>
      <c r="L12111" s="552">
        <f t="shared" si="2471"/>
        <v>3.3567519999999993</v>
      </c>
      <c r="M12111" s="549"/>
      <c r="N12111" s="567">
        <f t="shared" si="2472"/>
        <v>0</v>
      </c>
      <c r="O12111" s="549"/>
      <c r="P12111" s="549"/>
    </row>
    <row r="12112" spans="1:18" ht="17.399999999999999">
      <c r="A12112" s="549"/>
      <c r="B12112" s="549"/>
      <c r="C12112" s="549"/>
      <c r="D12112" s="549"/>
      <c r="E12112" s="549"/>
      <c r="F12112" s="549"/>
      <c r="G12112" s="549" t="s">
        <v>21</v>
      </c>
      <c r="H12112" s="549" t="s">
        <v>91</v>
      </c>
      <c r="I12112" s="558">
        <v>6.97</v>
      </c>
      <c r="J12112" s="567">
        <v>11.3</v>
      </c>
      <c r="K12112" s="648">
        <v>15</v>
      </c>
      <c r="L12112" s="552">
        <f t="shared" si="2471"/>
        <v>1.1814149999999999</v>
      </c>
      <c r="M12112" s="549"/>
      <c r="N12112" s="567">
        <f t="shared" si="2472"/>
        <v>0</v>
      </c>
      <c r="O12112" s="549"/>
      <c r="P12112" s="549"/>
    </row>
    <row r="12113" spans="1:17" ht="17.399999999999999">
      <c r="A12113" s="549"/>
      <c r="B12113" s="549"/>
      <c r="C12113" s="549"/>
      <c r="D12113" s="549"/>
      <c r="E12113" s="549"/>
      <c r="F12113" s="549"/>
      <c r="G12113" s="549" t="s">
        <v>21</v>
      </c>
      <c r="H12113" s="549" t="s">
        <v>91</v>
      </c>
      <c r="I12113" s="558">
        <v>6.97</v>
      </c>
      <c r="J12113" s="567">
        <v>11.8</v>
      </c>
      <c r="K12113" s="648">
        <v>71</v>
      </c>
      <c r="L12113" s="552">
        <f t="shared" si="2471"/>
        <v>5.8394659999999998</v>
      </c>
      <c r="M12113" s="549"/>
      <c r="N12113" s="567">
        <f t="shared" si="2472"/>
        <v>0</v>
      </c>
      <c r="O12113" s="549"/>
      <c r="P12113" s="549"/>
    </row>
    <row r="12114" spans="1:17" ht="17.399999999999999">
      <c r="A12114" s="549"/>
      <c r="B12114" s="549"/>
      <c r="C12114" s="549"/>
      <c r="D12114" s="549"/>
      <c r="E12114" s="549"/>
      <c r="F12114" s="549"/>
      <c r="G12114" s="549" t="s">
        <v>21</v>
      </c>
      <c r="H12114" s="549" t="s">
        <v>91</v>
      </c>
      <c r="I12114" s="558">
        <v>6.97</v>
      </c>
      <c r="J12114" s="567">
        <v>12</v>
      </c>
      <c r="K12114" s="648">
        <v>119</v>
      </c>
      <c r="L12114" s="552">
        <f t="shared" si="2471"/>
        <v>9.9531600000000005</v>
      </c>
      <c r="M12114" s="549">
        <v>1</v>
      </c>
      <c r="N12114" s="567">
        <f t="shared" si="2472"/>
        <v>8.3640000000000006E-2</v>
      </c>
      <c r="O12114" s="549"/>
      <c r="P12114" s="549"/>
    </row>
    <row r="12115" spans="1:17" ht="17.399999999999999">
      <c r="A12115" s="549"/>
      <c r="B12115" s="549"/>
      <c r="C12115" s="549"/>
      <c r="D12115" s="549"/>
      <c r="E12115" s="549"/>
      <c r="F12115" s="549"/>
      <c r="G12115" s="549"/>
      <c r="H12115" s="549"/>
      <c r="I12115" s="558"/>
      <c r="J12115" s="567"/>
      <c r="K12115" s="648">
        <f>SUM(K12103:K12114)</f>
        <v>576</v>
      </c>
      <c r="L12115" s="567">
        <f>SUM(L12103:L12114)</f>
        <v>43.717931000000007</v>
      </c>
      <c r="M12115" s="648">
        <f>SUM(M12103:M12114)</f>
        <v>30</v>
      </c>
      <c r="N12115" s="567">
        <f>SUM(N12103:N12114)</f>
        <v>1.945327</v>
      </c>
      <c r="O12115" s="549"/>
      <c r="P12115" s="549" t="s">
        <v>1447</v>
      </c>
    </row>
    <row r="12116" spans="1:17" s="1511" customFormat="1" ht="17.399999999999999">
      <c r="A12116" s="549"/>
      <c r="B12116" s="549"/>
      <c r="C12116" s="549"/>
      <c r="D12116" s="549"/>
      <c r="E12116" s="549"/>
      <c r="F12116" s="549"/>
      <c r="G12116" s="549"/>
      <c r="H12116" s="549"/>
      <c r="I12116" s="558"/>
      <c r="J12116" s="567"/>
      <c r="K12116" s="648"/>
      <c r="L12116" s="567"/>
      <c r="M12116" s="549"/>
      <c r="N12116" s="549"/>
      <c r="O12116" s="549"/>
      <c r="P12116" s="549"/>
    </row>
    <row r="12117" spans="1:17" s="1511" customFormat="1" ht="17.399999999999999">
      <c r="A12117" s="549"/>
      <c r="B12117" s="549"/>
      <c r="C12117" s="549"/>
      <c r="D12117" s="549"/>
      <c r="E12117" s="549"/>
      <c r="F12117" s="549"/>
      <c r="G12117" s="549"/>
      <c r="H12117" s="549"/>
      <c r="I12117" s="558"/>
      <c r="J12117" s="567"/>
      <c r="K12117" s="648"/>
      <c r="L12117" s="567"/>
      <c r="M12117" s="549"/>
      <c r="N12117" s="549"/>
      <c r="O12117" s="549"/>
      <c r="P12117" s="549"/>
    </row>
    <row r="12118" spans="1:17" ht="17.399999999999999">
      <c r="A12118" s="547" t="s">
        <v>83</v>
      </c>
      <c r="B12118" s="547" t="s">
        <v>1360</v>
      </c>
      <c r="C12118" s="547" t="s">
        <v>446</v>
      </c>
      <c r="D12118" s="813" t="s">
        <v>447</v>
      </c>
      <c r="E12118" s="547" t="s">
        <v>359</v>
      </c>
      <c r="F12118" s="550">
        <v>11</v>
      </c>
      <c r="G12118" s="549" t="s">
        <v>21</v>
      </c>
      <c r="H12118" s="599" t="s">
        <v>53</v>
      </c>
      <c r="I12118" s="558">
        <v>8.32</v>
      </c>
      <c r="J12118" s="567">
        <v>6.6</v>
      </c>
      <c r="K12118" s="648">
        <v>56</v>
      </c>
      <c r="L12118" s="552">
        <f t="shared" ref="L12118:L12133" si="2473">(I12118*J12118*K12118/1000)</f>
        <v>3.075072</v>
      </c>
      <c r="M12118" s="549"/>
      <c r="N12118" s="567">
        <f t="shared" ref="N12118:N12133" si="2474">J12118*M12118*I12118/1000</f>
        <v>0</v>
      </c>
      <c r="O12118" s="549"/>
      <c r="P12118" s="549"/>
      <c r="Q12118" s="1511" t="s">
        <v>1502</v>
      </c>
    </row>
    <row r="12119" spans="1:17" ht="17.399999999999999">
      <c r="A12119" s="549"/>
      <c r="B12119" s="549"/>
      <c r="C12119" s="549"/>
      <c r="D12119" s="549"/>
      <c r="E12119" s="549"/>
      <c r="F12119" s="549"/>
      <c r="G12119" s="549" t="s">
        <v>21</v>
      </c>
      <c r="H12119" s="549" t="s">
        <v>53</v>
      </c>
      <c r="I12119" s="558">
        <v>8.32</v>
      </c>
      <c r="J12119" s="567">
        <v>6.75</v>
      </c>
      <c r="K12119" s="648">
        <v>136</v>
      </c>
      <c r="L12119" s="552">
        <f t="shared" si="2473"/>
        <v>7.6377600000000001</v>
      </c>
      <c r="M12119" s="549"/>
      <c r="N12119" s="567">
        <f t="shared" si="2474"/>
        <v>0</v>
      </c>
      <c r="O12119" s="549"/>
      <c r="P12119" s="549"/>
    </row>
    <row r="12120" spans="1:17" ht="17.399999999999999">
      <c r="A12120" s="549"/>
      <c r="B12120" s="549"/>
      <c r="C12120" s="549"/>
      <c r="D12120" s="549"/>
      <c r="E12120" s="549"/>
      <c r="F12120" s="549"/>
      <c r="G12120" s="549" t="s">
        <v>21</v>
      </c>
      <c r="H12120" s="549" t="s">
        <v>53</v>
      </c>
      <c r="I12120" s="558">
        <v>8.32</v>
      </c>
      <c r="J12120" s="567">
        <v>7.1</v>
      </c>
      <c r="K12120" s="648">
        <v>112</v>
      </c>
      <c r="L12120" s="552">
        <f t="shared" si="2473"/>
        <v>6.6160639999999997</v>
      </c>
      <c r="M12120" s="549">
        <v>1</v>
      </c>
      <c r="N12120" s="567">
        <f t="shared" si="2474"/>
        <v>5.9071999999999993E-2</v>
      </c>
      <c r="O12120" s="549"/>
      <c r="P12120" s="549"/>
    </row>
    <row r="12121" spans="1:17" ht="17.399999999999999">
      <c r="A12121" s="549"/>
      <c r="B12121" s="549"/>
      <c r="C12121" s="549"/>
      <c r="D12121" s="549"/>
      <c r="E12121" s="549"/>
      <c r="F12121" s="549"/>
      <c r="G12121" s="549" t="s">
        <v>21</v>
      </c>
      <c r="H12121" s="549" t="s">
        <v>53</v>
      </c>
      <c r="I12121" s="558">
        <v>8.32</v>
      </c>
      <c r="J12121" s="567">
        <v>7.7</v>
      </c>
      <c r="K12121" s="648">
        <v>36</v>
      </c>
      <c r="L12121" s="552">
        <f t="shared" si="2473"/>
        <v>2.3063039999999999</v>
      </c>
      <c r="M12121" s="549"/>
      <c r="N12121" s="567">
        <f t="shared" si="2474"/>
        <v>0</v>
      </c>
      <c r="O12121" s="549"/>
      <c r="P12121" s="549"/>
    </row>
    <row r="12122" spans="1:17" ht="17.399999999999999">
      <c r="A12122" s="549"/>
      <c r="B12122" s="549"/>
      <c r="C12122" s="549"/>
      <c r="D12122" s="549"/>
      <c r="E12122" s="549"/>
      <c r="F12122" s="549"/>
      <c r="G12122" s="549" t="s">
        <v>21</v>
      </c>
      <c r="H12122" s="549" t="s">
        <v>53</v>
      </c>
      <c r="I12122" s="558">
        <v>8.32</v>
      </c>
      <c r="J12122" s="567">
        <v>7.9</v>
      </c>
      <c r="K12122" s="648">
        <v>160</v>
      </c>
      <c r="L12122" s="552">
        <f t="shared" si="2473"/>
        <v>10.516480000000001</v>
      </c>
      <c r="M12122" s="549"/>
      <c r="N12122" s="567">
        <f t="shared" si="2474"/>
        <v>0</v>
      </c>
      <c r="O12122" s="549"/>
      <c r="P12122" s="549"/>
    </row>
    <row r="12123" spans="1:17" ht="17.399999999999999">
      <c r="A12123" s="549"/>
      <c r="B12123" s="549"/>
      <c r="C12123" s="549"/>
      <c r="D12123" s="549"/>
      <c r="E12123" s="549"/>
      <c r="F12123" s="549"/>
      <c r="G12123" s="549" t="s">
        <v>21</v>
      </c>
      <c r="H12123" s="549" t="s">
        <v>53</v>
      </c>
      <c r="I12123" s="558">
        <v>8.32</v>
      </c>
      <c r="J12123" s="567">
        <v>8.4</v>
      </c>
      <c r="K12123" s="648">
        <v>20</v>
      </c>
      <c r="L12123" s="552">
        <f t="shared" si="2473"/>
        <v>1.3977600000000001</v>
      </c>
      <c r="M12123" s="549">
        <v>2</v>
      </c>
      <c r="N12123" s="567">
        <f t="shared" si="2474"/>
        <v>0.13977600000000001</v>
      </c>
      <c r="O12123" s="549"/>
      <c r="P12123" s="549"/>
    </row>
    <row r="12124" spans="1:17" ht="17.399999999999999">
      <c r="A12124" s="549"/>
      <c r="B12124" s="549"/>
      <c r="C12124" s="549"/>
      <c r="D12124" s="549"/>
      <c r="E12124" s="549"/>
      <c r="F12124" s="549"/>
      <c r="G12124" s="549" t="s">
        <v>21</v>
      </c>
      <c r="H12124" s="549" t="s">
        <v>53</v>
      </c>
      <c r="I12124" s="558">
        <v>8.32</v>
      </c>
      <c r="J12124" s="567">
        <v>9.5</v>
      </c>
      <c r="K12124" s="648">
        <v>33</v>
      </c>
      <c r="L12124" s="552">
        <f t="shared" si="2473"/>
        <v>2.60832</v>
      </c>
      <c r="M12124" s="549">
        <f>8+1+2</f>
        <v>11</v>
      </c>
      <c r="N12124" s="567">
        <f t="shared" si="2474"/>
        <v>0.8694400000000001</v>
      </c>
      <c r="O12124" s="549"/>
      <c r="P12124" s="549"/>
    </row>
    <row r="12125" spans="1:17" ht="17.399999999999999">
      <c r="A12125" s="549"/>
      <c r="B12125" s="549"/>
      <c r="C12125" s="549"/>
      <c r="D12125" s="549"/>
      <c r="E12125" s="549"/>
      <c r="F12125" s="549"/>
      <c r="G12125" s="549" t="s">
        <v>21</v>
      </c>
      <c r="H12125" s="549" t="s">
        <v>53</v>
      </c>
      <c r="I12125" s="558">
        <v>8.32</v>
      </c>
      <c r="J12125" s="567">
        <v>10</v>
      </c>
      <c r="K12125" s="648">
        <v>70</v>
      </c>
      <c r="L12125" s="552">
        <f t="shared" si="2473"/>
        <v>5.8239999999999998</v>
      </c>
      <c r="M12125" s="549">
        <f>3+1+4+9</f>
        <v>17</v>
      </c>
      <c r="N12125" s="567">
        <f t="shared" si="2474"/>
        <v>1.4144000000000001</v>
      </c>
      <c r="O12125" s="549"/>
      <c r="P12125" s="549"/>
    </row>
    <row r="12126" spans="1:17" ht="17.399999999999999">
      <c r="A12126" s="549"/>
      <c r="B12126" s="549"/>
      <c r="C12126" s="549"/>
      <c r="D12126" s="549"/>
      <c r="E12126" s="549"/>
      <c r="F12126" s="549"/>
      <c r="G12126" s="549" t="s">
        <v>21</v>
      </c>
      <c r="H12126" s="549" t="s">
        <v>53</v>
      </c>
      <c r="I12126" s="558">
        <v>8.32</v>
      </c>
      <c r="J12126" s="567">
        <v>10.199999999999999</v>
      </c>
      <c r="K12126" s="648">
        <v>32</v>
      </c>
      <c r="L12126" s="552">
        <f t="shared" si="2473"/>
        <v>2.7156479999999998</v>
      </c>
      <c r="M12126" s="549">
        <f>1+3+1</f>
        <v>5</v>
      </c>
      <c r="N12126" s="567">
        <f t="shared" si="2474"/>
        <v>0.42431999999999997</v>
      </c>
      <c r="O12126" s="549"/>
      <c r="P12126" s="549"/>
    </row>
    <row r="12127" spans="1:17" ht="17.399999999999999">
      <c r="A12127" s="549"/>
      <c r="B12127" s="549"/>
      <c r="C12127" s="549"/>
      <c r="D12127" s="549"/>
      <c r="E12127" s="549"/>
      <c r="F12127" s="549"/>
      <c r="G12127" s="549" t="s">
        <v>21</v>
      </c>
      <c r="H12127" s="549" t="s">
        <v>53</v>
      </c>
      <c r="I12127" s="558">
        <v>8.32</v>
      </c>
      <c r="J12127" s="567">
        <v>10.85</v>
      </c>
      <c r="K12127" s="648">
        <v>37</v>
      </c>
      <c r="L12127" s="552">
        <f t="shared" si="2473"/>
        <v>3.3400640000000004</v>
      </c>
      <c r="M12127" s="549"/>
      <c r="N12127" s="567">
        <f t="shared" si="2474"/>
        <v>0</v>
      </c>
      <c r="O12127" s="549"/>
      <c r="P12127" s="549"/>
    </row>
    <row r="12128" spans="1:17" ht="17.399999999999999">
      <c r="A12128" s="549"/>
      <c r="B12128" s="549"/>
      <c r="C12128" s="549"/>
      <c r="D12128" s="549"/>
      <c r="E12128" s="549"/>
      <c r="F12128" s="549"/>
      <c r="G12128" s="549" t="s">
        <v>21</v>
      </c>
      <c r="H12128" s="549" t="s">
        <v>53</v>
      </c>
      <c r="I12128" s="558">
        <v>8.32</v>
      </c>
      <c r="J12128" s="567">
        <v>11</v>
      </c>
      <c r="K12128" s="648">
        <v>140</v>
      </c>
      <c r="L12128" s="552">
        <f t="shared" si="2473"/>
        <v>12.812800000000001</v>
      </c>
      <c r="M12128" s="549"/>
      <c r="N12128" s="567">
        <f t="shared" si="2474"/>
        <v>0</v>
      </c>
      <c r="O12128" s="549"/>
      <c r="P12128" s="549"/>
    </row>
    <row r="12129" spans="1:17" ht="17.399999999999999">
      <c r="A12129" s="549"/>
      <c r="B12129" s="549"/>
      <c r="C12129" s="549"/>
      <c r="D12129" s="549"/>
      <c r="E12129" s="549"/>
      <c r="F12129" s="549"/>
      <c r="G12129" s="549" t="s">
        <v>21</v>
      </c>
      <c r="H12129" s="549" t="s">
        <v>53</v>
      </c>
      <c r="I12129" s="558">
        <v>8.32</v>
      </c>
      <c r="J12129" s="567">
        <v>11.3</v>
      </c>
      <c r="K12129" s="648">
        <v>56</v>
      </c>
      <c r="L12129" s="552">
        <f t="shared" si="2473"/>
        <v>5.2648960000000002</v>
      </c>
      <c r="M12129" s="549">
        <v>1</v>
      </c>
      <c r="N12129" s="567">
        <f t="shared" si="2474"/>
        <v>9.4016000000000002E-2</v>
      </c>
      <c r="O12129" s="549"/>
      <c r="P12129" s="549"/>
    </row>
    <row r="12130" spans="1:17" ht="17.399999999999999">
      <c r="A12130" s="549"/>
      <c r="B12130" s="549"/>
      <c r="C12130" s="549"/>
      <c r="D12130" s="549"/>
      <c r="E12130" s="549"/>
      <c r="F12130" s="549"/>
      <c r="G12130" s="549" t="s">
        <v>21</v>
      </c>
      <c r="H12130" s="549" t="s">
        <v>53</v>
      </c>
      <c r="I12130" s="558">
        <v>8.32</v>
      </c>
      <c r="J12130" s="567">
        <v>11.5</v>
      </c>
      <c r="K12130" s="648">
        <v>74</v>
      </c>
      <c r="L12130" s="552">
        <f t="shared" si="2473"/>
        <v>7.0803200000000004</v>
      </c>
      <c r="M12130" s="549">
        <f>1+4+1</f>
        <v>6</v>
      </c>
      <c r="N12130" s="567">
        <f t="shared" si="2474"/>
        <v>0.57408000000000003</v>
      </c>
      <c r="O12130" s="549"/>
      <c r="P12130" s="549"/>
    </row>
    <row r="12131" spans="1:17" ht="17.399999999999999">
      <c r="A12131" s="549"/>
      <c r="B12131" s="549"/>
      <c r="C12131" s="549"/>
      <c r="D12131" s="549"/>
      <c r="E12131" s="549"/>
      <c r="F12131" s="549"/>
      <c r="G12131" s="549" t="s">
        <v>21</v>
      </c>
      <c r="H12131" s="549" t="s">
        <v>53</v>
      </c>
      <c r="I12131" s="558">
        <v>8.32</v>
      </c>
      <c r="J12131" s="567">
        <v>11.7</v>
      </c>
      <c r="K12131" s="648">
        <v>56</v>
      </c>
      <c r="L12131" s="552">
        <f t="shared" si="2473"/>
        <v>5.4512639999999992</v>
      </c>
      <c r="M12131" s="549">
        <v>3</v>
      </c>
      <c r="N12131" s="567">
        <f t="shared" si="2474"/>
        <v>0.29203199999999996</v>
      </c>
      <c r="O12131" s="549"/>
      <c r="P12131" s="549"/>
    </row>
    <row r="12132" spans="1:17" ht="17.399999999999999">
      <c r="A12132" s="549"/>
      <c r="B12132" s="549"/>
      <c r="C12132" s="549"/>
      <c r="D12132" s="549"/>
      <c r="E12132" s="549"/>
      <c r="F12132" s="549"/>
      <c r="G12132" s="549" t="s">
        <v>21</v>
      </c>
      <c r="H12132" s="549" t="s">
        <v>53</v>
      </c>
      <c r="I12132" s="558">
        <v>8.32</v>
      </c>
      <c r="J12132" s="567">
        <v>11.9</v>
      </c>
      <c r="K12132" s="648">
        <v>56</v>
      </c>
      <c r="L12132" s="552">
        <f t="shared" si="2473"/>
        <v>5.544448</v>
      </c>
      <c r="M12132" s="549">
        <v>1</v>
      </c>
      <c r="N12132" s="567">
        <f t="shared" si="2474"/>
        <v>9.9008000000000013E-2</v>
      </c>
      <c r="O12132" s="549"/>
      <c r="P12132" s="549"/>
    </row>
    <row r="12133" spans="1:17" ht="17.399999999999999">
      <c r="A12133" s="549"/>
      <c r="B12133" s="549"/>
      <c r="C12133" s="549"/>
      <c r="D12133" s="549"/>
      <c r="E12133" s="549"/>
      <c r="F12133" s="549"/>
      <c r="G12133" s="549" t="s">
        <v>21</v>
      </c>
      <c r="H12133" s="549" t="s">
        <v>53</v>
      </c>
      <c r="I12133" s="558">
        <v>8.32</v>
      </c>
      <c r="J12133" s="567">
        <v>12</v>
      </c>
      <c r="K12133" s="648">
        <v>285</v>
      </c>
      <c r="L12133" s="552">
        <f t="shared" si="2473"/>
        <v>28.4544</v>
      </c>
      <c r="M12133" s="549">
        <f>2+2+1</f>
        <v>5</v>
      </c>
      <c r="N12133" s="567">
        <f t="shared" si="2474"/>
        <v>0.49920000000000003</v>
      </c>
      <c r="O12133" s="549"/>
      <c r="P12133" s="549"/>
    </row>
    <row r="12134" spans="1:17" ht="17.399999999999999">
      <c r="A12134" s="549"/>
      <c r="B12134" s="549"/>
      <c r="C12134" s="549"/>
      <c r="D12134" s="549"/>
      <c r="E12134" s="549"/>
      <c r="F12134" s="549"/>
      <c r="G12134" s="549"/>
      <c r="H12134" s="549"/>
      <c r="I12134" s="558"/>
      <c r="J12134" s="567"/>
      <c r="K12134" s="648">
        <f>SUM(K12118:K12133)</f>
        <v>1359</v>
      </c>
      <c r="L12134" s="567">
        <f>SUM(L12118:L12133)</f>
        <v>110.6456</v>
      </c>
      <c r="M12134" s="648">
        <f>SUM(M12118:M12133)</f>
        <v>52</v>
      </c>
      <c r="N12134" s="567">
        <f>SUM(N12118:N12133)</f>
        <v>4.465344</v>
      </c>
      <c r="O12134" s="549"/>
      <c r="P12134" s="549"/>
    </row>
    <row r="12135" spans="1:17" s="1511" customFormat="1" ht="17.399999999999999">
      <c r="A12135" s="549"/>
      <c r="B12135" s="549"/>
      <c r="C12135" s="549"/>
      <c r="D12135" s="549"/>
      <c r="E12135" s="549"/>
      <c r="F12135" s="549"/>
      <c r="G12135" s="549"/>
      <c r="H12135" s="549"/>
      <c r="I12135" s="558"/>
      <c r="J12135" s="567"/>
      <c r="K12135" s="648"/>
      <c r="L12135" s="567"/>
      <c r="M12135" s="549"/>
      <c r="N12135" s="549"/>
      <c r="O12135" s="549"/>
      <c r="P12135" s="549"/>
    </row>
    <row r="12136" spans="1:17" ht="17.399999999999999">
      <c r="A12136" s="547" t="s">
        <v>272</v>
      </c>
      <c r="B12136" s="547" t="s">
        <v>1363</v>
      </c>
      <c r="C12136" s="547" t="s">
        <v>446</v>
      </c>
      <c r="D12136" s="813" t="s">
        <v>447</v>
      </c>
      <c r="E12136" s="547" t="s">
        <v>359</v>
      </c>
      <c r="F12136" s="550">
        <v>11</v>
      </c>
      <c r="G12136" s="549" t="s">
        <v>21</v>
      </c>
      <c r="H12136" s="599" t="s">
        <v>53</v>
      </c>
      <c r="I12136" s="558">
        <v>8.32</v>
      </c>
      <c r="J12136" s="567">
        <v>7.1</v>
      </c>
      <c r="K12136" s="648">
        <v>8</v>
      </c>
      <c r="L12136" s="552">
        <f t="shared" ref="L12136:L12138" si="2475">(I12136*J12136*K12136/1000)</f>
        <v>0.47257599999999994</v>
      </c>
      <c r="M12136" s="549"/>
      <c r="N12136" s="549"/>
      <c r="O12136" s="549"/>
      <c r="P12136" s="549"/>
      <c r="Q12136" s="1511" t="s">
        <v>1502</v>
      </c>
    </row>
    <row r="12137" spans="1:17" ht="17.399999999999999">
      <c r="A12137" s="549"/>
      <c r="B12137" s="549"/>
      <c r="C12137" s="549"/>
      <c r="D12137" s="549"/>
      <c r="E12137" s="549"/>
      <c r="F12137" s="549"/>
      <c r="G12137" s="549" t="s">
        <v>21</v>
      </c>
      <c r="H12137" s="549" t="s">
        <v>53</v>
      </c>
      <c r="I12137" s="558">
        <v>8.32</v>
      </c>
      <c r="J12137" s="567">
        <v>11.5</v>
      </c>
      <c r="K12137" s="648">
        <v>4</v>
      </c>
      <c r="L12137" s="552">
        <f t="shared" si="2475"/>
        <v>0.38272</v>
      </c>
      <c r="M12137" s="549"/>
      <c r="N12137" s="549"/>
      <c r="O12137" s="549"/>
      <c r="P12137" s="549"/>
    </row>
    <row r="12138" spans="1:17" ht="17.399999999999999">
      <c r="A12138" s="549"/>
      <c r="B12138" s="549"/>
      <c r="C12138" s="549"/>
      <c r="D12138" s="549"/>
      <c r="E12138" s="549"/>
      <c r="F12138" s="549"/>
      <c r="G12138" s="549" t="s">
        <v>21</v>
      </c>
      <c r="H12138" s="549" t="s">
        <v>53</v>
      </c>
      <c r="I12138" s="558">
        <v>8.32</v>
      </c>
      <c r="J12138" s="567">
        <v>12</v>
      </c>
      <c r="K12138" s="648">
        <v>1</v>
      </c>
      <c r="L12138" s="552">
        <f t="shared" si="2475"/>
        <v>9.9839999999999998E-2</v>
      </c>
      <c r="M12138" s="549"/>
      <c r="N12138" s="549"/>
      <c r="O12138" s="549"/>
      <c r="P12138" s="549"/>
    </row>
    <row r="12139" spans="1:17" ht="17.399999999999999">
      <c r="A12139" s="549"/>
      <c r="B12139" s="549"/>
      <c r="C12139" s="549"/>
      <c r="D12139" s="549"/>
      <c r="E12139" s="549"/>
      <c r="F12139" s="549"/>
      <c r="G12139" s="549"/>
      <c r="H12139" s="549"/>
      <c r="I12139" s="558"/>
      <c r="J12139" s="567"/>
      <c r="K12139" s="648">
        <f t="shared" ref="K12139" si="2476">SUM(K12136:K12138)</f>
        <v>13</v>
      </c>
      <c r="L12139" s="567">
        <f t="shared" ref="L12139" si="2477">SUM(L12136:L12138)</f>
        <v>0.95513599999999999</v>
      </c>
      <c r="M12139" s="549"/>
      <c r="N12139" s="549"/>
      <c r="O12139" s="549"/>
      <c r="P12139" s="549"/>
    </row>
    <row r="12140" spans="1:17" s="1511" customFormat="1" ht="17.399999999999999">
      <c r="A12140" s="549"/>
      <c r="B12140" s="549"/>
      <c r="C12140" s="549"/>
      <c r="D12140" s="549"/>
      <c r="E12140" s="549"/>
      <c r="F12140" s="549"/>
      <c r="G12140" s="549"/>
      <c r="H12140" s="549"/>
      <c r="I12140" s="558"/>
      <c r="J12140" s="567"/>
      <c r="K12140" s="648"/>
      <c r="L12140" s="567"/>
      <c r="M12140" s="549"/>
      <c r="N12140" s="549"/>
      <c r="O12140" s="549"/>
      <c r="P12140" s="549"/>
    </row>
    <row r="12141" spans="1:17" ht="17.399999999999999">
      <c r="A12141" s="547" t="s">
        <v>272</v>
      </c>
      <c r="B12141" s="547" t="s">
        <v>1361</v>
      </c>
      <c r="C12141" s="547" t="s">
        <v>446</v>
      </c>
      <c r="D12141" s="813" t="s">
        <v>447</v>
      </c>
      <c r="E12141" s="547" t="s">
        <v>359</v>
      </c>
      <c r="F12141" s="550">
        <v>11</v>
      </c>
      <c r="G12141" s="549" t="s">
        <v>21</v>
      </c>
      <c r="H12141" s="599" t="s">
        <v>53</v>
      </c>
      <c r="I12141" s="558">
        <v>8.32</v>
      </c>
      <c r="J12141" s="567">
        <v>10</v>
      </c>
      <c r="K12141" s="648">
        <v>7</v>
      </c>
      <c r="L12141" s="552">
        <f>(I12141*J12141*K12141/1000)</f>
        <v>0.58240000000000003</v>
      </c>
      <c r="M12141" s="549"/>
      <c r="N12141" s="549"/>
      <c r="O12141" s="549"/>
      <c r="P12141" s="549"/>
      <c r="Q12141" s="1511" t="s">
        <v>1502</v>
      </c>
    </row>
    <row r="12142" spans="1:17" ht="17.399999999999999">
      <c r="A12142" s="549"/>
      <c r="B12142" s="549"/>
      <c r="C12142" s="549"/>
      <c r="D12142" s="549"/>
      <c r="E12142" s="549"/>
      <c r="F12142" s="549"/>
      <c r="G12142" s="549" t="s">
        <v>21</v>
      </c>
      <c r="H12142" s="549" t="s">
        <v>53</v>
      </c>
      <c r="I12142" s="558">
        <v>8.32</v>
      </c>
      <c r="J12142" s="567">
        <v>11.5</v>
      </c>
      <c r="K12142" s="648">
        <v>8</v>
      </c>
      <c r="L12142" s="552">
        <f>(I12142*J12142*K12142/1000)</f>
        <v>0.76544000000000001</v>
      </c>
      <c r="M12142" s="549"/>
      <c r="N12142" s="549"/>
      <c r="O12142" s="549"/>
      <c r="P12142" s="549"/>
    </row>
    <row r="12143" spans="1:17" ht="17.399999999999999">
      <c r="A12143" s="549"/>
      <c r="B12143" s="549"/>
      <c r="C12143" s="549"/>
      <c r="D12143" s="549"/>
      <c r="E12143" s="549"/>
      <c r="F12143" s="549"/>
      <c r="G12143" s="549" t="s">
        <v>21</v>
      </c>
      <c r="H12143" s="549" t="s">
        <v>53</v>
      </c>
      <c r="I12143" s="558">
        <v>8.32</v>
      </c>
      <c r="J12143" s="567">
        <v>12</v>
      </c>
      <c r="K12143" s="648">
        <v>17</v>
      </c>
      <c r="L12143" s="552">
        <f>(I12143*J12143*K12143/1000)</f>
        <v>1.6972799999999999</v>
      </c>
      <c r="M12143" s="549"/>
      <c r="N12143" s="549"/>
      <c r="O12143" s="549"/>
      <c r="P12143" s="549"/>
    </row>
    <row r="12144" spans="1:17" ht="17.399999999999999">
      <c r="A12144" s="549"/>
      <c r="B12144" s="549"/>
      <c r="C12144" s="549"/>
      <c r="D12144" s="549"/>
      <c r="E12144" s="549"/>
      <c r="F12144" s="549"/>
      <c r="G12144" s="549"/>
      <c r="H12144" s="549"/>
      <c r="I12144" s="558"/>
      <c r="J12144" s="567"/>
      <c r="K12144" s="648">
        <f>SUM(K12141:K12143)</f>
        <v>32</v>
      </c>
      <c r="L12144" s="567">
        <f>SUM(L12141:L12143)</f>
        <v>3.0451199999999998</v>
      </c>
      <c r="M12144" s="549"/>
      <c r="N12144" s="549"/>
      <c r="O12144" s="549"/>
      <c r="P12144" s="549"/>
    </row>
    <row r="12145" spans="1:17" s="1511" customFormat="1" ht="17.399999999999999">
      <c r="A12145" s="549"/>
      <c r="B12145" s="549"/>
      <c r="C12145" s="549"/>
      <c r="D12145" s="549"/>
      <c r="E12145" s="549"/>
      <c r="F12145" s="549"/>
      <c r="G12145" s="549"/>
      <c r="H12145" s="549"/>
      <c r="I12145" s="558"/>
      <c r="J12145" s="567"/>
      <c r="K12145" s="648">
        <f>SUM(K12118:K12144)/2</f>
        <v>1404</v>
      </c>
      <c r="L12145" s="567">
        <f>SUM(L12118:L12144)/2</f>
        <v>114.64585600000002</v>
      </c>
      <c r="M12145" s="648">
        <f>SUM(M12118:M12144)/2</f>
        <v>52</v>
      </c>
      <c r="N12145" s="567">
        <f>SUM(N12118:N12144)/2</f>
        <v>4.465344</v>
      </c>
      <c r="O12145" s="549"/>
      <c r="P12145" s="549" t="s">
        <v>1448</v>
      </c>
    </row>
    <row r="12146" spans="1:17" s="1511" customFormat="1" ht="17.399999999999999">
      <c r="A12146" s="549"/>
      <c r="B12146" s="549"/>
      <c r="C12146" s="549"/>
      <c r="D12146" s="549"/>
      <c r="E12146" s="549"/>
      <c r="F12146" s="549"/>
      <c r="G12146" s="549"/>
      <c r="H12146" s="549"/>
      <c r="I12146" s="558"/>
      <c r="J12146" s="567"/>
      <c r="K12146" s="648"/>
      <c r="L12146" s="567"/>
      <c r="M12146" s="549"/>
      <c r="N12146" s="549"/>
      <c r="O12146" s="549"/>
      <c r="P12146" s="549"/>
    </row>
    <row r="12147" spans="1:17" s="1511" customFormat="1" ht="17.399999999999999">
      <c r="A12147" s="549"/>
      <c r="B12147" s="549"/>
      <c r="C12147" s="549"/>
      <c r="D12147" s="549"/>
      <c r="E12147" s="549"/>
      <c r="F12147" s="549"/>
      <c r="G12147" s="549"/>
      <c r="H12147" s="549"/>
      <c r="I12147" s="558"/>
      <c r="J12147" s="567"/>
      <c r="K12147" s="648"/>
      <c r="L12147" s="567"/>
      <c r="M12147" s="549"/>
      <c r="N12147" s="549"/>
      <c r="O12147" s="549"/>
      <c r="P12147" s="549"/>
    </row>
    <row r="12148" spans="1:17" ht="17.399999999999999">
      <c r="A12148" s="547" t="s">
        <v>272</v>
      </c>
      <c r="B12148" s="852" t="s">
        <v>1361</v>
      </c>
      <c r="C12148" s="547" t="s">
        <v>446</v>
      </c>
      <c r="D12148" s="813" t="s">
        <v>447</v>
      </c>
      <c r="E12148" s="547" t="s">
        <v>359</v>
      </c>
      <c r="F12148" s="550">
        <v>11</v>
      </c>
      <c r="G12148" s="549" t="s">
        <v>21</v>
      </c>
      <c r="H12148" s="599" t="s">
        <v>54</v>
      </c>
      <c r="I12148" s="558">
        <v>9.61</v>
      </c>
      <c r="J12148" s="567">
        <v>10.5</v>
      </c>
      <c r="K12148" s="648">
        <v>4</v>
      </c>
      <c r="L12148" s="552">
        <f>(I12148*J12148*K12148/1000)</f>
        <v>0.40361999999999998</v>
      </c>
      <c r="M12148" s="549"/>
      <c r="N12148" s="549"/>
      <c r="O12148" s="549"/>
      <c r="P12148" s="549"/>
      <c r="Q12148" s="1511" t="s">
        <v>1545</v>
      </c>
    </row>
    <row r="12149" spans="1:17" ht="17.399999999999999">
      <c r="A12149" s="549"/>
      <c r="B12149" s="549"/>
      <c r="C12149" s="549"/>
      <c r="D12149" s="549"/>
      <c r="E12149" s="549"/>
      <c r="F12149" s="549"/>
      <c r="G12149" s="549" t="s">
        <v>21</v>
      </c>
      <c r="H12149" s="549" t="s">
        <v>54</v>
      </c>
      <c r="I12149" s="558">
        <v>9.61</v>
      </c>
      <c r="J12149" s="567">
        <v>11</v>
      </c>
      <c r="K12149" s="648">
        <v>14</v>
      </c>
      <c r="L12149" s="552">
        <f>(I12149*J12149*K12149/1000)</f>
        <v>1.4799399999999998</v>
      </c>
      <c r="M12149" s="549"/>
      <c r="N12149" s="549"/>
      <c r="O12149" s="549"/>
      <c r="P12149" s="549"/>
    </row>
    <row r="12150" spans="1:17" ht="17.399999999999999">
      <c r="A12150" s="549"/>
      <c r="B12150" s="549"/>
      <c r="C12150" s="549"/>
      <c r="D12150" s="549"/>
      <c r="E12150" s="549"/>
      <c r="F12150" s="549"/>
      <c r="G12150" s="549" t="s">
        <v>21</v>
      </c>
      <c r="H12150" s="549" t="s">
        <v>54</v>
      </c>
      <c r="I12150" s="558">
        <v>9.61</v>
      </c>
      <c r="J12150" s="567">
        <v>12</v>
      </c>
      <c r="K12150" s="648">
        <v>4</v>
      </c>
      <c r="L12150" s="552">
        <f>(I12150*J12150*K12150/1000)</f>
        <v>0.46127999999999997</v>
      </c>
      <c r="M12150" s="549"/>
      <c r="N12150" s="549"/>
      <c r="O12150" s="549"/>
      <c r="P12150" s="549"/>
    </row>
    <row r="12151" spans="1:17" ht="17.399999999999999">
      <c r="A12151" s="549"/>
      <c r="B12151" s="549"/>
      <c r="C12151" s="549"/>
      <c r="D12151" s="549"/>
      <c r="E12151" s="549"/>
      <c r="F12151" s="549"/>
      <c r="G12151" s="549"/>
      <c r="H12151" s="549"/>
      <c r="I12151" s="558"/>
      <c r="J12151" s="567"/>
      <c r="K12151" s="648">
        <f>SUM(K12148:K12150)</f>
        <v>22</v>
      </c>
      <c r="L12151" s="567">
        <f>SUM(L12148:L12150)</f>
        <v>2.3448399999999996</v>
      </c>
      <c r="M12151" s="549"/>
      <c r="N12151" s="549"/>
      <c r="O12151" s="549"/>
      <c r="P12151" s="549"/>
    </row>
    <row r="12152" spans="1:17" s="1511" customFormat="1" ht="17.399999999999999">
      <c r="A12152" s="549"/>
      <c r="B12152" s="549"/>
      <c r="C12152" s="549"/>
      <c r="D12152" s="549"/>
      <c r="E12152" s="549"/>
      <c r="F12152" s="549"/>
      <c r="G12152" s="549"/>
      <c r="H12152" s="549"/>
      <c r="I12152" s="558"/>
      <c r="J12152" s="567"/>
      <c r="K12152" s="648"/>
      <c r="L12152" s="567"/>
      <c r="M12152" s="549"/>
      <c r="N12152" s="549"/>
      <c r="O12152" s="549"/>
      <c r="P12152" s="549"/>
    </row>
    <row r="12153" spans="1:17" ht="17.399999999999999">
      <c r="A12153" s="547" t="s">
        <v>83</v>
      </c>
      <c r="B12153" s="547" t="s">
        <v>1360</v>
      </c>
      <c r="C12153" s="547" t="s">
        <v>446</v>
      </c>
      <c r="D12153" s="813" t="s">
        <v>447</v>
      </c>
      <c r="E12153" s="547" t="s">
        <v>359</v>
      </c>
      <c r="F12153" s="550">
        <v>11</v>
      </c>
      <c r="G12153" s="549" t="s">
        <v>21</v>
      </c>
      <c r="H12153" s="599" t="s">
        <v>54</v>
      </c>
      <c r="I12153" s="558">
        <v>9.61</v>
      </c>
      <c r="J12153" s="567">
        <v>8.1</v>
      </c>
      <c r="K12153" s="648">
        <v>32</v>
      </c>
      <c r="L12153" s="552">
        <f t="shared" ref="L12153:L12159" si="2478">(I12153*J12153*K12153/1000)</f>
        <v>2.4909119999999998</v>
      </c>
      <c r="M12153" s="549">
        <v>7</v>
      </c>
      <c r="N12153" s="567">
        <f t="shared" ref="N12153" si="2479">J12153*M12153*I12153/1000</f>
        <v>0.5448869999999999</v>
      </c>
      <c r="O12153" s="549"/>
      <c r="P12153" s="549"/>
      <c r="Q12153" s="1511" t="s">
        <v>1545</v>
      </c>
    </row>
    <row r="12154" spans="1:17" ht="17.399999999999999">
      <c r="A12154" s="549"/>
      <c r="B12154" s="549"/>
      <c r="C12154" s="549"/>
      <c r="D12154" s="549"/>
      <c r="E12154" s="549"/>
      <c r="F12154" s="549"/>
      <c r="G12154" s="549" t="s">
        <v>21</v>
      </c>
      <c r="H12154" s="549" t="s">
        <v>54</v>
      </c>
      <c r="I12154" s="558">
        <v>9.61</v>
      </c>
      <c r="J12154" s="567">
        <v>9.5</v>
      </c>
      <c r="K12154" s="648">
        <v>27</v>
      </c>
      <c r="L12154" s="552">
        <f t="shared" si="2478"/>
        <v>2.4649649999999999</v>
      </c>
      <c r="M12154" s="549"/>
      <c r="N12154" s="549"/>
      <c r="O12154" s="549"/>
      <c r="P12154" s="549"/>
    </row>
    <row r="12155" spans="1:17" ht="17.399999999999999">
      <c r="A12155" s="549"/>
      <c r="B12155" s="549"/>
      <c r="C12155" s="549"/>
      <c r="D12155" s="549"/>
      <c r="E12155" s="549"/>
      <c r="F12155" s="549"/>
      <c r="G12155" s="549" t="s">
        <v>21</v>
      </c>
      <c r="H12155" s="549" t="s">
        <v>54</v>
      </c>
      <c r="I12155" s="558">
        <v>9.61</v>
      </c>
      <c r="J12155" s="567">
        <v>10.199999999999999</v>
      </c>
      <c r="K12155" s="648">
        <v>29</v>
      </c>
      <c r="L12155" s="552">
        <f t="shared" si="2478"/>
        <v>2.842638</v>
      </c>
      <c r="M12155" s="549"/>
      <c r="N12155" s="549"/>
      <c r="O12155" s="549"/>
      <c r="P12155" s="549"/>
    </row>
    <row r="12156" spans="1:17" ht="17.399999999999999">
      <c r="A12156" s="549"/>
      <c r="B12156" s="549"/>
      <c r="C12156" s="549"/>
      <c r="D12156" s="549"/>
      <c r="E12156" s="549"/>
      <c r="F12156" s="549"/>
      <c r="G12156" s="549" t="s">
        <v>21</v>
      </c>
      <c r="H12156" s="549" t="s">
        <v>54</v>
      </c>
      <c r="I12156" s="558">
        <v>9.61</v>
      </c>
      <c r="J12156" s="567">
        <v>10.5</v>
      </c>
      <c r="K12156" s="648">
        <v>33</v>
      </c>
      <c r="L12156" s="552">
        <f t="shared" si="2478"/>
        <v>3.3298650000000003</v>
      </c>
      <c r="M12156" s="549"/>
      <c r="N12156" s="549"/>
      <c r="O12156" s="549"/>
      <c r="P12156" s="549"/>
    </row>
    <row r="12157" spans="1:17" ht="17.399999999999999">
      <c r="A12157" s="549"/>
      <c r="B12157" s="549"/>
      <c r="C12157" s="549"/>
      <c r="D12157" s="549"/>
      <c r="E12157" s="549"/>
      <c r="F12157" s="549"/>
      <c r="G12157" s="549" t="s">
        <v>21</v>
      </c>
      <c r="H12157" s="549" t="s">
        <v>54</v>
      </c>
      <c r="I12157" s="558">
        <v>9.61</v>
      </c>
      <c r="J12157" s="567">
        <v>10.9</v>
      </c>
      <c r="K12157" s="648">
        <v>68</v>
      </c>
      <c r="L12157" s="552">
        <f t="shared" si="2478"/>
        <v>7.1229319999999996</v>
      </c>
      <c r="M12157" s="549"/>
      <c r="N12157" s="549"/>
      <c r="O12157" s="549"/>
      <c r="P12157" s="549"/>
    </row>
    <row r="12158" spans="1:17" ht="17.399999999999999">
      <c r="A12158" s="549"/>
      <c r="B12158" s="549"/>
      <c r="C12158" s="549"/>
      <c r="D12158" s="549"/>
      <c r="E12158" s="549"/>
      <c r="F12158" s="549"/>
      <c r="G12158" s="549" t="s">
        <v>21</v>
      </c>
      <c r="H12158" s="549" t="s">
        <v>54</v>
      </c>
      <c r="I12158" s="558">
        <v>9.61</v>
      </c>
      <c r="J12158" s="567">
        <v>11.6</v>
      </c>
      <c r="K12158" s="648">
        <v>16</v>
      </c>
      <c r="L12158" s="552">
        <f t="shared" si="2478"/>
        <v>1.7836159999999999</v>
      </c>
      <c r="M12158" s="549"/>
      <c r="N12158" s="549"/>
      <c r="O12158" s="549"/>
      <c r="P12158" s="549"/>
    </row>
    <row r="12159" spans="1:17" ht="17.399999999999999">
      <c r="A12159" s="549"/>
      <c r="B12159" s="549"/>
      <c r="C12159" s="549"/>
      <c r="D12159" s="549"/>
      <c r="E12159" s="549"/>
      <c r="F12159" s="549"/>
      <c r="G12159" s="549" t="s">
        <v>21</v>
      </c>
      <c r="H12159" s="549" t="s">
        <v>54</v>
      </c>
      <c r="I12159" s="558">
        <v>9.61</v>
      </c>
      <c r="J12159" s="567">
        <v>12</v>
      </c>
      <c r="K12159" s="648">
        <v>17</v>
      </c>
      <c r="L12159" s="552">
        <f t="shared" si="2478"/>
        <v>1.9604399999999997</v>
      </c>
      <c r="M12159" s="549"/>
      <c r="N12159" s="549"/>
      <c r="O12159" s="549"/>
      <c r="P12159" s="549"/>
    </row>
    <row r="12160" spans="1:17" ht="17.399999999999999">
      <c r="A12160" s="549"/>
      <c r="B12160" s="549"/>
      <c r="C12160" s="549"/>
      <c r="D12160" s="549"/>
      <c r="E12160" s="549"/>
      <c r="F12160" s="549"/>
      <c r="G12160" s="549"/>
      <c r="H12160" s="549"/>
      <c r="I12160" s="558"/>
      <c r="J12160" s="567"/>
      <c r="K12160" s="648">
        <f>SUM(K12153:K12159)</f>
        <v>222</v>
      </c>
      <c r="L12160" s="567">
        <f>SUM(L12153:L12159)</f>
        <v>21.995367999999996</v>
      </c>
      <c r="M12160" s="648">
        <f>SUM(M12153:M12159)</f>
        <v>7</v>
      </c>
      <c r="N12160" s="567">
        <f>SUM(N12153:N12159)</f>
        <v>0.5448869999999999</v>
      </c>
      <c r="O12160" s="549"/>
      <c r="P12160" s="549"/>
    </row>
    <row r="12161" spans="1:17" s="1511" customFormat="1" ht="17.399999999999999">
      <c r="A12161" s="549"/>
      <c r="B12161" s="549"/>
      <c r="C12161" s="549"/>
      <c r="D12161" s="549"/>
      <c r="E12161" s="549"/>
      <c r="F12161" s="549"/>
      <c r="G12161" s="549"/>
      <c r="H12161" s="549"/>
      <c r="I12161" s="558"/>
      <c r="J12161" s="567"/>
      <c r="K12161" s="648"/>
      <c r="L12161" s="567"/>
      <c r="M12161" s="549"/>
      <c r="N12161" s="549"/>
      <c r="O12161" s="549"/>
      <c r="P12161" s="549"/>
    </row>
    <row r="12162" spans="1:17" ht="17.399999999999999">
      <c r="A12162" s="547" t="s">
        <v>272</v>
      </c>
      <c r="B12162" s="852" t="s">
        <v>1363</v>
      </c>
      <c r="C12162" s="547" t="s">
        <v>446</v>
      </c>
      <c r="D12162" s="813" t="s">
        <v>447</v>
      </c>
      <c r="E12162" s="547" t="s">
        <v>359</v>
      </c>
      <c r="F12162" s="550">
        <v>11</v>
      </c>
      <c r="G12162" s="549" t="s">
        <v>21</v>
      </c>
      <c r="H12162" s="599" t="s">
        <v>54</v>
      </c>
      <c r="I12162" s="558">
        <v>9.61</v>
      </c>
      <c r="J12162" s="567">
        <v>8.1</v>
      </c>
      <c r="K12162" s="648">
        <v>1</v>
      </c>
      <c r="L12162" s="552">
        <f>(I12162*J12162*K12162/1000)</f>
        <v>7.7840999999999994E-2</v>
      </c>
      <c r="M12162" s="549"/>
      <c r="N12162" s="549"/>
      <c r="O12162" s="549"/>
      <c r="P12162" s="549"/>
      <c r="Q12162" s="1511" t="s">
        <v>1545</v>
      </c>
    </row>
    <row r="12163" spans="1:17" ht="17.399999999999999">
      <c r="A12163" s="549"/>
      <c r="B12163" s="549"/>
      <c r="C12163" s="549"/>
      <c r="D12163" s="549"/>
      <c r="E12163" s="549"/>
      <c r="F12163" s="549"/>
      <c r="G12163" s="549"/>
      <c r="H12163" s="549"/>
      <c r="I12163" s="558"/>
      <c r="J12163" s="567"/>
      <c r="K12163" s="648">
        <f>SUM(K12162)</f>
        <v>1</v>
      </c>
      <c r="L12163" s="567">
        <f>SUM(L12162)</f>
        <v>7.7840999999999994E-2</v>
      </c>
      <c r="M12163" s="549"/>
      <c r="N12163" s="549"/>
      <c r="O12163" s="549"/>
      <c r="P12163" s="549"/>
    </row>
    <row r="12164" spans="1:17" s="1511" customFormat="1" ht="17.399999999999999">
      <c r="A12164" s="549"/>
      <c r="B12164" s="549"/>
      <c r="C12164" s="549"/>
      <c r="D12164" s="549"/>
      <c r="E12164" s="549"/>
      <c r="F12164" s="549"/>
      <c r="G12164" s="549"/>
      <c r="H12164" s="549"/>
      <c r="I12164" s="558"/>
      <c r="J12164" s="567"/>
      <c r="K12164" s="648">
        <f>SUM(K12148:K12163)/2</f>
        <v>245</v>
      </c>
      <c r="L12164" s="567">
        <f>SUM(L12148:L12163)/2</f>
        <v>24.418048999999996</v>
      </c>
      <c r="M12164" s="648">
        <f>SUM(M12148:M12163)/2</f>
        <v>7</v>
      </c>
      <c r="N12164" s="567">
        <f>SUM(N12148:N12163)/2</f>
        <v>0.5448869999999999</v>
      </c>
      <c r="O12164" s="549"/>
      <c r="P12164" s="549" t="s">
        <v>1449</v>
      </c>
    </row>
    <row r="12165" spans="1:17" s="1511" customFormat="1" ht="17.399999999999999">
      <c r="A12165" s="549"/>
      <c r="B12165" s="549"/>
      <c r="C12165" s="549"/>
      <c r="D12165" s="549"/>
      <c r="E12165" s="549"/>
      <c r="F12165" s="549"/>
      <c r="G12165" s="549"/>
      <c r="H12165" s="549"/>
      <c r="I12165" s="558"/>
      <c r="J12165" s="567"/>
      <c r="K12165" s="648"/>
      <c r="L12165" s="567"/>
      <c r="M12165" s="549"/>
      <c r="N12165" s="549"/>
      <c r="O12165" s="549"/>
      <c r="P12165" s="549"/>
    </row>
    <row r="12166" spans="1:17" s="1511" customFormat="1" ht="17.399999999999999">
      <c r="A12166" s="549"/>
      <c r="B12166" s="549"/>
      <c r="C12166" s="549"/>
      <c r="D12166" s="549"/>
      <c r="E12166" s="549"/>
      <c r="F12166" s="549"/>
      <c r="G12166" s="549"/>
      <c r="H12166" s="549"/>
      <c r="I12166" s="558"/>
      <c r="J12166" s="567"/>
      <c r="K12166" s="648"/>
      <c r="L12166" s="567"/>
      <c r="M12166" s="549"/>
      <c r="N12166" s="549"/>
      <c r="O12166" s="549"/>
      <c r="P12166" s="549"/>
    </row>
    <row r="12167" spans="1:17" ht="17.399999999999999">
      <c r="A12167" s="547" t="s">
        <v>83</v>
      </c>
      <c r="B12167" s="547" t="s">
        <v>1360</v>
      </c>
      <c r="C12167" s="547" t="s">
        <v>446</v>
      </c>
      <c r="D12167" s="813" t="s">
        <v>450</v>
      </c>
      <c r="E12167" s="547" t="s">
        <v>270</v>
      </c>
      <c r="F12167" s="550">
        <v>8.5</v>
      </c>
      <c r="G12167" s="549" t="s">
        <v>61</v>
      </c>
      <c r="H12167" s="599" t="s">
        <v>54</v>
      </c>
      <c r="I12167" s="558">
        <v>9.61</v>
      </c>
      <c r="J12167" s="567">
        <v>9</v>
      </c>
      <c r="K12167" s="648">
        <v>6</v>
      </c>
      <c r="L12167" s="552">
        <f>(I12167*J12167*K12167/1000)</f>
        <v>0.51893999999999996</v>
      </c>
      <c r="M12167" s="549"/>
      <c r="N12167" s="549"/>
      <c r="O12167" s="549"/>
      <c r="P12167" s="549"/>
      <c r="Q12167" s="1511" t="s">
        <v>1545</v>
      </c>
    </row>
    <row r="12168" spans="1:17" ht="17.399999999999999">
      <c r="A12168" s="549"/>
      <c r="B12168" s="549"/>
      <c r="C12168" s="549"/>
      <c r="D12168" s="549"/>
      <c r="E12168" s="549"/>
      <c r="F12168" s="549"/>
      <c r="G12168" s="549"/>
      <c r="H12168" s="549"/>
      <c r="I12168" s="558"/>
      <c r="J12168" s="567"/>
      <c r="K12168" s="648">
        <f t="shared" ref="K12168:L12168" si="2480">SUM(K12167)</f>
        <v>6</v>
      </c>
      <c r="L12168" s="567">
        <f t="shared" si="2480"/>
        <v>0.51893999999999996</v>
      </c>
      <c r="M12168" s="549"/>
      <c r="N12168" s="549"/>
      <c r="O12168" s="549"/>
      <c r="P12168" s="549" t="s">
        <v>1450</v>
      </c>
    </row>
    <row r="12169" spans="1:17" s="1511" customFormat="1" ht="17.399999999999999">
      <c r="A12169" s="549"/>
      <c r="B12169" s="549"/>
      <c r="C12169" s="549"/>
      <c r="D12169" s="549"/>
      <c r="E12169" s="549"/>
      <c r="F12169" s="549"/>
      <c r="G12169" s="549"/>
      <c r="H12169" s="549"/>
      <c r="I12169" s="558"/>
      <c r="J12169" s="567"/>
      <c r="K12169" s="648"/>
      <c r="L12169" s="567"/>
      <c r="M12169" s="549"/>
      <c r="N12169" s="549"/>
      <c r="O12169" s="549"/>
      <c r="P12169" s="549"/>
    </row>
    <row r="12170" spans="1:17" s="1511" customFormat="1" ht="17.399999999999999">
      <c r="A12170" s="549"/>
      <c r="B12170" s="549"/>
      <c r="C12170" s="549"/>
      <c r="D12170" s="549"/>
      <c r="E12170" s="549"/>
      <c r="F12170" s="549"/>
      <c r="G12170" s="549"/>
      <c r="H12170" s="549"/>
      <c r="I12170" s="558"/>
      <c r="J12170" s="567"/>
      <c r="K12170" s="648"/>
      <c r="L12170" s="567"/>
      <c r="M12170" s="549"/>
      <c r="N12170" s="549"/>
      <c r="O12170" s="549"/>
      <c r="P12170" s="549"/>
    </row>
    <row r="12171" spans="1:17" s="1511" customFormat="1" ht="17.399999999999999">
      <c r="A12171" s="549"/>
      <c r="B12171" s="549"/>
      <c r="C12171" s="549"/>
      <c r="D12171" s="549"/>
      <c r="E12171" s="549"/>
      <c r="F12171" s="549"/>
      <c r="G12171" s="549"/>
      <c r="H12171" s="549"/>
      <c r="I12171" s="558"/>
      <c r="J12171" s="567"/>
      <c r="K12171" s="648"/>
      <c r="L12171" s="567"/>
      <c r="M12171" s="549"/>
      <c r="N12171" s="549"/>
      <c r="O12171" s="549"/>
      <c r="P12171" s="549"/>
    </row>
    <row r="12172" spans="1:17" ht="17.399999999999999">
      <c r="A12172" s="547" t="s">
        <v>83</v>
      </c>
      <c r="B12172" s="547" t="s">
        <v>1360</v>
      </c>
      <c r="C12172" s="547" t="s">
        <v>446</v>
      </c>
      <c r="D12172" s="813" t="s">
        <v>450</v>
      </c>
      <c r="E12172" s="547" t="s">
        <v>270</v>
      </c>
      <c r="F12172" s="550">
        <v>8.5</v>
      </c>
      <c r="G12172" s="549" t="s">
        <v>61</v>
      </c>
      <c r="H12172" s="599" t="s">
        <v>53</v>
      </c>
      <c r="I12172" s="558">
        <v>8.32</v>
      </c>
      <c r="J12172" s="567">
        <v>10</v>
      </c>
      <c r="K12172" s="648">
        <v>6</v>
      </c>
      <c r="L12172" s="552">
        <f>(I12172*J12172*K12172/1000)</f>
        <v>0.49920000000000003</v>
      </c>
      <c r="M12172" s="549"/>
      <c r="N12172" s="549"/>
      <c r="O12172" s="549"/>
      <c r="P12172" s="549"/>
      <c r="Q12172" s="1511" t="s">
        <v>1545</v>
      </c>
    </row>
    <row r="12173" spans="1:17" ht="17.399999999999999">
      <c r="A12173" s="549"/>
      <c r="B12173" s="549"/>
      <c r="C12173" s="549"/>
      <c r="D12173" s="549"/>
      <c r="E12173" s="549"/>
      <c r="F12173" s="549"/>
      <c r="G12173" s="549"/>
      <c r="H12173" s="549"/>
      <c r="I12173" s="558"/>
      <c r="J12173" s="567"/>
      <c r="K12173" s="648">
        <f t="shared" ref="K12173:L12173" si="2481">SUM(K12172)</f>
        <v>6</v>
      </c>
      <c r="L12173" s="567">
        <f t="shared" si="2481"/>
        <v>0.49920000000000003</v>
      </c>
      <c r="M12173" s="549"/>
      <c r="N12173" s="549"/>
      <c r="O12173" s="549"/>
      <c r="P12173" s="549"/>
    </row>
    <row r="12174" spans="1:17" s="1511" customFormat="1" ht="17.399999999999999">
      <c r="A12174" s="549"/>
      <c r="B12174" s="549"/>
      <c r="C12174" s="549"/>
      <c r="D12174" s="549"/>
      <c r="E12174" s="549"/>
      <c r="F12174" s="549"/>
      <c r="G12174" s="549"/>
      <c r="H12174" s="549"/>
      <c r="I12174" s="558"/>
      <c r="J12174" s="567"/>
      <c r="K12174" s="648"/>
      <c r="L12174" s="567"/>
      <c r="M12174" s="549"/>
      <c r="N12174" s="549"/>
      <c r="O12174" s="549"/>
      <c r="P12174" s="549"/>
    </row>
    <row r="12175" spans="1:17" ht="17.399999999999999">
      <c r="A12175" s="547" t="s">
        <v>272</v>
      </c>
      <c r="B12175" s="852" t="s">
        <v>1363</v>
      </c>
      <c r="C12175" s="547" t="s">
        <v>446</v>
      </c>
      <c r="D12175" s="813" t="s">
        <v>450</v>
      </c>
      <c r="E12175" s="547" t="s">
        <v>270</v>
      </c>
      <c r="F12175" s="550">
        <v>8.5</v>
      </c>
      <c r="G12175" s="549" t="s">
        <v>61</v>
      </c>
      <c r="H12175" s="599" t="s">
        <v>53</v>
      </c>
      <c r="I12175" s="558">
        <v>8.32</v>
      </c>
      <c r="J12175" s="567">
        <v>7</v>
      </c>
      <c r="K12175" s="648">
        <v>4</v>
      </c>
      <c r="L12175" s="552">
        <f t="shared" ref="L12175:L12179" si="2482">(I12175*J12175*K12175/1000)</f>
        <v>0.23296</v>
      </c>
      <c r="M12175" s="549">
        <v>3</v>
      </c>
      <c r="N12175" s="567">
        <f t="shared" ref="N12175" si="2483">J12175*M12175*I12175/1000</f>
        <v>0.17471999999999999</v>
      </c>
      <c r="O12175" s="549"/>
      <c r="P12175" s="549"/>
      <c r="Q12175" s="1511" t="s">
        <v>1545</v>
      </c>
    </row>
    <row r="12176" spans="1:17" ht="17.399999999999999">
      <c r="A12176" s="549"/>
      <c r="B12176" s="549"/>
      <c r="C12176" s="549"/>
      <c r="D12176" s="549"/>
      <c r="E12176" s="549"/>
      <c r="F12176" s="549"/>
      <c r="G12176" s="549" t="s">
        <v>61</v>
      </c>
      <c r="H12176" s="549" t="s">
        <v>53</v>
      </c>
      <c r="I12176" s="558">
        <v>8.32</v>
      </c>
      <c r="J12176" s="567">
        <v>9</v>
      </c>
      <c r="K12176" s="648">
        <v>6</v>
      </c>
      <c r="L12176" s="552">
        <f t="shared" si="2482"/>
        <v>0.44927999999999996</v>
      </c>
      <c r="M12176" s="549"/>
      <c r="N12176" s="549"/>
      <c r="O12176" s="549"/>
      <c r="P12176" s="549"/>
    </row>
    <row r="12177" spans="1:17" ht="17.399999999999999">
      <c r="A12177" s="549"/>
      <c r="B12177" s="549"/>
      <c r="C12177" s="549"/>
      <c r="D12177" s="549"/>
      <c r="E12177" s="549"/>
      <c r="F12177" s="549"/>
      <c r="G12177" s="549" t="s">
        <v>61</v>
      </c>
      <c r="H12177" s="549" t="s">
        <v>53</v>
      </c>
      <c r="I12177" s="558">
        <v>8.32</v>
      </c>
      <c r="J12177" s="567">
        <v>10</v>
      </c>
      <c r="K12177" s="648">
        <v>9</v>
      </c>
      <c r="L12177" s="552">
        <f t="shared" si="2482"/>
        <v>0.74880000000000002</v>
      </c>
      <c r="M12177" s="549"/>
      <c r="N12177" s="549"/>
      <c r="O12177" s="549"/>
      <c r="P12177" s="549"/>
    </row>
    <row r="12178" spans="1:17" ht="17.399999999999999">
      <c r="A12178" s="549"/>
      <c r="B12178" s="549"/>
      <c r="C12178" s="549"/>
      <c r="D12178" s="549"/>
      <c r="E12178" s="549"/>
      <c r="F12178" s="549"/>
      <c r="G12178" s="549" t="s">
        <v>61</v>
      </c>
      <c r="H12178" s="549" t="s">
        <v>53</v>
      </c>
      <c r="I12178" s="558">
        <v>8.32</v>
      </c>
      <c r="J12178" s="567">
        <v>10.5</v>
      </c>
      <c r="K12178" s="648">
        <v>12</v>
      </c>
      <c r="L12178" s="552">
        <f t="shared" si="2482"/>
        <v>1.0483199999999999</v>
      </c>
      <c r="M12178" s="549"/>
      <c r="N12178" s="549"/>
      <c r="O12178" s="549"/>
      <c r="P12178" s="549"/>
    </row>
    <row r="12179" spans="1:17" ht="17.399999999999999">
      <c r="A12179" s="549"/>
      <c r="B12179" s="549"/>
      <c r="C12179" s="549"/>
      <c r="D12179" s="549"/>
      <c r="E12179" s="549"/>
      <c r="F12179" s="549"/>
      <c r="G12179" s="549" t="s">
        <v>61</v>
      </c>
      <c r="H12179" s="549" t="s">
        <v>53</v>
      </c>
      <c r="I12179" s="558">
        <v>8.32</v>
      </c>
      <c r="J12179" s="567">
        <v>12</v>
      </c>
      <c r="K12179" s="648">
        <v>3</v>
      </c>
      <c r="L12179" s="552">
        <f t="shared" si="2482"/>
        <v>0.29952000000000001</v>
      </c>
      <c r="M12179" s="549"/>
      <c r="N12179" s="549"/>
      <c r="O12179" s="549"/>
      <c r="P12179" s="549"/>
    </row>
    <row r="12180" spans="1:17" ht="17.399999999999999">
      <c r="A12180" s="549"/>
      <c r="B12180" s="549"/>
      <c r="C12180" s="549"/>
      <c r="D12180" s="549"/>
      <c r="E12180" s="549"/>
      <c r="F12180" s="549"/>
      <c r="G12180" s="549"/>
      <c r="H12180" s="549"/>
      <c r="I12180" s="558"/>
      <c r="J12180" s="567"/>
      <c r="K12180" s="648">
        <f t="shared" ref="K12180:M12180" si="2484">SUM(K12175:K12179)</f>
        <v>34</v>
      </c>
      <c r="L12180" s="567">
        <f>SUM(L12175:L12179)</f>
        <v>2.77888</v>
      </c>
      <c r="M12180" s="648">
        <f t="shared" si="2484"/>
        <v>3</v>
      </c>
      <c r="N12180" s="567">
        <f>SUM(N12175:N12179)</f>
        <v>0.17471999999999999</v>
      </c>
      <c r="O12180" s="549"/>
      <c r="P12180" s="549"/>
    </row>
    <row r="12181" spans="1:17" ht="17.399999999999999">
      <c r="A12181" s="549"/>
      <c r="B12181" s="549"/>
      <c r="C12181" s="549"/>
      <c r="D12181" s="549"/>
      <c r="E12181" s="549"/>
      <c r="F12181" s="549"/>
      <c r="G12181" s="549"/>
      <c r="H12181" s="549"/>
      <c r="I12181" s="558"/>
      <c r="J12181" s="549"/>
      <c r="K12181" s="561"/>
      <c r="L12181" s="560"/>
      <c r="M12181" s="549"/>
      <c r="N12181" s="549"/>
      <c r="O12181" s="549"/>
      <c r="P12181" s="549"/>
    </row>
    <row r="12182" spans="1:17" ht="17.399999999999999">
      <c r="A12182" s="547" t="s">
        <v>272</v>
      </c>
      <c r="B12182" s="852" t="s">
        <v>1361</v>
      </c>
      <c r="C12182" s="547" t="s">
        <v>446</v>
      </c>
      <c r="D12182" s="813" t="s">
        <v>450</v>
      </c>
      <c r="E12182" s="547" t="s">
        <v>270</v>
      </c>
      <c r="F12182" s="550">
        <v>8.5</v>
      </c>
      <c r="G12182" s="549" t="s">
        <v>61</v>
      </c>
      <c r="H12182" s="599" t="s">
        <v>53</v>
      </c>
      <c r="I12182" s="558">
        <v>8.32</v>
      </c>
      <c r="J12182" s="567">
        <v>7</v>
      </c>
      <c r="K12182" s="648">
        <v>9</v>
      </c>
      <c r="L12182" s="552">
        <f t="shared" ref="L12182:L12187" si="2485">(I12182*J12182*K12182/1000)</f>
        <v>0.52415999999999996</v>
      </c>
      <c r="M12182" s="549">
        <f>5+3+1</f>
        <v>9</v>
      </c>
      <c r="N12182" s="567">
        <f t="shared" ref="N12182:N12183" si="2486">J12182*M12182*I12182/1000</f>
        <v>0.52415999999999996</v>
      </c>
      <c r="O12182" s="549"/>
      <c r="P12182" s="549"/>
      <c r="Q12182" s="1511" t="s">
        <v>1545</v>
      </c>
    </row>
    <row r="12183" spans="1:17" ht="17.399999999999999">
      <c r="A12183" s="549"/>
      <c r="B12183" s="549"/>
      <c r="C12183" s="549"/>
      <c r="D12183" s="549"/>
      <c r="E12183" s="549"/>
      <c r="F12183" s="549"/>
      <c r="G12183" s="549" t="s">
        <v>61</v>
      </c>
      <c r="H12183" s="549" t="s">
        <v>53</v>
      </c>
      <c r="I12183" s="558">
        <v>8.32</v>
      </c>
      <c r="J12183" s="567">
        <v>9</v>
      </c>
      <c r="K12183" s="648">
        <v>26</v>
      </c>
      <c r="L12183" s="552">
        <f t="shared" si="2485"/>
        <v>1.9468799999999999</v>
      </c>
      <c r="M12183" s="549">
        <v>1</v>
      </c>
      <c r="N12183" s="567">
        <f t="shared" si="2486"/>
        <v>7.4880000000000002E-2</v>
      </c>
      <c r="O12183" s="549"/>
      <c r="P12183" s="549"/>
    </row>
    <row r="12184" spans="1:17" ht="17.399999999999999">
      <c r="A12184" s="549"/>
      <c r="B12184" s="549"/>
      <c r="C12184" s="549"/>
      <c r="D12184" s="549"/>
      <c r="E12184" s="549"/>
      <c r="F12184" s="549"/>
      <c r="G12184" s="549" t="s">
        <v>61</v>
      </c>
      <c r="H12184" s="549" t="s">
        <v>53</v>
      </c>
      <c r="I12184" s="558">
        <v>8.32</v>
      </c>
      <c r="J12184" s="567">
        <v>10</v>
      </c>
      <c r="K12184" s="648">
        <v>5</v>
      </c>
      <c r="L12184" s="552">
        <f t="shared" si="2485"/>
        <v>0.41599999999999998</v>
      </c>
      <c r="M12184" s="549"/>
      <c r="N12184" s="549"/>
      <c r="O12184" s="549"/>
      <c r="P12184" s="549"/>
    </row>
    <row r="12185" spans="1:17" ht="17.399999999999999">
      <c r="A12185" s="549"/>
      <c r="B12185" s="549"/>
      <c r="C12185" s="549"/>
      <c r="D12185" s="549"/>
      <c r="E12185" s="549"/>
      <c r="F12185" s="549"/>
      <c r="G12185" s="549" t="s">
        <v>61</v>
      </c>
      <c r="H12185" s="549" t="s">
        <v>53</v>
      </c>
      <c r="I12185" s="558">
        <v>8.32</v>
      </c>
      <c r="J12185" s="567">
        <v>10.5</v>
      </c>
      <c r="K12185" s="648">
        <v>6</v>
      </c>
      <c r="L12185" s="552">
        <f t="shared" si="2485"/>
        <v>0.52415999999999996</v>
      </c>
      <c r="M12185" s="549"/>
      <c r="N12185" s="549"/>
      <c r="O12185" s="549"/>
      <c r="P12185" s="549"/>
    </row>
    <row r="12186" spans="1:17" ht="17.399999999999999">
      <c r="A12186" s="549"/>
      <c r="B12186" s="549"/>
      <c r="C12186" s="549"/>
      <c r="D12186" s="549"/>
      <c r="E12186" s="549"/>
      <c r="F12186" s="549"/>
      <c r="G12186" s="549" t="s">
        <v>61</v>
      </c>
      <c r="H12186" s="549" t="s">
        <v>53</v>
      </c>
      <c r="I12186" s="558">
        <v>8.32</v>
      </c>
      <c r="J12186" s="567">
        <v>11</v>
      </c>
      <c r="K12186" s="648">
        <v>30</v>
      </c>
      <c r="L12186" s="552">
        <f t="shared" si="2485"/>
        <v>2.7456000000000005</v>
      </c>
      <c r="M12186" s="549">
        <f>2+2</f>
        <v>4</v>
      </c>
      <c r="N12186" s="567">
        <f t="shared" ref="N12186:N12187" si="2487">J12186*M12186*I12186/1000</f>
        <v>0.36608000000000002</v>
      </c>
      <c r="O12186" s="549"/>
      <c r="P12186" s="549"/>
    </row>
    <row r="12187" spans="1:17" ht="17.399999999999999">
      <c r="A12187" s="549"/>
      <c r="B12187" s="549"/>
      <c r="C12187" s="549"/>
      <c r="D12187" s="549"/>
      <c r="E12187" s="549"/>
      <c r="F12187" s="549"/>
      <c r="G12187" s="549" t="s">
        <v>61</v>
      </c>
      <c r="H12187" s="549" t="s">
        <v>53</v>
      </c>
      <c r="I12187" s="558">
        <v>8.32</v>
      </c>
      <c r="J12187" s="567">
        <v>12</v>
      </c>
      <c r="K12187" s="648">
        <v>79</v>
      </c>
      <c r="L12187" s="552">
        <f t="shared" si="2485"/>
        <v>7.8873600000000001</v>
      </c>
      <c r="M12187" s="549">
        <f>10+7+1</f>
        <v>18</v>
      </c>
      <c r="N12187" s="567">
        <f t="shared" si="2487"/>
        <v>1.7971200000000001</v>
      </c>
      <c r="O12187" s="549"/>
      <c r="P12187" s="549"/>
    </row>
    <row r="12188" spans="1:17" ht="17.399999999999999">
      <c r="A12188" s="549"/>
      <c r="B12188" s="549"/>
      <c r="C12188" s="549"/>
      <c r="D12188" s="549"/>
      <c r="E12188" s="549"/>
      <c r="F12188" s="549"/>
      <c r="G12188" s="549"/>
      <c r="H12188" s="549"/>
      <c r="I12188" s="558"/>
      <c r="J12188" s="567"/>
      <c r="K12188" s="648">
        <f>SUM(K12182:K12187)</f>
        <v>155</v>
      </c>
      <c r="L12188" s="567">
        <f>SUM(L12182:L12187)</f>
        <v>14.044160000000002</v>
      </c>
      <c r="M12188" s="648">
        <f>SUM(M12182:M12187)</f>
        <v>32</v>
      </c>
      <c r="N12188" s="567">
        <f>SUM(N12182:N12187)</f>
        <v>2.7622400000000003</v>
      </c>
      <c r="O12188" s="549"/>
      <c r="P12188" s="549"/>
    </row>
    <row r="12189" spans="1:17" s="1511" customFormat="1" ht="17.399999999999999">
      <c r="A12189" s="549"/>
      <c r="B12189" s="549"/>
      <c r="C12189" s="549"/>
      <c r="D12189" s="549"/>
      <c r="E12189" s="549"/>
      <c r="F12189" s="549"/>
      <c r="G12189" s="549"/>
      <c r="H12189" s="549"/>
      <c r="I12189" s="558"/>
      <c r="J12189" s="567"/>
      <c r="K12189" s="648">
        <f>SUM(K12172:K12188)/2</f>
        <v>195</v>
      </c>
      <c r="L12189" s="567">
        <f>SUM(L12172:L12188)/2</f>
        <v>17.322240000000001</v>
      </c>
      <c r="M12189" s="648">
        <f>SUM(M12172:M12188)/2</f>
        <v>35</v>
      </c>
      <c r="N12189" s="567">
        <f>SUM(N12172:N12188)/2</f>
        <v>2.93696</v>
      </c>
      <c r="O12189" s="549"/>
      <c r="P12189" s="549" t="s">
        <v>1451</v>
      </c>
    </row>
    <row r="12190" spans="1:17" s="1511" customFormat="1" ht="17.399999999999999">
      <c r="A12190" s="549"/>
      <c r="B12190" s="549"/>
      <c r="C12190" s="549"/>
      <c r="D12190" s="549"/>
      <c r="E12190" s="549"/>
      <c r="F12190" s="549"/>
      <c r="G12190" s="549"/>
      <c r="H12190" s="549"/>
      <c r="I12190" s="558"/>
      <c r="J12190" s="567"/>
      <c r="K12190" s="648"/>
      <c r="L12190" s="567"/>
      <c r="M12190" s="549"/>
      <c r="N12190" s="549"/>
      <c r="O12190" s="549"/>
      <c r="P12190" s="549"/>
    </row>
    <row r="12191" spans="1:17" ht="17.399999999999999">
      <c r="A12191" s="549"/>
      <c r="B12191" s="549"/>
      <c r="C12191" s="549"/>
      <c r="D12191" s="549"/>
      <c r="E12191" s="549"/>
      <c r="F12191" s="549"/>
      <c r="G12191" s="549"/>
      <c r="H12191" s="549"/>
      <c r="I12191" s="558"/>
      <c r="J12191" s="549"/>
      <c r="K12191" s="561"/>
      <c r="L12191" s="560"/>
      <c r="M12191" s="549"/>
      <c r="N12191" s="549"/>
      <c r="O12191" s="549"/>
      <c r="P12191" s="549"/>
    </row>
    <row r="12192" spans="1:17" s="1511" customFormat="1" ht="17.399999999999999">
      <c r="A12192" s="549"/>
      <c r="B12192" s="549"/>
      <c r="C12192" s="549"/>
      <c r="D12192" s="549"/>
      <c r="E12192" s="549"/>
      <c r="F12192" s="549"/>
      <c r="G12192" s="549"/>
      <c r="H12192" s="549"/>
      <c r="I12192" s="558"/>
      <c r="J12192" s="567"/>
      <c r="K12192" s="648"/>
      <c r="L12192" s="567"/>
      <c r="M12192" s="549"/>
      <c r="N12192" s="549"/>
      <c r="O12192" s="549"/>
      <c r="P12192" s="549"/>
    </row>
    <row r="12193" spans="1:17" ht="17.399999999999999">
      <c r="A12193" s="547" t="s">
        <v>272</v>
      </c>
      <c r="B12193" s="547" t="s">
        <v>1361</v>
      </c>
      <c r="C12193" s="547" t="s">
        <v>446</v>
      </c>
      <c r="D12193" s="813" t="s">
        <v>447</v>
      </c>
      <c r="E12193" s="547" t="s">
        <v>359</v>
      </c>
      <c r="F12193" s="550">
        <v>11</v>
      </c>
      <c r="G12193" s="549" t="s">
        <v>21</v>
      </c>
      <c r="H12193" s="599" t="s">
        <v>366</v>
      </c>
      <c r="I12193" s="558">
        <v>10.92</v>
      </c>
      <c r="J12193" s="567">
        <v>6</v>
      </c>
      <c r="K12193" s="648">
        <v>1</v>
      </c>
      <c r="L12193" s="552">
        <f>(I12193*J12193*K12193/1000)</f>
        <v>6.5519999999999995E-2</v>
      </c>
      <c r="M12193" s="549">
        <v>1</v>
      </c>
      <c r="N12193" s="567">
        <f t="shared" ref="N12193:N12194" si="2488">J12193*M12193*I12193/1000</f>
        <v>6.5519999999999995E-2</v>
      </c>
      <c r="O12193" s="549"/>
      <c r="P12193" s="549"/>
      <c r="Q12193" s="1511" t="s">
        <v>1503</v>
      </c>
    </row>
    <row r="12194" spans="1:17" ht="17.399999999999999">
      <c r="A12194" s="549"/>
      <c r="B12194" s="549"/>
      <c r="C12194" s="549"/>
      <c r="D12194" s="549"/>
      <c r="E12194" s="549"/>
      <c r="F12194" s="549"/>
      <c r="G12194" s="549" t="s">
        <v>21</v>
      </c>
      <c r="H12194" s="549" t="s">
        <v>366</v>
      </c>
      <c r="I12194" s="558">
        <v>10.92</v>
      </c>
      <c r="J12194" s="567">
        <v>12</v>
      </c>
      <c r="K12194" s="648">
        <v>2</v>
      </c>
      <c r="L12194" s="552">
        <f>(I12194*J12194*K12194/1000)</f>
        <v>0.26207999999999998</v>
      </c>
      <c r="M12194" s="549">
        <v>2</v>
      </c>
      <c r="N12194" s="567">
        <f t="shared" si="2488"/>
        <v>0.26207999999999998</v>
      </c>
      <c r="O12194" s="549"/>
      <c r="P12194" s="549"/>
    </row>
    <row r="12195" spans="1:17" ht="17.399999999999999">
      <c r="A12195" s="549"/>
      <c r="B12195" s="549"/>
      <c r="C12195" s="549"/>
      <c r="D12195" s="549"/>
      <c r="E12195" s="549"/>
      <c r="F12195" s="549"/>
      <c r="G12195" s="549"/>
      <c r="H12195" s="549"/>
      <c r="I12195" s="558"/>
      <c r="J12195" s="567"/>
      <c r="K12195" s="648">
        <f t="shared" ref="K12195:M12195" si="2489">SUM(K12193:K12194)</f>
        <v>3</v>
      </c>
      <c r="L12195" s="567">
        <f>SUM(L12193:L12194)</f>
        <v>0.3276</v>
      </c>
      <c r="M12195" s="766">
        <f t="shared" si="2489"/>
        <v>3</v>
      </c>
      <c r="N12195" s="765">
        <f t="shared" ref="N12195" si="2490">SUM(N12193:N12194)</f>
        <v>0.3276</v>
      </c>
      <c r="O12195" s="549"/>
      <c r="P12195" s="549"/>
    </row>
    <row r="12196" spans="1:17" s="1511" customFormat="1" ht="17.399999999999999">
      <c r="A12196" s="549"/>
      <c r="B12196" s="549"/>
      <c r="C12196" s="549"/>
      <c r="D12196" s="549"/>
      <c r="E12196" s="549"/>
      <c r="F12196" s="549"/>
      <c r="G12196" s="549"/>
      <c r="H12196" s="549"/>
      <c r="I12196" s="558"/>
      <c r="J12196" s="567"/>
      <c r="K12196" s="648"/>
      <c r="L12196" s="567"/>
      <c r="M12196" s="550"/>
      <c r="N12196" s="550"/>
      <c r="O12196" s="549"/>
      <c r="P12196" s="549"/>
    </row>
    <row r="12197" spans="1:17" s="1511" customFormat="1" ht="17.399999999999999">
      <c r="A12197" s="549"/>
      <c r="B12197" s="549"/>
      <c r="C12197" s="549"/>
      <c r="D12197" s="549"/>
      <c r="E12197" s="549"/>
      <c r="F12197" s="549"/>
      <c r="G12197" s="549"/>
      <c r="H12197" s="549"/>
      <c r="I12197" s="558"/>
      <c r="J12197" s="567"/>
      <c r="K12197" s="648"/>
      <c r="L12197" s="567"/>
      <c r="M12197" s="549"/>
      <c r="N12197" s="549"/>
      <c r="O12197" s="549"/>
      <c r="P12197" s="549"/>
    </row>
    <row r="12198" spans="1:17" ht="17.399999999999999">
      <c r="A12198" s="547" t="s">
        <v>83</v>
      </c>
      <c r="B12198" s="547" t="s">
        <v>1360</v>
      </c>
      <c r="C12198" s="547" t="s">
        <v>446</v>
      </c>
      <c r="D12198" s="813" t="s">
        <v>450</v>
      </c>
      <c r="E12198" s="547" t="s">
        <v>270</v>
      </c>
      <c r="F12198" s="550">
        <v>11</v>
      </c>
      <c r="G12198" s="549" t="s">
        <v>61</v>
      </c>
      <c r="H12198" s="599" t="s">
        <v>91</v>
      </c>
      <c r="I12198" s="558">
        <v>6.97</v>
      </c>
      <c r="J12198" s="567">
        <v>11</v>
      </c>
      <c r="K12198" s="648">
        <v>6</v>
      </c>
      <c r="L12198" s="552">
        <f>(I12198*J12198*K12198/1000)</f>
        <v>0.46001999999999998</v>
      </c>
      <c r="M12198" s="549">
        <v>6</v>
      </c>
      <c r="N12198" s="567">
        <f t="shared" ref="N12198" si="2491">J12198*M12198*I12198/1000</f>
        <v>0.46001999999999998</v>
      </c>
      <c r="O12198" s="549"/>
      <c r="P12198" s="549"/>
      <c r="Q12198" s="1511" t="s">
        <v>1503</v>
      </c>
    </row>
    <row r="12199" spans="1:17" ht="17.399999999999999">
      <c r="A12199" s="549"/>
      <c r="B12199" s="549"/>
      <c r="C12199" s="549"/>
      <c r="D12199" s="549"/>
      <c r="E12199" s="549"/>
      <c r="F12199" s="549"/>
      <c r="G12199" s="549"/>
      <c r="H12199" s="549"/>
      <c r="I12199" s="558"/>
      <c r="J12199" s="567"/>
      <c r="K12199" s="648">
        <f t="shared" ref="K12199:N12199" si="2492">SUM(K12198)</f>
        <v>6</v>
      </c>
      <c r="L12199" s="567">
        <f t="shared" si="2492"/>
        <v>0.46001999999999998</v>
      </c>
      <c r="M12199" s="648">
        <f t="shared" si="2492"/>
        <v>6</v>
      </c>
      <c r="N12199" s="567">
        <f t="shared" si="2492"/>
        <v>0.46001999999999998</v>
      </c>
      <c r="O12199" s="549"/>
      <c r="P12199" s="549"/>
    </row>
    <row r="12200" spans="1:17" s="1511" customFormat="1" ht="17.399999999999999">
      <c r="A12200" s="549"/>
      <c r="B12200" s="549"/>
      <c r="C12200" s="549"/>
      <c r="D12200" s="549"/>
      <c r="E12200" s="549"/>
      <c r="F12200" s="549"/>
      <c r="G12200" s="549"/>
      <c r="H12200" s="549"/>
      <c r="I12200" s="558"/>
      <c r="J12200" s="567"/>
      <c r="K12200" s="648"/>
      <c r="L12200" s="567"/>
      <c r="M12200" s="549"/>
      <c r="N12200" s="549"/>
      <c r="O12200" s="549"/>
      <c r="P12200" s="549"/>
    </row>
    <row r="12201" spans="1:17" s="1511" customFormat="1" ht="17.399999999999999">
      <c r="A12201" s="549"/>
      <c r="B12201" s="832"/>
      <c r="C12201" s="549"/>
      <c r="D12201" s="549"/>
      <c r="E12201" s="549"/>
      <c r="F12201" s="549"/>
      <c r="G12201" s="549"/>
      <c r="H12201" s="549"/>
      <c r="I12201" s="558"/>
      <c r="J12201" s="567"/>
      <c r="K12201" s="648">
        <f>SUM(K12198:K12200)/2</f>
        <v>6</v>
      </c>
      <c r="L12201" s="567">
        <f>SUM(L12198:L12200)/2</f>
        <v>0.46001999999999998</v>
      </c>
      <c r="M12201" s="766">
        <f>SUM(M12198:M12200)/2</f>
        <v>6</v>
      </c>
      <c r="N12201" s="765">
        <f>SUM(N12198:N12200)/2</f>
        <v>0.46001999999999998</v>
      </c>
      <c r="O12201" s="549"/>
      <c r="P12201" s="549"/>
    </row>
    <row r="12202" spans="1:17" s="1511" customFormat="1" ht="17.399999999999999">
      <c r="A12202" s="549"/>
      <c r="B12202" s="832"/>
      <c r="C12202" s="549"/>
      <c r="D12202" s="549"/>
      <c r="E12202" s="549"/>
      <c r="F12202" s="549"/>
      <c r="G12202" s="549"/>
      <c r="H12202" s="549"/>
      <c r="I12202" s="558"/>
      <c r="J12202" s="567"/>
      <c r="K12202" s="648"/>
      <c r="L12202" s="567"/>
      <c r="M12202" s="549"/>
      <c r="N12202" s="549"/>
      <c r="O12202" s="549"/>
      <c r="P12202" s="549"/>
    </row>
    <row r="12203" spans="1:17" s="1511" customFormat="1" ht="17.399999999999999">
      <c r="A12203" s="549"/>
      <c r="B12203" s="832"/>
      <c r="C12203" s="549"/>
      <c r="D12203" s="549"/>
      <c r="E12203" s="549"/>
      <c r="F12203" s="549"/>
      <c r="G12203" s="549"/>
      <c r="H12203" s="549"/>
      <c r="I12203" s="558"/>
      <c r="J12203" s="567"/>
      <c r="K12203" s="648"/>
      <c r="L12203" s="567"/>
      <c r="M12203" s="549"/>
      <c r="N12203" s="549"/>
      <c r="O12203" s="549"/>
      <c r="P12203" s="549"/>
    </row>
    <row r="12204" spans="1:17" ht="17.399999999999999">
      <c r="A12204" s="549"/>
      <c r="B12204" s="549"/>
      <c r="C12204" s="549"/>
      <c r="D12204" s="549"/>
      <c r="E12204" s="549"/>
      <c r="F12204" s="549"/>
      <c r="G12204" s="549"/>
      <c r="H12204" s="549"/>
      <c r="I12204" s="560"/>
      <c r="J12204" s="549"/>
      <c r="K12204" s="561"/>
      <c r="L12204" s="565">
        <f>+L12201+L12195+L12168+L12189+L12072+L12065+L12079+L12092+L12100+L12115+L12145+L12164</f>
        <v>341.61012600000004</v>
      </c>
      <c r="M12204" s="549"/>
      <c r="N12204" s="565">
        <f>+N12201+N12195+N12168+N12189+N12072+N12065+N12079+N12092+N12100+N12115+N12145+N12164</f>
        <v>13.729737999999999</v>
      </c>
      <c r="O12204" s="549"/>
      <c r="P12204" s="549"/>
    </row>
    <row r="12205" spans="1:17" ht="18">
      <c r="A12205" s="653" t="s">
        <v>48</v>
      </c>
      <c r="B12205" s="653"/>
      <c r="C12205" s="654"/>
      <c r="D12205" s="654"/>
      <c r="E12205" s="654"/>
      <c r="F12205" s="1569"/>
      <c r="G12205" s="654"/>
      <c r="H12205" s="1569"/>
      <c r="I12205" s="656"/>
      <c r="J12205" s="654"/>
      <c r="K12205" s="657"/>
      <c r="L12205" s="2003" t="s">
        <v>0</v>
      </c>
      <c r="M12205" s="2003"/>
      <c r="N12205" s="2003"/>
      <c r="O12205" s="2004"/>
      <c r="P12205" s="1097"/>
    </row>
    <row r="12206" spans="1:17" ht="18">
      <c r="A12206" s="658" t="s">
        <v>1</v>
      </c>
      <c r="B12206" s="658"/>
      <c r="C12206" s="658"/>
      <c r="D12206" s="659" t="s">
        <v>2</v>
      </c>
      <c r="E12206" s="659"/>
      <c r="F12206" s="660"/>
      <c r="G12206" s="660"/>
      <c r="H12206" s="660"/>
      <c r="I12206" s="661"/>
      <c r="J12206" s="660"/>
      <c r="K12206" s="662" t="s">
        <v>3</v>
      </c>
      <c r="L12206" s="660"/>
      <c r="M12206" s="658"/>
      <c r="N12206" s="660"/>
      <c r="O12206" s="663"/>
      <c r="P12206" s="1098"/>
    </row>
    <row r="12207" spans="1:17" ht="18">
      <c r="A12207" s="1569" t="s">
        <v>22</v>
      </c>
      <c r="B12207" s="1990" t="s">
        <v>23</v>
      </c>
      <c r="C12207" s="2005"/>
      <c r="D12207" s="1989"/>
      <c r="E12207" s="1569" t="s">
        <v>24</v>
      </c>
      <c r="F12207" s="1990" t="s">
        <v>25</v>
      </c>
      <c r="G12207" s="1989"/>
      <c r="H12207" s="1990" t="s">
        <v>26</v>
      </c>
      <c r="I12207" s="2005"/>
      <c r="J12207" s="2005"/>
      <c r="K12207" s="1989"/>
      <c r="L12207" s="2006" t="s">
        <v>27</v>
      </c>
      <c r="M12207" s="2006"/>
      <c r="N12207" s="2006"/>
      <c r="O12207" s="1990"/>
      <c r="P12207" s="1098"/>
    </row>
    <row r="12208" spans="1:17" ht="18">
      <c r="A12208" s="664"/>
      <c r="B12208" s="1975"/>
      <c r="C12208" s="1976"/>
      <c r="D12208" s="1977"/>
      <c r="E12208" s="665"/>
      <c r="F12208" s="1975"/>
      <c r="G12208" s="1977"/>
      <c r="H12208" s="1975"/>
      <c r="I12208" s="1976"/>
      <c r="J12208" s="1976"/>
      <c r="K12208" s="1977"/>
      <c r="L12208" s="1975"/>
      <c r="M12208" s="1976"/>
      <c r="N12208" s="1976"/>
      <c r="O12208" s="1976"/>
      <c r="P12208" s="1098"/>
    </row>
    <row r="12209" spans="1:16" s="1511" customFormat="1" ht="18">
      <c r="A12209" s="664"/>
      <c r="B12209" s="1599"/>
      <c r="C12209" s="1600"/>
      <c r="D12209" s="1601"/>
      <c r="E12209" s="665"/>
      <c r="F12209" s="1599"/>
      <c r="G12209" s="1601"/>
      <c r="H12209" s="1599"/>
      <c r="I12209" s="1842"/>
      <c r="J12209" s="1600"/>
      <c r="K12209" s="1601"/>
      <c r="L12209" s="1600"/>
      <c r="M12209" s="1600"/>
      <c r="N12209" s="1600"/>
      <c r="O12209" s="1600"/>
      <c r="P12209" s="1098"/>
    </row>
    <row r="12210" spans="1:16" s="1511" customFormat="1" ht="18">
      <c r="A12210" s="664" t="s">
        <v>28</v>
      </c>
      <c r="B12210" s="1975" t="s">
        <v>280</v>
      </c>
      <c r="C12210" s="1976"/>
      <c r="D12210" s="1977"/>
      <c r="E12210" s="665">
        <f>+L12065</f>
        <v>32.836460000000002</v>
      </c>
      <c r="F12210" s="1973">
        <v>11</v>
      </c>
      <c r="G12210" s="1974"/>
      <c r="H12210" s="1975" t="s">
        <v>155</v>
      </c>
      <c r="I12210" s="1976"/>
      <c r="J12210" s="1976"/>
      <c r="K12210" s="1977"/>
      <c r="L12210" s="1976" t="s">
        <v>1138</v>
      </c>
      <c r="M12210" s="1976"/>
      <c r="N12210" s="1976"/>
      <c r="O12210" s="1976"/>
      <c r="P12210" s="1098"/>
    </row>
    <row r="12211" spans="1:16" s="1511" customFormat="1" ht="18">
      <c r="A12211" s="664" t="s">
        <v>29</v>
      </c>
      <c r="B12211" s="1975" t="s">
        <v>279</v>
      </c>
      <c r="C12211" s="1976"/>
      <c r="D12211" s="1977"/>
      <c r="E12211" s="665">
        <f>+L12072</f>
        <v>27.599920000000001</v>
      </c>
      <c r="F12211" s="1973">
        <v>11</v>
      </c>
      <c r="G12211" s="1974"/>
      <c r="H12211" s="1975" t="s">
        <v>155</v>
      </c>
      <c r="I12211" s="1976"/>
      <c r="J12211" s="1976"/>
      <c r="K12211" s="1977"/>
      <c r="L12211" s="1976" t="s">
        <v>1138</v>
      </c>
      <c r="M12211" s="1976"/>
      <c r="N12211" s="1976"/>
      <c r="O12211" s="1976"/>
      <c r="P12211" s="1098"/>
    </row>
    <row r="12212" spans="1:16" s="1511" customFormat="1" ht="18">
      <c r="A12212" s="664"/>
      <c r="B12212" s="1599"/>
      <c r="C12212" s="1600"/>
      <c r="D12212" s="1601"/>
      <c r="E12212" s="665"/>
      <c r="F12212" s="1602"/>
      <c r="G12212" s="1603"/>
      <c r="H12212" s="1600"/>
      <c r="I12212" s="1842"/>
      <c r="J12212" s="1600"/>
      <c r="K12212" s="1600"/>
      <c r="L12212" s="1600"/>
      <c r="M12212" s="1600"/>
      <c r="N12212" s="1600"/>
      <c r="O12212" s="1600"/>
      <c r="P12212" s="1098"/>
    </row>
    <row r="12213" spans="1:16" s="1511" customFormat="1" ht="18">
      <c r="A12213" s="664"/>
      <c r="B12213" s="1599"/>
      <c r="C12213" s="1600"/>
      <c r="D12213" s="1601"/>
      <c r="E12213" s="665"/>
      <c r="F12213" s="1602"/>
      <c r="G12213" s="1603"/>
      <c r="H12213" s="1600"/>
      <c r="I12213" s="1842"/>
      <c r="J12213" s="1600"/>
      <c r="K12213" s="1600"/>
      <c r="L12213" s="1600"/>
      <c r="M12213" s="1600"/>
      <c r="N12213" s="1600"/>
      <c r="O12213" s="1600"/>
      <c r="P12213" s="1098"/>
    </row>
    <row r="12214" spans="1:16" s="1511" customFormat="1" ht="18">
      <c r="A12214" s="664" t="s">
        <v>30</v>
      </c>
      <c r="B12214" s="1975" t="s">
        <v>56</v>
      </c>
      <c r="C12214" s="1976"/>
      <c r="D12214" s="1977"/>
      <c r="E12214" s="665">
        <f>+L12079</f>
        <v>22.602719999999998</v>
      </c>
      <c r="F12214" s="1973">
        <v>11</v>
      </c>
      <c r="G12214" s="1974"/>
      <c r="H12214" s="1975" t="s">
        <v>49</v>
      </c>
      <c r="I12214" s="1976"/>
      <c r="J12214" s="1976"/>
      <c r="K12214" s="1977"/>
      <c r="L12214" s="1976" t="s">
        <v>1046</v>
      </c>
      <c r="M12214" s="1976"/>
      <c r="N12214" s="1976"/>
      <c r="O12214" s="1976"/>
      <c r="P12214" s="1098"/>
    </row>
    <row r="12215" spans="1:16" s="1511" customFormat="1" ht="18">
      <c r="A12215" s="664" t="s">
        <v>46</v>
      </c>
      <c r="B12215" s="1975" t="s">
        <v>55</v>
      </c>
      <c r="C12215" s="1976"/>
      <c r="D12215" s="1977"/>
      <c r="E12215" s="665">
        <f>+L12092-2.558</f>
        <v>39.888719999999999</v>
      </c>
      <c r="F12215" s="1973">
        <v>11</v>
      </c>
      <c r="G12215" s="1974"/>
      <c r="H12215" s="1975" t="s">
        <v>49</v>
      </c>
      <c r="I12215" s="1976"/>
      <c r="J12215" s="1976"/>
      <c r="K12215" s="1977"/>
      <c r="L12215" s="1976" t="s">
        <v>1046</v>
      </c>
      <c r="M12215" s="1976"/>
      <c r="N12215" s="1976"/>
      <c r="O12215" s="1976"/>
      <c r="P12215" s="1098"/>
    </row>
    <row r="12216" spans="1:16" s="1511" customFormat="1" ht="18">
      <c r="A12216" s="664" t="s">
        <v>58</v>
      </c>
      <c r="B12216" s="1975" t="s">
        <v>79</v>
      </c>
      <c r="C12216" s="1976"/>
      <c r="D12216" s="1977"/>
      <c r="E12216" s="665">
        <f>+L12100-1.115</f>
        <v>13.59867</v>
      </c>
      <c r="F12216" s="1973">
        <v>11</v>
      </c>
      <c r="G12216" s="1974"/>
      <c r="H12216" s="1975" t="s">
        <v>49</v>
      </c>
      <c r="I12216" s="1976"/>
      <c r="J12216" s="1976"/>
      <c r="K12216" s="1977"/>
      <c r="L12216" s="1976" t="s">
        <v>1046</v>
      </c>
      <c r="M12216" s="1976"/>
      <c r="N12216" s="1976"/>
      <c r="O12216" s="1976"/>
      <c r="P12216" s="1098"/>
    </row>
    <row r="12217" spans="1:16" s="1511" customFormat="1" ht="18">
      <c r="A12217" s="664"/>
      <c r="B12217" s="1599"/>
      <c r="C12217" s="1600"/>
      <c r="D12217" s="1601"/>
      <c r="E12217" s="665"/>
      <c r="F12217" s="1599"/>
      <c r="G12217" s="1601"/>
      <c r="H12217" s="1599"/>
      <c r="I12217" s="1842"/>
      <c r="J12217" s="1600"/>
      <c r="K12217" s="1601"/>
      <c r="L12217" s="1600"/>
      <c r="M12217" s="1600"/>
      <c r="N12217" s="1600"/>
      <c r="O12217" s="1600"/>
      <c r="P12217" s="1098"/>
    </row>
    <row r="12218" spans="1:16" s="1511" customFormat="1" ht="18">
      <c r="A12218" s="664"/>
      <c r="B12218" s="1599"/>
      <c r="C12218" s="1600"/>
      <c r="D12218" s="1601"/>
      <c r="E12218" s="665"/>
      <c r="F12218" s="1599"/>
      <c r="G12218" s="1601"/>
      <c r="H12218" s="1599"/>
      <c r="I12218" s="1842"/>
      <c r="J12218" s="1600"/>
      <c r="K12218" s="1601"/>
      <c r="L12218" s="1600"/>
      <c r="M12218" s="1600"/>
      <c r="N12218" s="1600"/>
      <c r="O12218" s="1600"/>
      <c r="P12218" s="1098"/>
    </row>
    <row r="12219" spans="1:16" ht="18">
      <c r="A12219" s="664" t="s">
        <v>163</v>
      </c>
      <c r="B12219" s="1975" t="s">
        <v>79</v>
      </c>
      <c r="C12219" s="1976"/>
      <c r="D12219" s="1977"/>
      <c r="E12219" s="665">
        <f>+L12115-1.945</f>
        <v>41.772931000000007</v>
      </c>
      <c r="F12219" s="1973">
        <v>11</v>
      </c>
      <c r="G12219" s="1974"/>
      <c r="H12219" s="1975" t="s">
        <v>447</v>
      </c>
      <c r="I12219" s="1976"/>
      <c r="J12219" s="1976"/>
      <c r="K12219" s="1977"/>
      <c r="L12219" s="1976" t="s">
        <v>1046</v>
      </c>
      <c r="M12219" s="1976"/>
      <c r="N12219" s="1976"/>
      <c r="O12219" s="1976"/>
      <c r="P12219" s="1098"/>
    </row>
    <row r="12220" spans="1:16" ht="18">
      <c r="A12220" s="664" t="s">
        <v>302</v>
      </c>
      <c r="B12220" s="1975" t="s">
        <v>55</v>
      </c>
      <c r="C12220" s="1976"/>
      <c r="D12220" s="1977"/>
      <c r="E12220" s="665">
        <f>+L12145-4.465</f>
        <v>110.18085600000002</v>
      </c>
      <c r="F12220" s="1973">
        <v>11</v>
      </c>
      <c r="G12220" s="1974"/>
      <c r="H12220" s="1975" t="s">
        <v>447</v>
      </c>
      <c r="I12220" s="1976"/>
      <c r="J12220" s="1976"/>
      <c r="K12220" s="1977"/>
      <c r="L12220" s="1976" t="s">
        <v>1046</v>
      </c>
      <c r="M12220" s="1976"/>
      <c r="N12220" s="1976"/>
      <c r="O12220" s="1976"/>
      <c r="P12220" s="1098"/>
    </row>
    <row r="12221" spans="1:16" ht="18">
      <c r="A12221" s="664" t="s">
        <v>380</v>
      </c>
      <c r="B12221" s="1975" t="s">
        <v>56</v>
      </c>
      <c r="C12221" s="1976"/>
      <c r="D12221" s="1977"/>
      <c r="E12221" s="665">
        <f>+L12164-0.545</f>
        <v>23.873048999999995</v>
      </c>
      <c r="F12221" s="1973">
        <v>11</v>
      </c>
      <c r="G12221" s="1974"/>
      <c r="H12221" s="1975" t="s">
        <v>447</v>
      </c>
      <c r="I12221" s="1976"/>
      <c r="J12221" s="1976"/>
      <c r="K12221" s="1977"/>
      <c r="L12221" s="1976" t="s">
        <v>1046</v>
      </c>
      <c r="M12221" s="1976"/>
      <c r="N12221" s="1976"/>
      <c r="O12221" s="1976"/>
      <c r="P12221" s="1098"/>
    </row>
    <row r="12222" spans="1:16" ht="18">
      <c r="A12222" s="664"/>
      <c r="B12222" s="1975"/>
      <c r="C12222" s="1976"/>
      <c r="D12222" s="1977"/>
      <c r="E12222" s="665"/>
      <c r="F12222" s="1973"/>
      <c r="G12222" s="1974"/>
      <c r="H12222" s="1975"/>
      <c r="I12222" s="1976"/>
      <c r="J12222" s="1976"/>
      <c r="K12222" s="1977"/>
      <c r="L12222" s="1976"/>
      <c r="M12222" s="1976"/>
      <c r="N12222" s="1976"/>
      <c r="O12222" s="1976"/>
      <c r="P12222" s="1098"/>
    </row>
    <row r="12223" spans="1:16" ht="18">
      <c r="A12223" s="664"/>
      <c r="B12223" s="1561"/>
      <c r="C12223" s="1560"/>
      <c r="D12223" s="1562"/>
      <c r="E12223" s="665"/>
      <c r="F12223" s="1563"/>
      <c r="G12223" s="1564"/>
      <c r="H12223" s="1560"/>
      <c r="I12223" s="1842"/>
      <c r="J12223" s="1560"/>
      <c r="K12223" s="1560"/>
      <c r="L12223" s="1560"/>
      <c r="M12223" s="1560"/>
      <c r="N12223" s="1560"/>
      <c r="O12223" s="1560"/>
      <c r="P12223" s="1098"/>
    </row>
    <row r="12224" spans="1:16" ht="18">
      <c r="A12224" s="664" t="s">
        <v>434</v>
      </c>
      <c r="B12224" s="1975" t="s">
        <v>279</v>
      </c>
      <c r="C12224" s="1976"/>
      <c r="D12224" s="1977"/>
      <c r="E12224" s="665">
        <v>3</v>
      </c>
      <c r="F12224" s="1973">
        <v>8.5</v>
      </c>
      <c r="G12224" s="1974"/>
      <c r="H12224" s="1975" t="s">
        <v>450</v>
      </c>
      <c r="I12224" s="1976"/>
      <c r="J12224" s="1976"/>
      <c r="K12224" s="1977"/>
      <c r="L12224" s="1976" t="s">
        <v>1138</v>
      </c>
      <c r="M12224" s="1976"/>
      <c r="N12224" s="1976"/>
      <c r="O12224" s="1976"/>
      <c r="P12224" s="1098"/>
    </row>
    <row r="12225" spans="1:16" ht="18">
      <c r="A12225" s="664" t="s">
        <v>474</v>
      </c>
      <c r="B12225" s="1975" t="s">
        <v>280</v>
      </c>
      <c r="C12225" s="1976"/>
      <c r="D12225" s="1977"/>
      <c r="E12225" s="665">
        <f>+L12189-2.937</f>
        <v>14.385240000000001</v>
      </c>
      <c r="F12225" s="1973">
        <v>8.5</v>
      </c>
      <c r="G12225" s="1974"/>
      <c r="H12225" s="1975" t="s">
        <v>450</v>
      </c>
      <c r="I12225" s="1976"/>
      <c r="J12225" s="1976"/>
      <c r="K12225" s="1977"/>
      <c r="L12225" s="1976" t="s">
        <v>1138</v>
      </c>
      <c r="M12225" s="1976"/>
      <c r="N12225" s="1976"/>
      <c r="O12225" s="1976"/>
      <c r="P12225" s="1098"/>
    </row>
    <row r="12226" spans="1:16" ht="18">
      <c r="A12226" s="664"/>
      <c r="B12226" s="1975"/>
      <c r="C12226" s="1976"/>
      <c r="D12226" s="1977"/>
      <c r="E12226" s="665"/>
      <c r="F12226" s="1973"/>
      <c r="G12226" s="1974"/>
      <c r="H12226" s="1975"/>
      <c r="I12226" s="1976"/>
      <c r="J12226" s="1976"/>
      <c r="K12226" s="1977"/>
      <c r="L12226" s="1976"/>
      <c r="M12226" s="1976"/>
      <c r="N12226" s="1976"/>
      <c r="O12226" s="1976"/>
      <c r="P12226" s="1098"/>
    </row>
    <row r="12227" spans="1:16" ht="18.600000000000001" thickBot="1">
      <c r="A12227" s="664"/>
      <c r="B12227" s="1561"/>
      <c r="C12227" s="1560"/>
      <c r="D12227" s="1560"/>
      <c r="E12227" s="665"/>
      <c r="F12227" s="1560"/>
      <c r="G12227" s="1562"/>
      <c r="H12227" s="1561"/>
      <c r="I12227" s="1842"/>
      <c r="J12227" s="1560"/>
      <c r="K12227" s="669"/>
      <c r="L12227" s="672"/>
      <c r="M12227" s="673"/>
      <c r="N12227" s="673"/>
      <c r="O12227" s="673"/>
      <c r="P12227" s="1098"/>
    </row>
    <row r="12228" spans="1:16" ht="18">
      <c r="A12228" s="674"/>
      <c r="B12228" s="675"/>
      <c r="C12228" s="676"/>
      <c r="D12228" s="676"/>
      <c r="E12228" s="1980">
        <f>SUM(E12208:E12227)</f>
        <v>329.73856599999999</v>
      </c>
      <c r="F12228" s="677"/>
      <c r="G12228" s="678"/>
      <c r="H12228" s="679"/>
      <c r="I12228" s="1848"/>
      <c r="J12228" s="676"/>
      <c r="K12228" s="680"/>
      <c r="L12228" s="679"/>
      <c r="M12228" s="676"/>
      <c r="N12228" s="677"/>
      <c r="O12228" s="676"/>
      <c r="P12228" s="1098"/>
    </row>
    <row r="12229" spans="1:16" ht="18.600000000000001" thickBot="1">
      <c r="A12229" s="681"/>
      <c r="B12229" s="682"/>
      <c r="C12229" s="683"/>
      <c r="D12229" s="683"/>
      <c r="E12229" s="1981"/>
      <c r="F12229" s="684"/>
      <c r="G12229" s="685"/>
      <c r="H12229" s="686"/>
      <c r="I12229" s="1850"/>
      <c r="J12229" s="683"/>
      <c r="K12229" s="687"/>
      <c r="L12229" s="686"/>
      <c r="M12229" s="683"/>
      <c r="N12229" s="684"/>
      <c r="O12229" s="683"/>
      <c r="P12229" s="1098"/>
    </row>
    <row r="12230" spans="1:16" ht="18">
      <c r="A12230" s="688" t="s">
        <v>31</v>
      </c>
      <c r="B12230" s="676"/>
      <c r="C12230" s="676"/>
      <c r="D12230" s="676"/>
      <c r="E12230" s="676"/>
      <c r="F12230" s="677"/>
      <c r="G12230" s="676"/>
      <c r="H12230" s="677"/>
      <c r="I12230" s="1848"/>
      <c r="J12230" s="676"/>
      <c r="K12230" s="689"/>
      <c r="L12230" s="677"/>
      <c r="M12230" s="676"/>
      <c r="N12230" s="677"/>
      <c r="O12230" s="676"/>
      <c r="P12230" s="1098"/>
    </row>
    <row r="12231" spans="1:16" ht="18">
      <c r="A12231" s="690"/>
      <c r="B12231" s="691"/>
      <c r="C12231" s="691"/>
      <c r="D12231" s="691"/>
      <c r="E12231" s="691"/>
      <c r="F12231" s="1565"/>
      <c r="G12231" s="691"/>
      <c r="H12231" s="1565"/>
      <c r="I12231" s="1849"/>
      <c r="J12231" s="691"/>
      <c r="K12231" s="693"/>
      <c r="L12231" s="1565"/>
      <c r="M12231" s="691"/>
      <c r="N12231" s="1565"/>
      <c r="O12231" s="691"/>
      <c r="P12231" s="1098"/>
    </row>
    <row r="12232" spans="1:16" ht="18.600000000000001" thickBot="1">
      <c r="A12232" s="1982" t="s">
        <v>32</v>
      </c>
      <c r="B12232" s="1983"/>
      <c r="C12232" s="1984" t="s">
        <v>33</v>
      </c>
      <c r="D12232" s="1985"/>
      <c r="E12232" s="694" t="s">
        <v>34</v>
      </c>
      <c r="F12232" s="694" t="s">
        <v>35</v>
      </c>
      <c r="G12232" s="1986" t="s">
        <v>36</v>
      </c>
      <c r="H12232" s="1987"/>
      <c r="I12232" s="1987"/>
      <c r="J12232" s="1987"/>
      <c r="K12232" s="1987"/>
      <c r="L12232" s="1987"/>
      <c r="M12232" s="1987"/>
      <c r="N12232" s="1987"/>
      <c r="O12232" s="1987"/>
      <c r="P12232" s="1098"/>
    </row>
    <row r="12233" spans="1:16" ht="18">
      <c r="A12233" s="1988"/>
      <c r="B12233" s="1989"/>
      <c r="C12233" s="1990"/>
      <c r="D12233" s="1989"/>
      <c r="E12233" s="1569"/>
      <c r="F12233" s="1566"/>
      <c r="G12233" s="1991"/>
      <c r="H12233" s="1992"/>
      <c r="I12233" s="1992"/>
      <c r="J12233" s="1992"/>
      <c r="K12233" s="1992"/>
      <c r="L12233" s="1992"/>
      <c r="M12233" s="1992"/>
      <c r="N12233" s="1992"/>
      <c r="O12233" s="1992"/>
      <c r="P12233" s="1098"/>
    </row>
    <row r="12234" spans="1:16" ht="18">
      <c r="A12234" s="1997" t="s">
        <v>37</v>
      </c>
      <c r="B12234" s="1998"/>
      <c r="C12234" s="1990"/>
      <c r="D12234" s="1989"/>
      <c r="E12234" s="1569"/>
      <c r="F12234" s="1566"/>
      <c r="G12234" s="1993"/>
      <c r="H12234" s="1994"/>
      <c r="I12234" s="1994"/>
      <c r="J12234" s="1994"/>
      <c r="K12234" s="1994"/>
      <c r="L12234" s="1994"/>
      <c r="M12234" s="1994"/>
      <c r="N12234" s="1994"/>
      <c r="O12234" s="1994"/>
      <c r="P12234" s="1098"/>
    </row>
    <row r="12235" spans="1:16" ht="18">
      <c r="A12235" s="1997" t="s">
        <v>38</v>
      </c>
      <c r="B12235" s="1998"/>
      <c r="C12235" s="1990"/>
      <c r="D12235" s="1989"/>
      <c r="E12235" s="1569"/>
      <c r="F12235" s="1566"/>
      <c r="G12235" s="1993"/>
      <c r="H12235" s="1994"/>
      <c r="I12235" s="1994"/>
      <c r="J12235" s="1994"/>
      <c r="K12235" s="1994"/>
      <c r="L12235" s="1994"/>
      <c r="M12235" s="1994"/>
      <c r="N12235" s="1994"/>
      <c r="O12235" s="1994"/>
      <c r="P12235" s="1098"/>
    </row>
    <row r="12236" spans="1:16" ht="18">
      <c r="A12236" s="1997" t="s">
        <v>39</v>
      </c>
      <c r="B12236" s="1998"/>
      <c r="C12236" s="1990"/>
      <c r="D12236" s="1989"/>
      <c r="E12236" s="1569"/>
      <c r="F12236" s="1566"/>
      <c r="G12236" s="1993"/>
      <c r="H12236" s="1994"/>
      <c r="I12236" s="1994"/>
      <c r="J12236" s="1994"/>
      <c r="K12236" s="1994"/>
      <c r="L12236" s="1994"/>
      <c r="M12236" s="1994"/>
      <c r="N12236" s="1994"/>
      <c r="O12236" s="1994"/>
      <c r="P12236" s="1098"/>
    </row>
    <row r="12237" spans="1:16" ht="18">
      <c r="A12237" s="1997" t="s">
        <v>40</v>
      </c>
      <c r="B12237" s="1998"/>
      <c r="C12237" s="1990"/>
      <c r="D12237" s="1989"/>
      <c r="E12237" s="1569"/>
      <c r="F12237" s="1566"/>
      <c r="G12237" s="1993"/>
      <c r="H12237" s="1994"/>
      <c r="I12237" s="1994"/>
      <c r="J12237" s="1994"/>
      <c r="K12237" s="1994"/>
      <c r="L12237" s="1994"/>
      <c r="M12237" s="1994"/>
      <c r="N12237" s="1994"/>
      <c r="O12237" s="1994"/>
      <c r="P12237" s="1098"/>
    </row>
    <row r="12238" spans="1:16" ht="18.600000000000001" thickBot="1">
      <c r="A12238" s="1999" t="s">
        <v>41</v>
      </c>
      <c r="B12238" s="2000"/>
      <c r="C12238" s="2001"/>
      <c r="D12238" s="2002"/>
      <c r="E12238" s="696"/>
      <c r="F12238" s="1567"/>
      <c r="G12238" s="1995"/>
      <c r="H12238" s="1996"/>
      <c r="I12238" s="1996"/>
      <c r="J12238" s="1996"/>
      <c r="K12238" s="1996"/>
      <c r="L12238" s="1996"/>
      <c r="M12238" s="1996"/>
      <c r="N12238" s="1996"/>
      <c r="O12238" s="1996"/>
      <c r="P12238" s="1098"/>
    </row>
    <row r="12239" spans="1:16" ht="18">
      <c r="A12239" s="690"/>
      <c r="B12239" s="691"/>
      <c r="C12239" s="691"/>
      <c r="D12239" s="691"/>
      <c r="E12239" s="691"/>
      <c r="F12239" s="1565"/>
      <c r="G12239" s="691"/>
      <c r="H12239" s="698"/>
      <c r="I12239" s="699"/>
      <c r="J12239" s="700"/>
      <c r="K12239" s="701"/>
      <c r="L12239" s="702"/>
      <c r="M12239" s="691"/>
      <c r="N12239" s="1565"/>
      <c r="O12239" s="691"/>
      <c r="P12239" s="1098"/>
    </row>
    <row r="12240" spans="1:16" ht="18">
      <c r="A12240" s="703" t="s">
        <v>42</v>
      </c>
      <c r="B12240" s="704"/>
      <c r="C12240" s="691"/>
      <c r="D12240" s="691"/>
      <c r="E12240" s="691"/>
      <c r="F12240" s="1565"/>
      <c r="G12240" s="704"/>
      <c r="H12240" s="698"/>
      <c r="I12240" s="699"/>
      <c r="J12240" s="700"/>
      <c r="K12240" s="693"/>
      <c r="L12240" s="705"/>
      <c r="M12240" s="691"/>
      <c r="N12240" s="1979" t="s">
        <v>43</v>
      </c>
      <c r="O12240" s="1979"/>
      <c r="P12240" s="1098"/>
    </row>
    <row r="12241" spans="1:18" ht="18">
      <c r="A12241" s="703"/>
      <c r="B12241" s="704"/>
      <c r="C12241" s="691"/>
      <c r="D12241" s="691"/>
      <c r="E12241" s="691"/>
      <c r="F12241" s="1565"/>
      <c r="G12241" s="691"/>
      <c r="H12241" s="1565"/>
      <c r="I12241" s="1849"/>
      <c r="J12241" s="691"/>
      <c r="K12241" s="693"/>
      <c r="L12241" s="1565"/>
      <c r="M12241" s="691"/>
      <c r="N12241" s="1565"/>
      <c r="O12241" s="704"/>
      <c r="P12241" s="1098"/>
    </row>
    <row r="12242" spans="1:18" ht="18">
      <c r="A12242" s="703" t="s">
        <v>44</v>
      </c>
      <c r="B12242" s="704"/>
      <c r="C12242" s="691"/>
      <c r="D12242" s="691"/>
      <c r="E12242" s="691"/>
      <c r="F12242" s="1565"/>
      <c r="G12242" s="691"/>
      <c r="H12242" s="1565"/>
      <c r="I12242" s="1849"/>
      <c r="J12242" s="691"/>
      <c r="K12242" s="693"/>
      <c r="L12242" s="1565"/>
      <c r="M12242" s="691"/>
      <c r="N12242" s="1979" t="s">
        <v>45</v>
      </c>
      <c r="O12242" s="1979"/>
      <c r="P12242" s="1098"/>
    </row>
    <row r="12243" spans="1:18" ht="18.600000000000001" thickBot="1">
      <c r="A12243" s="682"/>
      <c r="B12243" s="683"/>
      <c r="C12243" s="683"/>
      <c r="D12243" s="683"/>
      <c r="E12243" s="683"/>
      <c r="F12243" s="684"/>
      <c r="G12243" s="683"/>
      <c r="H12243" s="684"/>
      <c r="I12243" s="1850"/>
      <c r="J12243" s="683"/>
      <c r="K12243" s="706"/>
      <c r="L12243" s="684"/>
      <c r="M12243" s="683"/>
      <c r="N12243" s="684"/>
      <c r="O12243" s="683"/>
      <c r="P12243" s="1099"/>
    </row>
    <row r="12248" spans="1:18" ht="17.399999999999999">
      <c r="A12248" s="711" t="s">
        <v>48</v>
      </c>
      <c r="B12248" s="711"/>
      <c r="C12248" s="712"/>
      <c r="D12248" s="712"/>
      <c r="E12248" s="712"/>
      <c r="F12248" s="713"/>
      <c r="G12248" s="712"/>
      <c r="H12248" s="712"/>
      <c r="I12248" s="714"/>
      <c r="J12248" s="715"/>
      <c r="K12248" s="716"/>
      <c r="L12248" s="1978" t="s">
        <v>0</v>
      </c>
      <c r="M12248" s="1978"/>
      <c r="N12248" s="1978"/>
      <c r="O12248" s="1978"/>
      <c r="P12248" s="717"/>
    </row>
    <row r="12249" spans="1:18" ht="17.399999999999999">
      <c r="A12249" s="718" t="s">
        <v>1</v>
      </c>
      <c r="B12249" s="718"/>
      <c r="C12249" s="718"/>
      <c r="D12249" s="719" t="s">
        <v>2</v>
      </c>
      <c r="E12249" s="719"/>
      <c r="F12249" s="720"/>
      <c r="G12249" s="720"/>
      <c r="H12249" s="720"/>
      <c r="I12249" s="721"/>
      <c r="J12249" s="1604"/>
      <c r="K12249" s="723" t="s">
        <v>3</v>
      </c>
      <c r="L12249" s="1604"/>
      <c r="M12249" s="718"/>
      <c r="N12249" s="720"/>
      <c r="O12249" s="718"/>
      <c r="P12249" s="724"/>
    </row>
    <row r="12250" spans="1:18" ht="52.2">
      <c r="A12250" s="640" t="s">
        <v>4</v>
      </c>
      <c r="B12250" s="640" t="s">
        <v>5</v>
      </c>
      <c r="C12250" s="640" t="s">
        <v>6</v>
      </c>
      <c r="D12250" s="640" t="s">
        <v>7</v>
      </c>
      <c r="E12250" s="640" t="s">
        <v>8</v>
      </c>
      <c r="F12250" s="641" t="s">
        <v>9</v>
      </c>
      <c r="G12250" s="642" t="s">
        <v>10</v>
      </c>
      <c r="H12250" s="642" t="s">
        <v>11</v>
      </c>
      <c r="I12250" s="643" t="s">
        <v>12</v>
      </c>
      <c r="J12250" s="644" t="s">
        <v>13</v>
      </c>
      <c r="K12250" s="645" t="s">
        <v>14</v>
      </c>
      <c r="L12250" s="646" t="s">
        <v>15</v>
      </c>
      <c r="M12250" s="641" t="s">
        <v>16</v>
      </c>
      <c r="N12250" s="641" t="s">
        <v>17</v>
      </c>
      <c r="O12250" s="642" t="s">
        <v>18</v>
      </c>
      <c r="P12250" s="641" t="s">
        <v>192</v>
      </c>
    </row>
    <row r="12251" spans="1:18" ht="17.399999999999999">
      <c r="A12251" s="547" t="s">
        <v>541</v>
      </c>
      <c r="B12251" s="979" t="s">
        <v>1314</v>
      </c>
      <c r="C12251" s="547" t="s">
        <v>19</v>
      </c>
      <c r="D12251" s="547" t="s">
        <v>20</v>
      </c>
      <c r="E12251" s="1500" t="s">
        <v>420</v>
      </c>
      <c r="F12251" s="550">
        <v>13</v>
      </c>
      <c r="G12251" s="549" t="s">
        <v>21</v>
      </c>
      <c r="H12251" s="599" t="s">
        <v>120</v>
      </c>
      <c r="I12251" s="558">
        <v>18.2</v>
      </c>
      <c r="J12251" s="567">
        <v>9.5</v>
      </c>
      <c r="K12251" s="648">
        <v>32</v>
      </c>
      <c r="L12251" s="552">
        <f>(I12251*J12251*K12251/1000)</f>
        <v>5.5327999999999999</v>
      </c>
      <c r="M12251" s="549">
        <v>2</v>
      </c>
      <c r="N12251" s="567">
        <f t="shared" ref="N12251:N12252" si="2493">J12251*M12251*I12251/1000</f>
        <v>0.3458</v>
      </c>
      <c r="O12251" s="549"/>
      <c r="P12251" s="549"/>
      <c r="Q12251" s="1511" t="s">
        <v>1504</v>
      </c>
    </row>
    <row r="12252" spans="1:18" ht="17.399999999999999">
      <c r="A12252" s="549"/>
      <c r="B12252" s="832" t="s">
        <v>1246</v>
      </c>
      <c r="C12252" s="549"/>
      <c r="D12252" s="549"/>
      <c r="E12252" s="549"/>
      <c r="F12252" s="550"/>
      <c r="G12252" s="549" t="s">
        <v>21</v>
      </c>
      <c r="H12252" s="549" t="s">
        <v>120</v>
      </c>
      <c r="I12252" s="558">
        <v>18.2</v>
      </c>
      <c r="J12252" s="567">
        <v>10.8</v>
      </c>
      <c r="K12252" s="648">
        <v>8</v>
      </c>
      <c r="L12252" s="552">
        <f>(I12252*J12252*K12252/1000)</f>
        <v>1.5724800000000001</v>
      </c>
      <c r="M12252" s="549">
        <v>2</v>
      </c>
      <c r="N12252" s="567">
        <f t="shared" si="2493"/>
        <v>0.39312000000000002</v>
      </c>
      <c r="O12252" s="549"/>
      <c r="P12252" s="549"/>
    </row>
    <row r="12253" spans="1:18" ht="17.399999999999999">
      <c r="A12253" s="549"/>
      <c r="B12253" s="549"/>
      <c r="C12253" s="549"/>
      <c r="D12253" s="549"/>
      <c r="E12253" s="549"/>
      <c r="F12253" s="550"/>
      <c r="G12253" s="549"/>
      <c r="H12253" s="549"/>
      <c r="I12253" s="560"/>
      <c r="J12253" s="567"/>
      <c r="K12253" s="648">
        <f>SUM(K12251:K12252)</f>
        <v>40</v>
      </c>
      <c r="L12253" s="567">
        <f>SUM(L12251:L12252)</f>
        <v>7.1052800000000005</v>
      </c>
      <c r="M12253" s="648">
        <f t="shared" ref="M12253:N12253" si="2494">SUM(M12251:M12252)</f>
        <v>4</v>
      </c>
      <c r="N12253" s="567">
        <f t="shared" si="2494"/>
        <v>0.73892000000000002</v>
      </c>
      <c r="O12253" s="549"/>
      <c r="P12253" s="549" t="s">
        <v>1459</v>
      </c>
    </row>
    <row r="12254" spans="1:18" s="1511" customFormat="1" ht="17.399999999999999">
      <c r="A12254" s="549"/>
      <c r="B12254" s="549"/>
      <c r="C12254" s="549"/>
      <c r="D12254" s="549"/>
      <c r="E12254" s="549"/>
      <c r="F12254" s="550"/>
      <c r="G12254" s="549"/>
      <c r="H12254" s="549"/>
      <c r="I12254" s="560"/>
      <c r="J12254" s="567"/>
      <c r="K12254" s="648"/>
      <c r="L12254" s="567"/>
      <c r="M12254" s="648"/>
      <c r="N12254" s="567"/>
      <c r="O12254" s="549"/>
      <c r="P12254" s="549"/>
    </row>
    <row r="12255" spans="1:18" ht="17.399999999999999">
      <c r="A12255" s="549"/>
      <c r="B12255" s="549"/>
      <c r="C12255" s="549"/>
      <c r="D12255" s="549"/>
      <c r="E12255" s="549"/>
      <c r="F12255" s="549"/>
      <c r="G12255" s="549"/>
      <c r="H12255" s="549"/>
      <c r="I12255" s="560"/>
      <c r="J12255" s="549"/>
      <c r="K12255" s="561"/>
      <c r="L12255" s="560"/>
      <c r="M12255" s="549"/>
      <c r="N12255" s="549"/>
      <c r="O12255" s="549"/>
      <c r="P12255" s="549"/>
    </row>
    <row r="12256" spans="1:18" ht="17.399999999999999">
      <c r="A12256" s="547" t="s">
        <v>83</v>
      </c>
      <c r="B12256" s="547" t="s">
        <v>1410</v>
      </c>
      <c r="C12256" s="547" t="s">
        <v>19</v>
      </c>
      <c r="D12256" s="813" t="s">
        <v>854</v>
      </c>
      <c r="E12256" s="549" t="s">
        <v>367</v>
      </c>
      <c r="F12256" s="550">
        <v>13</v>
      </c>
      <c r="G12256" s="549" t="s">
        <v>21</v>
      </c>
      <c r="H12256" s="599" t="s">
        <v>120</v>
      </c>
      <c r="I12256" s="558">
        <v>18.2</v>
      </c>
      <c r="J12256" s="567">
        <v>11.35</v>
      </c>
      <c r="K12256" s="648">
        <v>80</v>
      </c>
      <c r="L12256" s="552">
        <f>(I12256*J12256*K12256/1000)</f>
        <v>16.525599999999997</v>
      </c>
      <c r="M12256" s="549">
        <v>3</v>
      </c>
      <c r="N12256" s="567">
        <f t="shared" ref="N12256:N12257" si="2495">J12256*M12256*I12256/1000</f>
        <v>0.61970999999999987</v>
      </c>
      <c r="O12256" s="549"/>
      <c r="P12256" s="549"/>
      <c r="Q12256" s="497">
        <v>2</v>
      </c>
      <c r="R12256" s="1511" t="s">
        <v>1504</v>
      </c>
    </row>
    <row r="12257" spans="1:17" ht="17.399999999999999">
      <c r="A12257" s="549"/>
      <c r="B12257" s="728" t="s">
        <v>52</v>
      </c>
      <c r="C12257" s="549"/>
      <c r="D12257" s="549"/>
      <c r="E12257" s="549"/>
      <c r="F12257" s="549"/>
      <c r="G12257" s="549" t="s">
        <v>21</v>
      </c>
      <c r="H12257" s="549" t="s">
        <v>120</v>
      </c>
      <c r="I12257" s="558">
        <v>18.2</v>
      </c>
      <c r="J12257" s="567">
        <v>12</v>
      </c>
      <c r="K12257" s="648">
        <v>225</v>
      </c>
      <c r="L12257" s="552">
        <f>(I12257*J12257*K12257/1000)</f>
        <v>49.139999999999993</v>
      </c>
      <c r="M12257" s="549">
        <v>1</v>
      </c>
      <c r="N12257" s="567">
        <f t="shared" si="2495"/>
        <v>0.21839999999999998</v>
      </c>
      <c r="O12257" s="549"/>
      <c r="P12257" s="549"/>
    </row>
    <row r="12258" spans="1:17" ht="17.399999999999999">
      <c r="A12258" s="549"/>
      <c r="B12258" s="549"/>
      <c r="C12258" s="549"/>
      <c r="D12258" s="549"/>
      <c r="E12258" s="549"/>
      <c r="F12258" s="549"/>
      <c r="G12258" s="549"/>
      <c r="H12258" s="549"/>
      <c r="I12258" s="558"/>
      <c r="J12258" s="567"/>
      <c r="K12258" s="648">
        <f t="shared" ref="K12258:N12258" si="2496">SUM(K12256:K12257)</f>
        <v>305</v>
      </c>
      <c r="L12258" s="567">
        <f t="shared" si="2496"/>
        <v>65.665599999999984</v>
      </c>
      <c r="M12258" s="648">
        <f t="shared" si="2496"/>
        <v>4</v>
      </c>
      <c r="N12258" s="567">
        <f t="shared" si="2496"/>
        <v>0.83810999999999991</v>
      </c>
      <c r="O12258" s="549"/>
      <c r="P12258" s="549" t="s">
        <v>1460</v>
      </c>
    </row>
    <row r="12259" spans="1:17" s="1511" customFormat="1" ht="17.399999999999999">
      <c r="A12259" s="549"/>
      <c r="B12259" s="549"/>
      <c r="C12259" s="549"/>
      <c r="D12259" s="549"/>
      <c r="E12259" s="549"/>
      <c r="F12259" s="549"/>
      <c r="G12259" s="549"/>
      <c r="H12259" s="549"/>
      <c r="I12259" s="558"/>
      <c r="J12259" s="567"/>
      <c r="K12259" s="648"/>
      <c r="L12259" s="567"/>
      <c r="M12259" s="549"/>
      <c r="N12259" s="549"/>
      <c r="O12259" s="549"/>
      <c r="P12259" s="549"/>
    </row>
    <row r="12260" spans="1:17" ht="17.399999999999999">
      <c r="A12260" s="547" t="s">
        <v>395</v>
      </c>
      <c r="B12260" s="852" t="s">
        <v>1362</v>
      </c>
      <c r="C12260" s="547" t="s">
        <v>19</v>
      </c>
      <c r="D12260" s="813" t="s">
        <v>854</v>
      </c>
      <c r="E12260" s="549" t="s">
        <v>878</v>
      </c>
      <c r="F12260" s="550">
        <v>13</v>
      </c>
      <c r="G12260" s="549" t="s">
        <v>21</v>
      </c>
      <c r="H12260" s="599" t="s">
        <v>120</v>
      </c>
      <c r="I12260" s="558">
        <v>18.2</v>
      </c>
      <c r="J12260" s="567">
        <v>11</v>
      </c>
      <c r="K12260" s="648">
        <v>1</v>
      </c>
      <c r="L12260" s="552">
        <f>(I12260*J12260*K12260/1000)</f>
        <v>0.20019999999999999</v>
      </c>
      <c r="M12260" s="549"/>
      <c r="N12260" s="549"/>
      <c r="O12260" s="549"/>
      <c r="P12260" s="549"/>
      <c r="Q12260" s="1511" t="s">
        <v>1504</v>
      </c>
    </row>
    <row r="12261" spans="1:17" ht="17.399999999999999">
      <c r="A12261" s="549"/>
      <c r="B12261" s="1605" t="s">
        <v>423</v>
      </c>
      <c r="C12261" s="549"/>
      <c r="D12261" s="549"/>
      <c r="E12261" s="549"/>
      <c r="F12261" s="549"/>
      <c r="G12261" s="549"/>
      <c r="H12261" s="549"/>
      <c r="I12261" s="558"/>
      <c r="J12261" s="567"/>
      <c r="K12261" s="648">
        <f t="shared" ref="K12261" si="2497">SUM(K12260)</f>
        <v>1</v>
      </c>
      <c r="L12261" s="567">
        <f>SUM(L12260)</f>
        <v>0.20019999999999999</v>
      </c>
      <c r="M12261" s="549"/>
      <c r="N12261" s="549"/>
      <c r="O12261" s="549"/>
      <c r="P12261" s="549" t="s">
        <v>1461</v>
      </c>
    </row>
    <row r="12262" spans="1:17" s="1511" customFormat="1" ht="17.399999999999999">
      <c r="A12262" s="549"/>
      <c r="B12262" s="1605"/>
      <c r="C12262" s="549"/>
      <c r="D12262" s="549"/>
      <c r="E12262" s="549"/>
      <c r="F12262" s="549"/>
      <c r="G12262" s="549"/>
      <c r="H12262" s="549"/>
      <c r="I12262" s="558"/>
      <c r="J12262" s="567"/>
      <c r="K12262" s="648">
        <f>SUM(K12251:K12261)/2</f>
        <v>346</v>
      </c>
      <c r="L12262" s="567">
        <f>SUM(L12251:L12261)/2</f>
        <v>72.971079999999986</v>
      </c>
      <c r="M12262" s="648">
        <f>SUM(M12251:M12261)/2</f>
        <v>8</v>
      </c>
      <c r="N12262" s="567">
        <f>SUM(N12251:N12261)/2</f>
        <v>1.5770299999999999</v>
      </c>
      <c r="O12262" s="549"/>
      <c r="P12262" s="549"/>
    </row>
    <row r="12263" spans="1:17" s="1511" customFormat="1" ht="17.399999999999999">
      <c r="A12263" s="549"/>
      <c r="B12263" s="1605"/>
      <c r="C12263" s="549"/>
      <c r="D12263" s="549"/>
      <c r="E12263" s="549"/>
      <c r="F12263" s="549"/>
      <c r="G12263" s="549"/>
      <c r="H12263" s="549"/>
      <c r="I12263" s="558"/>
      <c r="J12263" s="567"/>
      <c r="K12263" s="648"/>
      <c r="L12263" s="567"/>
      <c r="M12263" s="648"/>
      <c r="N12263" s="567"/>
      <c r="O12263" s="549"/>
      <c r="P12263" s="549"/>
    </row>
    <row r="12264" spans="1:17" s="1511" customFormat="1" ht="17.399999999999999">
      <c r="A12264" s="549"/>
      <c r="B12264" s="1605"/>
      <c r="C12264" s="549"/>
      <c r="D12264" s="549"/>
      <c r="E12264" s="549"/>
      <c r="F12264" s="549"/>
      <c r="G12264" s="549"/>
      <c r="H12264" s="549"/>
      <c r="I12264" s="558"/>
      <c r="J12264" s="567"/>
      <c r="K12264" s="648"/>
      <c r="L12264" s="567"/>
      <c r="M12264" s="549"/>
      <c r="N12264" s="549"/>
      <c r="O12264" s="549"/>
      <c r="P12264" s="549"/>
    </row>
    <row r="12265" spans="1:17" ht="17.399999999999999">
      <c r="A12265" s="547" t="s">
        <v>83</v>
      </c>
      <c r="B12265" s="547" t="s">
        <v>1410</v>
      </c>
      <c r="C12265" s="547" t="s">
        <v>19</v>
      </c>
      <c r="D12265" s="813" t="s">
        <v>854</v>
      </c>
      <c r="E12265" s="549" t="s">
        <v>367</v>
      </c>
      <c r="F12265" s="550">
        <v>13</v>
      </c>
      <c r="G12265" s="549" t="s">
        <v>21</v>
      </c>
      <c r="H12265" s="599" t="s">
        <v>1454</v>
      </c>
      <c r="I12265" s="558">
        <v>19.899999999999999</v>
      </c>
      <c r="J12265" s="567">
        <v>7.3</v>
      </c>
      <c r="K12265" s="648">
        <v>8</v>
      </c>
      <c r="L12265" s="552">
        <f>(I12265*J12265*K12265/1000)</f>
        <v>1.1621599999999999</v>
      </c>
      <c r="M12265" s="549"/>
      <c r="N12265" s="567">
        <f t="shared" ref="N12265:N12266" si="2498">J12265*M12265*I12265/1000</f>
        <v>0</v>
      </c>
      <c r="O12265" s="549"/>
      <c r="P12265" s="549"/>
      <c r="Q12265" s="1511" t="s">
        <v>1504</v>
      </c>
    </row>
    <row r="12266" spans="1:17" ht="17.399999999999999">
      <c r="A12266" s="549"/>
      <c r="B12266" s="728" t="s">
        <v>52</v>
      </c>
      <c r="C12266" s="549"/>
      <c r="D12266" s="549"/>
      <c r="E12266" s="549"/>
      <c r="F12266" s="549"/>
      <c r="G12266" s="549" t="s">
        <v>21</v>
      </c>
      <c r="H12266" s="549" t="s">
        <v>1454</v>
      </c>
      <c r="I12266" s="558">
        <v>19.899999999999999</v>
      </c>
      <c r="J12266" s="567">
        <v>11</v>
      </c>
      <c r="K12266" s="648">
        <v>20</v>
      </c>
      <c r="L12266" s="552">
        <f>(I12266*J12266*K12266/1000)</f>
        <v>4.3780000000000001</v>
      </c>
      <c r="M12266" s="549">
        <v>1</v>
      </c>
      <c r="N12266" s="567">
        <f t="shared" si="2498"/>
        <v>0.21889999999999998</v>
      </c>
      <c r="O12266" s="549"/>
      <c r="P12266" s="549"/>
    </row>
    <row r="12267" spans="1:17" ht="17.399999999999999">
      <c r="A12267" s="549"/>
      <c r="B12267" s="549"/>
      <c r="C12267" s="549"/>
      <c r="D12267" s="549"/>
      <c r="E12267" s="549"/>
      <c r="F12267" s="549"/>
      <c r="G12267" s="549"/>
      <c r="H12267" s="549"/>
      <c r="I12267" s="558"/>
      <c r="J12267" s="567"/>
      <c r="K12267" s="648">
        <f t="shared" ref="K12267:N12267" si="2499">SUM(K12265:K12266)</f>
        <v>28</v>
      </c>
      <c r="L12267" s="567">
        <f t="shared" si="2499"/>
        <v>5.5401600000000002</v>
      </c>
      <c r="M12267" s="648">
        <f t="shared" si="2499"/>
        <v>1</v>
      </c>
      <c r="N12267" s="567">
        <f t="shared" si="2499"/>
        <v>0.21889999999999998</v>
      </c>
      <c r="O12267" s="549"/>
      <c r="P12267" s="549" t="s">
        <v>1462</v>
      </c>
    </row>
    <row r="12268" spans="1:17" s="1511" customFormat="1" ht="17.399999999999999">
      <c r="A12268" s="549"/>
      <c r="B12268" s="549"/>
      <c r="C12268" s="549"/>
      <c r="D12268" s="549"/>
      <c r="E12268" s="549"/>
      <c r="F12268" s="549"/>
      <c r="G12268" s="549"/>
      <c r="H12268" s="549"/>
      <c r="I12268" s="558"/>
      <c r="J12268" s="567"/>
      <c r="K12268" s="648"/>
      <c r="L12268" s="567"/>
      <c r="M12268" s="648"/>
      <c r="N12268" s="567"/>
      <c r="O12268" s="549"/>
      <c r="P12268" s="549"/>
    </row>
    <row r="12269" spans="1:17" ht="17.399999999999999">
      <c r="A12269" s="549"/>
      <c r="B12269" s="549"/>
      <c r="C12269" s="549"/>
      <c r="D12269" s="549"/>
      <c r="E12269" s="549"/>
      <c r="F12269" s="549"/>
      <c r="G12269" s="549"/>
      <c r="H12269" s="549"/>
      <c r="I12269" s="560"/>
      <c r="J12269" s="549"/>
      <c r="K12269" s="561"/>
      <c r="L12269" s="560"/>
      <c r="M12269" s="549"/>
      <c r="N12269" s="549"/>
      <c r="O12269" s="549"/>
      <c r="P12269" s="549"/>
    </row>
    <row r="12270" spans="1:17" ht="17.399999999999999">
      <c r="A12270" s="547" t="s">
        <v>83</v>
      </c>
      <c r="B12270" s="547" t="s">
        <v>1410</v>
      </c>
      <c r="C12270" s="547" t="s">
        <v>19</v>
      </c>
      <c r="D12270" s="813" t="s">
        <v>854</v>
      </c>
      <c r="E12270" s="549" t="s">
        <v>367</v>
      </c>
      <c r="F12270" s="550">
        <v>13</v>
      </c>
      <c r="G12270" s="549" t="s">
        <v>21</v>
      </c>
      <c r="H12270" s="599" t="s">
        <v>123</v>
      </c>
      <c r="I12270" s="558">
        <v>16.5</v>
      </c>
      <c r="J12270" s="567">
        <v>7.4</v>
      </c>
      <c r="K12270" s="648">
        <v>480</v>
      </c>
      <c r="L12270" s="552">
        <f>(I12270*J12270*K12270/1000)</f>
        <v>58.608000000000004</v>
      </c>
      <c r="M12270" s="549"/>
      <c r="N12270" s="549"/>
      <c r="O12270" s="549"/>
      <c r="P12270" s="549"/>
      <c r="Q12270" s="1511" t="s">
        <v>1505</v>
      </c>
    </row>
    <row r="12271" spans="1:17" ht="17.399999999999999">
      <c r="A12271" s="549"/>
      <c r="B12271" s="728" t="s">
        <v>52</v>
      </c>
      <c r="C12271" s="549"/>
      <c r="D12271" s="549"/>
      <c r="E12271" s="549"/>
      <c r="F12271" s="549"/>
      <c r="G12271" s="549" t="s">
        <v>21</v>
      </c>
      <c r="H12271" s="549" t="s">
        <v>123</v>
      </c>
      <c r="I12271" s="558">
        <v>16.5</v>
      </c>
      <c r="J12271" s="567">
        <v>11.15</v>
      </c>
      <c r="K12271" s="648">
        <v>240</v>
      </c>
      <c r="L12271" s="552">
        <f>(I12271*J12271*K12271/1000)</f>
        <v>44.154000000000003</v>
      </c>
      <c r="M12271" s="549"/>
      <c r="N12271" s="549"/>
      <c r="O12271" s="549"/>
      <c r="P12271" s="549"/>
      <c r="Q12271" s="1511" t="s">
        <v>1528</v>
      </c>
    </row>
    <row r="12272" spans="1:17" ht="17.399999999999999">
      <c r="A12272" s="549"/>
      <c r="B12272" s="549"/>
      <c r="C12272" s="549"/>
      <c r="D12272" s="549"/>
      <c r="E12272" s="549"/>
      <c r="F12272" s="549"/>
      <c r="G12272" s="549"/>
      <c r="H12272" s="549"/>
      <c r="I12272" s="558"/>
      <c r="J12272" s="567"/>
      <c r="K12272" s="648">
        <f t="shared" ref="K12272:L12272" si="2500">SUM(K12270:K12271)</f>
        <v>720</v>
      </c>
      <c r="L12272" s="567">
        <f t="shared" si="2500"/>
        <v>102.762</v>
      </c>
      <c r="M12272" s="549"/>
      <c r="N12272" s="549"/>
      <c r="O12272" s="549"/>
      <c r="P12272" s="549" t="s">
        <v>1463</v>
      </c>
    </row>
    <row r="12273" spans="1:17" ht="17.399999999999999">
      <c r="A12273" s="549"/>
      <c r="B12273" s="549"/>
      <c r="C12273" s="549"/>
      <c r="D12273" s="549"/>
      <c r="E12273" s="549"/>
      <c r="F12273" s="549"/>
      <c r="G12273" s="549"/>
      <c r="H12273" s="549"/>
      <c r="I12273" s="560"/>
      <c r="J12273" s="549"/>
      <c r="K12273" s="561"/>
      <c r="L12273" s="560"/>
      <c r="M12273" s="549"/>
      <c r="N12273" s="549"/>
      <c r="O12273" s="549"/>
      <c r="P12273" s="549"/>
    </row>
    <row r="12274" spans="1:17" ht="17.399999999999999">
      <c r="A12274" s="547" t="s">
        <v>83</v>
      </c>
      <c r="B12274" s="547" t="s">
        <v>1406</v>
      </c>
      <c r="C12274" s="547" t="s">
        <v>19</v>
      </c>
      <c r="D12274" s="813" t="s">
        <v>854</v>
      </c>
      <c r="E12274" s="549" t="s">
        <v>367</v>
      </c>
      <c r="F12274" s="550">
        <v>13</v>
      </c>
      <c r="G12274" s="549" t="s">
        <v>21</v>
      </c>
      <c r="H12274" s="599" t="s">
        <v>123</v>
      </c>
      <c r="I12274" s="558">
        <v>16.5</v>
      </c>
      <c r="J12274" s="567">
        <v>7.4</v>
      </c>
      <c r="K12274" s="648">
        <v>1</v>
      </c>
      <c r="L12274" s="552">
        <f t="shared" ref="L12274:L12275" si="2501">(I12274*J12274*K12274/1000)</f>
        <v>0.12210000000000001</v>
      </c>
      <c r="M12274" s="549"/>
      <c r="N12274" s="549"/>
      <c r="O12274" s="549"/>
      <c r="P12274" s="549"/>
      <c r="Q12274" s="1511" t="s">
        <v>1506</v>
      </c>
    </row>
    <row r="12275" spans="1:17" ht="17.399999999999999">
      <c r="A12275" s="549"/>
      <c r="B12275" s="728" t="s">
        <v>52</v>
      </c>
      <c r="C12275" s="549"/>
      <c r="D12275" s="549"/>
      <c r="E12275" s="549"/>
      <c r="F12275" s="549"/>
      <c r="G12275" s="549" t="s">
        <v>21</v>
      </c>
      <c r="H12275" s="549" t="s">
        <v>123</v>
      </c>
      <c r="I12275" s="558">
        <v>16.5</v>
      </c>
      <c r="J12275" s="567">
        <v>11.2</v>
      </c>
      <c r="K12275" s="648">
        <v>4</v>
      </c>
      <c r="L12275" s="552">
        <f t="shared" si="2501"/>
        <v>0.73919999999999997</v>
      </c>
      <c r="M12275" s="549"/>
      <c r="N12275" s="549"/>
      <c r="O12275" s="549"/>
      <c r="P12275" s="549"/>
      <c r="Q12275" s="1511" t="s">
        <v>1529</v>
      </c>
    </row>
    <row r="12276" spans="1:17" ht="17.399999999999999">
      <c r="A12276" s="549"/>
      <c r="B12276" s="549"/>
      <c r="C12276" s="549"/>
      <c r="D12276" s="549"/>
      <c r="E12276" s="549"/>
      <c r="F12276" s="549"/>
      <c r="G12276" s="549"/>
      <c r="H12276" s="549"/>
      <c r="I12276" s="558"/>
      <c r="J12276" s="567"/>
      <c r="K12276" s="648">
        <f t="shared" ref="K12276:L12276" si="2502">SUM(K12274:K12275)</f>
        <v>5</v>
      </c>
      <c r="L12276" s="567">
        <f t="shared" si="2502"/>
        <v>0.86129999999999995</v>
      </c>
      <c r="M12276" s="549"/>
      <c r="N12276" s="549"/>
      <c r="O12276" s="549"/>
      <c r="P12276" s="549" t="s">
        <v>1463</v>
      </c>
    </row>
    <row r="12277" spans="1:17" ht="17.399999999999999">
      <c r="A12277" s="549"/>
      <c r="B12277" s="549"/>
      <c r="C12277" s="549"/>
      <c r="D12277" s="549"/>
      <c r="E12277" s="549"/>
      <c r="F12277" s="549"/>
      <c r="G12277" s="549"/>
      <c r="H12277" s="549"/>
      <c r="I12277" s="560"/>
      <c r="J12277" s="549"/>
      <c r="K12277" s="561"/>
      <c r="L12277" s="560"/>
      <c r="M12277" s="549"/>
      <c r="N12277" s="549"/>
      <c r="O12277" s="549"/>
      <c r="P12277" s="549"/>
    </row>
    <row r="12278" spans="1:17" ht="17.399999999999999">
      <c r="A12278" s="547" t="s">
        <v>83</v>
      </c>
      <c r="B12278" s="547" t="s">
        <v>1455</v>
      </c>
      <c r="C12278" s="547" t="s">
        <v>19</v>
      </c>
      <c r="D12278" s="813" t="s">
        <v>854</v>
      </c>
      <c r="E12278" s="550" t="s">
        <v>367</v>
      </c>
      <c r="F12278" s="550">
        <v>13</v>
      </c>
      <c r="G12278" s="550" t="s">
        <v>21</v>
      </c>
      <c r="H12278" s="1203" t="s">
        <v>123</v>
      </c>
      <c r="I12278" s="551">
        <v>16.5</v>
      </c>
      <c r="J12278" s="765">
        <v>7.4</v>
      </c>
      <c r="K12278" s="766">
        <v>1164</v>
      </c>
      <c r="L12278" s="552">
        <f>(I12278*J12278*K12278/1000)</f>
        <v>142.12440000000004</v>
      </c>
      <c r="M12278" s="550"/>
      <c r="N12278" s="550"/>
      <c r="O12278" s="550"/>
      <c r="P12278" s="550"/>
      <c r="Q12278" s="1511" t="s">
        <v>1507</v>
      </c>
    </row>
    <row r="12279" spans="1:17" ht="17.399999999999999">
      <c r="A12279" s="550"/>
      <c r="B12279" s="769" t="s">
        <v>52</v>
      </c>
      <c r="C12279" s="550"/>
      <c r="D12279" s="550"/>
      <c r="E12279" s="550"/>
      <c r="F12279" s="550"/>
      <c r="G12279" s="550" t="s">
        <v>21</v>
      </c>
      <c r="H12279" s="550" t="s">
        <v>123</v>
      </c>
      <c r="I12279" s="551">
        <v>16.5</v>
      </c>
      <c r="J12279" s="765">
        <v>11.15</v>
      </c>
      <c r="K12279" s="766">
        <v>582</v>
      </c>
      <c r="L12279" s="552">
        <f>(I12279*J12279*K12279/1000)</f>
        <v>107.07344999999999</v>
      </c>
      <c r="M12279" s="550"/>
      <c r="N12279" s="550"/>
      <c r="O12279" s="550"/>
      <c r="P12279" s="550"/>
      <c r="Q12279" s="1511" t="s">
        <v>1530</v>
      </c>
    </row>
    <row r="12280" spans="1:17" ht="17.399999999999999">
      <c r="A12280" s="550"/>
      <c r="B12280" s="550"/>
      <c r="C12280" s="550"/>
      <c r="D12280" s="550"/>
      <c r="E12280" s="550"/>
      <c r="F12280" s="550"/>
      <c r="G12280" s="550"/>
      <c r="H12280" s="550"/>
      <c r="I12280" s="551"/>
      <c r="J12280" s="765"/>
      <c r="K12280" s="766">
        <f>SUM(K12278:K12279)</f>
        <v>1746</v>
      </c>
      <c r="L12280" s="765">
        <f>SUM(L12278:L12279)</f>
        <v>249.19785000000002</v>
      </c>
      <c r="M12280" s="754" t="s">
        <v>1478</v>
      </c>
      <c r="N12280" s="550"/>
      <c r="O12280" s="550"/>
      <c r="P12280" s="549" t="s">
        <v>1463</v>
      </c>
      <c r="Q12280" s="1511" t="s">
        <v>1532</v>
      </c>
    </row>
    <row r="12281" spans="1:17" ht="17.399999999999999">
      <c r="A12281" s="549"/>
      <c r="B12281" s="549"/>
      <c r="C12281" s="549"/>
      <c r="D12281" s="549"/>
      <c r="E12281" s="549"/>
      <c r="F12281" s="549"/>
      <c r="G12281" s="549"/>
      <c r="H12281" s="549"/>
      <c r="I12281" s="560"/>
      <c r="J12281" s="549"/>
      <c r="K12281" s="561"/>
      <c r="L12281" s="560"/>
      <c r="M12281" s="549"/>
      <c r="N12281" s="549"/>
      <c r="O12281" s="549"/>
      <c r="P12281" s="549"/>
    </row>
    <row r="12282" spans="1:17" ht="17.399999999999999">
      <c r="A12282" s="547" t="s">
        <v>541</v>
      </c>
      <c r="B12282" s="979" t="s">
        <v>1314</v>
      </c>
      <c r="C12282" s="547" t="s">
        <v>19</v>
      </c>
      <c r="D12282" s="547" t="s">
        <v>20</v>
      </c>
      <c r="E12282" s="1500" t="s">
        <v>420</v>
      </c>
      <c r="F12282" s="550">
        <v>13</v>
      </c>
      <c r="G12282" s="549" t="s">
        <v>21</v>
      </c>
      <c r="H12282" s="599" t="s">
        <v>123</v>
      </c>
      <c r="I12282" s="558">
        <v>16.5</v>
      </c>
      <c r="J12282" s="567">
        <v>8.3000000000000007</v>
      </c>
      <c r="K12282" s="648">
        <v>14</v>
      </c>
      <c r="L12282" s="552">
        <f>(I12282*J12282*K12282/1000)</f>
        <v>1.9173000000000002</v>
      </c>
      <c r="M12282" s="549"/>
      <c r="N12282" s="549"/>
      <c r="O12282" s="549"/>
      <c r="P12282" s="549"/>
      <c r="Q12282" s="1511" t="s">
        <v>1531</v>
      </c>
    </row>
    <row r="12283" spans="1:17" ht="17.399999999999999">
      <c r="A12283" s="549"/>
      <c r="B12283" s="832" t="s">
        <v>1246</v>
      </c>
      <c r="C12283" s="549"/>
      <c r="D12283" s="549"/>
      <c r="E12283" s="549"/>
      <c r="F12283" s="550"/>
      <c r="G12283" s="549" t="s">
        <v>21</v>
      </c>
      <c r="H12283" s="549" t="s">
        <v>123</v>
      </c>
      <c r="I12283" s="558">
        <v>16.5</v>
      </c>
      <c r="J12283" s="567">
        <v>9.1</v>
      </c>
      <c r="K12283" s="648">
        <v>28</v>
      </c>
      <c r="L12283" s="552">
        <f>(I12283*J12283*K12283/1000)</f>
        <v>4.2042000000000002</v>
      </c>
      <c r="M12283" s="549"/>
      <c r="N12283" s="549"/>
      <c r="O12283" s="549"/>
      <c r="P12283" s="549"/>
    </row>
    <row r="12284" spans="1:17" ht="17.399999999999999">
      <c r="A12284" s="549"/>
      <c r="B12284" s="549"/>
      <c r="C12284" s="549"/>
      <c r="D12284" s="549"/>
      <c r="E12284" s="549"/>
      <c r="F12284" s="550"/>
      <c r="G12284" s="549" t="s">
        <v>21</v>
      </c>
      <c r="H12284" s="549" t="s">
        <v>123</v>
      </c>
      <c r="I12284" s="558">
        <v>16.5</v>
      </c>
      <c r="J12284" s="567">
        <v>11.3</v>
      </c>
      <c r="K12284" s="648">
        <v>11</v>
      </c>
      <c r="L12284" s="552">
        <f>(I12284*J12284*K12284/1000)</f>
        <v>2.0509500000000003</v>
      </c>
      <c r="M12284" s="549"/>
      <c r="N12284" s="549"/>
      <c r="O12284" s="549"/>
      <c r="P12284" s="549"/>
    </row>
    <row r="12285" spans="1:17" ht="17.399999999999999">
      <c r="A12285" s="549"/>
      <c r="B12285" s="549"/>
      <c r="C12285" s="549"/>
      <c r="D12285" s="549"/>
      <c r="E12285" s="549"/>
      <c r="F12285" s="550"/>
      <c r="G12285" s="549"/>
      <c r="H12285" s="549"/>
      <c r="I12285" s="558"/>
      <c r="J12285" s="567"/>
      <c r="K12285" s="648">
        <f>SUM(K12282:K12284)</f>
        <v>53</v>
      </c>
      <c r="L12285" s="567">
        <f>SUM(L12282:L12284)</f>
        <v>8.1724500000000013</v>
      </c>
      <c r="M12285" s="549"/>
      <c r="N12285" s="549"/>
      <c r="O12285" s="549"/>
      <c r="P12285" s="549" t="s">
        <v>1464</v>
      </c>
    </row>
    <row r="12286" spans="1:17" ht="17.399999999999999">
      <c r="A12286" s="549"/>
      <c r="B12286" s="549"/>
      <c r="C12286" s="549"/>
      <c r="D12286" s="549"/>
      <c r="E12286" s="549"/>
      <c r="F12286" s="549"/>
      <c r="G12286" s="549"/>
      <c r="H12286" s="549"/>
      <c r="I12286" s="560"/>
      <c r="J12286" s="549"/>
      <c r="K12286" s="564">
        <f>SUM(K12270:K12285)/2</f>
        <v>2524</v>
      </c>
      <c r="L12286" s="565">
        <f>SUM(L12270:L12285)/2</f>
        <v>360.99360000000001</v>
      </c>
      <c r="M12286" s="549"/>
      <c r="N12286" s="549"/>
      <c r="O12286" s="549"/>
      <c r="P12286" s="549"/>
    </row>
    <row r="12287" spans="1:17" s="1511" customFormat="1" ht="17.399999999999999">
      <c r="A12287" s="549"/>
      <c r="B12287" s="549"/>
      <c r="C12287" s="549"/>
      <c r="D12287" s="549"/>
      <c r="E12287" s="549"/>
      <c r="F12287" s="549"/>
      <c r="G12287" s="549"/>
      <c r="H12287" s="549"/>
      <c r="I12287" s="560"/>
      <c r="J12287" s="549"/>
      <c r="K12287" s="564"/>
      <c r="L12287" s="565"/>
      <c r="M12287" s="549"/>
      <c r="N12287" s="549"/>
      <c r="O12287" s="549"/>
      <c r="P12287" s="549"/>
    </row>
    <row r="12288" spans="1:17" s="1511" customFormat="1" ht="17.399999999999999">
      <c r="A12288" s="549"/>
      <c r="B12288" s="549"/>
      <c r="C12288" s="549"/>
      <c r="D12288" s="549"/>
      <c r="E12288" s="549"/>
      <c r="F12288" s="549"/>
      <c r="G12288" s="549"/>
      <c r="H12288" s="549"/>
      <c r="I12288" s="560"/>
      <c r="J12288" s="549"/>
      <c r="K12288" s="564"/>
      <c r="L12288" s="565"/>
      <c r="M12288" s="549"/>
      <c r="N12288" s="549"/>
      <c r="O12288" s="549"/>
      <c r="P12288" s="549"/>
    </row>
    <row r="12289" spans="1:17" ht="17.399999999999999">
      <c r="A12289" s="547" t="s">
        <v>541</v>
      </c>
      <c r="B12289" s="979" t="s">
        <v>1314</v>
      </c>
      <c r="C12289" s="547" t="s">
        <v>19</v>
      </c>
      <c r="D12289" s="547" t="s">
        <v>20</v>
      </c>
      <c r="E12289" s="1500" t="s">
        <v>420</v>
      </c>
      <c r="F12289" s="550">
        <v>13</v>
      </c>
      <c r="G12289" s="549" t="s">
        <v>21</v>
      </c>
      <c r="H12289" s="599" t="s">
        <v>122</v>
      </c>
      <c r="I12289" s="558">
        <v>14.7</v>
      </c>
      <c r="J12289" s="567">
        <v>7.3</v>
      </c>
      <c r="K12289" s="648">
        <v>1</v>
      </c>
      <c r="L12289" s="552">
        <f t="shared" ref="L12289:L12295" si="2503">(I12289*J12289*K12289/1000)</f>
        <v>0.10730999999999999</v>
      </c>
      <c r="M12289" s="549"/>
      <c r="N12289" s="549"/>
      <c r="O12289" s="549"/>
      <c r="P12289" s="549"/>
      <c r="Q12289" s="1511" t="s">
        <v>1531</v>
      </c>
    </row>
    <row r="12290" spans="1:17" ht="17.399999999999999">
      <c r="A12290" s="549"/>
      <c r="B12290" s="832" t="s">
        <v>1246</v>
      </c>
      <c r="C12290" s="549"/>
      <c r="D12290" s="549"/>
      <c r="E12290" s="549"/>
      <c r="F12290" s="550"/>
      <c r="G12290" s="549" t="s">
        <v>21</v>
      </c>
      <c r="H12290" s="549" t="s">
        <v>122</v>
      </c>
      <c r="I12290" s="558">
        <v>14.7</v>
      </c>
      <c r="J12290" s="567">
        <v>7.7</v>
      </c>
      <c r="K12290" s="648">
        <v>52</v>
      </c>
      <c r="L12290" s="552">
        <f t="shared" si="2503"/>
        <v>5.8858800000000002</v>
      </c>
      <c r="M12290" s="549"/>
      <c r="N12290" s="549"/>
      <c r="O12290" s="549"/>
      <c r="P12290" s="549"/>
    </row>
    <row r="12291" spans="1:17" ht="17.399999999999999">
      <c r="A12291" s="549"/>
      <c r="B12291" s="549"/>
      <c r="C12291" s="549"/>
      <c r="D12291" s="549"/>
      <c r="E12291" s="549"/>
      <c r="F12291" s="550"/>
      <c r="G12291" s="549" t="s">
        <v>21</v>
      </c>
      <c r="H12291" s="549" t="s">
        <v>122</v>
      </c>
      <c r="I12291" s="558">
        <v>14.7</v>
      </c>
      <c r="J12291" s="567">
        <v>9.6</v>
      </c>
      <c r="K12291" s="648">
        <v>44</v>
      </c>
      <c r="L12291" s="552">
        <f t="shared" si="2503"/>
        <v>6.2092799999999988</v>
      </c>
      <c r="M12291" s="549"/>
      <c r="N12291" s="549"/>
      <c r="O12291" s="549"/>
      <c r="P12291" s="549"/>
    </row>
    <row r="12292" spans="1:17" ht="17.399999999999999">
      <c r="A12292" s="549"/>
      <c r="B12292" s="549"/>
      <c r="C12292" s="549"/>
      <c r="D12292" s="549"/>
      <c r="E12292" s="549"/>
      <c r="F12292" s="550"/>
      <c r="G12292" s="549" t="s">
        <v>21</v>
      </c>
      <c r="H12292" s="549" t="s">
        <v>122</v>
      </c>
      <c r="I12292" s="558">
        <v>14.7</v>
      </c>
      <c r="J12292" s="567">
        <v>10.3</v>
      </c>
      <c r="K12292" s="648">
        <v>28</v>
      </c>
      <c r="L12292" s="552">
        <f t="shared" si="2503"/>
        <v>4.2394799999999995</v>
      </c>
      <c r="M12292" s="549"/>
      <c r="N12292" s="549"/>
      <c r="O12292" s="549"/>
      <c r="P12292" s="549"/>
    </row>
    <row r="12293" spans="1:17" ht="17.399999999999999">
      <c r="A12293" s="549"/>
      <c r="B12293" s="549"/>
      <c r="C12293" s="549"/>
      <c r="D12293" s="549"/>
      <c r="E12293" s="549"/>
      <c r="F12293" s="550"/>
      <c r="G12293" s="549" t="s">
        <v>21</v>
      </c>
      <c r="H12293" s="549" t="s">
        <v>122</v>
      </c>
      <c r="I12293" s="558">
        <v>14.7</v>
      </c>
      <c r="J12293" s="567">
        <v>11</v>
      </c>
      <c r="K12293" s="648">
        <v>21</v>
      </c>
      <c r="L12293" s="552">
        <f t="shared" si="2503"/>
        <v>3.3956999999999997</v>
      </c>
      <c r="M12293" s="549"/>
      <c r="N12293" s="549"/>
      <c r="O12293" s="549"/>
      <c r="P12293" s="549"/>
    </row>
    <row r="12294" spans="1:17" ht="17.399999999999999">
      <c r="A12294" s="549"/>
      <c r="B12294" s="549"/>
      <c r="C12294" s="549"/>
      <c r="D12294" s="549"/>
      <c r="E12294" s="549"/>
      <c r="F12294" s="550"/>
      <c r="G12294" s="549" t="s">
        <v>21</v>
      </c>
      <c r="H12294" s="549" t="s">
        <v>122</v>
      </c>
      <c r="I12294" s="558">
        <v>14.7</v>
      </c>
      <c r="J12294" s="567">
        <v>11.3</v>
      </c>
      <c r="K12294" s="648">
        <v>44</v>
      </c>
      <c r="L12294" s="552">
        <f t="shared" si="2503"/>
        <v>7.30884</v>
      </c>
      <c r="M12294" s="549"/>
      <c r="N12294" s="549"/>
      <c r="O12294" s="549"/>
      <c r="P12294" s="549"/>
    </row>
    <row r="12295" spans="1:17" ht="17.399999999999999">
      <c r="A12295" s="549"/>
      <c r="B12295" s="549"/>
      <c r="C12295" s="549"/>
      <c r="D12295" s="549"/>
      <c r="E12295" s="549"/>
      <c r="F12295" s="550"/>
      <c r="G12295" s="549" t="s">
        <v>21</v>
      </c>
      <c r="H12295" s="549" t="s">
        <v>122</v>
      </c>
      <c r="I12295" s="558">
        <v>14.7</v>
      </c>
      <c r="J12295" s="567">
        <v>11.7</v>
      </c>
      <c r="K12295" s="648">
        <v>52</v>
      </c>
      <c r="L12295" s="552">
        <f t="shared" si="2503"/>
        <v>8.9434799999999992</v>
      </c>
      <c r="M12295" s="549"/>
      <c r="N12295" s="549"/>
      <c r="O12295" s="549"/>
      <c r="P12295" s="549"/>
    </row>
    <row r="12296" spans="1:17" ht="17.399999999999999">
      <c r="A12296" s="549"/>
      <c r="B12296" s="549"/>
      <c r="C12296" s="549"/>
      <c r="D12296" s="549"/>
      <c r="E12296" s="549"/>
      <c r="F12296" s="550"/>
      <c r="G12296" s="549"/>
      <c r="H12296" s="549"/>
      <c r="I12296" s="558"/>
      <c r="J12296" s="567"/>
      <c r="K12296" s="648">
        <f>SUM(K12289:K12295)</f>
        <v>242</v>
      </c>
      <c r="L12296" s="567">
        <f>SUM(L12289:L12295)</f>
        <v>36.089969999999994</v>
      </c>
      <c r="M12296" s="549"/>
      <c r="N12296" s="549"/>
      <c r="O12296" s="549"/>
      <c r="P12296" s="549" t="s">
        <v>1465</v>
      </c>
    </row>
    <row r="12297" spans="1:17" ht="17.399999999999999">
      <c r="A12297" s="549"/>
      <c r="B12297" s="549"/>
      <c r="C12297" s="549"/>
      <c r="D12297" s="549"/>
      <c r="E12297" s="549"/>
      <c r="F12297" s="549"/>
      <c r="G12297" s="549"/>
      <c r="H12297" s="549"/>
      <c r="I12297" s="560"/>
      <c r="J12297" s="549"/>
      <c r="K12297" s="561"/>
      <c r="L12297" s="560"/>
      <c r="M12297" s="549"/>
      <c r="N12297" s="549"/>
      <c r="O12297" s="549"/>
      <c r="P12297" s="549"/>
    </row>
    <row r="12298" spans="1:17" ht="17.399999999999999">
      <c r="A12298" s="547" t="s">
        <v>83</v>
      </c>
      <c r="B12298" s="547" t="s">
        <v>1453</v>
      </c>
      <c r="C12298" s="547" t="s">
        <v>19</v>
      </c>
      <c r="D12298" s="813" t="s">
        <v>854</v>
      </c>
      <c r="E12298" s="650" t="s">
        <v>464</v>
      </c>
      <c r="F12298" s="550">
        <v>13</v>
      </c>
      <c r="G12298" s="549" t="s">
        <v>21</v>
      </c>
      <c r="H12298" s="599" t="s">
        <v>122</v>
      </c>
      <c r="I12298" s="558">
        <v>14.7</v>
      </c>
      <c r="J12298" s="710">
        <v>12</v>
      </c>
      <c r="K12298" s="648">
        <v>9</v>
      </c>
      <c r="L12298" s="552">
        <f>(I12298*J12298*K12298/1000)</f>
        <v>1.5875999999999999</v>
      </c>
      <c r="M12298" s="549"/>
      <c r="N12298" s="549"/>
      <c r="O12298" s="549"/>
      <c r="P12298" s="549"/>
      <c r="Q12298" s="1511" t="s">
        <v>1531</v>
      </c>
    </row>
    <row r="12299" spans="1:17" ht="17.399999999999999">
      <c r="A12299" s="549"/>
      <c r="B12299" s="769" t="s">
        <v>1407</v>
      </c>
      <c r="C12299" s="549"/>
      <c r="D12299" s="549"/>
      <c r="E12299" s="549"/>
      <c r="F12299" s="549"/>
      <c r="G12299" s="549"/>
      <c r="H12299" s="650"/>
      <c r="I12299" s="560"/>
      <c r="J12299" s="710"/>
      <c r="K12299" s="648">
        <f>SUM(K12298:K12298)</f>
        <v>9</v>
      </c>
      <c r="L12299" s="765">
        <f>SUM(L12298:L12298)</f>
        <v>1.5875999999999999</v>
      </c>
      <c r="M12299" s="549"/>
      <c r="N12299" s="549"/>
      <c r="O12299" s="549"/>
      <c r="P12299" s="549" t="s">
        <v>1466</v>
      </c>
    </row>
    <row r="12300" spans="1:17" ht="17.399999999999999">
      <c r="A12300" s="549"/>
      <c r="B12300" s="549"/>
      <c r="C12300" s="549"/>
      <c r="D12300" s="549"/>
      <c r="E12300" s="549"/>
      <c r="F12300" s="549"/>
      <c r="G12300" s="549"/>
      <c r="H12300" s="549"/>
      <c r="I12300" s="560"/>
      <c r="J12300" s="549"/>
      <c r="K12300" s="561"/>
      <c r="L12300" s="560"/>
      <c r="M12300" s="549"/>
      <c r="N12300" s="549"/>
      <c r="O12300" s="549"/>
      <c r="P12300" s="549"/>
    </row>
    <row r="12301" spans="1:17" ht="17.399999999999999">
      <c r="A12301" s="547" t="s">
        <v>83</v>
      </c>
      <c r="B12301" s="547" t="s">
        <v>1410</v>
      </c>
      <c r="C12301" s="547" t="s">
        <v>19</v>
      </c>
      <c r="D12301" s="813" t="s">
        <v>854</v>
      </c>
      <c r="E12301" s="549" t="s">
        <v>367</v>
      </c>
      <c r="F12301" s="550">
        <v>13</v>
      </c>
      <c r="G12301" s="549" t="s">
        <v>21</v>
      </c>
      <c r="H12301" s="599" t="s">
        <v>122</v>
      </c>
      <c r="I12301" s="558">
        <v>14.7</v>
      </c>
      <c r="J12301" s="567">
        <v>8.6</v>
      </c>
      <c r="K12301" s="648">
        <v>40</v>
      </c>
      <c r="L12301" s="552">
        <f>(I12301*J12301*K12301/1000)</f>
        <v>5.0567999999999991</v>
      </c>
      <c r="M12301" s="549"/>
      <c r="N12301" s="549"/>
      <c r="O12301" s="549"/>
      <c r="P12301" s="549"/>
      <c r="Q12301" s="1511" t="s">
        <v>1531</v>
      </c>
    </row>
    <row r="12302" spans="1:17" ht="17.399999999999999">
      <c r="A12302" s="549"/>
      <c r="B12302" s="728" t="s">
        <v>52</v>
      </c>
      <c r="C12302" s="549"/>
      <c r="D12302" s="549"/>
      <c r="E12302" s="549"/>
      <c r="F12302" s="549"/>
      <c r="G12302" s="549"/>
      <c r="H12302" s="549"/>
      <c r="I12302" s="558"/>
      <c r="J12302" s="567"/>
      <c r="K12302" s="648">
        <f t="shared" ref="K12302:L12302" si="2504">SUM(K12301)</f>
        <v>40</v>
      </c>
      <c r="L12302" s="567">
        <f t="shared" si="2504"/>
        <v>5.0567999999999991</v>
      </c>
      <c r="M12302" s="549"/>
      <c r="N12302" s="549"/>
      <c r="O12302" s="549"/>
      <c r="P12302" s="549" t="s">
        <v>1467</v>
      </c>
    </row>
    <row r="12303" spans="1:17" s="1511" customFormat="1" ht="17.399999999999999">
      <c r="A12303" s="549"/>
      <c r="B12303" s="728"/>
      <c r="C12303" s="549"/>
      <c r="D12303" s="549"/>
      <c r="E12303" s="549"/>
      <c r="F12303" s="549"/>
      <c r="G12303" s="549"/>
      <c r="H12303" s="549"/>
      <c r="I12303" s="558"/>
      <c r="J12303" s="567"/>
      <c r="K12303" s="648"/>
      <c r="L12303" s="567"/>
      <c r="M12303" s="549"/>
      <c r="N12303" s="549"/>
      <c r="O12303" s="549"/>
      <c r="P12303" s="549"/>
    </row>
    <row r="12304" spans="1:17" ht="17.399999999999999">
      <c r="A12304" s="547" t="s">
        <v>395</v>
      </c>
      <c r="B12304" s="852" t="s">
        <v>1364</v>
      </c>
      <c r="C12304" s="547" t="s">
        <v>19</v>
      </c>
      <c r="D12304" s="813" t="s">
        <v>854</v>
      </c>
      <c r="E12304" s="547" t="s">
        <v>359</v>
      </c>
      <c r="F12304" s="550">
        <v>13</v>
      </c>
      <c r="G12304" s="549" t="s">
        <v>21</v>
      </c>
      <c r="H12304" s="599" t="s">
        <v>122</v>
      </c>
      <c r="I12304" s="558">
        <v>14.66</v>
      </c>
      <c r="J12304" s="567">
        <v>12</v>
      </c>
      <c r="K12304" s="648">
        <v>78</v>
      </c>
      <c r="L12304" s="552">
        <f>(I12304*J12304*K12304/1000)</f>
        <v>13.721760000000002</v>
      </c>
      <c r="M12304" s="549"/>
      <c r="N12304" s="549"/>
      <c r="O12304" s="549"/>
      <c r="P12304" s="549"/>
      <c r="Q12304" s="1511" t="s">
        <v>1531</v>
      </c>
    </row>
    <row r="12305" spans="1:17" ht="17.399999999999999">
      <c r="A12305" s="549"/>
      <c r="B12305" s="1605" t="s">
        <v>277</v>
      </c>
      <c r="C12305" s="549"/>
      <c r="D12305" s="549"/>
      <c r="E12305" s="549"/>
      <c r="F12305" s="549"/>
      <c r="G12305" s="549"/>
      <c r="H12305" s="549"/>
      <c r="I12305" s="558"/>
      <c r="J12305" s="567"/>
      <c r="K12305" s="648">
        <f t="shared" ref="K12305" si="2505">SUM(K12304)</f>
        <v>78</v>
      </c>
      <c r="L12305" s="567">
        <f>SUM(L12304)</f>
        <v>13.721760000000002</v>
      </c>
      <c r="M12305" s="549"/>
      <c r="N12305" s="549"/>
      <c r="O12305" s="549"/>
      <c r="P12305" s="549" t="s">
        <v>1468</v>
      </c>
    </row>
    <row r="12306" spans="1:17" s="1511" customFormat="1" ht="17.399999999999999">
      <c r="A12306" s="549"/>
      <c r="B12306" s="1605"/>
      <c r="C12306" s="549"/>
      <c r="D12306" s="549"/>
      <c r="E12306" s="549"/>
      <c r="F12306" s="549"/>
      <c r="G12306" s="549"/>
      <c r="H12306" s="549"/>
      <c r="I12306" s="558"/>
      <c r="J12306" s="567"/>
      <c r="K12306" s="648"/>
      <c r="L12306" s="567"/>
      <c r="M12306" s="549"/>
      <c r="N12306" s="549"/>
      <c r="O12306" s="549"/>
      <c r="P12306" s="549"/>
    </row>
    <row r="12307" spans="1:17" s="1511" customFormat="1" ht="17.399999999999999">
      <c r="A12307" s="547" t="s">
        <v>395</v>
      </c>
      <c r="B12307" s="852" t="s">
        <v>1365</v>
      </c>
      <c r="C12307" s="547" t="s">
        <v>19</v>
      </c>
      <c r="D12307" s="813" t="s">
        <v>854</v>
      </c>
      <c r="E12307" s="547" t="s">
        <v>359</v>
      </c>
      <c r="F12307" s="550">
        <v>13</v>
      </c>
      <c r="G12307" s="549" t="s">
        <v>21</v>
      </c>
      <c r="H12307" s="599" t="s">
        <v>122</v>
      </c>
      <c r="I12307" s="558">
        <v>14.66</v>
      </c>
      <c r="J12307" s="567">
        <v>12</v>
      </c>
      <c r="K12307" s="648">
        <v>120</v>
      </c>
      <c r="L12307" s="552">
        <f>(I12307*J12307*K12307/1000)</f>
        <v>21.110400000000002</v>
      </c>
      <c r="M12307" s="549"/>
      <c r="N12307" s="549"/>
      <c r="O12307" s="549"/>
      <c r="P12307" s="549"/>
      <c r="Q12307" s="1511" t="s">
        <v>1531</v>
      </c>
    </row>
    <row r="12308" spans="1:17" s="1511" customFormat="1" ht="17.399999999999999">
      <c r="A12308" s="549"/>
      <c r="B12308" s="1605" t="s">
        <v>277</v>
      </c>
      <c r="C12308" s="549"/>
      <c r="D12308" s="549"/>
      <c r="E12308" s="549"/>
      <c r="F12308" s="549"/>
      <c r="G12308" s="549"/>
      <c r="H12308" s="549"/>
      <c r="I12308" s="558"/>
      <c r="J12308" s="567"/>
      <c r="K12308" s="648">
        <f>SUM(K12307:K12307)</f>
        <v>120</v>
      </c>
      <c r="L12308" s="567">
        <f>SUM(L12307:L12307)</f>
        <v>21.110400000000002</v>
      </c>
      <c r="M12308" s="549"/>
      <c r="N12308" s="549"/>
      <c r="O12308" s="549"/>
      <c r="P12308" s="549" t="s">
        <v>1468</v>
      </c>
    </row>
    <row r="12309" spans="1:17" s="1511" customFormat="1" ht="17.399999999999999">
      <c r="A12309" s="549"/>
      <c r="B12309" s="728"/>
      <c r="C12309" s="549"/>
      <c r="D12309" s="549"/>
      <c r="E12309" s="549"/>
      <c r="F12309" s="549"/>
      <c r="G12309" s="549"/>
      <c r="H12309" s="549"/>
      <c r="I12309" s="558"/>
      <c r="J12309" s="567"/>
      <c r="K12309" s="648">
        <f>SUM(K12289:K12308)/2</f>
        <v>489</v>
      </c>
      <c r="L12309" s="567">
        <f>SUM(L12289:L12308)/2</f>
        <v>77.566529999999986</v>
      </c>
      <c r="M12309" s="549"/>
      <c r="N12309" s="549"/>
      <c r="O12309" s="549"/>
      <c r="P12309" s="549"/>
    </row>
    <row r="12310" spans="1:17" s="1511" customFormat="1" ht="17.399999999999999">
      <c r="A12310" s="549"/>
      <c r="B12310" s="728"/>
      <c r="C12310" s="549"/>
      <c r="D12310" s="549"/>
      <c r="E12310" s="549"/>
      <c r="F12310" s="549"/>
      <c r="G12310" s="549"/>
      <c r="H12310" s="549"/>
      <c r="I12310" s="558"/>
      <c r="J12310" s="567"/>
      <c r="K12310" s="648"/>
      <c r="L12310" s="567"/>
      <c r="M12310" s="549"/>
      <c r="N12310" s="549"/>
      <c r="O12310" s="549"/>
      <c r="P12310" s="549"/>
    </row>
    <row r="12311" spans="1:17" s="1511" customFormat="1" ht="17.399999999999999">
      <c r="A12311" s="549"/>
      <c r="B12311" s="549"/>
      <c r="C12311" s="549"/>
      <c r="D12311" s="549"/>
      <c r="E12311" s="549"/>
      <c r="F12311" s="549"/>
      <c r="G12311" s="549"/>
      <c r="H12311" s="549"/>
      <c r="I12311" s="560"/>
      <c r="J12311" s="549"/>
      <c r="K12311" s="564"/>
      <c r="L12311" s="568"/>
      <c r="M12311" s="549"/>
      <c r="N12311" s="549"/>
      <c r="O12311" s="549"/>
      <c r="P12311" s="549"/>
    </row>
    <row r="12312" spans="1:17" ht="17.399999999999999">
      <c r="A12312" s="547" t="s">
        <v>395</v>
      </c>
      <c r="B12312" s="852" t="s">
        <v>1364</v>
      </c>
      <c r="C12312" s="547" t="s">
        <v>19</v>
      </c>
      <c r="D12312" s="813" t="s">
        <v>854</v>
      </c>
      <c r="E12312" s="547" t="s">
        <v>359</v>
      </c>
      <c r="F12312" s="550">
        <v>13</v>
      </c>
      <c r="G12312" s="549" t="s">
        <v>21</v>
      </c>
      <c r="H12312" s="599" t="s">
        <v>121</v>
      </c>
      <c r="I12312" s="558">
        <v>12.9</v>
      </c>
      <c r="J12312" s="567">
        <v>8.5</v>
      </c>
      <c r="K12312" s="648">
        <v>40</v>
      </c>
      <c r="L12312" s="552">
        <f t="shared" ref="L12312:L12313" si="2506">(I12312*J12312*K12312/1000)</f>
        <v>4.3860000000000001</v>
      </c>
      <c r="M12312" s="549"/>
      <c r="N12312" s="549"/>
      <c r="O12312" s="549"/>
      <c r="P12312" s="549"/>
      <c r="Q12312" s="1511" t="s">
        <v>1531</v>
      </c>
    </row>
    <row r="12313" spans="1:17" ht="17.399999999999999">
      <c r="A12313" s="549"/>
      <c r="B12313" s="1605" t="s">
        <v>277</v>
      </c>
      <c r="C12313" s="549"/>
      <c r="D12313" s="549"/>
      <c r="E12313" s="549"/>
      <c r="F12313" s="549"/>
      <c r="G12313" s="549" t="s">
        <v>21</v>
      </c>
      <c r="H12313" s="549" t="s">
        <v>121</v>
      </c>
      <c r="I12313" s="558">
        <v>12.9</v>
      </c>
      <c r="J12313" s="567">
        <v>10</v>
      </c>
      <c r="K12313" s="648">
        <v>26</v>
      </c>
      <c r="L12313" s="552">
        <f t="shared" si="2506"/>
        <v>3.3540000000000001</v>
      </c>
      <c r="M12313" s="549"/>
      <c r="N12313" s="549"/>
      <c r="O12313" s="549"/>
      <c r="P12313" s="549"/>
    </row>
    <row r="12314" spans="1:17" ht="17.399999999999999">
      <c r="A12314" s="549"/>
      <c r="B12314" s="549"/>
      <c r="C12314" s="549"/>
      <c r="D12314" s="549"/>
      <c r="E12314" s="549"/>
      <c r="F12314" s="549"/>
      <c r="G12314" s="549"/>
      <c r="H12314" s="549"/>
      <c r="I12314" s="558"/>
      <c r="J12314" s="567"/>
      <c r="K12314" s="648">
        <f t="shared" ref="K12314:L12314" si="2507">SUM(K12312:K12313)</f>
        <v>66</v>
      </c>
      <c r="L12314" s="567">
        <f t="shared" si="2507"/>
        <v>7.74</v>
      </c>
      <c r="M12314" s="549"/>
      <c r="N12314" s="549"/>
      <c r="O12314" s="549"/>
      <c r="P12314" s="549"/>
    </row>
    <row r="12315" spans="1:17" s="1511" customFormat="1" ht="17.399999999999999">
      <c r="A12315" s="549"/>
      <c r="B12315" s="549"/>
      <c r="C12315" s="549"/>
      <c r="D12315" s="549"/>
      <c r="E12315" s="549"/>
      <c r="F12315" s="549"/>
      <c r="G12315" s="549"/>
      <c r="H12315" s="549"/>
      <c r="I12315" s="558"/>
      <c r="J12315" s="567"/>
      <c r="K12315" s="648"/>
      <c r="L12315" s="567"/>
      <c r="M12315" s="549"/>
      <c r="N12315" s="549"/>
      <c r="O12315" s="549"/>
      <c r="P12315" s="549"/>
    </row>
    <row r="12316" spans="1:17" s="1511" customFormat="1" ht="17.399999999999999">
      <c r="A12316" s="547" t="s">
        <v>395</v>
      </c>
      <c r="B12316" s="852" t="s">
        <v>1365</v>
      </c>
      <c r="C12316" s="547" t="s">
        <v>19</v>
      </c>
      <c r="D12316" s="813" t="s">
        <v>854</v>
      </c>
      <c r="E12316" s="547" t="s">
        <v>359</v>
      </c>
      <c r="F12316" s="550">
        <v>13</v>
      </c>
      <c r="G12316" s="549" t="s">
        <v>21</v>
      </c>
      <c r="H12316" s="599" t="s">
        <v>121</v>
      </c>
      <c r="I12316" s="558">
        <v>12.9</v>
      </c>
      <c r="J12316" s="567">
        <v>8.5</v>
      </c>
      <c r="K12316" s="648">
        <v>80</v>
      </c>
      <c r="L12316" s="552">
        <f>(I12316*J12316*K12316/1000)</f>
        <v>8.7720000000000002</v>
      </c>
      <c r="M12316" s="549"/>
      <c r="N12316" s="549"/>
      <c r="O12316" s="549"/>
      <c r="P12316" s="549"/>
      <c r="Q12316" s="1511" t="s">
        <v>1531</v>
      </c>
    </row>
    <row r="12317" spans="1:17" s="1511" customFormat="1" ht="17.399999999999999">
      <c r="A12317" s="549"/>
      <c r="B12317" s="1605" t="s">
        <v>277</v>
      </c>
      <c r="C12317" s="549"/>
      <c r="D12317" s="549"/>
      <c r="E12317" s="549"/>
      <c r="F12317" s="549"/>
      <c r="G12317" s="549" t="s">
        <v>21</v>
      </c>
      <c r="H12317" s="549" t="s">
        <v>121</v>
      </c>
      <c r="I12317" s="558">
        <v>12.9</v>
      </c>
      <c r="J12317" s="567">
        <v>10</v>
      </c>
      <c r="K12317" s="648">
        <v>40</v>
      </c>
      <c r="L12317" s="552">
        <f>(I12317*J12317*K12317/1000)</f>
        <v>5.16</v>
      </c>
      <c r="M12317" s="549"/>
      <c r="N12317" s="549"/>
      <c r="O12317" s="549"/>
      <c r="P12317" s="549"/>
    </row>
    <row r="12318" spans="1:17" s="1511" customFormat="1" ht="17.399999999999999">
      <c r="A12318" s="549"/>
      <c r="B12318" s="549"/>
      <c r="C12318" s="549"/>
      <c r="D12318" s="549"/>
      <c r="E12318" s="549"/>
      <c r="F12318" s="549"/>
      <c r="G12318" s="549"/>
      <c r="H12318" s="549"/>
      <c r="I12318" s="558"/>
      <c r="J12318" s="567"/>
      <c r="K12318" s="648">
        <f>SUM(K12316:K12317)</f>
        <v>120</v>
      </c>
      <c r="L12318" s="567">
        <f>SUM(L12316:L12317)</f>
        <v>13.932</v>
      </c>
      <c r="M12318" s="549"/>
      <c r="N12318" s="549"/>
      <c r="O12318" s="549"/>
      <c r="P12318" s="549"/>
    </row>
    <row r="12319" spans="1:17" s="1511" customFormat="1" ht="17.399999999999999">
      <c r="A12319" s="549"/>
      <c r="B12319" s="549"/>
      <c r="C12319" s="549"/>
      <c r="D12319" s="549"/>
      <c r="E12319" s="549"/>
      <c r="F12319" s="549"/>
      <c r="G12319" s="549"/>
      <c r="H12319" s="549"/>
      <c r="I12319" s="558"/>
      <c r="J12319" s="567"/>
      <c r="K12319" s="648">
        <f>SUM(K12312:K12318)/2</f>
        <v>186</v>
      </c>
      <c r="L12319" s="567">
        <f>SUM(L12312:L12318)/2</f>
        <v>21.672000000000001</v>
      </c>
      <c r="M12319" s="549"/>
      <c r="N12319" s="549"/>
      <c r="O12319" s="549"/>
      <c r="P12319" s="549" t="s">
        <v>1469</v>
      </c>
    </row>
    <row r="12320" spans="1:17" s="1511" customFormat="1" ht="17.399999999999999">
      <c r="A12320" s="549"/>
      <c r="B12320" s="549"/>
      <c r="C12320" s="549"/>
      <c r="D12320" s="549"/>
      <c r="E12320" s="549"/>
      <c r="F12320" s="549"/>
      <c r="G12320" s="549"/>
      <c r="H12320" s="549"/>
      <c r="I12320" s="558"/>
      <c r="J12320" s="567"/>
      <c r="K12320" s="648"/>
      <c r="L12320" s="567"/>
      <c r="M12320" s="549"/>
      <c r="N12320" s="549"/>
      <c r="O12320" s="549"/>
      <c r="P12320" s="549"/>
    </row>
    <row r="12321" spans="1:17" ht="17.399999999999999">
      <c r="A12321" s="549"/>
      <c r="B12321" s="547"/>
      <c r="C12321" s="549"/>
      <c r="D12321" s="549"/>
      <c r="E12321" s="549"/>
      <c r="F12321" s="549"/>
      <c r="G12321" s="549"/>
      <c r="H12321" s="549"/>
      <c r="I12321" s="560"/>
      <c r="J12321" s="549"/>
      <c r="K12321" s="561"/>
      <c r="L12321" s="560"/>
      <c r="M12321" s="549"/>
      <c r="N12321" s="549"/>
      <c r="O12321" s="549"/>
      <c r="P12321" s="549"/>
    </row>
    <row r="12322" spans="1:17" ht="17.399999999999999">
      <c r="A12322" s="547" t="s">
        <v>395</v>
      </c>
      <c r="B12322" s="547" t="s">
        <v>1363</v>
      </c>
      <c r="C12322" s="547" t="s">
        <v>446</v>
      </c>
      <c r="D12322" s="813" t="s">
        <v>447</v>
      </c>
      <c r="E12322" s="547" t="s">
        <v>359</v>
      </c>
      <c r="F12322" s="550">
        <v>13</v>
      </c>
      <c r="G12322" s="549" t="s">
        <v>21</v>
      </c>
      <c r="H12322" s="599" t="s">
        <v>122</v>
      </c>
      <c r="I12322" s="558">
        <v>14.66</v>
      </c>
      <c r="J12322" s="567">
        <v>6.25</v>
      </c>
      <c r="K12322" s="648">
        <v>1</v>
      </c>
      <c r="L12322" s="552">
        <f>(I12322*J12322*K12322/1000)</f>
        <v>9.1624999999999998E-2</v>
      </c>
      <c r="M12322" s="549"/>
      <c r="N12322" s="549"/>
      <c r="O12322" s="549"/>
      <c r="P12322" s="549"/>
      <c r="Q12322" s="1511" t="s">
        <v>1535</v>
      </c>
    </row>
    <row r="12323" spans="1:17" ht="17.399999999999999">
      <c r="A12323" s="549"/>
      <c r="B12323" s="547"/>
      <c r="C12323" s="549"/>
      <c r="D12323" s="549"/>
      <c r="E12323" s="549"/>
      <c r="F12323" s="549"/>
      <c r="G12323" s="549"/>
      <c r="H12323" s="549"/>
      <c r="I12323" s="558"/>
      <c r="J12323" s="567"/>
      <c r="K12323" s="648">
        <f t="shared" ref="K12323:L12323" si="2508">SUM(K12322)</f>
        <v>1</v>
      </c>
      <c r="L12323" s="567">
        <f t="shared" si="2508"/>
        <v>9.1624999999999998E-2</v>
      </c>
      <c r="M12323" s="549"/>
      <c r="N12323" s="549"/>
      <c r="O12323" s="549"/>
      <c r="P12323" s="549"/>
    </row>
    <row r="12324" spans="1:17" ht="17.399999999999999">
      <c r="A12324" s="549"/>
      <c r="B12324" s="547"/>
      <c r="C12324" s="549"/>
      <c r="D12324" s="549"/>
      <c r="E12324" s="549"/>
      <c r="F12324" s="549"/>
      <c r="G12324" s="549"/>
      <c r="H12324" s="549"/>
      <c r="I12324" s="560"/>
      <c r="J12324" s="549"/>
      <c r="K12324" s="561"/>
      <c r="L12324" s="560"/>
      <c r="M12324" s="549"/>
      <c r="N12324" s="549"/>
      <c r="O12324" s="549"/>
      <c r="P12324" s="549"/>
    </row>
    <row r="12325" spans="1:17" ht="17.399999999999999">
      <c r="A12325" s="547" t="s">
        <v>395</v>
      </c>
      <c r="B12325" s="547" t="s">
        <v>1361</v>
      </c>
      <c r="C12325" s="547" t="s">
        <v>446</v>
      </c>
      <c r="D12325" s="813" t="s">
        <v>447</v>
      </c>
      <c r="E12325" s="547" t="s">
        <v>359</v>
      </c>
      <c r="F12325" s="550">
        <v>13</v>
      </c>
      <c r="G12325" s="549" t="s">
        <v>21</v>
      </c>
      <c r="H12325" s="599" t="s">
        <v>122</v>
      </c>
      <c r="I12325" s="558">
        <v>14.66</v>
      </c>
      <c r="J12325" s="567">
        <v>6.25</v>
      </c>
      <c r="K12325" s="648">
        <v>4</v>
      </c>
      <c r="L12325" s="552">
        <f>(I12325*J12325*K12325/1000)</f>
        <v>0.36649999999999999</v>
      </c>
      <c r="M12325" s="549"/>
      <c r="N12325" s="549"/>
      <c r="O12325" s="549"/>
      <c r="P12325" s="549"/>
      <c r="Q12325" s="1511" t="s">
        <v>1535</v>
      </c>
    </row>
    <row r="12326" spans="1:17" ht="17.399999999999999">
      <c r="A12326" s="549"/>
      <c r="B12326" s="549"/>
      <c r="C12326" s="549"/>
      <c r="D12326" s="549"/>
      <c r="E12326" s="549"/>
      <c r="F12326" s="549"/>
      <c r="G12326" s="549"/>
      <c r="H12326" s="549"/>
      <c r="I12326" s="558"/>
      <c r="J12326" s="567"/>
      <c r="K12326" s="648">
        <f t="shared" ref="K12326:L12326" si="2509">SUM(K12325)</f>
        <v>4</v>
      </c>
      <c r="L12326" s="567">
        <f t="shared" si="2509"/>
        <v>0.36649999999999999</v>
      </c>
      <c r="M12326" s="549"/>
      <c r="N12326" s="549"/>
      <c r="O12326" s="549"/>
      <c r="P12326" s="549"/>
    </row>
    <row r="12327" spans="1:17" ht="17.399999999999999">
      <c r="A12327" s="549"/>
      <c r="B12327" s="549"/>
      <c r="C12327" s="549"/>
      <c r="D12327" s="549"/>
      <c r="E12327" s="549"/>
      <c r="F12327" s="549"/>
      <c r="G12327" s="549"/>
      <c r="H12327" s="549"/>
      <c r="I12327" s="560"/>
      <c r="J12327" s="549"/>
      <c r="K12327" s="652">
        <f>SUM(K12322:K12326)/2</f>
        <v>5</v>
      </c>
      <c r="L12327" s="565">
        <f>SUM(L12322:L12326)/2</f>
        <v>0.458125</v>
      </c>
      <c r="M12327" s="549"/>
      <c r="N12327" s="549"/>
      <c r="O12327" s="549"/>
      <c r="P12327" s="549" t="s">
        <v>1470</v>
      </c>
    </row>
    <row r="12328" spans="1:17" s="1511" customFormat="1" ht="17.399999999999999">
      <c r="A12328" s="549"/>
      <c r="B12328" s="549"/>
      <c r="C12328" s="549"/>
      <c r="D12328" s="549"/>
      <c r="E12328" s="549"/>
      <c r="F12328" s="549"/>
      <c r="G12328" s="549"/>
      <c r="H12328" s="549"/>
      <c r="I12328" s="560"/>
      <c r="J12328" s="549"/>
      <c r="K12328" s="652"/>
      <c r="L12328" s="565"/>
      <c r="M12328" s="549"/>
      <c r="N12328" s="549"/>
      <c r="O12328" s="549"/>
      <c r="P12328" s="549"/>
    </row>
    <row r="12329" spans="1:17" ht="17.399999999999999">
      <c r="A12329" s="549"/>
      <c r="B12329" s="549"/>
      <c r="C12329" s="549"/>
      <c r="D12329" s="549"/>
      <c r="E12329" s="549"/>
      <c r="F12329" s="549"/>
      <c r="G12329" s="549"/>
      <c r="H12329" s="549"/>
      <c r="I12329" s="560"/>
      <c r="J12329" s="549"/>
      <c r="K12329" s="561"/>
      <c r="L12329" s="560"/>
      <c r="M12329" s="549"/>
      <c r="N12329" s="549"/>
      <c r="O12329" s="549"/>
      <c r="P12329" s="549"/>
    </row>
    <row r="12330" spans="1:17" ht="17.399999999999999">
      <c r="A12330" s="547" t="s">
        <v>83</v>
      </c>
      <c r="B12330" s="547" t="s">
        <v>1360</v>
      </c>
      <c r="C12330" s="547" t="s">
        <v>446</v>
      </c>
      <c r="D12330" s="813" t="s">
        <v>447</v>
      </c>
      <c r="E12330" s="547" t="s">
        <v>359</v>
      </c>
      <c r="F12330" s="550">
        <v>13</v>
      </c>
      <c r="G12330" s="549" t="s">
        <v>21</v>
      </c>
      <c r="H12330" s="599" t="s">
        <v>123</v>
      </c>
      <c r="I12330" s="558">
        <v>16.5</v>
      </c>
      <c r="J12330" s="567">
        <v>7.6</v>
      </c>
      <c r="K12330" s="648">
        <v>18</v>
      </c>
      <c r="L12330" s="552">
        <f>(I12330*J12330*K12330/1000)</f>
        <v>2.2571999999999997</v>
      </c>
      <c r="M12330" s="549"/>
      <c r="N12330" s="549"/>
      <c r="O12330" s="549"/>
      <c r="P12330" s="549"/>
      <c r="Q12330" s="1511" t="s">
        <v>1546</v>
      </c>
    </row>
    <row r="12331" spans="1:17" ht="17.399999999999999">
      <c r="A12331" s="549"/>
      <c r="B12331" s="549"/>
      <c r="C12331" s="549"/>
      <c r="D12331" s="549"/>
      <c r="E12331" s="549"/>
      <c r="F12331" s="549"/>
      <c r="G12331" s="549" t="s">
        <v>21</v>
      </c>
      <c r="H12331" s="549" t="s">
        <v>123</v>
      </c>
      <c r="I12331" s="558">
        <v>16.5</v>
      </c>
      <c r="J12331" s="567">
        <v>8.8000000000000007</v>
      </c>
      <c r="K12331" s="648">
        <v>21</v>
      </c>
      <c r="L12331" s="552">
        <f>(I12331*J12331*K12331/1000)</f>
        <v>3.0492000000000004</v>
      </c>
      <c r="M12331" s="549"/>
      <c r="N12331" s="549"/>
      <c r="O12331" s="549"/>
      <c r="P12331" s="549"/>
    </row>
    <row r="12332" spans="1:17" ht="17.399999999999999">
      <c r="A12332" s="549"/>
      <c r="B12332" s="549"/>
      <c r="C12332" s="549"/>
      <c r="D12332" s="549"/>
      <c r="E12332" s="549"/>
      <c r="F12332" s="549"/>
      <c r="G12332" s="549"/>
      <c r="H12332" s="549"/>
      <c r="I12332" s="558"/>
      <c r="J12332" s="567"/>
      <c r="K12332" s="648">
        <f t="shared" ref="K12332" si="2510">SUM(K12330:K12331)</f>
        <v>39</v>
      </c>
      <c r="L12332" s="567">
        <f>SUM(L12330:L12331)</f>
        <v>5.3064</v>
      </c>
      <c r="M12332" s="549"/>
      <c r="N12332" s="549"/>
      <c r="O12332" s="549"/>
      <c r="P12332" s="549" t="s">
        <v>1471</v>
      </c>
    </row>
    <row r="12333" spans="1:17" s="1511" customFormat="1" ht="17.399999999999999">
      <c r="A12333" s="549"/>
      <c r="B12333" s="549"/>
      <c r="C12333" s="549"/>
      <c r="D12333" s="549"/>
      <c r="E12333" s="549"/>
      <c r="F12333" s="549"/>
      <c r="G12333" s="549"/>
      <c r="H12333" s="549"/>
      <c r="I12333" s="558"/>
      <c r="J12333" s="567"/>
      <c r="K12333" s="648"/>
      <c r="L12333" s="567"/>
      <c r="M12333" s="549"/>
      <c r="N12333" s="549"/>
      <c r="O12333" s="549"/>
      <c r="P12333" s="549"/>
    </row>
    <row r="12334" spans="1:17" ht="17.399999999999999">
      <c r="A12334" s="549"/>
      <c r="B12334" s="549"/>
      <c r="C12334" s="549"/>
      <c r="D12334" s="549"/>
      <c r="E12334" s="549"/>
      <c r="F12334" s="549"/>
      <c r="G12334" s="549"/>
      <c r="H12334" s="549"/>
      <c r="I12334" s="560"/>
      <c r="J12334" s="549"/>
      <c r="K12334" s="561"/>
      <c r="L12334" s="560"/>
      <c r="M12334" s="549"/>
      <c r="N12334" s="549"/>
      <c r="O12334" s="549"/>
      <c r="P12334" s="549"/>
    </row>
    <row r="12335" spans="1:17" ht="17.399999999999999">
      <c r="A12335" s="547" t="s">
        <v>395</v>
      </c>
      <c r="B12335" s="852" t="s">
        <v>1363</v>
      </c>
      <c r="C12335" s="547" t="s">
        <v>446</v>
      </c>
      <c r="D12335" s="813" t="s">
        <v>447</v>
      </c>
      <c r="E12335" s="547" t="s">
        <v>359</v>
      </c>
      <c r="F12335" s="550">
        <v>13</v>
      </c>
      <c r="G12335" s="549" t="s">
        <v>21</v>
      </c>
      <c r="H12335" s="599" t="s">
        <v>120</v>
      </c>
      <c r="I12335" s="558">
        <v>18.149999999999999</v>
      </c>
      <c r="J12335" s="567">
        <v>6</v>
      </c>
      <c r="K12335" s="648">
        <v>2</v>
      </c>
      <c r="L12335" s="552">
        <f>(I12335*J12335*K12335/1000)</f>
        <v>0.21779999999999999</v>
      </c>
      <c r="M12335" s="549"/>
      <c r="N12335" s="549"/>
      <c r="O12335" s="549"/>
      <c r="P12335" s="549"/>
      <c r="Q12335" s="1511" t="s">
        <v>1545</v>
      </c>
    </row>
    <row r="12336" spans="1:17" ht="17.399999999999999">
      <c r="A12336" s="549"/>
      <c r="B12336" s="549"/>
      <c r="C12336" s="549"/>
      <c r="D12336" s="549"/>
      <c r="E12336" s="549"/>
      <c r="F12336" s="549"/>
      <c r="G12336" s="549"/>
      <c r="H12336" s="549"/>
      <c r="I12336" s="558"/>
      <c r="J12336" s="567"/>
      <c r="K12336" s="648">
        <f t="shared" ref="K12336:L12336" si="2511">SUM(K12335)</f>
        <v>2</v>
      </c>
      <c r="L12336" s="567">
        <f t="shared" si="2511"/>
        <v>0.21779999999999999</v>
      </c>
      <c r="M12336" s="549"/>
      <c r="N12336" s="549"/>
      <c r="O12336" s="549"/>
      <c r="P12336" s="549"/>
    </row>
    <row r="12337" spans="1:17" s="1511" customFormat="1" ht="17.399999999999999">
      <c r="A12337" s="549"/>
      <c r="B12337" s="549"/>
      <c r="C12337" s="549"/>
      <c r="D12337" s="549"/>
      <c r="E12337" s="549"/>
      <c r="F12337" s="549"/>
      <c r="G12337" s="549"/>
      <c r="H12337" s="549"/>
      <c r="I12337" s="558"/>
      <c r="J12337" s="567"/>
      <c r="K12337" s="648"/>
      <c r="L12337" s="567"/>
      <c r="M12337" s="549"/>
      <c r="N12337" s="549"/>
      <c r="O12337" s="549"/>
      <c r="P12337" s="549"/>
    </row>
    <row r="12338" spans="1:17" ht="17.399999999999999">
      <c r="A12338" s="547" t="s">
        <v>395</v>
      </c>
      <c r="B12338" s="852" t="s">
        <v>1361</v>
      </c>
      <c r="C12338" s="547" t="s">
        <v>446</v>
      </c>
      <c r="D12338" s="813" t="s">
        <v>447</v>
      </c>
      <c r="E12338" s="547" t="s">
        <v>359</v>
      </c>
      <c r="F12338" s="550">
        <v>13</v>
      </c>
      <c r="G12338" s="549" t="s">
        <v>21</v>
      </c>
      <c r="H12338" s="599" t="s">
        <v>120</v>
      </c>
      <c r="I12338" s="558">
        <v>18.149999999999999</v>
      </c>
      <c r="J12338" s="567">
        <v>6</v>
      </c>
      <c r="K12338" s="648">
        <v>8</v>
      </c>
      <c r="L12338" s="552">
        <f>(I12338*J12338*K12338/1000)</f>
        <v>0.87119999999999997</v>
      </c>
      <c r="M12338" s="549"/>
      <c r="N12338" s="549"/>
      <c r="O12338" s="549"/>
      <c r="P12338" s="549"/>
      <c r="Q12338" s="1511" t="s">
        <v>1545</v>
      </c>
    </row>
    <row r="12339" spans="1:17" ht="17.399999999999999">
      <c r="A12339" s="549"/>
      <c r="B12339" s="549"/>
      <c r="C12339" s="549"/>
      <c r="D12339" s="549"/>
      <c r="E12339" s="549"/>
      <c r="F12339" s="549"/>
      <c r="G12339" s="549" t="s">
        <v>21</v>
      </c>
      <c r="H12339" s="549" t="s">
        <v>120</v>
      </c>
      <c r="I12339" s="558">
        <v>18.149999999999999</v>
      </c>
      <c r="J12339" s="567">
        <v>9.5</v>
      </c>
      <c r="K12339" s="648">
        <v>8</v>
      </c>
      <c r="L12339" s="552">
        <f>(I12339*J12339*K12339/1000)</f>
        <v>1.3794</v>
      </c>
      <c r="M12339" s="549"/>
      <c r="N12339" s="549"/>
      <c r="O12339" s="549"/>
      <c r="P12339" s="549"/>
    </row>
    <row r="12340" spans="1:17" ht="17.399999999999999">
      <c r="A12340" s="549"/>
      <c r="B12340" s="549"/>
      <c r="C12340" s="549"/>
      <c r="D12340" s="549"/>
      <c r="E12340" s="549"/>
      <c r="F12340" s="549"/>
      <c r="G12340" s="549" t="s">
        <v>21</v>
      </c>
      <c r="H12340" s="549" t="s">
        <v>120</v>
      </c>
      <c r="I12340" s="558">
        <v>18.149999999999999</v>
      </c>
      <c r="J12340" s="567">
        <v>12</v>
      </c>
      <c r="K12340" s="648">
        <v>8</v>
      </c>
      <c r="L12340" s="552">
        <f>(I12340*J12340*K12340/1000)</f>
        <v>1.7423999999999999</v>
      </c>
      <c r="M12340" s="549"/>
      <c r="N12340" s="549"/>
      <c r="O12340" s="549"/>
      <c r="P12340" s="549"/>
    </row>
    <row r="12341" spans="1:17" ht="17.399999999999999">
      <c r="A12341" s="549"/>
      <c r="B12341" s="549"/>
      <c r="C12341" s="549"/>
      <c r="D12341" s="549"/>
      <c r="E12341" s="549"/>
      <c r="F12341" s="549"/>
      <c r="G12341" s="549"/>
      <c r="H12341" s="549"/>
      <c r="I12341" s="558"/>
      <c r="J12341" s="567"/>
      <c r="K12341" s="648">
        <f t="shared" ref="K12341" si="2512">SUM(K12338:K12340)</f>
        <v>24</v>
      </c>
      <c r="L12341" s="567">
        <f t="shared" ref="L12341" si="2513">SUM(L12338:L12340)</f>
        <v>3.9929999999999999</v>
      </c>
      <c r="M12341" s="549"/>
      <c r="N12341" s="549"/>
      <c r="O12341" s="549"/>
      <c r="P12341" s="549"/>
    </row>
    <row r="12342" spans="1:17" s="1511" customFormat="1" ht="17.399999999999999">
      <c r="A12342" s="549"/>
      <c r="B12342" s="549"/>
      <c r="C12342" s="549"/>
      <c r="D12342" s="549"/>
      <c r="E12342" s="549"/>
      <c r="F12342" s="549"/>
      <c r="G12342" s="549"/>
      <c r="H12342" s="549"/>
      <c r="I12342" s="558"/>
      <c r="J12342" s="567"/>
      <c r="K12342" s="648"/>
      <c r="L12342" s="567"/>
      <c r="M12342" s="549"/>
      <c r="N12342" s="549"/>
      <c r="O12342" s="549"/>
      <c r="P12342" s="549"/>
    </row>
    <row r="12343" spans="1:17" ht="17.399999999999999">
      <c r="A12343" s="547" t="s">
        <v>83</v>
      </c>
      <c r="B12343" s="547" t="s">
        <v>1360</v>
      </c>
      <c r="C12343" s="547" t="s">
        <v>446</v>
      </c>
      <c r="D12343" s="813" t="s">
        <v>447</v>
      </c>
      <c r="E12343" s="547" t="s">
        <v>359</v>
      </c>
      <c r="F12343" s="550">
        <v>13</v>
      </c>
      <c r="G12343" s="549" t="s">
        <v>21</v>
      </c>
      <c r="H12343" s="599" t="s">
        <v>120</v>
      </c>
      <c r="I12343" s="558">
        <v>18.149999999999999</v>
      </c>
      <c r="J12343" s="567">
        <v>6.2</v>
      </c>
      <c r="K12343" s="648">
        <v>2</v>
      </c>
      <c r="L12343" s="552">
        <f t="shared" ref="L12343:L12345" si="2514">(I12343*J12343*K12343/1000)</f>
        <v>0.22506000000000001</v>
      </c>
      <c r="M12343" s="549"/>
      <c r="N12343" s="549"/>
      <c r="O12343" s="549"/>
      <c r="P12343" s="549"/>
      <c r="Q12343" s="1511" t="s">
        <v>1545</v>
      </c>
    </row>
    <row r="12344" spans="1:17" ht="17.399999999999999">
      <c r="A12344" s="549"/>
      <c r="B12344" s="549"/>
      <c r="C12344" s="549"/>
      <c r="D12344" s="549"/>
      <c r="E12344" s="549"/>
      <c r="F12344" s="549"/>
      <c r="G12344" s="549" t="s">
        <v>21</v>
      </c>
      <c r="H12344" s="549" t="s">
        <v>120</v>
      </c>
      <c r="I12344" s="558">
        <v>18.149999999999999</v>
      </c>
      <c r="J12344" s="567">
        <v>8.1999999999999993</v>
      </c>
      <c r="K12344" s="648">
        <v>22</v>
      </c>
      <c r="L12344" s="552">
        <f t="shared" si="2514"/>
        <v>3.2742599999999999</v>
      </c>
      <c r="M12344" s="549"/>
      <c r="N12344" s="549"/>
      <c r="O12344" s="549"/>
      <c r="P12344" s="549"/>
    </row>
    <row r="12345" spans="1:17" ht="17.399999999999999">
      <c r="A12345" s="549"/>
      <c r="B12345" s="549"/>
      <c r="C12345" s="549"/>
      <c r="D12345" s="549"/>
      <c r="E12345" s="549"/>
      <c r="F12345" s="549"/>
      <c r="G12345" s="549" t="s">
        <v>21</v>
      </c>
      <c r="H12345" s="549" t="s">
        <v>120</v>
      </c>
      <c r="I12345" s="558">
        <v>18.149999999999999</v>
      </c>
      <c r="J12345" s="567">
        <v>11.7</v>
      </c>
      <c r="K12345" s="648">
        <v>13</v>
      </c>
      <c r="L12345" s="552">
        <f t="shared" si="2514"/>
        <v>2.7606149999999992</v>
      </c>
      <c r="M12345" s="549"/>
      <c r="N12345" s="549"/>
      <c r="O12345" s="549"/>
      <c r="P12345" s="549"/>
    </row>
    <row r="12346" spans="1:17" ht="17.399999999999999">
      <c r="A12346" s="549"/>
      <c r="B12346" s="549"/>
      <c r="C12346" s="549"/>
      <c r="D12346" s="549"/>
      <c r="E12346" s="549"/>
      <c r="F12346" s="549"/>
      <c r="G12346" s="549"/>
      <c r="H12346" s="549"/>
      <c r="I12346" s="558"/>
      <c r="J12346" s="567"/>
      <c r="K12346" s="648">
        <f t="shared" ref="K12346" si="2515">SUM(K12343:K12345)</f>
        <v>37</v>
      </c>
      <c r="L12346" s="567">
        <f>SUM(L12343:L12345)</f>
        <v>6.2599349999999987</v>
      </c>
      <c r="M12346" s="549"/>
      <c r="N12346" s="549"/>
      <c r="O12346" s="549"/>
      <c r="P12346" s="549"/>
    </row>
    <row r="12347" spans="1:17" s="1511" customFormat="1" ht="17.399999999999999">
      <c r="A12347" s="549"/>
      <c r="B12347" s="549"/>
      <c r="C12347" s="549"/>
      <c r="D12347" s="549"/>
      <c r="E12347" s="549"/>
      <c r="F12347" s="549"/>
      <c r="G12347" s="549"/>
      <c r="H12347" s="549"/>
      <c r="I12347" s="558"/>
      <c r="J12347" s="567"/>
      <c r="K12347" s="648">
        <f>SUM(K12335:K12346)/2</f>
        <v>63</v>
      </c>
      <c r="L12347" s="567">
        <f>SUM(L12335:L12346)/2</f>
        <v>10.470734999999998</v>
      </c>
      <c r="M12347" s="549"/>
      <c r="N12347" s="549"/>
      <c r="O12347" s="549"/>
      <c r="P12347" s="549" t="s">
        <v>1472</v>
      </c>
    </row>
    <row r="12348" spans="1:17" s="1511" customFormat="1" ht="17.399999999999999">
      <c r="A12348" s="549"/>
      <c r="B12348" s="549"/>
      <c r="C12348" s="549"/>
      <c r="D12348" s="549"/>
      <c r="E12348" s="549"/>
      <c r="F12348" s="549"/>
      <c r="G12348" s="549"/>
      <c r="H12348" s="549"/>
      <c r="I12348" s="558"/>
      <c r="J12348" s="567"/>
      <c r="K12348" s="648"/>
      <c r="L12348" s="567"/>
      <c r="M12348" s="549"/>
      <c r="N12348" s="549"/>
      <c r="O12348" s="549"/>
      <c r="P12348" s="549"/>
    </row>
    <row r="12349" spans="1:17" ht="17.399999999999999">
      <c r="A12349" s="549"/>
      <c r="B12349" s="549"/>
      <c r="C12349" s="549"/>
      <c r="D12349" s="549"/>
      <c r="E12349" s="549"/>
      <c r="F12349" s="549"/>
      <c r="G12349" s="549"/>
      <c r="H12349" s="549"/>
      <c r="I12349" s="560"/>
      <c r="J12349" s="549"/>
      <c r="K12349" s="561"/>
      <c r="L12349" s="560"/>
      <c r="M12349" s="549"/>
      <c r="N12349" s="549"/>
      <c r="O12349" s="549"/>
      <c r="P12349" s="549"/>
    </row>
    <row r="12350" spans="1:17" ht="17.399999999999999">
      <c r="A12350" s="549"/>
      <c r="B12350" s="549"/>
      <c r="C12350" s="549"/>
      <c r="D12350" s="549"/>
      <c r="E12350" s="549"/>
      <c r="F12350" s="549"/>
      <c r="G12350" s="549"/>
      <c r="H12350" s="549"/>
      <c r="I12350" s="560"/>
      <c r="J12350" s="549"/>
      <c r="K12350" s="561"/>
      <c r="L12350" s="560"/>
      <c r="M12350" s="549"/>
      <c r="N12350" s="549"/>
      <c r="O12350" s="549"/>
      <c r="P12350" s="549"/>
    </row>
    <row r="12351" spans="1:17" ht="17.399999999999999">
      <c r="A12351" s="547" t="s">
        <v>83</v>
      </c>
      <c r="B12351" s="547" t="s">
        <v>1360</v>
      </c>
      <c r="C12351" s="547" t="s">
        <v>446</v>
      </c>
      <c r="D12351" s="813" t="s">
        <v>447</v>
      </c>
      <c r="E12351" s="547" t="s">
        <v>359</v>
      </c>
      <c r="F12351" s="550">
        <v>13</v>
      </c>
      <c r="G12351" s="549" t="s">
        <v>21</v>
      </c>
      <c r="H12351" s="599" t="s">
        <v>229</v>
      </c>
      <c r="I12351" s="558">
        <v>21.57</v>
      </c>
      <c r="J12351" s="567">
        <v>8.1999999999999993</v>
      </c>
      <c r="K12351" s="648">
        <v>21</v>
      </c>
      <c r="L12351" s="552">
        <f>(I12351*J12351*K12351/1000)</f>
        <v>3.7143539999999997</v>
      </c>
      <c r="M12351" s="549"/>
      <c r="N12351" s="549"/>
      <c r="O12351" s="549"/>
      <c r="P12351" s="549"/>
      <c r="Q12351" s="1511" t="s">
        <v>1546</v>
      </c>
    </row>
    <row r="12352" spans="1:17" ht="17.399999999999999">
      <c r="A12352" s="549"/>
      <c r="B12352" s="549"/>
      <c r="C12352" s="549"/>
      <c r="D12352" s="549"/>
      <c r="E12352" s="549"/>
      <c r="F12352" s="549"/>
      <c r="G12352" s="549"/>
      <c r="H12352" s="549"/>
      <c r="I12352" s="558"/>
      <c r="J12352" s="567"/>
      <c r="K12352" s="648">
        <f t="shared" ref="K12352:L12352" si="2516">SUM(K12351)</f>
        <v>21</v>
      </c>
      <c r="L12352" s="567">
        <f t="shared" si="2516"/>
        <v>3.7143539999999997</v>
      </c>
      <c r="M12352" s="549"/>
      <c r="N12352" s="549"/>
      <c r="O12352" s="549"/>
      <c r="P12352" s="549" t="s">
        <v>1473</v>
      </c>
    </row>
    <row r="12353" spans="1:17" ht="17.399999999999999">
      <c r="A12353" s="549"/>
      <c r="B12353" s="549"/>
      <c r="C12353" s="549"/>
      <c r="D12353" s="549"/>
      <c r="E12353" s="549"/>
      <c r="F12353" s="549"/>
      <c r="G12353" s="549"/>
      <c r="H12353" s="549"/>
      <c r="I12353" s="560"/>
      <c r="J12353" s="549"/>
      <c r="K12353" s="561"/>
      <c r="L12353" s="560"/>
      <c r="M12353" s="549"/>
      <c r="N12353" s="549"/>
      <c r="O12353" s="549"/>
      <c r="P12353" s="549"/>
    </row>
    <row r="12354" spans="1:17" ht="17.399999999999999">
      <c r="A12354" s="549"/>
      <c r="B12354" s="549"/>
      <c r="C12354" s="549"/>
      <c r="D12354" s="549"/>
      <c r="E12354" s="549"/>
      <c r="F12354" s="549"/>
      <c r="G12354" s="549"/>
      <c r="H12354" s="549"/>
      <c r="I12354" s="560"/>
      <c r="J12354" s="549"/>
      <c r="K12354" s="561"/>
      <c r="L12354" s="560"/>
      <c r="M12354" s="549"/>
      <c r="N12354" s="549"/>
      <c r="O12354" s="549"/>
      <c r="P12354" s="549"/>
    </row>
    <row r="12355" spans="1:17" ht="17.399999999999999">
      <c r="A12355" s="547" t="s">
        <v>395</v>
      </c>
      <c r="B12355" s="547" t="s">
        <v>1364</v>
      </c>
      <c r="C12355" s="547" t="s">
        <v>19</v>
      </c>
      <c r="D12355" s="813" t="s">
        <v>155</v>
      </c>
      <c r="E12355" s="547" t="s">
        <v>270</v>
      </c>
      <c r="F12355" s="550">
        <v>13</v>
      </c>
      <c r="G12355" s="549" t="s">
        <v>61</v>
      </c>
      <c r="H12355" s="599" t="s">
        <v>121</v>
      </c>
      <c r="I12355" s="558">
        <v>12.9</v>
      </c>
      <c r="J12355" s="567">
        <v>6.5</v>
      </c>
      <c r="K12355" s="648">
        <v>48</v>
      </c>
      <c r="L12355" s="552">
        <f>(I12355*J12355*K12355/1000)</f>
        <v>4.0247999999999999</v>
      </c>
      <c r="M12355" s="549"/>
      <c r="N12355" s="549"/>
      <c r="O12355" s="549"/>
      <c r="P12355" s="549"/>
      <c r="Q12355" s="1511" t="s">
        <v>1535</v>
      </c>
    </row>
    <row r="12356" spans="1:17" ht="17.399999999999999">
      <c r="A12356" s="549"/>
      <c r="B12356" s="1605" t="s">
        <v>277</v>
      </c>
      <c r="C12356" s="549"/>
      <c r="D12356" s="549"/>
      <c r="E12356" s="549"/>
      <c r="F12356" s="549"/>
      <c r="G12356" s="549"/>
      <c r="H12356" s="549"/>
      <c r="I12356" s="558"/>
      <c r="J12356" s="567"/>
      <c r="K12356" s="648">
        <f t="shared" ref="K12356" si="2517">SUM(K12355)</f>
        <v>48</v>
      </c>
      <c r="L12356" s="567">
        <f>SUM(L12355)</f>
        <v>4.0247999999999999</v>
      </c>
      <c r="M12356" s="549"/>
      <c r="N12356" s="549"/>
      <c r="O12356" s="549"/>
      <c r="P12356" s="549"/>
    </row>
    <row r="12357" spans="1:17" ht="17.399999999999999">
      <c r="A12357" s="549"/>
      <c r="B12357" s="549"/>
      <c r="C12357" s="549"/>
      <c r="D12357" s="549"/>
      <c r="E12357" s="549"/>
      <c r="F12357" s="549"/>
      <c r="G12357" s="549"/>
      <c r="H12357" s="549"/>
      <c r="I12357" s="560"/>
      <c r="J12357" s="549"/>
      <c r="K12357" s="561"/>
      <c r="L12357" s="560"/>
      <c r="M12357" s="549"/>
      <c r="N12357" s="549"/>
      <c r="O12357" s="549"/>
      <c r="P12357" s="549"/>
    </row>
    <row r="12358" spans="1:17" s="1511" customFormat="1" ht="17.399999999999999">
      <c r="A12358" s="547" t="s">
        <v>395</v>
      </c>
      <c r="B12358" s="547" t="s">
        <v>1365</v>
      </c>
      <c r="C12358" s="547" t="s">
        <v>19</v>
      </c>
      <c r="D12358" s="813" t="s">
        <v>155</v>
      </c>
      <c r="E12358" s="547" t="s">
        <v>270</v>
      </c>
      <c r="F12358" s="550">
        <v>13</v>
      </c>
      <c r="G12358" s="549" t="s">
        <v>61</v>
      </c>
      <c r="H12358" s="599" t="s">
        <v>121</v>
      </c>
      <c r="I12358" s="558">
        <v>12.9</v>
      </c>
      <c r="J12358" s="567">
        <v>6.5</v>
      </c>
      <c r="K12358" s="648">
        <f>80+30</f>
        <v>110</v>
      </c>
      <c r="L12358" s="552">
        <f>(I12358*J12358*K12358/1000)</f>
        <v>9.2235000000000014</v>
      </c>
      <c r="M12358" s="549"/>
      <c r="N12358" s="549"/>
      <c r="O12358" s="549"/>
      <c r="P12358" s="549"/>
      <c r="Q12358" s="1511" t="s">
        <v>1535</v>
      </c>
    </row>
    <row r="12359" spans="1:17" s="1511" customFormat="1" ht="17.399999999999999">
      <c r="A12359" s="549"/>
      <c r="B12359" s="1605" t="s">
        <v>277</v>
      </c>
      <c r="C12359" s="549"/>
      <c r="D12359" s="549"/>
      <c r="E12359" s="549"/>
      <c r="F12359" s="549"/>
      <c r="G12359" s="549"/>
      <c r="H12359" s="549"/>
      <c r="I12359" s="558"/>
      <c r="J12359" s="567"/>
      <c r="K12359" s="648">
        <f t="shared" ref="K12359" si="2518">SUM(K12358)</f>
        <v>110</v>
      </c>
      <c r="L12359" s="567">
        <f>SUM(L12358)</f>
        <v>9.2235000000000014</v>
      </c>
      <c r="M12359" s="549"/>
      <c r="N12359" s="549"/>
      <c r="O12359" s="549"/>
      <c r="P12359" s="549"/>
    </row>
    <row r="12360" spans="1:17" s="1511" customFormat="1" ht="17.399999999999999">
      <c r="A12360" s="549"/>
      <c r="B12360" s="1605"/>
      <c r="C12360" s="549"/>
      <c r="D12360" s="549"/>
      <c r="E12360" s="549"/>
      <c r="F12360" s="549"/>
      <c r="G12360" s="549"/>
      <c r="H12360" s="549"/>
      <c r="I12360" s="558"/>
      <c r="J12360" s="567"/>
      <c r="K12360" s="648"/>
      <c r="L12360" s="567"/>
      <c r="M12360" s="549"/>
      <c r="N12360" s="724"/>
      <c r="O12360" s="549"/>
      <c r="P12360" s="549"/>
    </row>
    <row r="12361" spans="1:17" s="1511" customFormat="1" ht="18">
      <c r="A12361" s="547" t="s">
        <v>1400</v>
      </c>
      <c r="B12361" s="547" t="s">
        <v>1341</v>
      </c>
      <c r="C12361" s="547" t="s">
        <v>19</v>
      </c>
      <c r="D12361" s="813" t="s">
        <v>155</v>
      </c>
      <c r="E12361" s="547" t="s">
        <v>270</v>
      </c>
      <c r="F12361" s="550">
        <v>13</v>
      </c>
      <c r="G12361" s="549" t="s">
        <v>61</v>
      </c>
      <c r="H12361" s="599" t="s">
        <v>121</v>
      </c>
      <c r="I12361" s="558">
        <v>12.9</v>
      </c>
      <c r="J12361" s="1628">
        <v>6.5</v>
      </c>
      <c r="K12361" s="1625">
        <v>60</v>
      </c>
      <c r="L12361" s="552">
        <f t="shared" ref="L12361:L12368" si="2519">(I12361*J12361*K12361/1000)</f>
        <v>5.0310000000000006</v>
      </c>
      <c r="M12361" s="1626"/>
      <c r="N12361" s="724"/>
      <c r="O12361" s="549"/>
      <c r="P12361" s="549"/>
      <c r="Q12361" s="1511" t="s">
        <v>1535</v>
      </c>
    </row>
    <row r="12362" spans="1:17" s="1511" customFormat="1" ht="18">
      <c r="A12362" s="549"/>
      <c r="B12362" s="1605" t="s">
        <v>277</v>
      </c>
      <c r="C12362" s="549"/>
      <c r="D12362" s="549"/>
      <c r="E12362" s="549"/>
      <c r="F12362" s="549"/>
      <c r="G12362" s="549" t="s">
        <v>61</v>
      </c>
      <c r="H12362" s="549" t="s">
        <v>121</v>
      </c>
      <c r="I12362" s="558">
        <v>12.9</v>
      </c>
      <c r="J12362" s="1628">
        <v>6.5</v>
      </c>
      <c r="K12362" s="1625">
        <v>60</v>
      </c>
      <c r="L12362" s="552">
        <f t="shared" si="2519"/>
        <v>5.0310000000000006</v>
      </c>
      <c r="M12362" s="1625"/>
      <c r="N12362" s="724"/>
      <c r="O12362" s="549"/>
      <c r="P12362" s="549"/>
    </row>
    <row r="12363" spans="1:17" s="1511" customFormat="1" ht="18">
      <c r="A12363" s="549"/>
      <c r="B12363" s="549"/>
      <c r="C12363" s="1624"/>
      <c r="D12363" s="1627"/>
      <c r="E12363" s="1625"/>
      <c r="F12363" s="1625"/>
      <c r="G12363" s="549" t="s">
        <v>61</v>
      </c>
      <c r="H12363" s="549" t="s">
        <v>121</v>
      </c>
      <c r="I12363" s="558">
        <v>12.9</v>
      </c>
      <c r="J12363" s="1628">
        <v>6.5</v>
      </c>
      <c r="K12363" s="1625">
        <v>60</v>
      </c>
      <c r="L12363" s="552">
        <f t="shared" si="2519"/>
        <v>5.0310000000000006</v>
      </c>
      <c r="M12363" s="1625"/>
      <c r="N12363" s="724"/>
      <c r="O12363" s="549"/>
      <c r="P12363" s="549"/>
    </row>
    <row r="12364" spans="1:17" s="1511" customFormat="1" ht="18">
      <c r="A12364" s="549"/>
      <c r="B12364" s="549"/>
      <c r="C12364" s="1624"/>
      <c r="D12364" s="1627"/>
      <c r="E12364" s="1625"/>
      <c r="F12364" s="1625"/>
      <c r="G12364" s="549" t="s">
        <v>61</v>
      </c>
      <c r="H12364" s="549" t="s">
        <v>121</v>
      </c>
      <c r="I12364" s="558">
        <v>12.9</v>
      </c>
      <c r="J12364" s="1628">
        <v>6.5</v>
      </c>
      <c r="K12364" s="1625">
        <v>60</v>
      </c>
      <c r="L12364" s="552">
        <f t="shared" si="2519"/>
        <v>5.0310000000000006</v>
      </c>
      <c r="M12364" s="1625"/>
      <c r="N12364" s="724"/>
      <c r="O12364" s="549"/>
      <c r="P12364" s="549"/>
    </row>
    <row r="12365" spans="1:17" s="1511" customFormat="1" ht="18">
      <c r="A12365" s="549"/>
      <c r="B12365" s="549"/>
      <c r="C12365" s="1624"/>
      <c r="D12365" s="1627"/>
      <c r="E12365" s="1625"/>
      <c r="F12365" s="1625"/>
      <c r="G12365" s="549" t="s">
        <v>61</v>
      </c>
      <c r="H12365" s="549" t="s">
        <v>121</v>
      </c>
      <c r="I12365" s="558">
        <v>12.9</v>
      </c>
      <c r="J12365" s="1628">
        <v>6.5</v>
      </c>
      <c r="K12365" s="1625">
        <v>60</v>
      </c>
      <c r="L12365" s="552">
        <f t="shared" si="2519"/>
        <v>5.0310000000000006</v>
      </c>
      <c r="M12365" s="1625"/>
      <c r="N12365" s="724"/>
      <c r="O12365" s="549"/>
      <c r="P12365" s="549"/>
    </row>
    <row r="12366" spans="1:17" s="1511" customFormat="1" ht="18">
      <c r="A12366" s="549"/>
      <c r="B12366" s="549"/>
      <c r="C12366" s="1624"/>
      <c r="D12366" s="1627"/>
      <c r="E12366" s="1625"/>
      <c r="F12366" s="1625"/>
      <c r="G12366" s="549" t="s">
        <v>61</v>
      </c>
      <c r="H12366" s="549" t="s">
        <v>121</v>
      </c>
      <c r="I12366" s="558">
        <v>12.9</v>
      </c>
      <c r="J12366" s="1628">
        <v>6.5</v>
      </c>
      <c r="K12366" s="1625">
        <v>60</v>
      </c>
      <c r="L12366" s="552">
        <f t="shared" si="2519"/>
        <v>5.0310000000000006</v>
      </c>
      <c r="M12366" s="1625"/>
      <c r="N12366" s="724"/>
      <c r="O12366" s="549"/>
      <c r="P12366" s="549"/>
    </row>
    <row r="12367" spans="1:17" s="1511" customFormat="1" ht="18">
      <c r="A12367" s="549"/>
      <c r="B12367" s="549"/>
      <c r="C12367" s="1624"/>
      <c r="D12367" s="1627"/>
      <c r="E12367" s="1625"/>
      <c r="F12367" s="1625"/>
      <c r="G12367" s="549" t="s">
        <v>61</v>
      </c>
      <c r="H12367" s="549" t="s">
        <v>121</v>
      </c>
      <c r="I12367" s="558">
        <v>12.9</v>
      </c>
      <c r="J12367" s="1628">
        <v>6.5</v>
      </c>
      <c r="K12367" s="1625">
        <v>60</v>
      </c>
      <c r="L12367" s="552">
        <f t="shared" si="2519"/>
        <v>5.0310000000000006</v>
      </c>
      <c r="M12367" s="1625"/>
      <c r="N12367" s="724"/>
      <c r="O12367" s="549"/>
      <c r="P12367" s="549"/>
    </row>
    <row r="12368" spans="1:17" s="1511" customFormat="1" ht="18">
      <c r="A12368" s="549"/>
      <c r="B12368" s="549"/>
      <c r="C12368" s="1624"/>
      <c r="D12368" s="1627"/>
      <c r="E12368" s="1625"/>
      <c r="F12368" s="1625"/>
      <c r="G12368" s="549" t="s">
        <v>61</v>
      </c>
      <c r="H12368" s="549" t="s">
        <v>121</v>
      </c>
      <c r="I12368" s="558">
        <v>12.9</v>
      </c>
      <c r="J12368" s="1628">
        <v>6.5</v>
      </c>
      <c r="K12368" s="1625">
        <v>60</v>
      </c>
      <c r="L12368" s="552">
        <f t="shared" si="2519"/>
        <v>5.0310000000000006</v>
      </c>
      <c r="M12368" s="1625"/>
      <c r="N12368" s="724"/>
      <c r="O12368" s="549"/>
      <c r="P12368" s="549"/>
    </row>
    <row r="12369" spans="1:17" s="1511" customFormat="1" ht="18">
      <c r="A12369" s="549"/>
      <c r="B12369" s="549"/>
      <c r="C12369" s="1624"/>
      <c r="D12369" s="1627"/>
      <c r="E12369" s="1625"/>
      <c r="F12369" s="1625"/>
      <c r="G12369" s="1625"/>
      <c r="H12369" s="1625"/>
      <c r="I12369" s="1625"/>
      <c r="J12369" s="1625"/>
      <c r="K12369" s="1353">
        <f>SUM(K12361:K12368)</f>
        <v>480</v>
      </c>
      <c r="L12369" s="1359">
        <f>SUM(L12361:L12368)</f>
        <v>40.247999999999998</v>
      </c>
      <c r="M12369" s="1625"/>
      <c r="N12369" s="724"/>
      <c r="O12369" s="549"/>
      <c r="P12369" s="549"/>
    </row>
    <row r="12370" spans="1:17" s="1511" customFormat="1" ht="17.399999999999999">
      <c r="A12370" s="549"/>
      <c r="B12370" s="549"/>
      <c r="C12370" s="549"/>
      <c r="D12370" s="549"/>
      <c r="E12370" s="549"/>
      <c r="F12370" s="549"/>
      <c r="G12370" s="549"/>
      <c r="H12370" s="549"/>
      <c r="I12370" s="558"/>
      <c r="J12370" s="567"/>
      <c r="K12370" s="564">
        <f>SUM(K12355:K12369)/2</f>
        <v>638</v>
      </c>
      <c r="L12370" s="567">
        <f>SUM(L12355:L12369)/2</f>
        <v>53.496299999999991</v>
      </c>
      <c r="M12370" s="549"/>
      <c r="N12370" s="549"/>
      <c r="O12370" s="549"/>
      <c r="P12370" s="549" t="s">
        <v>1474</v>
      </c>
    </row>
    <row r="12371" spans="1:17" s="1511" customFormat="1" ht="17.399999999999999">
      <c r="A12371" s="549"/>
      <c r="B12371" s="549"/>
      <c r="C12371" s="549"/>
      <c r="D12371" s="549"/>
      <c r="E12371" s="549"/>
      <c r="F12371" s="549"/>
      <c r="G12371" s="549"/>
      <c r="H12371" s="549"/>
      <c r="I12371" s="558"/>
      <c r="J12371" s="567"/>
      <c r="K12371" s="648"/>
      <c r="L12371" s="567"/>
      <c r="M12371" s="549"/>
      <c r="N12371" s="549"/>
      <c r="O12371" s="549"/>
      <c r="P12371" s="549"/>
    </row>
    <row r="12372" spans="1:17" ht="17.399999999999999">
      <c r="A12372" s="549"/>
      <c r="B12372" s="549"/>
      <c r="C12372" s="549"/>
      <c r="D12372" s="549"/>
      <c r="E12372" s="549"/>
      <c r="F12372" s="549"/>
      <c r="G12372" s="549"/>
      <c r="H12372" s="549"/>
      <c r="I12372" s="560"/>
      <c r="J12372" s="549"/>
      <c r="K12372" s="561"/>
      <c r="L12372" s="560"/>
      <c r="M12372" s="549"/>
      <c r="N12372" s="549"/>
      <c r="O12372" s="549"/>
      <c r="P12372" s="549"/>
    </row>
    <row r="12373" spans="1:17" ht="17.399999999999999">
      <c r="A12373" s="549"/>
      <c r="B12373" s="549"/>
      <c r="C12373" s="549"/>
      <c r="D12373" s="549"/>
      <c r="E12373" s="549"/>
      <c r="F12373" s="549"/>
      <c r="G12373" s="549"/>
      <c r="H12373" s="549"/>
      <c r="I12373" s="560"/>
      <c r="J12373" s="549"/>
      <c r="K12373" s="561"/>
      <c r="L12373" s="560"/>
      <c r="M12373" s="549"/>
      <c r="N12373" s="549"/>
      <c r="O12373" s="549"/>
      <c r="P12373" s="549"/>
    </row>
    <row r="12374" spans="1:17" ht="17.399999999999999">
      <c r="A12374" s="547" t="s">
        <v>395</v>
      </c>
      <c r="B12374" s="547" t="s">
        <v>1361</v>
      </c>
      <c r="C12374" s="547" t="s">
        <v>446</v>
      </c>
      <c r="D12374" s="813" t="s">
        <v>450</v>
      </c>
      <c r="E12374" s="547" t="s">
        <v>270</v>
      </c>
      <c r="F12374" s="550">
        <v>13</v>
      </c>
      <c r="G12374" s="549" t="s">
        <v>61</v>
      </c>
      <c r="H12374" s="599" t="s">
        <v>120</v>
      </c>
      <c r="I12374" s="558">
        <v>18.149999999999999</v>
      </c>
      <c r="J12374" s="567">
        <v>8.75</v>
      </c>
      <c r="K12374" s="648">
        <v>3</v>
      </c>
      <c r="L12374" s="552">
        <f>(I12374*J12374*K12374/1000)</f>
        <v>0.47643750000000001</v>
      </c>
      <c r="M12374" s="549">
        <v>3</v>
      </c>
      <c r="N12374" s="567">
        <f t="shared" ref="N12374:N12375" si="2520">J12374*M12374*I12374/1000</f>
        <v>0.47643749999999996</v>
      </c>
      <c r="O12374" s="549"/>
      <c r="P12374" s="549"/>
      <c r="Q12374" s="1511" t="s">
        <v>1535</v>
      </c>
    </row>
    <row r="12375" spans="1:17" ht="17.399999999999999">
      <c r="A12375" s="549"/>
      <c r="B12375" s="549"/>
      <c r="C12375" s="549"/>
      <c r="D12375" s="549"/>
      <c r="E12375" s="549"/>
      <c r="F12375" s="549"/>
      <c r="G12375" s="549" t="s">
        <v>61</v>
      </c>
      <c r="H12375" s="549" t="s">
        <v>120</v>
      </c>
      <c r="I12375" s="558">
        <v>18.149999999999999</v>
      </c>
      <c r="J12375" s="567">
        <v>11</v>
      </c>
      <c r="K12375" s="648">
        <v>4</v>
      </c>
      <c r="L12375" s="552">
        <f>(I12375*J12375*K12375/1000)</f>
        <v>0.79859999999999987</v>
      </c>
      <c r="M12375" s="549">
        <v>4</v>
      </c>
      <c r="N12375" s="567">
        <f t="shared" si="2520"/>
        <v>0.79859999999999987</v>
      </c>
      <c r="O12375" s="549"/>
      <c r="P12375" s="549"/>
    </row>
    <row r="12376" spans="1:17" ht="17.399999999999999">
      <c r="A12376" s="549"/>
      <c r="B12376" s="549"/>
      <c r="C12376" s="549"/>
      <c r="D12376" s="549"/>
      <c r="E12376" s="549"/>
      <c r="F12376" s="549"/>
      <c r="G12376" s="549"/>
      <c r="H12376" s="549"/>
      <c r="I12376" s="558"/>
      <c r="J12376" s="567"/>
      <c r="K12376" s="648">
        <f>SUM(K12374:K12375)</f>
        <v>7</v>
      </c>
      <c r="L12376" s="567">
        <f>SUM(L12374:L12375)</f>
        <v>1.2750374999999998</v>
      </c>
      <c r="M12376" s="648">
        <f>SUM(M12374:M12375)</f>
        <v>7</v>
      </c>
      <c r="N12376" s="567">
        <f>SUM(N12374:N12375)</f>
        <v>1.2750374999999998</v>
      </c>
      <c r="O12376" s="549"/>
      <c r="P12376" s="549"/>
    </row>
    <row r="12377" spans="1:17" s="1511" customFormat="1" ht="17.399999999999999">
      <c r="A12377" s="549"/>
      <c r="B12377" s="549"/>
      <c r="C12377" s="549"/>
      <c r="D12377" s="549"/>
      <c r="E12377" s="549"/>
      <c r="F12377" s="549"/>
      <c r="G12377" s="549"/>
      <c r="H12377" s="549"/>
      <c r="I12377" s="558"/>
      <c r="J12377" s="567"/>
      <c r="K12377" s="648"/>
      <c r="L12377" s="567"/>
      <c r="M12377" s="549"/>
      <c r="N12377" s="549"/>
      <c r="O12377" s="549"/>
      <c r="P12377" s="549"/>
    </row>
    <row r="12378" spans="1:17" s="1511" customFormat="1" ht="17.399999999999999">
      <c r="A12378" s="549"/>
      <c r="B12378" s="549"/>
      <c r="C12378" s="549"/>
      <c r="D12378" s="549"/>
      <c r="E12378" s="549"/>
      <c r="F12378" s="549"/>
      <c r="G12378" s="549"/>
      <c r="H12378" s="549"/>
      <c r="I12378" s="558"/>
      <c r="J12378" s="567"/>
      <c r="K12378" s="648"/>
      <c r="L12378" s="567"/>
      <c r="M12378" s="549"/>
      <c r="N12378" s="549"/>
      <c r="O12378" s="549"/>
      <c r="P12378" s="549"/>
    </row>
    <row r="12379" spans="1:17" ht="17.399999999999999">
      <c r="A12379" s="549"/>
      <c r="B12379" s="549"/>
      <c r="C12379" s="549"/>
      <c r="D12379" s="549"/>
      <c r="E12379" s="549"/>
      <c r="F12379" s="549"/>
      <c r="G12379" s="549"/>
      <c r="H12379" s="549"/>
      <c r="I12379" s="560"/>
      <c r="J12379" s="549"/>
      <c r="K12379" s="561"/>
      <c r="L12379" s="560"/>
      <c r="M12379" s="549"/>
      <c r="N12379" s="549"/>
      <c r="O12379" s="549"/>
      <c r="P12379" s="549"/>
    </row>
    <row r="12380" spans="1:17" ht="17.399999999999999">
      <c r="A12380" s="549"/>
      <c r="B12380" s="549"/>
      <c r="C12380" s="549"/>
      <c r="D12380" s="549"/>
      <c r="E12380" s="549"/>
      <c r="F12380" s="549"/>
      <c r="G12380" s="549"/>
      <c r="H12380" s="549"/>
      <c r="I12380" s="560"/>
      <c r="J12380" s="549"/>
      <c r="K12380" s="561"/>
      <c r="L12380" s="565">
        <f>+L12376+L12370+L12352+L12347+L12332+L12327+L12319+L12309+L12286+L12267+L12262</f>
        <v>613.4643215000001</v>
      </c>
      <c r="M12380" s="549"/>
      <c r="N12380" s="568">
        <f>+N12356+N12376+N12327+N12332+N12347+N12352+N12267+N12262+N12314+N12286+N12309</f>
        <v>3.0709675000000001</v>
      </c>
      <c r="O12380" s="549"/>
      <c r="P12380" s="549"/>
    </row>
    <row r="12381" spans="1:17" s="1511" customFormat="1" ht="18">
      <c r="A12381" s="653" t="s">
        <v>48</v>
      </c>
      <c r="B12381" s="653"/>
      <c r="C12381" s="654"/>
      <c r="D12381" s="654"/>
      <c r="E12381" s="654"/>
      <c r="F12381" s="1613"/>
      <c r="G12381" s="654"/>
      <c r="H12381" s="1613"/>
      <c r="I12381" s="656"/>
      <c r="J12381" s="654"/>
      <c r="K12381" s="657"/>
      <c r="L12381" s="2003" t="s">
        <v>0</v>
      </c>
      <c r="M12381" s="2003"/>
      <c r="N12381" s="2003"/>
      <c r="O12381" s="2004"/>
      <c r="P12381" s="1097"/>
    </row>
    <row r="12382" spans="1:17" s="1511" customFormat="1" ht="18">
      <c r="A12382" s="658" t="s">
        <v>1</v>
      </c>
      <c r="B12382" s="658"/>
      <c r="C12382" s="658"/>
      <c r="D12382" s="659" t="s">
        <v>2</v>
      </c>
      <c r="E12382" s="659"/>
      <c r="F12382" s="660"/>
      <c r="G12382" s="660"/>
      <c r="H12382" s="660"/>
      <c r="I12382" s="661"/>
      <c r="J12382" s="660"/>
      <c r="K12382" s="662" t="s">
        <v>3</v>
      </c>
      <c r="L12382" s="660"/>
      <c r="M12382" s="658"/>
      <c r="N12382" s="660"/>
      <c r="O12382" s="663"/>
      <c r="P12382" s="1098"/>
    </row>
    <row r="12383" spans="1:17" s="1511" customFormat="1" ht="18">
      <c r="A12383" s="1613" t="s">
        <v>22</v>
      </c>
      <c r="B12383" s="1990" t="s">
        <v>23</v>
      </c>
      <c r="C12383" s="2005"/>
      <c r="D12383" s="1989"/>
      <c r="E12383" s="1613" t="s">
        <v>24</v>
      </c>
      <c r="F12383" s="1990" t="s">
        <v>25</v>
      </c>
      <c r="G12383" s="1989"/>
      <c r="H12383" s="1990" t="s">
        <v>26</v>
      </c>
      <c r="I12383" s="2005"/>
      <c r="J12383" s="2005"/>
      <c r="K12383" s="1989"/>
      <c r="L12383" s="2006" t="s">
        <v>27</v>
      </c>
      <c r="M12383" s="2006"/>
      <c r="N12383" s="2006"/>
      <c r="O12383" s="1990"/>
      <c r="P12383" s="1098"/>
    </row>
    <row r="12384" spans="1:17" s="1511" customFormat="1" ht="18">
      <c r="A12384" s="664"/>
      <c r="B12384" s="1975"/>
      <c r="C12384" s="1976"/>
      <c r="D12384" s="1977"/>
      <c r="E12384" s="665"/>
      <c r="F12384" s="1975"/>
      <c r="G12384" s="1977"/>
      <c r="H12384" s="1975"/>
      <c r="I12384" s="1976"/>
      <c r="J12384" s="1976"/>
      <c r="K12384" s="1977"/>
      <c r="L12384" s="1975"/>
      <c r="M12384" s="1976"/>
      <c r="N12384" s="1976"/>
      <c r="O12384" s="1976"/>
      <c r="P12384" s="1098"/>
    </row>
    <row r="12385" spans="1:16" s="1511" customFormat="1" ht="18">
      <c r="A12385" s="664"/>
      <c r="B12385" s="1606"/>
      <c r="C12385" s="1607"/>
      <c r="D12385" s="1608"/>
      <c r="E12385" s="665"/>
      <c r="F12385" s="1606"/>
      <c r="G12385" s="1608"/>
      <c r="H12385" s="1606"/>
      <c r="I12385" s="1842"/>
      <c r="J12385" s="1607"/>
      <c r="K12385" s="1608"/>
      <c r="L12385" s="1607"/>
      <c r="M12385" s="1607"/>
      <c r="N12385" s="1607"/>
      <c r="O12385" s="1607"/>
      <c r="P12385" s="1098"/>
    </row>
    <row r="12386" spans="1:16" s="1511" customFormat="1" ht="18">
      <c r="A12386" s="664" t="s">
        <v>28</v>
      </c>
      <c r="B12386" s="1975" t="s">
        <v>144</v>
      </c>
      <c r="C12386" s="1976"/>
      <c r="D12386" s="1977"/>
      <c r="E12386" s="665">
        <f>+L12262-1.577</f>
        <v>71.394079999999988</v>
      </c>
      <c r="F12386" s="1973">
        <v>13</v>
      </c>
      <c r="G12386" s="1974"/>
      <c r="H12386" s="1975" t="s">
        <v>49</v>
      </c>
      <c r="I12386" s="1976"/>
      <c r="J12386" s="1976"/>
      <c r="K12386" s="1977"/>
      <c r="L12386" s="1976" t="s">
        <v>1046</v>
      </c>
      <c r="M12386" s="1976"/>
      <c r="N12386" s="1976"/>
      <c r="O12386" s="1976"/>
      <c r="P12386" s="1098"/>
    </row>
    <row r="12387" spans="1:16" s="1511" customFormat="1" ht="18">
      <c r="A12387" s="664" t="s">
        <v>29</v>
      </c>
      <c r="B12387" s="1975" t="s">
        <v>1458</v>
      </c>
      <c r="C12387" s="1976"/>
      <c r="D12387" s="1977"/>
      <c r="E12387" s="665">
        <f>+L12267-0.219</f>
        <v>5.3211599999999999</v>
      </c>
      <c r="F12387" s="1973">
        <v>13</v>
      </c>
      <c r="G12387" s="1974"/>
      <c r="H12387" s="1975" t="s">
        <v>49</v>
      </c>
      <c r="I12387" s="1976"/>
      <c r="J12387" s="1976"/>
      <c r="K12387" s="1977"/>
      <c r="L12387" s="1976" t="s">
        <v>1046</v>
      </c>
      <c r="M12387" s="1976"/>
      <c r="N12387" s="1976"/>
      <c r="O12387" s="1976"/>
      <c r="P12387" s="1098"/>
    </row>
    <row r="12388" spans="1:16" s="1511" customFormat="1" ht="18">
      <c r="A12388" s="664" t="s">
        <v>30</v>
      </c>
      <c r="B12388" s="1975" t="s">
        <v>145</v>
      </c>
      <c r="C12388" s="1976"/>
      <c r="D12388" s="1977"/>
      <c r="E12388" s="665">
        <f>+L12286-176-40</f>
        <v>144.99360000000001</v>
      </c>
      <c r="F12388" s="1973">
        <v>13</v>
      </c>
      <c r="G12388" s="1974"/>
      <c r="H12388" s="1975" t="s">
        <v>49</v>
      </c>
      <c r="I12388" s="1976"/>
      <c r="J12388" s="1976"/>
      <c r="K12388" s="1977"/>
      <c r="L12388" s="1976" t="s">
        <v>1046</v>
      </c>
      <c r="M12388" s="1976"/>
      <c r="N12388" s="1976"/>
      <c r="O12388" s="1976"/>
      <c r="P12388" s="1098"/>
    </row>
    <row r="12389" spans="1:16" s="1511" customFormat="1" ht="18">
      <c r="A12389" s="664" t="s">
        <v>46</v>
      </c>
      <c r="B12389" s="1975" t="s">
        <v>146</v>
      </c>
      <c r="C12389" s="1976"/>
      <c r="D12389" s="1977"/>
      <c r="E12389" s="665">
        <f>+L12309</f>
        <v>77.566529999999986</v>
      </c>
      <c r="F12389" s="1973">
        <v>13</v>
      </c>
      <c r="G12389" s="1974"/>
      <c r="H12389" s="1975" t="s">
        <v>49</v>
      </c>
      <c r="I12389" s="1976"/>
      <c r="J12389" s="1976"/>
      <c r="K12389" s="1977"/>
      <c r="L12389" s="1976" t="s">
        <v>1046</v>
      </c>
      <c r="M12389" s="1976"/>
      <c r="N12389" s="1976"/>
      <c r="O12389" s="1976"/>
      <c r="P12389" s="1098"/>
    </row>
    <row r="12390" spans="1:16" s="1511" customFormat="1" ht="18">
      <c r="A12390" s="664" t="s">
        <v>58</v>
      </c>
      <c r="B12390" s="1975" t="s">
        <v>147</v>
      </c>
      <c r="C12390" s="1976"/>
      <c r="D12390" s="1977"/>
      <c r="E12390" s="665">
        <f>+L12319</f>
        <v>21.672000000000001</v>
      </c>
      <c r="F12390" s="1973">
        <v>13</v>
      </c>
      <c r="G12390" s="1974"/>
      <c r="H12390" s="1975" t="s">
        <v>49</v>
      </c>
      <c r="I12390" s="1976"/>
      <c r="J12390" s="1976"/>
      <c r="K12390" s="1977"/>
      <c r="L12390" s="1976" t="s">
        <v>1046</v>
      </c>
      <c r="M12390" s="1976"/>
      <c r="N12390" s="1976"/>
      <c r="O12390" s="1976"/>
      <c r="P12390" s="1098"/>
    </row>
    <row r="12391" spans="1:16" s="1511" customFormat="1" ht="18">
      <c r="A12391" s="664"/>
      <c r="B12391" s="1606"/>
      <c r="C12391" s="1607"/>
      <c r="D12391" s="1608"/>
      <c r="E12391" s="665"/>
      <c r="F12391" s="1606"/>
      <c r="G12391" s="1608"/>
      <c r="H12391" s="1606"/>
      <c r="I12391" s="1842"/>
      <c r="J12391" s="1607"/>
      <c r="K12391" s="1608"/>
      <c r="L12391" s="1607"/>
      <c r="M12391" s="1607"/>
      <c r="N12391" s="1607"/>
      <c r="O12391" s="1607"/>
      <c r="P12391" s="1098"/>
    </row>
    <row r="12392" spans="1:16" s="1511" customFormat="1" ht="18">
      <c r="A12392" s="664" t="s">
        <v>163</v>
      </c>
      <c r="B12392" s="1975" t="s">
        <v>586</v>
      </c>
      <c r="C12392" s="1976"/>
      <c r="D12392" s="1977"/>
      <c r="E12392" s="665">
        <f>+L12370</f>
        <v>53.496299999999991</v>
      </c>
      <c r="F12392" s="1973">
        <v>13</v>
      </c>
      <c r="G12392" s="1974"/>
      <c r="H12392" s="1975" t="s">
        <v>155</v>
      </c>
      <c r="I12392" s="1976"/>
      <c r="J12392" s="1976"/>
      <c r="K12392" s="1977"/>
      <c r="L12392" s="1976" t="s">
        <v>1138</v>
      </c>
      <c r="M12392" s="1976"/>
      <c r="N12392" s="1976"/>
      <c r="O12392" s="1976"/>
      <c r="P12392" s="1098"/>
    </row>
    <row r="12393" spans="1:16" s="1511" customFormat="1" ht="18">
      <c r="A12393" s="664"/>
      <c r="B12393" s="1975"/>
      <c r="C12393" s="1976"/>
      <c r="D12393" s="1977"/>
      <c r="E12393" s="665"/>
      <c r="F12393" s="1973"/>
      <c r="G12393" s="1974"/>
      <c r="H12393" s="1975"/>
      <c r="I12393" s="1976"/>
      <c r="J12393" s="1976"/>
      <c r="K12393" s="1977"/>
      <c r="L12393" s="1976"/>
      <c r="M12393" s="1976"/>
      <c r="N12393" s="1976"/>
      <c r="O12393" s="1976"/>
      <c r="P12393" s="1098"/>
    </row>
    <row r="12394" spans="1:16" s="1511" customFormat="1" ht="18">
      <c r="A12394" s="664" t="s">
        <v>302</v>
      </c>
      <c r="B12394" s="1975" t="s">
        <v>146</v>
      </c>
      <c r="C12394" s="1976"/>
      <c r="D12394" s="1977"/>
      <c r="E12394" s="665">
        <v>5</v>
      </c>
      <c r="F12394" s="1973">
        <v>13</v>
      </c>
      <c r="G12394" s="1974"/>
      <c r="H12394" s="1975" t="s">
        <v>447</v>
      </c>
      <c r="I12394" s="1976"/>
      <c r="J12394" s="1976"/>
      <c r="K12394" s="1977"/>
      <c r="L12394" s="1976" t="s">
        <v>1046</v>
      </c>
      <c r="M12394" s="1976"/>
      <c r="N12394" s="1976"/>
      <c r="O12394" s="1976"/>
      <c r="P12394" s="1098"/>
    </row>
    <row r="12395" spans="1:16" s="1511" customFormat="1" ht="18">
      <c r="A12395" s="664" t="s">
        <v>380</v>
      </c>
      <c r="B12395" s="1975" t="s">
        <v>145</v>
      </c>
      <c r="C12395" s="1976"/>
      <c r="D12395" s="1977"/>
      <c r="E12395" s="665">
        <f>+L12332</f>
        <v>5.3064</v>
      </c>
      <c r="F12395" s="1973">
        <v>13</v>
      </c>
      <c r="G12395" s="1974"/>
      <c r="H12395" s="1975" t="s">
        <v>447</v>
      </c>
      <c r="I12395" s="1976"/>
      <c r="J12395" s="1976"/>
      <c r="K12395" s="1977"/>
      <c r="L12395" s="1976" t="s">
        <v>1046</v>
      </c>
      <c r="M12395" s="1976"/>
      <c r="N12395" s="1976"/>
      <c r="O12395" s="1976"/>
      <c r="P12395" s="1098"/>
    </row>
    <row r="12396" spans="1:16" s="1511" customFormat="1" ht="18">
      <c r="A12396" s="664" t="s">
        <v>434</v>
      </c>
      <c r="B12396" s="1975" t="s">
        <v>144</v>
      </c>
      <c r="C12396" s="1976"/>
      <c r="D12396" s="1977"/>
      <c r="E12396" s="665">
        <f>+L12347</f>
        <v>10.470734999999998</v>
      </c>
      <c r="F12396" s="1973">
        <v>13</v>
      </c>
      <c r="G12396" s="1974"/>
      <c r="H12396" s="1975" t="s">
        <v>447</v>
      </c>
      <c r="I12396" s="1976"/>
      <c r="J12396" s="1976"/>
      <c r="K12396" s="1977"/>
      <c r="L12396" s="1976" t="s">
        <v>1046</v>
      </c>
      <c r="M12396" s="1976"/>
      <c r="N12396" s="1976"/>
      <c r="O12396" s="1976"/>
      <c r="P12396" s="1098"/>
    </row>
    <row r="12397" spans="1:16" s="1511" customFormat="1" ht="18">
      <c r="A12397" s="664" t="s">
        <v>474</v>
      </c>
      <c r="B12397" s="1975" t="s">
        <v>405</v>
      </c>
      <c r="C12397" s="1976"/>
      <c r="D12397" s="1977"/>
      <c r="E12397" s="665">
        <v>5</v>
      </c>
      <c r="F12397" s="1973">
        <v>13</v>
      </c>
      <c r="G12397" s="1974"/>
      <c r="H12397" s="1975" t="s">
        <v>447</v>
      </c>
      <c r="I12397" s="1976"/>
      <c r="J12397" s="1976"/>
      <c r="K12397" s="1977"/>
      <c r="L12397" s="1976" t="s">
        <v>1046</v>
      </c>
      <c r="M12397" s="1976"/>
      <c r="N12397" s="1976"/>
      <c r="O12397" s="1976"/>
      <c r="P12397" s="1098"/>
    </row>
    <row r="12398" spans="1:16" s="1511" customFormat="1" ht="18">
      <c r="A12398" s="664"/>
      <c r="B12398" s="1975"/>
      <c r="C12398" s="1976"/>
      <c r="D12398" s="1977"/>
      <c r="E12398" s="665"/>
      <c r="F12398" s="1973"/>
      <c r="G12398" s="1974"/>
      <c r="H12398" s="1975"/>
      <c r="I12398" s="1976"/>
      <c r="J12398" s="1976"/>
      <c r="K12398" s="1977"/>
      <c r="L12398" s="1976"/>
      <c r="M12398" s="1976"/>
      <c r="N12398" s="1976"/>
      <c r="O12398" s="1976"/>
      <c r="P12398" s="1098"/>
    </row>
    <row r="12399" spans="1:16" s="1511" customFormat="1" ht="18">
      <c r="A12399" s="664"/>
      <c r="B12399" s="1975"/>
      <c r="C12399" s="1976"/>
      <c r="D12399" s="1977"/>
      <c r="E12399" s="665"/>
      <c r="F12399" s="1973"/>
      <c r="G12399" s="1974"/>
      <c r="H12399" s="1975"/>
      <c r="I12399" s="1976"/>
      <c r="J12399" s="1976"/>
      <c r="K12399" s="1977"/>
      <c r="L12399" s="1976"/>
      <c r="M12399" s="1976"/>
      <c r="N12399" s="1976"/>
      <c r="O12399" s="1976"/>
      <c r="P12399" s="1098"/>
    </row>
    <row r="12400" spans="1:16" s="1511" customFormat="1" ht="18.600000000000001" thickBot="1">
      <c r="A12400" s="664"/>
      <c r="B12400" s="1606"/>
      <c r="C12400" s="1607"/>
      <c r="D12400" s="1607"/>
      <c r="E12400" s="665"/>
      <c r="F12400" s="1607"/>
      <c r="G12400" s="1608"/>
      <c r="H12400" s="1606"/>
      <c r="I12400" s="1842"/>
      <c r="J12400" s="1607"/>
      <c r="K12400" s="669"/>
      <c r="L12400" s="672"/>
      <c r="M12400" s="673"/>
      <c r="N12400" s="673"/>
      <c r="O12400" s="673"/>
      <c r="P12400" s="1098"/>
    </row>
    <row r="12401" spans="1:16" s="1511" customFormat="1" ht="18">
      <c r="A12401" s="674"/>
      <c r="B12401" s="675"/>
      <c r="C12401" s="676"/>
      <c r="D12401" s="676"/>
      <c r="E12401" s="1980">
        <f>SUM(E12384:E12400)</f>
        <v>400.22080499999998</v>
      </c>
      <c r="F12401" s="677"/>
      <c r="G12401" s="678"/>
      <c r="H12401" s="679"/>
      <c r="I12401" s="1848"/>
      <c r="J12401" s="676"/>
      <c r="K12401" s="680"/>
      <c r="L12401" s="679"/>
      <c r="M12401" s="676"/>
      <c r="N12401" s="677"/>
      <c r="O12401" s="676"/>
      <c r="P12401" s="1098"/>
    </row>
    <row r="12402" spans="1:16" s="1511" customFormat="1" ht="18.600000000000001" thickBot="1">
      <c r="A12402" s="681"/>
      <c r="B12402" s="682"/>
      <c r="C12402" s="683"/>
      <c r="D12402" s="683"/>
      <c r="E12402" s="1981"/>
      <c r="F12402" s="684"/>
      <c r="G12402" s="685"/>
      <c r="H12402" s="686"/>
      <c r="I12402" s="1850"/>
      <c r="J12402" s="683"/>
      <c r="K12402" s="687"/>
      <c r="L12402" s="686"/>
      <c r="M12402" s="683"/>
      <c r="N12402" s="684"/>
      <c r="O12402" s="683"/>
      <c r="P12402" s="1098"/>
    </row>
    <row r="12403" spans="1:16" s="1511" customFormat="1" ht="18">
      <c r="A12403" s="688" t="s">
        <v>31</v>
      </c>
      <c r="B12403" s="676"/>
      <c r="C12403" s="676"/>
      <c r="D12403" s="676"/>
      <c r="E12403" s="676"/>
      <c r="F12403" s="677"/>
      <c r="G12403" s="676"/>
      <c r="H12403" s="677"/>
      <c r="I12403" s="1848"/>
      <c r="J12403" s="676"/>
      <c r="K12403" s="689"/>
      <c r="L12403" s="677"/>
      <c r="M12403" s="676"/>
      <c r="N12403" s="677"/>
      <c r="O12403" s="676"/>
      <c r="P12403" s="1098"/>
    </row>
    <row r="12404" spans="1:16" s="1511" customFormat="1" ht="18">
      <c r="A12404" s="690"/>
      <c r="B12404" s="691"/>
      <c r="C12404" s="691"/>
      <c r="D12404" s="691"/>
      <c r="E12404" s="691"/>
      <c r="F12404" s="1611"/>
      <c r="G12404" s="691"/>
      <c r="H12404" s="1611"/>
      <c r="I12404" s="1849"/>
      <c r="J12404" s="691"/>
      <c r="K12404" s="693"/>
      <c r="L12404" s="1611"/>
      <c r="M12404" s="691"/>
      <c r="N12404" s="1611"/>
      <c r="O12404" s="691"/>
      <c r="P12404" s="1098"/>
    </row>
    <row r="12405" spans="1:16" s="1511" customFormat="1" ht="18.600000000000001" thickBot="1">
      <c r="A12405" s="1982" t="s">
        <v>32</v>
      </c>
      <c r="B12405" s="1983"/>
      <c r="C12405" s="1984" t="s">
        <v>33</v>
      </c>
      <c r="D12405" s="1985"/>
      <c r="E12405" s="694" t="s">
        <v>34</v>
      </c>
      <c r="F12405" s="694" t="s">
        <v>35</v>
      </c>
      <c r="G12405" s="1986" t="s">
        <v>36</v>
      </c>
      <c r="H12405" s="1987"/>
      <c r="I12405" s="1987"/>
      <c r="J12405" s="1987"/>
      <c r="K12405" s="1987"/>
      <c r="L12405" s="1987"/>
      <c r="M12405" s="1987"/>
      <c r="N12405" s="1987"/>
      <c r="O12405" s="1987"/>
      <c r="P12405" s="1098"/>
    </row>
    <row r="12406" spans="1:16" s="1511" customFormat="1" ht="18">
      <c r="A12406" s="1988"/>
      <c r="B12406" s="1989"/>
      <c r="C12406" s="1990"/>
      <c r="D12406" s="1989"/>
      <c r="E12406" s="1613"/>
      <c r="F12406" s="1610"/>
      <c r="G12406" s="1991"/>
      <c r="H12406" s="1992"/>
      <c r="I12406" s="1992"/>
      <c r="J12406" s="1992"/>
      <c r="K12406" s="1992"/>
      <c r="L12406" s="1992"/>
      <c r="M12406" s="1992"/>
      <c r="N12406" s="1992"/>
      <c r="O12406" s="1992"/>
      <c r="P12406" s="1098"/>
    </row>
    <row r="12407" spans="1:16" s="1511" customFormat="1" ht="18">
      <c r="A12407" s="1997" t="s">
        <v>37</v>
      </c>
      <c r="B12407" s="1998"/>
      <c r="C12407" s="1990"/>
      <c r="D12407" s="1989"/>
      <c r="E12407" s="1613"/>
      <c r="F12407" s="1610"/>
      <c r="G12407" s="1993"/>
      <c r="H12407" s="1994"/>
      <c r="I12407" s="1994"/>
      <c r="J12407" s="1994"/>
      <c r="K12407" s="1994"/>
      <c r="L12407" s="1994"/>
      <c r="M12407" s="1994"/>
      <c r="N12407" s="1994"/>
      <c r="O12407" s="1994"/>
      <c r="P12407" s="1098"/>
    </row>
    <row r="12408" spans="1:16" s="1511" customFormat="1" ht="18">
      <c r="A12408" s="1997" t="s">
        <v>38</v>
      </c>
      <c r="B12408" s="1998"/>
      <c r="C12408" s="1990"/>
      <c r="D12408" s="1989"/>
      <c r="E12408" s="1613"/>
      <c r="F12408" s="1610"/>
      <c r="G12408" s="1993"/>
      <c r="H12408" s="1994"/>
      <c r="I12408" s="1994"/>
      <c r="J12408" s="1994"/>
      <c r="K12408" s="1994"/>
      <c r="L12408" s="1994"/>
      <c r="M12408" s="1994"/>
      <c r="N12408" s="1994"/>
      <c r="O12408" s="1994"/>
      <c r="P12408" s="1098"/>
    </row>
    <row r="12409" spans="1:16" s="1511" customFormat="1" ht="18">
      <c r="A12409" s="1997" t="s">
        <v>39</v>
      </c>
      <c r="B12409" s="1998"/>
      <c r="C12409" s="1990"/>
      <c r="D12409" s="1989"/>
      <c r="E12409" s="1613"/>
      <c r="F12409" s="1610"/>
      <c r="G12409" s="1993"/>
      <c r="H12409" s="1994"/>
      <c r="I12409" s="1994"/>
      <c r="J12409" s="1994"/>
      <c r="K12409" s="1994"/>
      <c r="L12409" s="1994"/>
      <c r="M12409" s="1994"/>
      <c r="N12409" s="1994"/>
      <c r="O12409" s="1994"/>
      <c r="P12409" s="1098"/>
    </row>
    <row r="12410" spans="1:16" s="1511" customFormat="1" ht="18">
      <c r="A12410" s="1997" t="s">
        <v>40</v>
      </c>
      <c r="B12410" s="1998"/>
      <c r="C12410" s="1990"/>
      <c r="D12410" s="1989"/>
      <c r="E12410" s="1613"/>
      <c r="F12410" s="1610"/>
      <c r="G12410" s="1993"/>
      <c r="H12410" s="1994"/>
      <c r="I12410" s="1994"/>
      <c r="J12410" s="1994"/>
      <c r="K12410" s="1994"/>
      <c r="L12410" s="1994"/>
      <c r="M12410" s="1994"/>
      <c r="N12410" s="1994"/>
      <c r="O12410" s="1994"/>
      <c r="P12410" s="1098"/>
    </row>
    <row r="12411" spans="1:16" s="1511" customFormat="1" ht="18.600000000000001" thickBot="1">
      <c r="A12411" s="1999" t="s">
        <v>41</v>
      </c>
      <c r="B12411" s="2000"/>
      <c r="C12411" s="2001"/>
      <c r="D12411" s="2002"/>
      <c r="E12411" s="696"/>
      <c r="F12411" s="1612"/>
      <c r="G12411" s="1995"/>
      <c r="H12411" s="1996"/>
      <c r="I12411" s="1996"/>
      <c r="J12411" s="1996"/>
      <c r="K12411" s="1996"/>
      <c r="L12411" s="1996"/>
      <c r="M12411" s="1996"/>
      <c r="N12411" s="1996"/>
      <c r="O12411" s="1996"/>
      <c r="P12411" s="1098"/>
    </row>
    <row r="12412" spans="1:16" s="1511" customFormat="1" ht="18">
      <c r="A12412" s="690"/>
      <c r="B12412" s="691"/>
      <c r="C12412" s="691"/>
      <c r="D12412" s="691"/>
      <c r="E12412" s="691"/>
      <c r="F12412" s="1611"/>
      <c r="G12412" s="691"/>
      <c r="H12412" s="698"/>
      <c r="I12412" s="699"/>
      <c r="J12412" s="700"/>
      <c r="K12412" s="701"/>
      <c r="L12412" s="702"/>
      <c r="M12412" s="691"/>
      <c r="N12412" s="1611"/>
      <c r="O12412" s="691"/>
      <c r="P12412" s="1098"/>
    </row>
    <row r="12413" spans="1:16" s="1511" customFormat="1" ht="18">
      <c r="A12413" s="703" t="s">
        <v>42</v>
      </c>
      <c r="B12413" s="704"/>
      <c r="C12413" s="691"/>
      <c r="D12413" s="691"/>
      <c r="E12413" s="691"/>
      <c r="F12413" s="1611"/>
      <c r="G12413" s="704"/>
      <c r="H12413" s="698"/>
      <c r="I12413" s="699"/>
      <c r="J12413" s="700"/>
      <c r="K12413" s="693"/>
      <c r="L12413" s="705"/>
      <c r="M12413" s="691"/>
      <c r="N12413" s="1979" t="s">
        <v>43</v>
      </c>
      <c r="O12413" s="1979"/>
      <c r="P12413" s="1098"/>
    </row>
    <row r="12414" spans="1:16" s="1511" customFormat="1" ht="18">
      <c r="A12414" s="703"/>
      <c r="B12414" s="704"/>
      <c r="C12414" s="691"/>
      <c r="D12414" s="691"/>
      <c r="E12414" s="691"/>
      <c r="F12414" s="1611"/>
      <c r="G12414" s="691"/>
      <c r="H12414" s="1611"/>
      <c r="I12414" s="1849"/>
      <c r="J12414" s="691"/>
      <c r="K12414" s="693"/>
      <c r="L12414" s="1611"/>
      <c r="M12414" s="691"/>
      <c r="N12414" s="1611"/>
      <c r="O12414" s="704"/>
      <c r="P12414" s="1098"/>
    </row>
    <row r="12415" spans="1:16" s="1511" customFormat="1" ht="18">
      <c r="A12415" s="703" t="s">
        <v>44</v>
      </c>
      <c r="B12415" s="704"/>
      <c r="C12415" s="691"/>
      <c r="D12415" s="691"/>
      <c r="E12415" s="691"/>
      <c r="F12415" s="1611"/>
      <c r="G12415" s="691"/>
      <c r="H12415" s="1611"/>
      <c r="I12415" s="1849"/>
      <c r="J12415" s="691"/>
      <c r="K12415" s="693"/>
      <c r="L12415" s="1611"/>
      <c r="M12415" s="691"/>
      <c r="N12415" s="1979" t="s">
        <v>45</v>
      </c>
      <c r="O12415" s="1979"/>
      <c r="P12415" s="1098"/>
    </row>
    <row r="12416" spans="1:16" s="1511" customFormat="1" ht="18.600000000000001" thickBot="1">
      <c r="A12416" s="682"/>
      <c r="B12416" s="683"/>
      <c r="C12416" s="683"/>
      <c r="D12416" s="683"/>
      <c r="E12416" s="683"/>
      <c r="F12416" s="684"/>
      <c r="G12416" s="683"/>
      <c r="H12416" s="684"/>
      <c r="I12416" s="1850"/>
      <c r="J12416" s="683"/>
      <c r="K12416" s="706"/>
      <c r="L12416" s="684"/>
      <c r="M12416" s="683"/>
      <c r="N12416" s="684"/>
      <c r="O12416" s="683"/>
      <c r="P12416" s="1099"/>
    </row>
    <row r="12420" spans="1:23" ht="17.399999999999999">
      <c r="A12420" s="711" t="s">
        <v>48</v>
      </c>
      <c r="B12420" s="711"/>
      <c r="C12420" s="712"/>
      <c r="D12420" s="712"/>
      <c r="E12420" s="712"/>
      <c r="F12420" s="713"/>
      <c r="G12420" s="712"/>
      <c r="H12420" s="712"/>
      <c r="I12420" s="714"/>
      <c r="J12420" s="715"/>
      <c r="K12420" s="716"/>
      <c r="L12420" s="1978" t="s">
        <v>0</v>
      </c>
      <c r="M12420" s="1978"/>
      <c r="N12420" s="1978"/>
      <c r="O12420" s="1978"/>
      <c r="P12420" s="717"/>
    </row>
    <row r="12421" spans="1:23" ht="17.399999999999999">
      <c r="A12421" s="718" t="s">
        <v>1</v>
      </c>
      <c r="B12421" s="718"/>
      <c r="C12421" s="718"/>
      <c r="D12421" s="719" t="s">
        <v>2</v>
      </c>
      <c r="E12421" s="719"/>
      <c r="F12421" s="720"/>
      <c r="G12421" s="720"/>
      <c r="H12421" s="720"/>
      <c r="I12421" s="721"/>
      <c r="J12421" s="1604"/>
      <c r="K12421" s="723" t="s">
        <v>3</v>
      </c>
      <c r="L12421" s="1604"/>
      <c r="M12421" s="718"/>
      <c r="N12421" s="720"/>
      <c r="O12421" s="718"/>
      <c r="P12421" s="724"/>
    </row>
    <row r="12422" spans="1:23" ht="52.2">
      <c r="A12422" s="640" t="s">
        <v>4</v>
      </c>
      <c r="B12422" s="640" t="s">
        <v>5</v>
      </c>
      <c r="C12422" s="640" t="s">
        <v>6</v>
      </c>
      <c r="D12422" s="640" t="s">
        <v>7</v>
      </c>
      <c r="E12422" s="640" t="s">
        <v>8</v>
      </c>
      <c r="F12422" s="641" t="s">
        <v>9</v>
      </c>
      <c r="G12422" s="642" t="s">
        <v>10</v>
      </c>
      <c r="H12422" s="642" t="s">
        <v>11</v>
      </c>
      <c r="I12422" s="643" t="s">
        <v>12</v>
      </c>
      <c r="J12422" s="644" t="s">
        <v>13</v>
      </c>
      <c r="K12422" s="645" t="s">
        <v>14</v>
      </c>
      <c r="L12422" s="646" t="s">
        <v>15</v>
      </c>
      <c r="M12422" s="641" t="s">
        <v>16</v>
      </c>
      <c r="N12422" s="641" t="s">
        <v>17</v>
      </c>
      <c r="O12422" s="642" t="s">
        <v>18</v>
      </c>
      <c r="P12422" s="641" t="s">
        <v>192</v>
      </c>
    </row>
    <row r="12423" spans="1:23" ht="17.399999999999999">
      <c r="A12423" s="547" t="s">
        <v>541</v>
      </c>
      <c r="B12423" s="979" t="s">
        <v>1314</v>
      </c>
      <c r="C12423" s="547" t="s">
        <v>19</v>
      </c>
      <c r="D12423" s="547" t="s">
        <v>20</v>
      </c>
      <c r="E12423" s="1500" t="s">
        <v>420</v>
      </c>
      <c r="F12423" s="550">
        <v>14</v>
      </c>
      <c r="G12423" s="549" t="s">
        <v>21</v>
      </c>
      <c r="H12423" s="599" t="s">
        <v>126</v>
      </c>
      <c r="I12423" s="558">
        <v>23.6</v>
      </c>
      <c r="J12423" s="567">
        <v>8.6999999999999993</v>
      </c>
      <c r="K12423" s="648">
        <v>144</v>
      </c>
      <c r="L12423" s="552">
        <f>(I12423*J12423*K12423/1000)</f>
        <v>29.566079999999999</v>
      </c>
      <c r="M12423" s="549"/>
      <c r="N12423" s="549"/>
      <c r="O12423" s="549"/>
      <c r="P12423" s="549"/>
      <c r="Q12423" s="497">
        <f>14+14+14+14+5+6</f>
        <v>67</v>
      </c>
      <c r="R12423" s="126">
        <f>J12423*Q12423*I12423/1000</f>
        <v>13.756440000000001</v>
      </c>
      <c r="S12423" s="1511" t="s">
        <v>1545</v>
      </c>
    </row>
    <row r="12424" spans="1:23" ht="17.399999999999999">
      <c r="A12424" s="549"/>
      <c r="B12424" s="832" t="s">
        <v>1246</v>
      </c>
      <c r="C12424" s="549"/>
      <c r="D12424" s="549"/>
      <c r="E12424" s="549"/>
      <c r="F12424" s="550"/>
      <c r="G12424" s="549"/>
      <c r="H12424" s="549"/>
      <c r="I12424" s="558"/>
      <c r="J12424" s="567"/>
      <c r="K12424" s="648">
        <v>144</v>
      </c>
      <c r="L12424" s="567">
        <f t="shared" ref="L12424" si="2521">SUM(L12423)</f>
        <v>29.566079999999999</v>
      </c>
      <c r="M12424" s="549"/>
      <c r="N12424" s="549"/>
      <c r="O12424" s="549"/>
      <c r="P12424" s="549" t="s">
        <v>1486</v>
      </c>
      <c r="Q12424" s="648">
        <v>144</v>
      </c>
      <c r="R12424" s="567">
        <f>SUM(R12423)</f>
        <v>13.756440000000001</v>
      </c>
    </row>
    <row r="12425" spans="1:23" ht="17.399999999999999">
      <c r="A12425" s="549"/>
      <c r="B12425" s="549"/>
      <c r="C12425" s="549"/>
      <c r="D12425" s="549"/>
      <c r="E12425" s="549"/>
      <c r="F12425" s="549"/>
      <c r="G12425" s="549"/>
      <c r="H12425" s="549"/>
      <c r="I12425" s="560"/>
      <c r="J12425" s="549"/>
      <c r="K12425" s="561"/>
      <c r="L12425" s="560"/>
      <c r="M12425" s="549"/>
      <c r="N12425" s="549"/>
      <c r="O12425" s="549"/>
      <c r="P12425" s="549"/>
    </row>
    <row r="12426" spans="1:23" ht="17.399999999999999">
      <c r="A12426" s="547" t="s">
        <v>83</v>
      </c>
      <c r="B12426" s="547" t="s">
        <v>1410</v>
      </c>
      <c r="C12426" s="547" t="s">
        <v>19</v>
      </c>
      <c r="D12426" s="813" t="s">
        <v>854</v>
      </c>
      <c r="E12426" s="549" t="s">
        <v>367</v>
      </c>
      <c r="F12426" s="550">
        <v>14</v>
      </c>
      <c r="G12426" s="549" t="s">
        <v>21</v>
      </c>
      <c r="H12426" s="599" t="s">
        <v>126</v>
      </c>
      <c r="I12426" s="558">
        <v>23.6</v>
      </c>
      <c r="J12426" s="567">
        <v>10.4</v>
      </c>
      <c r="K12426" s="648">
        <v>88</v>
      </c>
      <c r="L12426" s="552">
        <f>(I12426*J12426*K12426/1000)</f>
        <v>21.59872</v>
      </c>
      <c r="M12426" s="549"/>
      <c r="N12426" s="549"/>
      <c r="O12426" s="549"/>
      <c r="P12426" s="549"/>
      <c r="Q12426" s="497">
        <f>12+12+12+12+12+12+12+12+12-20</f>
        <v>88</v>
      </c>
      <c r="R12426" s="126">
        <f>J12426*Q12426*I12426/1000</f>
        <v>21.59872</v>
      </c>
      <c r="S12426" s="1511" t="s">
        <v>1545</v>
      </c>
    </row>
    <row r="12427" spans="1:23" ht="17.399999999999999">
      <c r="A12427" s="549"/>
      <c r="B12427" s="728" t="s">
        <v>52</v>
      </c>
      <c r="C12427" s="549"/>
      <c r="D12427" s="549"/>
      <c r="E12427" s="549"/>
      <c r="F12427" s="549"/>
      <c r="G12427" s="549"/>
      <c r="H12427" s="549"/>
      <c r="I12427" s="558"/>
      <c r="J12427" s="567"/>
      <c r="K12427" s="648">
        <f t="shared" ref="K12427:L12427" si="2522">SUM(K12426)</f>
        <v>88</v>
      </c>
      <c r="L12427" s="567">
        <f t="shared" si="2522"/>
        <v>21.59872</v>
      </c>
      <c r="M12427" s="549"/>
      <c r="N12427" s="549"/>
      <c r="O12427" s="549"/>
      <c r="P12427" s="549" t="s">
        <v>1487</v>
      </c>
      <c r="Q12427" s="648">
        <f t="shared" ref="Q12427:R12427" si="2523">SUM(Q12426)</f>
        <v>88</v>
      </c>
      <c r="R12427" s="567">
        <f t="shared" si="2523"/>
        <v>21.59872</v>
      </c>
    </row>
    <row r="12428" spans="1:23" ht="17.399999999999999">
      <c r="A12428" s="549"/>
      <c r="B12428" s="549"/>
      <c r="C12428" s="549"/>
      <c r="D12428" s="549"/>
      <c r="E12428" s="549"/>
      <c r="F12428" s="549"/>
      <c r="G12428" s="549"/>
      <c r="H12428" s="549"/>
      <c r="I12428" s="560"/>
      <c r="J12428" s="549"/>
      <c r="K12428" s="561"/>
      <c r="L12428" s="560"/>
      <c r="M12428" s="549"/>
      <c r="N12428" s="549"/>
      <c r="O12428" s="549"/>
      <c r="P12428" s="549"/>
    </row>
    <row r="12429" spans="1:23" ht="17.399999999999999">
      <c r="A12429" s="547" t="s">
        <v>83</v>
      </c>
      <c r="B12429" s="547" t="s">
        <v>1456</v>
      </c>
      <c r="C12429" s="547" t="s">
        <v>19</v>
      </c>
      <c r="D12429" s="813" t="s">
        <v>854</v>
      </c>
      <c r="E12429" s="547" t="s">
        <v>359</v>
      </c>
      <c r="F12429" s="550">
        <v>14</v>
      </c>
      <c r="G12429" s="549" t="s">
        <v>21</v>
      </c>
      <c r="H12429" s="599" t="s">
        <v>126</v>
      </c>
      <c r="I12429" s="558">
        <v>23.45</v>
      </c>
      <c r="J12429" s="567">
        <v>11.5</v>
      </c>
      <c r="K12429" s="648">
        <v>8</v>
      </c>
      <c r="L12429" s="552">
        <f>(I12429*J12429*K12429/1000)</f>
        <v>2.1574</v>
      </c>
      <c r="M12429" s="549">
        <f>6+2</f>
        <v>8</v>
      </c>
      <c r="N12429" s="567">
        <f>J12429*M12429*I12429/1000</f>
        <v>2.1574</v>
      </c>
      <c r="O12429" s="549"/>
      <c r="P12429" s="549"/>
      <c r="R12429" s="126">
        <f>J12429*Q12429*I12429/1000</f>
        <v>0</v>
      </c>
      <c r="S12429" s="1511" t="s">
        <v>1545</v>
      </c>
    </row>
    <row r="12430" spans="1:23" ht="17.399999999999999">
      <c r="A12430" s="549"/>
      <c r="B12430" s="769" t="s">
        <v>1457</v>
      </c>
      <c r="C12430" s="549"/>
      <c r="D12430" s="549"/>
      <c r="E12430" s="549"/>
      <c r="F12430" s="549"/>
      <c r="G12430" s="549"/>
      <c r="H12430" s="549"/>
      <c r="I12430" s="558"/>
      <c r="J12430" s="567"/>
      <c r="K12430" s="648">
        <f>SUM(K12429)</f>
        <v>8</v>
      </c>
      <c r="L12430" s="567">
        <f>SUM(L12429)</f>
        <v>2.1574</v>
      </c>
      <c r="M12430" s="648">
        <f>SUM(M12429)</f>
        <v>8</v>
      </c>
      <c r="N12430" s="567">
        <f>SUM(N12429)</f>
        <v>2.1574</v>
      </c>
      <c r="O12430" s="549"/>
      <c r="P12430" s="549"/>
      <c r="Q12430" s="648">
        <f>SUM(Q12429)</f>
        <v>0</v>
      </c>
      <c r="R12430" s="567">
        <f>SUM(R12429)</f>
        <v>0</v>
      </c>
    </row>
    <row r="12431" spans="1:23" ht="17.399999999999999">
      <c r="A12431" s="549"/>
      <c r="B12431" s="549"/>
      <c r="C12431" s="549"/>
      <c r="D12431" s="549"/>
      <c r="E12431" s="549"/>
      <c r="F12431" s="549"/>
      <c r="G12431" s="549"/>
      <c r="H12431" s="549"/>
      <c r="I12431" s="560"/>
      <c r="J12431" s="549"/>
      <c r="K12431" s="561"/>
      <c r="L12431" s="560"/>
      <c r="M12431" s="549"/>
      <c r="N12431" s="549"/>
      <c r="O12431" s="549"/>
      <c r="P12431" s="549"/>
    </row>
    <row r="12432" spans="1:23" ht="17.399999999999999">
      <c r="A12432" s="547" t="s">
        <v>83</v>
      </c>
      <c r="B12432" s="547" t="s">
        <v>1455</v>
      </c>
      <c r="C12432" s="547" t="s">
        <v>19</v>
      </c>
      <c r="D12432" s="813" t="s">
        <v>854</v>
      </c>
      <c r="E12432" s="549" t="s">
        <v>367</v>
      </c>
      <c r="F12432" s="550">
        <v>14</v>
      </c>
      <c r="G12432" s="549" t="s">
        <v>21</v>
      </c>
      <c r="H12432" s="599" t="s">
        <v>126</v>
      </c>
      <c r="I12432" s="558">
        <v>23.6</v>
      </c>
      <c r="J12432" s="567">
        <v>10.4</v>
      </c>
      <c r="K12432" s="648">
        <v>200</v>
      </c>
      <c r="L12432" s="552">
        <f>(I12432*J12432*K12432/1000)</f>
        <v>49.088000000000008</v>
      </c>
      <c r="M12432" s="549">
        <v>12</v>
      </c>
      <c r="N12432" s="567">
        <f>J12432*M12432*I12432/1000</f>
        <v>2.9452800000000008</v>
      </c>
      <c r="O12432" s="549"/>
      <c r="P12432" s="549"/>
      <c r="Q12432" s="497">
        <f>20+12+12+11+8</f>
        <v>63</v>
      </c>
      <c r="R12432" s="126">
        <f>J12432*Q12432*I12432/1000</f>
        <v>15.462720000000001</v>
      </c>
      <c r="S12432" s="1511" t="s">
        <v>1545</v>
      </c>
      <c r="V12432">
        <f>13+13+13+13+13+13+13+13+10</f>
        <v>114</v>
      </c>
      <c r="W12432" s="126">
        <f>J12432*V12432*I12432/1000</f>
        <v>27.980160000000005</v>
      </c>
    </row>
    <row r="12433" spans="1:23" ht="17.399999999999999">
      <c r="A12433" s="549"/>
      <c r="B12433" s="728" t="s">
        <v>52</v>
      </c>
      <c r="C12433" s="549"/>
      <c r="D12433" s="549"/>
      <c r="E12433" s="549"/>
      <c r="F12433" s="549"/>
      <c r="G12433" s="549" t="s">
        <v>21</v>
      </c>
      <c r="H12433" s="549" t="s">
        <v>126</v>
      </c>
      <c r="I12433" s="558">
        <v>23.6</v>
      </c>
      <c r="J12433" s="567">
        <v>11.5</v>
      </c>
      <c r="K12433" s="648">
        <v>4</v>
      </c>
      <c r="L12433" s="552">
        <f>(I12433*J12433*K12433/1000)</f>
        <v>1.0856000000000001</v>
      </c>
      <c r="M12433" s="549">
        <v>4</v>
      </c>
      <c r="N12433" s="567">
        <f>J12433*M12433*I12433/1000</f>
        <v>1.0856000000000001</v>
      </c>
      <c r="O12433" s="549"/>
      <c r="P12433" s="549"/>
    </row>
    <row r="12434" spans="1:23" ht="17.399999999999999">
      <c r="A12434" s="549"/>
      <c r="B12434" s="549"/>
      <c r="C12434" s="549"/>
      <c r="D12434" s="549"/>
      <c r="E12434" s="549"/>
      <c r="F12434" s="549"/>
      <c r="G12434" s="549"/>
      <c r="H12434" s="549"/>
      <c r="I12434" s="558"/>
      <c r="J12434" s="567"/>
      <c r="K12434" s="648">
        <f>SUM(K12432:K12433)</f>
        <v>204</v>
      </c>
      <c r="L12434" s="567">
        <f>SUM(L12432:L12433)</f>
        <v>50.173600000000008</v>
      </c>
      <c r="M12434" s="648">
        <f>SUM(M12432:M12433)</f>
        <v>16</v>
      </c>
      <c r="N12434" s="567">
        <f>SUM(N12432:N12433)</f>
        <v>4.0308800000000007</v>
      </c>
      <c r="O12434" s="549"/>
      <c r="P12434" s="549" t="s">
        <v>1487</v>
      </c>
      <c r="Q12434" s="648">
        <f>SUM(Q12432:Q12433)</f>
        <v>63</v>
      </c>
      <c r="R12434" s="567">
        <f>SUM(R12432:R12433)</f>
        <v>15.462720000000001</v>
      </c>
      <c r="V12434" s="648">
        <f>SUM(V12432:V12433)</f>
        <v>114</v>
      </c>
      <c r="W12434" s="567">
        <f>SUM(W12432:W12433)</f>
        <v>27.980160000000005</v>
      </c>
    </row>
    <row r="12435" spans="1:23" s="1511" customFormat="1" ht="17.399999999999999">
      <c r="A12435" s="549"/>
      <c r="B12435" s="549"/>
      <c r="C12435" s="549"/>
      <c r="D12435" s="549"/>
      <c r="E12435" s="549"/>
      <c r="F12435" s="549"/>
      <c r="G12435" s="549"/>
      <c r="H12435" s="549"/>
      <c r="I12435" s="558"/>
      <c r="J12435" s="567"/>
      <c r="K12435" s="648">
        <f>SUM(K12423:K12434)/2</f>
        <v>444</v>
      </c>
      <c r="L12435" s="567">
        <f>SUM(L12423:L12434)/2</f>
        <v>103.4958</v>
      </c>
      <c r="M12435" s="648">
        <f>SUM(M12423:M12434)/2</f>
        <v>24</v>
      </c>
      <c r="N12435" s="567">
        <f>SUM(N12423:N12434)/2</f>
        <v>6.1882800000000007</v>
      </c>
      <c r="O12435" s="549"/>
      <c r="P12435" s="549"/>
    </row>
    <row r="12436" spans="1:23" s="1511" customFormat="1" ht="17.399999999999999">
      <c r="A12436" s="549"/>
      <c r="B12436" s="549"/>
      <c r="C12436" s="549"/>
      <c r="D12436" s="549"/>
      <c r="E12436" s="549"/>
      <c r="F12436" s="549"/>
      <c r="G12436" s="549"/>
      <c r="H12436" s="549"/>
      <c r="I12436" s="558"/>
      <c r="J12436" s="567"/>
      <c r="K12436" s="648"/>
      <c r="L12436" s="567"/>
      <c r="M12436" s="549"/>
      <c r="N12436" s="549"/>
      <c r="O12436" s="549"/>
      <c r="P12436" s="549"/>
    </row>
    <row r="12437" spans="1:23" ht="17.399999999999999">
      <c r="A12437" s="549"/>
      <c r="B12437" s="549"/>
      <c r="C12437" s="549"/>
      <c r="D12437" s="549"/>
      <c r="E12437" s="549"/>
      <c r="F12437" s="549"/>
      <c r="G12437" s="549"/>
      <c r="H12437" s="549"/>
      <c r="I12437" s="560"/>
      <c r="J12437" s="549"/>
      <c r="K12437" s="561"/>
      <c r="L12437" s="560"/>
      <c r="M12437" s="549"/>
      <c r="N12437" s="549"/>
      <c r="O12437" s="549"/>
      <c r="P12437" s="549"/>
    </row>
    <row r="12438" spans="1:23" ht="17.399999999999999">
      <c r="A12438" s="547" t="s">
        <v>541</v>
      </c>
      <c r="B12438" s="979" t="s">
        <v>1314</v>
      </c>
      <c r="C12438" s="547" t="s">
        <v>19</v>
      </c>
      <c r="D12438" s="547" t="s">
        <v>20</v>
      </c>
      <c r="E12438" s="1500" t="s">
        <v>420</v>
      </c>
      <c r="F12438" s="550">
        <v>14</v>
      </c>
      <c r="G12438" s="549" t="s">
        <v>21</v>
      </c>
      <c r="H12438" s="599" t="s">
        <v>125</v>
      </c>
      <c r="I12438" s="558">
        <v>21.7</v>
      </c>
      <c r="J12438" s="567">
        <v>6.1</v>
      </c>
      <c r="K12438" s="648">
        <f>52-2</f>
        <v>50</v>
      </c>
      <c r="L12438" s="552">
        <f t="shared" ref="L12438:L12444" si="2524">(I12438*J12438*K12438/1000)</f>
        <v>6.6184999999999992</v>
      </c>
      <c r="M12438" s="549"/>
      <c r="N12438" s="549"/>
      <c r="O12438" s="549"/>
      <c r="P12438" s="1511"/>
      <c r="Q12438" s="1511">
        <f>18+2</f>
        <v>20</v>
      </c>
      <c r="R12438" s="126">
        <f>J12438*Q12438*I12438/1000</f>
        <v>2.6474000000000002</v>
      </c>
      <c r="S12438" s="1511">
        <v>-2</v>
      </c>
      <c r="T12438" s="1511" t="s">
        <v>1526</v>
      </c>
      <c r="U12438" s="1511" t="s">
        <v>1545</v>
      </c>
      <c r="V12438">
        <v>20</v>
      </c>
      <c r="W12438" s="126">
        <f>J12438*V12438*I12438/1000</f>
        <v>2.6474000000000002</v>
      </c>
    </row>
    <row r="12439" spans="1:23" ht="17.399999999999999">
      <c r="A12439" s="549"/>
      <c r="B12439" s="832" t="s">
        <v>1246</v>
      </c>
      <c r="C12439" s="549"/>
      <c r="D12439" s="549"/>
      <c r="E12439" s="549"/>
      <c r="F12439" s="550"/>
      <c r="G12439" s="549" t="s">
        <v>21</v>
      </c>
      <c r="H12439" s="549" t="s">
        <v>125</v>
      </c>
      <c r="I12439" s="558">
        <v>21.7</v>
      </c>
      <c r="J12439" s="567">
        <v>6.3</v>
      </c>
      <c r="K12439" s="648">
        <f>52-24</f>
        <v>28</v>
      </c>
      <c r="L12439" s="552">
        <f t="shared" si="2524"/>
        <v>3.8278799999999991</v>
      </c>
      <c r="M12439" s="549">
        <v>3</v>
      </c>
      <c r="N12439" s="567">
        <f t="shared" ref="N12439" si="2525">J12439*M12439*I12439/1000</f>
        <v>0.41012999999999994</v>
      </c>
      <c r="O12439" s="549"/>
      <c r="P12439" s="1511"/>
      <c r="Q12439" s="1511">
        <f>17+11</f>
        <v>28</v>
      </c>
      <c r="R12439" s="126">
        <f>J12439*Q12439*I12439/1000</f>
        <v>3.8278799999999999</v>
      </c>
      <c r="S12439" s="1511">
        <v>-24</v>
      </c>
      <c r="T12439" s="1511" t="s">
        <v>1526</v>
      </c>
    </row>
    <row r="12440" spans="1:23" ht="17.399999999999999">
      <c r="A12440" s="549"/>
      <c r="B12440" s="549"/>
      <c r="C12440" s="549"/>
      <c r="D12440" s="549"/>
      <c r="E12440" s="549"/>
      <c r="F12440" s="549"/>
      <c r="G12440" s="549" t="s">
        <v>21</v>
      </c>
      <c r="H12440" s="549" t="s">
        <v>125</v>
      </c>
      <c r="I12440" s="558">
        <v>21.7</v>
      </c>
      <c r="J12440" s="567">
        <v>8.4</v>
      </c>
      <c r="K12440" s="648">
        <f>26-26</f>
        <v>0</v>
      </c>
      <c r="L12440" s="552">
        <f t="shared" si="2524"/>
        <v>0</v>
      </c>
      <c r="M12440" s="549"/>
      <c r="N12440" s="567"/>
      <c r="O12440" s="549"/>
      <c r="P12440" s="1511"/>
      <c r="Q12440" s="1511"/>
      <c r="R12440" s="1511"/>
      <c r="S12440" s="1511">
        <v>-26</v>
      </c>
      <c r="T12440" s="1511" t="s">
        <v>1526</v>
      </c>
    </row>
    <row r="12441" spans="1:23" ht="17.399999999999999">
      <c r="A12441" s="549"/>
      <c r="B12441" s="549"/>
      <c r="C12441" s="549"/>
      <c r="D12441" s="549"/>
      <c r="E12441" s="549"/>
      <c r="F12441" s="549"/>
      <c r="G12441" s="549" t="s">
        <v>21</v>
      </c>
      <c r="H12441" s="549" t="s">
        <v>125</v>
      </c>
      <c r="I12441" s="558">
        <v>21.7</v>
      </c>
      <c r="J12441" s="567">
        <v>8.6</v>
      </c>
      <c r="K12441" s="648">
        <v>72</v>
      </c>
      <c r="L12441" s="552">
        <f t="shared" si="2524"/>
        <v>13.436639999999997</v>
      </c>
      <c r="M12441" s="549"/>
      <c r="N12441" s="549"/>
      <c r="O12441" s="549"/>
      <c r="P12441" s="549"/>
      <c r="Q12441" s="497">
        <f>15+15+11</f>
        <v>41</v>
      </c>
      <c r="R12441" s="126">
        <f>J12441*Q12441*I12441/1000</f>
        <v>7.651419999999999</v>
      </c>
      <c r="V12441">
        <v>16</v>
      </c>
      <c r="W12441" s="126">
        <f>J12441*V12441*I12441/1000</f>
        <v>2.9859199999999997</v>
      </c>
    </row>
    <row r="12442" spans="1:23" ht="17.399999999999999">
      <c r="A12442" s="549"/>
      <c r="B12442" s="549"/>
      <c r="C12442" s="549"/>
      <c r="D12442" s="549"/>
      <c r="E12442" s="549"/>
      <c r="F12442" s="549"/>
      <c r="G12442" s="549" t="s">
        <v>21</v>
      </c>
      <c r="H12442" s="549" t="s">
        <v>125</v>
      </c>
      <c r="I12442" s="558">
        <v>21.7</v>
      </c>
      <c r="J12442" s="567">
        <v>9.1</v>
      </c>
      <c r="K12442" s="648">
        <v>126</v>
      </c>
      <c r="L12442" s="552">
        <f t="shared" si="2524"/>
        <v>24.881220000000003</v>
      </c>
      <c r="M12442" s="549"/>
      <c r="N12442" s="549"/>
      <c r="O12442" s="549"/>
      <c r="P12442" s="549"/>
      <c r="Q12442" s="497">
        <f>13+15+15+15+15+4+1</f>
        <v>78</v>
      </c>
      <c r="R12442" s="126">
        <f>J12442*Q12442*I12442/1000</f>
        <v>15.402659999999997</v>
      </c>
      <c r="V12442">
        <f>16+13</f>
        <v>29</v>
      </c>
      <c r="W12442" s="126">
        <f>J12442*V12442*I12442/1000</f>
        <v>5.7266299999999992</v>
      </c>
    </row>
    <row r="12443" spans="1:23" ht="17.399999999999999">
      <c r="A12443" s="549"/>
      <c r="B12443" s="549"/>
      <c r="C12443" s="549"/>
      <c r="D12443" s="549"/>
      <c r="E12443" s="549"/>
      <c r="F12443" s="549"/>
      <c r="G12443" s="549" t="s">
        <v>21</v>
      </c>
      <c r="H12443" s="549" t="s">
        <v>125</v>
      </c>
      <c r="I12443" s="558">
        <v>21.7</v>
      </c>
      <c r="J12443" s="567">
        <v>9.6999999999999993</v>
      </c>
      <c r="K12443" s="648">
        <v>52</v>
      </c>
      <c r="L12443" s="552">
        <f t="shared" si="2524"/>
        <v>10.94548</v>
      </c>
      <c r="M12443" s="549"/>
      <c r="N12443" s="549"/>
      <c r="O12443" s="549"/>
      <c r="P12443" s="549"/>
      <c r="Q12443" s="1511">
        <f>15+12</f>
        <v>27</v>
      </c>
      <c r="R12443" s="126">
        <f t="shared" ref="R12443" si="2526">J12443*Q12443*I12443/1000</f>
        <v>5.68323</v>
      </c>
      <c r="V12443">
        <f>15+10</f>
        <v>25</v>
      </c>
      <c r="W12443" s="126">
        <f>J12443*V12443*I12443/1000</f>
        <v>5.262249999999999</v>
      </c>
    </row>
    <row r="12444" spans="1:23" ht="17.399999999999999">
      <c r="A12444" s="549"/>
      <c r="B12444" s="549"/>
      <c r="C12444" s="549"/>
      <c r="D12444" s="549"/>
      <c r="E12444" s="549"/>
      <c r="F12444" s="549"/>
      <c r="G12444" s="549" t="s">
        <v>21</v>
      </c>
      <c r="H12444" s="549" t="s">
        <v>125</v>
      </c>
      <c r="I12444" s="558">
        <v>21.7</v>
      </c>
      <c r="J12444" s="567">
        <v>10.1</v>
      </c>
      <c r="K12444" s="648">
        <f>32-6</f>
        <v>26</v>
      </c>
      <c r="L12444" s="552">
        <f t="shared" si="2524"/>
        <v>5.6984200000000005</v>
      </c>
      <c r="M12444" s="549"/>
      <c r="N12444" s="549"/>
      <c r="O12444" s="549"/>
      <c r="P12444" s="1511"/>
      <c r="Q12444" s="1511">
        <f>10+15</f>
        <v>25</v>
      </c>
      <c r="R12444" s="126">
        <f>J12444*Q12444*I12444/1000</f>
        <v>5.4792500000000004</v>
      </c>
      <c r="S12444" s="1511">
        <v>-6</v>
      </c>
      <c r="T12444" s="1511" t="s">
        <v>1526</v>
      </c>
      <c r="V12444">
        <v>1</v>
      </c>
      <c r="W12444" s="126">
        <f>J12444*V12444*I12444/1000</f>
        <v>0.21916999999999998</v>
      </c>
    </row>
    <row r="12445" spans="1:23" ht="17.399999999999999">
      <c r="A12445" s="549"/>
      <c r="B12445" s="549"/>
      <c r="C12445" s="549"/>
      <c r="D12445" s="549"/>
      <c r="E12445" s="549"/>
      <c r="F12445" s="549"/>
      <c r="G12445" s="549"/>
      <c r="H12445" s="549"/>
      <c r="I12445" s="558"/>
      <c r="J12445" s="567"/>
      <c r="K12445" s="648">
        <f>SUM(K12438:K12444)</f>
        <v>354</v>
      </c>
      <c r="L12445" s="567">
        <f>SUM(L12438:L12444)</f>
        <v>65.408140000000003</v>
      </c>
      <c r="M12445" s="648">
        <f>SUM(M12438:M12444)</f>
        <v>3</v>
      </c>
      <c r="N12445" s="567">
        <f>SUM(N12438:N12444)</f>
        <v>0.41012999999999994</v>
      </c>
      <c r="O12445" s="549"/>
      <c r="P12445" s="549" t="s">
        <v>1488</v>
      </c>
      <c r="Q12445" s="648">
        <f>SUM(Q12438:Q12444)</f>
        <v>219</v>
      </c>
      <c r="R12445" s="567">
        <f>SUM(R12438:R12444)</f>
        <v>40.691839999999999</v>
      </c>
      <c r="V12445" s="648">
        <f>SUM(V12438:V12444)</f>
        <v>91</v>
      </c>
      <c r="W12445" s="567">
        <f>SUM(W12438:W12444)</f>
        <v>16.841369999999994</v>
      </c>
    </row>
    <row r="12446" spans="1:23" s="1511" customFormat="1" ht="17.399999999999999">
      <c r="A12446" s="549"/>
      <c r="B12446" s="549"/>
      <c r="C12446" s="549"/>
      <c r="D12446" s="549"/>
      <c r="E12446" s="549"/>
      <c r="F12446" s="549"/>
      <c r="G12446" s="549"/>
      <c r="H12446" s="549"/>
      <c r="I12446" s="558"/>
      <c r="J12446" s="567"/>
      <c r="K12446" s="648"/>
      <c r="L12446" s="567"/>
      <c r="M12446" s="549"/>
      <c r="N12446" s="549"/>
      <c r="O12446" s="549"/>
      <c r="P12446" s="549"/>
    </row>
    <row r="12447" spans="1:23" s="1511" customFormat="1" ht="17.399999999999999">
      <c r="A12447" s="549"/>
      <c r="B12447" s="549"/>
      <c r="C12447" s="549"/>
      <c r="D12447" s="549"/>
      <c r="E12447" s="549"/>
      <c r="F12447" s="549"/>
      <c r="G12447" s="549"/>
      <c r="H12447" s="549"/>
      <c r="I12447" s="558"/>
      <c r="J12447" s="567"/>
      <c r="K12447" s="648"/>
      <c r="L12447" s="567"/>
      <c r="M12447" s="549"/>
      <c r="N12447" s="549"/>
      <c r="O12447" s="549"/>
      <c r="P12447" s="549"/>
    </row>
    <row r="12448" spans="1:23" ht="17.399999999999999">
      <c r="A12448" s="547" t="s">
        <v>395</v>
      </c>
      <c r="B12448" s="547" t="s">
        <v>1364</v>
      </c>
      <c r="C12448" s="547" t="s">
        <v>19</v>
      </c>
      <c r="D12448" s="813" t="s">
        <v>854</v>
      </c>
      <c r="E12448" s="547" t="s">
        <v>359</v>
      </c>
      <c r="F12448" s="550">
        <v>14</v>
      </c>
      <c r="G12448" s="549" t="s">
        <v>21</v>
      </c>
      <c r="H12448" s="599" t="s">
        <v>124</v>
      </c>
      <c r="I12448" s="558">
        <v>19.72</v>
      </c>
      <c r="J12448" s="567">
        <v>12</v>
      </c>
      <c r="K12448" s="648">
        <v>26</v>
      </c>
      <c r="L12448" s="552">
        <f>(I12448*J12448*K12448/1000)</f>
        <v>6.152639999999999</v>
      </c>
      <c r="M12448" s="549"/>
      <c r="N12448" s="549"/>
      <c r="O12448" s="549"/>
      <c r="P12448" s="549"/>
      <c r="Q12448" s="1511" t="s">
        <v>1545</v>
      </c>
    </row>
    <row r="12449" spans="1:21" ht="17.399999999999999">
      <c r="A12449" s="549"/>
      <c r="B12449" s="1605" t="s">
        <v>277</v>
      </c>
      <c r="C12449" s="549"/>
      <c r="D12449" s="549"/>
      <c r="E12449" s="549"/>
      <c r="F12449" s="549"/>
      <c r="G12449" s="549"/>
      <c r="H12449" s="549"/>
      <c r="I12449" s="558"/>
      <c r="J12449" s="567"/>
      <c r="K12449" s="648">
        <f t="shared" ref="K12449:L12449" si="2527">SUM(K12448)</f>
        <v>26</v>
      </c>
      <c r="L12449" s="567">
        <f t="shared" si="2527"/>
        <v>6.152639999999999</v>
      </c>
      <c r="M12449" s="549"/>
      <c r="N12449" s="549"/>
      <c r="O12449" s="549"/>
      <c r="P12449" s="549" t="s">
        <v>1489</v>
      </c>
    </row>
    <row r="12450" spans="1:21" s="1511" customFormat="1" ht="17.399999999999999">
      <c r="A12450" s="549"/>
      <c r="B12450" s="1605"/>
      <c r="C12450" s="549"/>
      <c r="D12450" s="549"/>
      <c r="E12450" s="549"/>
      <c r="F12450" s="549"/>
      <c r="G12450" s="549"/>
      <c r="H12450" s="549"/>
      <c r="I12450" s="558"/>
      <c r="J12450" s="567"/>
      <c r="K12450" s="648"/>
      <c r="L12450" s="567"/>
      <c r="M12450" s="549"/>
      <c r="N12450" s="549"/>
      <c r="O12450" s="549"/>
      <c r="P12450" s="549"/>
    </row>
    <row r="12451" spans="1:21" ht="17.399999999999999">
      <c r="A12451" s="547" t="s">
        <v>83</v>
      </c>
      <c r="B12451" s="547" t="s">
        <v>1456</v>
      </c>
      <c r="C12451" s="547" t="s">
        <v>19</v>
      </c>
      <c r="D12451" s="813" t="s">
        <v>854</v>
      </c>
      <c r="E12451" s="547" t="s">
        <v>359</v>
      </c>
      <c r="F12451" s="550">
        <v>14</v>
      </c>
      <c r="G12451" s="549" t="s">
        <v>21</v>
      </c>
      <c r="H12451" s="599" t="s">
        <v>124</v>
      </c>
      <c r="I12451" s="558">
        <v>19.72</v>
      </c>
      <c r="J12451" s="567">
        <v>7.1</v>
      </c>
      <c r="K12451" s="648">
        <v>24</v>
      </c>
      <c r="L12451" s="552">
        <f>(I12451*J12451*K12451/1000)</f>
        <v>3.3602879999999997</v>
      </c>
      <c r="M12451" s="549">
        <v>14</v>
      </c>
      <c r="N12451" s="567">
        <f>J12451*M12451*I12451/1000</f>
        <v>1.9601679999999997</v>
      </c>
      <c r="O12451" s="549"/>
      <c r="P12451" s="549"/>
      <c r="Q12451" s="1511" t="s">
        <v>1545</v>
      </c>
    </row>
    <row r="12452" spans="1:21" ht="17.399999999999999">
      <c r="A12452" s="549"/>
      <c r="B12452" s="769" t="s">
        <v>1457</v>
      </c>
      <c r="C12452" s="549"/>
      <c r="D12452" s="549"/>
      <c r="E12452" s="549"/>
      <c r="F12452" s="549"/>
      <c r="G12452" s="549"/>
      <c r="H12452" s="549"/>
      <c r="I12452" s="558"/>
      <c r="J12452" s="567"/>
      <c r="K12452" s="648">
        <f>SUM(K12451)</f>
        <v>24</v>
      </c>
      <c r="L12452" s="567">
        <f>SUM(L12451)</f>
        <v>3.3602879999999997</v>
      </c>
      <c r="M12452" s="648">
        <f>SUM(M12451)</f>
        <v>14</v>
      </c>
      <c r="N12452" s="567">
        <f>SUM(N12451)</f>
        <v>1.9601679999999997</v>
      </c>
      <c r="O12452" s="549"/>
      <c r="P12452" s="549" t="s">
        <v>1489</v>
      </c>
    </row>
    <row r="12453" spans="1:21" ht="17.399999999999999">
      <c r="A12453" s="549"/>
      <c r="B12453" s="549"/>
      <c r="C12453" s="549"/>
      <c r="D12453" s="549"/>
      <c r="E12453" s="549"/>
      <c r="F12453" s="549"/>
      <c r="G12453" s="549"/>
      <c r="H12453" s="549"/>
      <c r="I12453" s="560"/>
      <c r="J12453" s="549"/>
      <c r="K12453" s="561"/>
      <c r="L12453" s="560"/>
      <c r="M12453" s="549"/>
      <c r="N12453" s="549"/>
      <c r="O12453" s="549"/>
      <c r="P12453" s="549"/>
    </row>
    <row r="12454" spans="1:21" s="1511" customFormat="1" ht="17.399999999999999">
      <c r="A12454" s="547" t="s">
        <v>395</v>
      </c>
      <c r="B12454" s="547" t="s">
        <v>1365</v>
      </c>
      <c r="C12454" s="547" t="s">
        <v>19</v>
      </c>
      <c r="D12454" s="813" t="s">
        <v>854</v>
      </c>
      <c r="E12454" s="547" t="s">
        <v>359</v>
      </c>
      <c r="F12454" s="550">
        <v>14</v>
      </c>
      <c r="G12454" s="549" t="s">
        <v>21</v>
      </c>
      <c r="H12454" s="599" t="s">
        <v>124</v>
      </c>
      <c r="I12454" s="558">
        <v>19.72</v>
      </c>
      <c r="J12454" s="567">
        <v>12</v>
      </c>
      <c r="K12454" s="648">
        <v>40</v>
      </c>
      <c r="L12454" s="552">
        <f>(I12454*J12454*K12454/1000)</f>
        <v>9.4655999999999985</v>
      </c>
      <c r="M12454" s="549">
        <v>2</v>
      </c>
      <c r="N12454" s="567">
        <f t="shared" ref="N12454:N12455" si="2528">J12454*M12454*I12454/1000</f>
        <v>0.47327999999999998</v>
      </c>
      <c r="O12454" s="549"/>
      <c r="P12454" s="549"/>
      <c r="Q12454" s="1511" t="s">
        <v>1545</v>
      </c>
    </row>
    <row r="12455" spans="1:21" s="1511" customFormat="1" ht="17.399999999999999">
      <c r="A12455" s="547"/>
      <c r="B12455" s="1605" t="s">
        <v>277</v>
      </c>
      <c r="C12455" s="547"/>
      <c r="D12455" s="813"/>
      <c r="E12455" s="547"/>
      <c r="F12455" s="550"/>
      <c r="G12455" s="549" t="s">
        <v>21</v>
      </c>
      <c r="H12455" s="549" t="s">
        <v>124</v>
      </c>
      <c r="I12455" s="558">
        <v>19.72</v>
      </c>
      <c r="J12455" s="567">
        <v>11.5</v>
      </c>
      <c r="K12455" s="648">
        <v>40</v>
      </c>
      <c r="L12455" s="552">
        <f>(I12455*J12455*K12455/1000)</f>
        <v>9.0711999999999993</v>
      </c>
      <c r="M12455" s="549">
        <f>20+4</f>
        <v>24</v>
      </c>
      <c r="N12455" s="567">
        <f t="shared" si="2528"/>
        <v>5.4427199999999996</v>
      </c>
      <c r="O12455" s="549"/>
      <c r="P12455" s="549"/>
    </row>
    <row r="12456" spans="1:21" s="1511" customFormat="1" ht="17.399999999999999">
      <c r="A12456" s="549"/>
      <c r="B12456" s="1605"/>
      <c r="C12456" s="549"/>
      <c r="D12456" s="549"/>
      <c r="E12456" s="549"/>
      <c r="F12456" s="549"/>
      <c r="G12456" s="549"/>
      <c r="H12456" s="549"/>
      <c r="I12456" s="558"/>
      <c r="J12456" s="567"/>
      <c r="K12456" s="648">
        <f>SUM(K12454:K12455)</f>
        <v>80</v>
      </c>
      <c r="L12456" s="567">
        <f>SUM(L12454:L12455)</f>
        <v>18.536799999999999</v>
      </c>
      <c r="M12456" s="648">
        <f>SUM(M12454:M12455)</f>
        <v>26</v>
      </c>
      <c r="N12456" s="567">
        <f>SUM(N12454:N12455)</f>
        <v>5.9159999999999995</v>
      </c>
      <c r="O12456" s="549"/>
      <c r="P12456" s="549" t="s">
        <v>1489</v>
      </c>
    </row>
    <row r="12457" spans="1:21" s="1511" customFormat="1" ht="17.399999999999999">
      <c r="A12457" s="549"/>
      <c r="B12457" s="549"/>
      <c r="C12457" s="549"/>
      <c r="D12457" s="549"/>
      <c r="E12457" s="549"/>
      <c r="F12457" s="549"/>
      <c r="G12457" s="549"/>
      <c r="H12457" s="549"/>
      <c r="I12457" s="558"/>
      <c r="J12457" s="567"/>
      <c r="K12457" s="648"/>
      <c r="L12457" s="567"/>
      <c r="M12457" s="549"/>
      <c r="N12457" s="549"/>
      <c r="O12457" s="549"/>
      <c r="P12457" s="549"/>
    </row>
    <row r="12458" spans="1:21" ht="17.399999999999999">
      <c r="A12458" s="547" t="s">
        <v>1527</v>
      </c>
      <c r="B12458" s="547" t="s">
        <v>1283</v>
      </c>
      <c r="C12458" s="547" t="s">
        <v>19</v>
      </c>
      <c r="D12458" s="813" t="s">
        <v>854</v>
      </c>
      <c r="E12458" s="547" t="s">
        <v>359</v>
      </c>
      <c r="F12458" s="550">
        <v>14</v>
      </c>
      <c r="G12458" s="549" t="s">
        <v>21</v>
      </c>
      <c r="H12458" s="828" t="s">
        <v>124</v>
      </c>
      <c r="I12458" s="558">
        <v>19.72</v>
      </c>
      <c r="J12458" s="567">
        <v>11.9</v>
      </c>
      <c r="K12458" s="648">
        <v>26</v>
      </c>
      <c r="L12458" s="552">
        <f>(I12458*J12458*K12458/1000)</f>
        <v>6.1013680000000008</v>
      </c>
      <c r="M12458" s="549"/>
      <c r="N12458" s="549"/>
      <c r="O12458" s="549"/>
      <c r="P12458" s="549"/>
    </row>
    <row r="12459" spans="1:21" ht="17.399999999999999">
      <c r="A12459" s="549"/>
      <c r="B12459" s="1629" t="s">
        <v>1479</v>
      </c>
      <c r="C12459" s="549"/>
      <c r="D12459" s="549"/>
      <c r="E12459" s="549"/>
      <c r="F12459" s="549"/>
      <c r="G12459" s="549"/>
      <c r="H12459" s="549"/>
      <c r="I12459" s="558"/>
      <c r="J12459" s="567"/>
      <c r="K12459" s="648">
        <f>SUM(K12458:K12458)</f>
        <v>26</v>
      </c>
      <c r="L12459" s="765">
        <f>SUM(L12458:L12458)</f>
        <v>6.1013680000000008</v>
      </c>
      <c r="M12459" s="549"/>
      <c r="N12459" s="549"/>
      <c r="O12459" s="549"/>
      <c r="P12459" s="549" t="s">
        <v>1489</v>
      </c>
    </row>
    <row r="12460" spans="1:21" ht="17.399999999999999">
      <c r="A12460" s="549"/>
      <c r="B12460" s="549"/>
      <c r="C12460" s="549"/>
      <c r="D12460" s="549"/>
      <c r="E12460" s="549"/>
      <c r="F12460" s="549"/>
      <c r="G12460" s="549"/>
      <c r="H12460" s="549"/>
      <c r="I12460" s="560"/>
      <c r="J12460" s="549"/>
      <c r="K12460" s="561"/>
      <c r="L12460" s="560"/>
      <c r="M12460" s="549"/>
      <c r="N12460" s="549"/>
      <c r="O12460" s="549"/>
      <c r="P12460" s="549"/>
    </row>
    <row r="12461" spans="1:21" ht="17.399999999999999">
      <c r="A12461" s="547" t="s">
        <v>541</v>
      </c>
      <c r="B12461" s="979" t="s">
        <v>1314</v>
      </c>
      <c r="C12461" s="547" t="s">
        <v>19</v>
      </c>
      <c r="D12461" s="547" t="s">
        <v>20</v>
      </c>
      <c r="E12461" s="1500" t="s">
        <v>420</v>
      </c>
      <c r="F12461" s="550">
        <v>14</v>
      </c>
      <c r="G12461" s="549" t="s">
        <v>21</v>
      </c>
      <c r="H12461" s="599" t="s">
        <v>124</v>
      </c>
      <c r="I12461" s="558">
        <v>19.8</v>
      </c>
      <c r="J12461" s="567">
        <v>7.4</v>
      </c>
      <c r="K12461" s="648">
        <v>1</v>
      </c>
      <c r="L12461" s="552">
        <f t="shared" ref="L12461:L12470" si="2529">(I12461*J12461*K12461/1000)</f>
        <v>0.14652000000000001</v>
      </c>
      <c r="M12461" s="549">
        <v>1</v>
      </c>
      <c r="N12461" s="567">
        <f>J12461*M12461*I12461/1000</f>
        <v>0.14652000000000001</v>
      </c>
      <c r="O12461" s="549"/>
      <c r="P12461" s="549"/>
    </row>
    <row r="12462" spans="1:21" ht="17.399999999999999">
      <c r="A12462" s="549"/>
      <c r="B12462" s="832" t="s">
        <v>1246</v>
      </c>
      <c r="C12462" s="549"/>
      <c r="D12462" s="549"/>
      <c r="E12462" s="549"/>
      <c r="F12462" s="550"/>
      <c r="G12462" s="549" t="s">
        <v>21</v>
      </c>
      <c r="H12462" s="549" t="s">
        <v>124</v>
      </c>
      <c r="I12462" s="558">
        <v>19.8</v>
      </c>
      <c r="J12462" s="567">
        <v>7.7</v>
      </c>
      <c r="K12462" s="648">
        <v>42</v>
      </c>
      <c r="L12462" s="552">
        <f t="shared" si="2529"/>
        <v>6.4033200000000008</v>
      </c>
      <c r="M12462" s="549"/>
      <c r="N12462" s="549"/>
      <c r="O12462" s="549"/>
      <c r="P12462" s="549"/>
      <c r="S12462">
        <f>16+4</f>
        <v>20</v>
      </c>
      <c r="T12462" s="126">
        <f>J12462*S12462*I12462/1000</f>
        <v>3.0492000000000004</v>
      </c>
      <c r="U12462" s="1511" t="s">
        <v>1546</v>
      </c>
    </row>
    <row r="12463" spans="1:21" ht="17.399999999999999">
      <c r="A12463" s="549"/>
      <c r="B12463" s="549"/>
      <c r="C12463" s="549"/>
      <c r="D12463" s="549"/>
      <c r="E12463" s="549"/>
      <c r="F12463" s="549"/>
      <c r="G12463" s="549" t="s">
        <v>21</v>
      </c>
      <c r="H12463" s="549" t="s">
        <v>124</v>
      </c>
      <c r="I12463" s="558">
        <v>19.8</v>
      </c>
      <c r="J12463" s="567">
        <v>8.1</v>
      </c>
      <c r="K12463" s="648">
        <f>114-7</f>
        <v>107</v>
      </c>
      <c r="L12463" s="552">
        <f t="shared" si="2529"/>
        <v>17.16066</v>
      </c>
      <c r="M12463" s="549">
        <v>1</v>
      </c>
      <c r="N12463" s="567">
        <f>J12463*M12463*I12463/1000</f>
        <v>0.16037999999999999</v>
      </c>
      <c r="O12463" s="549"/>
      <c r="P12463" s="549"/>
      <c r="Q12463" s="497">
        <v>-7</v>
      </c>
      <c r="R12463" s="1511" t="s">
        <v>1526</v>
      </c>
      <c r="S12463">
        <f>15+15+7+17+17+11</f>
        <v>82</v>
      </c>
      <c r="T12463" s="126">
        <f t="shared" ref="T12463:T12470" si="2530">J12463*S12463*I12463/1000</f>
        <v>13.151159999999999</v>
      </c>
    </row>
    <row r="12464" spans="1:21" ht="17.399999999999999">
      <c r="A12464" s="549"/>
      <c r="B12464" s="549"/>
      <c r="C12464" s="549"/>
      <c r="D12464" s="549"/>
      <c r="E12464" s="549"/>
      <c r="F12464" s="549"/>
      <c r="G12464" s="549" t="s">
        <v>21</v>
      </c>
      <c r="H12464" s="549" t="s">
        <v>124</v>
      </c>
      <c r="I12464" s="558">
        <v>19.8</v>
      </c>
      <c r="J12464" s="567">
        <v>8.4</v>
      </c>
      <c r="K12464" s="648">
        <v>22</v>
      </c>
      <c r="L12464" s="552">
        <f t="shared" si="2529"/>
        <v>3.6590400000000005</v>
      </c>
      <c r="M12464" s="549"/>
      <c r="N12464" s="549"/>
      <c r="O12464" s="549"/>
      <c r="P12464" s="549"/>
      <c r="S12464">
        <f>3+17+1</f>
        <v>21</v>
      </c>
      <c r="T12464" s="126">
        <f t="shared" si="2530"/>
        <v>3.4927200000000003</v>
      </c>
    </row>
    <row r="12465" spans="1:21" ht="17.399999999999999">
      <c r="A12465" s="549"/>
      <c r="B12465" s="549"/>
      <c r="C12465" s="549"/>
      <c r="D12465" s="549"/>
      <c r="E12465" s="549"/>
      <c r="F12465" s="549"/>
      <c r="G12465" s="549" t="s">
        <v>21</v>
      </c>
      <c r="H12465" s="549" t="s">
        <v>124</v>
      </c>
      <c r="I12465" s="558">
        <v>19.8</v>
      </c>
      <c r="J12465" s="567">
        <v>8.5</v>
      </c>
      <c r="K12465" s="648">
        <v>38</v>
      </c>
      <c r="L12465" s="552">
        <f t="shared" si="2529"/>
        <v>6.3954000000000004</v>
      </c>
      <c r="M12465" s="549"/>
      <c r="N12465" s="549"/>
      <c r="O12465" s="549"/>
      <c r="P12465" s="549"/>
      <c r="S12465">
        <f>7+15+12</f>
        <v>34</v>
      </c>
      <c r="T12465" s="126">
        <f t="shared" si="2530"/>
        <v>5.7222</v>
      </c>
    </row>
    <row r="12466" spans="1:21" ht="17.399999999999999">
      <c r="A12466" s="549"/>
      <c r="B12466" s="549"/>
      <c r="C12466" s="549"/>
      <c r="D12466" s="549"/>
      <c r="E12466" s="549"/>
      <c r="F12466" s="549"/>
      <c r="G12466" s="549" t="s">
        <v>21</v>
      </c>
      <c r="H12466" s="549" t="s">
        <v>124</v>
      </c>
      <c r="I12466" s="558">
        <v>19.8</v>
      </c>
      <c r="J12466" s="567">
        <v>8.8000000000000007</v>
      </c>
      <c r="K12466" s="648">
        <v>9</v>
      </c>
      <c r="L12466" s="552">
        <f t="shared" si="2529"/>
        <v>1.56816</v>
      </c>
      <c r="M12466" s="549"/>
      <c r="N12466" s="549"/>
      <c r="O12466" s="549"/>
      <c r="P12466" s="549"/>
      <c r="S12466">
        <f>3+6</f>
        <v>9</v>
      </c>
      <c r="T12466" s="126">
        <f t="shared" si="2530"/>
        <v>1.56816</v>
      </c>
    </row>
    <row r="12467" spans="1:21" ht="17.399999999999999">
      <c r="A12467" s="549"/>
      <c r="B12467" s="549"/>
      <c r="C12467" s="549"/>
      <c r="D12467" s="549"/>
      <c r="E12467" s="549"/>
      <c r="F12467" s="549"/>
      <c r="G12467" s="549" t="s">
        <v>21</v>
      </c>
      <c r="H12467" s="549" t="s">
        <v>124</v>
      </c>
      <c r="I12467" s="558">
        <v>19.8</v>
      </c>
      <c r="J12467" s="567">
        <v>8.9</v>
      </c>
      <c r="K12467" s="648">
        <v>6</v>
      </c>
      <c r="L12467" s="552">
        <f t="shared" si="2529"/>
        <v>1.0573200000000003</v>
      </c>
      <c r="M12467" s="549"/>
      <c r="N12467" s="549"/>
      <c r="O12467" s="549"/>
      <c r="P12467" s="549"/>
      <c r="S12467">
        <f>1+3</f>
        <v>4</v>
      </c>
      <c r="T12467" s="126">
        <f t="shared" si="2530"/>
        <v>0.70488000000000006</v>
      </c>
    </row>
    <row r="12468" spans="1:21" ht="17.399999999999999">
      <c r="A12468" s="549"/>
      <c r="B12468" s="549"/>
      <c r="C12468" s="549"/>
      <c r="D12468" s="549"/>
      <c r="E12468" s="549"/>
      <c r="F12468" s="549"/>
      <c r="G12468" s="549" t="s">
        <v>21</v>
      </c>
      <c r="H12468" s="549" t="s">
        <v>124</v>
      </c>
      <c r="I12468" s="558">
        <v>19.8</v>
      </c>
      <c r="J12468" s="567">
        <v>9</v>
      </c>
      <c r="K12468" s="648">
        <v>14</v>
      </c>
      <c r="L12468" s="552">
        <f t="shared" si="2529"/>
        <v>2.4948000000000001</v>
      </c>
      <c r="M12468" s="549"/>
      <c r="N12468" s="549"/>
      <c r="O12468" s="549"/>
      <c r="P12468" s="549"/>
      <c r="S12468">
        <f>10+3</f>
        <v>13</v>
      </c>
      <c r="T12468" s="126">
        <f t="shared" si="2530"/>
        <v>2.3165999999999998</v>
      </c>
    </row>
    <row r="12469" spans="1:21" ht="17.399999999999999">
      <c r="A12469" s="549"/>
      <c r="B12469" s="549"/>
      <c r="C12469" s="549"/>
      <c r="D12469" s="549"/>
      <c r="E12469" s="549"/>
      <c r="F12469" s="549"/>
      <c r="G12469" s="549" t="s">
        <v>21</v>
      </c>
      <c r="H12469" s="549" t="s">
        <v>124</v>
      </c>
      <c r="I12469" s="558">
        <v>19.8</v>
      </c>
      <c r="J12469" s="567">
        <v>9.6</v>
      </c>
      <c r="K12469" s="648">
        <v>57</v>
      </c>
      <c r="L12469" s="552">
        <f t="shared" si="2529"/>
        <v>10.834560000000002</v>
      </c>
      <c r="M12469" s="549">
        <f>6+4</f>
        <v>10</v>
      </c>
      <c r="N12469" s="567">
        <f>J12469*M12469*I12469/1000</f>
        <v>1.9008000000000003</v>
      </c>
      <c r="O12469" s="549"/>
      <c r="P12469" s="549"/>
      <c r="S12469">
        <f>15+12+4</f>
        <v>31</v>
      </c>
      <c r="T12469" s="126">
        <f t="shared" si="2530"/>
        <v>5.8924799999999999</v>
      </c>
    </row>
    <row r="12470" spans="1:21" ht="17.399999999999999">
      <c r="A12470" s="549"/>
      <c r="B12470" s="549"/>
      <c r="C12470" s="549"/>
      <c r="D12470" s="549"/>
      <c r="E12470" s="549"/>
      <c r="F12470" s="549"/>
      <c r="G12470" s="549" t="s">
        <v>21</v>
      </c>
      <c r="H12470" s="549" t="s">
        <v>124</v>
      </c>
      <c r="I12470" s="558">
        <v>19.8</v>
      </c>
      <c r="J12470" s="567">
        <v>11.7</v>
      </c>
      <c r="K12470" s="648">
        <f>17-2</f>
        <v>15</v>
      </c>
      <c r="L12470" s="552">
        <f t="shared" si="2529"/>
        <v>3.4748999999999999</v>
      </c>
      <c r="M12470" s="549"/>
      <c r="N12470" s="549"/>
      <c r="O12470" s="549"/>
      <c r="P12470" s="549"/>
      <c r="Q12470" s="497">
        <v>-2</v>
      </c>
      <c r="R12470" s="1511" t="s">
        <v>1526</v>
      </c>
      <c r="S12470">
        <f>10+7</f>
        <v>17</v>
      </c>
      <c r="T12470" s="126">
        <f t="shared" si="2530"/>
        <v>3.9382199999999998</v>
      </c>
    </row>
    <row r="12471" spans="1:21" ht="17.399999999999999">
      <c r="A12471" s="549"/>
      <c r="B12471" s="549"/>
      <c r="C12471" s="549"/>
      <c r="D12471" s="549"/>
      <c r="E12471" s="549"/>
      <c r="F12471" s="549"/>
      <c r="G12471" s="549"/>
      <c r="H12471" s="549"/>
      <c r="I12471" s="558"/>
      <c r="J12471" s="567"/>
      <c r="K12471" s="648">
        <f>SUM(K12461:K12470)</f>
        <v>311</v>
      </c>
      <c r="L12471" s="567">
        <f>SUM(L12461:L12470)</f>
        <v>53.194679999999998</v>
      </c>
      <c r="M12471" s="648">
        <f>SUM(M12461:M12470)</f>
        <v>12</v>
      </c>
      <c r="N12471" s="567">
        <f>SUM(N12461:N12470)</f>
        <v>2.2077000000000004</v>
      </c>
      <c r="O12471" s="549"/>
      <c r="P12471" s="549" t="s">
        <v>1490</v>
      </c>
      <c r="S12471" s="648">
        <f>SUM(S12461:S12470)</f>
        <v>231</v>
      </c>
      <c r="T12471" s="567">
        <f>SUM(T12461:T12470)</f>
        <v>39.835620000000006</v>
      </c>
    </row>
    <row r="12472" spans="1:21" s="1511" customFormat="1" ht="17.399999999999999">
      <c r="A12472" s="549"/>
      <c r="B12472" s="549"/>
      <c r="C12472" s="549"/>
      <c r="D12472" s="549"/>
      <c r="E12472" s="549"/>
      <c r="F12472" s="549"/>
      <c r="G12472" s="549"/>
      <c r="H12472" s="549"/>
      <c r="I12472" s="558"/>
      <c r="J12472" s="567"/>
      <c r="K12472" s="648">
        <f>SUM(K12448:K12471)/2</f>
        <v>467</v>
      </c>
      <c r="L12472" s="567">
        <f>SUM(L12448:L12471)/2</f>
        <v>87.345776000000001</v>
      </c>
      <c r="M12472" s="648">
        <f>SUM(M12448:M12471)/2</f>
        <v>52</v>
      </c>
      <c r="N12472" s="567">
        <f>SUM(N12448:N12471)/2</f>
        <v>10.083868000000001</v>
      </c>
      <c r="O12472" s="549"/>
      <c r="P12472" s="549"/>
    </row>
    <row r="12473" spans="1:21" s="1511" customFormat="1" ht="17.399999999999999">
      <c r="A12473" s="549"/>
      <c r="B12473" s="549"/>
      <c r="C12473" s="549"/>
      <c r="D12473" s="549"/>
      <c r="E12473" s="549"/>
      <c r="F12473" s="549"/>
      <c r="G12473" s="549"/>
      <c r="H12473" s="549"/>
      <c r="I12473" s="558"/>
      <c r="J12473" s="567"/>
      <c r="K12473" s="648"/>
      <c r="L12473" s="567"/>
      <c r="M12473" s="549"/>
      <c r="N12473" s="549"/>
      <c r="O12473" s="549"/>
      <c r="P12473" s="549"/>
    </row>
    <row r="12474" spans="1:21" s="1511" customFormat="1" ht="17.399999999999999">
      <c r="A12474" s="549"/>
      <c r="B12474" s="549"/>
      <c r="C12474" s="549"/>
      <c r="D12474" s="549"/>
      <c r="E12474" s="549"/>
      <c r="F12474" s="549"/>
      <c r="G12474" s="549"/>
      <c r="H12474" s="549"/>
      <c r="I12474" s="558"/>
      <c r="J12474" s="567"/>
      <c r="K12474" s="648"/>
      <c r="L12474" s="567"/>
      <c r="M12474" s="549"/>
      <c r="N12474" s="549"/>
      <c r="O12474" s="549"/>
      <c r="P12474" s="549"/>
    </row>
    <row r="12475" spans="1:21" ht="17.399999999999999">
      <c r="A12475" s="547" t="s">
        <v>395</v>
      </c>
      <c r="B12475" s="547" t="s">
        <v>1364</v>
      </c>
      <c r="C12475" s="547" t="s">
        <v>19</v>
      </c>
      <c r="D12475" s="813" t="s">
        <v>854</v>
      </c>
      <c r="E12475" s="547" t="s">
        <v>359</v>
      </c>
      <c r="F12475" s="550">
        <v>14</v>
      </c>
      <c r="G12475" s="549" t="s">
        <v>21</v>
      </c>
      <c r="H12475" s="599" t="s">
        <v>129</v>
      </c>
      <c r="I12475" s="558">
        <v>17.82</v>
      </c>
      <c r="J12475" s="567">
        <v>9.6</v>
      </c>
      <c r="K12475" s="648">
        <v>52</v>
      </c>
      <c r="L12475" s="552">
        <f t="shared" ref="L12475:L12476" si="2531">(I12475*J12475*K12475/1000)</f>
        <v>8.8957440000000005</v>
      </c>
      <c r="M12475" s="549"/>
      <c r="N12475" s="549"/>
      <c r="O12475" s="549"/>
      <c r="P12475" s="549"/>
      <c r="S12475">
        <f>3+12+15</f>
        <v>30</v>
      </c>
      <c r="T12475" s="126">
        <f t="shared" ref="T12475:T12476" si="2532">J12475*S12475*I12475/1000</f>
        <v>5.1321599999999998</v>
      </c>
      <c r="U12475" s="1511" t="s">
        <v>1546</v>
      </c>
    </row>
    <row r="12476" spans="1:21" ht="17.399999999999999">
      <c r="A12476" s="549"/>
      <c r="B12476" s="1605" t="s">
        <v>277</v>
      </c>
      <c r="C12476" s="549"/>
      <c r="D12476" s="549"/>
      <c r="E12476" s="549"/>
      <c r="F12476" s="549"/>
      <c r="G12476" s="549" t="s">
        <v>21</v>
      </c>
      <c r="H12476" s="549" t="s">
        <v>129</v>
      </c>
      <c r="I12476" s="558">
        <v>17.82</v>
      </c>
      <c r="J12476" s="567">
        <v>11.5</v>
      </c>
      <c r="K12476" s="648">
        <v>52</v>
      </c>
      <c r="L12476" s="552">
        <f t="shared" si="2531"/>
        <v>10.656360000000001</v>
      </c>
      <c r="M12476" s="549"/>
      <c r="N12476" s="549"/>
      <c r="O12476" s="549"/>
      <c r="P12476" s="549"/>
      <c r="S12476">
        <f>10+15+14</f>
        <v>39</v>
      </c>
      <c r="T12476" s="126">
        <f t="shared" si="2532"/>
        <v>7.9922700000000004</v>
      </c>
    </row>
    <row r="12477" spans="1:21" ht="17.399999999999999">
      <c r="A12477" s="549"/>
      <c r="B12477" s="549"/>
      <c r="C12477" s="549"/>
      <c r="D12477" s="549"/>
      <c r="E12477" s="549"/>
      <c r="F12477" s="549"/>
      <c r="G12477" s="549"/>
      <c r="H12477" s="549"/>
      <c r="I12477" s="558"/>
      <c r="J12477" s="567"/>
      <c r="K12477" s="648">
        <f t="shared" ref="K12477:L12477" si="2533">SUM(K12475:K12476)</f>
        <v>104</v>
      </c>
      <c r="L12477" s="567">
        <f t="shared" si="2533"/>
        <v>19.552104</v>
      </c>
      <c r="M12477" s="549"/>
      <c r="N12477" s="549"/>
      <c r="O12477" s="549"/>
      <c r="P12477" s="549" t="s">
        <v>1491</v>
      </c>
      <c r="S12477" s="648">
        <f t="shared" ref="S12477:T12477" si="2534">SUM(S12475:S12476)</f>
        <v>69</v>
      </c>
      <c r="T12477" s="567">
        <f t="shared" si="2534"/>
        <v>13.12443</v>
      </c>
    </row>
    <row r="12478" spans="1:21" ht="17.399999999999999">
      <c r="A12478" s="549"/>
      <c r="B12478" s="549"/>
      <c r="C12478" s="549"/>
      <c r="D12478" s="549"/>
      <c r="E12478" s="549"/>
      <c r="F12478" s="549"/>
      <c r="G12478" s="549"/>
      <c r="H12478" s="549"/>
      <c r="I12478" s="560"/>
      <c r="J12478" s="549"/>
      <c r="K12478" s="561"/>
      <c r="L12478" s="560"/>
      <c r="M12478" s="549"/>
      <c r="N12478" s="549"/>
      <c r="O12478" s="549"/>
      <c r="P12478" s="549"/>
    </row>
    <row r="12479" spans="1:21" s="1511" customFormat="1" ht="17.399999999999999">
      <c r="A12479" s="547" t="s">
        <v>395</v>
      </c>
      <c r="B12479" s="547" t="s">
        <v>1365</v>
      </c>
      <c r="C12479" s="547" t="s">
        <v>19</v>
      </c>
      <c r="D12479" s="813" t="s">
        <v>854</v>
      </c>
      <c r="E12479" s="547" t="s">
        <v>359</v>
      </c>
      <c r="F12479" s="550">
        <v>14</v>
      </c>
      <c r="G12479" s="549" t="s">
        <v>21</v>
      </c>
      <c r="H12479" s="599" t="s">
        <v>129</v>
      </c>
      <c r="I12479" s="558">
        <v>17.82</v>
      </c>
      <c r="J12479" s="567">
        <v>9.5</v>
      </c>
      <c r="K12479" s="648">
        <v>55</v>
      </c>
      <c r="L12479" s="552">
        <f>(I12479*J12479*K12479/1000)</f>
        <v>9.3109499999999983</v>
      </c>
      <c r="M12479" s="549"/>
      <c r="N12479" s="549"/>
      <c r="O12479" s="549"/>
      <c r="P12479" s="549"/>
      <c r="S12479" s="1511">
        <f>11+16+11</f>
        <v>38</v>
      </c>
      <c r="T12479" s="126">
        <f>J12479*S12479*I12479/1000</f>
        <v>6.4330200000000008</v>
      </c>
      <c r="U12479" s="1511" t="s">
        <v>1546</v>
      </c>
    </row>
    <row r="12480" spans="1:21" s="1511" customFormat="1" ht="17.399999999999999">
      <c r="A12480" s="549"/>
      <c r="B12480" s="1605" t="s">
        <v>277</v>
      </c>
      <c r="C12480" s="549"/>
      <c r="D12480" s="549"/>
      <c r="E12480" s="549"/>
      <c r="F12480" s="549"/>
      <c r="G12480" s="549" t="s">
        <v>21</v>
      </c>
      <c r="H12480" s="549" t="s">
        <v>129</v>
      </c>
      <c r="I12480" s="558">
        <v>17.82</v>
      </c>
      <c r="J12480" s="567">
        <v>11.6</v>
      </c>
      <c r="K12480" s="648">
        <v>101</v>
      </c>
      <c r="L12480" s="552">
        <f>(I12480*J12480*K12480/1000)</f>
        <v>20.877912000000002</v>
      </c>
      <c r="M12480" s="549"/>
      <c r="N12480" s="549"/>
      <c r="O12480" s="549"/>
      <c r="P12480" s="549"/>
      <c r="S12480" s="1511">
        <f>15+13+15+12+12+12+12</f>
        <v>91</v>
      </c>
      <c r="T12480" s="126">
        <f>J12480*S12480*I12480/1000</f>
        <v>18.810791999999999</v>
      </c>
    </row>
    <row r="12481" spans="1:21" s="1511" customFormat="1" ht="17.399999999999999">
      <c r="A12481" s="549"/>
      <c r="B12481" s="549"/>
      <c r="C12481" s="549"/>
      <c r="D12481" s="549"/>
      <c r="E12481" s="549"/>
      <c r="F12481" s="549"/>
      <c r="G12481" s="549"/>
      <c r="H12481" s="549"/>
      <c r="I12481" s="558"/>
      <c r="J12481" s="567"/>
      <c r="K12481" s="648">
        <f>SUM(K12479:K12480)</f>
        <v>156</v>
      </c>
      <c r="L12481" s="567">
        <f>SUM(L12479:L12480)</f>
        <v>30.188862</v>
      </c>
      <c r="M12481" s="549"/>
      <c r="N12481" s="549"/>
      <c r="O12481" s="549"/>
      <c r="P12481" s="549" t="s">
        <v>1491</v>
      </c>
      <c r="S12481" s="648">
        <f>SUM(S12479:S12480)</f>
        <v>129</v>
      </c>
      <c r="T12481" s="567">
        <f>SUM(T12479:T12480)</f>
        <v>25.243811999999998</v>
      </c>
    </row>
    <row r="12482" spans="1:21" s="1511" customFormat="1" ht="17.399999999999999">
      <c r="A12482" s="549"/>
      <c r="B12482" s="549"/>
      <c r="C12482" s="549"/>
      <c r="D12482" s="549"/>
      <c r="E12482" s="549"/>
      <c r="F12482" s="549"/>
      <c r="G12482" s="549"/>
      <c r="H12482" s="549"/>
      <c r="I12482" s="560"/>
      <c r="J12482" s="549"/>
      <c r="K12482" s="652"/>
      <c r="L12482" s="565"/>
      <c r="M12482" s="549"/>
      <c r="N12482" s="549"/>
      <c r="O12482" s="549"/>
      <c r="P12482" s="549"/>
    </row>
    <row r="12483" spans="1:21" ht="17.399999999999999">
      <c r="A12483" s="547" t="s">
        <v>541</v>
      </c>
      <c r="B12483" s="979" t="s">
        <v>1314</v>
      </c>
      <c r="C12483" s="547" t="s">
        <v>19</v>
      </c>
      <c r="D12483" s="547" t="s">
        <v>20</v>
      </c>
      <c r="E12483" s="1500" t="s">
        <v>420</v>
      </c>
      <c r="F12483" s="550">
        <v>14</v>
      </c>
      <c r="G12483" s="549" t="s">
        <v>21</v>
      </c>
      <c r="H12483" s="599" t="s">
        <v>129</v>
      </c>
      <c r="I12483" s="558">
        <v>17.899999999999999</v>
      </c>
      <c r="J12483" s="567">
        <v>7.7</v>
      </c>
      <c r="K12483" s="648">
        <v>5</v>
      </c>
      <c r="L12483" s="552">
        <f t="shared" ref="L12483:L12485" si="2535">(I12483*J12483*K12483/1000)</f>
        <v>0.68914999999999982</v>
      </c>
      <c r="M12483" s="549">
        <v>3</v>
      </c>
      <c r="N12483" s="567">
        <f>J12483*M12483*I12483/1000</f>
        <v>0.41349000000000002</v>
      </c>
      <c r="O12483" s="549"/>
      <c r="P12483" s="549"/>
      <c r="S12483">
        <f>1+2</f>
        <v>3</v>
      </c>
      <c r="T12483" s="126">
        <f t="shared" ref="T12483:T12487" si="2536">J12483*S12483*I12483/1000</f>
        <v>0.41349000000000002</v>
      </c>
      <c r="U12483" s="1511" t="s">
        <v>1546</v>
      </c>
    </row>
    <row r="12484" spans="1:21" ht="17.399999999999999">
      <c r="A12484" s="549"/>
      <c r="B12484" s="832" t="s">
        <v>1246</v>
      </c>
      <c r="C12484" s="549"/>
      <c r="D12484" s="549"/>
      <c r="E12484" s="549"/>
      <c r="F12484" s="550"/>
      <c r="G12484" s="549" t="s">
        <v>21</v>
      </c>
      <c r="H12484" s="549" t="s">
        <v>129</v>
      </c>
      <c r="I12484" s="558">
        <v>17.899999999999999</v>
      </c>
      <c r="J12484" s="567">
        <v>9.1</v>
      </c>
      <c r="K12484" s="648">
        <v>81</v>
      </c>
      <c r="L12484" s="552">
        <f t="shared" si="2535"/>
        <v>13.194089999999999</v>
      </c>
      <c r="M12484" s="549"/>
      <c r="N12484" s="549"/>
      <c r="O12484" s="549"/>
      <c r="P12484" s="549"/>
      <c r="S12484" s="1511">
        <f>19+16+18</f>
        <v>53</v>
      </c>
      <c r="T12484" s="126">
        <f t="shared" si="2536"/>
        <v>8.633169999999998</v>
      </c>
    </row>
    <row r="12485" spans="1:21" ht="17.399999999999999">
      <c r="A12485" s="549"/>
      <c r="B12485" s="549"/>
      <c r="C12485" s="549"/>
      <c r="D12485" s="549"/>
      <c r="E12485" s="549"/>
      <c r="F12485" s="549"/>
      <c r="G12485" s="549" t="s">
        <v>21</v>
      </c>
      <c r="H12485" s="549" t="s">
        <v>129</v>
      </c>
      <c r="I12485" s="558">
        <v>17.899999999999999</v>
      </c>
      <c r="J12485" s="567">
        <v>9.3000000000000007</v>
      </c>
      <c r="K12485" s="648">
        <v>36</v>
      </c>
      <c r="L12485" s="552">
        <f t="shared" si="2535"/>
        <v>5.9929199999999998</v>
      </c>
      <c r="M12485" s="549"/>
      <c r="N12485" s="549"/>
      <c r="O12485" s="549"/>
      <c r="P12485" s="549"/>
      <c r="S12485">
        <f>18+5</f>
        <v>23</v>
      </c>
      <c r="T12485" s="126">
        <f t="shared" si="2536"/>
        <v>3.8288099999999998</v>
      </c>
    </row>
    <row r="12486" spans="1:21" ht="17.399999999999999">
      <c r="A12486" s="549"/>
      <c r="B12486" s="549"/>
      <c r="C12486" s="549"/>
      <c r="D12486" s="549"/>
      <c r="E12486" s="549"/>
      <c r="F12486" s="549"/>
      <c r="G12486" s="549" t="s">
        <v>21</v>
      </c>
      <c r="H12486" s="549" t="s">
        <v>129</v>
      </c>
      <c r="I12486" s="558">
        <v>17.899999999999999</v>
      </c>
      <c r="J12486" s="567">
        <v>9.6999999999999993</v>
      </c>
      <c r="K12486" s="648">
        <f>59-4</f>
        <v>55</v>
      </c>
      <c r="L12486" s="552">
        <f>(I12486*J12486*K12486/1000)</f>
        <v>9.549649999999998</v>
      </c>
      <c r="M12486" s="549">
        <v>3</v>
      </c>
      <c r="N12486" s="567">
        <f t="shared" ref="N12486:N12487" si="2537">J12486*M12486*I12486/1000</f>
        <v>0.52088999999999985</v>
      </c>
      <c r="O12486" s="549"/>
      <c r="P12486" s="549"/>
      <c r="Q12486" s="497">
        <v>-4</v>
      </c>
      <c r="R12486" s="1511" t="s">
        <v>1526</v>
      </c>
      <c r="S12486">
        <f>18+18+4</f>
        <v>40</v>
      </c>
      <c r="T12486" s="126">
        <f t="shared" si="2536"/>
        <v>6.9451999999999998</v>
      </c>
    </row>
    <row r="12487" spans="1:21" ht="17.399999999999999">
      <c r="A12487" s="549"/>
      <c r="B12487" s="549"/>
      <c r="C12487" s="549"/>
      <c r="D12487" s="549"/>
      <c r="E12487" s="549"/>
      <c r="F12487" s="549"/>
      <c r="G12487" s="549" t="s">
        <v>21</v>
      </c>
      <c r="H12487" s="549" t="s">
        <v>129</v>
      </c>
      <c r="I12487" s="558">
        <v>17.899999999999999</v>
      </c>
      <c r="J12487" s="567">
        <v>11.7</v>
      </c>
      <c r="K12487" s="648">
        <v>24</v>
      </c>
      <c r="L12487" s="552">
        <f>(I12487*J12487*K12487/1000)</f>
        <v>5.0263200000000001</v>
      </c>
      <c r="M12487" s="549">
        <v>1</v>
      </c>
      <c r="N12487" s="567">
        <f t="shared" si="2537"/>
        <v>0.20942999999999998</v>
      </c>
      <c r="O12487" s="549"/>
      <c r="P12487" s="549"/>
      <c r="S12487">
        <f>15+3</f>
        <v>18</v>
      </c>
      <c r="T12487" s="126">
        <f t="shared" si="2536"/>
        <v>3.7697399999999996</v>
      </c>
    </row>
    <row r="12488" spans="1:21" ht="17.399999999999999">
      <c r="A12488" s="549"/>
      <c r="B12488" s="549"/>
      <c r="C12488" s="549"/>
      <c r="D12488" s="549"/>
      <c r="E12488" s="549"/>
      <c r="F12488" s="549"/>
      <c r="G12488" s="549"/>
      <c r="H12488" s="549"/>
      <c r="I12488" s="558"/>
      <c r="J12488" s="567"/>
      <c r="K12488" s="648">
        <f>SUM(K12483:K12487)</f>
        <v>201</v>
      </c>
      <c r="L12488" s="567">
        <f>SUM(L12483:L12487)</f>
        <v>34.452129999999997</v>
      </c>
      <c r="M12488" s="648">
        <f>SUM(M12483:M12487)</f>
        <v>7</v>
      </c>
      <c r="N12488" s="567">
        <f>SUM(N12483:N12487)</f>
        <v>1.1438099999999998</v>
      </c>
      <c r="O12488" s="549"/>
      <c r="P12488" s="549" t="s">
        <v>1492</v>
      </c>
      <c r="S12488" s="648">
        <f>SUM(S12483:S12487)</f>
        <v>137</v>
      </c>
      <c r="T12488" s="567">
        <f>SUM(T12483:T12487)</f>
        <v>23.590409999999995</v>
      </c>
    </row>
    <row r="12489" spans="1:21" s="1511" customFormat="1" ht="17.399999999999999">
      <c r="A12489" s="549"/>
      <c r="B12489" s="549"/>
      <c r="C12489" s="549"/>
      <c r="D12489" s="549"/>
      <c r="E12489" s="549"/>
      <c r="F12489" s="549"/>
      <c r="G12489" s="549"/>
      <c r="H12489" s="549"/>
      <c r="I12489" s="558"/>
      <c r="J12489" s="567"/>
      <c r="K12489" s="648">
        <f>SUM(K12475:K12488)/2</f>
        <v>461</v>
      </c>
      <c r="L12489" s="567">
        <f>SUM(L12475:L12488)/2</f>
        <v>84.193095999999997</v>
      </c>
      <c r="M12489" s="648">
        <f>SUM(M12475:M12488)/2</f>
        <v>7</v>
      </c>
      <c r="N12489" s="567">
        <f>SUM(N12475:N12488)/2</f>
        <v>1.1438099999999998</v>
      </c>
      <c r="O12489" s="549"/>
      <c r="P12489" s="549"/>
    </row>
    <row r="12490" spans="1:21" s="1511" customFormat="1" ht="17.399999999999999">
      <c r="A12490" s="549"/>
      <c r="B12490" s="549"/>
      <c r="C12490" s="549"/>
      <c r="D12490" s="549"/>
      <c r="E12490" s="549"/>
      <c r="F12490" s="549"/>
      <c r="G12490" s="549"/>
      <c r="H12490" s="549"/>
      <c r="I12490" s="558"/>
      <c r="J12490" s="567"/>
      <c r="K12490" s="648"/>
      <c r="L12490" s="567"/>
      <c r="M12490" s="549"/>
      <c r="N12490" s="549"/>
      <c r="O12490" s="549"/>
      <c r="P12490" s="549"/>
    </row>
    <row r="12491" spans="1:21" s="1511" customFormat="1" ht="17.399999999999999">
      <c r="A12491" s="549"/>
      <c r="B12491" s="549"/>
      <c r="C12491" s="549"/>
      <c r="D12491" s="549"/>
      <c r="E12491" s="549"/>
      <c r="F12491" s="549"/>
      <c r="G12491" s="549"/>
      <c r="H12491" s="549"/>
      <c r="I12491" s="558"/>
      <c r="J12491" s="567"/>
      <c r="K12491" s="648"/>
      <c r="L12491" s="567"/>
      <c r="M12491" s="549"/>
      <c r="N12491" s="549"/>
      <c r="O12491" s="549"/>
      <c r="P12491" s="549"/>
    </row>
    <row r="12492" spans="1:21" ht="17.399999999999999">
      <c r="A12492" s="547" t="s">
        <v>541</v>
      </c>
      <c r="B12492" s="979" t="s">
        <v>1314</v>
      </c>
      <c r="C12492" s="547" t="s">
        <v>19</v>
      </c>
      <c r="D12492" s="547" t="s">
        <v>20</v>
      </c>
      <c r="E12492" s="1500" t="s">
        <v>420</v>
      </c>
      <c r="F12492" s="550">
        <v>14</v>
      </c>
      <c r="G12492" s="549" t="s">
        <v>21</v>
      </c>
      <c r="H12492" s="599" t="s">
        <v>128</v>
      </c>
      <c r="I12492" s="558">
        <v>16</v>
      </c>
      <c r="J12492" s="567">
        <v>6.1</v>
      </c>
      <c r="K12492" s="648">
        <v>32</v>
      </c>
      <c r="L12492" s="552">
        <f t="shared" ref="L12492:L12497" si="2538">(I12492*J12492*K12492/1000)</f>
        <v>3.1231999999999998</v>
      </c>
      <c r="M12492" s="549">
        <v>3</v>
      </c>
      <c r="N12492" s="567">
        <f t="shared" ref="N12492:N12497" si="2539">J12492*M12492*I12492/1000</f>
        <v>0.29279999999999995</v>
      </c>
      <c r="O12492" s="549"/>
      <c r="P12492" s="549"/>
      <c r="S12492">
        <v>12</v>
      </c>
      <c r="T12492" s="126">
        <f t="shared" ref="T12492:T12497" si="2540">J12492*S12492*I12492/1000</f>
        <v>1.1711999999999998</v>
      </c>
      <c r="U12492" s="1511" t="s">
        <v>1546</v>
      </c>
    </row>
    <row r="12493" spans="1:21" ht="17.399999999999999">
      <c r="A12493" s="549"/>
      <c r="B12493" s="832" t="s">
        <v>1246</v>
      </c>
      <c r="C12493" s="549"/>
      <c r="D12493" s="549"/>
      <c r="E12493" s="549"/>
      <c r="F12493" s="550"/>
      <c r="G12493" s="549" t="s">
        <v>21</v>
      </c>
      <c r="H12493" s="549" t="s">
        <v>128</v>
      </c>
      <c r="I12493" s="558">
        <v>16</v>
      </c>
      <c r="J12493" s="567">
        <v>7.2</v>
      </c>
      <c r="K12493" s="648">
        <v>120</v>
      </c>
      <c r="L12493" s="552">
        <f t="shared" si="2538"/>
        <v>13.824</v>
      </c>
      <c r="M12493" s="549">
        <v>1</v>
      </c>
      <c r="N12493" s="567">
        <f t="shared" si="2539"/>
        <v>0.1152</v>
      </c>
      <c r="O12493" s="549"/>
      <c r="P12493" s="549"/>
      <c r="S12493" s="1511">
        <f>19+27</f>
        <v>46</v>
      </c>
      <c r="T12493" s="126">
        <f t="shared" si="2540"/>
        <v>5.2991999999999999</v>
      </c>
    </row>
    <row r="12494" spans="1:21" ht="17.399999999999999">
      <c r="A12494" s="549"/>
      <c r="B12494" s="549"/>
      <c r="C12494" s="549"/>
      <c r="D12494" s="549"/>
      <c r="E12494" s="549"/>
      <c r="F12494" s="549"/>
      <c r="G12494" s="549" t="s">
        <v>21</v>
      </c>
      <c r="H12494" s="549" t="s">
        <v>128</v>
      </c>
      <c r="I12494" s="558">
        <v>16</v>
      </c>
      <c r="J12494" s="567">
        <v>7.5</v>
      </c>
      <c r="K12494" s="648">
        <v>27</v>
      </c>
      <c r="L12494" s="552">
        <f t="shared" si="2538"/>
        <v>3.24</v>
      </c>
      <c r="M12494" s="549">
        <v>9</v>
      </c>
      <c r="N12494" s="567">
        <f t="shared" si="2539"/>
        <v>1.08</v>
      </c>
      <c r="O12494" s="549"/>
      <c r="P12494" s="549"/>
      <c r="S12494">
        <v>5</v>
      </c>
      <c r="T12494" s="126">
        <f t="shared" si="2540"/>
        <v>0.6</v>
      </c>
    </row>
    <row r="12495" spans="1:21" ht="17.399999999999999">
      <c r="A12495" s="549"/>
      <c r="B12495" s="549"/>
      <c r="C12495" s="549"/>
      <c r="D12495" s="549"/>
      <c r="E12495" s="549"/>
      <c r="F12495" s="549"/>
      <c r="G12495" s="549" t="s">
        <v>21</v>
      </c>
      <c r="H12495" s="549" t="s">
        <v>128</v>
      </c>
      <c r="I12495" s="558">
        <v>16</v>
      </c>
      <c r="J12495" s="567">
        <v>10</v>
      </c>
      <c r="K12495" s="648">
        <v>10</v>
      </c>
      <c r="L12495" s="552">
        <f t="shared" si="2538"/>
        <v>1.6</v>
      </c>
      <c r="M12495" s="549">
        <v>3</v>
      </c>
      <c r="N12495" s="567">
        <f t="shared" si="2539"/>
        <v>0.48</v>
      </c>
      <c r="O12495" s="549"/>
      <c r="P12495" s="549"/>
      <c r="S12495">
        <v>6</v>
      </c>
      <c r="T12495" s="126">
        <f t="shared" si="2540"/>
        <v>0.96</v>
      </c>
    </row>
    <row r="12496" spans="1:21" ht="17.399999999999999">
      <c r="A12496" s="549"/>
      <c r="B12496" s="549"/>
      <c r="C12496" s="549"/>
      <c r="D12496" s="549"/>
      <c r="E12496" s="549"/>
      <c r="F12496" s="549"/>
      <c r="G12496" s="549" t="s">
        <v>21</v>
      </c>
      <c r="H12496" s="549" t="s">
        <v>128</v>
      </c>
      <c r="I12496" s="558">
        <v>16</v>
      </c>
      <c r="J12496" s="567">
        <v>11.3</v>
      </c>
      <c r="K12496" s="648">
        <v>34</v>
      </c>
      <c r="L12496" s="552">
        <f t="shared" si="2538"/>
        <v>6.1472000000000007</v>
      </c>
      <c r="M12496" s="549"/>
      <c r="N12496" s="567">
        <f t="shared" si="2539"/>
        <v>0</v>
      </c>
      <c r="O12496" s="549"/>
      <c r="P12496" s="549"/>
      <c r="S12496">
        <v>16</v>
      </c>
      <c r="T12496" s="126">
        <f t="shared" si="2540"/>
        <v>2.8928000000000003</v>
      </c>
    </row>
    <row r="12497" spans="1:20" ht="17.399999999999999">
      <c r="A12497" s="549"/>
      <c r="B12497" s="549"/>
      <c r="C12497" s="549"/>
      <c r="D12497" s="549"/>
      <c r="E12497" s="549"/>
      <c r="F12497" s="549"/>
      <c r="G12497" s="549" t="s">
        <v>21</v>
      </c>
      <c r="H12497" s="549" t="s">
        <v>128</v>
      </c>
      <c r="I12497" s="558">
        <v>16</v>
      </c>
      <c r="J12497" s="567">
        <v>11.8</v>
      </c>
      <c r="K12497" s="648">
        <v>3</v>
      </c>
      <c r="L12497" s="552">
        <f t="shared" si="2538"/>
        <v>0.56640000000000013</v>
      </c>
      <c r="M12497" s="549">
        <v>1</v>
      </c>
      <c r="N12497" s="567">
        <f t="shared" si="2539"/>
        <v>0.18880000000000002</v>
      </c>
      <c r="O12497" s="549"/>
      <c r="P12497" s="549"/>
      <c r="S12497">
        <v>2</v>
      </c>
      <c r="T12497" s="126">
        <f t="shared" si="2540"/>
        <v>0.37760000000000005</v>
      </c>
    </row>
    <row r="12498" spans="1:20" ht="17.399999999999999">
      <c r="A12498" s="549"/>
      <c r="B12498" s="549"/>
      <c r="C12498" s="549"/>
      <c r="D12498" s="549"/>
      <c r="E12498" s="549"/>
      <c r="F12498" s="549"/>
      <c r="G12498" s="549"/>
      <c r="H12498" s="549"/>
      <c r="I12498" s="558"/>
      <c r="J12498" s="567"/>
      <c r="K12498" s="648">
        <f>SUM(K12492:K12497)</f>
        <v>226</v>
      </c>
      <c r="L12498" s="567">
        <f>SUM(L12492:L12497)</f>
        <v>28.500800000000002</v>
      </c>
      <c r="M12498" s="648">
        <f>SUM(M12492:M12497)</f>
        <v>17</v>
      </c>
      <c r="N12498" s="567">
        <f>SUM(N12492:N12497)</f>
        <v>2.1568000000000001</v>
      </c>
      <c r="O12498" s="549"/>
      <c r="P12498" s="549" t="s">
        <v>1493</v>
      </c>
      <c r="S12498" s="648">
        <f>SUM(S12492:S12497)</f>
        <v>87</v>
      </c>
      <c r="T12498" s="567">
        <f>SUM(T12492:T12497)</f>
        <v>11.300800000000001</v>
      </c>
    </row>
    <row r="12499" spans="1:20" s="1511" customFormat="1" ht="17.399999999999999">
      <c r="A12499" s="549"/>
      <c r="B12499" s="549"/>
      <c r="C12499" s="549"/>
      <c r="D12499" s="549"/>
      <c r="E12499" s="549"/>
      <c r="F12499" s="549"/>
      <c r="G12499" s="549"/>
      <c r="H12499" s="549"/>
      <c r="I12499" s="558"/>
      <c r="J12499" s="567"/>
      <c r="K12499" s="648"/>
      <c r="L12499" s="567"/>
      <c r="M12499" s="549"/>
      <c r="N12499" s="549"/>
      <c r="O12499" s="549"/>
      <c r="P12499" s="549"/>
    </row>
    <row r="12500" spans="1:20" s="1511" customFormat="1" ht="17.399999999999999">
      <c r="A12500" s="549"/>
      <c r="B12500" s="549"/>
      <c r="C12500" s="549"/>
      <c r="D12500" s="549"/>
      <c r="E12500" s="549"/>
      <c r="F12500" s="549"/>
      <c r="G12500" s="549"/>
      <c r="H12500" s="549"/>
      <c r="I12500" s="558"/>
      <c r="J12500" s="567"/>
      <c r="K12500" s="648"/>
      <c r="L12500" s="567"/>
      <c r="M12500" s="549"/>
      <c r="N12500" s="549"/>
      <c r="O12500" s="549"/>
      <c r="P12500" s="549"/>
    </row>
    <row r="12501" spans="1:20" s="1511" customFormat="1" ht="17.399999999999999">
      <c r="A12501" s="549"/>
      <c r="B12501" s="549"/>
      <c r="C12501" s="549"/>
      <c r="D12501" s="549"/>
      <c r="E12501" s="549"/>
      <c r="F12501" s="549"/>
      <c r="G12501" s="549"/>
      <c r="H12501" s="549"/>
      <c r="I12501" s="558"/>
      <c r="J12501" s="567"/>
      <c r="K12501" s="648"/>
      <c r="L12501" s="567"/>
      <c r="M12501" s="549"/>
      <c r="N12501" s="549"/>
      <c r="O12501" s="549"/>
      <c r="P12501" s="549"/>
    </row>
    <row r="12502" spans="1:20" ht="17.399999999999999">
      <c r="A12502" s="547" t="s">
        <v>83</v>
      </c>
      <c r="B12502" s="547" t="s">
        <v>1360</v>
      </c>
      <c r="C12502" s="547" t="s">
        <v>446</v>
      </c>
      <c r="D12502" s="813" t="s">
        <v>447</v>
      </c>
      <c r="E12502" s="547" t="s">
        <v>359</v>
      </c>
      <c r="F12502" s="550">
        <v>14</v>
      </c>
      <c r="G12502" s="549" t="s">
        <v>21</v>
      </c>
      <c r="H12502" s="599" t="s">
        <v>124</v>
      </c>
      <c r="I12502" s="558">
        <v>19.72</v>
      </c>
      <c r="J12502" s="567">
        <v>10</v>
      </c>
      <c r="K12502" s="648">
        <v>7</v>
      </c>
      <c r="L12502" s="552">
        <f t="shared" ref="L12502:L12504" si="2541">(I12502*J12502*K12502/1000)</f>
        <v>1.3803999999999998</v>
      </c>
      <c r="M12502" s="549"/>
      <c r="N12502" s="549"/>
      <c r="O12502" s="549"/>
      <c r="P12502" s="549"/>
      <c r="Q12502" s="1511" t="s">
        <v>1582</v>
      </c>
    </row>
    <row r="12503" spans="1:20" ht="17.399999999999999">
      <c r="A12503" s="549"/>
      <c r="B12503" s="549"/>
      <c r="C12503" s="549"/>
      <c r="D12503" s="549"/>
      <c r="E12503" s="549"/>
      <c r="F12503" s="549"/>
      <c r="G12503" s="549" t="s">
        <v>21</v>
      </c>
      <c r="H12503" s="549" t="s">
        <v>124</v>
      </c>
      <c r="I12503" s="558">
        <v>19.72</v>
      </c>
      <c r="J12503" s="567">
        <v>11.6</v>
      </c>
      <c r="K12503" s="648">
        <v>29</v>
      </c>
      <c r="L12503" s="552">
        <f t="shared" si="2541"/>
        <v>6.6338079999999993</v>
      </c>
      <c r="M12503" s="549"/>
      <c r="N12503" s="549"/>
      <c r="O12503" s="549"/>
      <c r="P12503" s="549"/>
    </row>
    <row r="12504" spans="1:20" ht="17.399999999999999">
      <c r="A12504" s="549"/>
      <c r="B12504" s="549"/>
      <c r="C12504" s="549"/>
      <c r="D12504" s="549"/>
      <c r="E12504" s="549"/>
      <c r="F12504" s="549"/>
      <c r="G12504" s="549" t="s">
        <v>21</v>
      </c>
      <c r="H12504" s="549" t="s">
        <v>124</v>
      </c>
      <c r="I12504" s="558">
        <v>19.72</v>
      </c>
      <c r="J12504" s="567">
        <v>12</v>
      </c>
      <c r="K12504" s="648">
        <v>2</v>
      </c>
      <c r="L12504" s="552">
        <f t="shared" si="2541"/>
        <v>0.47327999999999998</v>
      </c>
      <c r="M12504" s="549"/>
      <c r="N12504" s="549"/>
      <c r="O12504" s="549"/>
      <c r="P12504" s="549"/>
    </row>
    <row r="12505" spans="1:20" ht="17.399999999999999">
      <c r="A12505" s="549"/>
      <c r="B12505" s="549"/>
      <c r="C12505" s="549"/>
      <c r="D12505" s="549"/>
      <c r="E12505" s="549"/>
      <c r="F12505" s="549"/>
      <c r="G12505" s="549"/>
      <c r="H12505" s="549"/>
      <c r="I12505" s="558"/>
      <c r="J12505" s="567"/>
      <c r="K12505" s="648">
        <f t="shared" ref="K12505" si="2542">SUM(K12502:K12504)</f>
        <v>38</v>
      </c>
      <c r="L12505" s="567">
        <f t="shared" ref="L12505" si="2543">SUM(L12502:L12504)</f>
        <v>8.4874880000000008</v>
      </c>
      <c r="M12505" s="549"/>
      <c r="N12505" s="549"/>
      <c r="O12505" s="549"/>
      <c r="P12505" s="549" t="s">
        <v>1494</v>
      </c>
    </row>
    <row r="12506" spans="1:20" s="1511" customFormat="1" ht="17.399999999999999">
      <c r="A12506" s="549"/>
      <c r="B12506" s="549"/>
      <c r="C12506" s="549"/>
      <c r="D12506" s="549"/>
      <c r="E12506" s="549"/>
      <c r="F12506" s="549"/>
      <c r="G12506" s="549"/>
      <c r="H12506" s="549"/>
      <c r="I12506" s="558"/>
      <c r="J12506" s="567"/>
      <c r="K12506" s="648"/>
      <c r="L12506" s="567"/>
      <c r="M12506" s="549"/>
      <c r="N12506" s="549"/>
      <c r="O12506" s="549"/>
      <c r="P12506" s="549"/>
    </row>
    <row r="12507" spans="1:20" ht="17.399999999999999">
      <c r="A12507" s="547" t="s">
        <v>395</v>
      </c>
      <c r="B12507" s="547" t="s">
        <v>1363</v>
      </c>
      <c r="C12507" s="547" t="s">
        <v>446</v>
      </c>
      <c r="D12507" s="813" t="s">
        <v>447</v>
      </c>
      <c r="E12507" s="547" t="s">
        <v>359</v>
      </c>
      <c r="F12507" s="550">
        <v>14</v>
      </c>
      <c r="G12507" s="549" t="s">
        <v>21</v>
      </c>
      <c r="H12507" s="599" t="s">
        <v>124</v>
      </c>
      <c r="I12507" s="558">
        <v>19.72</v>
      </c>
      <c r="J12507" s="567">
        <v>12</v>
      </c>
      <c r="K12507" s="648">
        <v>1</v>
      </c>
      <c r="L12507" s="552">
        <f t="shared" ref="L12507:L12508" si="2544">(I12507*J12507*K12507/1000)</f>
        <v>0.23663999999999999</v>
      </c>
      <c r="M12507" s="549"/>
      <c r="N12507" s="549"/>
      <c r="O12507" s="549"/>
      <c r="P12507" s="549"/>
      <c r="Q12507" s="1511" t="s">
        <v>1582</v>
      </c>
    </row>
    <row r="12508" spans="1:20" ht="17.399999999999999">
      <c r="A12508" s="549"/>
      <c r="B12508" s="549"/>
      <c r="C12508" s="549"/>
      <c r="D12508" s="549"/>
      <c r="E12508" s="549"/>
      <c r="F12508" s="549"/>
      <c r="G12508" s="549" t="s">
        <v>21</v>
      </c>
      <c r="H12508" s="549" t="s">
        <v>124</v>
      </c>
      <c r="I12508" s="558">
        <v>19.72</v>
      </c>
      <c r="J12508" s="567">
        <v>9.6</v>
      </c>
      <c r="K12508" s="648">
        <v>4</v>
      </c>
      <c r="L12508" s="552">
        <f t="shared" si="2544"/>
        <v>0.75724799999999992</v>
      </c>
      <c r="M12508" s="549"/>
      <c r="N12508" s="549"/>
      <c r="O12508" s="549"/>
      <c r="P12508" s="549"/>
    </row>
    <row r="12509" spans="1:20" ht="17.399999999999999">
      <c r="A12509" s="549"/>
      <c r="B12509" s="549"/>
      <c r="C12509" s="549"/>
      <c r="D12509" s="549"/>
      <c r="E12509" s="549"/>
      <c r="F12509" s="549"/>
      <c r="G12509" s="549"/>
      <c r="H12509" s="549"/>
      <c r="I12509" s="558"/>
      <c r="J12509" s="567"/>
      <c r="K12509" s="648">
        <f t="shared" ref="K12509" si="2545">SUM(K12507:K12508)</f>
        <v>5</v>
      </c>
      <c r="L12509" s="567">
        <f t="shared" ref="L12509" si="2546">SUM(L12507:L12508)</f>
        <v>0.99388799999999988</v>
      </c>
      <c r="M12509" s="549"/>
      <c r="N12509" s="549"/>
      <c r="O12509" s="549"/>
      <c r="P12509" s="549" t="s">
        <v>1494</v>
      </c>
    </row>
    <row r="12510" spans="1:20" s="1511" customFormat="1" ht="17.399999999999999">
      <c r="A12510" s="549"/>
      <c r="B12510" s="549"/>
      <c r="C12510" s="549"/>
      <c r="D12510" s="549"/>
      <c r="E12510" s="549"/>
      <c r="F12510" s="549"/>
      <c r="G12510" s="549"/>
      <c r="H12510" s="549"/>
      <c r="I12510" s="558"/>
      <c r="J12510" s="567"/>
      <c r="K12510" s="648"/>
      <c r="L12510" s="567"/>
      <c r="M12510" s="549"/>
      <c r="N12510" s="549"/>
      <c r="O12510" s="549"/>
      <c r="P12510" s="549"/>
    </row>
    <row r="12511" spans="1:20" ht="17.399999999999999">
      <c r="A12511" s="547" t="s">
        <v>395</v>
      </c>
      <c r="B12511" s="547" t="s">
        <v>1361</v>
      </c>
      <c r="C12511" s="547" t="s">
        <v>446</v>
      </c>
      <c r="D12511" s="813" t="s">
        <v>447</v>
      </c>
      <c r="E12511" s="547" t="s">
        <v>359</v>
      </c>
      <c r="F12511" s="550">
        <v>14</v>
      </c>
      <c r="G12511" s="549" t="s">
        <v>21</v>
      </c>
      <c r="H12511" s="599" t="s">
        <v>124</v>
      </c>
      <c r="I12511" s="558">
        <v>19.72</v>
      </c>
      <c r="J12511" s="567">
        <v>12</v>
      </c>
      <c r="K12511" s="648">
        <v>6</v>
      </c>
      <c r="L12511" s="552">
        <f>(I12511*J12511*K12511/1000)</f>
        <v>1.41984</v>
      </c>
      <c r="M12511" s="549"/>
      <c r="N12511" s="549"/>
      <c r="O12511" s="549"/>
      <c r="P12511" s="549"/>
      <c r="Q12511" s="1511" t="s">
        <v>1582</v>
      </c>
    </row>
    <row r="12512" spans="1:20" ht="17.399999999999999">
      <c r="A12512" s="549"/>
      <c r="B12512" s="549"/>
      <c r="C12512" s="549"/>
      <c r="D12512" s="549"/>
      <c r="E12512" s="549"/>
      <c r="F12512" s="549"/>
      <c r="G12512" s="549"/>
      <c r="H12512" s="549"/>
      <c r="I12512" s="558"/>
      <c r="J12512" s="567"/>
      <c r="K12512" s="648">
        <f t="shared" ref="K12512" si="2547">SUM(K12511)</f>
        <v>6</v>
      </c>
      <c r="L12512" s="567">
        <f>SUM(L12511)</f>
        <v>1.41984</v>
      </c>
      <c r="M12512" s="549"/>
      <c r="N12512" s="549"/>
      <c r="O12512" s="549"/>
      <c r="P12512" s="549" t="s">
        <v>1494</v>
      </c>
    </row>
    <row r="12513" spans="1:17" s="1511" customFormat="1" ht="17.399999999999999">
      <c r="A12513" s="549"/>
      <c r="B12513" s="549"/>
      <c r="C12513" s="549"/>
      <c r="D12513" s="549"/>
      <c r="E12513" s="549"/>
      <c r="F12513" s="549"/>
      <c r="G12513" s="549"/>
      <c r="H12513" s="549"/>
      <c r="I12513" s="558"/>
      <c r="J12513" s="567"/>
      <c r="K12513" s="648"/>
      <c r="L12513" s="567"/>
      <c r="M12513" s="549"/>
      <c r="N12513" s="549"/>
      <c r="O12513" s="549"/>
      <c r="P12513" s="549"/>
    </row>
    <row r="12514" spans="1:17" s="1511" customFormat="1" ht="17.399999999999999">
      <c r="A12514" s="547" t="s">
        <v>395</v>
      </c>
      <c r="B12514" s="547" t="s">
        <v>1485</v>
      </c>
      <c r="C12514" s="547" t="s">
        <v>446</v>
      </c>
      <c r="D12514" s="813" t="s">
        <v>447</v>
      </c>
      <c r="E12514" s="547" t="s">
        <v>359</v>
      </c>
      <c r="F12514" s="550">
        <v>14</v>
      </c>
      <c r="G12514" s="549" t="s">
        <v>21</v>
      </c>
      <c r="H12514" s="599" t="s">
        <v>124</v>
      </c>
      <c r="I12514" s="558">
        <v>19.72</v>
      </c>
      <c r="J12514" s="567">
        <v>12</v>
      </c>
      <c r="K12514" s="648">
        <v>7</v>
      </c>
      <c r="L12514" s="552">
        <f>(I12514*J12514*K12514/1000)</f>
        <v>1.65648</v>
      </c>
      <c r="M12514" s="549"/>
      <c r="N12514" s="549"/>
      <c r="O12514" s="549"/>
      <c r="P12514" s="549"/>
      <c r="Q12514" s="1511" t="s">
        <v>1582</v>
      </c>
    </row>
    <row r="12515" spans="1:17" s="1511" customFormat="1" ht="17.399999999999999">
      <c r="A12515" s="547"/>
      <c r="B12515" s="547"/>
      <c r="C12515" s="547"/>
      <c r="D12515" s="813"/>
      <c r="E12515" s="547"/>
      <c r="F12515" s="550"/>
      <c r="G12515" s="549" t="s">
        <v>21</v>
      </c>
      <c r="H12515" s="549" t="s">
        <v>124</v>
      </c>
      <c r="I12515" s="558">
        <v>19.72</v>
      </c>
      <c r="J12515" s="567">
        <v>12</v>
      </c>
      <c r="K12515" s="648">
        <v>6</v>
      </c>
      <c r="L12515" s="552">
        <f>(I12515*J12515*K12515/1000)</f>
        <v>1.41984</v>
      </c>
      <c r="M12515" s="549"/>
      <c r="N12515" s="549"/>
      <c r="O12515" s="549"/>
      <c r="P12515" s="549"/>
    </row>
    <row r="12516" spans="1:17" s="1511" customFormat="1" ht="17.399999999999999">
      <c r="A12516" s="549"/>
      <c r="B12516" s="549"/>
      <c r="C12516" s="549"/>
      <c r="D12516" s="549"/>
      <c r="E12516" s="549"/>
      <c r="F12516" s="549"/>
      <c r="G12516" s="549"/>
      <c r="H12516" s="549"/>
      <c r="I12516" s="558"/>
      <c r="J12516" s="567"/>
      <c r="K12516" s="648">
        <f>SUM(K12514:K12515)</f>
        <v>13</v>
      </c>
      <c r="L12516" s="567">
        <f>SUM(L12514:L12515)</f>
        <v>3.0763199999999999</v>
      </c>
      <c r="M12516" s="549"/>
      <c r="N12516" s="549"/>
      <c r="O12516" s="549"/>
      <c r="P12516" s="549" t="s">
        <v>1494</v>
      </c>
    </row>
    <row r="12517" spans="1:17" s="1511" customFormat="1" ht="17.399999999999999">
      <c r="A12517" s="549"/>
      <c r="B12517" s="549"/>
      <c r="C12517" s="549"/>
      <c r="D12517" s="549"/>
      <c r="E12517" s="549"/>
      <c r="F12517" s="549"/>
      <c r="G12517" s="549"/>
      <c r="H12517" s="549"/>
      <c r="I12517" s="558"/>
      <c r="J12517" s="567"/>
      <c r="K12517" s="648">
        <f>SUM(K12502:K12516)/2</f>
        <v>62</v>
      </c>
      <c r="L12517" s="567">
        <f>SUM(L12502:L12516)/2</f>
        <v>13.977536000000001</v>
      </c>
      <c r="M12517" s="549"/>
      <c r="N12517" s="549"/>
      <c r="O12517" s="549"/>
      <c r="P12517" s="549"/>
    </row>
    <row r="12518" spans="1:17" s="1511" customFormat="1" ht="17.399999999999999">
      <c r="A12518" s="549"/>
      <c r="B12518" s="549"/>
      <c r="C12518" s="549"/>
      <c r="D12518" s="549"/>
      <c r="E12518" s="549"/>
      <c r="F12518" s="549"/>
      <c r="G12518" s="549"/>
      <c r="H12518" s="549"/>
      <c r="I12518" s="558"/>
      <c r="J12518" s="567"/>
      <c r="K12518" s="648"/>
      <c r="L12518" s="567"/>
      <c r="M12518" s="549"/>
      <c r="N12518" s="549"/>
      <c r="O12518" s="549"/>
      <c r="P12518" s="549"/>
    </row>
    <row r="12519" spans="1:17" s="1511" customFormat="1" ht="17.399999999999999">
      <c r="A12519" s="549"/>
      <c r="B12519" s="549"/>
      <c r="C12519" s="549"/>
      <c r="D12519" s="549"/>
      <c r="E12519" s="549"/>
      <c r="F12519" s="549"/>
      <c r="G12519" s="549"/>
      <c r="H12519" s="549"/>
      <c r="I12519" s="558"/>
      <c r="J12519" s="567"/>
      <c r="K12519" s="648"/>
      <c r="L12519" s="567"/>
      <c r="M12519" s="549"/>
      <c r="N12519" s="549"/>
      <c r="O12519" s="549"/>
      <c r="P12519" s="549"/>
    </row>
    <row r="12520" spans="1:17" ht="17.399999999999999">
      <c r="A12520" s="547" t="s">
        <v>83</v>
      </c>
      <c r="B12520" s="547" t="s">
        <v>1360</v>
      </c>
      <c r="C12520" s="547" t="s">
        <v>446</v>
      </c>
      <c r="D12520" s="813" t="s">
        <v>447</v>
      </c>
      <c r="E12520" s="547" t="s">
        <v>359</v>
      </c>
      <c r="F12520" s="550">
        <v>14</v>
      </c>
      <c r="G12520" s="549" t="s">
        <v>21</v>
      </c>
      <c r="H12520" s="599" t="s">
        <v>125</v>
      </c>
      <c r="I12520" s="558">
        <v>21.7</v>
      </c>
      <c r="J12520" s="567">
        <v>6.8</v>
      </c>
      <c r="K12520" s="648">
        <v>8</v>
      </c>
      <c r="L12520" s="552">
        <f t="shared" ref="L12520:L12522" si="2548">(I12520*J12520*K12520/1000)</f>
        <v>1.18048</v>
      </c>
      <c r="M12520" s="549">
        <v>2</v>
      </c>
      <c r="N12520" s="567">
        <f t="shared" ref="N12520:N12524" si="2549">J12520*M12520*I12520/1000</f>
        <v>0.29511999999999999</v>
      </c>
      <c r="O12520" s="549"/>
      <c r="P12520" s="549"/>
      <c r="Q12520" s="1511" t="s">
        <v>1582</v>
      </c>
    </row>
    <row r="12521" spans="1:17" ht="17.399999999999999">
      <c r="A12521" s="549"/>
      <c r="B12521" s="549"/>
      <c r="C12521" s="549"/>
      <c r="D12521" s="549"/>
      <c r="E12521" s="549"/>
      <c r="F12521" s="549"/>
      <c r="G12521" s="549" t="s">
        <v>21</v>
      </c>
      <c r="H12521" s="549" t="s">
        <v>125</v>
      </c>
      <c r="I12521" s="558">
        <v>21.7</v>
      </c>
      <c r="J12521" s="567">
        <v>8.3000000000000007</v>
      </c>
      <c r="K12521" s="648">
        <v>18</v>
      </c>
      <c r="L12521" s="552">
        <f t="shared" si="2548"/>
        <v>3.2419800000000003</v>
      </c>
      <c r="M12521" s="549">
        <v>1</v>
      </c>
      <c r="N12521" s="567">
        <f t="shared" si="2549"/>
        <v>0.18011000000000002</v>
      </c>
      <c r="O12521" s="549"/>
      <c r="P12521" s="549"/>
    </row>
    <row r="12522" spans="1:17" ht="17.399999999999999">
      <c r="A12522" s="549"/>
      <c r="B12522" s="549"/>
      <c r="C12522" s="549"/>
      <c r="D12522" s="549"/>
      <c r="E12522" s="549"/>
      <c r="F12522" s="549"/>
      <c r="G12522" s="549" t="s">
        <v>21</v>
      </c>
      <c r="H12522" s="549" t="s">
        <v>125</v>
      </c>
      <c r="I12522" s="558">
        <v>21.7</v>
      </c>
      <c r="J12522" s="567">
        <v>9.1999999999999993</v>
      </c>
      <c r="K12522" s="648">
        <v>16</v>
      </c>
      <c r="L12522" s="552">
        <f t="shared" si="2548"/>
        <v>3.1942399999999997</v>
      </c>
      <c r="M12522" s="549"/>
      <c r="N12522" s="567">
        <f t="shared" si="2549"/>
        <v>0</v>
      </c>
      <c r="O12522" s="549"/>
      <c r="P12522" s="549"/>
    </row>
    <row r="12523" spans="1:17" ht="17.399999999999999">
      <c r="A12523" s="549"/>
      <c r="B12523" s="549"/>
      <c r="C12523" s="549"/>
      <c r="D12523" s="549"/>
      <c r="E12523" s="549"/>
      <c r="F12523" s="549"/>
      <c r="G12523" s="549" t="s">
        <v>21</v>
      </c>
      <c r="H12523" s="549" t="s">
        <v>125</v>
      </c>
      <c r="I12523" s="558">
        <v>21.7</v>
      </c>
      <c r="J12523" s="567">
        <v>10.8</v>
      </c>
      <c r="K12523" s="648">
        <v>12</v>
      </c>
      <c r="L12523" s="552">
        <f>(I12523*J12523*K12523/1000)</f>
        <v>2.8123200000000002</v>
      </c>
      <c r="M12523" s="549">
        <v>1</v>
      </c>
      <c r="N12523" s="567">
        <f t="shared" si="2549"/>
        <v>0.23436000000000001</v>
      </c>
      <c r="O12523" s="549"/>
      <c r="P12523" s="549"/>
    </row>
    <row r="12524" spans="1:17" ht="17.399999999999999">
      <c r="A12524" s="549"/>
      <c r="B12524" s="549"/>
      <c r="C12524" s="549"/>
      <c r="D12524" s="549"/>
      <c r="E12524" s="549"/>
      <c r="F12524" s="549"/>
      <c r="G12524" s="549" t="s">
        <v>21</v>
      </c>
      <c r="H12524" s="549" t="s">
        <v>125</v>
      </c>
      <c r="I12524" s="558">
        <v>21.7</v>
      </c>
      <c r="J12524" s="567">
        <v>11.8</v>
      </c>
      <c r="K12524" s="648">
        <v>52</v>
      </c>
      <c r="L12524" s="552">
        <f>(I12524*J12524*K12524/1000)</f>
        <v>13.31512</v>
      </c>
      <c r="M12524" s="549">
        <v>3</v>
      </c>
      <c r="N12524" s="567">
        <f t="shared" si="2549"/>
        <v>0.76818000000000008</v>
      </c>
      <c r="O12524" s="549"/>
      <c r="P12524" s="549"/>
    </row>
    <row r="12525" spans="1:17" ht="17.399999999999999">
      <c r="A12525" s="549"/>
      <c r="B12525" s="549"/>
      <c r="C12525" s="549"/>
      <c r="D12525" s="549"/>
      <c r="E12525" s="549"/>
      <c r="F12525" s="549"/>
      <c r="G12525" s="549"/>
      <c r="H12525" s="549"/>
      <c r="I12525" s="558"/>
      <c r="J12525" s="567"/>
      <c r="K12525" s="648">
        <f>SUM(K12520:K12524)</f>
        <v>106</v>
      </c>
      <c r="L12525" s="567">
        <f>SUM(L12520:L12524)</f>
        <v>23.744140000000002</v>
      </c>
      <c r="M12525" s="648">
        <f t="shared" ref="M12525" si="2550">SUM(M12520:M12524)</f>
        <v>7</v>
      </c>
      <c r="N12525" s="567">
        <f t="shared" ref="N12525" si="2551">SUM(N12520:N12524)</f>
        <v>1.47777</v>
      </c>
      <c r="O12525" s="549"/>
      <c r="P12525" s="549" t="s">
        <v>1495</v>
      </c>
    </row>
    <row r="12526" spans="1:17" s="1511" customFormat="1" ht="17.399999999999999">
      <c r="A12526" s="549"/>
      <c r="B12526" s="549"/>
      <c r="C12526" s="549"/>
      <c r="D12526" s="549"/>
      <c r="E12526" s="549"/>
      <c r="F12526" s="549"/>
      <c r="G12526" s="549"/>
      <c r="H12526" s="549"/>
      <c r="I12526" s="558"/>
      <c r="J12526" s="567"/>
      <c r="K12526" s="648"/>
      <c r="L12526" s="567"/>
      <c r="M12526" s="648"/>
      <c r="N12526" s="567"/>
      <c r="O12526" s="549"/>
      <c r="P12526" s="549"/>
    </row>
    <row r="12527" spans="1:17" ht="17.399999999999999">
      <c r="A12527" s="549"/>
      <c r="B12527" s="549"/>
      <c r="C12527" s="549"/>
      <c r="D12527" s="549"/>
      <c r="E12527" s="549"/>
      <c r="F12527" s="549"/>
      <c r="G12527" s="549"/>
      <c r="H12527" s="549"/>
      <c r="I12527" s="560"/>
      <c r="J12527" s="549"/>
      <c r="K12527" s="561"/>
      <c r="L12527" s="560"/>
      <c r="M12527" s="549"/>
      <c r="N12527" s="549"/>
      <c r="O12527" s="549"/>
      <c r="P12527" s="549"/>
    </row>
    <row r="12528" spans="1:17" ht="17.399999999999999">
      <c r="A12528" s="547" t="s">
        <v>395</v>
      </c>
      <c r="B12528" s="547" t="s">
        <v>1361</v>
      </c>
      <c r="C12528" s="547" t="s">
        <v>446</v>
      </c>
      <c r="D12528" s="813" t="s">
        <v>447</v>
      </c>
      <c r="E12528" s="547" t="s">
        <v>359</v>
      </c>
      <c r="F12528" s="550">
        <v>14</v>
      </c>
      <c r="G12528" s="549" t="s">
        <v>21</v>
      </c>
      <c r="H12528" s="599" t="s">
        <v>126</v>
      </c>
      <c r="I12528" s="558">
        <v>23.45</v>
      </c>
      <c r="J12528" s="567">
        <v>7.5</v>
      </c>
      <c r="K12528" s="648">
        <v>18</v>
      </c>
      <c r="L12528" s="552">
        <f>(I12528*J12528*K12528/1000)</f>
        <v>3.1657500000000001</v>
      </c>
      <c r="M12528" s="549"/>
      <c r="N12528" s="549"/>
      <c r="O12528" s="549"/>
      <c r="P12528" s="549"/>
      <c r="Q12528" s="1511" t="s">
        <v>1582</v>
      </c>
    </row>
    <row r="12529" spans="1:17" ht="17.399999999999999">
      <c r="A12529" s="549"/>
      <c r="B12529" s="549"/>
      <c r="C12529" s="549"/>
      <c r="D12529" s="549"/>
      <c r="E12529" s="549"/>
      <c r="F12529" s="549"/>
      <c r="G12529" s="549" t="s">
        <v>21</v>
      </c>
      <c r="H12529" s="549" t="s">
        <v>126</v>
      </c>
      <c r="I12529" s="558">
        <v>23.45</v>
      </c>
      <c r="J12529" s="567">
        <v>10</v>
      </c>
      <c r="K12529" s="648">
        <v>4</v>
      </c>
      <c r="L12529" s="552">
        <f>(I12529*J12529*K12529/1000)</f>
        <v>0.93799999999999994</v>
      </c>
      <c r="M12529" s="549"/>
      <c r="N12529" s="549"/>
      <c r="O12529" s="549"/>
      <c r="P12529" s="549"/>
    </row>
    <row r="12530" spans="1:17" ht="17.399999999999999">
      <c r="A12530" s="549"/>
      <c r="B12530" s="549"/>
      <c r="C12530" s="549"/>
      <c r="D12530" s="549"/>
      <c r="E12530" s="549"/>
      <c r="F12530" s="549"/>
      <c r="G12530" s="549" t="s">
        <v>21</v>
      </c>
      <c r="H12530" s="549" t="s">
        <v>126</v>
      </c>
      <c r="I12530" s="558">
        <v>23.45</v>
      </c>
      <c r="J12530" s="567">
        <v>11</v>
      </c>
      <c r="K12530" s="648">
        <v>16</v>
      </c>
      <c r="L12530" s="552">
        <f>(I12530*J12530*K12530/1000)</f>
        <v>4.1272000000000002</v>
      </c>
      <c r="M12530" s="549"/>
      <c r="N12530" s="549"/>
      <c r="O12530" s="549"/>
      <c r="P12530" s="549"/>
    </row>
    <row r="12531" spans="1:17" ht="17.399999999999999">
      <c r="A12531" s="549"/>
      <c r="B12531" s="549"/>
      <c r="C12531" s="549"/>
      <c r="D12531" s="549"/>
      <c r="E12531" s="549"/>
      <c r="F12531" s="549"/>
      <c r="G12531" s="549"/>
      <c r="H12531" s="549"/>
      <c r="I12531" s="558"/>
      <c r="J12531" s="567"/>
      <c r="K12531" s="648">
        <f t="shared" ref="K12531" si="2552">SUM(K12528:K12530)</f>
        <v>38</v>
      </c>
      <c r="L12531" s="567">
        <f t="shared" ref="L12531" si="2553">SUM(L12528:L12530)</f>
        <v>8.23095</v>
      </c>
      <c r="M12531" s="549"/>
      <c r="N12531" s="549"/>
      <c r="O12531" s="549"/>
      <c r="P12531" s="549"/>
    </row>
    <row r="12532" spans="1:17" s="1511" customFormat="1" ht="17.399999999999999">
      <c r="A12532" s="549"/>
      <c r="B12532" s="549"/>
      <c r="C12532" s="549"/>
      <c r="D12532" s="549"/>
      <c r="E12532" s="549"/>
      <c r="F12532" s="549"/>
      <c r="G12532" s="549"/>
      <c r="H12532" s="549"/>
      <c r="I12532" s="558"/>
      <c r="J12532" s="567"/>
      <c r="K12532" s="648"/>
      <c r="L12532" s="567"/>
      <c r="M12532" s="549"/>
      <c r="N12532" s="549"/>
      <c r="O12532" s="549"/>
      <c r="P12532" s="549"/>
    </row>
    <row r="12533" spans="1:17" ht="17.399999999999999">
      <c r="A12533" s="547" t="s">
        <v>395</v>
      </c>
      <c r="B12533" s="547" t="s">
        <v>1363</v>
      </c>
      <c r="C12533" s="547" t="s">
        <v>446</v>
      </c>
      <c r="D12533" s="813" t="s">
        <v>447</v>
      </c>
      <c r="E12533" s="547" t="s">
        <v>359</v>
      </c>
      <c r="F12533" s="550">
        <v>14</v>
      </c>
      <c r="G12533" s="549" t="s">
        <v>21</v>
      </c>
      <c r="H12533" s="599" t="s">
        <v>126</v>
      </c>
      <c r="I12533" s="558">
        <v>23.45</v>
      </c>
      <c r="J12533" s="567">
        <v>11</v>
      </c>
      <c r="K12533" s="648">
        <v>2</v>
      </c>
      <c r="L12533" s="552">
        <f t="shared" ref="L12533:L12534" si="2554">(I12533*J12533*K12533/1000)</f>
        <v>0.51590000000000003</v>
      </c>
      <c r="M12533" s="549"/>
      <c r="N12533" s="549"/>
      <c r="O12533" s="549"/>
      <c r="P12533" s="549"/>
      <c r="Q12533" s="1511" t="s">
        <v>1582</v>
      </c>
    </row>
    <row r="12534" spans="1:17" ht="17.399999999999999">
      <c r="A12534" s="549"/>
      <c r="B12534" s="549"/>
      <c r="C12534" s="549"/>
      <c r="D12534" s="549"/>
      <c r="E12534" s="549"/>
      <c r="F12534" s="549"/>
      <c r="G12534" s="549" t="s">
        <v>21</v>
      </c>
      <c r="H12534" s="549" t="s">
        <v>126</v>
      </c>
      <c r="I12534" s="558">
        <v>23.45</v>
      </c>
      <c r="J12534" s="567">
        <v>12</v>
      </c>
      <c r="K12534" s="648">
        <v>5</v>
      </c>
      <c r="L12534" s="552">
        <f t="shared" si="2554"/>
        <v>1.407</v>
      </c>
      <c r="M12534" s="549"/>
      <c r="N12534" s="549"/>
      <c r="O12534" s="549"/>
      <c r="P12534" s="549"/>
    </row>
    <row r="12535" spans="1:17" ht="17.399999999999999">
      <c r="A12535" s="549"/>
      <c r="B12535" s="549"/>
      <c r="C12535" s="549"/>
      <c r="D12535" s="549"/>
      <c r="E12535" s="549"/>
      <c r="F12535" s="549"/>
      <c r="G12535" s="549"/>
      <c r="H12535" s="549"/>
      <c r="I12535" s="558"/>
      <c r="J12535" s="567"/>
      <c r="K12535" s="648">
        <f t="shared" ref="K12535" si="2555">SUM(K12533:K12534)</f>
        <v>7</v>
      </c>
      <c r="L12535" s="567">
        <f>SUM(L12533:L12534)</f>
        <v>1.9229000000000001</v>
      </c>
      <c r="M12535" s="549"/>
      <c r="N12535" s="549"/>
      <c r="O12535" s="549"/>
      <c r="P12535" s="549"/>
    </row>
    <row r="12536" spans="1:17" s="1511" customFormat="1" ht="17.399999999999999">
      <c r="A12536" s="549"/>
      <c r="B12536" s="549"/>
      <c r="C12536" s="549"/>
      <c r="D12536" s="549"/>
      <c r="E12536" s="549"/>
      <c r="F12536" s="549"/>
      <c r="G12536" s="549"/>
      <c r="H12536" s="549"/>
      <c r="I12536" s="558"/>
      <c r="J12536" s="567"/>
      <c r="K12536" s="648">
        <f>SUM(K12528:K12535)/2</f>
        <v>45</v>
      </c>
      <c r="L12536" s="567">
        <f>SUM(L12528:L12535)/2</f>
        <v>10.153849999999998</v>
      </c>
      <c r="M12536" s="549"/>
      <c r="N12536" s="549"/>
      <c r="O12536" s="549"/>
      <c r="P12536" s="549" t="s">
        <v>1496</v>
      </c>
    </row>
    <row r="12537" spans="1:17" s="1511" customFormat="1" ht="17.399999999999999">
      <c r="A12537" s="549"/>
      <c r="B12537" s="549"/>
      <c r="C12537" s="549"/>
      <c r="D12537" s="549"/>
      <c r="E12537" s="549"/>
      <c r="F12537" s="549"/>
      <c r="G12537" s="549"/>
      <c r="H12537" s="549"/>
      <c r="I12537" s="558"/>
      <c r="J12537" s="567"/>
      <c r="K12537" s="648"/>
      <c r="L12537" s="567"/>
      <c r="M12537" s="549"/>
      <c r="N12537" s="549"/>
      <c r="O12537" s="549"/>
      <c r="P12537" s="549"/>
    </row>
    <row r="12538" spans="1:17" s="1511" customFormat="1" ht="17.399999999999999">
      <c r="A12538" s="549"/>
      <c r="B12538" s="549"/>
      <c r="C12538" s="549"/>
      <c r="D12538" s="549"/>
      <c r="E12538" s="549"/>
      <c r="F12538" s="549"/>
      <c r="G12538" s="549"/>
      <c r="H12538" s="549"/>
      <c r="I12538" s="558"/>
      <c r="J12538" s="567"/>
      <c r="K12538" s="648"/>
      <c r="L12538" s="567"/>
      <c r="M12538" s="549"/>
      <c r="N12538" s="549"/>
      <c r="O12538" s="549"/>
      <c r="P12538" s="549"/>
    </row>
    <row r="12539" spans="1:17" ht="17.399999999999999">
      <c r="A12539" s="547" t="s">
        <v>83</v>
      </c>
      <c r="B12539" s="547" t="s">
        <v>1456</v>
      </c>
      <c r="C12539" s="547" t="s">
        <v>19</v>
      </c>
      <c r="D12539" s="813" t="s">
        <v>155</v>
      </c>
      <c r="E12539" s="547" t="s">
        <v>270</v>
      </c>
      <c r="F12539" s="550">
        <v>14</v>
      </c>
      <c r="G12539" s="549" t="s">
        <v>61</v>
      </c>
      <c r="H12539" s="599" t="s">
        <v>126</v>
      </c>
      <c r="I12539" s="558">
        <v>23.45</v>
      </c>
      <c r="J12539" s="567">
        <v>7</v>
      </c>
      <c r="K12539" s="648">
        <v>1</v>
      </c>
      <c r="L12539" s="552">
        <f>(I12539*J12539*K12539/1000)</f>
        <v>0.16415000000000002</v>
      </c>
      <c r="M12539" s="549"/>
      <c r="N12539" s="549"/>
      <c r="O12539" s="549"/>
      <c r="P12539" s="549"/>
      <c r="Q12539" s="1511" t="s">
        <v>1546</v>
      </c>
    </row>
    <row r="12540" spans="1:17" ht="17.399999999999999">
      <c r="A12540" s="549"/>
      <c r="B12540" s="769" t="s">
        <v>1457</v>
      </c>
      <c r="C12540" s="549"/>
      <c r="D12540" s="549"/>
      <c r="E12540" s="549"/>
      <c r="F12540" s="549"/>
      <c r="G12540" s="549"/>
      <c r="H12540" s="549"/>
      <c r="I12540" s="558"/>
      <c r="J12540" s="567"/>
      <c r="K12540" s="648">
        <f>SUM(K12539)</f>
        <v>1</v>
      </c>
      <c r="L12540" s="567">
        <f>SUM(L12539)</f>
        <v>0.16415000000000002</v>
      </c>
      <c r="M12540" s="549"/>
      <c r="N12540" s="549"/>
      <c r="O12540" s="549"/>
      <c r="P12540" s="549" t="s">
        <v>1497</v>
      </c>
    </row>
    <row r="12541" spans="1:17" ht="17.399999999999999">
      <c r="A12541" s="549"/>
      <c r="B12541" s="549"/>
      <c r="C12541" s="549"/>
      <c r="D12541" s="549"/>
      <c r="E12541" s="549"/>
      <c r="F12541" s="549"/>
      <c r="G12541" s="549"/>
      <c r="H12541" s="549"/>
      <c r="I12541" s="560"/>
      <c r="J12541" s="549"/>
      <c r="K12541" s="561"/>
      <c r="L12541" s="560"/>
      <c r="M12541" s="549"/>
      <c r="N12541" s="549"/>
      <c r="O12541" s="549"/>
      <c r="P12541" s="549"/>
    </row>
    <row r="12542" spans="1:17" ht="17.399999999999999">
      <c r="A12542" s="547" t="s">
        <v>395</v>
      </c>
      <c r="B12542" s="547" t="s">
        <v>1361</v>
      </c>
      <c r="C12542" s="547" t="s">
        <v>446</v>
      </c>
      <c r="D12542" s="813" t="s">
        <v>450</v>
      </c>
      <c r="E12542" s="547" t="s">
        <v>270</v>
      </c>
      <c r="F12542" s="550">
        <v>14</v>
      </c>
      <c r="G12542" s="549" t="s">
        <v>61</v>
      </c>
      <c r="H12542" s="599" t="s">
        <v>126</v>
      </c>
      <c r="I12542" s="558">
        <v>23.45</v>
      </c>
      <c r="J12542" s="567">
        <v>10</v>
      </c>
      <c r="K12542" s="648">
        <v>4</v>
      </c>
      <c r="L12542" s="552">
        <f t="shared" ref="L12542:L12543" si="2556">(I12542*J12542*K12542/1000)</f>
        <v>0.93799999999999994</v>
      </c>
      <c r="M12542" s="549"/>
      <c r="N12542" s="549"/>
      <c r="O12542" s="549"/>
      <c r="P12542" s="549"/>
      <c r="Q12542" s="1511" t="s">
        <v>1582</v>
      </c>
    </row>
    <row r="12543" spans="1:17" ht="17.399999999999999">
      <c r="A12543" s="549"/>
      <c r="B12543" s="549"/>
      <c r="C12543" s="549"/>
      <c r="D12543" s="549"/>
      <c r="E12543" s="549"/>
      <c r="F12543" s="549"/>
      <c r="G12543" s="549" t="s">
        <v>61</v>
      </c>
      <c r="H12543" s="549" t="s">
        <v>126</v>
      </c>
      <c r="I12543" s="558">
        <v>23.45</v>
      </c>
      <c r="J12543" s="567">
        <v>11</v>
      </c>
      <c r="K12543" s="648">
        <v>2</v>
      </c>
      <c r="L12543" s="552">
        <f t="shared" si="2556"/>
        <v>0.51590000000000003</v>
      </c>
      <c r="M12543" s="549"/>
      <c r="N12543" s="549"/>
      <c r="O12543" s="549"/>
      <c r="P12543" s="549"/>
    </row>
    <row r="12544" spans="1:17" ht="17.399999999999999">
      <c r="A12544" s="549"/>
      <c r="B12544" s="549"/>
      <c r="C12544" s="549"/>
      <c r="D12544" s="549"/>
      <c r="E12544" s="549"/>
      <c r="F12544" s="549"/>
      <c r="G12544" s="549"/>
      <c r="H12544" s="549"/>
      <c r="I12544" s="558"/>
      <c r="J12544" s="567"/>
      <c r="K12544" s="648">
        <f>SUM(K12542:K12543)</f>
        <v>6</v>
      </c>
      <c r="L12544" s="567">
        <f>SUM(L12542:L12543)</f>
        <v>1.4539</v>
      </c>
      <c r="M12544" s="549"/>
      <c r="N12544" s="549"/>
      <c r="O12544" s="549"/>
      <c r="P12544" s="549" t="s">
        <v>1498</v>
      </c>
    </row>
    <row r="12545" spans="1:17" ht="17.399999999999999">
      <c r="A12545" s="549"/>
      <c r="B12545" s="549"/>
      <c r="C12545" s="549"/>
      <c r="D12545" s="549"/>
      <c r="E12545" s="549"/>
      <c r="F12545" s="549"/>
      <c r="G12545" s="549"/>
      <c r="H12545" s="549"/>
      <c r="I12545" s="560"/>
      <c r="J12545" s="549"/>
      <c r="K12545" s="652">
        <f>SUM(K12539:K12544)/2</f>
        <v>7</v>
      </c>
      <c r="L12545" s="565">
        <f>SUM(L12539:L12544)/2</f>
        <v>1.61805</v>
      </c>
      <c r="M12545" s="652">
        <f>SUM(M12539:M12544)/2</f>
        <v>0</v>
      </c>
      <c r="N12545" s="565">
        <f>SUM(N12539:N12544)/2</f>
        <v>0</v>
      </c>
      <c r="O12545" s="549"/>
      <c r="P12545" s="549"/>
    </row>
    <row r="12546" spans="1:17" s="1511" customFormat="1" ht="17.399999999999999">
      <c r="A12546" s="549"/>
      <c r="B12546" s="549"/>
      <c r="C12546" s="549"/>
      <c r="D12546" s="549"/>
      <c r="E12546" s="549"/>
      <c r="F12546" s="549"/>
      <c r="G12546" s="549"/>
      <c r="H12546" s="549"/>
      <c r="I12546" s="560"/>
      <c r="J12546" s="549"/>
      <c r="K12546" s="652"/>
      <c r="L12546" s="565"/>
      <c r="M12546" s="549"/>
      <c r="N12546" s="549"/>
      <c r="O12546" s="549"/>
      <c r="P12546" s="549"/>
    </row>
    <row r="12547" spans="1:17" ht="17.399999999999999">
      <c r="A12547" s="549"/>
      <c r="B12547" s="549"/>
      <c r="C12547" s="549"/>
      <c r="D12547" s="549"/>
      <c r="E12547" s="549"/>
      <c r="F12547" s="549"/>
      <c r="G12547" s="549"/>
      <c r="H12547" s="549"/>
      <c r="I12547" s="560"/>
      <c r="J12547" s="549"/>
      <c r="K12547" s="561"/>
      <c r="L12547" s="560"/>
      <c r="M12547" s="549"/>
      <c r="N12547" s="549"/>
      <c r="O12547" s="549"/>
      <c r="P12547" s="549"/>
    </row>
    <row r="12548" spans="1:17" ht="17.399999999999999">
      <c r="A12548" s="547" t="s">
        <v>395</v>
      </c>
      <c r="B12548" s="547" t="s">
        <v>1361</v>
      </c>
      <c r="C12548" s="547" t="s">
        <v>446</v>
      </c>
      <c r="D12548" s="813" t="s">
        <v>450</v>
      </c>
      <c r="E12548" s="547" t="s">
        <v>270</v>
      </c>
      <c r="F12548" s="550">
        <v>14</v>
      </c>
      <c r="G12548" s="549" t="s">
        <v>61</v>
      </c>
      <c r="H12548" s="599" t="s">
        <v>124</v>
      </c>
      <c r="I12548" s="558">
        <v>19.72</v>
      </c>
      <c r="J12548" s="567">
        <v>6.5</v>
      </c>
      <c r="K12548" s="648">
        <v>16</v>
      </c>
      <c r="L12548" s="552">
        <f>(I12548*J12548*K12548/1000)</f>
        <v>2.0508800000000003</v>
      </c>
      <c r="M12548" s="549"/>
      <c r="N12548" s="549"/>
      <c r="O12548" s="549"/>
      <c r="P12548" s="549"/>
      <c r="Q12548" s="1511" t="s">
        <v>1582</v>
      </c>
    </row>
    <row r="12549" spans="1:17" ht="17.399999999999999">
      <c r="A12549" s="549"/>
      <c r="B12549" s="549"/>
      <c r="C12549" s="549"/>
      <c r="D12549" s="549"/>
      <c r="E12549" s="549"/>
      <c r="F12549" s="549"/>
      <c r="G12549" s="549" t="s">
        <v>61</v>
      </c>
      <c r="H12549" s="549" t="s">
        <v>124</v>
      </c>
      <c r="I12549" s="558">
        <v>19.72</v>
      </c>
      <c r="J12549" s="567">
        <v>7</v>
      </c>
      <c r="K12549" s="648">
        <v>16</v>
      </c>
      <c r="L12549" s="552">
        <f>(I12549*J12549*K12549/1000)</f>
        <v>2.2086399999999999</v>
      </c>
      <c r="M12549" s="549"/>
      <c r="N12549" s="549"/>
      <c r="O12549" s="549"/>
      <c r="P12549" s="549"/>
    </row>
    <row r="12550" spans="1:17" ht="17.399999999999999">
      <c r="A12550" s="549"/>
      <c r="B12550" s="549"/>
      <c r="C12550" s="549"/>
      <c r="D12550" s="549"/>
      <c r="E12550" s="549"/>
      <c r="F12550" s="549"/>
      <c r="G12550" s="549"/>
      <c r="H12550" s="549"/>
      <c r="I12550" s="558"/>
      <c r="J12550" s="567"/>
      <c r="K12550" s="648">
        <f>SUM(K12548:K12549)</f>
        <v>32</v>
      </c>
      <c r="L12550" s="567">
        <f>SUM(L12548:L12549)</f>
        <v>4.2595200000000002</v>
      </c>
      <c r="M12550" s="549"/>
      <c r="N12550" s="549"/>
      <c r="O12550" s="549"/>
      <c r="P12550" s="549" t="s">
        <v>1499</v>
      </c>
    </row>
    <row r="12551" spans="1:17" s="1511" customFormat="1" ht="17.399999999999999">
      <c r="A12551" s="549"/>
      <c r="B12551" s="549"/>
      <c r="C12551" s="549"/>
      <c r="D12551" s="549"/>
      <c r="E12551" s="549"/>
      <c r="F12551" s="549"/>
      <c r="G12551" s="549"/>
      <c r="H12551" s="549"/>
      <c r="I12551" s="558"/>
      <c r="J12551" s="567"/>
      <c r="K12551" s="648"/>
      <c r="L12551" s="567"/>
      <c r="M12551" s="549"/>
      <c r="N12551" s="549"/>
      <c r="O12551" s="549"/>
      <c r="P12551" s="549"/>
    </row>
    <row r="12552" spans="1:17" s="1511" customFormat="1" ht="17.399999999999999">
      <c r="A12552" s="549"/>
      <c r="B12552" s="549"/>
      <c r="C12552" s="549"/>
      <c r="D12552" s="549"/>
      <c r="E12552" s="549"/>
      <c r="F12552" s="549"/>
      <c r="G12552" s="549"/>
      <c r="H12552" s="549"/>
      <c r="I12552" s="558"/>
      <c r="J12552" s="567"/>
      <c r="K12552" s="648"/>
      <c r="L12552" s="567"/>
      <c r="M12552" s="549"/>
      <c r="N12552" s="549"/>
      <c r="O12552" s="549"/>
      <c r="P12552" s="549"/>
    </row>
    <row r="12553" spans="1:17" s="1511" customFormat="1" ht="17.399999999999999">
      <c r="A12553" s="547" t="s">
        <v>395</v>
      </c>
      <c r="B12553" s="547" t="s">
        <v>1485</v>
      </c>
      <c r="C12553" s="547" t="s">
        <v>446</v>
      </c>
      <c r="D12553" s="813" t="s">
        <v>450</v>
      </c>
      <c r="E12553" s="547" t="s">
        <v>270</v>
      </c>
      <c r="F12553" s="550">
        <v>14</v>
      </c>
      <c r="G12553" s="549" t="s">
        <v>61</v>
      </c>
      <c r="H12553" s="599" t="s">
        <v>129</v>
      </c>
      <c r="I12553" s="558">
        <v>17.82</v>
      </c>
      <c r="J12553" s="567">
        <v>12</v>
      </c>
      <c r="K12553" s="648">
        <v>9</v>
      </c>
      <c r="L12553" s="552">
        <f>(I12553*J12553*K12553/1000)</f>
        <v>1.92456</v>
      </c>
      <c r="M12553" s="549"/>
      <c r="N12553" s="549"/>
      <c r="O12553" s="549"/>
      <c r="P12553" s="549"/>
      <c r="Q12553" s="1511" t="s">
        <v>1582</v>
      </c>
    </row>
    <row r="12554" spans="1:17" s="1511" customFormat="1" ht="17.399999999999999">
      <c r="A12554" s="549"/>
      <c r="B12554" s="549"/>
      <c r="C12554" s="549"/>
      <c r="D12554" s="549"/>
      <c r="E12554" s="549"/>
      <c r="F12554" s="549"/>
      <c r="G12554" s="549" t="s">
        <v>61</v>
      </c>
      <c r="H12554" s="549" t="s">
        <v>129</v>
      </c>
      <c r="I12554" s="558">
        <v>17.82</v>
      </c>
      <c r="J12554" s="567">
        <v>12</v>
      </c>
      <c r="K12554" s="648">
        <v>2</v>
      </c>
      <c r="L12554" s="552">
        <f>(I12554*J12554*K12554/1000)</f>
        <v>0.42768</v>
      </c>
      <c r="M12554" s="549"/>
      <c r="N12554" s="549"/>
      <c r="O12554" s="549"/>
      <c r="P12554" s="549"/>
    </row>
    <row r="12555" spans="1:17" s="1511" customFormat="1" ht="17.399999999999999">
      <c r="A12555" s="549"/>
      <c r="B12555" s="549"/>
      <c r="C12555" s="549"/>
      <c r="D12555" s="549"/>
      <c r="E12555" s="549"/>
      <c r="F12555" s="549"/>
      <c r="G12555" s="549"/>
      <c r="H12555" s="549"/>
      <c r="I12555" s="558"/>
      <c r="J12555" s="567"/>
      <c r="K12555" s="648">
        <f>SUM(K12553:K12554)</f>
        <v>11</v>
      </c>
      <c r="L12555" s="567">
        <f>SUM(L12553:L12554)</f>
        <v>2.3522400000000001</v>
      </c>
      <c r="M12555" s="549"/>
      <c r="N12555" s="549"/>
      <c r="O12555" s="549"/>
      <c r="P12555" s="549" t="s">
        <v>1500</v>
      </c>
    </row>
    <row r="12556" spans="1:17" s="1511" customFormat="1" ht="17.399999999999999">
      <c r="A12556" s="549"/>
      <c r="B12556" s="549"/>
      <c r="C12556" s="549"/>
      <c r="D12556" s="549"/>
      <c r="E12556" s="549"/>
      <c r="F12556" s="549"/>
      <c r="G12556" s="549"/>
      <c r="H12556" s="549"/>
      <c r="I12556" s="558"/>
      <c r="J12556" s="567"/>
      <c r="K12556" s="648"/>
      <c r="L12556" s="567"/>
      <c r="M12556" s="549"/>
      <c r="N12556" s="549"/>
      <c r="O12556" s="549"/>
      <c r="P12556" s="549"/>
    </row>
    <row r="12557" spans="1:17" s="1511" customFormat="1" ht="17.399999999999999">
      <c r="A12557" s="549"/>
      <c r="B12557" s="549"/>
      <c r="C12557" s="549"/>
      <c r="D12557" s="549"/>
      <c r="E12557" s="549"/>
      <c r="F12557" s="549"/>
      <c r="G12557" s="549"/>
      <c r="H12557" s="549"/>
      <c r="I12557" s="558"/>
      <c r="J12557" s="567"/>
      <c r="K12557" s="648"/>
      <c r="L12557" s="567"/>
      <c r="M12557" s="549"/>
      <c r="N12557" s="549"/>
      <c r="O12557" s="549"/>
      <c r="P12557" s="549"/>
    </row>
    <row r="12558" spans="1:17" s="1511" customFormat="1" ht="17.399999999999999">
      <c r="A12558" s="549"/>
      <c r="B12558" s="549"/>
      <c r="C12558" s="549"/>
      <c r="D12558" s="549"/>
      <c r="E12558" s="549"/>
      <c r="F12558" s="549"/>
      <c r="G12558" s="549"/>
      <c r="H12558" s="549"/>
      <c r="I12558" s="558"/>
      <c r="J12558" s="567"/>
      <c r="K12558" s="648"/>
      <c r="L12558" s="567"/>
      <c r="M12558" s="549"/>
      <c r="N12558" s="549"/>
      <c r="O12558" s="549"/>
      <c r="P12558" s="549"/>
    </row>
    <row r="12559" spans="1:17" s="1511" customFormat="1" ht="17.399999999999999">
      <c r="A12559" s="547" t="s">
        <v>395</v>
      </c>
      <c r="B12559" s="547" t="s">
        <v>1485</v>
      </c>
      <c r="C12559" s="547" t="s">
        <v>446</v>
      </c>
      <c r="D12559" s="813" t="s">
        <v>447</v>
      </c>
      <c r="E12559" s="547" t="s">
        <v>359</v>
      </c>
      <c r="F12559" s="550">
        <v>14</v>
      </c>
      <c r="G12559" s="549" t="s">
        <v>21</v>
      </c>
      <c r="H12559" s="599" t="s">
        <v>128</v>
      </c>
      <c r="I12559" s="558">
        <v>15.92</v>
      </c>
      <c r="J12559" s="567">
        <v>12</v>
      </c>
      <c r="K12559" s="648">
        <v>7</v>
      </c>
      <c r="L12559" s="552">
        <f>(I12559*J12559*K12559/1000)</f>
        <v>1.33728</v>
      </c>
      <c r="M12559" s="549">
        <v>7</v>
      </c>
      <c r="N12559" s="567">
        <f t="shared" ref="N12559:N12560" si="2557">J12559*M12559*I12559/1000</f>
        <v>1.33728</v>
      </c>
      <c r="O12559" s="549"/>
      <c r="P12559" s="549"/>
      <c r="Q12559" s="1511" t="s">
        <v>1582</v>
      </c>
    </row>
    <row r="12560" spans="1:17" s="1511" customFormat="1" ht="17.399999999999999">
      <c r="A12560" s="547"/>
      <c r="B12560" s="547"/>
      <c r="C12560" s="547"/>
      <c r="D12560" s="813"/>
      <c r="E12560" s="547"/>
      <c r="F12560" s="550"/>
      <c r="G12560" s="549" t="s">
        <v>21</v>
      </c>
      <c r="H12560" s="549" t="s">
        <v>128</v>
      </c>
      <c r="I12560" s="558">
        <v>15.92</v>
      </c>
      <c r="J12560" s="567">
        <v>12</v>
      </c>
      <c r="K12560" s="648">
        <v>3</v>
      </c>
      <c r="L12560" s="552">
        <f>(I12560*J12560*K12560/1000)</f>
        <v>0.57311999999999996</v>
      </c>
      <c r="M12560" s="549">
        <v>3</v>
      </c>
      <c r="N12560" s="567">
        <f t="shared" si="2557"/>
        <v>0.57311999999999996</v>
      </c>
      <c r="O12560" s="549"/>
      <c r="P12560" s="549"/>
    </row>
    <row r="12561" spans="1:16" s="1511" customFormat="1" ht="17.399999999999999">
      <c r="A12561" s="549"/>
      <c r="B12561" s="549"/>
      <c r="C12561" s="549"/>
      <c r="D12561" s="549"/>
      <c r="E12561" s="549"/>
      <c r="F12561" s="549"/>
      <c r="G12561" s="549"/>
      <c r="H12561" s="549"/>
      <c r="I12561" s="558"/>
      <c r="J12561" s="567"/>
      <c r="K12561" s="648">
        <f>SUM(K12559:K12560)</f>
        <v>10</v>
      </c>
      <c r="L12561" s="567">
        <f>SUM(L12559:L12560)</f>
        <v>1.9104000000000001</v>
      </c>
      <c r="M12561" s="648">
        <f>SUM(M12559:M12560)</f>
        <v>10</v>
      </c>
      <c r="N12561" s="567">
        <f>SUM(N12559:N12560)</f>
        <v>1.9104000000000001</v>
      </c>
      <c r="O12561" s="549"/>
      <c r="P12561" s="549"/>
    </row>
    <row r="12562" spans="1:16" s="1511" customFormat="1" ht="17.399999999999999">
      <c r="A12562" s="549"/>
      <c r="B12562" s="549"/>
      <c r="C12562" s="549"/>
      <c r="D12562" s="549"/>
      <c r="E12562" s="549"/>
      <c r="F12562" s="549"/>
      <c r="G12562" s="549"/>
      <c r="H12562" s="549"/>
      <c r="I12562" s="558"/>
      <c r="J12562" s="567"/>
      <c r="K12562" s="648"/>
      <c r="L12562" s="567"/>
      <c r="M12562" s="549"/>
      <c r="N12562" s="549"/>
      <c r="O12562" s="549"/>
      <c r="P12562" s="549"/>
    </row>
    <row r="12563" spans="1:16" s="1511" customFormat="1" ht="17.399999999999999">
      <c r="A12563" s="549"/>
      <c r="B12563" s="549"/>
      <c r="C12563" s="549"/>
      <c r="D12563" s="549"/>
      <c r="E12563" s="549"/>
      <c r="F12563" s="549"/>
      <c r="G12563" s="549"/>
      <c r="H12563" s="549"/>
      <c r="I12563" s="558"/>
      <c r="J12563" s="567"/>
      <c r="K12563" s="648"/>
      <c r="L12563" s="567"/>
      <c r="M12563" s="549"/>
      <c r="N12563" s="549"/>
      <c r="O12563" s="549"/>
      <c r="P12563" s="549"/>
    </row>
    <row r="12564" spans="1:16" ht="17.399999999999999">
      <c r="A12564" s="549"/>
      <c r="B12564" s="549"/>
      <c r="C12564" s="549"/>
      <c r="D12564" s="549"/>
      <c r="E12564" s="549"/>
      <c r="F12564" s="549"/>
      <c r="G12564" s="549"/>
      <c r="H12564" s="549"/>
      <c r="I12564" s="560"/>
      <c r="J12564" s="549"/>
      <c r="K12564" s="652">
        <f>+K12545+K12550+K12525+K12536+K12517+K12498+K12489+K12472+K12445+K12435+K12561+K12555</f>
        <v>2225</v>
      </c>
      <c r="L12564" s="565">
        <f>+L12545+L12550+L12525+L12536+L12517+L12498+L12489+L12472+L12445+L12435+L12561+L12555</f>
        <v>426.95934800000003</v>
      </c>
      <c r="M12564" s="652">
        <f>+M12545+M12550+M12525+M12536+M12517+M12498+M12489+M12472+M12445+M12435+M12561+M12555</f>
        <v>120</v>
      </c>
      <c r="N12564" s="565">
        <f>+N12545+N12550+N12525+N12536+N12517+N12498+N12489+N12472+N12445+N12435+N12561+N12555</f>
        <v>23.371058000000001</v>
      </c>
      <c r="O12564" s="549"/>
      <c r="P12564" s="549"/>
    </row>
    <row r="12565" spans="1:16" ht="18">
      <c r="A12565" s="653" t="s">
        <v>48</v>
      </c>
      <c r="B12565" s="653"/>
      <c r="C12565" s="654"/>
      <c r="D12565" s="654"/>
      <c r="E12565" s="654"/>
      <c r="F12565" s="1621"/>
      <c r="G12565" s="654"/>
      <c r="H12565" s="1621"/>
      <c r="I12565" s="656"/>
      <c r="J12565" s="654"/>
      <c r="K12565" s="657"/>
      <c r="L12565" s="2003" t="s">
        <v>0</v>
      </c>
      <c r="M12565" s="2003"/>
      <c r="N12565" s="2003"/>
      <c r="O12565" s="2004"/>
      <c r="P12565" s="1097"/>
    </row>
    <row r="12566" spans="1:16" ht="18">
      <c r="A12566" s="658" t="s">
        <v>1</v>
      </c>
      <c r="B12566" s="658"/>
      <c r="C12566" s="658"/>
      <c r="D12566" s="659" t="s">
        <v>2</v>
      </c>
      <c r="E12566" s="659"/>
      <c r="F12566" s="660"/>
      <c r="G12566" s="660"/>
      <c r="H12566" s="660"/>
      <c r="I12566" s="661"/>
      <c r="J12566" s="660"/>
      <c r="K12566" s="662" t="s">
        <v>3</v>
      </c>
      <c r="L12566" s="660"/>
      <c r="M12566" s="658"/>
      <c r="N12566" s="660"/>
      <c r="O12566" s="663"/>
      <c r="P12566" s="1098"/>
    </row>
    <row r="12567" spans="1:16" ht="18">
      <c r="A12567" s="1621" t="s">
        <v>22</v>
      </c>
      <c r="B12567" s="1990" t="s">
        <v>23</v>
      </c>
      <c r="C12567" s="2005"/>
      <c r="D12567" s="1989"/>
      <c r="E12567" s="1621" t="s">
        <v>24</v>
      </c>
      <c r="F12567" s="1990" t="s">
        <v>25</v>
      </c>
      <c r="G12567" s="1989"/>
      <c r="H12567" s="1990" t="s">
        <v>26</v>
      </c>
      <c r="I12567" s="2005"/>
      <c r="J12567" s="2005"/>
      <c r="K12567" s="1989"/>
      <c r="L12567" s="2006" t="s">
        <v>27</v>
      </c>
      <c r="M12567" s="2006"/>
      <c r="N12567" s="2006"/>
      <c r="O12567" s="1990"/>
      <c r="P12567" s="1098"/>
    </row>
    <row r="12568" spans="1:16" ht="18">
      <c r="A12568" s="664"/>
      <c r="B12568" s="1975"/>
      <c r="C12568" s="1976"/>
      <c r="D12568" s="1977"/>
      <c r="E12568" s="665"/>
      <c r="F12568" s="1975"/>
      <c r="G12568" s="1977"/>
      <c r="H12568" s="1975"/>
      <c r="I12568" s="1976"/>
      <c r="J12568" s="1976"/>
      <c r="K12568" s="1977"/>
      <c r="L12568" s="1975"/>
      <c r="M12568" s="1976"/>
      <c r="N12568" s="1976"/>
      <c r="O12568" s="1976"/>
      <c r="P12568" s="1098"/>
    </row>
    <row r="12569" spans="1:16" ht="18">
      <c r="A12569" s="664"/>
      <c r="B12569" s="1616"/>
      <c r="C12569" s="1615"/>
      <c r="D12569" s="1617"/>
      <c r="E12569" s="665"/>
      <c r="F12569" s="1616"/>
      <c r="G12569" s="1617"/>
      <c r="H12569" s="1616"/>
      <c r="I12569" s="1842"/>
      <c r="J12569" s="1615"/>
      <c r="K12569" s="1617"/>
      <c r="L12569" s="1615"/>
      <c r="M12569" s="1615"/>
      <c r="N12569" s="1615"/>
      <c r="O12569" s="1615"/>
      <c r="P12569" s="1098"/>
    </row>
    <row r="12570" spans="1:16" ht="18">
      <c r="A12570" s="664" t="s">
        <v>28</v>
      </c>
      <c r="B12570" s="1975" t="s">
        <v>139</v>
      </c>
      <c r="C12570" s="1976"/>
      <c r="D12570" s="1977"/>
      <c r="E12570" s="665">
        <f>+L12435-6.188</f>
        <v>97.3078</v>
      </c>
      <c r="F12570" s="1973">
        <v>14</v>
      </c>
      <c r="G12570" s="1974"/>
      <c r="H12570" s="1975" t="s">
        <v>49</v>
      </c>
      <c r="I12570" s="1976"/>
      <c r="J12570" s="1976"/>
      <c r="K12570" s="1977"/>
      <c r="L12570" s="1976" t="s">
        <v>1046</v>
      </c>
      <c r="M12570" s="1976"/>
      <c r="N12570" s="1976"/>
      <c r="O12570" s="1976"/>
      <c r="P12570" s="1098"/>
    </row>
    <row r="12571" spans="1:16" ht="18">
      <c r="A12571" s="664" t="s">
        <v>29</v>
      </c>
      <c r="B12571" s="1975" t="s">
        <v>140</v>
      </c>
      <c r="C12571" s="1976"/>
      <c r="D12571" s="1977"/>
      <c r="E12571" s="665">
        <f>+L12445-0.592</f>
        <v>64.816140000000004</v>
      </c>
      <c r="F12571" s="1973">
        <v>14</v>
      </c>
      <c r="G12571" s="1974"/>
      <c r="H12571" s="1975" t="s">
        <v>49</v>
      </c>
      <c r="I12571" s="1976"/>
      <c r="J12571" s="1976"/>
      <c r="K12571" s="1977"/>
      <c r="L12571" s="1976" t="s">
        <v>1046</v>
      </c>
      <c r="M12571" s="1976"/>
      <c r="N12571" s="1976"/>
      <c r="O12571" s="1976"/>
      <c r="P12571" s="1098"/>
    </row>
    <row r="12572" spans="1:16" ht="18">
      <c r="A12572" s="664" t="s">
        <v>30</v>
      </c>
      <c r="B12572" s="1975" t="s">
        <v>141</v>
      </c>
      <c r="C12572" s="1976"/>
      <c r="D12572" s="1977"/>
      <c r="E12572" s="665">
        <f>+L12472-10.084</f>
        <v>77.261775999999998</v>
      </c>
      <c r="F12572" s="1973">
        <v>14</v>
      </c>
      <c r="G12572" s="1974"/>
      <c r="H12572" s="1975" t="s">
        <v>49</v>
      </c>
      <c r="I12572" s="1976"/>
      <c r="J12572" s="1976"/>
      <c r="K12572" s="1977"/>
      <c r="L12572" s="1976" t="s">
        <v>1046</v>
      </c>
      <c r="M12572" s="1976"/>
      <c r="N12572" s="1976"/>
      <c r="O12572" s="1976"/>
      <c r="P12572" s="1098"/>
    </row>
    <row r="12573" spans="1:16" ht="18">
      <c r="A12573" s="664" t="s">
        <v>46</v>
      </c>
      <c r="B12573" s="1975" t="s">
        <v>142</v>
      </c>
      <c r="C12573" s="1976"/>
      <c r="D12573" s="1977"/>
      <c r="E12573" s="665">
        <f>+L12489-1.144</f>
        <v>83.049095999999992</v>
      </c>
      <c r="F12573" s="1973">
        <v>14</v>
      </c>
      <c r="G12573" s="1974"/>
      <c r="H12573" s="1975" t="s">
        <v>49</v>
      </c>
      <c r="I12573" s="1976"/>
      <c r="J12573" s="1976"/>
      <c r="K12573" s="1977"/>
      <c r="L12573" s="1976" t="s">
        <v>1046</v>
      </c>
      <c r="M12573" s="1976"/>
      <c r="N12573" s="1976"/>
      <c r="O12573" s="1976"/>
      <c r="P12573" s="1098"/>
    </row>
    <row r="12574" spans="1:16" ht="18">
      <c r="A12574" s="664" t="s">
        <v>58</v>
      </c>
      <c r="B12574" s="1975" t="s">
        <v>143</v>
      </c>
      <c r="C12574" s="1976"/>
      <c r="D12574" s="1977"/>
      <c r="E12574" s="665">
        <f>+L12498-2.157</f>
        <v>26.343800000000002</v>
      </c>
      <c r="F12574" s="1973">
        <v>14</v>
      </c>
      <c r="G12574" s="1974"/>
      <c r="H12574" s="1975" t="s">
        <v>49</v>
      </c>
      <c r="I12574" s="1976"/>
      <c r="J12574" s="1976"/>
      <c r="K12574" s="1977"/>
      <c r="L12574" s="1976" t="s">
        <v>1046</v>
      </c>
      <c r="M12574" s="1976"/>
      <c r="N12574" s="1976"/>
      <c r="O12574" s="1976"/>
      <c r="P12574" s="1098"/>
    </row>
    <row r="12575" spans="1:16" ht="18">
      <c r="A12575" s="664"/>
      <c r="B12575" s="1616"/>
      <c r="C12575" s="1615"/>
      <c r="D12575" s="1617"/>
      <c r="E12575" s="665"/>
      <c r="F12575" s="1616"/>
      <c r="G12575" s="1617"/>
      <c r="H12575" s="1616"/>
      <c r="I12575" s="1842"/>
      <c r="J12575" s="1615"/>
      <c r="K12575" s="1617"/>
      <c r="L12575" s="1615"/>
      <c r="M12575" s="1615"/>
      <c r="N12575" s="1615"/>
      <c r="O12575" s="1615"/>
      <c r="P12575" s="1098"/>
    </row>
    <row r="12576" spans="1:16" ht="18">
      <c r="A12576" s="664"/>
      <c r="B12576" s="1975"/>
      <c r="C12576" s="1976"/>
      <c r="D12576" s="1977"/>
      <c r="E12576" s="665"/>
      <c r="F12576" s="1973"/>
      <c r="G12576" s="1974"/>
      <c r="H12576" s="1975"/>
      <c r="I12576" s="1976"/>
      <c r="J12576" s="1976"/>
      <c r="K12576" s="1977"/>
      <c r="L12576" s="1976"/>
      <c r="M12576" s="1976"/>
      <c r="N12576" s="1976"/>
      <c r="O12576" s="1976"/>
      <c r="P12576" s="1098"/>
    </row>
    <row r="12577" spans="1:16" ht="18">
      <c r="A12577" s="664" t="s">
        <v>163</v>
      </c>
      <c r="B12577" s="1975" t="s">
        <v>141</v>
      </c>
      <c r="C12577" s="1976"/>
      <c r="D12577" s="1977"/>
      <c r="E12577" s="665">
        <f>+L12517</f>
        <v>13.977536000000001</v>
      </c>
      <c r="F12577" s="1973">
        <v>14</v>
      </c>
      <c r="G12577" s="1974"/>
      <c r="H12577" s="1975" t="s">
        <v>447</v>
      </c>
      <c r="I12577" s="1976"/>
      <c r="J12577" s="1976"/>
      <c r="K12577" s="1977"/>
      <c r="L12577" s="1976" t="s">
        <v>1046</v>
      </c>
      <c r="M12577" s="1976"/>
      <c r="N12577" s="1976"/>
      <c r="O12577" s="1976"/>
      <c r="P12577" s="1098"/>
    </row>
    <row r="12578" spans="1:16" ht="18">
      <c r="A12578" s="664" t="s">
        <v>302</v>
      </c>
      <c r="B12578" s="1975" t="s">
        <v>140</v>
      </c>
      <c r="C12578" s="1976"/>
      <c r="D12578" s="1977"/>
      <c r="E12578" s="665">
        <f>+L12525-1.478</f>
        <v>22.26614</v>
      </c>
      <c r="F12578" s="1973">
        <v>14</v>
      </c>
      <c r="G12578" s="1974"/>
      <c r="H12578" s="1975" t="s">
        <v>447</v>
      </c>
      <c r="I12578" s="1976"/>
      <c r="J12578" s="1976"/>
      <c r="K12578" s="1977"/>
      <c r="L12578" s="1976" t="s">
        <v>1046</v>
      </c>
      <c r="M12578" s="1976"/>
      <c r="N12578" s="1976"/>
      <c r="O12578" s="1976"/>
      <c r="P12578" s="1098"/>
    </row>
    <row r="12579" spans="1:16" ht="18">
      <c r="A12579" s="664" t="s">
        <v>380</v>
      </c>
      <c r="B12579" s="1975" t="s">
        <v>139</v>
      </c>
      <c r="C12579" s="1976"/>
      <c r="D12579" s="1977"/>
      <c r="E12579" s="665">
        <f>+L12536</f>
        <v>10.153849999999998</v>
      </c>
      <c r="F12579" s="1973">
        <v>14</v>
      </c>
      <c r="G12579" s="1974"/>
      <c r="H12579" s="1975" t="s">
        <v>447</v>
      </c>
      <c r="I12579" s="1976"/>
      <c r="J12579" s="1976"/>
      <c r="K12579" s="1977"/>
      <c r="L12579" s="1976" t="s">
        <v>1046</v>
      </c>
      <c r="M12579" s="1976"/>
      <c r="N12579" s="1976"/>
      <c r="O12579" s="1976"/>
      <c r="P12579" s="1098"/>
    </row>
    <row r="12580" spans="1:16" ht="18">
      <c r="A12580" s="664"/>
      <c r="B12580" s="1975"/>
      <c r="C12580" s="1976"/>
      <c r="D12580" s="1977"/>
      <c r="E12580" s="665"/>
      <c r="F12580" s="1973"/>
      <c r="G12580" s="1974"/>
      <c r="H12580" s="1975"/>
      <c r="I12580" s="1976"/>
      <c r="J12580" s="1976"/>
      <c r="K12580" s="1977"/>
      <c r="L12580" s="1976"/>
      <c r="M12580" s="1976"/>
      <c r="N12580" s="1976"/>
      <c r="O12580" s="1976"/>
      <c r="P12580" s="1098"/>
    </row>
    <row r="12581" spans="1:16" ht="18">
      <c r="A12581" s="664" t="s">
        <v>434</v>
      </c>
      <c r="B12581" s="1975" t="s">
        <v>1480</v>
      </c>
      <c r="C12581" s="1976"/>
      <c r="D12581" s="1977"/>
      <c r="E12581" s="665">
        <v>5</v>
      </c>
      <c r="F12581" s="1973">
        <v>14</v>
      </c>
      <c r="G12581" s="1974"/>
      <c r="H12581" s="1975" t="s">
        <v>450</v>
      </c>
      <c r="I12581" s="1976"/>
      <c r="J12581" s="1976"/>
      <c r="K12581" s="1977"/>
      <c r="L12581" s="1976" t="s">
        <v>1138</v>
      </c>
      <c r="M12581" s="1976"/>
      <c r="N12581" s="1976"/>
      <c r="O12581" s="1976"/>
      <c r="P12581" s="1098"/>
    </row>
    <row r="12582" spans="1:16" ht="18">
      <c r="A12582" s="664" t="s">
        <v>474</v>
      </c>
      <c r="B12582" s="1975" t="s">
        <v>419</v>
      </c>
      <c r="C12582" s="1976"/>
      <c r="D12582" s="1977"/>
      <c r="E12582" s="665">
        <v>5</v>
      </c>
      <c r="F12582" s="1973">
        <v>14</v>
      </c>
      <c r="G12582" s="1974"/>
      <c r="H12582" s="1975" t="s">
        <v>450</v>
      </c>
      <c r="I12582" s="1976"/>
      <c r="J12582" s="1976"/>
      <c r="K12582" s="1977"/>
      <c r="L12582" s="1976" t="s">
        <v>1138</v>
      </c>
      <c r="M12582" s="1976"/>
      <c r="N12582" s="1976"/>
      <c r="O12582" s="1976"/>
      <c r="P12582" s="1098"/>
    </row>
    <row r="12583" spans="1:16" s="1511" customFormat="1" ht="18">
      <c r="A12583" s="664" t="s">
        <v>475</v>
      </c>
      <c r="B12583" s="1975" t="s">
        <v>257</v>
      </c>
      <c r="C12583" s="1976"/>
      <c r="D12583" s="1977"/>
      <c r="E12583" s="665">
        <v>4</v>
      </c>
      <c r="F12583" s="1973">
        <v>14</v>
      </c>
      <c r="G12583" s="1974"/>
      <c r="H12583" s="1975" t="s">
        <v>450</v>
      </c>
      <c r="I12583" s="1976"/>
      <c r="J12583" s="1976"/>
      <c r="K12583" s="1977"/>
      <c r="L12583" s="1976" t="s">
        <v>1138</v>
      </c>
      <c r="M12583" s="1976"/>
      <c r="N12583" s="1976"/>
      <c r="O12583" s="1976"/>
      <c r="P12583" s="1098"/>
    </row>
    <row r="12584" spans="1:16" ht="18">
      <c r="A12584" s="664"/>
      <c r="B12584" s="1975"/>
      <c r="C12584" s="1976"/>
      <c r="D12584" s="1977"/>
      <c r="E12584" s="665"/>
      <c r="F12584" s="1973"/>
      <c r="G12584" s="1974"/>
      <c r="H12584" s="1975"/>
      <c r="I12584" s="1976"/>
      <c r="J12584" s="1976"/>
      <c r="K12584" s="1977"/>
      <c r="L12584" s="1976"/>
      <c r="M12584" s="1976"/>
      <c r="N12584" s="1976"/>
      <c r="O12584" s="1976"/>
      <c r="P12584" s="1098"/>
    </row>
    <row r="12585" spans="1:16" ht="18.600000000000001" thickBot="1">
      <c r="A12585" s="664"/>
      <c r="B12585" s="1616"/>
      <c r="C12585" s="1615"/>
      <c r="D12585" s="1615"/>
      <c r="E12585" s="665"/>
      <c r="F12585" s="1615"/>
      <c r="G12585" s="1617"/>
      <c r="H12585" s="1616"/>
      <c r="I12585" s="1842"/>
      <c r="J12585" s="1615"/>
      <c r="K12585" s="669"/>
      <c r="L12585" s="672"/>
      <c r="M12585" s="673"/>
      <c r="N12585" s="673"/>
      <c r="O12585" s="673"/>
      <c r="P12585" s="1098"/>
    </row>
    <row r="12586" spans="1:16" ht="18">
      <c r="A12586" s="674"/>
      <c r="B12586" s="675"/>
      <c r="C12586" s="676"/>
      <c r="D12586" s="676"/>
      <c r="E12586" s="1980">
        <f>SUM(E12568:E12585)</f>
        <v>409.17613799999992</v>
      </c>
      <c r="F12586" s="677"/>
      <c r="G12586" s="678"/>
      <c r="H12586" s="679"/>
      <c r="I12586" s="1848"/>
      <c r="J12586" s="676"/>
      <c r="K12586" s="680"/>
      <c r="L12586" s="679"/>
      <c r="M12586" s="676"/>
      <c r="N12586" s="677"/>
      <c r="O12586" s="676"/>
      <c r="P12586" s="1098"/>
    </row>
    <row r="12587" spans="1:16" ht="18.600000000000001" thickBot="1">
      <c r="A12587" s="681"/>
      <c r="B12587" s="682"/>
      <c r="C12587" s="683"/>
      <c r="D12587" s="683"/>
      <c r="E12587" s="1981"/>
      <c r="F12587" s="684"/>
      <c r="G12587" s="685"/>
      <c r="H12587" s="686"/>
      <c r="I12587" s="1850"/>
      <c r="J12587" s="683"/>
      <c r="K12587" s="687"/>
      <c r="L12587" s="686"/>
      <c r="M12587" s="683"/>
      <c r="N12587" s="684"/>
      <c r="O12587" s="683"/>
      <c r="P12587" s="1098"/>
    </row>
    <row r="12588" spans="1:16" ht="18">
      <c r="A12588" s="688" t="s">
        <v>31</v>
      </c>
      <c r="B12588" s="676"/>
      <c r="C12588" s="676"/>
      <c r="D12588" s="676"/>
      <c r="E12588" s="676"/>
      <c r="F12588" s="677"/>
      <c r="G12588" s="676"/>
      <c r="H12588" s="677"/>
      <c r="I12588" s="1848"/>
      <c r="J12588" s="676"/>
      <c r="K12588" s="689"/>
      <c r="L12588" s="677"/>
      <c r="M12588" s="676"/>
      <c r="N12588" s="677"/>
      <c r="O12588" s="676"/>
      <c r="P12588" s="1098"/>
    </row>
    <row r="12589" spans="1:16" ht="18">
      <c r="A12589" s="690"/>
      <c r="B12589" s="691"/>
      <c r="C12589" s="691"/>
      <c r="D12589" s="691"/>
      <c r="E12589" s="691"/>
      <c r="F12589" s="1618"/>
      <c r="G12589" s="691"/>
      <c r="H12589" s="1618"/>
      <c r="I12589" s="1849"/>
      <c r="J12589" s="691"/>
      <c r="K12589" s="693"/>
      <c r="L12589" s="1618"/>
      <c r="M12589" s="691"/>
      <c r="N12589" s="1618"/>
      <c r="O12589" s="691"/>
      <c r="P12589" s="1098"/>
    </row>
    <row r="12590" spans="1:16" ht="18.600000000000001" thickBot="1">
      <c r="A12590" s="1982" t="s">
        <v>32</v>
      </c>
      <c r="B12590" s="1983"/>
      <c r="C12590" s="1984" t="s">
        <v>33</v>
      </c>
      <c r="D12590" s="1985"/>
      <c r="E12590" s="694" t="s">
        <v>34</v>
      </c>
      <c r="F12590" s="694" t="s">
        <v>35</v>
      </c>
      <c r="G12590" s="1986" t="s">
        <v>36</v>
      </c>
      <c r="H12590" s="1987"/>
      <c r="I12590" s="1987"/>
      <c r="J12590" s="1987"/>
      <c r="K12590" s="1987"/>
      <c r="L12590" s="1987"/>
      <c r="M12590" s="1987"/>
      <c r="N12590" s="1987"/>
      <c r="O12590" s="1987"/>
      <c r="P12590" s="1098"/>
    </row>
    <row r="12591" spans="1:16" ht="18">
      <c r="A12591" s="1988"/>
      <c r="B12591" s="1989"/>
      <c r="C12591" s="1990"/>
      <c r="D12591" s="1989"/>
      <c r="E12591" s="1621"/>
      <c r="F12591" s="1619"/>
      <c r="G12591" s="1991"/>
      <c r="H12591" s="1992"/>
      <c r="I12591" s="1992"/>
      <c r="J12591" s="1992"/>
      <c r="K12591" s="1992"/>
      <c r="L12591" s="1992"/>
      <c r="M12591" s="1992"/>
      <c r="N12591" s="1992"/>
      <c r="O12591" s="1992"/>
      <c r="P12591" s="1098"/>
    </row>
    <row r="12592" spans="1:16" ht="18">
      <c r="A12592" s="1997" t="s">
        <v>37</v>
      </c>
      <c r="B12592" s="1998"/>
      <c r="C12592" s="1990"/>
      <c r="D12592" s="1989"/>
      <c r="E12592" s="1621"/>
      <c r="F12592" s="1619"/>
      <c r="G12592" s="1993"/>
      <c r="H12592" s="1994"/>
      <c r="I12592" s="1994"/>
      <c r="J12592" s="1994"/>
      <c r="K12592" s="1994"/>
      <c r="L12592" s="1994"/>
      <c r="M12592" s="1994"/>
      <c r="N12592" s="1994"/>
      <c r="O12592" s="1994"/>
      <c r="P12592" s="1098"/>
    </row>
    <row r="12593" spans="1:16" ht="18">
      <c r="A12593" s="1997" t="s">
        <v>38</v>
      </c>
      <c r="B12593" s="1998"/>
      <c r="C12593" s="1990"/>
      <c r="D12593" s="1989"/>
      <c r="E12593" s="1621"/>
      <c r="F12593" s="1619"/>
      <c r="G12593" s="1993"/>
      <c r="H12593" s="1994"/>
      <c r="I12593" s="1994"/>
      <c r="J12593" s="1994"/>
      <c r="K12593" s="1994"/>
      <c r="L12593" s="1994"/>
      <c r="M12593" s="1994"/>
      <c r="N12593" s="1994"/>
      <c r="O12593" s="1994"/>
      <c r="P12593" s="1098"/>
    </row>
    <row r="12594" spans="1:16" ht="18">
      <c r="A12594" s="1997" t="s">
        <v>39</v>
      </c>
      <c r="B12594" s="1998"/>
      <c r="C12594" s="1990"/>
      <c r="D12594" s="1989"/>
      <c r="E12594" s="1621"/>
      <c r="F12594" s="1619"/>
      <c r="G12594" s="1993"/>
      <c r="H12594" s="1994"/>
      <c r="I12594" s="1994"/>
      <c r="J12594" s="1994"/>
      <c r="K12594" s="1994"/>
      <c r="L12594" s="1994"/>
      <c r="M12594" s="1994"/>
      <c r="N12594" s="1994"/>
      <c r="O12594" s="1994"/>
      <c r="P12594" s="1098"/>
    </row>
    <row r="12595" spans="1:16" ht="18">
      <c r="A12595" s="1997" t="s">
        <v>40</v>
      </c>
      <c r="B12595" s="1998"/>
      <c r="C12595" s="1990"/>
      <c r="D12595" s="1989"/>
      <c r="E12595" s="1621"/>
      <c r="F12595" s="1619"/>
      <c r="G12595" s="1993"/>
      <c r="H12595" s="1994"/>
      <c r="I12595" s="1994"/>
      <c r="J12595" s="1994"/>
      <c r="K12595" s="1994"/>
      <c r="L12595" s="1994"/>
      <c r="M12595" s="1994"/>
      <c r="N12595" s="1994"/>
      <c r="O12595" s="1994"/>
      <c r="P12595" s="1098"/>
    </row>
    <row r="12596" spans="1:16" ht="18.600000000000001" thickBot="1">
      <c r="A12596" s="1999" t="s">
        <v>41</v>
      </c>
      <c r="B12596" s="2000"/>
      <c r="C12596" s="2001"/>
      <c r="D12596" s="2002"/>
      <c r="E12596" s="696"/>
      <c r="F12596" s="1620"/>
      <c r="G12596" s="1995"/>
      <c r="H12596" s="1996"/>
      <c r="I12596" s="1996"/>
      <c r="J12596" s="1996"/>
      <c r="K12596" s="1996"/>
      <c r="L12596" s="1996"/>
      <c r="M12596" s="1996"/>
      <c r="N12596" s="1996"/>
      <c r="O12596" s="1996"/>
      <c r="P12596" s="1098"/>
    </row>
    <row r="12597" spans="1:16" ht="18">
      <c r="A12597" s="690"/>
      <c r="B12597" s="691"/>
      <c r="C12597" s="691"/>
      <c r="D12597" s="691"/>
      <c r="E12597" s="691"/>
      <c r="F12597" s="1618"/>
      <c r="G12597" s="691"/>
      <c r="H12597" s="698"/>
      <c r="I12597" s="699"/>
      <c r="J12597" s="700"/>
      <c r="K12597" s="701"/>
      <c r="L12597" s="702"/>
      <c r="M12597" s="691"/>
      <c r="N12597" s="1618"/>
      <c r="O12597" s="691"/>
      <c r="P12597" s="1098"/>
    </row>
    <row r="12598" spans="1:16" ht="18">
      <c r="A12598" s="703" t="s">
        <v>42</v>
      </c>
      <c r="B12598" s="704"/>
      <c r="C12598" s="691"/>
      <c r="D12598" s="691"/>
      <c r="E12598" s="691"/>
      <c r="F12598" s="1618"/>
      <c r="G12598" s="704"/>
      <c r="H12598" s="698"/>
      <c r="I12598" s="699"/>
      <c r="J12598" s="700"/>
      <c r="K12598" s="693"/>
      <c r="L12598" s="705"/>
      <c r="M12598" s="691"/>
      <c r="N12598" s="1979" t="s">
        <v>43</v>
      </c>
      <c r="O12598" s="1979"/>
      <c r="P12598" s="1098"/>
    </row>
    <row r="12599" spans="1:16" ht="18">
      <c r="A12599" s="703"/>
      <c r="B12599" s="704"/>
      <c r="C12599" s="691"/>
      <c r="D12599" s="691"/>
      <c r="E12599" s="691"/>
      <c r="F12599" s="1618"/>
      <c r="G12599" s="691"/>
      <c r="H12599" s="1618"/>
      <c r="I12599" s="1849"/>
      <c r="J12599" s="691"/>
      <c r="K12599" s="693"/>
      <c r="L12599" s="1618"/>
      <c r="M12599" s="691"/>
      <c r="N12599" s="1618"/>
      <c r="O12599" s="704"/>
      <c r="P12599" s="1098"/>
    </row>
    <row r="12600" spans="1:16" ht="18">
      <c r="A12600" s="703" t="s">
        <v>44</v>
      </c>
      <c r="B12600" s="704"/>
      <c r="C12600" s="691"/>
      <c r="D12600" s="691"/>
      <c r="E12600" s="691"/>
      <c r="F12600" s="1618"/>
      <c r="G12600" s="691"/>
      <c r="H12600" s="1618"/>
      <c r="I12600" s="1849"/>
      <c r="J12600" s="691"/>
      <c r="K12600" s="693"/>
      <c r="L12600" s="1618"/>
      <c r="M12600" s="691"/>
      <c r="N12600" s="1979" t="s">
        <v>45</v>
      </c>
      <c r="O12600" s="1979"/>
      <c r="P12600" s="1098"/>
    </row>
    <row r="12601" spans="1:16" ht="18.600000000000001" thickBot="1">
      <c r="A12601" s="682"/>
      <c r="B12601" s="683"/>
      <c r="C12601" s="683"/>
      <c r="D12601" s="683"/>
      <c r="E12601" s="683"/>
      <c r="F12601" s="684"/>
      <c r="G12601" s="683"/>
      <c r="H12601" s="684"/>
      <c r="I12601" s="1850"/>
      <c r="J12601" s="683"/>
      <c r="K12601" s="706"/>
      <c r="L12601" s="684"/>
      <c r="M12601" s="683"/>
      <c r="N12601" s="684"/>
      <c r="O12601" s="683"/>
      <c r="P12601" s="1099"/>
    </row>
    <row r="12605" spans="1:16" ht="17.399999999999999">
      <c r="A12605" s="711" t="s">
        <v>48</v>
      </c>
      <c r="B12605" s="711"/>
      <c r="C12605" s="712"/>
      <c r="D12605" s="712"/>
      <c r="E12605" s="712"/>
      <c r="F12605" s="713"/>
      <c r="G12605" s="712"/>
      <c r="H12605" s="712"/>
      <c r="I12605" s="714"/>
      <c r="J12605" s="715"/>
      <c r="K12605" s="716"/>
      <c r="L12605" s="1978" t="s">
        <v>0</v>
      </c>
      <c r="M12605" s="1978"/>
      <c r="N12605" s="1978"/>
      <c r="O12605" s="1978"/>
      <c r="P12605" s="717"/>
    </row>
    <row r="12606" spans="1:16" ht="17.399999999999999">
      <c r="A12606" s="718" t="s">
        <v>1</v>
      </c>
      <c r="B12606" s="718"/>
      <c r="C12606" s="718"/>
      <c r="D12606" s="719" t="s">
        <v>2</v>
      </c>
      <c r="E12606" s="719"/>
      <c r="F12606" s="720"/>
      <c r="G12606" s="720"/>
      <c r="H12606" s="720"/>
      <c r="I12606" s="721"/>
      <c r="J12606" s="1639"/>
      <c r="K12606" s="723" t="s">
        <v>3</v>
      </c>
      <c r="L12606" s="1639"/>
      <c r="M12606" s="718"/>
      <c r="N12606" s="720"/>
      <c r="O12606" s="718"/>
      <c r="P12606" s="724"/>
    </row>
    <row r="12607" spans="1:16" ht="52.2">
      <c r="A12607" s="640" t="s">
        <v>4</v>
      </c>
      <c r="B12607" s="640" t="s">
        <v>5</v>
      </c>
      <c r="C12607" s="640" t="s">
        <v>6</v>
      </c>
      <c r="D12607" s="640" t="s">
        <v>7</v>
      </c>
      <c r="E12607" s="640" t="s">
        <v>8</v>
      </c>
      <c r="F12607" s="641" t="s">
        <v>9</v>
      </c>
      <c r="G12607" s="642" t="s">
        <v>10</v>
      </c>
      <c r="H12607" s="642" t="s">
        <v>11</v>
      </c>
      <c r="I12607" s="643" t="s">
        <v>12</v>
      </c>
      <c r="J12607" s="644" t="s">
        <v>13</v>
      </c>
      <c r="K12607" s="645" t="s">
        <v>14</v>
      </c>
      <c r="L12607" s="646" t="s">
        <v>15</v>
      </c>
      <c r="M12607" s="641" t="s">
        <v>16</v>
      </c>
      <c r="N12607" s="641" t="s">
        <v>17</v>
      </c>
      <c r="O12607" s="642" t="s">
        <v>18</v>
      </c>
      <c r="P12607" s="641" t="s">
        <v>192</v>
      </c>
    </row>
    <row r="12614" spans="1:16" ht="18">
      <c r="A12614" s="653" t="s">
        <v>48</v>
      </c>
      <c r="B12614" s="653"/>
      <c r="C12614" s="654"/>
      <c r="D12614" s="654"/>
      <c r="E12614" s="654"/>
      <c r="F12614" s="1638"/>
      <c r="G12614" s="654"/>
      <c r="H12614" s="1638"/>
      <c r="I12614" s="656"/>
      <c r="J12614" s="654"/>
      <c r="K12614" s="657"/>
      <c r="L12614" s="2003" t="s">
        <v>0</v>
      </c>
      <c r="M12614" s="2003"/>
      <c r="N12614" s="2003"/>
      <c r="O12614" s="2004"/>
      <c r="P12614" s="1097"/>
    </row>
    <row r="12615" spans="1:16" ht="18">
      <c r="A12615" s="658" t="s">
        <v>1</v>
      </c>
      <c r="B12615" s="658"/>
      <c r="C12615" s="658"/>
      <c r="D12615" s="659" t="s">
        <v>2</v>
      </c>
      <c r="E12615" s="659"/>
      <c r="F12615" s="660"/>
      <c r="G12615" s="660"/>
      <c r="H12615" s="660"/>
      <c r="I12615" s="661"/>
      <c r="J12615" s="660"/>
      <c r="K12615" s="662" t="s">
        <v>3</v>
      </c>
      <c r="L12615" s="660"/>
      <c r="M12615" s="658"/>
      <c r="N12615" s="660"/>
      <c r="O12615" s="663"/>
      <c r="P12615" s="1098"/>
    </row>
    <row r="12616" spans="1:16" ht="18">
      <c r="A12616" s="1638" t="s">
        <v>22</v>
      </c>
      <c r="B12616" s="1990" t="s">
        <v>23</v>
      </c>
      <c r="C12616" s="2005"/>
      <c r="D12616" s="1989"/>
      <c r="E12616" s="1638" t="s">
        <v>24</v>
      </c>
      <c r="F12616" s="1990" t="s">
        <v>25</v>
      </c>
      <c r="G12616" s="1989"/>
      <c r="H12616" s="1990" t="s">
        <v>26</v>
      </c>
      <c r="I12616" s="2005"/>
      <c r="J12616" s="2005"/>
      <c r="K12616" s="1989"/>
      <c r="L12616" s="2006" t="s">
        <v>27</v>
      </c>
      <c r="M12616" s="2006"/>
      <c r="N12616" s="2006"/>
      <c r="O12616" s="1990"/>
      <c r="P12616" s="1098"/>
    </row>
    <row r="12617" spans="1:16" ht="18">
      <c r="A12617" s="664"/>
      <c r="B12617" s="1975"/>
      <c r="C12617" s="1976"/>
      <c r="D12617" s="1977"/>
      <c r="E12617" s="665"/>
      <c r="F12617" s="1975"/>
      <c r="G12617" s="1977"/>
      <c r="H12617" s="1975"/>
      <c r="I12617" s="1976"/>
      <c r="J12617" s="1976"/>
      <c r="K12617" s="1977"/>
      <c r="L12617" s="1975"/>
      <c r="M12617" s="1976"/>
      <c r="N12617" s="1976"/>
      <c r="O12617" s="1976"/>
      <c r="P12617" s="1098"/>
    </row>
    <row r="12618" spans="1:16" ht="18">
      <c r="A12618" s="664"/>
      <c r="B12618" s="1631"/>
      <c r="C12618" s="1632"/>
      <c r="D12618" s="1633"/>
      <c r="E12618" s="665"/>
      <c r="F12618" s="1631"/>
      <c r="G12618" s="1633"/>
      <c r="H12618" s="1631"/>
      <c r="I12618" s="1842"/>
      <c r="J12618" s="1632"/>
      <c r="K12618" s="1633"/>
      <c r="L12618" s="1632"/>
      <c r="M12618" s="1632"/>
      <c r="N12618" s="1632"/>
      <c r="O12618" s="1632"/>
      <c r="P12618" s="1098"/>
    </row>
    <row r="12619" spans="1:16" ht="18">
      <c r="A12619" s="664" t="s">
        <v>28</v>
      </c>
      <c r="B12619" s="1975" t="s">
        <v>198</v>
      </c>
      <c r="C12619" s="1976"/>
      <c r="D12619" s="1977"/>
      <c r="E12619" s="665">
        <v>48.935000000000002</v>
      </c>
      <c r="F12619" s="1973">
        <v>10</v>
      </c>
      <c r="G12619" s="1974"/>
      <c r="H12619" s="1975" t="s">
        <v>447</v>
      </c>
      <c r="I12619" s="1976"/>
      <c r="J12619" s="1976"/>
      <c r="K12619" s="1977"/>
      <c r="L12619" s="1976" t="s">
        <v>1046</v>
      </c>
      <c r="M12619" s="1976"/>
      <c r="N12619" s="1976"/>
      <c r="O12619" s="1976"/>
      <c r="P12619" s="1098"/>
    </row>
    <row r="12620" spans="1:16" ht="18">
      <c r="A12620" s="664" t="s">
        <v>29</v>
      </c>
      <c r="B12620" s="1975" t="s">
        <v>199</v>
      </c>
      <c r="C12620" s="1976"/>
      <c r="D12620" s="1977"/>
      <c r="E12620" s="665">
        <v>58.749000000000002</v>
      </c>
      <c r="F12620" s="1973">
        <v>10</v>
      </c>
      <c r="G12620" s="1974"/>
      <c r="H12620" s="1975" t="s">
        <v>447</v>
      </c>
      <c r="I12620" s="1976"/>
      <c r="J12620" s="1976"/>
      <c r="K12620" s="1977"/>
      <c r="L12620" s="1976" t="s">
        <v>1046</v>
      </c>
      <c r="M12620" s="1976"/>
      <c r="N12620" s="1976"/>
      <c r="O12620" s="1976"/>
      <c r="P12620" s="1098"/>
    </row>
    <row r="12621" spans="1:16" ht="18">
      <c r="A12621" s="664"/>
      <c r="B12621" s="1975"/>
      <c r="C12621" s="1976"/>
      <c r="D12621" s="1977"/>
      <c r="E12621" s="665"/>
      <c r="F12621" s="1973"/>
      <c r="G12621" s="1974"/>
      <c r="H12621" s="1975"/>
      <c r="I12621" s="1976"/>
      <c r="J12621" s="1976"/>
      <c r="K12621" s="1977"/>
      <c r="L12621" s="1976"/>
      <c r="M12621" s="1976"/>
      <c r="N12621" s="1976"/>
      <c r="O12621" s="1976"/>
      <c r="P12621" s="1098"/>
    </row>
    <row r="12622" spans="1:16" ht="18">
      <c r="A12622" s="664" t="s">
        <v>30</v>
      </c>
      <c r="B12622" s="1975" t="s">
        <v>570</v>
      </c>
      <c r="C12622" s="1976"/>
      <c r="D12622" s="1977"/>
      <c r="E12622" s="665">
        <v>3</v>
      </c>
      <c r="F12622" s="1973">
        <v>10</v>
      </c>
      <c r="G12622" s="1974"/>
      <c r="H12622" s="1975" t="s">
        <v>450</v>
      </c>
      <c r="I12622" s="1976"/>
      <c r="J12622" s="1976"/>
      <c r="K12622" s="1977"/>
      <c r="L12622" s="1976" t="s">
        <v>1138</v>
      </c>
      <c r="M12622" s="1976"/>
      <c r="N12622" s="1976"/>
      <c r="O12622" s="1976"/>
      <c r="P12622" s="1098"/>
    </row>
    <row r="12623" spans="1:16" ht="18">
      <c r="A12623" s="664" t="s">
        <v>46</v>
      </c>
      <c r="B12623" s="1975" t="s">
        <v>595</v>
      </c>
      <c r="C12623" s="1976"/>
      <c r="D12623" s="1977"/>
      <c r="E12623" s="665">
        <v>7.92</v>
      </c>
      <c r="F12623" s="1973">
        <v>10</v>
      </c>
      <c r="G12623" s="1974"/>
      <c r="H12623" s="1975" t="s">
        <v>450</v>
      </c>
      <c r="I12623" s="1976"/>
      <c r="J12623" s="1976"/>
      <c r="K12623" s="1977"/>
      <c r="L12623" s="1976" t="s">
        <v>1138</v>
      </c>
      <c r="M12623" s="1976"/>
      <c r="N12623" s="1976"/>
      <c r="O12623" s="1976"/>
      <c r="P12623" s="1098"/>
    </row>
    <row r="12624" spans="1:16" s="1511" customFormat="1" ht="18">
      <c r="A12624" s="664"/>
      <c r="B12624" s="1631"/>
      <c r="C12624" s="1632"/>
      <c r="D12624" s="1633"/>
      <c r="E12624" s="665"/>
      <c r="F12624" s="1634"/>
      <c r="G12624" s="1635"/>
      <c r="H12624" s="1631"/>
      <c r="I12624" s="1842"/>
      <c r="J12624" s="1632"/>
      <c r="K12624" s="1633"/>
      <c r="L12624" s="1632"/>
      <c r="M12624" s="1632"/>
      <c r="N12624" s="1632"/>
      <c r="O12624" s="1632"/>
      <c r="P12624" s="1098"/>
    </row>
    <row r="12625" spans="1:16" ht="18">
      <c r="A12625" s="664"/>
      <c r="B12625" s="1975"/>
      <c r="C12625" s="1976"/>
      <c r="D12625" s="1977"/>
      <c r="E12625" s="665"/>
      <c r="F12625" s="1973"/>
      <c r="G12625" s="1974"/>
      <c r="H12625" s="1975"/>
      <c r="I12625" s="1976"/>
      <c r="J12625" s="1976"/>
      <c r="K12625" s="1977"/>
      <c r="L12625" s="1976"/>
      <c r="M12625" s="1976"/>
      <c r="N12625" s="1976"/>
      <c r="O12625" s="1976"/>
      <c r="P12625" s="1098"/>
    </row>
    <row r="12626" spans="1:16" ht="18">
      <c r="A12626" s="664" t="s">
        <v>58</v>
      </c>
      <c r="B12626" s="1975" t="s">
        <v>595</v>
      </c>
      <c r="C12626" s="1976"/>
      <c r="D12626" s="1977"/>
      <c r="E12626" s="665">
        <v>53.02</v>
      </c>
      <c r="F12626" s="1973">
        <v>10</v>
      </c>
      <c r="G12626" s="1974"/>
      <c r="H12626" s="1975" t="s">
        <v>155</v>
      </c>
      <c r="I12626" s="1976"/>
      <c r="J12626" s="1976"/>
      <c r="K12626" s="1977"/>
      <c r="L12626" s="1976" t="s">
        <v>1138</v>
      </c>
      <c r="M12626" s="1976"/>
      <c r="N12626" s="1976"/>
      <c r="O12626" s="1976"/>
      <c r="P12626" s="1098"/>
    </row>
    <row r="12627" spans="1:16" ht="18">
      <c r="A12627" s="664" t="s">
        <v>163</v>
      </c>
      <c r="B12627" s="1975" t="s">
        <v>570</v>
      </c>
      <c r="C12627" s="1976"/>
      <c r="D12627" s="1977"/>
      <c r="E12627" s="665">
        <v>34.25</v>
      </c>
      <c r="F12627" s="1973">
        <v>10</v>
      </c>
      <c r="G12627" s="1974"/>
      <c r="H12627" s="1975" t="s">
        <v>155</v>
      </c>
      <c r="I12627" s="1976"/>
      <c r="J12627" s="1976"/>
      <c r="K12627" s="1977"/>
      <c r="L12627" s="1976" t="s">
        <v>1138</v>
      </c>
      <c r="M12627" s="1976"/>
      <c r="N12627" s="1976"/>
      <c r="O12627" s="1976"/>
      <c r="P12627" s="1098"/>
    </row>
    <row r="12628" spans="1:16" ht="18">
      <c r="A12628" s="664"/>
      <c r="B12628" s="1631"/>
      <c r="C12628" s="1632"/>
      <c r="D12628" s="1633"/>
      <c r="E12628" s="665"/>
      <c r="F12628" s="1634"/>
      <c r="G12628" s="1635"/>
      <c r="H12628" s="1632"/>
      <c r="I12628" s="1842"/>
      <c r="J12628" s="1632"/>
      <c r="K12628" s="1632"/>
      <c r="L12628" s="1632"/>
      <c r="M12628" s="1632"/>
      <c r="N12628" s="1632"/>
      <c r="O12628" s="1632"/>
      <c r="P12628" s="1098"/>
    </row>
    <row r="12629" spans="1:16" ht="18">
      <c r="A12629" s="664"/>
      <c r="B12629" s="1631"/>
      <c r="C12629" s="1632"/>
      <c r="D12629" s="1633"/>
      <c r="E12629" s="665"/>
      <c r="F12629" s="1634"/>
      <c r="G12629" s="1635"/>
      <c r="H12629" s="1632"/>
      <c r="I12629" s="1842"/>
      <c r="J12629" s="1632"/>
      <c r="K12629" s="1632"/>
      <c r="L12629" s="1632"/>
      <c r="M12629" s="1632"/>
      <c r="N12629" s="1632"/>
      <c r="O12629" s="1632"/>
      <c r="P12629" s="1098"/>
    </row>
    <row r="12630" spans="1:16" ht="18">
      <c r="A12630" s="664" t="s">
        <v>302</v>
      </c>
      <c r="B12630" s="1975" t="s">
        <v>199</v>
      </c>
      <c r="C12630" s="1976"/>
      <c r="D12630" s="1977"/>
      <c r="E12630" s="665">
        <v>44.893999999999998</v>
      </c>
      <c r="F12630" s="1973">
        <v>10</v>
      </c>
      <c r="G12630" s="1974"/>
      <c r="H12630" s="1975" t="s">
        <v>49</v>
      </c>
      <c r="I12630" s="1976"/>
      <c r="J12630" s="1976"/>
      <c r="K12630" s="1977"/>
      <c r="L12630" s="1976" t="s">
        <v>1046</v>
      </c>
      <c r="M12630" s="1976"/>
      <c r="N12630" s="1976"/>
      <c r="O12630" s="1976"/>
      <c r="P12630" s="1098"/>
    </row>
    <row r="12631" spans="1:16" ht="18">
      <c r="A12631" s="664" t="s">
        <v>380</v>
      </c>
      <c r="B12631" s="1975" t="s">
        <v>198</v>
      </c>
      <c r="C12631" s="1976"/>
      <c r="D12631" s="1977"/>
      <c r="E12631" s="665">
        <v>98.41</v>
      </c>
      <c r="F12631" s="1973">
        <v>10</v>
      </c>
      <c r="G12631" s="1974"/>
      <c r="H12631" s="1975" t="s">
        <v>49</v>
      </c>
      <c r="I12631" s="1976"/>
      <c r="J12631" s="1976"/>
      <c r="K12631" s="1977"/>
      <c r="L12631" s="1976" t="s">
        <v>1046</v>
      </c>
      <c r="M12631" s="1976"/>
      <c r="N12631" s="1976"/>
      <c r="O12631" s="1976"/>
      <c r="P12631" s="1098"/>
    </row>
    <row r="12632" spans="1:16" ht="18">
      <c r="A12632" s="664" t="s">
        <v>434</v>
      </c>
      <c r="B12632" s="1975" t="s">
        <v>1481</v>
      </c>
      <c r="C12632" s="1976"/>
      <c r="D12632" s="1977"/>
      <c r="E12632" s="665">
        <v>3</v>
      </c>
      <c r="F12632" s="1973">
        <v>10</v>
      </c>
      <c r="G12632" s="1974"/>
      <c r="H12632" s="1975" t="s">
        <v>49</v>
      </c>
      <c r="I12632" s="1976"/>
      <c r="J12632" s="1976"/>
      <c r="K12632" s="1977"/>
      <c r="L12632" s="1976" t="s">
        <v>1046</v>
      </c>
      <c r="M12632" s="1976"/>
      <c r="N12632" s="1976"/>
      <c r="O12632" s="1976"/>
      <c r="P12632" s="1098"/>
    </row>
    <row r="12633" spans="1:16" ht="18">
      <c r="A12633" s="664"/>
      <c r="B12633" s="1631"/>
      <c r="C12633" s="1632"/>
      <c r="D12633" s="1633"/>
      <c r="E12633" s="665"/>
      <c r="F12633" s="1631"/>
      <c r="G12633" s="1633"/>
      <c r="H12633" s="1631"/>
      <c r="I12633" s="1842"/>
      <c r="J12633" s="1632"/>
      <c r="K12633" s="1633"/>
      <c r="L12633" s="1632"/>
      <c r="M12633" s="1632"/>
      <c r="N12633" s="1632"/>
      <c r="O12633" s="1632"/>
      <c r="P12633" s="1098"/>
    </row>
    <row r="12634" spans="1:16" ht="18.600000000000001" thickBot="1">
      <c r="A12634" s="664"/>
      <c r="B12634" s="1631"/>
      <c r="C12634" s="1632"/>
      <c r="D12634" s="1632"/>
      <c r="E12634" s="665"/>
      <c r="F12634" s="1632"/>
      <c r="G12634" s="1633"/>
      <c r="H12634" s="1631"/>
      <c r="I12634" s="1842"/>
      <c r="J12634" s="1632"/>
      <c r="K12634" s="669"/>
      <c r="L12634" s="672"/>
      <c r="M12634" s="673"/>
      <c r="N12634" s="673"/>
      <c r="O12634" s="673"/>
      <c r="P12634" s="1098"/>
    </row>
    <row r="12635" spans="1:16" ht="18">
      <c r="A12635" s="674"/>
      <c r="B12635" s="675"/>
      <c r="C12635" s="676"/>
      <c r="D12635" s="676"/>
      <c r="E12635" s="1980">
        <f>SUM(E12617:E12634)</f>
        <v>352.178</v>
      </c>
      <c r="F12635" s="677"/>
      <c r="G12635" s="678"/>
      <c r="H12635" s="679"/>
      <c r="I12635" s="1848"/>
      <c r="J12635" s="676"/>
      <c r="K12635" s="680"/>
      <c r="L12635" s="679"/>
      <c r="M12635" s="676"/>
      <c r="N12635" s="677"/>
      <c r="O12635" s="676"/>
      <c r="P12635" s="1098"/>
    </row>
    <row r="12636" spans="1:16" ht="18.600000000000001" thickBot="1">
      <c r="A12636" s="681"/>
      <c r="B12636" s="682"/>
      <c r="C12636" s="683"/>
      <c r="D12636" s="683"/>
      <c r="E12636" s="1981"/>
      <c r="F12636" s="684"/>
      <c r="G12636" s="685"/>
      <c r="H12636" s="686"/>
      <c r="I12636" s="1850"/>
      <c r="J12636" s="683"/>
      <c r="K12636" s="687"/>
      <c r="L12636" s="686"/>
      <c r="M12636" s="683"/>
      <c r="N12636" s="684"/>
      <c r="O12636" s="683"/>
      <c r="P12636" s="1098"/>
    </row>
    <row r="12637" spans="1:16" ht="18">
      <c r="A12637" s="688" t="s">
        <v>31</v>
      </c>
      <c r="B12637" s="676"/>
      <c r="C12637" s="676"/>
      <c r="D12637" s="676"/>
      <c r="E12637" s="676"/>
      <c r="F12637" s="677"/>
      <c r="G12637" s="676"/>
      <c r="H12637" s="677"/>
      <c r="I12637" s="1848"/>
      <c r="J12637" s="676"/>
      <c r="K12637" s="689"/>
      <c r="L12637" s="677"/>
      <c r="M12637" s="676"/>
      <c r="N12637" s="677"/>
      <c r="O12637" s="676"/>
      <c r="P12637" s="1098"/>
    </row>
    <row r="12638" spans="1:16" ht="18">
      <c r="A12638" s="690"/>
      <c r="B12638" s="691"/>
      <c r="C12638" s="691"/>
      <c r="D12638" s="691"/>
      <c r="E12638" s="691"/>
      <c r="F12638" s="1630"/>
      <c r="G12638" s="691"/>
      <c r="H12638" s="1630"/>
      <c r="I12638" s="1849"/>
      <c r="J12638" s="691"/>
      <c r="K12638" s="693"/>
      <c r="L12638" s="1630"/>
      <c r="M12638" s="691"/>
      <c r="N12638" s="1630"/>
      <c r="O12638" s="691"/>
      <c r="P12638" s="1098"/>
    </row>
    <row r="12639" spans="1:16" ht="18.600000000000001" thickBot="1">
      <c r="A12639" s="1982" t="s">
        <v>32</v>
      </c>
      <c r="B12639" s="1983"/>
      <c r="C12639" s="1984" t="s">
        <v>33</v>
      </c>
      <c r="D12639" s="1985"/>
      <c r="E12639" s="694" t="s">
        <v>34</v>
      </c>
      <c r="F12639" s="694" t="s">
        <v>35</v>
      </c>
      <c r="G12639" s="1986" t="s">
        <v>36</v>
      </c>
      <c r="H12639" s="1987"/>
      <c r="I12639" s="1987"/>
      <c r="J12639" s="1987"/>
      <c r="K12639" s="1987"/>
      <c r="L12639" s="1987"/>
      <c r="M12639" s="1987"/>
      <c r="N12639" s="1987"/>
      <c r="O12639" s="1987"/>
      <c r="P12639" s="1098"/>
    </row>
    <row r="12640" spans="1:16" ht="18">
      <c r="A12640" s="1988"/>
      <c r="B12640" s="1989"/>
      <c r="C12640" s="1990"/>
      <c r="D12640" s="1989"/>
      <c r="E12640" s="1638"/>
      <c r="F12640" s="1636"/>
      <c r="G12640" s="1991"/>
      <c r="H12640" s="1992"/>
      <c r="I12640" s="1992"/>
      <c r="J12640" s="1992"/>
      <c r="K12640" s="1992"/>
      <c r="L12640" s="1992"/>
      <c r="M12640" s="1992"/>
      <c r="N12640" s="1992"/>
      <c r="O12640" s="1992"/>
      <c r="P12640" s="1098"/>
    </row>
    <row r="12641" spans="1:16" ht="18">
      <c r="A12641" s="1997" t="s">
        <v>37</v>
      </c>
      <c r="B12641" s="1998"/>
      <c r="C12641" s="1990"/>
      <c r="D12641" s="1989"/>
      <c r="E12641" s="1638"/>
      <c r="F12641" s="1636"/>
      <c r="G12641" s="1993"/>
      <c r="H12641" s="1994"/>
      <c r="I12641" s="1994"/>
      <c r="J12641" s="1994"/>
      <c r="K12641" s="1994"/>
      <c r="L12641" s="1994"/>
      <c r="M12641" s="1994"/>
      <c r="N12641" s="1994"/>
      <c r="O12641" s="1994"/>
      <c r="P12641" s="1098"/>
    </row>
    <row r="12642" spans="1:16" ht="18">
      <c r="A12642" s="1997" t="s">
        <v>38</v>
      </c>
      <c r="B12642" s="1998"/>
      <c r="C12642" s="1990"/>
      <c r="D12642" s="1989"/>
      <c r="E12642" s="1638"/>
      <c r="F12642" s="1636"/>
      <c r="G12642" s="1993"/>
      <c r="H12642" s="1994"/>
      <c r="I12642" s="1994"/>
      <c r="J12642" s="1994"/>
      <c r="K12642" s="1994"/>
      <c r="L12642" s="1994"/>
      <c r="M12642" s="1994"/>
      <c r="N12642" s="1994"/>
      <c r="O12642" s="1994"/>
      <c r="P12642" s="1098"/>
    </row>
    <row r="12643" spans="1:16" ht="18">
      <c r="A12643" s="1997" t="s">
        <v>39</v>
      </c>
      <c r="B12643" s="1998"/>
      <c r="C12643" s="1990"/>
      <c r="D12643" s="1989"/>
      <c r="E12643" s="1638"/>
      <c r="F12643" s="1636"/>
      <c r="G12643" s="1993"/>
      <c r="H12643" s="1994"/>
      <c r="I12643" s="1994"/>
      <c r="J12643" s="1994"/>
      <c r="K12643" s="1994"/>
      <c r="L12643" s="1994"/>
      <c r="M12643" s="1994"/>
      <c r="N12643" s="1994"/>
      <c r="O12643" s="1994"/>
      <c r="P12643" s="1098"/>
    </row>
    <row r="12644" spans="1:16" ht="18">
      <c r="A12644" s="1997" t="s">
        <v>40</v>
      </c>
      <c r="B12644" s="1998"/>
      <c r="C12644" s="1990"/>
      <c r="D12644" s="1989"/>
      <c r="E12644" s="1638"/>
      <c r="F12644" s="1636"/>
      <c r="G12644" s="1993"/>
      <c r="H12644" s="1994"/>
      <c r="I12644" s="1994"/>
      <c r="J12644" s="1994"/>
      <c r="K12644" s="1994"/>
      <c r="L12644" s="1994"/>
      <c r="M12644" s="1994"/>
      <c r="N12644" s="1994"/>
      <c r="O12644" s="1994"/>
      <c r="P12644" s="1098"/>
    </row>
    <row r="12645" spans="1:16" ht="18.600000000000001" thickBot="1">
      <c r="A12645" s="1999" t="s">
        <v>41</v>
      </c>
      <c r="B12645" s="2000"/>
      <c r="C12645" s="2001"/>
      <c r="D12645" s="2002"/>
      <c r="E12645" s="696"/>
      <c r="F12645" s="1637"/>
      <c r="G12645" s="1995"/>
      <c r="H12645" s="1996"/>
      <c r="I12645" s="1996"/>
      <c r="J12645" s="1996"/>
      <c r="K12645" s="1996"/>
      <c r="L12645" s="1996"/>
      <c r="M12645" s="1996"/>
      <c r="N12645" s="1996"/>
      <c r="O12645" s="1996"/>
      <c r="P12645" s="1098"/>
    </row>
    <row r="12646" spans="1:16" ht="18">
      <c r="A12646" s="690"/>
      <c r="B12646" s="691"/>
      <c r="C12646" s="691"/>
      <c r="D12646" s="691"/>
      <c r="E12646" s="691"/>
      <c r="F12646" s="1630"/>
      <c r="G12646" s="691"/>
      <c r="H12646" s="698"/>
      <c r="I12646" s="699"/>
      <c r="J12646" s="700"/>
      <c r="K12646" s="701"/>
      <c r="L12646" s="702"/>
      <c r="M12646" s="691"/>
      <c r="N12646" s="1630"/>
      <c r="O12646" s="691"/>
      <c r="P12646" s="1098"/>
    </row>
    <row r="12647" spans="1:16" ht="18">
      <c r="A12647" s="703" t="s">
        <v>42</v>
      </c>
      <c r="B12647" s="704"/>
      <c r="C12647" s="691"/>
      <c r="D12647" s="691"/>
      <c r="E12647" s="691"/>
      <c r="F12647" s="1630"/>
      <c r="G12647" s="704"/>
      <c r="H12647" s="698"/>
      <c r="I12647" s="699"/>
      <c r="J12647" s="700"/>
      <c r="K12647" s="693"/>
      <c r="L12647" s="705"/>
      <c r="M12647" s="691"/>
      <c r="N12647" s="1979" t="s">
        <v>43</v>
      </c>
      <c r="O12647" s="1979"/>
      <c r="P12647" s="1098"/>
    </row>
    <row r="12648" spans="1:16" ht="18">
      <c r="A12648" s="703"/>
      <c r="B12648" s="704"/>
      <c r="C12648" s="691"/>
      <c r="D12648" s="691"/>
      <c r="E12648" s="691"/>
      <c r="F12648" s="1630"/>
      <c r="G12648" s="691"/>
      <c r="H12648" s="1630"/>
      <c r="I12648" s="1849"/>
      <c r="J12648" s="691"/>
      <c r="K12648" s="693"/>
      <c r="L12648" s="1630"/>
      <c r="M12648" s="691"/>
      <c r="N12648" s="1630"/>
      <c r="O12648" s="704"/>
      <c r="P12648" s="1098"/>
    </row>
    <row r="12649" spans="1:16" ht="18">
      <c r="A12649" s="703" t="s">
        <v>44</v>
      </c>
      <c r="B12649" s="704"/>
      <c r="C12649" s="691"/>
      <c r="D12649" s="691"/>
      <c r="E12649" s="691"/>
      <c r="F12649" s="1630"/>
      <c r="G12649" s="691"/>
      <c r="H12649" s="1630"/>
      <c r="I12649" s="1849"/>
      <c r="J12649" s="691"/>
      <c r="K12649" s="693"/>
      <c r="L12649" s="1630"/>
      <c r="M12649" s="691"/>
      <c r="N12649" s="1979" t="s">
        <v>45</v>
      </c>
      <c r="O12649" s="1979"/>
      <c r="P12649" s="1098"/>
    </row>
    <row r="12650" spans="1:16" ht="18.600000000000001" thickBot="1">
      <c r="A12650" s="682"/>
      <c r="B12650" s="683"/>
      <c r="C12650" s="683"/>
      <c r="D12650" s="683"/>
      <c r="E12650" s="683"/>
      <c r="F12650" s="684"/>
      <c r="G12650" s="683"/>
      <c r="H12650" s="684"/>
      <c r="I12650" s="1850"/>
      <c r="J12650" s="683"/>
      <c r="K12650" s="706"/>
      <c r="L12650" s="684"/>
      <c r="M12650" s="683"/>
      <c r="N12650" s="684"/>
      <c r="O12650" s="683"/>
      <c r="P12650" s="1099"/>
    </row>
    <row r="12655" spans="1:16" ht="18">
      <c r="A12655" s="653" t="s">
        <v>48</v>
      </c>
      <c r="B12655" s="653"/>
      <c r="C12655" s="654"/>
      <c r="D12655" s="654"/>
      <c r="E12655" s="654"/>
      <c r="F12655" s="1638"/>
      <c r="G12655" s="654"/>
      <c r="H12655" s="1638"/>
      <c r="I12655" s="656"/>
      <c r="J12655" s="654"/>
      <c r="K12655" s="657"/>
      <c r="L12655" s="2003" t="s">
        <v>0</v>
      </c>
      <c r="M12655" s="2003"/>
      <c r="N12655" s="2003"/>
      <c r="O12655" s="2004"/>
      <c r="P12655" s="1097"/>
    </row>
    <row r="12656" spans="1:16" ht="18">
      <c r="A12656" s="658" t="s">
        <v>1</v>
      </c>
      <c r="B12656" s="658"/>
      <c r="C12656" s="658"/>
      <c r="D12656" s="659" t="s">
        <v>2</v>
      </c>
      <c r="E12656" s="659"/>
      <c r="F12656" s="660"/>
      <c r="G12656" s="660"/>
      <c r="H12656" s="660"/>
      <c r="I12656" s="661"/>
      <c r="J12656" s="660"/>
      <c r="K12656" s="662" t="s">
        <v>3</v>
      </c>
      <c r="L12656" s="660"/>
      <c r="M12656" s="658"/>
      <c r="N12656" s="660"/>
      <c r="O12656" s="663"/>
      <c r="P12656" s="1098"/>
    </row>
    <row r="12657" spans="1:16" ht="18">
      <c r="A12657" s="1638" t="s">
        <v>22</v>
      </c>
      <c r="B12657" s="1990" t="s">
        <v>23</v>
      </c>
      <c r="C12657" s="2005"/>
      <c r="D12657" s="1989"/>
      <c r="E12657" s="1638" t="s">
        <v>24</v>
      </c>
      <c r="F12657" s="1990" t="s">
        <v>25</v>
      </c>
      <c r="G12657" s="1989"/>
      <c r="H12657" s="1990" t="s">
        <v>26</v>
      </c>
      <c r="I12657" s="2005"/>
      <c r="J12657" s="2005"/>
      <c r="K12657" s="1989"/>
      <c r="L12657" s="2006" t="s">
        <v>27</v>
      </c>
      <c r="M12657" s="2006"/>
      <c r="N12657" s="2006"/>
      <c r="O12657" s="1990"/>
      <c r="P12657" s="1098"/>
    </row>
    <row r="12658" spans="1:16" ht="18">
      <c r="A12658" s="664"/>
      <c r="B12658" s="1975"/>
      <c r="C12658" s="1976"/>
      <c r="D12658" s="1977"/>
      <c r="E12658" s="665"/>
      <c r="F12658" s="1975"/>
      <c r="G12658" s="1977"/>
      <c r="H12658" s="1975"/>
      <c r="I12658" s="1976"/>
      <c r="J12658" s="1976"/>
      <c r="K12658" s="1977"/>
      <c r="L12658" s="1975"/>
      <c r="M12658" s="1976"/>
      <c r="N12658" s="1976"/>
      <c r="O12658" s="1976"/>
      <c r="P12658" s="1098"/>
    </row>
    <row r="12659" spans="1:16" ht="18">
      <c r="A12659" s="664"/>
      <c r="B12659" s="1631"/>
      <c r="C12659" s="1632"/>
      <c r="D12659" s="1633"/>
      <c r="E12659" s="665"/>
      <c r="F12659" s="1631"/>
      <c r="G12659" s="1633"/>
      <c r="H12659" s="1631"/>
      <c r="I12659" s="1842"/>
      <c r="J12659" s="1632"/>
      <c r="K12659" s="1633"/>
      <c r="L12659" s="1632"/>
      <c r="M12659" s="1632"/>
      <c r="N12659" s="1632"/>
      <c r="O12659" s="1632"/>
      <c r="P12659" s="1098"/>
    </row>
    <row r="12660" spans="1:16" ht="18">
      <c r="A12660" s="664" t="s">
        <v>28</v>
      </c>
      <c r="B12660" s="1975" t="s">
        <v>78</v>
      </c>
      <c r="C12660" s="1976"/>
      <c r="D12660" s="1977"/>
      <c r="E12660" s="665">
        <v>83.242999999999995</v>
      </c>
      <c r="F12660" s="1973">
        <v>9</v>
      </c>
      <c r="G12660" s="1974"/>
      <c r="H12660" s="1975" t="s">
        <v>447</v>
      </c>
      <c r="I12660" s="1976"/>
      <c r="J12660" s="1976"/>
      <c r="K12660" s="1977"/>
      <c r="L12660" s="1976" t="s">
        <v>1046</v>
      </c>
      <c r="M12660" s="1976"/>
      <c r="N12660" s="1976"/>
      <c r="O12660" s="1976"/>
      <c r="P12660" s="1098"/>
    </row>
    <row r="12661" spans="1:16" ht="18">
      <c r="A12661" s="664"/>
      <c r="B12661" s="1975"/>
      <c r="C12661" s="1976"/>
      <c r="D12661" s="1977"/>
      <c r="E12661" s="665"/>
      <c r="F12661" s="1973"/>
      <c r="G12661" s="1974"/>
      <c r="H12661" s="1975"/>
      <c r="I12661" s="1976"/>
      <c r="J12661" s="1976"/>
      <c r="K12661" s="1977"/>
      <c r="L12661" s="1976"/>
      <c r="M12661" s="1976"/>
      <c r="N12661" s="1976"/>
      <c r="O12661" s="1976"/>
      <c r="P12661" s="1098"/>
    </row>
    <row r="12662" spans="1:16" ht="18" customHeight="1">
      <c r="A12662" s="664" t="s">
        <v>29</v>
      </c>
      <c r="B12662" s="1975" t="s">
        <v>71</v>
      </c>
      <c r="C12662" s="1976"/>
      <c r="D12662" s="1977"/>
      <c r="E12662" s="665">
        <v>14.76</v>
      </c>
      <c r="F12662" s="1973">
        <v>9</v>
      </c>
      <c r="G12662" s="1974"/>
      <c r="H12662" s="1975" t="s">
        <v>49</v>
      </c>
      <c r="I12662" s="1976"/>
      <c r="J12662" s="1976"/>
      <c r="K12662" s="1977"/>
      <c r="L12662" s="1976" t="s">
        <v>1046</v>
      </c>
      <c r="M12662" s="1976"/>
      <c r="N12662" s="1976"/>
      <c r="O12662" s="1976"/>
      <c r="P12662" s="1098"/>
    </row>
    <row r="12663" spans="1:16" s="1511" customFormat="1" ht="18" customHeight="1">
      <c r="A12663" s="664"/>
      <c r="B12663" s="1631"/>
      <c r="C12663" s="1632"/>
      <c r="D12663" s="1633"/>
      <c r="E12663" s="665"/>
      <c r="F12663" s="1634"/>
      <c r="G12663" s="1635"/>
      <c r="H12663" s="1631"/>
      <c r="I12663" s="1842"/>
      <c r="J12663" s="1632"/>
      <c r="K12663" s="1633"/>
      <c r="L12663" s="1632"/>
      <c r="M12663" s="1632"/>
      <c r="N12663" s="1632"/>
      <c r="O12663" s="1632"/>
      <c r="P12663" s="1098"/>
    </row>
    <row r="12664" spans="1:16" ht="18" customHeight="1">
      <c r="A12664" s="664"/>
      <c r="B12664" s="1975"/>
      <c r="C12664" s="1976"/>
      <c r="D12664" s="1977"/>
      <c r="E12664" s="665"/>
      <c r="F12664" s="1973"/>
      <c r="G12664" s="1974"/>
      <c r="H12664" s="1975"/>
      <c r="I12664" s="1976"/>
      <c r="J12664" s="1976"/>
      <c r="K12664" s="1977"/>
      <c r="L12664" s="1976"/>
      <c r="M12664" s="1976"/>
      <c r="N12664" s="1976"/>
      <c r="O12664" s="1976"/>
      <c r="P12664" s="1098"/>
    </row>
    <row r="12665" spans="1:16" ht="18" customHeight="1">
      <c r="A12665" s="664" t="s">
        <v>30</v>
      </c>
      <c r="B12665" s="1975" t="s">
        <v>623</v>
      </c>
      <c r="C12665" s="1976"/>
      <c r="D12665" s="1977"/>
      <c r="E12665" s="665">
        <v>5</v>
      </c>
      <c r="F12665" s="1973">
        <v>9</v>
      </c>
      <c r="G12665" s="1974"/>
      <c r="H12665" s="1975" t="s">
        <v>155</v>
      </c>
      <c r="I12665" s="1976"/>
      <c r="J12665" s="1976"/>
      <c r="K12665" s="1977"/>
      <c r="L12665" s="1976" t="s">
        <v>1138</v>
      </c>
      <c r="M12665" s="1976"/>
      <c r="N12665" s="1976"/>
      <c r="O12665" s="1976"/>
      <c r="P12665" s="1098"/>
    </row>
    <row r="12666" spans="1:16" ht="18" customHeight="1">
      <c r="A12666" s="664" t="s">
        <v>46</v>
      </c>
      <c r="B12666" s="1975" t="s">
        <v>573</v>
      </c>
      <c r="C12666" s="1976"/>
      <c r="D12666" s="1977"/>
      <c r="E12666" s="665">
        <v>40.159999999999997</v>
      </c>
      <c r="F12666" s="1973">
        <v>9</v>
      </c>
      <c r="G12666" s="1974"/>
      <c r="H12666" s="1975" t="s">
        <v>155</v>
      </c>
      <c r="I12666" s="1976"/>
      <c r="J12666" s="1976"/>
      <c r="K12666" s="1977"/>
      <c r="L12666" s="1976" t="s">
        <v>1138</v>
      </c>
      <c r="M12666" s="1976"/>
      <c r="N12666" s="1976"/>
      <c r="O12666" s="1976"/>
      <c r="P12666" s="1098"/>
    </row>
    <row r="12667" spans="1:16" s="1511" customFormat="1" ht="18" customHeight="1">
      <c r="A12667" s="664"/>
      <c r="B12667" s="1631"/>
      <c r="C12667" s="1632"/>
      <c r="D12667" s="1633"/>
      <c r="E12667" s="665"/>
      <c r="F12667" s="1634"/>
      <c r="G12667" s="1635"/>
      <c r="H12667" s="1631"/>
      <c r="I12667" s="1842"/>
      <c r="J12667" s="1632"/>
      <c r="K12667" s="1633"/>
      <c r="L12667" s="1632"/>
      <c r="M12667" s="1632"/>
      <c r="N12667" s="1632"/>
      <c r="O12667" s="1632"/>
      <c r="P12667" s="1098"/>
    </row>
    <row r="12668" spans="1:16" ht="18">
      <c r="A12668" s="664"/>
      <c r="B12668" s="1975"/>
      <c r="C12668" s="1976"/>
      <c r="D12668" s="1977"/>
      <c r="E12668" s="665"/>
      <c r="F12668" s="1973"/>
      <c r="G12668" s="1974"/>
      <c r="H12668" s="1975"/>
      <c r="I12668" s="1976"/>
      <c r="J12668" s="1976"/>
      <c r="K12668" s="1977"/>
      <c r="L12668" s="1976"/>
      <c r="M12668" s="1976"/>
      <c r="N12668" s="1976"/>
      <c r="O12668" s="1976"/>
      <c r="P12668" s="1098"/>
    </row>
    <row r="12669" spans="1:16" ht="18">
      <c r="A12669" s="664" t="s">
        <v>58</v>
      </c>
      <c r="B12669" s="1975" t="s">
        <v>573</v>
      </c>
      <c r="C12669" s="1976"/>
      <c r="D12669" s="1977"/>
      <c r="E12669" s="665">
        <v>6.19</v>
      </c>
      <c r="F12669" s="1973">
        <v>7</v>
      </c>
      <c r="G12669" s="1974"/>
      <c r="H12669" s="1975" t="s">
        <v>450</v>
      </c>
      <c r="I12669" s="1976"/>
      <c r="J12669" s="1976"/>
      <c r="K12669" s="1977"/>
      <c r="L12669" s="1976" t="s">
        <v>1138</v>
      </c>
      <c r="M12669" s="1976"/>
      <c r="N12669" s="1976"/>
      <c r="O12669" s="1976"/>
      <c r="P12669" s="1098"/>
    </row>
    <row r="12670" spans="1:16" ht="18">
      <c r="A12670" s="664" t="s">
        <v>163</v>
      </c>
      <c r="B12670" s="1975" t="s">
        <v>623</v>
      </c>
      <c r="C12670" s="1976"/>
      <c r="D12670" s="1977"/>
      <c r="E12670" s="665">
        <v>4.9619999999999997</v>
      </c>
      <c r="F12670" s="1973">
        <v>7</v>
      </c>
      <c r="G12670" s="1974"/>
      <c r="H12670" s="1975" t="s">
        <v>450</v>
      </c>
      <c r="I12670" s="1976"/>
      <c r="J12670" s="1976"/>
      <c r="K12670" s="1977"/>
      <c r="L12670" s="1976" t="s">
        <v>1138</v>
      </c>
      <c r="M12670" s="1976"/>
      <c r="N12670" s="1976"/>
      <c r="O12670" s="1976"/>
      <c r="P12670" s="1098"/>
    </row>
    <row r="12671" spans="1:16" ht="18">
      <c r="A12671" s="664"/>
      <c r="B12671" s="1631"/>
      <c r="C12671" s="1632"/>
      <c r="D12671" s="1633"/>
      <c r="E12671" s="665"/>
      <c r="F12671" s="1634"/>
      <c r="G12671" s="1635"/>
      <c r="H12671" s="1631"/>
      <c r="I12671" s="1842"/>
      <c r="J12671" s="1632"/>
      <c r="K12671" s="1633"/>
      <c r="L12671" s="1632"/>
      <c r="M12671" s="1632"/>
      <c r="N12671" s="1632"/>
      <c r="O12671" s="1632"/>
      <c r="P12671" s="1098"/>
    </row>
    <row r="12672" spans="1:16" ht="18.600000000000001" thickBot="1">
      <c r="A12672" s="664"/>
      <c r="B12672" s="1631"/>
      <c r="C12672" s="1632"/>
      <c r="D12672" s="1632"/>
      <c r="E12672" s="665"/>
      <c r="F12672" s="1632"/>
      <c r="G12672" s="1633"/>
      <c r="H12672" s="1631"/>
      <c r="I12672" s="1842"/>
      <c r="J12672" s="1632"/>
      <c r="K12672" s="669"/>
      <c r="L12672" s="672"/>
      <c r="M12672" s="673"/>
      <c r="N12672" s="673"/>
      <c r="O12672" s="673"/>
      <c r="P12672" s="1098"/>
    </row>
    <row r="12673" spans="1:16" ht="18">
      <c r="A12673" s="674"/>
      <c r="B12673" s="675"/>
      <c r="C12673" s="676"/>
      <c r="D12673" s="676"/>
      <c r="E12673" s="1980">
        <f>SUM(E12658:E12672)</f>
        <v>154.315</v>
      </c>
      <c r="F12673" s="677"/>
      <c r="G12673" s="678"/>
      <c r="H12673" s="679"/>
      <c r="I12673" s="1848"/>
      <c r="J12673" s="676"/>
      <c r="K12673" s="680"/>
      <c r="L12673" s="679"/>
      <c r="M12673" s="676"/>
      <c r="N12673" s="677"/>
      <c r="O12673" s="676"/>
      <c r="P12673" s="1098"/>
    </row>
    <row r="12674" spans="1:16" ht="18.600000000000001" thickBot="1">
      <c r="A12674" s="681"/>
      <c r="B12674" s="682"/>
      <c r="C12674" s="683"/>
      <c r="D12674" s="683"/>
      <c r="E12674" s="1981"/>
      <c r="F12674" s="684"/>
      <c r="G12674" s="685"/>
      <c r="H12674" s="686"/>
      <c r="I12674" s="1850"/>
      <c r="J12674" s="683"/>
      <c r="K12674" s="687"/>
      <c r="L12674" s="686"/>
      <c r="M12674" s="683"/>
      <c r="N12674" s="684"/>
      <c r="O12674" s="683"/>
      <c r="P12674" s="1098"/>
    </row>
    <row r="12675" spans="1:16" ht="18">
      <c r="A12675" s="688" t="s">
        <v>31</v>
      </c>
      <c r="B12675" s="676"/>
      <c r="C12675" s="676"/>
      <c r="D12675" s="676"/>
      <c r="E12675" s="676"/>
      <c r="F12675" s="677"/>
      <c r="G12675" s="676"/>
      <c r="H12675" s="677"/>
      <c r="I12675" s="1848"/>
      <c r="J12675" s="676"/>
      <c r="K12675" s="689"/>
      <c r="L12675" s="677"/>
      <c r="M12675" s="676"/>
      <c r="N12675" s="677"/>
      <c r="O12675" s="676"/>
      <c r="P12675" s="1098"/>
    </row>
    <row r="12676" spans="1:16" ht="18">
      <c r="A12676" s="690"/>
      <c r="B12676" s="691"/>
      <c r="C12676" s="691"/>
      <c r="D12676" s="691"/>
      <c r="E12676" s="691"/>
      <c r="F12676" s="1630"/>
      <c r="G12676" s="691"/>
      <c r="H12676" s="1630"/>
      <c r="I12676" s="1849"/>
      <c r="J12676" s="691"/>
      <c r="K12676" s="693"/>
      <c r="L12676" s="1630"/>
      <c r="M12676" s="691"/>
      <c r="N12676" s="1630"/>
      <c r="O12676" s="691"/>
      <c r="P12676" s="1098"/>
    </row>
    <row r="12677" spans="1:16" ht="18.600000000000001" thickBot="1">
      <c r="A12677" s="1982" t="s">
        <v>32</v>
      </c>
      <c r="B12677" s="1983"/>
      <c r="C12677" s="1984" t="s">
        <v>33</v>
      </c>
      <c r="D12677" s="1985"/>
      <c r="E12677" s="694" t="s">
        <v>34</v>
      </c>
      <c r="F12677" s="694" t="s">
        <v>35</v>
      </c>
      <c r="G12677" s="1986" t="s">
        <v>36</v>
      </c>
      <c r="H12677" s="1987"/>
      <c r="I12677" s="1987"/>
      <c r="J12677" s="1987"/>
      <c r="K12677" s="1987"/>
      <c r="L12677" s="1987"/>
      <c r="M12677" s="1987"/>
      <c r="N12677" s="1987"/>
      <c r="O12677" s="1987"/>
      <c r="P12677" s="1098"/>
    </row>
    <row r="12678" spans="1:16" ht="18">
      <c r="A12678" s="1988"/>
      <c r="B12678" s="1989"/>
      <c r="C12678" s="1990"/>
      <c r="D12678" s="1989"/>
      <c r="E12678" s="1638"/>
      <c r="F12678" s="1636"/>
      <c r="G12678" s="1991"/>
      <c r="H12678" s="1992"/>
      <c r="I12678" s="1992"/>
      <c r="J12678" s="1992"/>
      <c r="K12678" s="1992"/>
      <c r="L12678" s="1992"/>
      <c r="M12678" s="1992"/>
      <c r="N12678" s="1992"/>
      <c r="O12678" s="1992"/>
      <c r="P12678" s="1098"/>
    </row>
    <row r="12679" spans="1:16" ht="18">
      <c r="A12679" s="1997" t="s">
        <v>37</v>
      </c>
      <c r="B12679" s="1998"/>
      <c r="C12679" s="1990"/>
      <c r="D12679" s="1989"/>
      <c r="E12679" s="1638"/>
      <c r="F12679" s="1636"/>
      <c r="G12679" s="1993"/>
      <c r="H12679" s="1994"/>
      <c r="I12679" s="1994"/>
      <c r="J12679" s="1994"/>
      <c r="K12679" s="1994"/>
      <c r="L12679" s="1994"/>
      <c r="M12679" s="1994"/>
      <c r="N12679" s="1994"/>
      <c r="O12679" s="1994"/>
      <c r="P12679" s="1098"/>
    </row>
    <row r="12680" spans="1:16" ht="18">
      <c r="A12680" s="1997" t="s">
        <v>38</v>
      </c>
      <c r="B12680" s="1998"/>
      <c r="C12680" s="1990"/>
      <c r="D12680" s="1989"/>
      <c r="E12680" s="1638"/>
      <c r="F12680" s="1636"/>
      <c r="G12680" s="1993"/>
      <c r="H12680" s="1994"/>
      <c r="I12680" s="1994"/>
      <c r="J12680" s="1994"/>
      <c r="K12680" s="1994"/>
      <c r="L12680" s="1994"/>
      <c r="M12680" s="1994"/>
      <c r="N12680" s="1994"/>
      <c r="O12680" s="1994"/>
      <c r="P12680" s="1098"/>
    </row>
    <row r="12681" spans="1:16" ht="18">
      <c r="A12681" s="1997" t="s">
        <v>39</v>
      </c>
      <c r="B12681" s="1998"/>
      <c r="C12681" s="1990"/>
      <c r="D12681" s="1989"/>
      <c r="E12681" s="1638"/>
      <c r="F12681" s="1636"/>
      <c r="G12681" s="1993"/>
      <c r="H12681" s="1994"/>
      <c r="I12681" s="1994"/>
      <c r="J12681" s="1994"/>
      <c r="K12681" s="1994"/>
      <c r="L12681" s="1994"/>
      <c r="M12681" s="1994"/>
      <c r="N12681" s="1994"/>
      <c r="O12681" s="1994"/>
      <c r="P12681" s="1098"/>
    </row>
    <row r="12682" spans="1:16" ht="18">
      <c r="A12682" s="1997" t="s">
        <v>40</v>
      </c>
      <c r="B12682" s="1998"/>
      <c r="C12682" s="1990"/>
      <c r="D12682" s="1989"/>
      <c r="E12682" s="1638"/>
      <c r="F12682" s="1636"/>
      <c r="G12682" s="1993"/>
      <c r="H12682" s="1994"/>
      <c r="I12682" s="1994"/>
      <c r="J12682" s="1994"/>
      <c r="K12682" s="1994"/>
      <c r="L12682" s="1994"/>
      <c r="M12682" s="1994"/>
      <c r="N12682" s="1994"/>
      <c r="O12682" s="1994"/>
      <c r="P12682" s="1098"/>
    </row>
    <row r="12683" spans="1:16" ht="18.600000000000001" thickBot="1">
      <c r="A12683" s="1999" t="s">
        <v>41</v>
      </c>
      <c r="B12683" s="2000"/>
      <c r="C12683" s="2001"/>
      <c r="D12683" s="2002"/>
      <c r="E12683" s="696"/>
      <c r="F12683" s="1637"/>
      <c r="G12683" s="1995"/>
      <c r="H12683" s="1996"/>
      <c r="I12683" s="1996"/>
      <c r="J12683" s="1996"/>
      <c r="K12683" s="1996"/>
      <c r="L12683" s="1996"/>
      <c r="M12683" s="1996"/>
      <c r="N12683" s="1996"/>
      <c r="O12683" s="1996"/>
      <c r="P12683" s="1098"/>
    </row>
    <row r="12684" spans="1:16" ht="18">
      <c r="A12684" s="690"/>
      <c r="B12684" s="691"/>
      <c r="C12684" s="691"/>
      <c r="D12684" s="691"/>
      <c r="E12684" s="691"/>
      <c r="F12684" s="1630"/>
      <c r="G12684" s="691"/>
      <c r="H12684" s="698"/>
      <c r="I12684" s="699"/>
      <c r="J12684" s="700"/>
      <c r="K12684" s="701"/>
      <c r="L12684" s="702"/>
      <c r="M12684" s="691"/>
      <c r="N12684" s="1630"/>
      <c r="O12684" s="691"/>
      <c r="P12684" s="1098"/>
    </row>
    <row r="12685" spans="1:16" ht="18">
      <c r="A12685" s="703" t="s">
        <v>42</v>
      </c>
      <c r="B12685" s="704"/>
      <c r="C12685" s="691"/>
      <c r="D12685" s="691"/>
      <c r="E12685" s="691"/>
      <c r="F12685" s="1630"/>
      <c r="G12685" s="704"/>
      <c r="H12685" s="698"/>
      <c r="I12685" s="699"/>
      <c r="J12685" s="700"/>
      <c r="K12685" s="693"/>
      <c r="L12685" s="705"/>
      <c r="M12685" s="691"/>
      <c r="N12685" s="1979" t="s">
        <v>43</v>
      </c>
      <c r="O12685" s="1979"/>
      <c r="P12685" s="1098"/>
    </row>
    <row r="12686" spans="1:16" ht="18">
      <c r="A12686" s="703"/>
      <c r="B12686" s="704"/>
      <c r="C12686" s="691"/>
      <c r="D12686" s="691"/>
      <c r="E12686" s="691"/>
      <c r="F12686" s="1630"/>
      <c r="G12686" s="691"/>
      <c r="H12686" s="1630"/>
      <c r="I12686" s="1849"/>
      <c r="J12686" s="691"/>
      <c r="K12686" s="693"/>
      <c r="L12686" s="1630"/>
      <c r="M12686" s="691"/>
      <c r="N12686" s="1630"/>
      <c r="O12686" s="704"/>
      <c r="P12686" s="1098"/>
    </row>
    <row r="12687" spans="1:16" ht="18">
      <c r="A12687" s="703" t="s">
        <v>44</v>
      </c>
      <c r="B12687" s="704"/>
      <c r="C12687" s="691"/>
      <c r="D12687" s="691"/>
      <c r="E12687" s="691"/>
      <c r="F12687" s="1630"/>
      <c r="G12687" s="691"/>
      <c r="H12687" s="1630"/>
      <c r="I12687" s="1849"/>
      <c r="J12687" s="691"/>
      <c r="K12687" s="693"/>
      <c r="L12687" s="1630"/>
      <c r="M12687" s="691"/>
      <c r="N12687" s="1979" t="s">
        <v>45</v>
      </c>
      <c r="O12687" s="1979"/>
      <c r="P12687" s="1098"/>
    </row>
    <row r="12688" spans="1:16" ht="18.600000000000001" thickBot="1">
      <c r="A12688" s="682"/>
      <c r="B12688" s="683"/>
      <c r="C12688" s="683"/>
      <c r="D12688" s="683"/>
      <c r="E12688" s="683"/>
      <c r="F12688" s="684"/>
      <c r="G12688" s="683"/>
      <c r="H12688" s="684"/>
      <c r="I12688" s="1850"/>
      <c r="J12688" s="683"/>
      <c r="K12688" s="706"/>
      <c r="L12688" s="684"/>
      <c r="M12688" s="683"/>
      <c r="N12688" s="684"/>
      <c r="O12688" s="683"/>
      <c r="P12688" s="1099"/>
    </row>
    <row r="12692" spans="1:17" ht="17.399999999999999">
      <c r="A12692" s="711" t="s">
        <v>48</v>
      </c>
      <c r="B12692" s="711"/>
      <c r="C12692" s="712"/>
      <c r="D12692" s="712"/>
      <c r="E12692" s="712"/>
      <c r="F12692" s="713"/>
      <c r="G12692" s="712"/>
      <c r="H12692" s="712"/>
      <c r="I12692" s="714"/>
      <c r="J12692" s="715"/>
      <c r="K12692" s="716"/>
      <c r="L12692" s="1978" t="s">
        <v>0</v>
      </c>
      <c r="M12692" s="1978"/>
      <c r="N12692" s="1978"/>
      <c r="O12692" s="1978"/>
      <c r="P12692" s="717"/>
    </row>
    <row r="12693" spans="1:17" ht="17.399999999999999">
      <c r="A12693" s="718" t="s">
        <v>1</v>
      </c>
      <c r="B12693" s="718"/>
      <c r="C12693" s="718"/>
      <c r="D12693" s="719" t="s">
        <v>2</v>
      </c>
      <c r="E12693" s="719"/>
      <c r="F12693" s="720"/>
      <c r="G12693" s="720"/>
      <c r="H12693" s="720"/>
      <c r="I12693" s="721"/>
      <c r="J12693" s="1640"/>
      <c r="K12693" s="723" t="s">
        <v>3</v>
      </c>
      <c r="L12693" s="1640"/>
      <c r="M12693" s="718"/>
      <c r="N12693" s="720"/>
      <c r="O12693" s="718"/>
      <c r="P12693" s="724"/>
    </row>
    <row r="12694" spans="1:17" ht="52.2">
      <c r="A12694" s="640" t="s">
        <v>4</v>
      </c>
      <c r="B12694" s="640" t="s">
        <v>5</v>
      </c>
      <c r="C12694" s="640" t="s">
        <v>6</v>
      </c>
      <c r="D12694" s="640" t="s">
        <v>7</v>
      </c>
      <c r="E12694" s="640" t="s">
        <v>8</v>
      </c>
      <c r="F12694" s="641" t="s">
        <v>9</v>
      </c>
      <c r="G12694" s="642" t="s">
        <v>10</v>
      </c>
      <c r="H12694" s="642" t="s">
        <v>11</v>
      </c>
      <c r="I12694" s="643" t="s">
        <v>12</v>
      </c>
      <c r="J12694" s="644" t="s">
        <v>13</v>
      </c>
      <c r="K12694" s="645" t="s">
        <v>14</v>
      </c>
      <c r="L12694" s="646" t="s">
        <v>15</v>
      </c>
      <c r="M12694" s="641" t="s">
        <v>16</v>
      </c>
      <c r="N12694" s="641" t="s">
        <v>17</v>
      </c>
      <c r="O12694" s="642" t="s">
        <v>18</v>
      </c>
      <c r="P12694" s="641" t="s">
        <v>192</v>
      </c>
    </row>
    <row r="12695" spans="1:17" ht="17.399999999999999">
      <c r="A12695" s="547" t="s">
        <v>83</v>
      </c>
      <c r="B12695" s="547" t="s">
        <v>1360</v>
      </c>
      <c r="C12695" s="547" t="s">
        <v>446</v>
      </c>
      <c r="D12695" s="813" t="s">
        <v>447</v>
      </c>
      <c r="E12695" s="547" t="s">
        <v>359</v>
      </c>
      <c r="F12695" s="550">
        <v>10</v>
      </c>
      <c r="G12695" s="549" t="s">
        <v>21</v>
      </c>
      <c r="H12695" s="599" t="s">
        <v>131</v>
      </c>
      <c r="I12695" s="558">
        <v>7.36</v>
      </c>
      <c r="J12695" s="567">
        <v>8</v>
      </c>
      <c r="K12695" s="648">
        <v>12</v>
      </c>
      <c r="L12695" s="552">
        <f t="shared" ref="L12695:L12701" si="2558">(I12695*J12695*K12695/1000)</f>
        <v>0.70656000000000008</v>
      </c>
      <c r="M12695" s="549">
        <v>5</v>
      </c>
      <c r="N12695" s="567">
        <f t="shared" ref="N12695:N12701" si="2559">J12695*M12695*I12695/1000</f>
        <v>0.29440000000000005</v>
      </c>
      <c r="O12695" s="549"/>
      <c r="P12695" s="549"/>
      <c r="Q12695" s="1511" t="s">
        <v>1581</v>
      </c>
    </row>
    <row r="12696" spans="1:17" ht="17.399999999999999">
      <c r="A12696" s="549"/>
      <c r="B12696" s="549"/>
      <c r="C12696" s="549"/>
      <c r="D12696" s="549"/>
      <c r="E12696" s="549"/>
      <c r="F12696" s="549"/>
      <c r="G12696" s="549" t="s">
        <v>21</v>
      </c>
      <c r="H12696" s="549" t="s">
        <v>131</v>
      </c>
      <c r="I12696" s="558">
        <v>7.36</v>
      </c>
      <c r="J12696" s="567">
        <v>9.25</v>
      </c>
      <c r="K12696" s="648">
        <v>31</v>
      </c>
      <c r="L12696" s="552">
        <f t="shared" si="2558"/>
        <v>2.1104799999999999</v>
      </c>
      <c r="M12696" s="549">
        <f>6+4</f>
        <v>10</v>
      </c>
      <c r="N12696" s="567">
        <f t="shared" si="2559"/>
        <v>0.68080000000000007</v>
      </c>
      <c r="O12696" s="549"/>
      <c r="P12696" s="549"/>
    </row>
    <row r="12697" spans="1:17" ht="17.399999999999999">
      <c r="A12697" s="549"/>
      <c r="B12697" s="549"/>
      <c r="C12697" s="549"/>
      <c r="D12697" s="549"/>
      <c r="E12697" s="549"/>
      <c r="F12697" s="549"/>
      <c r="G12697" s="549" t="s">
        <v>21</v>
      </c>
      <c r="H12697" s="549" t="s">
        <v>131</v>
      </c>
      <c r="I12697" s="558">
        <v>7.36</v>
      </c>
      <c r="J12697" s="567">
        <v>10</v>
      </c>
      <c r="K12697" s="648">
        <v>92</v>
      </c>
      <c r="L12697" s="552">
        <f t="shared" si="2558"/>
        <v>6.7712000000000003</v>
      </c>
      <c r="M12697" s="549">
        <f>1+4+4</f>
        <v>9</v>
      </c>
      <c r="N12697" s="567">
        <f t="shared" si="2559"/>
        <v>0.66239999999999999</v>
      </c>
      <c r="O12697" s="549"/>
      <c r="P12697" s="549"/>
    </row>
    <row r="12698" spans="1:17" ht="17.399999999999999">
      <c r="A12698" s="549"/>
      <c r="B12698" s="549"/>
      <c r="C12698" s="549"/>
      <c r="D12698" s="549"/>
      <c r="E12698" s="549"/>
      <c r="F12698" s="549"/>
      <c r="G12698" s="549" t="s">
        <v>21</v>
      </c>
      <c r="H12698" s="549" t="s">
        <v>131</v>
      </c>
      <c r="I12698" s="558">
        <v>7.36</v>
      </c>
      <c r="J12698" s="567">
        <v>10.5</v>
      </c>
      <c r="K12698" s="648">
        <v>207</v>
      </c>
      <c r="L12698" s="552">
        <f t="shared" si="2558"/>
        <v>15.996960000000001</v>
      </c>
      <c r="M12698" s="549">
        <v>7</v>
      </c>
      <c r="N12698" s="567">
        <f t="shared" si="2559"/>
        <v>0.54096</v>
      </c>
      <c r="O12698" s="549"/>
      <c r="P12698" s="549"/>
    </row>
    <row r="12699" spans="1:17" ht="17.399999999999999">
      <c r="A12699" s="549"/>
      <c r="B12699" s="549"/>
      <c r="C12699" s="549"/>
      <c r="D12699" s="549"/>
      <c r="E12699" s="549"/>
      <c r="F12699" s="549"/>
      <c r="G12699" s="549" t="s">
        <v>21</v>
      </c>
      <c r="H12699" s="549" t="s">
        <v>131</v>
      </c>
      <c r="I12699" s="558">
        <v>7.36</v>
      </c>
      <c r="J12699" s="567">
        <v>11</v>
      </c>
      <c r="K12699" s="648">
        <v>96</v>
      </c>
      <c r="L12699" s="552">
        <f t="shared" si="2558"/>
        <v>7.7721600000000004</v>
      </c>
      <c r="M12699" s="549">
        <f>2+1</f>
        <v>3</v>
      </c>
      <c r="N12699" s="567">
        <f t="shared" si="2559"/>
        <v>0.24288000000000001</v>
      </c>
      <c r="O12699" s="549"/>
      <c r="P12699" s="549"/>
    </row>
    <row r="12700" spans="1:17" ht="17.399999999999999">
      <c r="A12700" s="549"/>
      <c r="B12700" s="549"/>
      <c r="C12700" s="549"/>
      <c r="D12700" s="549"/>
      <c r="E12700" s="549"/>
      <c r="F12700" s="549"/>
      <c r="G12700" s="549" t="s">
        <v>21</v>
      </c>
      <c r="H12700" s="549" t="s">
        <v>131</v>
      </c>
      <c r="I12700" s="558">
        <v>7.36</v>
      </c>
      <c r="J12700" s="567">
        <v>11.5</v>
      </c>
      <c r="K12700" s="648">
        <v>43</v>
      </c>
      <c r="L12700" s="552">
        <f t="shared" si="2558"/>
        <v>3.6395200000000001</v>
      </c>
      <c r="M12700" s="549">
        <f>6+6+1+1</f>
        <v>14</v>
      </c>
      <c r="N12700" s="567">
        <f t="shared" si="2559"/>
        <v>1.18496</v>
      </c>
      <c r="O12700" s="549"/>
      <c r="P12700" s="549"/>
    </row>
    <row r="12701" spans="1:17" ht="17.399999999999999">
      <c r="A12701" s="549"/>
      <c r="B12701" s="549"/>
      <c r="C12701" s="549"/>
      <c r="D12701" s="549"/>
      <c r="E12701" s="549"/>
      <c r="F12701" s="549"/>
      <c r="G12701" s="549" t="s">
        <v>21</v>
      </c>
      <c r="H12701" s="549" t="s">
        <v>131</v>
      </c>
      <c r="I12701" s="558">
        <v>7.36</v>
      </c>
      <c r="J12701" s="567">
        <v>12</v>
      </c>
      <c r="K12701" s="648">
        <v>112</v>
      </c>
      <c r="L12701" s="552">
        <f t="shared" si="2558"/>
        <v>9.8918400000000002</v>
      </c>
      <c r="M12701" s="549">
        <v>14</v>
      </c>
      <c r="N12701" s="567">
        <f t="shared" si="2559"/>
        <v>1.23648</v>
      </c>
      <c r="O12701" s="549"/>
      <c r="P12701" s="549"/>
    </row>
    <row r="12702" spans="1:17" ht="17.399999999999999">
      <c r="A12702" s="549"/>
      <c r="B12702" s="549"/>
      <c r="C12702" s="549"/>
      <c r="D12702" s="549"/>
      <c r="E12702" s="549"/>
      <c r="F12702" s="549"/>
      <c r="G12702" s="549"/>
      <c r="H12702" s="549"/>
      <c r="I12702" s="558"/>
      <c r="J12702" s="567"/>
      <c r="K12702" s="648">
        <f>SUM(K12695:K12701)</f>
        <v>593</v>
      </c>
      <c r="L12702" s="567">
        <f>SUM(L12695:L12701)</f>
        <v>46.888719999999999</v>
      </c>
      <c r="M12702" s="648">
        <f>SUM(M12695:M12701)</f>
        <v>62</v>
      </c>
      <c r="N12702" s="567">
        <f>SUM(N12695:N12701)</f>
        <v>4.8428800000000001</v>
      </c>
      <c r="O12702" s="549"/>
      <c r="P12702" s="549"/>
    </row>
    <row r="12703" spans="1:17" ht="17.399999999999999">
      <c r="A12703" s="549"/>
      <c r="B12703" s="549"/>
      <c r="C12703" s="549"/>
      <c r="D12703" s="549"/>
      <c r="E12703" s="549"/>
      <c r="F12703" s="549"/>
      <c r="G12703" s="549"/>
      <c r="H12703" s="549"/>
      <c r="I12703" s="558"/>
      <c r="J12703" s="549"/>
      <c r="K12703" s="561"/>
      <c r="L12703" s="560"/>
      <c r="M12703" s="549"/>
      <c r="N12703" s="549"/>
      <c r="O12703" s="549"/>
      <c r="P12703" s="549"/>
    </row>
    <row r="12704" spans="1:17" ht="17.399999999999999">
      <c r="A12704" s="547" t="s">
        <v>395</v>
      </c>
      <c r="B12704" s="852" t="s">
        <v>1361</v>
      </c>
      <c r="C12704" s="547" t="s">
        <v>446</v>
      </c>
      <c r="D12704" s="813" t="s">
        <v>447</v>
      </c>
      <c r="E12704" s="547" t="s">
        <v>359</v>
      </c>
      <c r="F12704" s="550">
        <v>10</v>
      </c>
      <c r="G12704" s="549" t="s">
        <v>21</v>
      </c>
      <c r="H12704" s="599" t="s">
        <v>131</v>
      </c>
      <c r="I12704" s="558">
        <v>7.36</v>
      </c>
      <c r="J12704" s="567">
        <v>6.3</v>
      </c>
      <c r="K12704" s="648">
        <v>18</v>
      </c>
      <c r="L12704" s="552">
        <f>(I12704*J12704*K12704/1000)</f>
        <v>0.83462400000000003</v>
      </c>
      <c r="M12704" s="549">
        <f>3+3</f>
        <v>6</v>
      </c>
      <c r="N12704" s="567">
        <f t="shared" ref="N12704:N12706" si="2560">J12704*M12704*I12704/1000</f>
        <v>0.27820799999999996</v>
      </c>
      <c r="O12704" s="549"/>
      <c r="P12704" s="549"/>
      <c r="Q12704" s="1511" t="s">
        <v>1581</v>
      </c>
    </row>
    <row r="12705" spans="1:17" ht="17.399999999999999">
      <c r="A12705" s="549"/>
      <c r="B12705" s="549"/>
      <c r="C12705" s="549"/>
      <c r="D12705" s="549"/>
      <c r="E12705" s="549"/>
      <c r="F12705" s="549"/>
      <c r="G12705" s="549" t="s">
        <v>21</v>
      </c>
      <c r="H12705" s="549" t="s">
        <v>131</v>
      </c>
      <c r="I12705" s="558">
        <v>7.36</v>
      </c>
      <c r="J12705" s="567">
        <v>7.5</v>
      </c>
      <c r="K12705" s="648">
        <v>8</v>
      </c>
      <c r="L12705" s="552">
        <f>(I12705*J12705*K12705/1000)</f>
        <v>0.44160000000000005</v>
      </c>
      <c r="M12705" s="549">
        <f>2+1</f>
        <v>3</v>
      </c>
      <c r="N12705" s="567">
        <f t="shared" si="2560"/>
        <v>0.1656</v>
      </c>
      <c r="O12705" s="549"/>
      <c r="P12705" s="549"/>
    </row>
    <row r="12706" spans="1:17" ht="17.399999999999999">
      <c r="A12706" s="549"/>
      <c r="B12706" s="549"/>
      <c r="C12706" s="549"/>
      <c r="D12706" s="549"/>
      <c r="E12706" s="549"/>
      <c r="F12706" s="549"/>
      <c r="G12706" s="549" t="s">
        <v>21</v>
      </c>
      <c r="H12706" s="549" t="s">
        <v>131</v>
      </c>
      <c r="I12706" s="558">
        <v>7.36</v>
      </c>
      <c r="J12706" s="567">
        <v>10</v>
      </c>
      <c r="K12706" s="648">
        <v>8</v>
      </c>
      <c r="L12706" s="552">
        <f>(I12706*J12706*K12706/1000)</f>
        <v>0.5888000000000001</v>
      </c>
      <c r="M12706" s="549"/>
      <c r="N12706" s="567">
        <f t="shared" si="2560"/>
        <v>0</v>
      </c>
      <c r="O12706" s="549"/>
      <c r="P12706" s="549"/>
    </row>
    <row r="12707" spans="1:17" ht="17.399999999999999">
      <c r="A12707" s="549"/>
      <c r="B12707" s="549"/>
      <c r="C12707" s="549"/>
      <c r="D12707" s="549"/>
      <c r="E12707" s="549"/>
      <c r="F12707" s="549"/>
      <c r="G12707" s="549"/>
      <c r="H12707" s="549"/>
      <c r="I12707" s="558"/>
      <c r="J12707" s="567"/>
      <c r="K12707" s="648">
        <f>SUM(K12704:K12706)</f>
        <v>34</v>
      </c>
      <c r="L12707" s="567">
        <f>SUM(L12704:L12706)</f>
        <v>1.865024</v>
      </c>
      <c r="M12707" s="648">
        <f>SUM(M12704:M12706)</f>
        <v>9</v>
      </c>
      <c r="N12707" s="567">
        <f t="shared" ref="N12707" si="2561">SUM(N12704:N12706)</f>
        <v>0.44380799999999998</v>
      </c>
      <c r="O12707" s="549"/>
      <c r="P12707" s="549"/>
    </row>
    <row r="12708" spans="1:17" ht="17.399999999999999">
      <c r="A12708" s="549"/>
      <c r="B12708" s="549"/>
      <c r="C12708" s="549"/>
      <c r="D12708" s="549"/>
      <c r="E12708" s="549"/>
      <c r="F12708" s="549"/>
      <c r="G12708" s="549"/>
      <c r="H12708" s="549"/>
      <c r="I12708" s="558"/>
      <c r="J12708" s="549"/>
      <c r="K12708" s="561"/>
      <c r="L12708" s="560"/>
      <c r="M12708" s="549"/>
      <c r="N12708" s="549"/>
      <c r="O12708" s="549"/>
      <c r="P12708" s="549"/>
    </row>
    <row r="12709" spans="1:17" ht="17.399999999999999">
      <c r="A12709" s="547" t="s">
        <v>395</v>
      </c>
      <c r="B12709" s="852" t="s">
        <v>1363</v>
      </c>
      <c r="C12709" s="547" t="s">
        <v>446</v>
      </c>
      <c r="D12709" s="813" t="s">
        <v>447</v>
      </c>
      <c r="E12709" s="547" t="s">
        <v>359</v>
      </c>
      <c r="F12709" s="550">
        <v>10</v>
      </c>
      <c r="G12709" s="549" t="s">
        <v>21</v>
      </c>
      <c r="H12709" s="599" t="s">
        <v>131</v>
      </c>
      <c r="I12709" s="558">
        <v>7.36</v>
      </c>
      <c r="J12709" s="567">
        <v>7.5</v>
      </c>
      <c r="K12709" s="648">
        <v>2</v>
      </c>
      <c r="L12709" s="552">
        <f>(I12709*J12709*K12709/1000)</f>
        <v>0.11040000000000001</v>
      </c>
      <c r="M12709" s="549"/>
      <c r="N12709" s="549"/>
      <c r="O12709" s="549"/>
      <c r="P12709" s="549"/>
      <c r="Q12709" s="1511" t="s">
        <v>1581</v>
      </c>
    </row>
    <row r="12710" spans="1:17" ht="17.399999999999999">
      <c r="A12710" s="549"/>
      <c r="B12710" s="549"/>
      <c r="C12710" s="549"/>
      <c r="D12710" s="549"/>
      <c r="E12710" s="549"/>
      <c r="F12710" s="549"/>
      <c r="G12710" s="549" t="s">
        <v>21</v>
      </c>
      <c r="H12710" s="549" t="s">
        <v>131</v>
      </c>
      <c r="I12710" s="558">
        <v>7.36</v>
      </c>
      <c r="J12710" s="567">
        <v>10</v>
      </c>
      <c r="K12710" s="648">
        <v>2</v>
      </c>
      <c r="L12710" s="552">
        <f>(I12710*J12710*K12710/1000)</f>
        <v>0.14720000000000003</v>
      </c>
      <c r="M12710" s="549"/>
      <c r="N12710" s="549"/>
      <c r="O12710" s="549"/>
      <c r="P12710" s="549"/>
    </row>
    <row r="12711" spans="1:17" ht="17.399999999999999">
      <c r="A12711" s="549"/>
      <c r="B12711" s="549"/>
      <c r="C12711" s="549"/>
      <c r="D12711" s="549"/>
      <c r="E12711" s="549"/>
      <c r="F12711" s="549"/>
      <c r="G12711" s="549"/>
      <c r="H12711" s="549"/>
      <c r="I12711" s="558"/>
      <c r="J12711" s="567"/>
      <c r="K12711" s="648">
        <f>SUM(K12709:K12710)</f>
        <v>4</v>
      </c>
      <c r="L12711" s="567">
        <f>SUM(L12709:L12710)</f>
        <v>0.25760000000000005</v>
      </c>
      <c r="M12711" s="549"/>
      <c r="N12711" s="549"/>
      <c r="O12711" s="549"/>
      <c r="P12711" s="549"/>
    </row>
    <row r="12712" spans="1:17" s="1511" customFormat="1" ht="17.399999999999999">
      <c r="A12712" s="549"/>
      <c r="B12712" s="549"/>
      <c r="C12712" s="549"/>
      <c r="D12712" s="549"/>
      <c r="E12712" s="549"/>
      <c r="F12712" s="549"/>
      <c r="G12712" s="549"/>
      <c r="H12712" s="549"/>
      <c r="I12712" s="558"/>
      <c r="J12712" s="567"/>
      <c r="K12712" s="648">
        <f>SUM(K12695:K12711)/2</f>
        <v>631</v>
      </c>
      <c r="L12712" s="567">
        <f>SUM(L12695:L12711)/2</f>
        <v>49.011344000000001</v>
      </c>
      <c r="M12712" s="648">
        <f>SUM(M12695:M12711)/2</f>
        <v>71</v>
      </c>
      <c r="N12712" s="567">
        <f>SUM(N12695:N12711)/2</f>
        <v>5.2866879999999998</v>
      </c>
      <c r="O12712" s="549"/>
      <c r="P12712" s="549" t="s">
        <v>1514</v>
      </c>
    </row>
    <row r="12713" spans="1:17" s="1511" customFormat="1" ht="17.399999999999999">
      <c r="A12713" s="549"/>
      <c r="B12713" s="549"/>
      <c r="C12713" s="549"/>
      <c r="D12713" s="549"/>
      <c r="E12713" s="549"/>
      <c r="F12713" s="549"/>
      <c r="G12713" s="549"/>
      <c r="H12713" s="549"/>
      <c r="I12713" s="558"/>
      <c r="J12713" s="567"/>
      <c r="K12713" s="648"/>
      <c r="L12713" s="567"/>
      <c r="M12713" s="549"/>
      <c r="N12713" s="549"/>
      <c r="O12713" s="549"/>
      <c r="P12713" s="549"/>
    </row>
    <row r="12714" spans="1:17" s="1511" customFormat="1" ht="17.399999999999999">
      <c r="A12714" s="549"/>
      <c r="B12714" s="549"/>
      <c r="C12714" s="549"/>
      <c r="D12714" s="549"/>
      <c r="E12714" s="549"/>
      <c r="F12714" s="549"/>
      <c r="G12714" s="549"/>
      <c r="H12714" s="549"/>
      <c r="I12714" s="558"/>
      <c r="J12714" s="567"/>
      <c r="K12714" s="648"/>
      <c r="L12714" s="567"/>
      <c r="M12714" s="549"/>
      <c r="N12714" s="549"/>
      <c r="O12714" s="549"/>
      <c r="P12714" s="549"/>
    </row>
    <row r="12715" spans="1:17" ht="17.399999999999999">
      <c r="A12715" s="547" t="s">
        <v>83</v>
      </c>
      <c r="B12715" s="547" t="s">
        <v>1360</v>
      </c>
      <c r="C12715" s="547" t="s">
        <v>446</v>
      </c>
      <c r="D12715" s="813" t="s">
        <v>447</v>
      </c>
      <c r="E12715" s="547" t="s">
        <v>359</v>
      </c>
      <c r="F12715" s="550">
        <v>10</v>
      </c>
      <c r="G12715" s="549" t="s">
        <v>21</v>
      </c>
      <c r="H12715" s="599" t="s">
        <v>130</v>
      </c>
      <c r="I12715" s="558">
        <v>6.17</v>
      </c>
      <c r="J12715" s="567">
        <v>8</v>
      </c>
      <c r="K12715" s="648">
        <v>31</v>
      </c>
      <c r="L12715" s="552">
        <f t="shared" ref="L12715:L12725" si="2562">(I12715*J12715*K12715/1000)</f>
        <v>1.5301600000000002</v>
      </c>
      <c r="M12715" s="549">
        <f>4+1+4</f>
        <v>9</v>
      </c>
      <c r="N12715" s="567">
        <f>J12715*M12715*I12715/1000</f>
        <v>0.44424000000000002</v>
      </c>
      <c r="O12715" s="549"/>
      <c r="P12715" s="549"/>
      <c r="Q12715" s="1511" t="s">
        <v>1581</v>
      </c>
    </row>
    <row r="12716" spans="1:17" ht="17.399999999999999">
      <c r="A12716" s="549"/>
      <c r="B12716" s="549"/>
      <c r="C12716" s="549"/>
      <c r="D12716" s="549"/>
      <c r="E12716" s="549"/>
      <c r="F12716" s="549"/>
      <c r="G12716" s="549" t="s">
        <v>21</v>
      </c>
      <c r="H12716" s="549" t="s">
        <v>130</v>
      </c>
      <c r="I12716" s="558">
        <v>6.17</v>
      </c>
      <c r="J12716" s="567">
        <v>9.1999999999999993</v>
      </c>
      <c r="K12716" s="648">
        <v>105</v>
      </c>
      <c r="L12716" s="552">
        <f t="shared" si="2562"/>
        <v>5.9602199999999996</v>
      </c>
      <c r="M12716" s="549">
        <v>2</v>
      </c>
      <c r="N12716" s="567">
        <f t="shared" ref="N12716:N12726" si="2563">J12716*M12716*I12716/1000</f>
        <v>0.11352799999999999</v>
      </c>
      <c r="O12716" s="549"/>
      <c r="P12716" s="549"/>
    </row>
    <row r="12717" spans="1:17" ht="17.399999999999999">
      <c r="A12717" s="549"/>
      <c r="B12717" s="549"/>
      <c r="C12717" s="549"/>
      <c r="D12717" s="549"/>
      <c r="E12717" s="549"/>
      <c r="F12717" s="549"/>
      <c r="G12717" s="549" t="s">
        <v>21</v>
      </c>
      <c r="H12717" s="549" t="s">
        <v>130</v>
      </c>
      <c r="I12717" s="558">
        <v>6.17</v>
      </c>
      <c r="J12717" s="567">
        <v>9.6999999999999993</v>
      </c>
      <c r="K12717" s="648">
        <v>69</v>
      </c>
      <c r="L12717" s="552">
        <f t="shared" si="2562"/>
        <v>4.1295809999999999</v>
      </c>
      <c r="M12717" s="549">
        <f>1+2</f>
        <v>3</v>
      </c>
      <c r="N12717" s="567">
        <f t="shared" si="2563"/>
        <v>0.17954699999999998</v>
      </c>
      <c r="O12717" s="549"/>
      <c r="P12717" s="549"/>
    </row>
    <row r="12718" spans="1:17" ht="17.399999999999999">
      <c r="A12718" s="549"/>
      <c r="B12718" s="549"/>
      <c r="C12718" s="549"/>
      <c r="D12718" s="549"/>
      <c r="E12718" s="549"/>
      <c r="F12718" s="549"/>
      <c r="G12718" s="549" t="s">
        <v>21</v>
      </c>
      <c r="H12718" s="549" t="s">
        <v>130</v>
      </c>
      <c r="I12718" s="558">
        <v>6.17</v>
      </c>
      <c r="J12718" s="567">
        <v>10.199999999999999</v>
      </c>
      <c r="K12718" s="648">
        <v>56</v>
      </c>
      <c r="L12718" s="552">
        <f t="shared" si="2562"/>
        <v>3.5243039999999999</v>
      </c>
      <c r="M12718" s="549"/>
      <c r="N12718" s="567">
        <f t="shared" si="2563"/>
        <v>0</v>
      </c>
      <c r="O12718" s="549"/>
      <c r="P12718" s="549"/>
    </row>
    <row r="12719" spans="1:17" ht="17.399999999999999">
      <c r="A12719" s="549"/>
      <c r="B12719" s="549"/>
      <c r="C12719" s="549"/>
      <c r="D12719" s="549"/>
      <c r="E12719" s="549"/>
      <c r="F12719" s="549"/>
      <c r="G12719" s="549" t="s">
        <v>21</v>
      </c>
      <c r="H12719" s="549" t="s">
        <v>130</v>
      </c>
      <c r="I12719" s="558">
        <v>6.17</v>
      </c>
      <c r="J12719" s="567">
        <v>10.5</v>
      </c>
      <c r="K12719" s="648">
        <v>52</v>
      </c>
      <c r="L12719" s="552">
        <f t="shared" si="2562"/>
        <v>3.3688199999999999</v>
      </c>
      <c r="M12719" s="549">
        <f>1+3</f>
        <v>4</v>
      </c>
      <c r="N12719" s="567">
        <f t="shared" si="2563"/>
        <v>0.25913999999999998</v>
      </c>
      <c r="O12719" s="549"/>
      <c r="P12719" s="549"/>
    </row>
    <row r="12720" spans="1:17" ht="17.399999999999999">
      <c r="A12720" s="549"/>
      <c r="B12720" s="549"/>
      <c r="C12720" s="549"/>
      <c r="D12720" s="549"/>
      <c r="E12720" s="549"/>
      <c r="F12720" s="549"/>
      <c r="G12720" s="549" t="s">
        <v>21</v>
      </c>
      <c r="H12720" s="549" t="s">
        <v>130</v>
      </c>
      <c r="I12720" s="558">
        <v>6.17</v>
      </c>
      <c r="J12720" s="567">
        <v>10.6</v>
      </c>
      <c r="K12720" s="648">
        <v>56</v>
      </c>
      <c r="L12720" s="552">
        <f t="shared" si="2562"/>
        <v>3.662512</v>
      </c>
      <c r="M12720" s="549"/>
      <c r="N12720" s="567">
        <f t="shared" si="2563"/>
        <v>0</v>
      </c>
      <c r="O12720" s="549"/>
      <c r="P12720" s="549"/>
    </row>
    <row r="12721" spans="1:17" ht="17.399999999999999">
      <c r="A12721" s="549"/>
      <c r="B12721" s="549"/>
      <c r="C12721" s="549"/>
      <c r="D12721" s="549"/>
      <c r="E12721" s="549"/>
      <c r="F12721" s="549"/>
      <c r="G12721" s="549" t="s">
        <v>21</v>
      </c>
      <c r="H12721" s="549" t="s">
        <v>130</v>
      </c>
      <c r="I12721" s="558">
        <v>6.17</v>
      </c>
      <c r="J12721" s="567">
        <v>10.8</v>
      </c>
      <c r="K12721" s="648">
        <v>35</v>
      </c>
      <c r="L12721" s="552">
        <f t="shared" si="2562"/>
        <v>2.3322600000000002</v>
      </c>
      <c r="M12721" s="549"/>
      <c r="N12721" s="567">
        <f t="shared" si="2563"/>
        <v>0</v>
      </c>
      <c r="O12721" s="549"/>
      <c r="P12721" s="549"/>
    </row>
    <row r="12722" spans="1:17" ht="17.399999999999999">
      <c r="A12722" s="549"/>
      <c r="B12722" s="549"/>
      <c r="C12722" s="549"/>
      <c r="D12722" s="549"/>
      <c r="E12722" s="549"/>
      <c r="F12722" s="549"/>
      <c r="G12722" s="549" t="s">
        <v>21</v>
      </c>
      <c r="H12722" s="549" t="s">
        <v>130</v>
      </c>
      <c r="I12722" s="558">
        <v>6.17</v>
      </c>
      <c r="J12722" s="567">
        <v>11</v>
      </c>
      <c r="K12722" s="648">
        <v>36</v>
      </c>
      <c r="L12722" s="552">
        <f t="shared" si="2562"/>
        <v>2.4433200000000004</v>
      </c>
      <c r="M12722" s="549">
        <f>3+4+2+10</f>
        <v>19</v>
      </c>
      <c r="N12722" s="567">
        <f t="shared" si="2563"/>
        <v>1.2895300000000001</v>
      </c>
      <c r="O12722" s="549"/>
      <c r="P12722" s="549"/>
    </row>
    <row r="12723" spans="1:17" ht="17.399999999999999">
      <c r="A12723" s="549"/>
      <c r="B12723" s="549"/>
      <c r="C12723" s="549"/>
      <c r="D12723" s="549"/>
      <c r="E12723" s="549"/>
      <c r="F12723" s="549"/>
      <c r="G12723" s="549" t="s">
        <v>21</v>
      </c>
      <c r="H12723" s="549" t="s">
        <v>130</v>
      </c>
      <c r="I12723" s="558">
        <v>6.17</v>
      </c>
      <c r="J12723" s="567">
        <v>11.5</v>
      </c>
      <c r="K12723" s="648">
        <v>125</v>
      </c>
      <c r="L12723" s="552">
        <f t="shared" si="2562"/>
        <v>8.8693749999999998</v>
      </c>
      <c r="M12723" s="549"/>
      <c r="N12723" s="567">
        <f t="shared" si="2563"/>
        <v>0</v>
      </c>
      <c r="O12723" s="549"/>
      <c r="P12723" s="549"/>
    </row>
    <row r="12724" spans="1:17" ht="17.399999999999999">
      <c r="A12724" s="549"/>
      <c r="B12724" s="549"/>
      <c r="C12724" s="549"/>
      <c r="D12724" s="549"/>
      <c r="E12724" s="549"/>
      <c r="F12724" s="549"/>
      <c r="G12724" s="549" t="s">
        <v>21</v>
      </c>
      <c r="H12724" s="549" t="s">
        <v>130</v>
      </c>
      <c r="I12724" s="558">
        <v>6.17</v>
      </c>
      <c r="J12724" s="567">
        <v>11.7</v>
      </c>
      <c r="K12724" s="648">
        <v>93</v>
      </c>
      <c r="L12724" s="552">
        <f t="shared" si="2562"/>
        <v>6.713576999999999</v>
      </c>
      <c r="M12724" s="549"/>
      <c r="N12724" s="567">
        <f t="shared" si="2563"/>
        <v>0</v>
      </c>
      <c r="O12724" s="549"/>
      <c r="P12724" s="549"/>
    </row>
    <row r="12725" spans="1:17" ht="17.399999999999999">
      <c r="A12725" s="549"/>
      <c r="B12725" s="549"/>
      <c r="C12725" s="549"/>
      <c r="D12725" s="549"/>
      <c r="E12725" s="549"/>
      <c r="F12725" s="549"/>
      <c r="G12725" s="549" t="s">
        <v>21</v>
      </c>
      <c r="H12725" s="549" t="s">
        <v>130</v>
      </c>
      <c r="I12725" s="558">
        <v>6.17</v>
      </c>
      <c r="J12725" s="567">
        <v>11.8</v>
      </c>
      <c r="K12725" s="648">
        <v>39</v>
      </c>
      <c r="L12725" s="552">
        <f t="shared" si="2562"/>
        <v>2.8394339999999998</v>
      </c>
      <c r="M12725" s="549"/>
      <c r="N12725" s="567">
        <f t="shared" si="2563"/>
        <v>0</v>
      </c>
      <c r="O12725" s="549"/>
      <c r="P12725" s="549"/>
    </row>
    <row r="12726" spans="1:17" ht="17.399999999999999">
      <c r="A12726" s="549"/>
      <c r="B12726" s="549"/>
      <c r="C12726" s="549"/>
      <c r="D12726" s="549"/>
      <c r="E12726" s="549"/>
      <c r="F12726" s="549"/>
      <c r="G12726" s="549" t="s">
        <v>21</v>
      </c>
      <c r="H12726" s="549" t="s">
        <v>130</v>
      </c>
      <c r="I12726" s="558">
        <v>6.17</v>
      </c>
      <c r="J12726" s="567">
        <v>12</v>
      </c>
      <c r="K12726" s="648">
        <v>182</v>
      </c>
      <c r="L12726" s="552">
        <f>(I12726*J12726*K12726/1000)</f>
        <v>13.47528</v>
      </c>
      <c r="M12726" s="549">
        <f>1+7</f>
        <v>8</v>
      </c>
      <c r="N12726" s="567">
        <f t="shared" si="2563"/>
        <v>0.59231999999999996</v>
      </c>
      <c r="O12726" s="549"/>
      <c r="P12726" s="549"/>
    </row>
    <row r="12727" spans="1:17" ht="17.399999999999999">
      <c r="A12727" s="549"/>
      <c r="B12727" s="549"/>
      <c r="C12727" s="549"/>
      <c r="D12727" s="549"/>
      <c r="E12727" s="549"/>
      <c r="F12727" s="549"/>
      <c r="G12727" s="549"/>
      <c r="H12727" s="549"/>
      <c r="I12727" s="558"/>
      <c r="J12727" s="567"/>
      <c r="K12727" s="648">
        <f>SUM(K12715:K12726)</f>
        <v>879</v>
      </c>
      <c r="L12727" s="567">
        <f>SUM(L12715:L12726)</f>
        <v>58.848842999999995</v>
      </c>
      <c r="M12727" s="648">
        <f>SUM(M12715:M12726)</f>
        <v>45</v>
      </c>
      <c r="N12727" s="567">
        <f>SUM(N12715:N12726)</f>
        <v>2.8783050000000001</v>
      </c>
      <c r="O12727" s="549"/>
      <c r="P12727" s="549" t="s">
        <v>1515</v>
      </c>
    </row>
    <row r="12728" spans="1:17" s="1511" customFormat="1" ht="17.399999999999999">
      <c r="A12728" s="549"/>
      <c r="B12728" s="549"/>
      <c r="C12728" s="549"/>
      <c r="D12728" s="549"/>
      <c r="E12728" s="549"/>
      <c r="F12728" s="549"/>
      <c r="G12728" s="549"/>
      <c r="H12728" s="549"/>
      <c r="I12728" s="558"/>
      <c r="J12728" s="567"/>
      <c r="K12728" s="648"/>
      <c r="L12728" s="567"/>
      <c r="M12728" s="648"/>
      <c r="N12728" s="567"/>
      <c r="O12728" s="549"/>
      <c r="P12728" s="549"/>
    </row>
    <row r="12729" spans="1:17" s="1511" customFormat="1" ht="17.399999999999999">
      <c r="A12729" s="549"/>
      <c r="B12729" s="549"/>
      <c r="C12729" s="549"/>
      <c r="D12729" s="549"/>
      <c r="E12729" s="549"/>
      <c r="F12729" s="549"/>
      <c r="G12729" s="549"/>
      <c r="H12729" s="549"/>
      <c r="I12729" s="558"/>
      <c r="J12729" s="567"/>
      <c r="K12729" s="648"/>
      <c r="L12729" s="567"/>
      <c r="M12729" s="549"/>
      <c r="N12729" s="549"/>
      <c r="O12729" s="549"/>
      <c r="P12729" s="549"/>
    </row>
    <row r="12730" spans="1:17" ht="17.399999999999999">
      <c r="A12730" s="547" t="s">
        <v>83</v>
      </c>
      <c r="B12730" s="547" t="s">
        <v>1410</v>
      </c>
      <c r="C12730" s="547" t="s">
        <v>19</v>
      </c>
      <c r="D12730" s="813" t="s">
        <v>60</v>
      </c>
      <c r="E12730" s="549" t="s">
        <v>62</v>
      </c>
      <c r="F12730" s="550">
        <v>10</v>
      </c>
      <c r="G12730" s="549" t="s">
        <v>61</v>
      </c>
      <c r="H12730" s="599" t="s">
        <v>130</v>
      </c>
      <c r="I12730" s="558">
        <v>6.17</v>
      </c>
      <c r="J12730" s="567">
        <v>7.4</v>
      </c>
      <c r="K12730" s="648">
        <v>160</v>
      </c>
      <c r="L12730" s="552">
        <f>(I12730*J12730*K12730/1000)</f>
        <v>7.3052800000000007</v>
      </c>
      <c r="M12730" s="549"/>
      <c r="N12730" s="549"/>
      <c r="O12730" s="549"/>
      <c r="P12730" s="549"/>
      <c r="Q12730" s="1511" t="s">
        <v>1582</v>
      </c>
    </row>
    <row r="12731" spans="1:17" ht="17.399999999999999">
      <c r="A12731" s="549"/>
      <c r="B12731" s="728" t="s">
        <v>52</v>
      </c>
      <c r="C12731" s="549"/>
      <c r="D12731" s="549"/>
      <c r="E12731" s="549"/>
      <c r="F12731" s="549"/>
      <c r="G12731" s="549" t="s">
        <v>61</v>
      </c>
      <c r="H12731" s="549" t="s">
        <v>130</v>
      </c>
      <c r="I12731" s="558">
        <v>6.17</v>
      </c>
      <c r="J12731" s="567">
        <v>8.4</v>
      </c>
      <c r="K12731" s="648">
        <v>24</v>
      </c>
      <c r="L12731" s="552">
        <f>(I12731*J12731*K12731/1000)</f>
        <v>1.2438720000000001</v>
      </c>
      <c r="M12731" s="549"/>
      <c r="N12731" s="549"/>
      <c r="O12731" s="549"/>
      <c r="P12731" s="549"/>
    </row>
    <row r="12732" spans="1:17" ht="17.399999999999999">
      <c r="A12732" s="549"/>
      <c r="B12732" s="549"/>
      <c r="C12732" s="549"/>
      <c r="D12732" s="549"/>
      <c r="E12732" s="549"/>
      <c r="F12732" s="549"/>
      <c r="G12732" s="549" t="s">
        <v>61</v>
      </c>
      <c r="H12732" s="549" t="s">
        <v>130</v>
      </c>
      <c r="I12732" s="558">
        <v>6.17</v>
      </c>
      <c r="J12732" s="567">
        <v>11.55</v>
      </c>
      <c r="K12732" s="648">
        <v>112</v>
      </c>
      <c r="L12732" s="552">
        <f>(I12732*J12732*K12732/1000)</f>
        <v>7.9815120000000004</v>
      </c>
      <c r="M12732" s="549"/>
      <c r="N12732" s="549"/>
      <c r="O12732" s="549"/>
      <c r="P12732" s="549"/>
    </row>
    <row r="12733" spans="1:17" ht="17.399999999999999">
      <c r="A12733" s="549"/>
      <c r="B12733" s="549"/>
      <c r="C12733" s="549"/>
      <c r="D12733" s="549"/>
      <c r="E12733" s="549"/>
      <c r="F12733" s="549"/>
      <c r="G12733" s="549"/>
      <c r="H12733" s="549"/>
      <c r="I12733" s="558"/>
      <c r="J12733" s="567"/>
      <c r="K12733" s="648">
        <f t="shared" ref="K12733:L12733" si="2564">SUM(K12730:K12732)</f>
        <v>296</v>
      </c>
      <c r="L12733" s="567">
        <f t="shared" si="2564"/>
        <v>16.530664000000002</v>
      </c>
      <c r="M12733" s="549"/>
      <c r="N12733" s="549"/>
      <c r="O12733" s="549"/>
      <c r="P12733" s="549"/>
    </row>
    <row r="12734" spans="1:17" s="1511" customFormat="1" ht="17.399999999999999">
      <c r="A12734" s="549"/>
      <c r="B12734" s="549"/>
      <c r="C12734" s="549"/>
      <c r="D12734" s="549"/>
      <c r="E12734" s="549"/>
      <c r="F12734" s="549"/>
      <c r="G12734" s="549"/>
      <c r="H12734" s="549"/>
      <c r="I12734" s="558"/>
      <c r="J12734" s="567"/>
      <c r="K12734" s="648"/>
      <c r="L12734" s="567"/>
      <c r="M12734" s="549"/>
      <c r="N12734" s="549"/>
      <c r="O12734" s="549"/>
      <c r="P12734" s="549"/>
    </row>
    <row r="12735" spans="1:17" ht="17.399999999999999">
      <c r="A12735" s="547" t="s">
        <v>83</v>
      </c>
      <c r="B12735" s="547" t="s">
        <v>1455</v>
      </c>
      <c r="C12735" s="547" t="s">
        <v>19</v>
      </c>
      <c r="D12735" s="813" t="s">
        <v>60</v>
      </c>
      <c r="E12735" s="549" t="s">
        <v>62</v>
      </c>
      <c r="F12735" s="550">
        <v>10</v>
      </c>
      <c r="G12735" s="549" t="s">
        <v>61</v>
      </c>
      <c r="H12735" s="599" t="s">
        <v>130</v>
      </c>
      <c r="I12735" s="558">
        <v>6.17</v>
      </c>
      <c r="J12735" s="567">
        <v>7.4</v>
      </c>
      <c r="K12735" s="648">
        <v>388</v>
      </c>
      <c r="L12735" s="552">
        <f>(I12735*J12735*K12735/1000)</f>
        <v>17.715304</v>
      </c>
      <c r="M12735" s="549"/>
      <c r="N12735" s="549"/>
      <c r="O12735" s="549"/>
      <c r="P12735" s="549"/>
      <c r="Q12735" s="1511" t="s">
        <v>1582</v>
      </c>
    </row>
    <row r="12736" spans="1:17" ht="17.399999999999999">
      <c r="A12736" s="549"/>
      <c r="B12736" s="728" t="s">
        <v>52</v>
      </c>
      <c r="C12736" s="549"/>
      <c r="D12736" s="549"/>
      <c r="E12736" s="549"/>
      <c r="F12736" s="549"/>
      <c r="G12736" s="549"/>
      <c r="H12736" s="549"/>
      <c r="I12736" s="558"/>
      <c r="J12736" s="567"/>
      <c r="K12736" s="648">
        <f t="shared" ref="K12736:L12736" si="2565">SUM(K12735)</f>
        <v>388</v>
      </c>
      <c r="L12736" s="567">
        <f t="shared" si="2565"/>
        <v>17.715304</v>
      </c>
      <c r="M12736" s="549"/>
      <c r="N12736" s="549"/>
      <c r="O12736" s="549"/>
      <c r="P12736" s="549"/>
    </row>
    <row r="12737" spans="1:17" s="1511" customFormat="1" ht="17.399999999999999">
      <c r="A12737" s="549"/>
      <c r="B12737" s="728"/>
      <c r="C12737" s="549"/>
      <c r="D12737" s="549"/>
      <c r="E12737" s="549"/>
      <c r="F12737" s="549"/>
      <c r="G12737" s="549"/>
      <c r="H12737" s="549"/>
      <c r="I12737" s="558"/>
      <c r="J12737" s="567"/>
      <c r="K12737" s="648">
        <f>SUM(K12730:K12736)/2</f>
        <v>684</v>
      </c>
      <c r="L12737" s="567">
        <f>SUM(L12730:L12736)/2</f>
        <v>34.245968000000005</v>
      </c>
      <c r="M12737" s="648">
        <f>SUM(M12730:M12736)/2</f>
        <v>0</v>
      </c>
      <c r="N12737" s="567">
        <f>SUM(N12730:N12736)/2</f>
        <v>0</v>
      </c>
      <c r="O12737" s="549"/>
      <c r="P12737" s="549" t="s">
        <v>1516</v>
      </c>
    </row>
    <row r="12738" spans="1:17" s="1511" customFormat="1" ht="17.399999999999999">
      <c r="A12738" s="549"/>
      <c r="B12738" s="728"/>
      <c r="C12738" s="549"/>
      <c r="D12738" s="549"/>
      <c r="E12738" s="549"/>
      <c r="F12738" s="549"/>
      <c r="G12738" s="549"/>
      <c r="H12738" s="549"/>
      <c r="I12738" s="558"/>
      <c r="J12738" s="567"/>
      <c r="K12738" s="648"/>
      <c r="L12738" s="567"/>
      <c r="M12738" s="549"/>
      <c r="N12738" s="549"/>
      <c r="O12738" s="549"/>
      <c r="P12738" s="549"/>
    </row>
    <row r="12739" spans="1:17" ht="17.399999999999999">
      <c r="A12739" s="549"/>
      <c r="B12739" s="549"/>
      <c r="C12739" s="549"/>
      <c r="D12739" s="549"/>
      <c r="E12739" s="549"/>
      <c r="F12739" s="549"/>
      <c r="G12739" s="549"/>
      <c r="H12739" s="549"/>
      <c r="I12739" s="558"/>
      <c r="J12739" s="549"/>
      <c r="K12739" s="561"/>
      <c r="L12739" s="560"/>
      <c r="M12739" s="549"/>
      <c r="N12739" s="549"/>
      <c r="O12739" s="549"/>
      <c r="P12739" s="549"/>
    </row>
    <row r="12740" spans="1:17" ht="17.399999999999999">
      <c r="A12740" s="547" t="s">
        <v>83</v>
      </c>
      <c r="B12740" s="547" t="s">
        <v>1410</v>
      </c>
      <c r="C12740" s="547" t="s">
        <v>19</v>
      </c>
      <c r="D12740" s="813" t="s">
        <v>60</v>
      </c>
      <c r="E12740" s="549" t="s">
        <v>62</v>
      </c>
      <c r="F12740" s="550">
        <v>10</v>
      </c>
      <c r="G12740" s="549" t="s">
        <v>61</v>
      </c>
      <c r="H12740" s="599" t="s">
        <v>131</v>
      </c>
      <c r="I12740" s="558">
        <v>7.34</v>
      </c>
      <c r="J12740" s="567">
        <v>7.55</v>
      </c>
      <c r="K12740" s="648">
        <v>164</v>
      </c>
      <c r="L12740" s="552">
        <f>(I12740*J12740*K12740/1000)</f>
        <v>9.0883879999999984</v>
      </c>
      <c r="M12740" s="549"/>
      <c r="N12740" s="549"/>
      <c r="O12740" s="549"/>
      <c r="P12740" s="549"/>
      <c r="Q12740" s="1511" t="s">
        <v>1582</v>
      </c>
    </row>
    <row r="12741" spans="1:17" ht="17.399999999999999">
      <c r="A12741" s="549"/>
      <c r="B12741" s="728" t="s">
        <v>52</v>
      </c>
      <c r="C12741" s="549"/>
      <c r="D12741" s="549"/>
      <c r="E12741" s="549"/>
      <c r="F12741" s="549"/>
      <c r="G12741" s="549" t="s">
        <v>61</v>
      </c>
      <c r="H12741" s="549" t="s">
        <v>131</v>
      </c>
      <c r="I12741" s="558">
        <v>7.34</v>
      </c>
      <c r="J12741" s="567">
        <v>10.15</v>
      </c>
      <c r="K12741" s="648">
        <v>80</v>
      </c>
      <c r="L12741" s="552">
        <f>(I12741*J12741*K12741/1000)</f>
        <v>5.9600799999999996</v>
      </c>
      <c r="M12741" s="549"/>
      <c r="N12741" s="549"/>
      <c r="O12741" s="549"/>
      <c r="P12741" s="549"/>
    </row>
    <row r="12742" spans="1:17" ht="17.399999999999999">
      <c r="A12742" s="549"/>
      <c r="B12742" s="549"/>
      <c r="C12742" s="549"/>
      <c r="D12742" s="549"/>
      <c r="E12742" s="549"/>
      <c r="F12742" s="549"/>
      <c r="G12742" s="549"/>
      <c r="H12742" s="549"/>
      <c r="I12742" s="558"/>
      <c r="J12742" s="567"/>
      <c r="K12742" s="648">
        <f t="shared" ref="K12742:L12742" si="2566">SUM(K12740:K12741)</f>
        <v>244</v>
      </c>
      <c r="L12742" s="567">
        <f t="shared" si="2566"/>
        <v>15.048467999999998</v>
      </c>
      <c r="M12742" s="549"/>
      <c r="N12742" s="549"/>
      <c r="O12742" s="549"/>
      <c r="P12742" s="549" t="s">
        <v>1517</v>
      </c>
    </row>
    <row r="12743" spans="1:17" s="1511" customFormat="1" ht="17.399999999999999">
      <c r="A12743" s="549"/>
      <c r="B12743" s="549"/>
      <c r="C12743" s="549"/>
      <c r="D12743" s="549"/>
      <c r="E12743" s="549"/>
      <c r="F12743" s="549"/>
      <c r="G12743" s="549"/>
      <c r="H12743" s="549"/>
      <c r="I12743" s="558"/>
      <c r="J12743" s="567"/>
      <c r="K12743" s="648"/>
      <c r="L12743" s="567"/>
      <c r="M12743" s="549"/>
      <c r="N12743" s="549"/>
      <c r="O12743" s="549"/>
      <c r="P12743" s="549"/>
    </row>
    <row r="12744" spans="1:17" ht="17.399999999999999">
      <c r="A12744" s="547" t="s">
        <v>83</v>
      </c>
      <c r="B12744" s="547" t="s">
        <v>1456</v>
      </c>
      <c r="C12744" s="547" t="s">
        <v>19</v>
      </c>
      <c r="D12744" s="813" t="s">
        <v>60</v>
      </c>
      <c r="E12744" s="547" t="s">
        <v>270</v>
      </c>
      <c r="F12744" s="550">
        <v>10</v>
      </c>
      <c r="G12744" s="549" t="s">
        <v>61</v>
      </c>
      <c r="H12744" s="599" t="s">
        <v>131</v>
      </c>
      <c r="I12744" s="558">
        <v>7.36</v>
      </c>
      <c r="J12744" s="567">
        <v>12</v>
      </c>
      <c r="K12744" s="648">
        <v>23</v>
      </c>
      <c r="L12744" s="552">
        <f>(I12744*J12744*K12744/1000)</f>
        <v>2.0313600000000003</v>
      </c>
      <c r="M12744" s="549">
        <v>8</v>
      </c>
      <c r="N12744" s="567">
        <f t="shared" ref="N12744" si="2567">J12744*M12744*I12744/1000</f>
        <v>0.70656000000000008</v>
      </c>
      <c r="O12744" s="549"/>
      <c r="P12744" s="549"/>
      <c r="Q12744" s="1511" t="s">
        <v>1582</v>
      </c>
    </row>
    <row r="12745" spans="1:17" ht="17.399999999999999">
      <c r="A12745" s="549"/>
      <c r="B12745" s="769" t="s">
        <v>1457</v>
      </c>
      <c r="C12745" s="549"/>
      <c r="D12745" s="549"/>
      <c r="E12745" s="549"/>
      <c r="F12745" s="549"/>
      <c r="G12745" s="549"/>
      <c r="H12745" s="549"/>
      <c r="I12745" s="558"/>
      <c r="J12745" s="567"/>
      <c r="K12745" s="648">
        <f>SUM(K12744)</f>
        <v>23</v>
      </c>
      <c r="L12745" s="567">
        <f>SUM(L12744)</f>
        <v>2.0313600000000003</v>
      </c>
      <c r="M12745" s="648">
        <f>SUM(M12744)</f>
        <v>8</v>
      </c>
      <c r="N12745" s="567">
        <f>SUM(N12744)</f>
        <v>0.70656000000000008</v>
      </c>
      <c r="O12745" s="549"/>
      <c r="P12745" s="549" t="s">
        <v>1518</v>
      </c>
    </row>
    <row r="12746" spans="1:17" s="1511" customFormat="1" ht="17.399999999999999">
      <c r="A12746" s="549"/>
      <c r="B12746" s="769"/>
      <c r="C12746" s="549"/>
      <c r="D12746" s="549"/>
      <c r="E12746" s="549"/>
      <c r="F12746" s="549"/>
      <c r="G12746" s="549"/>
      <c r="H12746" s="549"/>
      <c r="I12746" s="558"/>
      <c r="J12746" s="567"/>
      <c r="K12746" s="648"/>
      <c r="L12746" s="567"/>
      <c r="M12746" s="549"/>
      <c r="N12746" s="549"/>
      <c r="O12746" s="549"/>
      <c r="P12746" s="549"/>
    </row>
    <row r="12747" spans="1:17" ht="17.399999999999999">
      <c r="A12747" s="547" t="s">
        <v>83</v>
      </c>
      <c r="B12747" s="547" t="s">
        <v>1455</v>
      </c>
      <c r="C12747" s="547" t="s">
        <v>19</v>
      </c>
      <c r="D12747" s="813" t="s">
        <v>60</v>
      </c>
      <c r="E12747" s="549" t="s">
        <v>62</v>
      </c>
      <c r="F12747" s="550">
        <v>10</v>
      </c>
      <c r="G12747" s="549" t="s">
        <v>61</v>
      </c>
      <c r="H12747" s="599" t="s">
        <v>131</v>
      </c>
      <c r="I12747" s="558">
        <v>7.34</v>
      </c>
      <c r="J12747" s="567">
        <v>7.55</v>
      </c>
      <c r="K12747" s="648">
        <v>388</v>
      </c>
      <c r="L12747" s="552">
        <f t="shared" ref="L12747" si="2568">(I12747*J12747*K12747/1000)</f>
        <v>21.501795999999999</v>
      </c>
      <c r="M12747" s="549">
        <f>20+1</f>
        <v>21</v>
      </c>
      <c r="N12747" s="567">
        <f t="shared" ref="N12747:N12748" si="2569">J12747*M12747*I12747/1000</f>
        <v>1.1637569999999999</v>
      </c>
      <c r="O12747" s="549"/>
      <c r="P12747" s="549"/>
      <c r="Q12747" s="1511" t="s">
        <v>1582</v>
      </c>
    </row>
    <row r="12748" spans="1:17" ht="17.399999999999999">
      <c r="A12748" s="549"/>
      <c r="B12748" s="728" t="s">
        <v>52</v>
      </c>
      <c r="C12748" s="549"/>
      <c r="D12748" s="549"/>
      <c r="E12748" s="549"/>
      <c r="F12748" s="549"/>
      <c r="G12748" s="549" t="s">
        <v>61</v>
      </c>
      <c r="H12748" s="549" t="s">
        <v>131</v>
      </c>
      <c r="I12748" s="558">
        <v>7.34</v>
      </c>
      <c r="J12748" s="567">
        <v>10.15</v>
      </c>
      <c r="K12748" s="648">
        <v>194</v>
      </c>
      <c r="L12748" s="552">
        <f>(I12748*J12748*K12748/1000)</f>
        <v>14.453194000000002</v>
      </c>
      <c r="M12748" s="549">
        <f>1+2+3+1</f>
        <v>7</v>
      </c>
      <c r="N12748" s="567">
        <f t="shared" si="2569"/>
        <v>0.52150699999999994</v>
      </c>
      <c r="O12748" s="549"/>
      <c r="P12748" s="549"/>
    </row>
    <row r="12749" spans="1:17" ht="17.399999999999999">
      <c r="A12749" s="549"/>
      <c r="B12749" s="549"/>
      <c r="C12749" s="549"/>
      <c r="D12749" s="549"/>
      <c r="E12749" s="549"/>
      <c r="F12749" s="549"/>
      <c r="G12749" s="549"/>
      <c r="H12749" s="549"/>
      <c r="I12749" s="558"/>
      <c r="J12749" s="567"/>
      <c r="K12749" s="648">
        <f>SUM(K12747:K12748)</f>
        <v>582</v>
      </c>
      <c r="L12749" s="567">
        <f>SUM(L12747:L12748)</f>
        <v>35.954990000000002</v>
      </c>
      <c r="M12749" s="648">
        <f>SUM(M12747:M12748)</f>
        <v>28</v>
      </c>
      <c r="N12749" s="567">
        <f>SUM(N12747:N12748)</f>
        <v>1.6852639999999999</v>
      </c>
      <c r="O12749" s="549"/>
      <c r="P12749" s="549" t="s">
        <v>1517</v>
      </c>
    </row>
    <row r="12750" spans="1:17" s="1511" customFormat="1" ht="17.399999999999999">
      <c r="A12750" s="549"/>
      <c r="B12750" s="549"/>
      <c r="C12750" s="549"/>
      <c r="D12750" s="549"/>
      <c r="E12750" s="549"/>
      <c r="F12750" s="549"/>
      <c r="G12750" s="549"/>
      <c r="H12750" s="549"/>
      <c r="I12750" s="558"/>
      <c r="J12750" s="567"/>
      <c r="K12750" s="648">
        <f>SUM(K12740:K12749)/2</f>
        <v>849</v>
      </c>
      <c r="L12750" s="567">
        <f>SUM(L12740:L12749)/2</f>
        <v>53.034818000000001</v>
      </c>
      <c r="M12750" s="648">
        <f>SUM(M12740:M12749)/2</f>
        <v>36</v>
      </c>
      <c r="N12750" s="567">
        <f>SUM(N12740:N12749)/2</f>
        <v>2.3918240000000002</v>
      </c>
      <c r="O12750" s="549"/>
      <c r="P12750" s="549"/>
    </row>
    <row r="12751" spans="1:17" s="1511" customFormat="1" ht="17.399999999999999">
      <c r="A12751" s="549"/>
      <c r="B12751" s="549"/>
      <c r="C12751" s="549"/>
      <c r="D12751" s="549"/>
      <c r="E12751" s="549"/>
      <c r="F12751" s="549"/>
      <c r="G12751" s="549"/>
      <c r="H12751" s="549"/>
      <c r="I12751" s="558"/>
      <c r="J12751" s="567"/>
      <c r="K12751" s="648"/>
      <c r="L12751" s="567"/>
      <c r="M12751" s="648"/>
      <c r="N12751" s="567"/>
      <c r="O12751" s="549"/>
      <c r="P12751" s="549"/>
    </row>
    <row r="12752" spans="1:17" s="1511" customFormat="1" ht="17.399999999999999">
      <c r="A12752" s="549"/>
      <c r="B12752" s="549"/>
      <c r="C12752" s="549"/>
      <c r="D12752" s="549"/>
      <c r="E12752" s="549"/>
      <c r="F12752" s="549"/>
      <c r="G12752" s="549"/>
      <c r="H12752" s="549"/>
      <c r="I12752" s="558"/>
      <c r="J12752" s="567"/>
      <c r="K12752" s="648"/>
      <c r="L12752" s="567"/>
      <c r="M12752" s="549"/>
      <c r="N12752" s="549"/>
      <c r="O12752" s="549"/>
      <c r="P12752" s="549"/>
    </row>
    <row r="12753" spans="1:17" ht="17.399999999999999">
      <c r="A12753" s="547" t="s">
        <v>83</v>
      </c>
      <c r="B12753" s="547" t="s">
        <v>1360</v>
      </c>
      <c r="C12753" s="547" t="s">
        <v>446</v>
      </c>
      <c r="D12753" s="813" t="s">
        <v>450</v>
      </c>
      <c r="E12753" s="547" t="s">
        <v>270</v>
      </c>
      <c r="F12753" s="550">
        <v>10</v>
      </c>
      <c r="G12753" s="549" t="s">
        <v>61</v>
      </c>
      <c r="H12753" s="599" t="s">
        <v>130</v>
      </c>
      <c r="I12753" s="558">
        <v>6.17</v>
      </c>
      <c r="J12753" s="567">
        <v>7</v>
      </c>
      <c r="K12753" s="648">
        <v>4</v>
      </c>
      <c r="L12753" s="552">
        <f>(I12753*J12753*K12753/1000)</f>
        <v>0.17276</v>
      </c>
      <c r="M12753" s="549"/>
      <c r="N12753" s="549"/>
      <c r="O12753" s="549"/>
      <c r="P12753" s="549"/>
      <c r="Q12753" s="1511" t="s">
        <v>1582</v>
      </c>
    </row>
    <row r="12754" spans="1:17" ht="17.399999999999999">
      <c r="A12754" s="549"/>
      <c r="B12754" s="549"/>
      <c r="C12754" s="549"/>
      <c r="D12754" s="549"/>
      <c r="E12754" s="549"/>
      <c r="F12754" s="549"/>
      <c r="G12754" s="549" t="s">
        <v>61</v>
      </c>
      <c r="H12754" s="549" t="s">
        <v>130</v>
      </c>
      <c r="I12754" s="558">
        <v>6.17</v>
      </c>
      <c r="J12754" s="567">
        <v>10.25</v>
      </c>
      <c r="K12754" s="648">
        <v>10</v>
      </c>
      <c r="L12754" s="552">
        <f>(I12754*J12754*K12754/1000)</f>
        <v>0.6324249999999999</v>
      </c>
      <c r="M12754" s="549"/>
      <c r="N12754" s="549"/>
      <c r="O12754" s="549"/>
      <c r="P12754" s="549"/>
    </row>
    <row r="12755" spans="1:17" ht="17.399999999999999">
      <c r="A12755" s="549"/>
      <c r="B12755" s="549"/>
      <c r="C12755" s="549"/>
      <c r="D12755" s="549"/>
      <c r="E12755" s="549"/>
      <c r="F12755" s="549"/>
      <c r="G12755" s="549" t="s">
        <v>61</v>
      </c>
      <c r="H12755" s="549" t="s">
        <v>130</v>
      </c>
      <c r="I12755" s="558">
        <v>6.17</v>
      </c>
      <c r="J12755" s="567">
        <v>10.5</v>
      </c>
      <c r="K12755" s="648">
        <v>4</v>
      </c>
      <c r="L12755" s="552">
        <f>(I12755*J12755*K12755/1000)</f>
        <v>0.25913999999999998</v>
      </c>
      <c r="M12755" s="549"/>
      <c r="N12755" s="549"/>
      <c r="O12755" s="549"/>
      <c r="P12755" s="549"/>
    </row>
    <row r="12756" spans="1:17" ht="17.399999999999999">
      <c r="A12756" s="549"/>
      <c r="B12756" s="549"/>
      <c r="C12756" s="549"/>
      <c r="D12756" s="549"/>
      <c r="E12756" s="549"/>
      <c r="F12756" s="549"/>
      <c r="G12756" s="549"/>
      <c r="H12756" s="549"/>
      <c r="I12756" s="558"/>
      <c r="J12756" s="567"/>
      <c r="K12756" s="648">
        <f t="shared" ref="K12756:M12756" si="2570">SUM(K12753:K12755)</f>
        <v>18</v>
      </c>
      <c r="L12756" s="567">
        <f>SUM(L12753:L12755)</f>
        <v>1.064325</v>
      </c>
      <c r="M12756" s="648">
        <f t="shared" si="2570"/>
        <v>0</v>
      </c>
      <c r="N12756" s="567">
        <f>SUM(N12753:N12755)</f>
        <v>0</v>
      </c>
      <c r="O12756" s="549"/>
      <c r="P12756" s="549" t="s">
        <v>1519</v>
      </c>
    </row>
    <row r="12757" spans="1:17" s="1511" customFormat="1" ht="17.399999999999999">
      <c r="A12757" s="549"/>
      <c r="B12757" s="549"/>
      <c r="C12757" s="549"/>
      <c r="D12757" s="549"/>
      <c r="E12757" s="549"/>
      <c r="F12757" s="549"/>
      <c r="G12757" s="549"/>
      <c r="H12757" s="549"/>
      <c r="I12757" s="558"/>
      <c r="J12757" s="567"/>
      <c r="K12757" s="648"/>
      <c r="L12757" s="567"/>
      <c r="M12757" s="549"/>
      <c r="N12757" s="549"/>
      <c r="O12757" s="549"/>
      <c r="P12757" s="549"/>
    </row>
    <row r="12758" spans="1:17" s="1511" customFormat="1" ht="17.399999999999999">
      <c r="A12758" s="549"/>
      <c r="B12758" s="549"/>
      <c r="C12758" s="549"/>
      <c r="D12758" s="549"/>
      <c r="E12758" s="549"/>
      <c r="F12758" s="549"/>
      <c r="G12758" s="549"/>
      <c r="H12758" s="549"/>
      <c r="I12758" s="558"/>
      <c r="J12758" s="567"/>
      <c r="K12758" s="648"/>
      <c r="L12758" s="567"/>
      <c r="M12758" s="549"/>
      <c r="N12758" s="549"/>
      <c r="O12758" s="549"/>
      <c r="P12758" s="549"/>
    </row>
    <row r="12759" spans="1:17" ht="17.399999999999999">
      <c r="A12759" s="547" t="s">
        <v>395</v>
      </c>
      <c r="B12759" s="547" t="s">
        <v>1363</v>
      </c>
      <c r="C12759" s="547" t="s">
        <v>446</v>
      </c>
      <c r="D12759" s="813" t="s">
        <v>450</v>
      </c>
      <c r="E12759" s="547" t="s">
        <v>270</v>
      </c>
      <c r="F12759" s="550">
        <v>10</v>
      </c>
      <c r="G12759" s="549" t="s">
        <v>61</v>
      </c>
      <c r="H12759" s="599" t="s">
        <v>131</v>
      </c>
      <c r="I12759" s="558">
        <v>7.36</v>
      </c>
      <c r="J12759" s="567">
        <v>8</v>
      </c>
      <c r="K12759" s="648">
        <v>8</v>
      </c>
      <c r="L12759" s="552">
        <f t="shared" ref="L12759:L12761" si="2571">(I12759*J12759*K12759/1000)</f>
        <v>0.47104000000000001</v>
      </c>
      <c r="M12759" s="549"/>
      <c r="N12759" s="549"/>
      <c r="O12759" s="549"/>
      <c r="P12759" s="549"/>
      <c r="Q12759" s="1511" t="s">
        <v>1582</v>
      </c>
    </row>
    <row r="12760" spans="1:17" ht="17.399999999999999">
      <c r="A12760" s="549"/>
      <c r="B12760" s="549"/>
      <c r="C12760" s="549"/>
      <c r="D12760" s="549"/>
      <c r="E12760" s="549"/>
      <c r="F12760" s="549"/>
      <c r="G12760" s="549" t="s">
        <v>61</v>
      </c>
      <c r="H12760" s="549" t="s">
        <v>131</v>
      </c>
      <c r="I12760" s="558">
        <v>7.36</v>
      </c>
      <c r="J12760" s="567">
        <v>9</v>
      </c>
      <c r="K12760" s="648">
        <v>16</v>
      </c>
      <c r="L12760" s="552">
        <f t="shared" si="2571"/>
        <v>1.0598400000000001</v>
      </c>
      <c r="M12760" s="549"/>
      <c r="N12760" s="549"/>
      <c r="O12760" s="549"/>
      <c r="P12760" s="549"/>
    </row>
    <row r="12761" spans="1:17" ht="17.399999999999999">
      <c r="A12761" s="549"/>
      <c r="B12761" s="549"/>
      <c r="C12761" s="549"/>
      <c r="D12761" s="549"/>
      <c r="E12761" s="549"/>
      <c r="F12761" s="549"/>
      <c r="G12761" s="549" t="s">
        <v>61</v>
      </c>
      <c r="H12761" s="549" t="s">
        <v>131</v>
      </c>
      <c r="I12761" s="558">
        <v>7.36</v>
      </c>
      <c r="J12761" s="567">
        <v>12</v>
      </c>
      <c r="K12761" s="648">
        <v>6</v>
      </c>
      <c r="L12761" s="552">
        <f t="shared" si="2571"/>
        <v>0.52992000000000006</v>
      </c>
      <c r="M12761" s="549"/>
      <c r="N12761" s="549"/>
      <c r="O12761" s="549"/>
      <c r="P12761" s="549"/>
    </row>
    <row r="12762" spans="1:17" ht="17.399999999999999">
      <c r="A12762" s="549"/>
      <c r="B12762" s="549"/>
      <c r="C12762" s="549"/>
      <c r="D12762" s="549"/>
      <c r="E12762" s="549"/>
      <c r="F12762" s="549"/>
      <c r="G12762" s="549"/>
      <c r="H12762" s="549"/>
      <c r="I12762" s="558"/>
      <c r="J12762" s="567"/>
      <c r="K12762" s="648">
        <f t="shared" ref="K12762" si="2572">SUM(K12759:K12761)</f>
        <v>30</v>
      </c>
      <c r="L12762" s="567">
        <f t="shared" ref="L12762" si="2573">SUM(L12759:L12761)</f>
        <v>2.0608000000000004</v>
      </c>
      <c r="M12762" s="549"/>
      <c r="N12762" s="549"/>
      <c r="O12762" s="549"/>
      <c r="P12762" s="549"/>
    </row>
    <row r="12763" spans="1:17" ht="17.399999999999999">
      <c r="A12763" s="549"/>
      <c r="B12763" s="549"/>
      <c r="C12763" s="549"/>
      <c r="D12763" s="549"/>
      <c r="E12763" s="549"/>
      <c r="F12763" s="549"/>
      <c r="G12763" s="549"/>
      <c r="H12763" s="549"/>
      <c r="I12763" s="558"/>
      <c r="J12763" s="549"/>
      <c r="K12763" s="561"/>
      <c r="L12763" s="560"/>
      <c r="M12763" s="549"/>
      <c r="N12763" s="549"/>
      <c r="O12763" s="549"/>
      <c r="P12763" s="549"/>
    </row>
    <row r="12764" spans="1:17" ht="17.399999999999999">
      <c r="A12764" s="547" t="s">
        <v>395</v>
      </c>
      <c r="B12764" s="547" t="s">
        <v>1361</v>
      </c>
      <c r="C12764" s="547" t="s">
        <v>446</v>
      </c>
      <c r="D12764" s="813" t="s">
        <v>450</v>
      </c>
      <c r="E12764" s="547" t="s">
        <v>270</v>
      </c>
      <c r="F12764" s="550">
        <v>10</v>
      </c>
      <c r="G12764" s="549" t="s">
        <v>61</v>
      </c>
      <c r="H12764" s="599" t="s">
        <v>131</v>
      </c>
      <c r="I12764" s="558">
        <v>7.36</v>
      </c>
      <c r="J12764" s="567">
        <v>8</v>
      </c>
      <c r="K12764" s="648">
        <v>6</v>
      </c>
      <c r="L12764" s="552">
        <f t="shared" ref="L12764:L12768" si="2574">(I12764*J12764*K12764/1000)</f>
        <v>0.35328000000000004</v>
      </c>
      <c r="M12764" s="549"/>
      <c r="N12764" s="549"/>
      <c r="O12764" s="549"/>
      <c r="P12764" s="549"/>
      <c r="Q12764" s="1511" t="s">
        <v>1582</v>
      </c>
    </row>
    <row r="12765" spans="1:17" ht="17.399999999999999">
      <c r="A12765" s="549"/>
      <c r="B12765" s="549"/>
      <c r="C12765" s="549"/>
      <c r="D12765" s="549"/>
      <c r="E12765" s="549"/>
      <c r="F12765" s="549"/>
      <c r="G12765" s="549" t="s">
        <v>61</v>
      </c>
      <c r="H12765" s="549" t="s">
        <v>131</v>
      </c>
      <c r="I12765" s="558">
        <v>7.36</v>
      </c>
      <c r="J12765" s="567">
        <v>9</v>
      </c>
      <c r="K12765" s="648">
        <v>8</v>
      </c>
      <c r="L12765" s="552">
        <f t="shared" si="2574"/>
        <v>0.52992000000000006</v>
      </c>
      <c r="M12765" s="549"/>
      <c r="N12765" s="549"/>
      <c r="O12765" s="549"/>
      <c r="P12765" s="549"/>
    </row>
    <row r="12766" spans="1:17" ht="17.399999999999999">
      <c r="A12766" s="549"/>
      <c r="B12766" s="549"/>
      <c r="C12766" s="549"/>
      <c r="D12766" s="549"/>
      <c r="E12766" s="549"/>
      <c r="F12766" s="549"/>
      <c r="G12766" s="549" t="s">
        <v>61</v>
      </c>
      <c r="H12766" s="549" t="s">
        <v>131</v>
      </c>
      <c r="I12766" s="558">
        <v>7.36</v>
      </c>
      <c r="J12766" s="567">
        <v>10</v>
      </c>
      <c r="K12766" s="648">
        <v>14</v>
      </c>
      <c r="L12766" s="552">
        <f t="shared" si="2574"/>
        <v>1.0304</v>
      </c>
      <c r="M12766" s="549"/>
      <c r="N12766" s="549"/>
      <c r="O12766" s="549"/>
      <c r="P12766" s="549"/>
    </row>
    <row r="12767" spans="1:17" ht="17.399999999999999">
      <c r="A12767" s="549"/>
      <c r="B12767" s="549"/>
      <c r="C12767" s="549"/>
      <c r="D12767" s="549"/>
      <c r="E12767" s="549"/>
      <c r="F12767" s="549"/>
      <c r="G12767" s="549" t="s">
        <v>61</v>
      </c>
      <c r="H12767" s="549" t="s">
        <v>131</v>
      </c>
      <c r="I12767" s="558">
        <v>7.36</v>
      </c>
      <c r="J12767" s="567">
        <v>11.5</v>
      </c>
      <c r="K12767" s="648">
        <v>18</v>
      </c>
      <c r="L12767" s="552">
        <f t="shared" si="2574"/>
        <v>1.52352</v>
      </c>
      <c r="M12767" s="549"/>
      <c r="N12767" s="549"/>
      <c r="O12767" s="549"/>
      <c r="P12767" s="549"/>
    </row>
    <row r="12768" spans="1:17" ht="17.399999999999999">
      <c r="A12768" s="549"/>
      <c r="B12768" s="549"/>
      <c r="C12768" s="549"/>
      <c r="D12768" s="549"/>
      <c r="E12768" s="549"/>
      <c r="F12768" s="549"/>
      <c r="G12768" s="549" t="s">
        <v>61</v>
      </c>
      <c r="H12768" s="549" t="s">
        <v>131</v>
      </c>
      <c r="I12768" s="558">
        <v>7.36</v>
      </c>
      <c r="J12768" s="567">
        <v>12</v>
      </c>
      <c r="K12768" s="648">
        <v>24</v>
      </c>
      <c r="L12768" s="552">
        <f t="shared" si="2574"/>
        <v>2.1196800000000002</v>
      </c>
      <c r="M12768" s="549"/>
      <c r="N12768" s="549"/>
      <c r="O12768" s="549"/>
      <c r="P12768" s="549"/>
    </row>
    <row r="12769" spans="1:17" ht="17.399999999999999">
      <c r="A12769" s="549"/>
      <c r="B12769" s="549"/>
      <c r="C12769" s="549"/>
      <c r="D12769" s="549"/>
      <c r="E12769" s="549"/>
      <c r="F12769" s="549"/>
      <c r="G12769" s="549"/>
      <c r="H12769" s="549"/>
      <c r="I12769" s="558"/>
      <c r="J12769" s="567"/>
      <c r="K12769" s="648">
        <f t="shared" ref="K12769" si="2575">SUM(K12764:K12768)</f>
        <v>70</v>
      </c>
      <c r="L12769" s="567">
        <f t="shared" ref="L12769" si="2576">SUM(L12764:L12768)</f>
        <v>5.5568000000000008</v>
      </c>
      <c r="M12769" s="549"/>
      <c r="N12769" s="549"/>
      <c r="O12769" s="549"/>
      <c r="P12769" s="549"/>
    </row>
    <row r="12770" spans="1:17" ht="17.399999999999999">
      <c r="A12770" s="549"/>
      <c r="B12770" s="549"/>
      <c r="C12770" s="549"/>
      <c r="D12770" s="549"/>
      <c r="E12770" s="549"/>
      <c r="F12770" s="549"/>
      <c r="G12770" s="549"/>
      <c r="H12770" s="549"/>
      <c r="I12770" s="558"/>
      <c r="J12770" s="549"/>
      <c r="K12770" s="561"/>
      <c r="L12770" s="560"/>
      <c r="M12770" s="549"/>
      <c r="N12770" s="549"/>
      <c r="O12770" s="549"/>
      <c r="P12770" s="549"/>
    </row>
    <row r="12771" spans="1:17" ht="17.399999999999999">
      <c r="A12771" s="547" t="s">
        <v>83</v>
      </c>
      <c r="B12771" s="547" t="s">
        <v>1360</v>
      </c>
      <c r="C12771" s="547" t="s">
        <v>446</v>
      </c>
      <c r="D12771" s="813" t="s">
        <v>450</v>
      </c>
      <c r="E12771" s="547" t="s">
        <v>270</v>
      </c>
      <c r="F12771" s="550">
        <v>10</v>
      </c>
      <c r="G12771" s="549" t="s">
        <v>61</v>
      </c>
      <c r="H12771" s="599" t="s">
        <v>131</v>
      </c>
      <c r="I12771" s="558">
        <v>7.36</v>
      </c>
      <c r="J12771" s="567">
        <v>6.25</v>
      </c>
      <c r="K12771" s="648">
        <v>8</v>
      </c>
      <c r="L12771" s="552">
        <f>(I12771*J12771*K12771/1000)</f>
        <v>0.36799999999999999</v>
      </c>
      <c r="M12771" s="549"/>
      <c r="N12771" s="549"/>
      <c r="O12771" s="549"/>
      <c r="P12771" s="549"/>
      <c r="Q12771" s="1511" t="s">
        <v>1582</v>
      </c>
    </row>
    <row r="12772" spans="1:17" ht="17.399999999999999">
      <c r="A12772" s="549"/>
      <c r="B12772" s="549"/>
      <c r="C12772" s="549"/>
      <c r="D12772" s="549"/>
      <c r="E12772" s="549"/>
      <c r="F12772" s="549"/>
      <c r="G12772" s="549"/>
      <c r="H12772" s="549"/>
      <c r="I12772" s="558"/>
      <c r="J12772" s="567"/>
      <c r="K12772" s="648">
        <f>SUM(K12771)</f>
        <v>8</v>
      </c>
      <c r="L12772" s="567">
        <f>SUM(L12771)</f>
        <v>0.36799999999999999</v>
      </c>
      <c r="M12772" s="549"/>
      <c r="N12772" s="549"/>
      <c r="O12772" s="549"/>
      <c r="P12772" s="549"/>
    </row>
    <row r="12773" spans="1:17" ht="17.399999999999999">
      <c r="A12773" s="549"/>
      <c r="B12773" s="549"/>
      <c r="C12773" s="549"/>
      <c r="D12773" s="549"/>
      <c r="E12773" s="549"/>
      <c r="F12773" s="549"/>
      <c r="G12773" s="549"/>
      <c r="H12773" s="549"/>
      <c r="I12773" s="558"/>
      <c r="J12773" s="549"/>
      <c r="K12773" s="652">
        <f>SUM(K12759:K12772)/2</f>
        <v>108</v>
      </c>
      <c r="L12773" s="565">
        <f>SUM(L12759:L12772)/2</f>
        <v>7.9856000000000016</v>
      </c>
      <c r="M12773" s="652">
        <f>SUM(M12759:M12772)/2</f>
        <v>0</v>
      </c>
      <c r="N12773" s="565">
        <f>SUM(N12759:N12772)/2</f>
        <v>0</v>
      </c>
      <c r="O12773" s="549"/>
      <c r="P12773" s="549" t="s">
        <v>1520</v>
      </c>
    </row>
    <row r="12774" spans="1:17" s="1511" customFormat="1" ht="17.399999999999999">
      <c r="A12774" s="549"/>
      <c r="B12774" s="549"/>
      <c r="C12774" s="549"/>
      <c r="D12774" s="549"/>
      <c r="E12774" s="549"/>
      <c r="F12774" s="549"/>
      <c r="G12774" s="549"/>
      <c r="H12774" s="549"/>
      <c r="I12774" s="558"/>
      <c r="J12774" s="549"/>
      <c r="K12774" s="652"/>
      <c r="L12774" s="565"/>
      <c r="M12774" s="652"/>
      <c r="N12774" s="565"/>
      <c r="O12774" s="549"/>
      <c r="P12774" s="549"/>
    </row>
    <row r="12775" spans="1:17" s="1511" customFormat="1" ht="17.399999999999999">
      <c r="A12775" s="549"/>
      <c r="B12775" s="549"/>
      <c r="C12775" s="549"/>
      <c r="D12775" s="549"/>
      <c r="E12775" s="549"/>
      <c r="F12775" s="549"/>
      <c r="G12775" s="549"/>
      <c r="H12775" s="549"/>
      <c r="I12775" s="558"/>
      <c r="J12775" s="549"/>
      <c r="K12775" s="564"/>
      <c r="L12775" s="565"/>
      <c r="M12775" s="549"/>
      <c r="N12775" s="549"/>
      <c r="O12775" s="549"/>
      <c r="P12775" s="549"/>
    </row>
    <row r="12776" spans="1:17" ht="17.399999999999999">
      <c r="A12776" s="547" t="s">
        <v>83</v>
      </c>
      <c r="B12776" s="547" t="s">
        <v>1410</v>
      </c>
      <c r="C12776" s="547" t="s">
        <v>19</v>
      </c>
      <c r="D12776" s="813" t="s">
        <v>60</v>
      </c>
      <c r="E12776" s="549" t="s">
        <v>62</v>
      </c>
      <c r="F12776" s="550">
        <v>10</v>
      </c>
      <c r="G12776" s="549" t="s">
        <v>61</v>
      </c>
      <c r="H12776" s="599" t="s">
        <v>521</v>
      </c>
      <c r="I12776" s="558">
        <v>8.49</v>
      </c>
      <c r="J12776" s="567">
        <v>7.6</v>
      </c>
      <c r="K12776" s="648">
        <v>8</v>
      </c>
      <c r="L12776" s="552">
        <f>(I12776*J12776*K12776/1000)</f>
        <v>0.51619199999999998</v>
      </c>
      <c r="M12776" s="549"/>
      <c r="N12776" s="549"/>
      <c r="O12776" s="549"/>
      <c r="P12776" s="549"/>
      <c r="Q12776" s="1511" t="s">
        <v>1583</v>
      </c>
    </row>
    <row r="12777" spans="1:17" ht="17.399999999999999">
      <c r="A12777" s="549"/>
      <c r="B12777" s="728" t="s">
        <v>52</v>
      </c>
      <c r="C12777" s="549"/>
      <c r="D12777" s="549"/>
      <c r="E12777" s="549"/>
      <c r="F12777" s="549"/>
      <c r="G12777" s="549"/>
      <c r="H12777" s="549"/>
      <c r="I12777" s="558"/>
      <c r="J12777" s="567"/>
      <c r="K12777" s="648">
        <f t="shared" ref="K12777:M12777" si="2577">SUM(K12776)</f>
        <v>8</v>
      </c>
      <c r="L12777" s="567">
        <f>SUM(L12776)</f>
        <v>0.51619199999999998</v>
      </c>
      <c r="M12777" s="648">
        <f t="shared" si="2577"/>
        <v>0</v>
      </c>
      <c r="N12777" s="567">
        <f>SUM(N12776)</f>
        <v>0</v>
      </c>
      <c r="O12777" s="549"/>
      <c r="P12777" s="549" t="s">
        <v>1521</v>
      </c>
    </row>
    <row r="12778" spans="1:17" s="1511" customFormat="1" ht="17.399999999999999">
      <c r="A12778" s="549"/>
      <c r="B12778" s="728"/>
      <c r="C12778" s="549"/>
      <c r="D12778" s="549"/>
      <c r="E12778" s="549"/>
      <c r="F12778" s="549"/>
      <c r="G12778" s="549"/>
      <c r="H12778" s="549"/>
      <c r="I12778" s="558"/>
      <c r="J12778" s="567"/>
      <c r="K12778" s="648"/>
      <c r="L12778" s="567"/>
      <c r="M12778" s="549"/>
      <c r="N12778" s="549"/>
      <c r="O12778" s="549"/>
      <c r="P12778" s="549"/>
    </row>
    <row r="12779" spans="1:17" ht="17.399999999999999">
      <c r="A12779" s="549"/>
      <c r="B12779" s="549"/>
      <c r="C12779" s="549"/>
      <c r="D12779" s="549"/>
      <c r="E12779" s="549"/>
      <c r="F12779" s="549"/>
      <c r="G12779" s="549"/>
      <c r="H12779" s="549"/>
      <c r="I12779" s="558"/>
      <c r="J12779" s="549"/>
      <c r="K12779" s="561"/>
      <c r="L12779" s="560"/>
      <c r="M12779" s="549"/>
      <c r="N12779" s="549"/>
      <c r="O12779" s="549"/>
      <c r="P12779" s="549"/>
    </row>
    <row r="12780" spans="1:17" ht="17.399999999999999">
      <c r="A12780" s="547" t="s">
        <v>83</v>
      </c>
      <c r="B12780" s="547" t="s">
        <v>1455</v>
      </c>
      <c r="C12780" s="547" t="s">
        <v>19</v>
      </c>
      <c r="D12780" s="813" t="s">
        <v>854</v>
      </c>
      <c r="E12780" s="549" t="s">
        <v>367</v>
      </c>
      <c r="F12780" s="550">
        <v>10</v>
      </c>
      <c r="G12780" s="549" t="s">
        <v>21</v>
      </c>
      <c r="H12780" s="599" t="s">
        <v>521</v>
      </c>
      <c r="I12780" s="558">
        <v>8.49</v>
      </c>
      <c r="J12780" s="567">
        <v>10</v>
      </c>
      <c r="K12780" s="648">
        <v>15</v>
      </c>
      <c r="L12780" s="552">
        <f>(I12780*J12780*K12780/1000)</f>
        <v>1.2735000000000001</v>
      </c>
      <c r="M12780" s="549"/>
      <c r="N12780" s="549"/>
      <c r="O12780" s="549"/>
      <c r="P12780" s="549"/>
      <c r="Q12780" s="1511" t="s">
        <v>1583</v>
      </c>
    </row>
    <row r="12781" spans="1:17" ht="17.399999999999999">
      <c r="A12781" s="549"/>
      <c r="B12781" s="728" t="s">
        <v>52</v>
      </c>
      <c r="C12781" s="549"/>
      <c r="D12781" s="549"/>
      <c r="E12781" s="549"/>
      <c r="F12781" s="549"/>
      <c r="G12781" s="549"/>
      <c r="H12781" s="549"/>
      <c r="I12781" s="558"/>
      <c r="J12781" s="567"/>
      <c r="K12781" s="648">
        <f t="shared" ref="K12781" si="2578">SUM(K12780)</f>
        <v>15</v>
      </c>
      <c r="L12781" s="567">
        <f>SUM(L12780)</f>
        <v>1.2735000000000001</v>
      </c>
      <c r="M12781" s="549"/>
      <c r="N12781" s="549"/>
      <c r="O12781" s="549"/>
      <c r="P12781" s="549"/>
    </row>
    <row r="12782" spans="1:17" s="1511" customFormat="1" ht="17.399999999999999">
      <c r="A12782" s="549"/>
      <c r="B12782" s="728"/>
      <c r="C12782" s="549"/>
      <c r="D12782" s="549"/>
      <c r="E12782" s="549"/>
      <c r="F12782" s="549"/>
      <c r="G12782" s="549"/>
      <c r="H12782" s="549"/>
      <c r="I12782" s="558"/>
      <c r="J12782" s="567"/>
      <c r="K12782" s="648"/>
      <c r="L12782" s="567"/>
      <c r="M12782" s="549"/>
      <c r="N12782" s="549"/>
      <c r="O12782" s="549"/>
      <c r="P12782" s="549"/>
    </row>
    <row r="12783" spans="1:17" ht="17.399999999999999">
      <c r="A12783" s="547" t="s">
        <v>83</v>
      </c>
      <c r="B12783" s="547" t="s">
        <v>1410</v>
      </c>
      <c r="C12783" s="547" t="s">
        <v>19</v>
      </c>
      <c r="D12783" s="813" t="s">
        <v>854</v>
      </c>
      <c r="E12783" s="549" t="s">
        <v>367</v>
      </c>
      <c r="F12783" s="550">
        <v>10</v>
      </c>
      <c r="G12783" s="549" t="s">
        <v>21</v>
      </c>
      <c r="H12783" s="599" t="s">
        <v>521</v>
      </c>
      <c r="I12783" s="558">
        <v>8.49</v>
      </c>
      <c r="J12783" s="567">
        <v>10</v>
      </c>
      <c r="K12783" s="648">
        <v>6</v>
      </c>
      <c r="L12783" s="552">
        <f>(I12783*J12783*K12783/1000)</f>
        <v>0.50940000000000007</v>
      </c>
      <c r="M12783" s="549"/>
      <c r="N12783" s="549"/>
      <c r="O12783" s="549"/>
      <c r="P12783" s="549"/>
      <c r="Q12783" s="1511" t="s">
        <v>1583</v>
      </c>
    </row>
    <row r="12784" spans="1:17" ht="17.399999999999999">
      <c r="A12784" s="549"/>
      <c r="B12784" s="728" t="s">
        <v>52</v>
      </c>
      <c r="C12784" s="549"/>
      <c r="D12784" s="549"/>
      <c r="E12784" s="549"/>
      <c r="F12784" s="549"/>
      <c r="G12784" s="549"/>
      <c r="H12784" s="549"/>
      <c r="I12784" s="558"/>
      <c r="J12784" s="567"/>
      <c r="K12784" s="648">
        <f>SUM(K12783)</f>
        <v>6</v>
      </c>
      <c r="L12784" s="567">
        <f>SUM(L12783)</f>
        <v>0.50940000000000007</v>
      </c>
      <c r="M12784" s="549"/>
      <c r="N12784" s="549"/>
      <c r="O12784" s="549"/>
      <c r="P12784" s="549"/>
    </row>
    <row r="12785" spans="1:19" s="1511" customFormat="1" ht="17.399999999999999">
      <c r="A12785" s="549"/>
      <c r="B12785" s="728"/>
      <c r="C12785" s="549"/>
      <c r="D12785" s="549"/>
      <c r="E12785" s="549"/>
      <c r="F12785" s="549"/>
      <c r="G12785" s="549"/>
      <c r="H12785" s="549"/>
      <c r="I12785" s="558"/>
      <c r="J12785" s="567"/>
      <c r="K12785" s="648">
        <f>SUM(K12780:K12784)/2</f>
        <v>21</v>
      </c>
      <c r="L12785" s="567">
        <f>SUM(L12780:L12784)/2</f>
        <v>1.7829000000000002</v>
      </c>
      <c r="M12785" s="648">
        <f>SUM(M12780:M12784)/2</f>
        <v>0</v>
      </c>
      <c r="N12785" s="567">
        <f>SUM(N12780:N12784)/2</f>
        <v>0</v>
      </c>
      <c r="O12785" s="549"/>
      <c r="P12785" s="549" t="s">
        <v>1522</v>
      </c>
    </row>
    <row r="12786" spans="1:19" s="1511" customFormat="1" ht="17.399999999999999">
      <c r="A12786" s="549"/>
      <c r="B12786" s="728"/>
      <c r="C12786" s="549"/>
      <c r="D12786" s="549"/>
      <c r="E12786" s="549"/>
      <c r="F12786" s="549"/>
      <c r="G12786" s="549"/>
      <c r="H12786" s="549"/>
      <c r="I12786" s="558"/>
      <c r="J12786" s="567"/>
      <c r="K12786" s="648"/>
      <c r="L12786" s="567"/>
      <c r="M12786" s="549"/>
      <c r="N12786" s="549"/>
      <c r="O12786" s="549"/>
      <c r="P12786" s="549"/>
    </row>
    <row r="12787" spans="1:19" s="1511" customFormat="1" ht="17.399999999999999">
      <c r="A12787" s="549"/>
      <c r="B12787" s="728"/>
      <c r="C12787" s="549"/>
      <c r="D12787" s="549"/>
      <c r="E12787" s="549"/>
      <c r="F12787" s="549"/>
      <c r="G12787" s="549"/>
      <c r="H12787" s="549"/>
      <c r="I12787" s="558"/>
      <c r="J12787" s="567"/>
      <c r="K12787" s="648"/>
      <c r="L12787" s="567"/>
      <c r="M12787" s="549"/>
      <c r="N12787" s="549"/>
      <c r="O12787" s="549"/>
      <c r="P12787" s="549"/>
    </row>
    <row r="12788" spans="1:19" ht="17.399999999999999">
      <c r="A12788" s="549"/>
      <c r="B12788" s="549"/>
      <c r="C12788" s="549"/>
      <c r="D12788" s="549"/>
      <c r="E12788" s="549"/>
      <c r="F12788" s="549"/>
      <c r="G12788" s="549"/>
      <c r="H12788" s="549"/>
      <c r="I12788" s="558"/>
      <c r="J12788" s="549"/>
      <c r="K12788" s="561"/>
      <c r="L12788" s="560"/>
      <c r="M12788" s="549"/>
      <c r="N12788" s="549"/>
      <c r="O12788" s="549"/>
      <c r="P12788" s="549"/>
    </row>
    <row r="12789" spans="1:19" ht="17.399999999999999">
      <c r="A12789" s="547" t="s">
        <v>83</v>
      </c>
      <c r="B12789" s="547" t="s">
        <v>1410</v>
      </c>
      <c r="C12789" s="547" t="s">
        <v>19</v>
      </c>
      <c r="D12789" s="813" t="s">
        <v>854</v>
      </c>
      <c r="E12789" s="549" t="s">
        <v>367</v>
      </c>
      <c r="F12789" s="550">
        <v>10</v>
      </c>
      <c r="G12789" s="549" t="s">
        <v>21</v>
      </c>
      <c r="H12789" s="599" t="s">
        <v>131</v>
      </c>
      <c r="I12789" s="558">
        <v>7.34</v>
      </c>
      <c r="J12789" s="567">
        <v>8.25</v>
      </c>
      <c r="K12789" s="648">
        <v>160</v>
      </c>
      <c r="L12789" s="552">
        <f>(I12789*J12789*K12789/1000)</f>
        <v>9.6887999999999987</v>
      </c>
      <c r="M12789" s="549"/>
      <c r="N12789" s="549"/>
      <c r="O12789" s="549"/>
      <c r="P12789" s="549"/>
      <c r="Q12789" s="497">
        <f>40+35+44+48-7</f>
        <v>160</v>
      </c>
      <c r="R12789" s="126">
        <f>J12789*Q12789*I12789/1000</f>
        <v>9.6887999999999987</v>
      </c>
      <c r="S12789" s="1511" t="s">
        <v>1582</v>
      </c>
    </row>
    <row r="12790" spans="1:19" ht="17.399999999999999">
      <c r="A12790" s="549"/>
      <c r="B12790" s="728" t="s">
        <v>52</v>
      </c>
      <c r="C12790" s="549"/>
      <c r="D12790" s="549"/>
      <c r="E12790" s="549"/>
      <c r="F12790" s="549"/>
      <c r="G12790" s="549" t="s">
        <v>21</v>
      </c>
      <c r="H12790" s="549" t="s">
        <v>131</v>
      </c>
      <c r="I12790" s="558">
        <v>7.34</v>
      </c>
      <c r="J12790" s="567">
        <v>10</v>
      </c>
      <c r="K12790" s="648">
        <v>81</v>
      </c>
      <c r="L12790" s="552">
        <f>(I12790*J12790*K12790/1000)</f>
        <v>5.9454000000000002</v>
      </c>
      <c r="M12790" s="549"/>
      <c r="N12790" s="549"/>
      <c r="O12790" s="549"/>
      <c r="P12790" s="549"/>
      <c r="Q12790" s="497">
        <f>38+34+9</f>
        <v>81</v>
      </c>
      <c r="R12790" s="1511">
        <f>J12790*Q12790*I12790/1000</f>
        <v>5.9453999999999994</v>
      </c>
    </row>
    <row r="12791" spans="1:19" ht="17.399999999999999">
      <c r="A12791" s="549"/>
      <c r="B12791" s="549"/>
      <c r="C12791" s="549"/>
      <c r="D12791" s="549"/>
      <c r="E12791" s="549"/>
      <c r="F12791" s="549"/>
      <c r="G12791" s="549"/>
      <c r="H12791" s="549"/>
      <c r="I12791" s="558"/>
      <c r="J12791" s="567"/>
      <c r="K12791" s="648">
        <f t="shared" ref="K12791:L12791" si="2579">SUM(K12789:K12790)</f>
        <v>241</v>
      </c>
      <c r="L12791" s="567">
        <f t="shared" si="2579"/>
        <v>15.6342</v>
      </c>
      <c r="M12791" s="549"/>
      <c r="N12791" s="549"/>
      <c r="O12791" s="549"/>
      <c r="P12791" s="549" t="s">
        <v>1523</v>
      </c>
      <c r="Q12791" s="648">
        <f t="shared" ref="Q12791:R12791" si="2580">SUM(Q12789:Q12790)</f>
        <v>241</v>
      </c>
      <c r="R12791" s="567">
        <f t="shared" si="2580"/>
        <v>15.634199999999998</v>
      </c>
    </row>
    <row r="12792" spans="1:19" s="1511" customFormat="1" ht="17.399999999999999">
      <c r="A12792" s="549"/>
      <c r="B12792" s="549"/>
      <c r="C12792" s="549"/>
      <c r="D12792" s="549"/>
      <c r="E12792" s="549"/>
      <c r="F12792" s="549"/>
      <c r="G12792" s="549"/>
      <c r="H12792" s="549"/>
      <c r="I12792" s="558"/>
      <c r="J12792" s="567"/>
      <c r="K12792" s="648"/>
      <c r="L12792" s="567"/>
      <c r="M12792" s="549"/>
      <c r="N12792" s="549"/>
      <c r="O12792" s="549"/>
      <c r="P12792" s="549"/>
    </row>
    <row r="12793" spans="1:19" ht="17.399999999999999">
      <c r="A12793" s="780" t="s">
        <v>83</v>
      </c>
      <c r="B12793" s="780" t="s">
        <v>1455</v>
      </c>
      <c r="C12793" s="780" t="s">
        <v>19</v>
      </c>
      <c r="D12793" s="1500" t="s">
        <v>854</v>
      </c>
      <c r="E12793" s="754" t="s">
        <v>367</v>
      </c>
      <c r="F12793" s="754">
        <v>10</v>
      </c>
      <c r="G12793" s="754" t="s">
        <v>21</v>
      </c>
      <c r="H12793" s="754" t="s">
        <v>131</v>
      </c>
      <c r="I12793" s="1673">
        <v>7.34</v>
      </c>
      <c r="J12793" s="881">
        <v>8.25</v>
      </c>
      <c r="K12793" s="882">
        <v>388</v>
      </c>
      <c r="L12793" s="1674">
        <f>(I12793*J12793*K12793/1000)</f>
        <v>23.495339999999999</v>
      </c>
      <c r="M12793" s="754">
        <v>2</v>
      </c>
      <c r="N12793" s="881">
        <f t="shared" ref="N12793:N12794" si="2581">J12793*M12793*I12793/1000</f>
        <v>0.12111</v>
      </c>
      <c r="O12793" s="754"/>
      <c r="P12793" s="754"/>
    </row>
    <row r="12794" spans="1:19" ht="17.399999999999999">
      <c r="A12794" s="754"/>
      <c r="B12794" s="880" t="s">
        <v>52</v>
      </c>
      <c r="C12794" s="754"/>
      <c r="D12794" s="754"/>
      <c r="E12794" s="754"/>
      <c r="F12794" s="754"/>
      <c r="G12794" s="754" t="s">
        <v>21</v>
      </c>
      <c r="H12794" s="754" t="s">
        <v>131</v>
      </c>
      <c r="I12794" s="1673">
        <v>7.34</v>
      </c>
      <c r="J12794" s="881">
        <v>10</v>
      </c>
      <c r="K12794" s="882">
        <v>194</v>
      </c>
      <c r="L12794" s="1674">
        <f>(I12794*J12794*K12794/1000)</f>
        <v>14.239600000000001</v>
      </c>
      <c r="M12794" s="754">
        <v>11</v>
      </c>
      <c r="N12794" s="881">
        <f t="shared" si="2581"/>
        <v>0.80740000000000001</v>
      </c>
      <c r="O12794" s="754"/>
      <c r="P12794" s="754"/>
    </row>
    <row r="12795" spans="1:19" ht="17.399999999999999">
      <c r="A12795" s="754"/>
      <c r="B12795" s="754"/>
      <c r="C12795" s="754"/>
      <c r="D12795" s="754"/>
      <c r="E12795" s="754"/>
      <c r="F12795" s="754"/>
      <c r="G12795" s="754"/>
      <c r="H12795" s="754"/>
      <c r="I12795" s="1673"/>
      <c r="J12795" s="881"/>
      <c r="K12795" s="882">
        <f t="shared" ref="K12795:N12795" si="2582">SUM(K12793:K12794)</f>
        <v>582</v>
      </c>
      <c r="L12795" s="881">
        <f t="shared" si="2582"/>
        <v>37.734940000000002</v>
      </c>
      <c r="M12795" s="882">
        <f t="shared" si="2582"/>
        <v>13</v>
      </c>
      <c r="N12795" s="881">
        <f t="shared" si="2582"/>
        <v>0.92850999999999995</v>
      </c>
      <c r="O12795" s="754"/>
      <c r="P12795" s="754" t="s">
        <v>1523</v>
      </c>
      <c r="Q12795" s="1511" t="s">
        <v>1544</v>
      </c>
    </row>
    <row r="12796" spans="1:19" s="1511" customFormat="1" ht="17.399999999999999">
      <c r="A12796" s="549"/>
      <c r="B12796" s="549"/>
      <c r="C12796" s="549"/>
      <c r="D12796" s="549"/>
      <c r="E12796" s="549"/>
      <c r="F12796" s="549"/>
      <c r="G12796" s="549"/>
      <c r="H12796" s="549"/>
      <c r="I12796" s="558"/>
      <c r="J12796" s="567"/>
      <c r="K12796" s="648"/>
      <c r="L12796" s="567"/>
      <c r="M12796" s="549"/>
      <c r="N12796" s="549"/>
      <c r="O12796" s="549"/>
      <c r="P12796" s="549"/>
    </row>
    <row r="12797" spans="1:19" ht="17.399999999999999">
      <c r="A12797" s="547" t="s">
        <v>395</v>
      </c>
      <c r="B12797" s="547" t="s">
        <v>1364</v>
      </c>
      <c r="C12797" s="547" t="s">
        <v>19</v>
      </c>
      <c r="D12797" s="813" t="s">
        <v>854</v>
      </c>
      <c r="E12797" s="547" t="s">
        <v>359</v>
      </c>
      <c r="F12797" s="550">
        <v>10</v>
      </c>
      <c r="G12797" s="549" t="s">
        <v>21</v>
      </c>
      <c r="H12797" s="599" t="s">
        <v>131</v>
      </c>
      <c r="I12797" s="558">
        <v>7.36</v>
      </c>
      <c r="J12797" s="567">
        <v>8</v>
      </c>
      <c r="K12797" s="648">
        <v>152</v>
      </c>
      <c r="L12797" s="552">
        <f t="shared" ref="L12797:L12800" si="2583">(I12797*J12797*K12797/1000)</f>
        <v>8.9497599999999995</v>
      </c>
      <c r="M12797" s="549"/>
      <c r="N12797" s="549"/>
      <c r="O12797" s="549"/>
      <c r="P12797" s="549"/>
      <c r="Q12797" s="497">
        <f>45+49+7</f>
        <v>101</v>
      </c>
      <c r="R12797" s="126">
        <f t="shared" ref="R12797:R12800" si="2584">J12797*Q12797*I12797/1000</f>
        <v>5.9468800000000002</v>
      </c>
      <c r="S12797" s="1511" t="s">
        <v>1582</v>
      </c>
    </row>
    <row r="12798" spans="1:19" ht="17.399999999999999">
      <c r="A12798" s="549"/>
      <c r="B12798" s="1605" t="s">
        <v>277</v>
      </c>
      <c r="C12798" s="549"/>
      <c r="D12798" s="549"/>
      <c r="E12798" s="549"/>
      <c r="F12798" s="549"/>
      <c r="G12798" s="549" t="s">
        <v>21</v>
      </c>
      <c r="H12798" s="549" t="s">
        <v>131</v>
      </c>
      <c r="I12798" s="558">
        <v>7.36</v>
      </c>
      <c r="J12798" s="567">
        <v>9.5</v>
      </c>
      <c r="K12798" s="648">
        <v>26</v>
      </c>
      <c r="L12798" s="552">
        <f t="shared" si="2583"/>
        <v>1.81792</v>
      </c>
      <c r="M12798" s="549"/>
      <c r="N12798" s="549"/>
      <c r="O12798" s="549"/>
      <c r="P12798" s="549"/>
      <c r="Q12798" s="497">
        <v>6</v>
      </c>
      <c r="R12798" s="126">
        <f t="shared" si="2584"/>
        <v>0.41952000000000006</v>
      </c>
    </row>
    <row r="12799" spans="1:19" ht="17.399999999999999">
      <c r="A12799" s="549"/>
      <c r="B12799" s="549"/>
      <c r="C12799" s="549"/>
      <c r="D12799" s="549"/>
      <c r="E12799" s="549"/>
      <c r="F12799" s="549"/>
      <c r="G12799" s="549" t="s">
        <v>21</v>
      </c>
      <c r="H12799" s="549" t="s">
        <v>131</v>
      </c>
      <c r="I12799" s="558">
        <v>7.36</v>
      </c>
      <c r="J12799" s="567">
        <v>11.5</v>
      </c>
      <c r="K12799" s="648">
        <v>104</v>
      </c>
      <c r="L12799" s="552">
        <f t="shared" si="2583"/>
        <v>8.8025599999999997</v>
      </c>
      <c r="M12799" s="549"/>
      <c r="N12799" s="549"/>
      <c r="O12799" s="549"/>
      <c r="P12799" s="549"/>
      <c r="Q12799" s="497">
        <f>35+38+33+37-39</f>
        <v>104</v>
      </c>
      <c r="R12799" s="126">
        <f t="shared" si="2584"/>
        <v>8.8025599999999997</v>
      </c>
    </row>
    <row r="12800" spans="1:19" ht="17.399999999999999">
      <c r="A12800" s="549"/>
      <c r="B12800" s="549"/>
      <c r="C12800" s="549"/>
      <c r="D12800" s="549"/>
      <c r="E12800" s="549"/>
      <c r="F12800" s="549"/>
      <c r="G12800" s="549" t="s">
        <v>21</v>
      </c>
      <c r="H12800" s="549" t="s">
        <v>131</v>
      </c>
      <c r="I12800" s="558">
        <v>7.36</v>
      </c>
      <c r="J12800" s="567">
        <v>12</v>
      </c>
      <c r="K12800" s="648">
        <v>55</v>
      </c>
      <c r="L12800" s="552">
        <f t="shared" si="2583"/>
        <v>4.8576000000000006</v>
      </c>
      <c r="M12800" s="549"/>
      <c r="N12800" s="549"/>
      <c r="O12800" s="549"/>
      <c r="P12800" s="549"/>
      <c r="Q12800" s="497">
        <f>20+26+35+39-65</f>
        <v>55</v>
      </c>
      <c r="R12800" s="126">
        <f t="shared" si="2584"/>
        <v>4.8576000000000006</v>
      </c>
    </row>
    <row r="12801" spans="1:19" ht="17.399999999999999">
      <c r="A12801" s="549"/>
      <c r="B12801" s="549"/>
      <c r="C12801" s="549"/>
      <c r="D12801" s="549"/>
      <c r="E12801" s="549"/>
      <c r="F12801" s="549"/>
      <c r="G12801" s="549"/>
      <c r="H12801" s="549"/>
      <c r="I12801" s="558"/>
      <c r="J12801" s="567"/>
      <c r="K12801" s="648">
        <f t="shared" ref="K12801:L12801" si="2585">SUM(K12797:K12800)</f>
        <v>337</v>
      </c>
      <c r="L12801" s="567">
        <f t="shared" si="2585"/>
        <v>24.42784</v>
      </c>
      <c r="M12801" s="549"/>
      <c r="N12801" s="549"/>
      <c r="O12801" s="549"/>
      <c r="P12801" s="549" t="s">
        <v>1524</v>
      </c>
      <c r="Q12801" s="648">
        <f t="shared" ref="Q12801:R12801" si="2586">SUM(Q12797:Q12800)</f>
        <v>266</v>
      </c>
      <c r="R12801" s="567">
        <f t="shared" si="2586"/>
        <v>20.02656</v>
      </c>
    </row>
    <row r="12802" spans="1:19" ht="17.399999999999999">
      <c r="A12802" s="549"/>
      <c r="B12802" s="549"/>
      <c r="C12802" s="549"/>
      <c r="D12802" s="549"/>
      <c r="E12802" s="549"/>
      <c r="F12802" s="549"/>
      <c r="G12802" s="549"/>
      <c r="H12802" s="549"/>
      <c r="I12802" s="558"/>
      <c r="J12802" s="549"/>
      <c r="K12802" s="561"/>
      <c r="L12802" s="560"/>
      <c r="M12802" s="549"/>
      <c r="N12802" s="549"/>
      <c r="O12802" s="549"/>
      <c r="P12802" s="549"/>
    </row>
    <row r="12803" spans="1:19" ht="17.399999999999999">
      <c r="A12803" s="547" t="s">
        <v>395</v>
      </c>
      <c r="B12803" s="547" t="s">
        <v>1365</v>
      </c>
      <c r="C12803" s="547" t="s">
        <v>19</v>
      </c>
      <c r="D12803" s="813" t="s">
        <v>854</v>
      </c>
      <c r="E12803" s="547" t="s">
        <v>359</v>
      </c>
      <c r="F12803" s="550">
        <v>10</v>
      </c>
      <c r="G12803" s="549" t="s">
        <v>21</v>
      </c>
      <c r="H12803" s="599" t="s">
        <v>131</v>
      </c>
      <c r="I12803" s="558">
        <v>7.36</v>
      </c>
      <c r="J12803" s="567">
        <v>11.5</v>
      </c>
      <c r="K12803" s="648">
        <v>160</v>
      </c>
      <c r="L12803" s="552">
        <f>(I12803*J12803*K12803/1000)</f>
        <v>13.542399999999999</v>
      </c>
      <c r="M12803" s="549"/>
      <c r="N12803" s="549"/>
      <c r="O12803" s="549"/>
      <c r="P12803" s="549"/>
      <c r="Q12803" s="497">
        <v>39</v>
      </c>
      <c r="R12803" s="126">
        <f t="shared" ref="R12803:R12804" si="2587">J12803*Q12803*I12803/1000</f>
        <v>3.3009599999999999</v>
      </c>
      <c r="S12803" s="1511" t="s">
        <v>1582</v>
      </c>
    </row>
    <row r="12804" spans="1:19" ht="17.399999999999999">
      <c r="A12804" s="549"/>
      <c r="B12804" s="1605" t="s">
        <v>277</v>
      </c>
      <c r="C12804" s="549"/>
      <c r="D12804" s="549"/>
      <c r="E12804" s="549"/>
      <c r="F12804" s="549"/>
      <c r="G12804" s="549" t="s">
        <v>21</v>
      </c>
      <c r="H12804" s="549" t="s">
        <v>131</v>
      </c>
      <c r="I12804" s="558">
        <v>7.36</v>
      </c>
      <c r="J12804" s="567">
        <v>12</v>
      </c>
      <c r="K12804" s="648">
        <v>80</v>
      </c>
      <c r="L12804" s="552">
        <f>(I12804*J12804*K12804/1000)</f>
        <v>7.0656000000000008</v>
      </c>
      <c r="M12804" s="549"/>
      <c r="N12804" s="549"/>
      <c r="O12804" s="549"/>
      <c r="P12804" s="549"/>
      <c r="Q12804" s="497">
        <v>65</v>
      </c>
      <c r="R12804" s="126">
        <f t="shared" si="2587"/>
        <v>5.7408000000000001</v>
      </c>
    </row>
    <row r="12805" spans="1:19" ht="17.399999999999999">
      <c r="A12805" s="549"/>
      <c r="B12805" s="549"/>
      <c r="C12805" s="549"/>
      <c r="D12805" s="549"/>
      <c r="E12805" s="549"/>
      <c r="F12805" s="549"/>
      <c r="G12805" s="549"/>
      <c r="H12805" s="549"/>
      <c r="I12805" s="558"/>
      <c r="J12805" s="567"/>
      <c r="K12805" s="648">
        <f>SUM(K12803:K12804)</f>
        <v>240</v>
      </c>
      <c r="L12805" s="567">
        <f>SUM(L12803:L12804)</f>
        <v>20.608000000000001</v>
      </c>
      <c r="M12805" s="549"/>
      <c r="N12805" s="549"/>
      <c r="O12805" s="549"/>
      <c r="P12805" s="549" t="s">
        <v>1524</v>
      </c>
      <c r="Q12805" s="648">
        <f>SUM(Q12803:Q12804)</f>
        <v>104</v>
      </c>
      <c r="R12805" s="567">
        <f>SUM(R12803:R12804)</f>
        <v>9.04176</v>
      </c>
    </row>
    <row r="12806" spans="1:19" ht="17.399999999999999">
      <c r="A12806" s="549"/>
      <c r="B12806" s="549"/>
      <c r="C12806" s="549"/>
      <c r="D12806" s="549"/>
      <c r="E12806" s="549"/>
      <c r="F12806" s="549"/>
      <c r="G12806" s="549"/>
      <c r="H12806" s="549"/>
      <c r="I12806" s="558"/>
      <c r="J12806" s="549"/>
      <c r="K12806" s="652">
        <f>SUM(K12789:K12805)/2</f>
        <v>1400</v>
      </c>
      <c r="L12806" s="565">
        <f>SUM(L12789:L12805)/2</f>
        <v>98.404979999999995</v>
      </c>
      <c r="M12806" s="652">
        <f>SUM(M12789:M12805)/2</f>
        <v>13</v>
      </c>
      <c r="N12806" s="565">
        <f>SUM(N12789:N12805)/2</f>
        <v>0.92850999999999995</v>
      </c>
      <c r="O12806" s="549"/>
      <c r="P12806" s="549"/>
      <c r="Q12806" s="652">
        <f>SUM(Q12789:Q12805)/2</f>
        <v>611</v>
      </c>
      <c r="R12806" s="565">
        <f>SUM(R12789:R12805)/2</f>
        <v>44.70252</v>
      </c>
    </row>
    <row r="12807" spans="1:19" s="1511" customFormat="1" ht="17.399999999999999">
      <c r="A12807" s="549"/>
      <c r="B12807" s="549"/>
      <c r="C12807" s="549"/>
      <c r="D12807" s="549"/>
      <c r="E12807" s="549"/>
      <c r="F12807" s="549"/>
      <c r="G12807" s="549"/>
      <c r="H12807" s="549"/>
      <c r="I12807" s="558"/>
      <c r="J12807" s="549"/>
      <c r="K12807" s="652"/>
      <c r="L12807" s="565"/>
      <c r="M12807" s="549"/>
      <c r="N12807" s="549"/>
      <c r="O12807" s="549"/>
      <c r="P12807" s="549"/>
    </row>
    <row r="12808" spans="1:19" s="1511" customFormat="1" ht="17.399999999999999">
      <c r="A12808" s="549"/>
      <c r="B12808" s="549"/>
      <c r="C12808" s="549"/>
      <c r="D12808" s="549"/>
      <c r="E12808" s="549"/>
      <c r="F12808" s="549"/>
      <c r="G12808" s="549"/>
      <c r="H12808" s="549"/>
      <c r="I12808" s="558"/>
      <c r="J12808" s="567"/>
      <c r="K12808" s="648"/>
      <c r="L12808" s="567"/>
      <c r="M12808" s="549"/>
      <c r="N12808" s="549"/>
      <c r="O12808" s="549"/>
      <c r="P12808" s="549"/>
    </row>
    <row r="12809" spans="1:19" ht="17.399999999999999">
      <c r="A12809" s="547" t="s">
        <v>395</v>
      </c>
      <c r="B12809" s="547" t="s">
        <v>1364</v>
      </c>
      <c r="C12809" s="547" t="s">
        <v>19</v>
      </c>
      <c r="D12809" s="813" t="s">
        <v>854</v>
      </c>
      <c r="E12809" s="547" t="s">
        <v>359</v>
      </c>
      <c r="F12809" s="550">
        <v>10</v>
      </c>
      <c r="G12809" s="549" t="s">
        <v>21</v>
      </c>
      <c r="H12809" s="599" t="s">
        <v>130</v>
      </c>
      <c r="I12809" s="558">
        <v>6.17</v>
      </c>
      <c r="J12809" s="567">
        <v>6.5</v>
      </c>
      <c r="K12809" s="648">
        <v>160</v>
      </c>
      <c r="L12809" s="552">
        <f t="shared" ref="L12809:L12814" si="2588">(I12809*J12809*K12809/1000)</f>
        <v>6.4167999999999994</v>
      </c>
      <c r="M12809" s="549">
        <f>18+1</f>
        <v>19</v>
      </c>
      <c r="N12809" s="567">
        <f t="shared" ref="N12809:N12814" si="2589">J12809*M12809*I12809/1000</f>
        <v>0.76199499999999998</v>
      </c>
      <c r="O12809" s="549"/>
      <c r="P12809" s="549"/>
      <c r="Q12809" s="1511" t="s">
        <v>1583</v>
      </c>
    </row>
    <row r="12810" spans="1:19" ht="17.399999999999999">
      <c r="A12810" s="549"/>
      <c r="B12810" s="1605" t="s">
        <v>277</v>
      </c>
      <c r="C12810" s="549"/>
      <c r="D12810" s="549"/>
      <c r="E12810" s="549"/>
      <c r="F12810" s="549"/>
      <c r="G12810" s="549" t="s">
        <v>21</v>
      </c>
      <c r="H12810" s="549" t="s">
        <v>130</v>
      </c>
      <c r="I12810" s="558">
        <v>6.17</v>
      </c>
      <c r="J12810" s="567">
        <v>7.75</v>
      </c>
      <c r="K12810" s="648">
        <v>160</v>
      </c>
      <c r="L12810" s="552">
        <f t="shared" si="2588"/>
        <v>7.6508000000000003</v>
      </c>
      <c r="M12810" s="549"/>
      <c r="N12810" s="567">
        <f t="shared" si="2589"/>
        <v>0</v>
      </c>
      <c r="O12810" s="549"/>
      <c r="P12810" s="549"/>
    </row>
    <row r="12811" spans="1:19" ht="17.399999999999999">
      <c r="A12811" s="549"/>
      <c r="B12811" s="549"/>
      <c r="C12811" s="549"/>
      <c r="D12811" s="549"/>
      <c r="E12811" s="549"/>
      <c r="F12811" s="549"/>
      <c r="G12811" s="549" t="s">
        <v>21</v>
      </c>
      <c r="H12811" s="549" t="s">
        <v>130</v>
      </c>
      <c r="I12811" s="558">
        <v>6.17</v>
      </c>
      <c r="J12811" s="567">
        <v>8</v>
      </c>
      <c r="K12811" s="648">
        <v>124</v>
      </c>
      <c r="L12811" s="552">
        <f t="shared" si="2588"/>
        <v>6.1206400000000007</v>
      </c>
      <c r="M12811" s="549">
        <f>2+2+3+8+1+1+2+8+3</f>
        <v>30</v>
      </c>
      <c r="N12811" s="567">
        <f t="shared" si="2589"/>
        <v>1.4807999999999999</v>
      </c>
      <c r="O12811" s="549"/>
      <c r="P12811" s="549"/>
    </row>
    <row r="12812" spans="1:19" ht="17.399999999999999">
      <c r="A12812" s="549"/>
      <c r="B12812" s="549"/>
      <c r="C12812" s="549"/>
      <c r="D12812" s="549"/>
      <c r="E12812" s="549"/>
      <c r="F12812" s="549"/>
      <c r="G12812" s="549" t="s">
        <v>21</v>
      </c>
      <c r="H12812" s="549" t="s">
        <v>130</v>
      </c>
      <c r="I12812" s="558">
        <v>6.17</v>
      </c>
      <c r="J12812" s="567">
        <v>10</v>
      </c>
      <c r="K12812" s="648">
        <v>52</v>
      </c>
      <c r="L12812" s="552">
        <f t="shared" si="2588"/>
        <v>3.2084000000000001</v>
      </c>
      <c r="M12812" s="549"/>
      <c r="N12812" s="567">
        <f t="shared" si="2589"/>
        <v>0</v>
      </c>
      <c r="O12812" s="549"/>
      <c r="P12812" s="549"/>
    </row>
    <row r="12813" spans="1:19" ht="17.399999999999999">
      <c r="A12813" s="549"/>
      <c r="B12813" s="549"/>
      <c r="C12813" s="549"/>
      <c r="D12813" s="549"/>
      <c r="E12813" s="549"/>
      <c r="F12813" s="549"/>
      <c r="G12813" s="549" t="s">
        <v>21</v>
      </c>
      <c r="H12813" s="549" t="s">
        <v>130</v>
      </c>
      <c r="I12813" s="558">
        <v>6.17</v>
      </c>
      <c r="J12813" s="567">
        <v>11</v>
      </c>
      <c r="K12813" s="648">
        <v>46</v>
      </c>
      <c r="L12813" s="552">
        <f t="shared" si="2588"/>
        <v>3.1220200000000005</v>
      </c>
      <c r="M12813" s="549">
        <v>1</v>
      </c>
      <c r="N12813" s="567">
        <f t="shared" si="2589"/>
        <v>6.787E-2</v>
      </c>
      <c r="O12813" s="549"/>
      <c r="P12813" s="549"/>
    </row>
    <row r="12814" spans="1:19" ht="17.399999999999999">
      <c r="A12814" s="549"/>
      <c r="B12814" s="549"/>
      <c r="C12814" s="549"/>
      <c r="D12814" s="549"/>
      <c r="E12814" s="549"/>
      <c r="F12814" s="549"/>
      <c r="G12814" s="549" t="s">
        <v>21</v>
      </c>
      <c r="H12814" s="549" t="s">
        <v>130</v>
      </c>
      <c r="I12814" s="558">
        <v>6.17</v>
      </c>
      <c r="J12814" s="567">
        <v>11.5</v>
      </c>
      <c r="K12814" s="648">
        <v>58</v>
      </c>
      <c r="L12814" s="552">
        <f t="shared" si="2588"/>
        <v>4.1153900000000005</v>
      </c>
      <c r="M12814" s="549">
        <v>1</v>
      </c>
      <c r="N12814" s="567">
        <f t="shared" si="2589"/>
        <v>7.0955000000000004E-2</v>
      </c>
      <c r="O12814" s="549"/>
      <c r="P12814" s="549"/>
    </row>
    <row r="12815" spans="1:19" ht="17.399999999999999">
      <c r="A12815" s="549"/>
      <c r="B12815" s="549"/>
      <c r="C12815" s="549"/>
      <c r="D12815" s="549"/>
      <c r="E12815" s="549"/>
      <c r="F12815" s="549"/>
      <c r="G12815" s="549"/>
      <c r="H12815" s="549"/>
      <c r="I12815" s="558"/>
      <c r="J12815" s="567"/>
      <c r="K12815" s="648">
        <f t="shared" ref="K12815:N12815" si="2590">SUM(K12809:K12814)</f>
        <v>600</v>
      </c>
      <c r="L12815" s="567">
        <f t="shared" si="2590"/>
        <v>30.634050000000002</v>
      </c>
      <c r="M12815" s="648">
        <f t="shared" si="2590"/>
        <v>51</v>
      </c>
      <c r="N12815" s="567">
        <f t="shared" si="2590"/>
        <v>2.3816200000000003</v>
      </c>
      <c r="O12815" s="549"/>
      <c r="P12815" s="549"/>
    </row>
    <row r="12816" spans="1:19" s="1511" customFormat="1" ht="17.399999999999999">
      <c r="A12816" s="549"/>
      <c r="B12816" s="549"/>
      <c r="C12816" s="549"/>
      <c r="D12816" s="549"/>
      <c r="E12816" s="549"/>
      <c r="F12816" s="549"/>
      <c r="G12816" s="549"/>
      <c r="H12816" s="549"/>
      <c r="I12816" s="558"/>
      <c r="J12816" s="567"/>
      <c r="K12816" s="648"/>
      <c r="L12816" s="567"/>
      <c r="M12816" s="549"/>
      <c r="N12816" s="549"/>
      <c r="O12816" s="549"/>
      <c r="P12816" s="549"/>
    </row>
    <row r="12817" spans="1:17" ht="17.399999999999999">
      <c r="A12817" s="547" t="s">
        <v>395</v>
      </c>
      <c r="B12817" s="547" t="s">
        <v>1365</v>
      </c>
      <c r="C12817" s="547" t="s">
        <v>19</v>
      </c>
      <c r="D12817" s="813" t="s">
        <v>854</v>
      </c>
      <c r="E12817" s="547" t="s">
        <v>359</v>
      </c>
      <c r="F12817" s="550">
        <v>10</v>
      </c>
      <c r="G12817" s="549" t="s">
        <v>21</v>
      </c>
      <c r="H12817" s="599" t="s">
        <v>130</v>
      </c>
      <c r="I12817" s="558">
        <v>6.17</v>
      </c>
      <c r="J12817" s="567">
        <v>10.5</v>
      </c>
      <c r="K12817" s="648">
        <v>41</v>
      </c>
      <c r="L12817" s="552">
        <f t="shared" ref="L12817:L12819" si="2591">(I12817*J12817*K12817/1000)</f>
        <v>2.6561849999999998</v>
      </c>
      <c r="M12817" s="549"/>
      <c r="N12817" s="567">
        <f t="shared" ref="N12817:N12819" si="2592">J12817*M12817*I12817/1000</f>
        <v>0</v>
      </c>
      <c r="O12817" s="549"/>
      <c r="P12817" s="549"/>
      <c r="Q12817" s="1511" t="s">
        <v>1583</v>
      </c>
    </row>
    <row r="12818" spans="1:17" ht="17.399999999999999">
      <c r="A12818" s="549"/>
      <c r="B12818" s="1605" t="s">
        <v>277</v>
      </c>
      <c r="C12818" s="549"/>
      <c r="D12818" s="549"/>
      <c r="E12818" s="549"/>
      <c r="F12818" s="549"/>
      <c r="G12818" s="549" t="s">
        <v>21</v>
      </c>
      <c r="H12818" s="549" t="s">
        <v>130</v>
      </c>
      <c r="I12818" s="558">
        <v>6.17</v>
      </c>
      <c r="J12818" s="567">
        <v>11.5</v>
      </c>
      <c r="K12818" s="648">
        <v>80</v>
      </c>
      <c r="L12818" s="552">
        <f t="shared" si="2591"/>
        <v>5.6763999999999992</v>
      </c>
      <c r="M12818" s="549"/>
      <c r="N12818" s="567">
        <f t="shared" si="2592"/>
        <v>0</v>
      </c>
      <c r="O12818" s="549"/>
      <c r="P12818" s="549"/>
    </row>
    <row r="12819" spans="1:17" ht="17.399999999999999">
      <c r="A12819" s="549"/>
      <c r="B12819" s="549"/>
      <c r="C12819" s="549"/>
      <c r="D12819" s="549"/>
      <c r="E12819" s="549"/>
      <c r="F12819" s="549"/>
      <c r="G12819" s="549" t="s">
        <v>21</v>
      </c>
      <c r="H12819" s="549" t="s">
        <v>130</v>
      </c>
      <c r="I12819" s="558">
        <v>6.17</v>
      </c>
      <c r="J12819" s="567">
        <v>12</v>
      </c>
      <c r="K12819" s="648">
        <v>80</v>
      </c>
      <c r="L12819" s="552">
        <f t="shared" si="2591"/>
        <v>5.9231999999999987</v>
      </c>
      <c r="M12819" s="549">
        <v>2</v>
      </c>
      <c r="N12819" s="567">
        <f t="shared" si="2592"/>
        <v>0.14807999999999999</v>
      </c>
      <c r="O12819" s="549"/>
      <c r="P12819" s="549"/>
    </row>
    <row r="12820" spans="1:17" ht="17.399999999999999">
      <c r="A12820" s="549"/>
      <c r="B12820" s="549"/>
      <c r="C12820" s="549"/>
      <c r="D12820" s="549"/>
      <c r="E12820" s="549"/>
      <c r="F12820" s="549"/>
      <c r="G12820" s="549"/>
      <c r="H12820" s="549"/>
      <c r="I12820" s="558"/>
      <c r="J12820" s="567"/>
      <c r="K12820" s="648">
        <f>SUM(K12817:K12819)</f>
        <v>201</v>
      </c>
      <c r="L12820" s="567">
        <f>SUM(L12817:L12819)</f>
        <v>14.255784999999996</v>
      </c>
      <c r="M12820" s="648">
        <f>SUM(M12817:M12819)</f>
        <v>2</v>
      </c>
      <c r="N12820" s="567">
        <f>SUM(N12817:N12819)</f>
        <v>0.14807999999999999</v>
      </c>
      <c r="O12820" s="549"/>
      <c r="P12820" s="549"/>
    </row>
    <row r="12821" spans="1:17" s="1511" customFormat="1" ht="17.399999999999999">
      <c r="A12821" s="549"/>
      <c r="B12821" s="549"/>
      <c r="C12821" s="549"/>
      <c r="D12821" s="549"/>
      <c r="E12821" s="549"/>
      <c r="F12821" s="549"/>
      <c r="G12821" s="549"/>
      <c r="H12821" s="549"/>
      <c r="I12821" s="558"/>
      <c r="J12821" s="567"/>
      <c r="K12821" s="648"/>
      <c r="L12821" s="567"/>
      <c r="M12821" s="648"/>
      <c r="N12821" s="567"/>
      <c r="O12821" s="549"/>
      <c r="P12821" s="549"/>
    </row>
    <row r="12822" spans="1:17" s="1511" customFormat="1" ht="18">
      <c r="A12822" s="547" t="s">
        <v>1510</v>
      </c>
      <c r="B12822" s="547" t="s">
        <v>1511</v>
      </c>
      <c r="C12822" s="547" t="s">
        <v>19</v>
      </c>
      <c r="D12822" s="813" t="s">
        <v>854</v>
      </c>
      <c r="E12822" s="547" t="s">
        <v>359</v>
      </c>
      <c r="F12822" s="550">
        <v>10</v>
      </c>
      <c r="G12822" s="1653" t="s">
        <v>21</v>
      </c>
      <c r="H12822" s="1653" t="s">
        <v>130</v>
      </c>
      <c r="I12822" s="1675">
        <v>6.17</v>
      </c>
      <c r="J12822" s="914">
        <v>9.6999999999999993</v>
      </c>
      <c r="K12822" s="1446">
        <v>56</v>
      </c>
      <c r="L12822" s="552">
        <f>(I12822*J12822*K12822/1000)</f>
        <v>3.3515440000000001</v>
      </c>
      <c r="M12822" s="648"/>
      <c r="N12822" s="567"/>
      <c r="O12822" s="549"/>
      <c r="P12822" s="549"/>
    </row>
    <row r="12823" spans="1:17" s="1511" customFormat="1" ht="17.399999999999999">
      <c r="A12823" s="549"/>
      <c r="B12823" s="1652" t="s">
        <v>1512</v>
      </c>
      <c r="C12823" s="964"/>
      <c r="D12823" s="964"/>
      <c r="E12823" s="549"/>
      <c r="F12823" s="549"/>
      <c r="G12823" s="549"/>
      <c r="H12823" s="549"/>
      <c r="I12823" s="558"/>
      <c r="J12823" s="567"/>
      <c r="K12823" s="648">
        <f t="shared" ref="K12823" si="2593">SUM(K12822)</f>
        <v>56</v>
      </c>
      <c r="L12823" s="567">
        <f>SUM(L12822)</f>
        <v>3.3515440000000001</v>
      </c>
      <c r="M12823" s="648"/>
      <c r="N12823" s="567"/>
      <c r="O12823" s="549"/>
      <c r="P12823" s="549"/>
    </row>
    <row r="12824" spans="1:17" s="1511" customFormat="1" ht="17.399999999999999">
      <c r="A12824" s="549"/>
      <c r="B12824" s="549"/>
      <c r="C12824" s="549"/>
      <c r="D12824" s="549"/>
      <c r="E12824" s="549"/>
      <c r="F12824" s="549"/>
      <c r="G12824" s="549"/>
      <c r="H12824" s="549"/>
      <c r="I12824" s="558"/>
      <c r="J12824" s="567"/>
      <c r="K12824" s="648">
        <f>SUM(K12809:K12823)/2</f>
        <v>857</v>
      </c>
      <c r="L12824" s="567">
        <f>SUM(L12809:L12823)/2</f>
        <v>48.241378999999995</v>
      </c>
      <c r="M12824" s="648">
        <f>SUM(M12809:M12823)/2</f>
        <v>53</v>
      </c>
      <c r="N12824" s="567">
        <f>SUM(N12809:N12823)/2</f>
        <v>2.5297000000000005</v>
      </c>
      <c r="O12824" s="549"/>
      <c r="P12824" s="549" t="s">
        <v>1525</v>
      </c>
    </row>
    <row r="12825" spans="1:17" s="1511" customFormat="1" ht="17.399999999999999">
      <c r="A12825" s="549"/>
      <c r="B12825" s="549"/>
      <c r="C12825" s="549"/>
      <c r="D12825" s="549"/>
      <c r="E12825" s="549"/>
      <c r="F12825" s="549"/>
      <c r="G12825" s="549"/>
      <c r="H12825" s="549"/>
      <c r="I12825" s="558"/>
      <c r="J12825" s="567"/>
      <c r="K12825" s="648"/>
      <c r="L12825" s="567"/>
      <c r="M12825" s="549"/>
      <c r="N12825" s="549"/>
      <c r="O12825" s="549"/>
      <c r="P12825" s="549"/>
    </row>
    <row r="12826" spans="1:17" ht="17.399999999999999">
      <c r="A12826" s="549"/>
      <c r="B12826" s="549"/>
      <c r="C12826" s="549"/>
      <c r="D12826" s="549"/>
      <c r="E12826" s="549"/>
      <c r="F12826" s="549"/>
      <c r="G12826" s="549"/>
      <c r="H12826" s="549"/>
      <c r="I12826" s="558"/>
      <c r="J12826" s="549"/>
      <c r="K12826" s="561"/>
      <c r="L12826" s="560"/>
      <c r="M12826" s="549"/>
      <c r="N12826" s="549"/>
      <c r="O12826" s="549"/>
      <c r="P12826" s="549"/>
    </row>
    <row r="12827" spans="1:17" ht="17.399999999999999">
      <c r="A12827" s="549"/>
      <c r="B12827" s="549"/>
      <c r="C12827" s="549"/>
      <c r="D12827" s="549"/>
      <c r="E12827" s="549"/>
      <c r="F12827" s="549"/>
      <c r="G12827" s="549"/>
      <c r="H12827" s="549"/>
      <c r="I12827" s="558"/>
      <c r="J12827" s="549"/>
      <c r="K12827" s="561"/>
      <c r="L12827" s="560"/>
      <c r="M12827" s="549"/>
      <c r="N12827" s="549"/>
      <c r="O12827" s="549"/>
      <c r="P12827" s="549"/>
    </row>
    <row r="12828" spans="1:17" ht="17.399999999999999">
      <c r="A12828" s="547" t="s">
        <v>83</v>
      </c>
      <c r="B12828" s="547" t="s">
        <v>1456</v>
      </c>
      <c r="C12828" s="547" t="s">
        <v>19</v>
      </c>
      <c r="D12828" s="813" t="s">
        <v>60</v>
      </c>
      <c r="E12828" s="547" t="s">
        <v>270</v>
      </c>
      <c r="F12828" s="550">
        <v>8</v>
      </c>
      <c r="G12828" s="549" t="s">
        <v>61</v>
      </c>
      <c r="H12828" s="599" t="s">
        <v>322</v>
      </c>
      <c r="I12828" s="558">
        <v>9.65</v>
      </c>
      <c r="J12828" s="567">
        <v>11.5</v>
      </c>
      <c r="K12828" s="648">
        <v>2</v>
      </c>
      <c r="L12828" s="552">
        <f>(I12828*J12828*K12828/1000)</f>
        <v>0.22195000000000001</v>
      </c>
      <c r="M12828" s="549">
        <v>2</v>
      </c>
      <c r="N12828" s="567">
        <f t="shared" ref="N12828" si="2594">J12828*M12828*I12828/1000</f>
        <v>0.22195000000000001</v>
      </c>
      <c r="O12828" s="549"/>
      <c r="P12828" s="549"/>
      <c r="Q12828" s="1511" t="s">
        <v>1582</v>
      </c>
    </row>
    <row r="12829" spans="1:17" ht="17.399999999999999">
      <c r="A12829" s="549"/>
      <c r="B12829" s="769" t="s">
        <v>1457</v>
      </c>
      <c r="C12829" s="549"/>
      <c r="D12829" s="549"/>
      <c r="E12829" s="549"/>
      <c r="F12829" s="549"/>
      <c r="G12829" s="549"/>
      <c r="H12829" s="549"/>
      <c r="I12829" s="558"/>
      <c r="J12829" s="567"/>
      <c r="K12829" s="648">
        <f>SUM(K12828)</f>
        <v>2</v>
      </c>
      <c r="L12829" s="567">
        <f>SUM(L12828)</f>
        <v>0.22195000000000001</v>
      </c>
      <c r="M12829" s="648">
        <f>SUM(M12828)</f>
        <v>2</v>
      </c>
      <c r="N12829" s="567">
        <f>SUM(N12828)</f>
        <v>0.22195000000000001</v>
      </c>
      <c r="O12829" s="549"/>
      <c r="P12829" s="549"/>
    </row>
    <row r="12830" spans="1:17" ht="17.399999999999999">
      <c r="A12830" s="549"/>
      <c r="B12830" s="549"/>
      <c r="C12830" s="549"/>
      <c r="D12830" s="549"/>
      <c r="E12830" s="549"/>
      <c r="F12830" s="549"/>
      <c r="G12830" s="549"/>
      <c r="H12830" s="549"/>
      <c r="I12830" s="558"/>
      <c r="J12830" s="549"/>
      <c r="K12830" s="561"/>
      <c r="L12830" s="560"/>
      <c r="M12830" s="549"/>
      <c r="N12830" s="549"/>
      <c r="O12830" s="549"/>
      <c r="P12830" s="549"/>
    </row>
    <row r="12831" spans="1:17" s="1511" customFormat="1" ht="17.399999999999999">
      <c r="A12831" s="549"/>
      <c r="B12831" s="549"/>
      <c r="C12831" s="549"/>
      <c r="D12831" s="549"/>
      <c r="E12831" s="549"/>
      <c r="F12831" s="549"/>
      <c r="G12831" s="549"/>
      <c r="H12831" s="549"/>
      <c r="I12831" s="558"/>
      <c r="J12831" s="567"/>
      <c r="K12831" s="648"/>
      <c r="L12831" s="567"/>
      <c r="M12831" s="549"/>
      <c r="N12831" s="549"/>
      <c r="O12831" s="549"/>
      <c r="P12831" s="549"/>
    </row>
    <row r="12832" spans="1:17" ht="17.399999999999999">
      <c r="A12832" s="547" t="s">
        <v>83</v>
      </c>
      <c r="B12832" s="547" t="s">
        <v>1453</v>
      </c>
      <c r="C12832" s="547" t="s">
        <v>19</v>
      </c>
      <c r="D12832" s="813" t="s">
        <v>854</v>
      </c>
      <c r="E12832" s="650" t="s">
        <v>464</v>
      </c>
      <c r="F12832" s="550">
        <v>10</v>
      </c>
      <c r="G12832" s="549" t="s">
        <v>21</v>
      </c>
      <c r="H12832" s="549" t="s">
        <v>130</v>
      </c>
      <c r="I12832" s="558">
        <v>6.17</v>
      </c>
      <c r="J12832" s="710">
        <v>12</v>
      </c>
      <c r="K12832" s="648">
        <v>5</v>
      </c>
      <c r="L12832" s="552">
        <f>(I12832*J12832*K12832/1000)</f>
        <v>0.37019999999999992</v>
      </c>
      <c r="M12832" s="549"/>
      <c r="N12832" s="549"/>
      <c r="O12832" s="549"/>
      <c r="P12832" s="549"/>
    </row>
    <row r="12833" spans="1:16" ht="17.399999999999999">
      <c r="A12833" s="549"/>
      <c r="B12833" s="1651" t="s">
        <v>1508</v>
      </c>
      <c r="C12833" s="964"/>
      <c r="D12833" s="549"/>
      <c r="E12833" s="549"/>
      <c r="F12833" s="549"/>
      <c r="G12833" s="549" t="s">
        <v>21</v>
      </c>
      <c r="H12833" s="549" t="s">
        <v>130</v>
      </c>
      <c r="I12833" s="558">
        <v>6.17</v>
      </c>
      <c r="J12833" s="710"/>
      <c r="K12833" s="648"/>
      <c r="L12833" s="552">
        <f>(I12833*J12833*K12833/1000)</f>
        <v>0</v>
      </c>
      <c r="M12833" s="549"/>
      <c r="N12833" s="549"/>
      <c r="O12833" s="549"/>
      <c r="P12833" s="549"/>
    </row>
    <row r="12834" spans="1:16" ht="17.399999999999999">
      <c r="A12834" s="549"/>
      <c r="B12834" s="549"/>
      <c r="C12834" s="549"/>
      <c r="D12834" s="549"/>
      <c r="E12834" s="549"/>
      <c r="F12834" s="549"/>
      <c r="G12834" s="549"/>
      <c r="H12834" s="650"/>
      <c r="I12834" s="558"/>
      <c r="J12834" s="710"/>
      <c r="K12834" s="648">
        <f>SUM(K12832:K12833)</f>
        <v>5</v>
      </c>
      <c r="L12834" s="765">
        <f>SUM(L12832:L12833)</f>
        <v>0.37019999999999992</v>
      </c>
      <c r="M12834" s="964" t="s">
        <v>1509</v>
      </c>
      <c r="N12834" s="964"/>
      <c r="O12834" s="549"/>
      <c r="P12834" s="549"/>
    </row>
    <row r="12835" spans="1:16" s="1511" customFormat="1" ht="17.399999999999999">
      <c r="A12835" s="549"/>
      <c r="B12835" s="549"/>
      <c r="C12835" s="549"/>
      <c r="D12835" s="549"/>
      <c r="E12835" s="549"/>
      <c r="F12835" s="549"/>
      <c r="G12835" s="549"/>
      <c r="H12835" s="650"/>
      <c r="I12835" s="558"/>
      <c r="J12835" s="710"/>
      <c r="K12835" s="648"/>
      <c r="L12835" s="765"/>
      <c r="M12835" s="549"/>
      <c r="N12835" s="549"/>
      <c r="O12835" s="549"/>
      <c r="P12835" s="549"/>
    </row>
    <row r="12836" spans="1:16" ht="17.399999999999999">
      <c r="A12836" s="547" t="s">
        <v>83</v>
      </c>
      <c r="B12836" s="547" t="s">
        <v>1453</v>
      </c>
      <c r="C12836" s="547" t="s">
        <v>19</v>
      </c>
      <c r="D12836" s="813" t="s">
        <v>854</v>
      </c>
      <c r="E12836" s="650" t="s">
        <v>464</v>
      </c>
      <c r="F12836" s="550">
        <v>10</v>
      </c>
      <c r="G12836" s="549" t="s">
        <v>21</v>
      </c>
      <c r="H12836" s="549" t="s">
        <v>131</v>
      </c>
      <c r="I12836" s="558">
        <v>7.34</v>
      </c>
      <c r="J12836" s="710">
        <v>12</v>
      </c>
      <c r="K12836" s="648">
        <v>26</v>
      </c>
      <c r="L12836" s="552">
        <f>(I12836*J12836*K12836/1000)</f>
        <v>2.2900800000000001</v>
      </c>
      <c r="M12836" s="549"/>
      <c r="N12836" s="549"/>
      <c r="O12836" s="549"/>
      <c r="P12836" s="549"/>
    </row>
    <row r="12837" spans="1:16" ht="17.399999999999999">
      <c r="A12837" s="549"/>
      <c r="B12837" s="1651" t="s">
        <v>1508</v>
      </c>
      <c r="C12837" s="964"/>
      <c r="D12837" s="549"/>
      <c r="E12837" s="549"/>
      <c r="F12837" s="549"/>
      <c r="G12837" s="549" t="s">
        <v>21</v>
      </c>
      <c r="H12837" s="549" t="s">
        <v>131</v>
      </c>
      <c r="I12837" s="558">
        <v>7.34</v>
      </c>
      <c r="J12837" s="710"/>
      <c r="K12837" s="648"/>
      <c r="L12837" s="552">
        <f>(I12837*J12837*K12837/1000)</f>
        <v>0</v>
      </c>
      <c r="M12837" s="549"/>
      <c r="N12837" s="549"/>
      <c r="O12837" s="549"/>
      <c r="P12837" s="549"/>
    </row>
    <row r="12838" spans="1:16" ht="17.399999999999999">
      <c r="A12838" s="549"/>
      <c r="B12838" s="549"/>
      <c r="C12838" s="549"/>
      <c r="D12838" s="549"/>
      <c r="E12838" s="549"/>
      <c r="F12838" s="549"/>
      <c r="G12838" s="549"/>
      <c r="H12838" s="650"/>
      <c r="I12838" s="558"/>
      <c r="J12838" s="710"/>
      <c r="K12838" s="648">
        <f>SUM(K12836:K12837)</f>
        <v>26</v>
      </c>
      <c r="L12838" s="765">
        <f>SUM(L12836:L12837)</f>
        <v>2.2900800000000001</v>
      </c>
      <c r="M12838" s="964" t="s">
        <v>1509</v>
      </c>
      <c r="N12838" s="964"/>
      <c r="O12838" s="549"/>
      <c r="P12838" s="549"/>
    </row>
    <row r="12839" spans="1:16" ht="17.399999999999999">
      <c r="A12839" s="549"/>
      <c r="B12839" s="549"/>
      <c r="C12839" s="549"/>
      <c r="D12839" s="549"/>
      <c r="E12839" s="549"/>
      <c r="F12839" s="549"/>
      <c r="G12839" s="549"/>
      <c r="H12839" s="549"/>
      <c r="I12839" s="558"/>
      <c r="J12839" s="549"/>
      <c r="K12839" s="561"/>
      <c r="L12839" s="560"/>
      <c r="M12839" s="549"/>
      <c r="N12839" s="549"/>
      <c r="O12839" s="549"/>
      <c r="P12839" s="549"/>
    </row>
    <row r="12840" spans="1:16" s="1511" customFormat="1" ht="17.399999999999999">
      <c r="A12840" s="549"/>
      <c r="B12840" s="549"/>
      <c r="C12840" s="549"/>
      <c r="D12840" s="549"/>
      <c r="E12840" s="549"/>
      <c r="F12840" s="549"/>
      <c r="G12840" s="549"/>
      <c r="H12840" s="549"/>
      <c r="I12840" s="558"/>
      <c r="J12840" s="549"/>
      <c r="K12840" s="561"/>
      <c r="L12840" s="560"/>
      <c r="M12840" s="549"/>
      <c r="N12840" s="549"/>
      <c r="O12840" s="549"/>
      <c r="P12840" s="549"/>
    </row>
    <row r="12841" spans="1:16" ht="17.399999999999999">
      <c r="A12841" s="549"/>
      <c r="B12841" s="549"/>
      <c r="C12841" s="549"/>
      <c r="D12841" s="549"/>
      <c r="E12841" s="549"/>
      <c r="F12841" s="549"/>
      <c r="G12841" s="549"/>
      <c r="H12841" s="549"/>
      <c r="I12841" s="558"/>
      <c r="J12841" s="549"/>
      <c r="K12841" s="561"/>
      <c r="L12841" s="560"/>
      <c r="M12841" s="549"/>
      <c r="N12841" s="549"/>
      <c r="O12841" s="549"/>
      <c r="P12841" s="549"/>
    </row>
    <row r="12842" spans="1:16" ht="17.399999999999999">
      <c r="A12842" s="549"/>
      <c r="B12842" s="549"/>
      <c r="C12842" s="549"/>
      <c r="D12842" s="549"/>
      <c r="E12842" s="549"/>
      <c r="F12842" s="549"/>
      <c r="G12842" s="549"/>
      <c r="H12842" s="549"/>
      <c r="I12842" s="558"/>
      <c r="J12842" s="549"/>
      <c r="K12842" s="561"/>
      <c r="L12842" s="565">
        <f>+L12838+L12834+L12829+L12773+L12756+L12737+L12750+L12777+L12785+L12806+L12824+L12727+L12712</f>
        <v>356.01857899999999</v>
      </c>
      <c r="M12842" s="549"/>
      <c r="N12842" s="565">
        <f>+N12838+N12834+N12829+N12773+N12756+N12737+N12750+N12777+N12785+N12806+N12824+N12727+N12712</f>
        <v>14.236977000000001</v>
      </c>
      <c r="O12842" s="549"/>
      <c r="P12842" s="549"/>
    </row>
    <row r="12843" spans="1:16" s="1511" customFormat="1" ht="18">
      <c r="A12843" s="653" t="s">
        <v>48</v>
      </c>
      <c r="B12843" s="653"/>
      <c r="C12843" s="654"/>
      <c r="D12843" s="654"/>
      <c r="E12843" s="654"/>
      <c r="F12843" s="1649"/>
      <c r="G12843" s="654"/>
      <c r="H12843" s="1649"/>
      <c r="I12843" s="656"/>
      <c r="J12843" s="654"/>
      <c r="K12843" s="657"/>
      <c r="L12843" s="2003" t="s">
        <v>0</v>
      </c>
      <c r="M12843" s="2003"/>
      <c r="N12843" s="2003"/>
      <c r="O12843" s="2004"/>
      <c r="P12843" s="1097"/>
    </row>
    <row r="12844" spans="1:16" s="1511" customFormat="1" ht="18">
      <c r="A12844" s="658" t="s">
        <v>1</v>
      </c>
      <c r="B12844" s="658"/>
      <c r="C12844" s="658"/>
      <c r="D12844" s="659" t="s">
        <v>2</v>
      </c>
      <c r="E12844" s="659"/>
      <c r="F12844" s="660"/>
      <c r="G12844" s="660"/>
      <c r="H12844" s="660"/>
      <c r="I12844" s="661"/>
      <c r="J12844" s="660"/>
      <c r="K12844" s="662" t="s">
        <v>3</v>
      </c>
      <c r="L12844" s="660"/>
      <c r="M12844" s="658"/>
      <c r="N12844" s="660"/>
      <c r="O12844" s="663"/>
      <c r="P12844" s="1098"/>
    </row>
    <row r="12845" spans="1:16" s="1511" customFormat="1" ht="18">
      <c r="A12845" s="1649" t="s">
        <v>22</v>
      </c>
      <c r="B12845" s="1990" t="s">
        <v>23</v>
      </c>
      <c r="C12845" s="2005"/>
      <c r="D12845" s="1989"/>
      <c r="E12845" s="1649" t="s">
        <v>24</v>
      </c>
      <c r="F12845" s="1990" t="s">
        <v>25</v>
      </c>
      <c r="G12845" s="1989"/>
      <c r="H12845" s="1990" t="s">
        <v>26</v>
      </c>
      <c r="I12845" s="2005"/>
      <c r="J12845" s="2005"/>
      <c r="K12845" s="1989"/>
      <c r="L12845" s="2006" t="s">
        <v>27</v>
      </c>
      <c r="M12845" s="2006"/>
      <c r="N12845" s="2006"/>
      <c r="O12845" s="1990"/>
      <c r="P12845" s="1098"/>
    </row>
    <row r="12846" spans="1:16" s="1511" customFormat="1" ht="18">
      <c r="A12846" s="664"/>
      <c r="B12846" s="1975"/>
      <c r="C12846" s="1976"/>
      <c r="D12846" s="1977"/>
      <c r="E12846" s="665"/>
      <c r="F12846" s="1975"/>
      <c r="G12846" s="1977"/>
      <c r="H12846" s="1975"/>
      <c r="I12846" s="1976"/>
      <c r="J12846" s="1976"/>
      <c r="K12846" s="1977"/>
      <c r="L12846" s="1975"/>
      <c r="M12846" s="1976"/>
      <c r="N12846" s="1976"/>
      <c r="O12846" s="1976"/>
      <c r="P12846" s="1098"/>
    </row>
    <row r="12847" spans="1:16" s="1511" customFormat="1" ht="18">
      <c r="A12847" s="664"/>
      <c r="B12847" s="1641"/>
      <c r="C12847" s="1642"/>
      <c r="D12847" s="1643"/>
      <c r="E12847" s="665"/>
      <c r="F12847" s="1641"/>
      <c r="G12847" s="1643"/>
      <c r="H12847" s="1641"/>
      <c r="I12847" s="1842"/>
      <c r="J12847" s="1642"/>
      <c r="K12847" s="1643"/>
      <c r="L12847" s="1642"/>
      <c r="M12847" s="1642"/>
      <c r="N12847" s="1642"/>
      <c r="O12847" s="1642"/>
      <c r="P12847" s="1098"/>
    </row>
    <row r="12848" spans="1:16" s="1511" customFormat="1" ht="18">
      <c r="A12848" s="664" t="s">
        <v>28</v>
      </c>
      <c r="B12848" s="1975" t="s">
        <v>198</v>
      </c>
      <c r="C12848" s="1976"/>
      <c r="D12848" s="1977"/>
      <c r="E12848" s="665">
        <f>+L12712-5.287</f>
        <v>43.724344000000002</v>
      </c>
      <c r="F12848" s="1973">
        <v>10</v>
      </c>
      <c r="G12848" s="1974"/>
      <c r="H12848" s="1975" t="s">
        <v>447</v>
      </c>
      <c r="I12848" s="1976"/>
      <c r="J12848" s="1976"/>
      <c r="K12848" s="1977"/>
      <c r="L12848" s="1976" t="s">
        <v>1046</v>
      </c>
      <c r="M12848" s="1976"/>
      <c r="N12848" s="1976"/>
      <c r="O12848" s="1976"/>
      <c r="P12848" s="1098"/>
    </row>
    <row r="12849" spans="1:16" s="1511" customFormat="1" ht="18">
      <c r="A12849" s="664" t="s">
        <v>29</v>
      </c>
      <c r="B12849" s="1975" t="s">
        <v>199</v>
      </c>
      <c r="C12849" s="1976"/>
      <c r="D12849" s="1977"/>
      <c r="E12849" s="665">
        <f>+L12727-2.878</f>
        <v>55.970842999999995</v>
      </c>
      <c r="F12849" s="1973">
        <v>10</v>
      </c>
      <c r="G12849" s="1974"/>
      <c r="H12849" s="1975" t="s">
        <v>447</v>
      </c>
      <c r="I12849" s="1976"/>
      <c r="J12849" s="1976"/>
      <c r="K12849" s="1977"/>
      <c r="L12849" s="1976" t="s">
        <v>1046</v>
      </c>
      <c r="M12849" s="1976"/>
      <c r="N12849" s="1976"/>
      <c r="O12849" s="1976"/>
      <c r="P12849" s="1098"/>
    </row>
    <row r="12850" spans="1:16" s="1511" customFormat="1" ht="18">
      <c r="A12850" s="664"/>
      <c r="B12850" s="1975"/>
      <c r="C12850" s="1976"/>
      <c r="D12850" s="1977"/>
      <c r="E12850" s="665"/>
      <c r="F12850" s="1973"/>
      <c r="G12850" s="1974"/>
      <c r="H12850" s="1975"/>
      <c r="I12850" s="1976"/>
      <c r="J12850" s="1976"/>
      <c r="K12850" s="1977"/>
      <c r="L12850" s="1976"/>
      <c r="M12850" s="1976"/>
      <c r="N12850" s="1976"/>
      <c r="O12850" s="1976"/>
      <c r="P12850" s="1098"/>
    </row>
    <row r="12851" spans="1:16" s="1511" customFormat="1" ht="18">
      <c r="A12851" s="664"/>
      <c r="B12851" s="1641"/>
      <c r="C12851" s="1642"/>
      <c r="D12851" s="1643"/>
      <c r="E12851" s="665"/>
      <c r="F12851" s="1644"/>
      <c r="G12851" s="1645"/>
      <c r="H12851" s="1641"/>
      <c r="I12851" s="1842"/>
      <c r="J12851" s="1642"/>
      <c r="K12851" s="1643"/>
      <c r="L12851" s="1642"/>
      <c r="M12851" s="1642"/>
      <c r="N12851" s="1642"/>
      <c r="O12851" s="1642"/>
      <c r="P12851" s="1098"/>
    </row>
    <row r="12852" spans="1:16" s="1511" customFormat="1" ht="18">
      <c r="A12852" s="664" t="s">
        <v>30</v>
      </c>
      <c r="B12852" s="1975" t="s">
        <v>570</v>
      </c>
      <c r="C12852" s="1976"/>
      <c r="D12852" s="1977"/>
      <c r="E12852" s="665">
        <f>+L12737</f>
        <v>34.245968000000005</v>
      </c>
      <c r="F12852" s="1973">
        <v>10</v>
      </c>
      <c r="G12852" s="1974"/>
      <c r="H12852" s="1975" t="s">
        <v>155</v>
      </c>
      <c r="I12852" s="1976"/>
      <c r="J12852" s="1976"/>
      <c r="K12852" s="1977"/>
      <c r="L12852" s="1976" t="s">
        <v>1138</v>
      </c>
      <c r="M12852" s="1976"/>
      <c r="N12852" s="1976"/>
      <c r="O12852" s="1976"/>
      <c r="P12852" s="1098"/>
    </row>
    <row r="12853" spans="1:16" s="1511" customFormat="1" ht="18">
      <c r="A12853" s="664" t="s">
        <v>46</v>
      </c>
      <c r="B12853" s="1975" t="s">
        <v>595</v>
      </c>
      <c r="C12853" s="1976"/>
      <c r="D12853" s="1977"/>
      <c r="E12853" s="665">
        <f>+L12750-2.392</f>
        <v>50.642817999999998</v>
      </c>
      <c r="F12853" s="1973">
        <v>10</v>
      </c>
      <c r="G12853" s="1974"/>
      <c r="H12853" s="1975" t="s">
        <v>155</v>
      </c>
      <c r="I12853" s="1976"/>
      <c r="J12853" s="1976"/>
      <c r="K12853" s="1977"/>
      <c r="L12853" s="1976" t="s">
        <v>1138</v>
      </c>
      <c r="M12853" s="1976"/>
      <c r="N12853" s="1976"/>
      <c r="O12853" s="1976"/>
      <c r="P12853" s="1098"/>
    </row>
    <row r="12854" spans="1:16" s="1511" customFormat="1" ht="18">
      <c r="A12854" s="664"/>
      <c r="B12854" s="1641"/>
      <c r="C12854" s="1642"/>
      <c r="D12854" s="1643"/>
      <c r="E12854" s="665"/>
      <c r="F12854" s="1644"/>
      <c r="G12854" s="1645"/>
      <c r="H12854" s="1642"/>
      <c r="I12854" s="1842"/>
      <c r="J12854" s="1642"/>
      <c r="K12854" s="1642"/>
      <c r="L12854" s="1642"/>
      <c r="M12854" s="1642"/>
      <c r="N12854" s="1642"/>
      <c r="O12854" s="1642"/>
      <c r="P12854" s="1098"/>
    </row>
    <row r="12855" spans="1:16" s="1511" customFormat="1" ht="18">
      <c r="A12855" s="664"/>
      <c r="B12855" s="1641"/>
      <c r="C12855" s="1642"/>
      <c r="D12855" s="1643"/>
      <c r="E12855" s="665"/>
      <c r="F12855" s="1644"/>
      <c r="G12855" s="1645"/>
      <c r="H12855" s="1642"/>
      <c r="I12855" s="1842"/>
      <c r="J12855" s="1642"/>
      <c r="K12855" s="1642"/>
      <c r="L12855" s="1642"/>
      <c r="M12855" s="1642"/>
      <c r="N12855" s="1642"/>
      <c r="O12855" s="1642"/>
      <c r="P12855" s="1098"/>
    </row>
    <row r="12856" spans="1:16" s="1511" customFormat="1" ht="18">
      <c r="A12856" s="664" t="s">
        <v>58</v>
      </c>
      <c r="B12856" s="1975" t="s">
        <v>570</v>
      </c>
      <c r="C12856" s="1976"/>
      <c r="D12856" s="1977"/>
      <c r="E12856" s="665">
        <v>3</v>
      </c>
      <c r="F12856" s="1973">
        <v>10</v>
      </c>
      <c r="G12856" s="1974"/>
      <c r="H12856" s="1975" t="s">
        <v>450</v>
      </c>
      <c r="I12856" s="1976"/>
      <c r="J12856" s="1976"/>
      <c r="K12856" s="1977"/>
      <c r="L12856" s="1976" t="s">
        <v>1138</v>
      </c>
      <c r="M12856" s="1976"/>
      <c r="N12856" s="1976"/>
      <c r="O12856" s="1976"/>
      <c r="P12856" s="1098"/>
    </row>
    <row r="12857" spans="1:16" s="1511" customFormat="1" ht="18">
      <c r="A12857" s="664" t="s">
        <v>163</v>
      </c>
      <c r="B12857" s="1975" t="s">
        <v>595</v>
      </c>
      <c r="C12857" s="1976"/>
      <c r="D12857" s="1977"/>
      <c r="E12857" s="665">
        <f>+L12773</f>
        <v>7.9856000000000016</v>
      </c>
      <c r="F12857" s="1973">
        <v>10</v>
      </c>
      <c r="G12857" s="1974"/>
      <c r="H12857" s="1975" t="s">
        <v>450</v>
      </c>
      <c r="I12857" s="1976"/>
      <c r="J12857" s="1976"/>
      <c r="K12857" s="1977"/>
      <c r="L12857" s="1976" t="s">
        <v>1138</v>
      </c>
      <c r="M12857" s="1976"/>
      <c r="N12857" s="1976"/>
      <c r="O12857" s="1976"/>
      <c r="P12857" s="1098"/>
    </row>
    <row r="12858" spans="1:16" s="1511" customFormat="1" ht="18">
      <c r="A12858" s="664" t="s">
        <v>302</v>
      </c>
      <c r="B12858" s="1975" t="s">
        <v>1513</v>
      </c>
      <c r="C12858" s="1976"/>
      <c r="D12858" s="1977"/>
      <c r="E12858" s="665">
        <v>3</v>
      </c>
      <c r="F12858" s="1973">
        <v>10</v>
      </c>
      <c r="G12858" s="1974"/>
      <c r="H12858" s="1975" t="s">
        <v>450</v>
      </c>
      <c r="I12858" s="1976"/>
      <c r="J12858" s="1976"/>
      <c r="K12858" s="1977"/>
      <c r="L12858" s="1976" t="s">
        <v>1138</v>
      </c>
      <c r="M12858" s="1976"/>
      <c r="N12858" s="1976"/>
      <c r="O12858" s="1976"/>
      <c r="P12858" s="1098"/>
    </row>
    <row r="12859" spans="1:16" s="1511" customFormat="1" ht="18">
      <c r="A12859" s="664"/>
      <c r="B12859" s="1641"/>
      <c r="C12859" s="1642"/>
      <c r="D12859" s="1643"/>
      <c r="E12859" s="665"/>
      <c r="F12859" s="1644"/>
      <c r="G12859" s="1645"/>
      <c r="H12859" s="1641"/>
      <c r="I12859" s="1842"/>
      <c r="J12859" s="1642"/>
      <c r="K12859" s="1643"/>
      <c r="L12859" s="1642"/>
      <c r="M12859" s="1642"/>
      <c r="N12859" s="1642"/>
      <c r="O12859" s="1642"/>
      <c r="P12859" s="1098"/>
    </row>
    <row r="12860" spans="1:16" s="1511" customFormat="1" ht="18">
      <c r="A12860" s="664"/>
      <c r="B12860" s="1641"/>
      <c r="C12860" s="1642"/>
      <c r="D12860" s="1643"/>
      <c r="E12860" s="665"/>
      <c r="F12860" s="1644"/>
      <c r="G12860" s="1645"/>
      <c r="H12860" s="1642"/>
      <c r="I12860" s="1842"/>
      <c r="J12860" s="1642"/>
      <c r="K12860" s="1642"/>
      <c r="L12860" s="1642"/>
      <c r="M12860" s="1642"/>
      <c r="N12860" s="1642"/>
      <c r="O12860" s="1642"/>
      <c r="P12860" s="1098"/>
    </row>
    <row r="12861" spans="1:16" s="1511" customFormat="1" ht="18">
      <c r="A12861" s="664" t="s">
        <v>380</v>
      </c>
      <c r="B12861" s="1975" t="s">
        <v>1481</v>
      </c>
      <c r="C12861" s="1976"/>
      <c r="D12861" s="1977"/>
      <c r="E12861" s="665">
        <v>3</v>
      </c>
      <c r="F12861" s="1973">
        <v>10</v>
      </c>
      <c r="G12861" s="1974"/>
      <c r="H12861" s="1975" t="s">
        <v>49</v>
      </c>
      <c r="I12861" s="1976"/>
      <c r="J12861" s="1976"/>
      <c r="K12861" s="1977"/>
      <c r="L12861" s="1976" t="s">
        <v>1046</v>
      </c>
      <c r="M12861" s="1976"/>
      <c r="N12861" s="1976"/>
      <c r="O12861" s="1976"/>
      <c r="P12861" s="1098"/>
    </row>
    <row r="12862" spans="1:16" s="1511" customFormat="1" ht="18">
      <c r="A12862" s="664" t="s">
        <v>434</v>
      </c>
      <c r="B12862" s="1975" t="s">
        <v>198</v>
      </c>
      <c r="C12862" s="1976"/>
      <c r="D12862" s="1977"/>
      <c r="E12862" s="665">
        <f>+L12806-0.929-36.806</f>
        <v>60.669979999999995</v>
      </c>
      <c r="F12862" s="1973">
        <v>10</v>
      </c>
      <c r="G12862" s="1974"/>
      <c r="H12862" s="1975" t="s">
        <v>49</v>
      </c>
      <c r="I12862" s="1976"/>
      <c r="J12862" s="1976"/>
      <c r="K12862" s="1977"/>
      <c r="L12862" s="1976" t="s">
        <v>1046</v>
      </c>
      <c r="M12862" s="1976"/>
      <c r="N12862" s="1976"/>
      <c r="O12862" s="1976"/>
      <c r="P12862" s="1098"/>
    </row>
    <row r="12863" spans="1:16" s="1511" customFormat="1" ht="18">
      <c r="A12863" s="664" t="s">
        <v>474</v>
      </c>
      <c r="B12863" s="1975" t="s">
        <v>199</v>
      </c>
      <c r="C12863" s="1976"/>
      <c r="D12863" s="1977"/>
      <c r="E12863" s="665">
        <f>+L12824-2.53</f>
        <v>45.711378999999994</v>
      </c>
      <c r="F12863" s="1973">
        <v>10</v>
      </c>
      <c r="G12863" s="1974"/>
      <c r="H12863" s="1975" t="s">
        <v>49</v>
      </c>
      <c r="I12863" s="1976"/>
      <c r="J12863" s="1976"/>
      <c r="K12863" s="1977"/>
      <c r="L12863" s="1976" t="s">
        <v>1046</v>
      </c>
      <c r="M12863" s="1976"/>
      <c r="N12863" s="1976"/>
      <c r="O12863" s="1976"/>
      <c r="P12863" s="1098"/>
    </row>
    <row r="12864" spans="1:16" s="1511" customFormat="1" ht="18">
      <c r="A12864" s="664"/>
      <c r="B12864" s="1975"/>
      <c r="C12864" s="1976"/>
      <c r="D12864" s="1977"/>
      <c r="E12864" s="665"/>
      <c r="F12864" s="1973"/>
      <c r="G12864" s="1974"/>
      <c r="H12864" s="1975"/>
      <c r="I12864" s="1976"/>
      <c r="J12864" s="1976"/>
      <c r="K12864" s="1977"/>
      <c r="L12864" s="1976"/>
      <c r="M12864" s="1976"/>
      <c r="N12864" s="1976"/>
      <c r="O12864" s="1976"/>
      <c r="P12864" s="1098"/>
    </row>
    <row r="12865" spans="1:16" s="1511" customFormat="1" ht="18">
      <c r="A12865" s="664"/>
      <c r="B12865" s="1641"/>
      <c r="C12865" s="1642"/>
      <c r="D12865" s="1643"/>
      <c r="E12865" s="665"/>
      <c r="F12865" s="1641"/>
      <c r="G12865" s="1643"/>
      <c r="H12865" s="1641"/>
      <c r="I12865" s="1842"/>
      <c r="J12865" s="1642"/>
      <c r="K12865" s="1643"/>
      <c r="L12865" s="1642"/>
      <c r="M12865" s="1642"/>
      <c r="N12865" s="1642"/>
      <c r="O12865" s="1642"/>
      <c r="P12865" s="1098"/>
    </row>
    <row r="12866" spans="1:16" s="1511" customFormat="1" ht="18.600000000000001" thickBot="1">
      <c r="A12866" s="664"/>
      <c r="B12866" s="1641"/>
      <c r="C12866" s="1642"/>
      <c r="D12866" s="1642"/>
      <c r="E12866" s="665"/>
      <c r="F12866" s="1642"/>
      <c r="G12866" s="1643"/>
      <c r="H12866" s="1641"/>
      <c r="I12866" s="1842"/>
      <c r="J12866" s="1642"/>
      <c r="K12866" s="669"/>
      <c r="L12866" s="672"/>
      <c r="M12866" s="673"/>
      <c r="N12866" s="673"/>
      <c r="O12866" s="673"/>
      <c r="P12866" s="1098"/>
    </row>
    <row r="12867" spans="1:16" s="1511" customFormat="1" ht="18">
      <c r="A12867" s="674"/>
      <c r="B12867" s="675"/>
      <c r="C12867" s="676"/>
      <c r="D12867" s="676"/>
      <c r="E12867" s="1980">
        <f>SUM(E12846:E12866)</f>
        <v>307.95093199999997</v>
      </c>
      <c r="F12867" s="677"/>
      <c r="G12867" s="678"/>
      <c r="H12867" s="679"/>
      <c r="I12867" s="1848"/>
      <c r="J12867" s="676"/>
      <c r="K12867" s="680"/>
      <c r="L12867" s="679"/>
      <c r="M12867" s="676"/>
      <c r="N12867" s="677"/>
      <c r="O12867" s="676"/>
      <c r="P12867" s="1098"/>
    </row>
    <row r="12868" spans="1:16" s="1511" customFormat="1" ht="18.600000000000001" thickBot="1">
      <c r="A12868" s="681"/>
      <c r="B12868" s="682"/>
      <c r="C12868" s="683"/>
      <c r="D12868" s="683"/>
      <c r="E12868" s="1981"/>
      <c r="F12868" s="684"/>
      <c r="G12868" s="685"/>
      <c r="H12868" s="686"/>
      <c r="I12868" s="1850"/>
      <c r="J12868" s="683"/>
      <c r="K12868" s="687"/>
      <c r="L12868" s="686"/>
      <c r="M12868" s="683"/>
      <c r="N12868" s="684"/>
      <c r="O12868" s="683"/>
      <c r="P12868" s="1098"/>
    </row>
    <row r="12869" spans="1:16" s="1511" customFormat="1" ht="18">
      <c r="A12869" s="688" t="s">
        <v>31</v>
      </c>
      <c r="B12869" s="676"/>
      <c r="C12869" s="676"/>
      <c r="D12869" s="676"/>
      <c r="E12869" s="676"/>
      <c r="F12869" s="677"/>
      <c r="G12869" s="676"/>
      <c r="H12869" s="677"/>
      <c r="I12869" s="1848"/>
      <c r="J12869" s="676"/>
      <c r="K12869" s="689"/>
      <c r="L12869" s="677"/>
      <c r="M12869" s="676"/>
      <c r="N12869" s="677"/>
      <c r="O12869" s="676"/>
      <c r="P12869" s="1098"/>
    </row>
    <row r="12870" spans="1:16" s="1511" customFormat="1" ht="18">
      <c r="A12870" s="690"/>
      <c r="B12870" s="691"/>
      <c r="C12870" s="691"/>
      <c r="D12870" s="691"/>
      <c r="E12870" s="691"/>
      <c r="F12870" s="1646"/>
      <c r="G12870" s="691"/>
      <c r="H12870" s="1646"/>
      <c r="I12870" s="1849"/>
      <c r="J12870" s="691"/>
      <c r="K12870" s="693"/>
      <c r="L12870" s="1646"/>
      <c r="M12870" s="691"/>
      <c r="N12870" s="1646"/>
      <c r="O12870" s="691"/>
      <c r="P12870" s="1098"/>
    </row>
    <row r="12871" spans="1:16" s="1511" customFormat="1" ht="18.600000000000001" thickBot="1">
      <c r="A12871" s="1982" t="s">
        <v>32</v>
      </c>
      <c r="B12871" s="1983"/>
      <c r="C12871" s="1984" t="s">
        <v>33</v>
      </c>
      <c r="D12871" s="1985"/>
      <c r="E12871" s="694" t="s">
        <v>34</v>
      </c>
      <c r="F12871" s="694" t="s">
        <v>35</v>
      </c>
      <c r="G12871" s="1986" t="s">
        <v>36</v>
      </c>
      <c r="H12871" s="1987"/>
      <c r="I12871" s="1987"/>
      <c r="J12871" s="1987"/>
      <c r="K12871" s="1987"/>
      <c r="L12871" s="1987"/>
      <c r="M12871" s="1987"/>
      <c r="N12871" s="1987"/>
      <c r="O12871" s="1987"/>
      <c r="P12871" s="1098"/>
    </row>
    <row r="12872" spans="1:16" s="1511" customFormat="1" ht="18">
      <c r="A12872" s="1988"/>
      <c r="B12872" s="1989"/>
      <c r="C12872" s="1990"/>
      <c r="D12872" s="1989"/>
      <c r="E12872" s="1649"/>
      <c r="F12872" s="1647"/>
      <c r="G12872" s="1991"/>
      <c r="H12872" s="1992"/>
      <c r="I12872" s="1992"/>
      <c r="J12872" s="1992"/>
      <c r="K12872" s="1992"/>
      <c r="L12872" s="1992"/>
      <c r="M12872" s="1992"/>
      <c r="N12872" s="1992"/>
      <c r="O12872" s="1992"/>
      <c r="P12872" s="1098"/>
    </row>
    <row r="12873" spans="1:16" s="1511" customFormat="1" ht="18">
      <c r="A12873" s="1997" t="s">
        <v>37</v>
      </c>
      <c r="B12873" s="1998"/>
      <c r="C12873" s="1990"/>
      <c r="D12873" s="1989"/>
      <c r="E12873" s="1649"/>
      <c r="F12873" s="1647"/>
      <c r="G12873" s="1993"/>
      <c r="H12873" s="1994"/>
      <c r="I12873" s="1994"/>
      <c r="J12873" s="1994"/>
      <c r="K12873" s="1994"/>
      <c r="L12873" s="1994"/>
      <c r="M12873" s="1994"/>
      <c r="N12873" s="1994"/>
      <c r="O12873" s="1994"/>
      <c r="P12873" s="1098"/>
    </row>
    <row r="12874" spans="1:16" s="1511" customFormat="1" ht="18">
      <c r="A12874" s="1997" t="s">
        <v>38</v>
      </c>
      <c r="B12874" s="1998"/>
      <c r="C12874" s="1990"/>
      <c r="D12874" s="1989"/>
      <c r="E12874" s="1649"/>
      <c r="F12874" s="1647"/>
      <c r="G12874" s="1993"/>
      <c r="H12874" s="1994"/>
      <c r="I12874" s="1994"/>
      <c r="J12874" s="1994"/>
      <c r="K12874" s="1994"/>
      <c r="L12874" s="1994"/>
      <c r="M12874" s="1994"/>
      <c r="N12874" s="1994"/>
      <c r="O12874" s="1994"/>
      <c r="P12874" s="1098"/>
    </row>
    <row r="12875" spans="1:16" s="1511" customFormat="1" ht="18">
      <c r="A12875" s="1997" t="s">
        <v>39</v>
      </c>
      <c r="B12875" s="1998"/>
      <c r="C12875" s="1990"/>
      <c r="D12875" s="1989"/>
      <c r="E12875" s="1649"/>
      <c r="F12875" s="1647"/>
      <c r="G12875" s="1993"/>
      <c r="H12875" s="1994"/>
      <c r="I12875" s="1994"/>
      <c r="J12875" s="1994"/>
      <c r="K12875" s="1994"/>
      <c r="L12875" s="1994"/>
      <c r="M12875" s="1994"/>
      <c r="N12875" s="1994"/>
      <c r="O12875" s="1994"/>
      <c r="P12875" s="1098"/>
    </row>
    <row r="12876" spans="1:16" s="1511" customFormat="1" ht="18">
      <c r="A12876" s="1997" t="s">
        <v>40</v>
      </c>
      <c r="B12876" s="1998"/>
      <c r="C12876" s="1990"/>
      <c r="D12876" s="1989"/>
      <c r="E12876" s="1649"/>
      <c r="F12876" s="1647"/>
      <c r="G12876" s="1993"/>
      <c r="H12876" s="1994"/>
      <c r="I12876" s="1994"/>
      <c r="J12876" s="1994"/>
      <c r="K12876" s="1994"/>
      <c r="L12876" s="1994"/>
      <c r="M12876" s="1994"/>
      <c r="N12876" s="1994"/>
      <c r="O12876" s="1994"/>
      <c r="P12876" s="1098"/>
    </row>
    <row r="12877" spans="1:16" s="1511" customFormat="1" ht="18.600000000000001" thickBot="1">
      <c r="A12877" s="1999" t="s">
        <v>41</v>
      </c>
      <c r="B12877" s="2000"/>
      <c r="C12877" s="2001"/>
      <c r="D12877" s="2002"/>
      <c r="E12877" s="696"/>
      <c r="F12877" s="1648"/>
      <c r="G12877" s="1995"/>
      <c r="H12877" s="1996"/>
      <c r="I12877" s="1996"/>
      <c r="J12877" s="1996"/>
      <c r="K12877" s="1996"/>
      <c r="L12877" s="1996"/>
      <c r="M12877" s="1996"/>
      <c r="N12877" s="1996"/>
      <c r="O12877" s="1996"/>
      <c r="P12877" s="1098"/>
    </row>
    <row r="12878" spans="1:16" s="1511" customFormat="1" ht="18">
      <c r="A12878" s="690"/>
      <c r="B12878" s="691"/>
      <c r="C12878" s="691"/>
      <c r="D12878" s="691"/>
      <c r="E12878" s="691"/>
      <c r="F12878" s="1646"/>
      <c r="G12878" s="691"/>
      <c r="H12878" s="698"/>
      <c r="I12878" s="699"/>
      <c r="J12878" s="700"/>
      <c r="K12878" s="701"/>
      <c r="L12878" s="702"/>
      <c r="M12878" s="691"/>
      <c r="N12878" s="1646"/>
      <c r="O12878" s="691"/>
      <c r="P12878" s="1098"/>
    </row>
    <row r="12879" spans="1:16" s="1511" customFormat="1" ht="18">
      <c r="A12879" s="703" t="s">
        <v>42</v>
      </c>
      <c r="B12879" s="704"/>
      <c r="C12879" s="691"/>
      <c r="D12879" s="691"/>
      <c r="E12879" s="691"/>
      <c r="F12879" s="1646"/>
      <c r="G12879" s="704"/>
      <c r="H12879" s="698"/>
      <c r="I12879" s="699"/>
      <c r="J12879" s="700"/>
      <c r="K12879" s="693"/>
      <c r="L12879" s="705"/>
      <c r="M12879" s="691"/>
      <c r="N12879" s="1979" t="s">
        <v>43</v>
      </c>
      <c r="O12879" s="1979"/>
      <c r="P12879" s="1098"/>
    </row>
    <row r="12880" spans="1:16" s="1511" customFormat="1" ht="18">
      <c r="A12880" s="703"/>
      <c r="B12880" s="704"/>
      <c r="C12880" s="691"/>
      <c r="D12880" s="691"/>
      <c r="E12880" s="691"/>
      <c r="F12880" s="1646"/>
      <c r="G12880" s="691"/>
      <c r="H12880" s="1646"/>
      <c r="I12880" s="1849"/>
      <c r="J12880" s="691"/>
      <c r="K12880" s="693"/>
      <c r="L12880" s="1646"/>
      <c r="M12880" s="691"/>
      <c r="N12880" s="1646"/>
      <c r="O12880" s="704"/>
      <c r="P12880" s="1098"/>
    </row>
    <row r="12881" spans="1:16" s="1511" customFormat="1" ht="18">
      <c r="A12881" s="703" t="s">
        <v>44</v>
      </c>
      <c r="B12881" s="704"/>
      <c r="C12881" s="691"/>
      <c r="D12881" s="691"/>
      <c r="E12881" s="691"/>
      <c r="F12881" s="1646"/>
      <c r="G12881" s="691"/>
      <c r="H12881" s="1646"/>
      <c r="I12881" s="1849"/>
      <c r="J12881" s="691"/>
      <c r="K12881" s="693"/>
      <c r="L12881" s="1646"/>
      <c r="M12881" s="691"/>
      <c r="N12881" s="1979" t="s">
        <v>45</v>
      </c>
      <c r="O12881" s="1979"/>
      <c r="P12881" s="1098"/>
    </row>
    <row r="12882" spans="1:16" s="1511" customFormat="1" ht="18.600000000000001" thickBot="1">
      <c r="A12882" s="682"/>
      <c r="B12882" s="683"/>
      <c r="C12882" s="683"/>
      <c r="D12882" s="683"/>
      <c r="E12882" s="683"/>
      <c r="F12882" s="684"/>
      <c r="G12882" s="683"/>
      <c r="H12882" s="684"/>
      <c r="I12882" s="1850"/>
      <c r="J12882" s="683"/>
      <c r="K12882" s="706"/>
      <c r="L12882" s="684"/>
      <c r="M12882" s="683"/>
      <c r="N12882" s="684"/>
      <c r="O12882" s="683"/>
      <c r="P12882" s="1099"/>
    </row>
    <row r="12884" spans="1:16" s="1511" customFormat="1">
      <c r="I12884" s="1864"/>
      <c r="K12884" s="176"/>
      <c r="L12884" s="1650"/>
    </row>
    <row r="12885" spans="1:16" s="1511" customFormat="1">
      <c r="I12885" s="1864"/>
      <c r="K12885" s="176"/>
      <c r="L12885" s="1650"/>
    </row>
    <row r="12886" spans="1:16" s="1511" customFormat="1">
      <c r="I12886" s="1864"/>
      <c r="K12886" s="176"/>
      <c r="L12886" s="1650"/>
    </row>
    <row r="12887" spans="1:16" s="1511" customFormat="1">
      <c r="I12887" s="1864"/>
      <c r="K12887" s="176"/>
      <c r="L12887" s="1650"/>
    </row>
    <row r="12888" spans="1:16" s="1511" customFormat="1">
      <c r="I12888" s="1864"/>
      <c r="K12888" s="176"/>
      <c r="L12888" s="1650"/>
    </row>
    <row r="12889" spans="1:16" s="1511" customFormat="1">
      <c r="I12889" s="1864"/>
      <c r="K12889" s="176"/>
      <c r="L12889" s="1650"/>
    </row>
    <row r="12890" spans="1:16" s="1511" customFormat="1">
      <c r="I12890" s="1864"/>
      <c r="K12890" s="176"/>
      <c r="L12890" s="1650"/>
    </row>
    <row r="12891" spans="1:16" s="1511" customFormat="1">
      <c r="I12891" s="1864"/>
      <c r="K12891" s="176"/>
      <c r="L12891" s="1650"/>
    </row>
    <row r="12892" spans="1:16" s="1511" customFormat="1">
      <c r="I12892" s="1864"/>
      <c r="K12892" s="176"/>
      <c r="L12892" s="1650"/>
    </row>
    <row r="12893" spans="1:16" s="1511" customFormat="1">
      <c r="I12893" s="1864"/>
      <c r="K12893" s="176"/>
      <c r="L12893" s="1650"/>
    </row>
    <row r="12894" spans="1:16" s="1511" customFormat="1">
      <c r="I12894" s="1864"/>
      <c r="K12894" s="176"/>
      <c r="L12894" s="1650"/>
    </row>
    <row r="12895" spans="1:16" s="1511" customFormat="1">
      <c r="I12895" s="1864"/>
      <c r="K12895" s="176"/>
      <c r="L12895" s="1650"/>
    </row>
    <row r="12896" spans="1:16" s="1511" customFormat="1">
      <c r="I12896" s="1864"/>
      <c r="K12896" s="176"/>
      <c r="L12896" s="1650"/>
    </row>
    <row r="12897" spans="1:19" s="1511" customFormat="1">
      <c r="I12897" s="1864"/>
      <c r="K12897" s="176"/>
      <c r="L12897" s="1650"/>
    </row>
    <row r="12898" spans="1:19" s="1511" customFormat="1">
      <c r="I12898" s="1864"/>
      <c r="K12898" s="176"/>
      <c r="L12898" s="1650"/>
    </row>
    <row r="12901" spans="1:19" ht="17.399999999999999">
      <c r="A12901" s="711" t="s">
        <v>48</v>
      </c>
      <c r="B12901" s="711"/>
      <c r="C12901" s="712"/>
      <c r="D12901" s="712"/>
      <c r="E12901" s="712"/>
      <c r="F12901" s="713"/>
      <c r="G12901" s="712"/>
      <c r="H12901" s="712"/>
      <c r="I12901" s="714"/>
      <c r="J12901" s="715"/>
      <c r="K12901" s="716"/>
      <c r="L12901" s="1978" t="s">
        <v>0</v>
      </c>
      <c r="M12901" s="1978"/>
      <c r="N12901" s="1978"/>
      <c r="O12901" s="1978"/>
      <c r="P12901" s="717"/>
    </row>
    <row r="12902" spans="1:19" ht="17.399999999999999">
      <c r="A12902" s="718" t="s">
        <v>1</v>
      </c>
      <c r="B12902" s="718"/>
      <c r="C12902" s="718"/>
      <c r="D12902" s="719" t="s">
        <v>2</v>
      </c>
      <c r="E12902" s="719"/>
      <c r="F12902" s="720"/>
      <c r="G12902" s="720"/>
      <c r="H12902" s="720"/>
      <c r="I12902" s="721"/>
      <c r="J12902" s="1640"/>
      <c r="K12902" s="723" t="s">
        <v>3</v>
      </c>
      <c r="L12902" s="1640"/>
      <c r="M12902" s="718"/>
      <c r="N12902" s="720"/>
      <c r="O12902" s="718"/>
      <c r="P12902" s="724"/>
    </row>
    <row r="12903" spans="1:19" ht="52.2">
      <c r="A12903" s="640" t="s">
        <v>4</v>
      </c>
      <c r="B12903" s="640" t="s">
        <v>5</v>
      </c>
      <c r="C12903" s="640" t="s">
        <v>6</v>
      </c>
      <c r="D12903" s="640" t="s">
        <v>7</v>
      </c>
      <c r="E12903" s="640" t="s">
        <v>8</v>
      </c>
      <c r="F12903" s="641" t="s">
        <v>9</v>
      </c>
      <c r="G12903" s="642" t="s">
        <v>10</v>
      </c>
      <c r="H12903" s="642" t="s">
        <v>11</v>
      </c>
      <c r="I12903" s="643" t="s">
        <v>12</v>
      </c>
      <c r="J12903" s="644" t="s">
        <v>13</v>
      </c>
      <c r="K12903" s="645" t="s">
        <v>14</v>
      </c>
      <c r="L12903" s="646" t="s">
        <v>15</v>
      </c>
      <c r="M12903" s="641" t="s">
        <v>16</v>
      </c>
      <c r="N12903" s="641" t="s">
        <v>17</v>
      </c>
      <c r="O12903" s="642" t="s">
        <v>18</v>
      </c>
      <c r="P12903" s="641" t="s">
        <v>192</v>
      </c>
    </row>
    <row r="12904" spans="1:19" ht="17.399999999999999">
      <c r="A12904" s="547" t="s">
        <v>83</v>
      </c>
      <c r="B12904" s="547" t="s">
        <v>1410</v>
      </c>
      <c r="C12904" s="547" t="s">
        <v>19</v>
      </c>
      <c r="D12904" s="813" t="s">
        <v>60</v>
      </c>
      <c r="E12904" s="549" t="s">
        <v>62</v>
      </c>
      <c r="F12904" s="550">
        <v>9</v>
      </c>
      <c r="G12904" s="549" t="s">
        <v>61</v>
      </c>
      <c r="H12904" s="599" t="s">
        <v>70</v>
      </c>
      <c r="I12904" s="558">
        <v>5.76</v>
      </c>
      <c r="J12904" s="567">
        <v>6.95</v>
      </c>
      <c r="K12904" s="648">
        <v>712</v>
      </c>
      <c r="L12904" s="552">
        <f>(I12904*J12904*K12904/1000)</f>
        <v>28.502783999999995</v>
      </c>
      <c r="M12904" s="549"/>
      <c r="N12904" s="567">
        <f t="shared" ref="N12904:N12906" si="2595">J12904*M12904*I12904/1000</f>
        <v>0</v>
      </c>
      <c r="O12904" s="549"/>
      <c r="P12904" s="549"/>
      <c r="Q12904" s="497">
        <f>47+47+52+57+50+50+50+51+49+50+49+18</f>
        <v>570</v>
      </c>
      <c r="R12904" s="126">
        <f>J12904*Q12904*I12904/1000</f>
        <v>22.818239999999999</v>
      </c>
      <c r="S12904" s="1511" t="s">
        <v>1583</v>
      </c>
    </row>
    <row r="12905" spans="1:19" ht="17.399999999999999">
      <c r="A12905" s="549"/>
      <c r="B12905" s="728" t="s">
        <v>52</v>
      </c>
      <c r="C12905" s="549"/>
      <c r="D12905" s="549"/>
      <c r="E12905" s="549"/>
      <c r="F12905" s="549"/>
      <c r="G12905" s="549" t="s">
        <v>61</v>
      </c>
      <c r="H12905" s="549" t="s">
        <v>70</v>
      </c>
      <c r="I12905" s="558">
        <v>5.76</v>
      </c>
      <c r="J12905" s="567">
        <v>7.1</v>
      </c>
      <c r="K12905" s="648">
        <v>8</v>
      </c>
      <c r="L12905" s="552">
        <f>(I12905*J12905*K12905/1000)</f>
        <v>0.32716799999999996</v>
      </c>
      <c r="M12905" s="549">
        <v>5</v>
      </c>
      <c r="N12905" s="567">
        <f t="shared" si="2595"/>
        <v>0.20448</v>
      </c>
      <c r="O12905" s="549"/>
      <c r="P12905" s="549"/>
      <c r="Q12905" s="497">
        <v>3</v>
      </c>
      <c r="R12905" s="126">
        <f t="shared" ref="R12905:R12906" si="2596">J12905*Q12905*I12905/1000</f>
        <v>0.12268799999999998</v>
      </c>
    </row>
    <row r="12906" spans="1:19" ht="17.399999999999999">
      <c r="A12906" s="549"/>
      <c r="B12906" s="549"/>
      <c r="C12906" s="549"/>
      <c r="D12906" s="549"/>
      <c r="E12906" s="549"/>
      <c r="F12906" s="549"/>
      <c r="G12906" s="549" t="s">
        <v>61</v>
      </c>
      <c r="H12906" s="549" t="s">
        <v>70</v>
      </c>
      <c r="I12906" s="558">
        <v>5.76</v>
      </c>
      <c r="J12906" s="567">
        <v>11</v>
      </c>
      <c r="K12906" s="648">
        <v>40</v>
      </c>
      <c r="L12906" s="552">
        <f>(I12906*J12906*K12906/1000)</f>
        <v>2.5344000000000002</v>
      </c>
      <c r="M12906" s="549">
        <f>7+2+5</f>
        <v>14</v>
      </c>
      <c r="N12906" s="567">
        <f t="shared" si="2595"/>
        <v>0.88703999999999994</v>
      </c>
      <c r="O12906" s="549"/>
      <c r="P12906" s="549"/>
      <c r="Q12906" s="497">
        <v>26</v>
      </c>
      <c r="R12906" s="126">
        <f t="shared" si="2596"/>
        <v>1.6473599999999999</v>
      </c>
    </row>
    <row r="12907" spans="1:19" ht="17.399999999999999">
      <c r="A12907" s="549"/>
      <c r="B12907" s="549"/>
      <c r="C12907" s="549"/>
      <c r="D12907" s="549"/>
      <c r="E12907" s="549"/>
      <c r="F12907" s="549"/>
      <c r="G12907" s="549"/>
      <c r="H12907" s="549"/>
      <c r="I12907" s="558"/>
      <c r="J12907" s="567"/>
      <c r="K12907" s="648">
        <f t="shared" ref="K12907:N12907" si="2597">SUM(K12904:K12906)</f>
        <v>760</v>
      </c>
      <c r="L12907" s="567">
        <f t="shared" si="2597"/>
        <v>31.364351999999997</v>
      </c>
      <c r="M12907" s="648">
        <f t="shared" si="2597"/>
        <v>19</v>
      </c>
      <c r="N12907" s="567">
        <f t="shared" si="2597"/>
        <v>1.09152</v>
      </c>
      <c r="O12907" s="549"/>
      <c r="P12907" s="549" t="s">
        <v>1536</v>
      </c>
      <c r="Q12907" s="648">
        <f t="shared" ref="Q12907:R12907" si="2598">SUM(Q12904:Q12906)</f>
        <v>599</v>
      </c>
      <c r="R12907" s="567">
        <f t="shared" si="2598"/>
        <v>24.588287999999999</v>
      </c>
    </row>
    <row r="12908" spans="1:19" s="1511" customFormat="1" ht="17.399999999999999">
      <c r="A12908" s="549"/>
      <c r="B12908" s="549"/>
      <c r="C12908" s="549"/>
      <c r="D12908" s="549"/>
      <c r="E12908" s="549"/>
      <c r="F12908" s="549"/>
      <c r="G12908" s="549"/>
      <c r="H12908" s="549"/>
      <c r="I12908" s="558"/>
      <c r="J12908" s="567"/>
      <c r="K12908" s="648"/>
      <c r="L12908" s="567"/>
      <c r="M12908" s="549"/>
      <c r="N12908" s="549"/>
      <c r="O12908" s="549"/>
      <c r="P12908" s="549"/>
    </row>
    <row r="12909" spans="1:19" ht="17.399999999999999">
      <c r="A12909" s="547" t="s">
        <v>83</v>
      </c>
      <c r="B12909" s="547" t="s">
        <v>1455</v>
      </c>
      <c r="C12909" s="547" t="s">
        <v>19</v>
      </c>
      <c r="D12909" s="813" t="s">
        <v>60</v>
      </c>
      <c r="E12909" s="549" t="s">
        <v>62</v>
      </c>
      <c r="F12909" s="550">
        <v>9</v>
      </c>
      <c r="G12909" s="549" t="s">
        <v>61</v>
      </c>
      <c r="H12909" s="599" t="s">
        <v>70</v>
      </c>
      <c r="I12909" s="558">
        <v>5.76</v>
      </c>
      <c r="J12909" s="567">
        <v>11</v>
      </c>
      <c r="K12909" s="648">
        <v>97</v>
      </c>
      <c r="L12909" s="552">
        <f>(I12909*J12909*K12909/1000)</f>
        <v>6.1459200000000003</v>
      </c>
      <c r="M12909" s="549"/>
      <c r="N12909" s="549"/>
      <c r="O12909" s="549"/>
      <c r="P12909" s="549"/>
      <c r="Q12909" s="497">
        <v>97</v>
      </c>
      <c r="R12909" s="126">
        <f>J12909*Q12909*I12909/1000</f>
        <v>6.1459200000000003</v>
      </c>
      <c r="S12909" s="1511" t="s">
        <v>1583</v>
      </c>
    </row>
    <row r="12910" spans="1:19" ht="17.399999999999999">
      <c r="A12910" s="549"/>
      <c r="B12910" s="728" t="s">
        <v>52</v>
      </c>
      <c r="C12910" s="549"/>
      <c r="D12910" s="549"/>
      <c r="E12910" s="549"/>
      <c r="F12910" s="549"/>
      <c r="G12910" s="549"/>
      <c r="H12910" s="549"/>
      <c r="I12910" s="558"/>
      <c r="J12910" s="567"/>
      <c r="K12910" s="648">
        <f t="shared" ref="K12910:L12910" si="2599">SUM(K12909)</f>
        <v>97</v>
      </c>
      <c r="L12910" s="567">
        <f t="shared" si="2599"/>
        <v>6.1459200000000003</v>
      </c>
      <c r="M12910" s="549"/>
      <c r="N12910" s="549"/>
      <c r="O12910" s="549"/>
      <c r="P12910" s="549" t="s">
        <v>1536</v>
      </c>
      <c r="Q12910" s="648">
        <f t="shared" ref="Q12910:R12910" si="2600">SUM(Q12909)</f>
        <v>97</v>
      </c>
      <c r="R12910" s="567">
        <f t="shared" si="2600"/>
        <v>6.1459200000000003</v>
      </c>
    </row>
    <row r="12911" spans="1:19" ht="17.399999999999999">
      <c r="A12911" s="549"/>
      <c r="B12911" s="549"/>
      <c r="C12911" s="549"/>
      <c r="D12911" s="549"/>
      <c r="E12911" s="549"/>
      <c r="F12911" s="549"/>
      <c r="G12911" s="549"/>
      <c r="H12911" s="549"/>
      <c r="I12911" s="558"/>
      <c r="J12911" s="549"/>
      <c r="K12911" s="561"/>
      <c r="L12911" s="560"/>
      <c r="M12911" s="549"/>
      <c r="N12911" s="549"/>
      <c r="O12911" s="549"/>
      <c r="P12911" s="549"/>
    </row>
    <row r="12912" spans="1:19" ht="17.399999999999999">
      <c r="A12912" s="547" t="s">
        <v>83</v>
      </c>
      <c r="B12912" s="547" t="s">
        <v>1456</v>
      </c>
      <c r="C12912" s="547" t="s">
        <v>19</v>
      </c>
      <c r="D12912" s="813" t="s">
        <v>60</v>
      </c>
      <c r="E12912" s="547" t="s">
        <v>270</v>
      </c>
      <c r="F12912" s="550">
        <v>9</v>
      </c>
      <c r="G12912" s="549" t="s">
        <v>61</v>
      </c>
      <c r="H12912" s="599" t="s">
        <v>70</v>
      </c>
      <c r="I12912" s="558">
        <v>5.77</v>
      </c>
      <c r="J12912" s="567">
        <v>12</v>
      </c>
      <c r="K12912" s="648">
        <v>35</v>
      </c>
      <c r="L12912" s="552">
        <f>(I12912*J12912*K12912/1000)</f>
        <v>2.4233999999999996</v>
      </c>
      <c r="M12912" s="549"/>
      <c r="N12912" s="549"/>
      <c r="O12912" s="549"/>
      <c r="P12912" s="549"/>
      <c r="Q12912" s="497">
        <v>35</v>
      </c>
      <c r="R12912" s="126">
        <f>J12912*Q12912*I12912/1000</f>
        <v>2.4233999999999996</v>
      </c>
      <c r="S12912" s="1511" t="s">
        <v>1583</v>
      </c>
    </row>
    <row r="12913" spans="1:19" ht="17.399999999999999">
      <c r="A12913" s="549"/>
      <c r="B12913" s="769" t="s">
        <v>1457</v>
      </c>
      <c r="C12913" s="549"/>
      <c r="D12913" s="549"/>
      <c r="E12913" s="549"/>
      <c r="F12913" s="549"/>
      <c r="G12913" s="549"/>
      <c r="H12913" s="549"/>
      <c r="I12913" s="558"/>
      <c r="J12913" s="567"/>
      <c r="K12913" s="648">
        <f>SUM(K12912)</f>
        <v>35</v>
      </c>
      <c r="L12913" s="567">
        <f>SUM(L12912)</f>
        <v>2.4233999999999996</v>
      </c>
      <c r="M12913" s="549"/>
      <c r="N12913" s="549"/>
      <c r="O12913" s="549"/>
      <c r="P12913" s="549" t="s">
        <v>1537</v>
      </c>
      <c r="Q12913" s="648">
        <f>SUM(Q12912)</f>
        <v>35</v>
      </c>
      <c r="R12913" s="567">
        <f>SUM(R12912)</f>
        <v>2.4233999999999996</v>
      </c>
    </row>
    <row r="12914" spans="1:19" s="1511" customFormat="1" ht="17.399999999999999">
      <c r="A12914" s="549"/>
      <c r="B12914" s="769"/>
      <c r="C12914" s="549"/>
      <c r="D12914" s="549"/>
      <c r="E12914" s="549"/>
      <c r="F12914" s="549"/>
      <c r="G12914" s="549"/>
      <c r="H12914" s="549"/>
      <c r="I12914" s="558"/>
      <c r="J12914" s="567"/>
      <c r="K12914" s="648"/>
      <c r="L12914" s="567"/>
      <c r="M12914" s="549"/>
      <c r="N12914" s="549"/>
      <c r="O12914" s="549"/>
      <c r="P12914" s="549"/>
    </row>
    <row r="12915" spans="1:19" ht="17.399999999999999">
      <c r="A12915" s="547" t="s">
        <v>395</v>
      </c>
      <c r="B12915" s="547" t="s">
        <v>1364</v>
      </c>
      <c r="C12915" s="547" t="s">
        <v>19</v>
      </c>
      <c r="D12915" s="813" t="s">
        <v>60</v>
      </c>
      <c r="E12915" s="547" t="s">
        <v>270</v>
      </c>
      <c r="F12915" s="550">
        <v>9</v>
      </c>
      <c r="G12915" s="549" t="s">
        <v>61</v>
      </c>
      <c r="H12915" s="599" t="s">
        <v>70</v>
      </c>
      <c r="I12915" s="558">
        <v>5.77</v>
      </c>
      <c r="J12915" s="567">
        <v>11.5</v>
      </c>
      <c r="K12915" s="648">
        <v>3</v>
      </c>
      <c r="L12915" s="552">
        <f>(I12915*J12915*K12915/1000)</f>
        <v>0.19906499999999996</v>
      </c>
      <c r="M12915" s="549"/>
      <c r="N12915" s="549"/>
      <c r="O12915" s="549"/>
      <c r="P12915" s="549"/>
      <c r="Q12915" s="1511" t="s">
        <v>1583</v>
      </c>
    </row>
    <row r="12916" spans="1:19" ht="17.399999999999999">
      <c r="A12916" s="549"/>
      <c r="B12916" s="1605" t="s">
        <v>277</v>
      </c>
      <c r="C12916" s="549"/>
      <c r="D12916" s="549"/>
      <c r="E12916" s="549"/>
      <c r="F12916" s="549"/>
      <c r="G12916" s="549"/>
      <c r="H12916" s="549"/>
      <c r="I12916" s="558"/>
      <c r="J12916" s="567"/>
      <c r="K12916" s="648">
        <f t="shared" ref="K12916" si="2601">SUM(K12915)</f>
        <v>3</v>
      </c>
      <c r="L12916" s="567">
        <f>SUM(L12915)</f>
        <v>0.19906499999999996</v>
      </c>
      <c r="M12916" s="549"/>
      <c r="N12916" s="549"/>
      <c r="O12916" s="549"/>
      <c r="P12916" s="549" t="s">
        <v>1537</v>
      </c>
    </row>
    <row r="12917" spans="1:19" s="1511" customFormat="1" ht="17.399999999999999">
      <c r="A12917" s="549"/>
      <c r="B12917" s="1605"/>
      <c r="C12917" s="549"/>
      <c r="D12917" s="549"/>
      <c r="E12917" s="549"/>
      <c r="F12917" s="549"/>
      <c r="G12917" s="549"/>
      <c r="H12917" s="549"/>
      <c r="I12917" s="558"/>
      <c r="J12917" s="567"/>
      <c r="K12917" s="648">
        <f>SUM(K12904:K12916)/2</f>
        <v>895</v>
      </c>
      <c r="L12917" s="567">
        <f>SUM(L12904:L12916)/2</f>
        <v>40.132737000000006</v>
      </c>
      <c r="M12917" s="648">
        <f>SUM(M12904:M12916)/2</f>
        <v>19</v>
      </c>
      <c r="N12917" s="567">
        <f>SUM(N12904:N12916)/2</f>
        <v>1.09152</v>
      </c>
      <c r="O12917" s="549"/>
      <c r="P12917" s="549"/>
      <c r="Q12917" s="648">
        <f>SUM(Q12904:Q12916)/2</f>
        <v>731</v>
      </c>
      <c r="R12917" s="567">
        <f>SUM(R12904:R12916)/2</f>
        <v>33.157608000000003</v>
      </c>
    </row>
    <row r="12918" spans="1:19" s="1511" customFormat="1" ht="17.399999999999999">
      <c r="A12918" s="549"/>
      <c r="B12918" s="1605"/>
      <c r="C12918" s="549"/>
      <c r="D12918" s="549"/>
      <c r="E12918" s="549"/>
      <c r="F12918" s="549"/>
      <c r="G12918" s="549"/>
      <c r="H12918" s="549"/>
      <c r="I12918" s="558"/>
      <c r="J12918" s="567"/>
      <c r="K12918" s="648"/>
      <c r="L12918" s="567"/>
      <c r="M12918" s="549"/>
      <c r="N12918" s="549"/>
      <c r="O12918" s="549"/>
      <c r="P12918" s="549"/>
    </row>
    <row r="12919" spans="1:19" ht="17.399999999999999">
      <c r="A12919" s="549"/>
      <c r="B12919" s="549"/>
      <c r="C12919" s="549"/>
      <c r="D12919" s="549"/>
      <c r="E12919" s="549"/>
      <c r="F12919" s="549"/>
      <c r="G12919" s="549"/>
      <c r="H12919" s="549"/>
      <c r="I12919" s="560"/>
      <c r="J12919" s="549"/>
      <c r="K12919" s="561"/>
      <c r="L12919" s="560"/>
      <c r="M12919" s="549"/>
      <c r="N12919" s="549"/>
      <c r="O12919" s="549"/>
      <c r="P12919" s="549"/>
    </row>
    <row r="12920" spans="1:19" ht="17.399999999999999">
      <c r="A12920" s="547" t="s">
        <v>83</v>
      </c>
      <c r="B12920" s="547" t="s">
        <v>1410</v>
      </c>
      <c r="C12920" s="547" t="s">
        <v>19</v>
      </c>
      <c r="D12920" s="813" t="s">
        <v>854</v>
      </c>
      <c r="E12920" s="549" t="s">
        <v>367</v>
      </c>
      <c r="F12920" s="550">
        <v>9</v>
      </c>
      <c r="G12920" s="549" t="s">
        <v>21</v>
      </c>
      <c r="H12920" s="599" t="s">
        <v>69</v>
      </c>
      <c r="I12920" s="558">
        <v>6.85</v>
      </c>
      <c r="J12920" s="567">
        <v>11.65</v>
      </c>
      <c r="K12920" s="648">
        <v>54</v>
      </c>
      <c r="L12920" s="552">
        <f>(I12920*J12920*K12920/1000)</f>
        <v>4.3093349999999999</v>
      </c>
      <c r="M12920" s="549"/>
      <c r="N12920" s="549"/>
      <c r="O12920" s="549"/>
      <c r="P12920" s="549"/>
      <c r="Q12920" s="497">
        <f>20+19+20+16-21</f>
        <v>54</v>
      </c>
      <c r="R12920" s="126">
        <f>J12920*Q12920*I12920/1000</f>
        <v>4.3093349999999999</v>
      </c>
      <c r="S12920" s="1511" t="s">
        <v>1583</v>
      </c>
    </row>
    <row r="12921" spans="1:19" ht="17.399999999999999">
      <c r="A12921" s="549"/>
      <c r="B12921" s="728" t="s">
        <v>52</v>
      </c>
      <c r="C12921" s="549"/>
      <c r="D12921" s="549"/>
      <c r="E12921" s="549"/>
      <c r="F12921" s="549"/>
      <c r="G12921" s="549"/>
      <c r="H12921" s="549"/>
      <c r="I12921" s="558"/>
      <c r="J12921" s="567"/>
      <c r="K12921" s="648">
        <f t="shared" ref="K12921:L12921" si="2602">SUM(K12920)</f>
        <v>54</v>
      </c>
      <c r="L12921" s="567">
        <f t="shared" si="2602"/>
        <v>4.3093349999999999</v>
      </c>
      <c r="M12921" s="549"/>
      <c r="N12921" s="549"/>
      <c r="O12921" s="549"/>
      <c r="P12921" s="549"/>
      <c r="Q12921" s="648">
        <f t="shared" ref="Q12921:R12921" si="2603">SUM(Q12920)</f>
        <v>54</v>
      </c>
      <c r="R12921" s="567">
        <f t="shared" si="2603"/>
        <v>4.3093349999999999</v>
      </c>
    </row>
    <row r="12922" spans="1:19" ht="17.399999999999999">
      <c r="A12922" s="549"/>
      <c r="B12922" s="549"/>
      <c r="C12922" s="549"/>
      <c r="D12922" s="549"/>
      <c r="E12922" s="549"/>
      <c r="F12922" s="549"/>
      <c r="G12922" s="549"/>
      <c r="H12922" s="549"/>
      <c r="I12922" s="558"/>
      <c r="J12922" s="549"/>
      <c r="K12922" s="561"/>
      <c r="L12922" s="560"/>
      <c r="M12922" s="549"/>
      <c r="N12922" s="549"/>
      <c r="O12922" s="549"/>
      <c r="P12922" s="549"/>
    </row>
    <row r="12923" spans="1:19" ht="17.399999999999999">
      <c r="A12923" s="547" t="s">
        <v>83</v>
      </c>
      <c r="B12923" s="547" t="s">
        <v>1455</v>
      </c>
      <c r="C12923" s="547" t="s">
        <v>19</v>
      </c>
      <c r="D12923" s="813" t="s">
        <v>854</v>
      </c>
      <c r="E12923" s="549" t="s">
        <v>367</v>
      </c>
      <c r="F12923" s="550">
        <v>9</v>
      </c>
      <c r="G12923" s="549" t="s">
        <v>21</v>
      </c>
      <c r="H12923" s="599" t="s">
        <v>69</v>
      </c>
      <c r="I12923" s="558">
        <v>6.85</v>
      </c>
      <c r="J12923" s="567">
        <v>11.65</v>
      </c>
      <c r="K12923" s="648">
        <v>131</v>
      </c>
      <c r="L12923" s="552">
        <f>(I12923*J12923*K12923/1000)</f>
        <v>10.454127499999998</v>
      </c>
      <c r="M12923" s="549"/>
      <c r="N12923" s="549"/>
      <c r="O12923" s="549"/>
      <c r="P12923" s="549"/>
      <c r="Q12923" s="497">
        <v>21</v>
      </c>
      <c r="R12923" s="126">
        <f>J12923*Q12923*I12923/1000</f>
        <v>1.6758525</v>
      </c>
      <c r="S12923" s="1511" t="s">
        <v>1583</v>
      </c>
    </row>
    <row r="12924" spans="1:19" ht="17.399999999999999">
      <c r="A12924" s="549"/>
      <c r="B12924" s="728" t="s">
        <v>52</v>
      </c>
      <c r="C12924" s="549"/>
      <c r="D12924" s="549"/>
      <c r="E12924" s="549"/>
      <c r="F12924" s="549"/>
      <c r="G12924" s="549"/>
      <c r="H12924" s="549"/>
      <c r="I12924" s="558"/>
      <c r="J12924" s="567"/>
      <c r="K12924" s="648">
        <f t="shared" ref="K12924" si="2604">SUM(K12923)</f>
        <v>131</v>
      </c>
      <c r="L12924" s="567">
        <f>SUM(L12923)</f>
        <v>10.454127499999998</v>
      </c>
      <c r="M12924" s="549"/>
      <c r="N12924" s="549"/>
      <c r="O12924" s="549"/>
      <c r="P12924" s="549"/>
      <c r="Q12924" s="648">
        <f t="shared" ref="Q12924" si="2605">SUM(Q12923)</f>
        <v>21</v>
      </c>
      <c r="R12924" s="567">
        <f>SUM(R12923)</f>
        <v>1.6758525</v>
      </c>
    </row>
    <row r="12925" spans="1:19" s="1511" customFormat="1" ht="17.399999999999999">
      <c r="A12925" s="549"/>
      <c r="B12925" s="728"/>
      <c r="C12925" s="549"/>
      <c r="D12925" s="549"/>
      <c r="E12925" s="549"/>
      <c r="F12925" s="549"/>
      <c r="G12925" s="549"/>
      <c r="H12925" s="549"/>
      <c r="I12925" s="558"/>
      <c r="J12925" s="567"/>
      <c r="K12925" s="648">
        <f>SUM(K12920:K12924)/2</f>
        <v>185</v>
      </c>
      <c r="L12925" s="567">
        <f>SUM(L12920:L12924)/2</f>
        <v>14.763462499999999</v>
      </c>
      <c r="M12925" s="648">
        <f>SUM(M12920:M12924)/2</f>
        <v>0</v>
      </c>
      <c r="N12925" s="567">
        <f>SUM(N12920:N12924)/2</f>
        <v>0</v>
      </c>
      <c r="O12925" s="549"/>
      <c r="P12925" s="549" t="s">
        <v>1538</v>
      </c>
    </row>
    <row r="12926" spans="1:19" s="1511" customFormat="1" ht="17.399999999999999">
      <c r="A12926" s="549"/>
      <c r="B12926" s="728"/>
      <c r="C12926" s="549"/>
      <c r="D12926" s="549"/>
      <c r="E12926" s="549"/>
      <c r="F12926" s="549"/>
      <c r="G12926" s="549"/>
      <c r="H12926" s="549"/>
      <c r="I12926" s="558"/>
      <c r="J12926" s="567"/>
      <c r="K12926" s="648"/>
      <c r="L12926" s="567"/>
      <c r="M12926" s="549"/>
      <c r="N12926" s="549"/>
      <c r="O12926" s="549"/>
      <c r="P12926" s="549"/>
    </row>
    <row r="12927" spans="1:19" ht="17.399999999999999">
      <c r="A12927" s="549"/>
      <c r="B12927" s="549"/>
      <c r="C12927" s="549"/>
      <c r="D12927" s="549"/>
      <c r="E12927" s="549"/>
      <c r="F12927" s="549"/>
      <c r="G12927" s="549"/>
      <c r="H12927" s="549"/>
      <c r="I12927" s="558"/>
      <c r="J12927" s="549"/>
      <c r="K12927" s="561"/>
      <c r="L12927" s="560"/>
      <c r="M12927" s="549"/>
      <c r="N12927" s="549"/>
      <c r="O12927" s="549"/>
      <c r="P12927" s="549"/>
    </row>
    <row r="12928" spans="1:19" s="1511" customFormat="1" ht="17.399999999999999">
      <c r="A12928" s="549"/>
      <c r="B12928" s="1605"/>
      <c r="C12928" s="549"/>
      <c r="D12928" s="549"/>
      <c r="E12928" s="549"/>
      <c r="F12928" s="549"/>
      <c r="G12928" s="549"/>
      <c r="H12928" s="549"/>
      <c r="I12928" s="558"/>
      <c r="J12928" s="567"/>
      <c r="K12928" s="648"/>
      <c r="L12928" s="567"/>
      <c r="M12928" s="549"/>
      <c r="N12928" s="549"/>
      <c r="O12928" s="549"/>
      <c r="P12928" s="549"/>
    </row>
    <row r="12929" spans="1:17" ht="17.399999999999999">
      <c r="A12929" s="549"/>
      <c r="B12929" s="549"/>
      <c r="C12929" s="549"/>
      <c r="D12929" s="549"/>
      <c r="E12929" s="549"/>
      <c r="F12929" s="549"/>
      <c r="G12929" s="549"/>
      <c r="H12929" s="549"/>
      <c r="I12929" s="558"/>
      <c r="J12929" s="549"/>
      <c r="K12929" s="561"/>
      <c r="L12929" s="560"/>
      <c r="M12929" s="549"/>
      <c r="N12929" s="549"/>
      <c r="O12929" s="549"/>
      <c r="P12929" s="549"/>
    </row>
    <row r="12930" spans="1:17" ht="17.399999999999999">
      <c r="A12930" s="547" t="s">
        <v>83</v>
      </c>
      <c r="B12930" s="547" t="s">
        <v>1360</v>
      </c>
      <c r="C12930" s="547" t="s">
        <v>446</v>
      </c>
      <c r="D12930" s="813" t="s">
        <v>447</v>
      </c>
      <c r="E12930" s="547" t="s">
        <v>359</v>
      </c>
      <c r="F12930" s="550">
        <v>9</v>
      </c>
      <c r="G12930" s="549" t="s">
        <v>21</v>
      </c>
      <c r="H12930" s="599" t="s">
        <v>70</v>
      </c>
      <c r="I12930" s="558">
        <v>5.77</v>
      </c>
      <c r="J12930" s="567">
        <v>8</v>
      </c>
      <c r="K12930" s="648">
        <v>24</v>
      </c>
      <c r="L12930" s="552">
        <f t="shared" ref="L12930:L12935" si="2606">(I12930*J12930*K12930/1000)</f>
        <v>1.1078399999999999</v>
      </c>
      <c r="M12930" s="549"/>
      <c r="N12930" s="549"/>
      <c r="O12930" s="549"/>
      <c r="P12930" s="549"/>
      <c r="Q12930" s="1511" t="s">
        <v>1584</v>
      </c>
    </row>
    <row r="12931" spans="1:17" ht="17.399999999999999">
      <c r="A12931" s="549"/>
      <c r="B12931" s="549"/>
      <c r="C12931" s="549"/>
      <c r="D12931" s="549"/>
      <c r="E12931" s="549"/>
      <c r="F12931" s="549"/>
      <c r="G12931" s="549" t="s">
        <v>21</v>
      </c>
      <c r="H12931" s="549" t="s">
        <v>70</v>
      </c>
      <c r="I12931" s="558">
        <v>5.77</v>
      </c>
      <c r="J12931" s="567">
        <v>10</v>
      </c>
      <c r="K12931" s="648">
        <v>120</v>
      </c>
      <c r="L12931" s="552">
        <f t="shared" si="2606"/>
        <v>6.9239999999999995</v>
      </c>
      <c r="M12931" s="549"/>
      <c r="N12931" s="549"/>
      <c r="O12931" s="549"/>
      <c r="P12931" s="549"/>
    </row>
    <row r="12932" spans="1:17" ht="17.399999999999999">
      <c r="A12932" s="549"/>
      <c r="B12932" s="549"/>
      <c r="C12932" s="549"/>
      <c r="D12932" s="549"/>
      <c r="E12932" s="549"/>
      <c r="F12932" s="549"/>
      <c r="G12932" s="549" t="s">
        <v>21</v>
      </c>
      <c r="H12932" s="549" t="s">
        <v>70</v>
      </c>
      <c r="I12932" s="558">
        <v>5.77</v>
      </c>
      <c r="J12932" s="567">
        <v>10.5</v>
      </c>
      <c r="K12932" s="648">
        <v>281</v>
      </c>
      <c r="L12932" s="552">
        <f t="shared" si="2606"/>
        <v>17.024384999999999</v>
      </c>
      <c r="M12932" s="549"/>
      <c r="N12932" s="549"/>
      <c r="O12932" s="549"/>
      <c r="P12932" s="549"/>
    </row>
    <row r="12933" spans="1:17" ht="17.399999999999999">
      <c r="A12933" s="549"/>
      <c r="B12933" s="549"/>
      <c r="C12933" s="549"/>
      <c r="D12933" s="549"/>
      <c r="E12933" s="549"/>
      <c r="F12933" s="549"/>
      <c r="G12933" s="549" t="s">
        <v>21</v>
      </c>
      <c r="H12933" s="549" t="s">
        <v>70</v>
      </c>
      <c r="I12933" s="558">
        <v>5.77</v>
      </c>
      <c r="J12933" s="567">
        <v>11</v>
      </c>
      <c r="K12933" s="648">
        <f>76+8</f>
        <v>84</v>
      </c>
      <c r="L12933" s="552">
        <f t="shared" si="2606"/>
        <v>5.33148</v>
      </c>
      <c r="M12933" s="549"/>
      <c r="N12933" s="549"/>
      <c r="O12933" s="549"/>
      <c r="P12933" s="549"/>
    </row>
    <row r="12934" spans="1:17" ht="17.399999999999999">
      <c r="A12934" s="549"/>
      <c r="B12934" s="549"/>
      <c r="C12934" s="549"/>
      <c r="D12934" s="549"/>
      <c r="E12934" s="549"/>
      <c r="F12934" s="549"/>
      <c r="G12934" s="549" t="s">
        <v>21</v>
      </c>
      <c r="H12934" s="549" t="s">
        <v>70</v>
      </c>
      <c r="I12934" s="558">
        <v>5.77</v>
      </c>
      <c r="J12934" s="567">
        <v>11.5</v>
      </c>
      <c r="K12934" s="648">
        <v>279</v>
      </c>
      <c r="L12934" s="552">
        <f t="shared" si="2606"/>
        <v>18.513044999999998</v>
      </c>
      <c r="M12934" s="549"/>
      <c r="N12934" s="549"/>
      <c r="O12934" s="549"/>
      <c r="P12934" s="549"/>
    </row>
    <row r="12935" spans="1:17" ht="17.399999999999999">
      <c r="A12935" s="549"/>
      <c r="B12935" s="549"/>
      <c r="C12935" s="549"/>
      <c r="D12935" s="549"/>
      <c r="E12935" s="549"/>
      <c r="F12935" s="549"/>
      <c r="G12935" s="549" t="s">
        <v>21</v>
      </c>
      <c r="H12935" s="549" t="s">
        <v>70</v>
      </c>
      <c r="I12935" s="558">
        <v>5.77</v>
      </c>
      <c r="J12935" s="567">
        <v>12</v>
      </c>
      <c r="K12935" s="648">
        <v>492</v>
      </c>
      <c r="L12935" s="552">
        <f t="shared" si="2606"/>
        <v>34.066079999999992</v>
      </c>
      <c r="M12935" s="549"/>
      <c r="N12935" s="549"/>
      <c r="O12935" s="549"/>
      <c r="P12935" s="549"/>
    </row>
    <row r="12936" spans="1:17" ht="17.399999999999999">
      <c r="A12936" s="549"/>
      <c r="B12936" s="549"/>
      <c r="C12936" s="549"/>
      <c r="D12936" s="549"/>
      <c r="E12936" s="549"/>
      <c r="F12936" s="549"/>
      <c r="G12936" s="549"/>
      <c r="H12936" s="549"/>
      <c r="I12936" s="558"/>
      <c r="J12936" s="567"/>
      <c r="K12936" s="648">
        <f>SUM(K12930:K12935)</f>
        <v>1280</v>
      </c>
      <c r="L12936" s="567">
        <f>SUM(L12930:L12935)</f>
        <v>82.966829999999987</v>
      </c>
      <c r="M12936" s="549"/>
      <c r="N12936" s="549"/>
      <c r="O12936" s="549"/>
      <c r="P12936" s="549"/>
    </row>
    <row r="12937" spans="1:17" ht="17.399999999999999">
      <c r="A12937" s="549"/>
      <c r="B12937" s="549"/>
      <c r="C12937" s="549"/>
      <c r="D12937" s="549"/>
      <c r="E12937" s="549"/>
      <c r="F12937" s="549"/>
      <c r="G12937" s="549"/>
      <c r="H12937" s="549"/>
      <c r="I12937" s="558"/>
      <c r="J12937" s="549"/>
      <c r="K12937" s="561"/>
      <c r="L12937" s="560"/>
      <c r="M12937" s="549"/>
      <c r="N12937" s="549"/>
      <c r="O12937" s="549"/>
      <c r="P12937" s="549"/>
    </row>
    <row r="12938" spans="1:17" ht="17.399999999999999">
      <c r="A12938" s="547" t="s">
        <v>395</v>
      </c>
      <c r="B12938" s="547" t="s">
        <v>1363</v>
      </c>
      <c r="C12938" s="547" t="s">
        <v>446</v>
      </c>
      <c r="D12938" s="813" t="s">
        <v>447</v>
      </c>
      <c r="E12938" s="547" t="s">
        <v>359</v>
      </c>
      <c r="F12938" s="550">
        <v>9</v>
      </c>
      <c r="G12938" s="549" t="s">
        <v>21</v>
      </c>
      <c r="H12938" s="599" t="s">
        <v>70</v>
      </c>
      <c r="I12938" s="558">
        <v>5.77</v>
      </c>
      <c r="J12938" s="567">
        <v>12</v>
      </c>
      <c r="K12938" s="648">
        <v>2</v>
      </c>
      <c r="L12938" s="552">
        <f>(I12938*J12938*K12938/1000)</f>
        <v>0.13847999999999999</v>
      </c>
      <c r="M12938" s="549"/>
      <c r="N12938" s="549"/>
      <c r="O12938" s="549"/>
      <c r="P12938" s="549"/>
      <c r="Q12938" s="1511" t="s">
        <v>1584</v>
      </c>
    </row>
    <row r="12939" spans="1:17" ht="17.399999999999999">
      <c r="A12939" s="549"/>
      <c r="B12939" s="549"/>
      <c r="C12939" s="549"/>
      <c r="D12939" s="549"/>
      <c r="E12939" s="549"/>
      <c r="F12939" s="549"/>
      <c r="G12939" s="549"/>
      <c r="H12939" s="549"/>
      <c r="I12939" s="558"/>
      <c r="J12939" s="567"/>
      <c r="K12939" s="648">
        <f t="shared" ref="K12939:L12939" si="2607">SUM(K12938)</f>
        <v>2</v>
      </c>
      <c r="L12939" s="567">
        <f t="shared" si="2607"/>
        <v>0.13847999999999999</v>
      </c>
      <c r="M12939" s="549"/>
      <c r="N12939" s="549"/>
      <c r="O12939" s="549"/>
      <c r="P12939" s="549"/>
    </row>
    <row r="12940" spans="1:17" s="1511" customFormat="1" ht="17.399999999999999">
      <c r="A12940" s="549"/>
      <c r="B12940" s="549"/>
      <c r="C12940" s="549"/>
      <c r="D12940" s="549"/>
      <c r="E12940" s="549"/>
      <c r="F12940" s="549"/>
      <c r="G12940" s="549"/>
      <c r="H12940" s="549"/>
      <c r="I12940" s="558"/>
      <c r="J12940" s="567"/>
      <c r="K12940" s="648"/>
      <c r="L12940" s="567"/>
      <c r="M12940" s="549"/>
      <c r="N12940" s="549"/>
      <c r="O12940" s="549"/>
      <c r="P12940" s="549"/>
    </row>
    <row r="12941" spans="1:17" ht="17.399999999999999">
      <c r="A12941" s="547" t="s">
        <v>395</v>
      </c>
      <c r="B12941" s="547" t="s">
        <v>1361</v>
      </c>
      <c r="C12941" s="547" t="s">
        <v>446</v>
      </c>
      <c r="D12941" s="813" t="s">
        <v>447</v>
      </c>
      <c r="E12941" s="547" t="s">
        <v>359</v>
      </c>
      <c r="F12941" s="550">
        <v>9</v>
      </c>
      <c r="G12941" s="549" t="s">
        <v>21</v>
      </c>
      <c r="H12941" s="599" t="s">
        <v>70</v>
      </c>
      <c r="I12941" s="558">
        <v>5.77</v>
      </c>
      <c r="J12941" s="567">
        <v>12</v>
      </c>
      <c r="K12941" s="648">
        <v>2</v>
      </c>
      <c r="L12941" s="552">
        <f>(I12941*J12941*K12941/1000)</f>
        <v>0.13847999999999999</v>
      </c>
      <c r="M12941" s="549"/>
      <c r="N12941" s="549"/>
      <c r="O12941" s="549"/>
      <c r="P12941" s="549"/>
      <c r="Q12941" s="1511" t="s">
        <v>1584</v>
      </c>
    </row>
    <row r="12942" spans="1:17" ht="17.399999999999999">
      <c r="A12942" s="549"/>
      <c r="B12942" s="549"/>
      <c r="C12942" s="549"/>
      <c r="D12942" s="549"/>
      <c r="E12942" s="549"/>
      <c r="F12942" s="549"/>
      <c r="G12942" s="549"/>
      <c r="H12942" s="549"/>
      <c r="I12942" s="558"/>
      <c r="J12942" s="567"/>
      <c r="K12942" s="648">
        <f t="shared" ref="K12942" si="2608">SUM(K12941)</f>
        <v>2</v>
      </c>
      <c r="L12942" s="567">
        <f>SUM(L12941)</f>
        <v>0.13847999999999999</v>
      </c>
      <c r="M12942" s="549"/>
      <c r="N12942" s="549"/>
      <c r="O12942" s="549"/>
      <c r="P12942" s="549"/>
    </row>
    <row r="12943" spans="1:17" s="1511" customFormat="1" ht="17.399999999999999">
      <c r="A12943" s="549"/>
      <c r="B12943" s="549"/>
      <c r="C12943" s="549"/>
      <c r="D12943" s="549"/>
      <c r="E12943" s="549"/>
      <c r="F12943" s="549"/>
      <c r="G12943" s="549"/>
      <c r="H12943" s="549"/>
      <c r="I12943" s="558"/>
      <c r="J12943" s="567"/>
      <c r="K12943" s="648">
        <f>SUM(K12930:K12942)/2</f>
        <v>1284</v>
      </c>
      <c r="L12943" s="567">
        <f>SUM(L12930:L12942)/2</f>
        <v>83.243789999999962</v>
      </c>
      <c r="M12943" s="549"/>
      <c r="N12943" s="549"/>
      <c r="O12943" s="549"/>
      <c r="P12943" s="549" t="s">
        <v>1539</v>
      </c>
    </row>
    <row r="12944" spans="1:17" s="1511" customFormat="1" ht="17.399999999999999">
      <c r="A12944" s="549"/>
      <c r="B12944" s="549"/>
      <c r="C12944" s="549"/>
      <c r="D12944" s="549"/>
      <c r="E12944" s="549"/>
      <c r="F12944" s="549"/>
      <c r="G12944" s="549"/>
      <c r="H12944" s="549"/>
      <c r="I12944" s="558"/>
      <c r="J12944" s="567"/>
      <c r="K12944" s="648"/>
      <c r="L12944" s="567"/>
      <c r="M12944" s="549"/>
      <c r="N12944" s="549"/>
      <c r="O12944" s="549"/>
      <c r="P12944" s="549"/>
    </row>
    <row r="12945" spans="1:17" ht="17.399999999999999">
      <c r="A12945" s="549"/>
      <c r="B12945" s="549"/>
      <c r="C12945" s="549"/>
      <c r="D12945" s="549"/>
      <c r="E12945" s="549"/>
      <c r="F12945" s="549"/>
      <c r="G12945" s="549"/>
      <c r="H12945" s="549"/>
      <c r="I12945" s="558"/>
      <c r="J12945" s="549"/>
      <c r="K12945" s="561"/>
      <c r="L12945" s="560"/>
      <c r="M12945" s="549"/>
      <c r="N12945" s="549"/>
      <c r="O12945" s="549"/>
      <c r="P12945" s="549"/>
    </row>
    <row r="12946" spans="1:17" ht="17.399999999999999">
      <c r="A12946" s="549"/>
      <c r="B12946" s="549"/>
      <c r="C12946" s="549"/>
      <c r="D12946" s="549"/>
      <c r="E12946" s="549"/>
      <c r="F12946" s="549"/>
      <c r="G12946" s="549"/>
      <c r="H12946" s="549"/>
      <c r="I12946" s="558"/>
      <c r="J12946" s="549"/>
      <c r="K12946" s="561"/>
      <c r="L12946" s="560"/>
      <c r="M12946" s="549"/>
      <c r="N12946" s="549"/>
      <c r="O12946" s="549"/>
      <c r="P12946" s="549"/>
    </row>
    <row r="12947" spans="1:17" ht="17.399999999999999">
      <c r="A12947" s="549"/>
      <c r="B12947" s="549"/>
      <c r="C12947" s="549"/>
      <c r="D12947" s="549"/>
      <c r="E12947" s="549"/>
      <c r="F12947" s="549"/>
      <c r="G12947" s="549"/>
      <c r="H12947" s="549"/>
      <c r="I12947" s="558"/>
      <c r="J12947" s="549"/>
      <c r="K12947" s="561"/>
      <c r="L12947" s="560"/>
      <c r="M12947" s="549"/>
      <c r="N12947" s="549"/>
      <c r="O12947" s="549"/>
      <c r="P12947" s="549"/>
    </row>
    <row r="12948" spans="1:17" ht="17.399999999999999">
      <c r="A12948" s="547" t="s">
        <v>83</v>
      </c>
      <c r="B12948" s="547" t="s">
        <v>1360</v>
      </c>
      <c r="C12948" s="547" t="s">
        <v>446</v>
      </c>
      <c r="D12948" s="813" t="s">
        <v>450</v>
      </c>
      <c r="E12948" s="547" t="s">
        <v>270</v>
      </c>
      <c r="F12948" s="549">
        <v>7</v>
      </c>
      <c r="G12948" s="549" t="s">
        <v>61</v>
      </c>
      <c r="H12948" s="599" t="s">
        <v>70</v>
      </c>
      <c r="I12948" s="558">
        <v>5.77</v>
      </c>
      <c r="J12948" s="567">
        <v>9.1999999999999993</v>
      </c>
      <c r="K12948" s="648">
        <v>16</v>
      </c>
      <c r="L12948" s="552">
        <f>(I12948*J12948*K12948/1000)</f>
        <v>0.84934399999999988</v>
      </c>
      <c r="M12948" s="549">
        <v>16</v>
      </c>
      <c r="N12948" s="567">
        <f>J12948*M12948*I12948/1000</f>
        <v>0.84934399999999988</v>
      </c>
      <c r="O12948" s="549"/>
      <c r="P12948" s="549"/>
      <c r="Q12948" s="1511" t="s">
        <v>1589</v>
      </c>
    </row>
    <row r="12949" spans="1:17" ht="17.399999999999999">
      <c r="A12949" s="549"/>
      <c r="B12949" s="549"/>
      <c r="C12949" s="549"/>
      <c r="D12949" s="549"/>
      <c r="E12949" s="549"/>
      <c r="F12949" s="549"/>
      <c r="G12949" s="549" t="s">
        <v>61</v>
      </c>
      <c r="H12949" s="549" t="s">
        <v>70</v>
      </c>
      <c r="I12949" s="558">
        <v>5.77</v>
      </c>
      <c r="J12949" s="567">
        <v>10</v>
      </c>
      <c r="K12949" s="648">
        <v>8</v>
      </c>
      <c r="L12949" s="552">
        <f>(I12949*J12949*K12949/1000)</f>
        <v>0.46159999999999995</v>
      </c>
      <c r="M12949" s="549"/>
      <c r="N12949" s="549"/>
      <c r="O12949" s="549"/>
      <c r="P12949" s="549"/>
    </row>
    <row r="12950" spans="1:17" ht="17.399999999999999">
      <c r="A12950" s="549"/>
      <c r="B12950" s="549"/>
      <c r="C12950" s="549"/>
      <c r="D12950" s="549"/>
      <c r="E12950" s="549"/>
      <c r="F12950" s="549"/>
      <c r="G12950" s="549" t="s">
        <v>61</v>
      </c>
      <c r="H12950" s="549" t="s">
        <v>70</v>
      </c>
      <c r="I12950" s="558">
        <v>5.77</v>
      </c>
      <c r="J12950" s="567">
        <v>11</v>
      </c>
      <c r="K12950" s="648">
        <v>8</v>
      </c>
      <c r="L12950" s="552">
        <f>(I12950*J12950*K12950/1000)</f>
        <v>0.50775999999999999</v>
      </c>
      <c r="M12950" s="549"/>
      <c r="N12950" s="549"/>
      <c r="O12950" s="549"/>
      <c r="P12950" s="549"/>
    </row>
    <row r="12951" spans="1:17" ht="17.399999999999999">
      <c r="A12951" s="549"/>
      <c r="B12951" s="549"/>
      <c r="C12951" s="549"/>
      <c r="D12951" s="549"/>
      <c r="E12951" s="549"/>
      <c r="F12951" s="549"/>
      <c r="G12951" s="549"/>
      <c r="H12951" s="549"/>
      <c r="I12951" s="558"/>
      <c r="J12951" s="567"/>
      <c r="K12951" s="648">
        <f>SUM(K12948:K12950)</f>
        <v>32</v>
      </c>
      <c r="L12951" s="567">
        <f>SUM(L12948:L12950)</f>
        <v>1.8187039999999999</v>
      </c>
      <c r="M12951" s="648">
        <f t="shared" ref="M12951" si="2609">SUM(M12948:M12950)</f>
        <v>16</v>
      </c>
      <c r="N12951" s="567">
        <f>SUM(N12948:N12950)</f>
        <v>0.84934399999999988</v>
      </c>
      <c r="O12951" s="549"/>
      <c r="P12951" s="549"/>
    </row>
    <row r="12952" spans="1:17" ht="17.399999999999999">
      <c r="A12952" s="549"/>
      <c r="B12952" s="549"/>
      <c r="C12952" s="549"/>
      <c r="D12952" s="549"/>
      <c r="E12952" s="549"/>
      <c r="F12952" s="549"/>
      <c r="G12952" s="549"/>
      <c r="H12952" s="549"/>
      <c r="I12952" s="558"/>
      <c r="J12952" s="549"/>
      <c r="K12952" s="561"/>
      <c r="L12952" s="560"/>
      <c r="M12952" s="549"/>
      <c r="N12952" s="549"/>
      <c r="O12952" s="549"/>
      <c r="P12952" s="549"/>
    </row>
    <row r="12953" spans="1:17" ht="17.399999999999999">
      <c r="A12953" s="547" t="s">
        <v>395</v>
      </c>
      <c r="B12953" s="852" t="s">
        <v>1363</v>
      </c>
      <c r="C12953" s="547" t="s">
        <v>446</v>
      </c>
      <c r="D12953" s="813" t="s">
        <v>450</v>
      </c>
      <c r="E12953" s="547" t="s">
        <v>270</v>
      </c>
      <c r="F12953" s="549">
        <v>7</v>
      </c>
      <c r="G12953" s="549" t="s">
        <v>61</v>
      </c>
      <c r="H12953" s="599" t="s">
        <v>70</v>
      </c>
      <c r="I12953" s="558">
        <v>5.77</v>
      </c>
      <c r="J12953" s="567">
        <v>7</v>
      </c>
      <c r="K12953" s="648">
        <v>3</v>
      </c>
      <c r="L12953" s="552">
        <f t="shared" ref="L12953:L12956" si="2610">(I12953*J12953*K12953/1000)</f>
        <v>0.12117</v>
      </c>
      <c r="M12953" s="549">
        <v>3</v>
      </c>
      <c r="N12953" s="567">
        <f t="shared" ref="N12953:N12954" si="2611">J12953*M12953*I12953/1000</f>
        <v>0.12116999999999999</v>
      </c>
      <c r="O12953" s="549"/>
      <c r="P12953" s="549"/>
      <c r="Q12953" s="1511" t="s">
        <v>1589</v>
      </c>
    </row>
    <row r="12954" spans="1:17" ht="17.399999999999999">
      <c r="A12954" s="549"/>
      <c r="B12954" s="549"/>
      <c r="C12954" s="549"/>
      <c r="D12954" s="549"/>
      <c r="E12954" s="549"/>
      <c r="F12954" s="549"/>
      <c r="G12954" s="549" t="s">
        <v>61</v>
      </c>
      <c r="H12954" s="549" t="s">
        <v>70</v>
      </c>
      <c r="I12954" s="558">
        <v>5.77</v>
      </c>
      <c r="J12954" s="567">
        <v>8</v>
      </c>
      <c r="K12954" s="648">
        <v>3</v>
      </c>
      <c r="L12954" s="552">
        <f t="shared" si="2610"/>
        <v>0.13847999999999999</v>
      </c>
      <c r="M12954" s="549">
        <v>3</v>
      </c>
      <c r="N12954" s="567">
        <f t="shared" si="2611"/>
        <v>0.13847999999999999</v>
      </c>
      <c r="O12954" s="549"/>
      <c r="P12954" s="549"/>
    </row>
    <row r="12955" spans="1:17" ht="17.399999999999999">
      <c r="A12955" s="549"/>
      <c r="B12955" s="549"/>
      <c r="C12955" s="549"/>
      <c r="D12955" s="549"/>
      <c r="E12955" s="549"/>
      <c r="F12955" s="549"/>
      <c r="G12955" s="549" t="s">
        <v>61</v>
      </c>
      <c r="H12955" s="549" t="s">
        <v>70</v>
      </c>
      <c r="I12955" s="558">
        <v>5.77</v>
      </c>
      <c r="J12955" s="567">
        <v>11</v>
      </c>
      <c r="K12955" s="648">
        <v>8</v>
      </c>
      <c r="L12955" s="552">
        <f t="shared" si="2610"/>
        <v>0.50775999999999999</v>
      </c>
      <c r="M12955" s="549"/>
      <c r="N12955" s="549"/>
      <c r="O12955" s="549"/>
      <c r="P12955" s="549"/>
    </row>
    <row r="12956" spans="1:17" ht="17.399999999999999">
      <c r="A12956" s="549"/>
      <c r="B12956" s="549"/>
      <c r="C12956" s="549"/>
      <c r="D12956" s="549"/>
      <c r="E12956" s="549"/>
      <c r="F12956" s="549"/>
      <c r="G12956" s="549" t="s">
        <v>61</v>
      </c>
      <c r="H12956" s="549" t="s">
        <v>70</v>
      </c>
      <c r="I12956" s="558">
        <v>5.77</v>
      </c>
      <c r="J12956" s="567">
        <v>12</v>
      </c>
      <c r="K12956" s="648">
        <v>22</v>
      </c>
      <c r="L12956" s="552">
        <f t="shared" si="2610"/>
        <v>1.52328</v>
      </c>
      <c r="M12956" s="549">
        <f>6+1</f>
        <v>7</v>
      </c>
      <c r="N12956" s="567">
        <f>J12956*M12956*I12956/1000</f>
        <v>0.48467999999999994</v>
      </c>
      <c r="O12956" s="549"/>
      <c r="P12956" s="549"/>
    </row>
    <row r="12957" spans="1:17" ht="17.399999999999999">
      <c r="A12957" s="549"/>
      <c r="B12957" s="549"/>
      <c r="C12957" s="549"/>
      <c r="D12957" s="549"/>
      <c r="E12957" s="549"/>
      <c r="F12957" s="549"/>
      <c r="G12957" s="549"/>
      <c r="H12957" s="549"/>
      <c r="I12957" s="558"/>
      <c r="J12957" s="567"/>
      <c r="K12957" s="648">
        <f t="shared" ref="K12957:M12957" si="2612">SUM(K12953:K12956)</f>
        <v>36</v>
      </c>
      <c r="L12957" s="567">
        <f t="shared" ref="L12957:N12957" si="2613">SUM(L12953:L12956)</f>
        <v>2.2906899999999997</v>
      </c>
      <c r="M12957" s="648">
        <f t="shared" si="2612"/>
        <v>13</v>
      </c>
      <c r="N12957" s="567">
        <f t="shared" si="2613"/>
        <v>0.74432999999999994</v>
      </c>
      <c r="O12957" s="549"/>
      <c r="P12957" s="549"/>
    </row>
    <row r="12958" spans="1:17" s="1511" customFormat="1" ht="17.399999999999999">
      <c r="A12958" s="549"/>
      <c r="B12958" s="549"/>
      <c r="C12958" s="549"/>
      <c r="D12958" s="549"/>
      <c r="E12958" s="549"/>
      <c r="F12958" s="549"/>
      <c r="G12958" s="549"/>
      <c r="H12958" s="549"/>
      <c r="I12958" s="558"/>
      <c r="J12958" s="567"/>
      <c r="K12958" s="648"/>
      <c r="L12958" s="567"/>
      <c r="M12958" s="549"/>
      <c r="N12958" s="549"/>
      <c r="O12958" s="549"/>
      <c r="P12958" s="549"/>
    </row>
    <row r="12959" spans="1:17" ht="17.399999999999999">
      <c r="A12959" s="547" t="s">
        <v>395</v>
      </c>
      <c r="B12959" s="852" t="s">
        <v>1361</v>
      </c>
      <c r="C12959" s="547" t="s">
        <v>446</v>
      </c>
      <c r="D12959" s="813" t="s">
        <v>450</v>
      </c>
      <c r="E12959" s="547" t="s">
        <v>270</v>
      </c>
      <c r="F12959" s="549">
        <v>7</v>
      </c>
      <c r="G12959" s="549" t="s">
        <v>61</v>
      </c>
      <c r="H12959" s="599" t="s">
        <v>70</v>
      </c>
      <c r="I12959" s="558">
        <v>5.77</v>
      </c>
      <c r="J12959" s="567">
        <v>7</v>
      </c>
      <c r="K12959" s="648">
        <v>8</v>
      </c>
      <c r="L12959" s="552">
        <f t="shared" ref="L12959:L12964" si="2614">(I12959*J12959*K12959/1000)</f>
        <v>0.32312000000000002</v>
      </c>
      <c r="M12959" s="549">
        <v>8</v>
      </c>
      <c r="N12959" s="567">
        <f>J12959*M12959*I12959/1000</f>
        <v>0.32312000000000002</v>
      </c>
      <c r="O12959" s="549"/>
      <c r="P12959" s="549"/>
      <c r="Q12959" s="1511" t="s">
        <v>1589</v>
      </c>
    </row>
    <row r="12960" spans="1:17" ht="17.399999999999999">
      <c r="A12960" s="549"/>
      <c r="B12960" s="549"/>
      <c r="C12960" s="549"/>
      <c r="D12960" s="549"/>
      <c r="E12960" s="549"/>
      <c r="F12960" s="549"/>
      <c r="G12960" s="549" t="s">
        <v>61</v>
      </c>
      <c r="H12960" s="549" t="s">
        <v>70</v>
      </c>
      <c r="I12960" s="558">
        <v>5.77</v>
      </c>
      <c r="J12960" s="567">
        <v>10</v>
      </c>
      <c r="K12960" s="648">
        <v>6</v>
      </c>
      <c r="L12960" s="552">
        <f t="shared" si="2614"/>
        <v>0.34620000000000001</v>
      </c>
      <c r="M12960" s="549">
        <f>2+1</f>
        <v>3</v>
      </c>
      <c r="N12960" s="567">
        <f t="shared" ref="N12960:N12964" si="2615">J12960*M12960*I12960/1000</f>
        <v>0.1731</v>
      </c>
      <c r="O12960" s="549"/>
      <c r="P12960" s="549"/>
    </row>
    <row r="12961" spans="1:17" ht="17.399999999999999">
      <c r="A12961" s="549"/>
      <c r="B12961" s="549"/>
      <c r="C12961" s="549"/>
      <c r="D12961" s="549"/>
      <c r="E12961" s="549"/>
      <c r="F12961" s="549"/>
      <c r="G12961" s="549" t="s">
        <v>61</v>
      </c>
      <c r="H12961" s="549" t="s">
        <v>70</v>
      </c>
      <c r="I12961" s="558">
        <v>5.77</v>
      </c>
      <c r="J12961" s="567">
        <v>10.5</v>
      </c>
      <c r="K12961" s="648">
        <v>12</v>
      </c>
      <c r="L12961" s="552">
        <f t="shared" si="2614"/>
        <v>0.72702</v>
      </c>
      <c r="M12961" s="549">
        <f>3+1</f>
        <v>4</v>
      </c>
      <c r="N12961" s="567">
        <f t="shared" si="2615"/>
        <v>0.24233999999999997</v>
      </c>
      <c r="O12961" s="549"/>
      <c r="P12961" s="549"/>
    </row>
    <row r="12962" spans="1:17" ht="17.399999999999999">
      <c r="A12962" s="549"/>
      <c r="B12962" s="549"/>
      <c r="C12962" s="549"/>
      <c r="D12962" s="549"/>
      <c r="E12962" s="549"/>
      <c r="F12962" s="549"/>
      <c r="G12962" s="549" t="s">
        <v>61</v>
      </c>
      <c r="H12962" s="549" t="s">
        <v>70</v>
      </c>
      <c r="I12962" s="558">
        <v>5.77</v>
      </c>
      <c r="J12962" s="567">
        <v>11</v>
      </c>
      <c r="K12962" s="648">
        <v>5</v>
      </c>
      <c r="L12962" s="552">
        <f t="shared" si="2614"/>
        <v>0.31735000000000002</v>
      </c>
      <c r="M12962" s="549"/>
      <c r="N12962" s="567">
        <f t="shared" si="2615"/>
        <v>0</v>
      </c>
      <c r="O12962" s="549"/>
      <c r="P12962" s="549"/>
    </row>
    <row r="12963" spans="1:17" ht="17.399999999999999">
      <c r="A12963" s="549"/>
      <c r="B12963" s="549"/>
      <c r="C12963" s="549"/>
      <c r="D12963" s="549"/>
      <c r="E12963" s="549"/>
      <c r="F12963" s="549"/>
      <c r="G12963" s="549" t="s">
        <v>61</v>
      </c>
      <c r="H12963" s="549" t="s">
        <v>70</v>
      </c>
      <c r="I12963" s="558">
        <v>5.77</v>
      </c>
      <c r="J12963" s="567">
        <v>11.5</v>
      </c>
      <c r="K12963" s="648">
        <v>11</v>
      </c>
      <c r="L12963" s="552">
        <f t="shared" si="2614"/>
        <v>0.7299049999999998</v>
      </c>
      <c r="M12963" s="549">
        <f>1+1+2</f>
        <v>4</v>
      </c>
      <c r="N12963" s="567">
        <f t="shared" si="2615"/>
        <v>0.26541999999999993</v>
      </c>
      <c r="O12963" s="549"/>
      <c r="P12963" s="549"/>
    </row>
    <row r="12964" spans="1:17" ht="17.399999999999999">
      <c r="A12964" s="549"/>
      <c r="B12964" s="549"/>
      <c r="C12964" s="549"/>
      <c r="D12964" s="549"/>
      <c r="E12964" s="549"/>
      <c r="F12964" s="549"/>
      <c r="G12964" s="549" t="s">
        <v>61</v>
      </c>
      <c r="H12964" s="549" t="s">
        <v>70</v>
      </c>
      <c r="I12964" s="558">
        <v>5.77</v>
      </c>
      <c r="J12964" s="567">
        <v>12</v>
      </c>
      <c r="K12964" s="648">
        <v>3</v>
      </c>
      <c r="L12964" s="552">
        <f t="shared" si="2614"/>
        <v>0.20771999999999996</v>
      </c>
      <c r="M12964" s="549"/>
      <c r="N12964" s="567">
        <f t="shared" si="2615"/>
        <v>0</v>
      </c>
      <c r="O12964" s="549"/>
      <c r="P12964" s="549"/>
    </row>
    <row r="12965" spans="1:17" ht="17.399999999999999">
      <c r="A12965" s="549"/>
      <c r="B12965" s="549"/>
      <c r="C12965" s="549"/>
      <c r="D12965" s="549"/>
      <c r="E12965" s="549"/>
      <c r="F12965" s="549"/>
      <c r="G12965" s="549"/>
      <c r="H12965" s="549"/>
      <c r="I12965" s="558"/>
      <c r="J12965" s="567"/>
      <c r="K12965" s="648">
        <f>SUM(K12959:K12964)</f>
        <v>45</v>
      </c>
      <c r="L12965" s="567">
        <f>SUM(L12959:L12964)</f>
        <v>2.6513149999999999</v>
      </c>
      <c r="M12965" s="648">
        <f>SUM(M12959:M12964)</f>
        <v>19</v>
      </c>
      <c r="N12965" s="567">
        <f>SUM(N12959:N12964)</f>
        <v>1.0039799999999999</v>
      </c>
      <c r="O12965" s="549"/>
      <c r="P12965" s="549"/>
    </row>
    <row r="12966" spans="1:17" s="1511" customFormat="1" ht="17.399999999999999">
      <c r="A12966" s="549"/>
      <c r="B12966" s="549"/>
      <c r="C12966" s="549"/>
      <c r="D12966" s="549"/>
      <c r="E12966" s="549"/>
      <c r="F12966" s="549"/>
      <c r="G12966" s="549"/>
      <c r="H12966" s="549"/>
      <c r="I12966" s="558"/>
      <c r="J12966" s="567"/>
      <c r="K12966" s="648">
        <f>SUM(K12948:K12965)/2</f>
        <v>113</v>
      </c>
      <c r="L12966" s="567">
        <f>SUM(L12948:L12965)/2</f>
        <v>6.7607089999999994</v>
      </c>
      <c r="M12966" s="648">
        <f>SUM(M12948:M12965)/2</f>
        <v>48</v>
      </c>
      <c r="N12966" s="567">
        <f>SUM(N12948:N12965)/2</f>
        <v>2.5976539999999995</v>
      </c>
      <c r="O12966" s="549"/>
      <c r="P12966" s="549" t="s">
        <v>1540</v>
      </c>
    </row>
    <row r="12967" spans="1:17" s="1511" customFormat="1" ht="17.399999999999999">
      <c r="A12967" s="549"/>
      <c r="B12967" s="549"/>
      <c r="C12967" s="549"/>
      <c r="D12967" s="549"/>
      <c r="E12967" s="549"/>
      <c r="F12967" s="549"/>
      <c r="G12967" s="549"/>
      <c r="H12967" s="549"/>
      <c r="I12967" s="558"/>
      <c r="J12967" s="567"/>
      <c r="K12967" s="648"/>
      <c r="L12967" s="567"/>
      <c r="M12967" s="549"/>
      <c r="N12967" s="549"/>
      <c r="O12967" s="549"/>
      <c r="P12967" s="549"/>
    </row>
    <row r="12968" spans="1:17" s="1511" customFormat="1" ht="17.399999999999999">
      <c r="A12968" s="549"/>
      <c r="B12968" s="549"/>
      <c r="C12968" s="549"/>
      <c r="D12968" s="549"/>
      <c r="E12968" s="549"/>
      <c r="F12968" s="549"/>
      <c r="G12968" s="549"/>
      <c r="H12968" s="549"/>
      <c r="I12968" s="558"/>
      <c r="J12968" s="567"/>
      <c r="K12968" s="648"/>
      <c r="L12968" s="567"/>
      <c r="M12968" s="549"/>
      <c r="N12968" s="549"/>
      <c r="O12968" s="549"/>
      <c r="P12968" s="549"/>
    </row>
    <row r="12969" spans="1:17" ht="17.399999999999999">
      <c r="A12969" s="547" t="s">
        <v>395</v>
      </c>
      <c r="B12969" s="852" t="s">
        <v>1361</v>
      </c>
      <c r="C12969" s="547" t="s">
        <v>446</v>
      </c>
      <c r="D12969" s="813" t="s">
        <v>450</v>
      </c>
      <c r="E12969" s="547" t="s">
        <v>270</v>
      </c>
      <c r="F12969" s="549">
        <v>7</v>
      </c>
      <c r="G12969" s="549" t="s">
        <v>61</v>
      </c>
      <c r="H12969" s="599" t="s">
        <v>69</v>
      </c>
      <c r="I12969" s="558">
        <v>6.86</v>
      </c>
      <c r="J12969" s="567">
        <v>7.75</v>
      </c>
      <c r="K12969" s="648">
        <v>9</v>
      </c>
      <c r="L12969" s="552">
        <f t="shared" ref="L12969:L12971" si="2616">(I12969*J12969*K12969/1000)</f>
        <v>0.47848499999999999</v>
      </c>
      <c r="M12969" s="549"/>
      <c r="N12969" s="549"/>
      <c r="O12969" s="549"/>
      <c r="P12969" s="549"/>
      <c r="Q12969" s="1511" t="s">
        <v>1589</v>
      </c>
    </row>
    <row r="12970" spans="1:17" ht="17.399999999999999">
      <c r="A12970" s="549"/>
      <c r="B12970" s="549"/>
      <c r="C12970" s="549"/>
      <c r="D12970" s="549"/>
      <c r="E12970" s="549"/>
      <c r="F12970" s="549"/>
      <c r="G12970" s="549" t="s">
        <v>61</v>
      </c>
      <c r="H12970" s="549" t="s">
        <v>69</v>
      </c>
      <c r="I12970" s="558">
        <v>6.86</v>
      </c>
      <c r="J12970" s="567">
        <v>10</v>
      </c>
      <c r="K12970" s="648">
        <v>23</v>
      </c>
      <c r="L12970" s="552">
        <f t="shared" si="2616"/>
        <v>1.5778000000000001</v>
      </c>
      <c r="M12970" s="549"/>
      <c r="N12970" s="549"/>
      <c r="O12970" s="549"/>
      <c r="P12970" s="549"/>
    </row>
    <row r="12971" spans="1:17" ht="17.399999999999999">
      <c r="A12971" s="549"/>
      <c r="B12971" s="549"/>
      <c r="C12971" s="549"/>
      <c r="D12971" s="549"/>
      <c r="E12971" s="549"/>
      <c r="F12971" s="549"/>
      <c r="G12971" s="549" t="s">
        <v>61</v>
      </c>
      <c r="H12971" s="549" t="s">
        <v>69</v>
      </c>
      <c r="I12971" s="558">
        <v>6.86</v>
      </c>
      <c r="J12971" s="567">
        <v>12</v>
      </c>
      <c r="K12971" s="648">
        <v>32</v>
      </c>
      <c r="L12971" s="552">
        <f t="shared" si="2616"/>
        <v>2.6342400000000001</v>
      </c>
      <c r="M12971" s="549"/>
      <c r="N12971" s="549"/>
      <c r="O12971" s="549"/>
      <c r="P12971" s="549"/>
    </row>
    <row r="12972" spans="1:17" ht="17.399999999999999">
      <c r="A12972" s="549"/>
      <c r="B12972" s="549"/>
      <c r="C12972" s="549"/>
      <c r="D12972" s="549"/>
      <c r="E12972" s="549"/>
      <c r="F12972" s="549"/>
      <c r="G12972" s="549"/>
      <c r="H12972" s="549"/>
      <c r="I12972" s="558"/>
      <c r="J12972" s="567"/>
      <c r="K12972" s="648">
        <f t="shared" ref="K12972" si="2617">SUM(K12969:K12971)</f>
        <v>64</v>
      </c>
      <c r="L12972" s="567">
        <f t="shared" ref="L12972" si="2618">SUM(L12969:L12971)</f>
        <v>4.6905250000000001</v>
      </c>
      <c r="M12972" s="549"/>
      <c r="N12972" s="549"/>
      <c r="O12972" s="549"/>
      <c r="P12972" s="549"/>
    </row>
    <row r="12973" spans="1:17" s="1511" customFormat="1" ht="17.399999999999999">
      <c r="A12973" s="549"/>
      <c r="B12973" s="549"/>
      <c r="C12973" s="549"/>
      <c r="D12973" s="549"/>
      <c r="E12973" s="549"/>
      <c r="F12973" s="549"/>
      <c r="G12973" s="549"/>
      <c r="H12973" s="549"/>
      <c r="I12973" s="558"/>
      <c r="J12973" s="567"/>
      <c r="K12973" s="648"/>
      <c r="L12973" s="567"/>
      <c r="M12973" s="549"/>
      <c r="N12973" s="549"/>
      <c r="O12973" s="549"/>
      <c r="P12973" s="549"/>
    </row>
    <row r="12974" spans="1:17" ht="17.399999999999999">
      <c r="A12974" s="547" t="s">
        <v>395</v>
      </c>
      <c r="B12974" s="852" t="s">
        <v>1363</v>
      </c>
      <c r="C12974" s="547" t="s">
        <v>446</v>
      </c>
      <c r="D12974" s="813" t="s">
        <v>450</v>
      </c>
      <c r="E12974" s="547" t="s">
        <v>270</v>
      </c>
      <c r="F12974" s="549">
        <v>7</v>
      </c>
      <c r="G12974" s="549" t="s">
        <v>61</v>
      </c>
      <c r="H12974" s="599" t="s">
        <v>69</v>
      </c>
      <c r="I12974" s="558">
        <v>6.86</v>
      </c>
      <c r="J12974" s="567">
        <v>10</v>
      </c>
      <c r="K12974" s="648">
        <v>1</v>
      </c>
      <c r="L12974" s="552">
        <f t="shared" ref="L12974:L12975" si="2619">(I12974*J12974*K12974/1000)</f>
        <v>6.8600000000000008E-2</v>
      </c>
      <c r="M12974" s="549"/>
      <c r="N12974" s="549"/>
      <c r="O12974" s="549"/>
      <c r="P12974" s="549"/>
      <c r="Q12974" s="1511" t="s">
        <v>1589</v>
      </c>
    </row>
    <row r="12975" spans="1:17" ht="17.399999999999999">
      <c r="A12975" s="549"/>
      <c r="B12975" s="549"/>
      <c r="C12975" s="549"/>
      <c r="D12975" s="549"/>
      <c r="E12975" s="549"/>
      <c r="F12975" s="549"/>
      <c r="G12975" s="549" t="s">
        <v>61</v>
      </c>
      <c r="H12975" s="549" t="s">
        <v>69</v>
      </c>
      <c r="I12975" s="558">
        <v>6.86</v>
      </c>
      <c r="J12975" s="567">
        <v>12</v>
      </c>
      <c r="K12975" s="648">
        <v>3</v>
      </c>
      <c r="L12975" s="552">
        <f t="shared" si="2619"/>
        <v>0.24696000000000004</v>
      </c>
      <c r="M12975" s="549"/>
      <c r="N12975" s="549"/>
      <c r="O12975" s="549"/>
      <c r="P12975" s="549"/>
    </row>
    <row r="12976" spans="1:17" ht="17.399999999999999">
      <c r="A12976" s="549"/>
      <c r="B12976" s="549"/>
      <c r="C12976" s="549"/>
      <c r="D12976" s="549"/>
      <c r="E12976" s="549"/>
      <c r="F12976" s="549"/>
      <c r="G12976" s="549"/>
      <c r="H12976" s="549"/>
      <c r="I12976" s="558"/>
      <c r="J12976" s="567"/>
      <c r="K12976" s="648">
        <f t="shared" ref="K12976" si="2620">SUM(K12974:K12975)</f>
        <v>4</v>
      </c>
      <c r="L12976" s="567">
        <f t="shared" ref="L12976" si="2621">SUM(L12974:L12975)</f>
        <v>0.31556000000000006</v>
      </c>
      <c r="M12976" s="549"/>
      <c r="N12976" s="549"/>
      <c r="O12976" s="549"/>
      <c r="P12976" s="549"/>
    </row>
    <row r="12977" spans="1:17" ht="17.399999999999999">
      <c r="A12977" s="549"/>
      <c r="B12977" s="549"/>
      <c r="C12977" s="549"/>
      <c r="D12977" s="549"/>
      <c r="E12977" s="549"/>
      <c r="F12977" s="549"/>
      <c r="G12977" s="549"/>
      <c r="H12977" s="549"/>
      <c r="I12977" s="558"/>
      <c r="J12977" s="549"/>
      <c r="K12977" s="652">
        <f>SUM(K12969:K12976)/2</f>
        <v>68</v>
      </c>
      <c r="L12977" s="565">
        <f>SUM(L12969:L12976)/2</f>
        <v>5.0060849999999997</v>
      </c>
      <c r="M12977" s="652">
        <f>SUM(M12969:M12976)/2</f>
        <v>0</v>
      </c>
      <c r="N12977" s="565">
        <f>SUM(N12969:N12976)/2</f>
        <v>0</v>
      </c>
      <c r="O12977" s="549"/>
      <c r="P12977" s="549" t="s">
        <v>1541</v>
      </c>
    </row>
    <row r="12978" spans="1:17" ht="17.399999999999999">
      <c r="A12978" s="549"/>
      <c r="B12978" s="549"/>
      <c r="C12978" s="549"/>
      <c r="D12978" s="549"/>
      <c r="E12978" s="549"/>
      <c r="F12978" s="549"/>
      <c r="G12978" s="549"/>
      <c r="H12978" s="549"/>
      <c r="I12978" s="558"/>
      <c r="J12978" s="549"/>
      <c r="K12978" s="561"/>
      <c r="L12978" s="560"/>
      <c r="M12978" s="549"/>
      <c r="N12978" s="549"/>
      <c r="O12978" s="549"/>
      <c r="P12978" s="549"/>
    </row>
    <row r="12979" spans="1:17" ht="17.399999999999999">
      <c r="A12979" s="547" t="s">
        <v>395</v>
      </c>
      <c r="B12979" s="852" t="s">
        <v>1364</v>
      </c>
      <c r="C12979" s="547" t="s">
        <v>19</v>
      </c>
      <c r="D12979" s="813" t="s">
        <v>60</v>
      </c>
      <c r="E12979" s="547" t="s">
        <v>270</v>
      </c>
      <c r="F12979" s="550">
        <v>7</v>
      </c>
      <c r="G12979" s="549" t="s">
        <v>61</v>
      </c>
      <c r="H12979" s="599" t="s">
        <v>69</v>
      </c>
      <c r="I12979" s="558">
        <v>6.86</v>
      </c>
      <c r="J12979" s="567">
        <v>8</v>
      </c>
      <c r="K12979" s="648">
        <v>7</v>
      </c>
      <c r="L12979" s="552">
        <f t="shared" ref="L12979:L12980" si="2622">(I12979*J12979*K12979/1000)</f>
        <v>0.38416</v>
      </c>
      <c r="M12979" s="549"/>
      <c r="N12979" s="549"/>
      <c r="O12979" s="549"/>
      <c r="P12979" s="549"/>
      <c r="Q12979" s="1511" t="s">
        <v>1589</v>
      </c>
    </row>
    <row r="12980" spans="1:17" ht="17.399999999999999">
      <c r="A12980" s="549"/>
      <c r="B12980" s="1605" t="s">
        <v>277</v>
      </c>
      <c r="C12980" s="549"/>
      <c r="D12980" s="549"/>
      <c r="E12980" s="549"/>
      <c r="F12980" s="549"/>
      <c r="G12980" s="549" t="s">
        <v>61</v>
      </c>
      <c r="H12980" s="549" t="s">
        <v>69</v>
      </c>
      <c r="I12980" s="558">
        <v>6.86</v>
      </c>
      <c r="J12980" s="567">
        <v>12</v>
      </c>
      <c r="K12980" s="648">
        <v>13</v>
      </c>
      <c r="L12980" s="552">
        <f t="shared" si="2622"/>
        <v>1.07016</v>
      </c>
      <c r="M12980" s="549"/>
      <c r="N12980" s="549"/>
      <c r="O12980" s="549"/>
      <c r="P12980" s="549"/>
    </row>
    <row r="12981" spans="1:17" ht="17.399999999999999">
      <c r="A12981" s="549"/>
      <c r="B12981" s="549"/>
      <c r="C12981" s="549"/>
      <c r="D12981" s="549"/>
      <c r="E12981" s="549"/>
      <c r="F12981" s="549"/>
      <c r="G12981" s="549"/>
      <c r="H12981" s="549"/>
      <c r="I12981" s="558"/>
      <c r="J12981" s="567"/>
      <c r="K12981" s="648">
        <f t="shared" ref="K12981:L12981" si="2623">SUM(K12979:K12980)</f>
        <v>20</v>
      </c>
      <c r="L12981" s="567">
        <f t="shared" si="2623"/>
        <v>1.4543200000000001</v>
      </c>
      <c r="M12981" s="549"/>
      <c r="N12981" s="549"/>
      <c r="O12981" s="549"/>
      <c r="P12981" s="549" t="s">
        <v>1542</v>
      </c>
    </row>
    <row r="12982" spans="1:17" ht="17.399999999999999">
      <c r="A12982" s="549"/>
      <c r="B12982" s="549"/>
      <c r="C12982" s="549"/>
      <c r="D12982" s="549"/>
      <c r="E12982" s="549"/>
      <c r="F12982" s="549"/>
      <c r="G12982" s="549"/>
      <c r="H12982" s="549"/>
      <c r="I12982" s="558"/>
      <c r="J12982" s="549"/>
      <c r="K12982" s="561"/>
      <c r="L12982" s="560"/>
      <c r="M12982" s="549"/>
      <c r="N12982" s="549"/>
      <c r="O12982" s="549"/>
      <c r="P12982" s="549"/>
    </row>
    <row r="12983" spans="1:17" ht="17.399999999999999">
      <c r="A12983" s="547" t="s">
        <v>83</v>
      </c>
      <c r="B12983" s="547" t="s">
        <v>1456</v>
      </c>
      <c r="C12983" s="547" t="s">
        <v>19</v>
      </c>
      <c r="D12983" s="813" t="s">
        <v>60</v>
      </c>
      <c r="E12983" s="547" t="s">
        <v>270</v>
      </c>
      <c r="F12983" s="550">
        <v>7</v>
      </c>
      <c r="G12983" s="549" t="s">
        <v>61</v>
      </c>
      <c r="H12983" s="599" t="s">
        <v>69</v>
      </c>
      <c r="I12983" s="558">
        <v>6.86</v>
      </c>
      <c r="J12983" s="567">
        <v>12</v>
      </c>
      <c r="K12983" s="648">
        <v>14</v>
      </c>
      <c r="L12983" s="552">
        <f>(I12983*J12983*K12983/1000)</f>
        <v>1.1524799999999999</v>
      </c>
      <c r="M12983" s="549"/>
      <c r="N12983" s="549"/>
      <c r="O12983" s="549"/>
      <c r="P12983" s="549"/>
      <c r="Q12983" s="1511" t="s">
        <v>1589</v>
      </c>
    </row>
    <row r="12984" spans="1:17" ht="17.399999999999999">
      <c r="A12984" s="549"/>
      <c r="B12984" s="769" t="s">
        <v>1457</v>
      </c>
      <c r="C12984" s="549"/>
      <c r="D12984" s="549"/>
      <c r="E12984" s="549"/>
      <c r="F12984" s="549"/>
      <c r="G12984" s="549"/>
      <c r="H12984" s="549"/>
      <c r="I12984" s="558"/>
      <c r="J12984" s="567"/>
      <c r="K12984" s="648">
        <f>SUM(K12983)</f>
        <v>14</v>
      </c>
      <c r="L12984" s="567">
        <f>SUM(L12983)</f>
        <v>1.1524799999999999</v>
      </c>
      <c r="M12984" s="549"/>
      <c r="N12984" s="549"/>
      <c r="O12984" s="549"/>
      <c r="P12984" s="549" t="s">
        <v>1542</v>
      </c>
    </row>
    <row r="12985" spans="1:17" ht="17.399999999999999">
      <c r="A12985" s="549"/>
      <c r="B12985" s="549"/>
      <c r="C12985" s="549"/>
      <c r="D12985" s="549"/>
      <c r="E12985" s="549"/>
      <c r="F12985" s="549"/>
      <c r="G12985" s="549"/>
      <c r="H12985" s="549"/>
      <c r="I12985" s="558"/>
      <c r="J12985" s="549"/>
      <c r="K12985" s="561"/>
      <c r="L12985" s="560"/>
      <c r="M12985" s="549"/>
      <c r="N12985" s="549"/>
      <c r="O12985" s="549"/>
      <c r="P12985" s="549"/>
    </row>
    <row r="12986" spans="1:17" ht="17.399999999999999">
      <c r="A12986" s="547" t="s">
        <v>83</v>
      </c>
      <c r="B12986" s="547" t="s">
        <v>1410</v>
      </c>
      <c r="C12986" s="547" t="s">
        <v>19</v>
      </c>
      <c r="D12986" s="813" t="s">
        <v>60</v>
      </c>
      <c r="E12986" s="549" t="s">
        <v>62</v>
      </c>
      <c r="F12986" s="550">
        <v>9</v>
      </c>
      <c r="G12986" s="549" t="s">
        <v>61</v>
      </c>
      <c r="H12986" s="599" t="s">
        <v>69</v>
      </c>
      <c r="I12986" s="558">
        <v>6.85</v>
      </c>
      <c r="J12986" s="567">
        <v>12</v>
      </c>
      <c r="K12986" s="648">
        <v>8</v>
      </c>
      <c r="L12986" s="552">
        <f>(I12986*J12986*K12986/1000)</f>
        <v>0.65759999999999996</v>
      </c>
      <c r="M12986" s="549"/>
      <c r="N12986" s="549"/>
      <c r="O12986" s="549"/>
      <c r="P12986" s="549"/>
      <c r="Q12986" s="1511" t="s">
        <v>1589</v>
      </c>
    </row>
    <row r="12987" spans="1:17" ht="17.399999999999999">
      <c r="A12987" s="549"/>
      <c r="B12987" s="728" t="s">
        <v>52</v>
      </c>
      <c r="C12987" s="549"/>
      <c r="D12987" s="549"/>
      <c r="E12987" s="549"/>
      <c r="F12987" s="549"/>
      <c r="G12987" s="549"/>
      <c r="H12987" s="549"/>
      <c r="I12987" s="558"/>
      <c r="J12987" s="567"/>
      <c r="K12987" s="648">
        <f t="shared" ref="K12987" si="2624">SUM(K12986)</f>
        <v>8</v>
      </c>
      <c r="L12987" s="567">
        <f>SUM(L12986)</f>
        <v>0.65759999999999996</v>
      </c>
      <c r="M12987" s="549"/>
      <c r="N12987" s="549"/>
      <c r="O12987" s="549"/>
      <c r="P12987" s="549" t="s">
        <v>1543</v>
      </c>
    </row>
    <row r="12988" spans="1:17" ht="17.399999999999999">
      <c r="A12988" s="549"/>
      <c r="B12988" s="549"/>
      <c r="C12988" s="549"/>
      <c r="D12988" s="549"/>
      <c r="E12988" s="549"/>
      <c r="F12988" s="549"/>
      <c r="G12988" s="549"/>
      <c r="H12988" s="549"/>
      <c r="I12988" s="558"/>
      <c r="J12988" s="549"/>
      <c r="K12988" s="652">
        <f>SUM(K12979:K12987)/2</f>
        <v>42</v>
      </c>
      <c r="L12988" s="565">
        <f>SUM(L12979:L12987)/2</f>
        <v>3.2644000000000002</v>
      </c>
      <c r="M12988" s="652">
        <f>SUM(M12979:M12987)/2</f>
        <v>0</v>
      </c>
      <c r="N12988" s="565">
        <f>SUM(N12979:N12987)/2</f>
        <v>0</v>
      </c>
      <c r="O12988" s="549"/>
      <c r="P12988" s="549"/>
    </row>
    <row r="12989" spans="1:17" s="1511" customFormat="1" ht="17.399999999999999">
      <c r="A12989" s="549"/>
      <c r="B12989" s="549"/>
      <c r="C12989" s="549"/>
      <c r="D12989" s="549"/>
      <c r="E12989" s="549"/>
      <c r="F12989" s="549"/>
      <c r="G12989" s="549"/>
      <c r="H12989" s="549"/>
      <c r="I12989" s="558"/>
      <c r="J12989" s="549"/>
      <c r="K12989" s="652"/>
      <c r="L12989" s="565"/>
      <c r="M12989" s="549"/>
      <c r="N12989" s="549"/>
      <c r="O12989" s="549"/>
      <c r="P12989" s="549"/>
    </row>
    <row r="12990" spans="1:17" ht="17.399999999999999">
      <c r="A12990" s="549"/>
      <c r="B12990" s="549"/>
      <c r="C12990" s="549"/>
      <c r="D12990" s="549"/>
      <c r="E12990" s="549"/>
      <c r="F12990" s="549"/>
      <c r="G12990" s="549"/>
      <c r="H12990" s="549"/>
      <c r="I12990" s="558"/>
      <c r="J12990" s="549"/>
      <c r="K12990" s="561"/>
      <c r="L12990" s="560"/>
      <c r="M12990" s="549"/>
      <c r="N12990" s="549"/>
      <c r="O12990" s="549"/>
      <c r="P12990" s="549"/>
    </row>
    <row r="12991" spans="1:17" ht="17.399999999999999">
      <c r="A12991" s="549"/>
      <c r="B12991" s="549"/>
      <c r="C12991" s="549"/>
      <c r="D12991" s="549"/>
      <c r="E12991" s="549"/>
      <c r="F12991" s="549"/>
      <c r="G12991" s="549"/>
      <c r="H12991" s="549"/>
      <c r="I12991" s="558"/>
      <c r="J12991" s="549"/>
      <c r="K12991" s="652">
        <f>+K12977+K12966+K12943+K12988+K12917+K12925</f>
        <v>2587</v>
      </c>
      <c r="L12991" s="565">
        <f>+L12977+L12966+L12943+L12988+L12917+L12925</f>
        <v>153.17118349999998</v>
      </c>
      <c r="M12991" s="652">
        <f>+M12977+M12966+M12943+M12988+M12917+M12925</f>
        <v>67</v>
      </c>
      <c r="N12991" s="565">
        <f>+N12977+N12966+N12943+N12988+N12917+N12925</f>
        <v>3.6891739999999995</v>
      </c>
      <c r="O12991" s="549"/>
      <c r="P12991" s="549"/>
    </row>
    <row r="12992" spans="1:17" ht="18">
      <c r="A12992" s="653" t="s">
        <v>48</v>
      </c>
      <c r="B12992" s="653"/>
      <c r="C12992" s="654"/>
      <c r="D12992" s="654"/>
      <c r="E12992" s="654"/>
      <c r="F12992" s="1662"/>
      <c r="G12992" s="654"/>
      <c r="H12992" s="1662"/>
      <c r="I12992" s="656"/>
      <c r="J12992" s="654"/>
      <c r="K12992" s="657"/>
      <c r="L12992" s="2003" t="s">
        <v>0</v>
      </c>
      <c r="M12992" s="2003"/>
      <c r="N12992" s="2003"/>
      <c r="O12992" s="2004"/>
      <c r="P12992" s="1097"/>
    </row>
    <row r="12993" spans="1:16" ht="18">
      <c r="A12993" s="658" t="s">
        <v>1</v>
      </c>
      <c r="B12993" s="658"/>
      <c r="C12993" s="658"/>
      <c r="D12993" s="659" t="s">
        <v>2</v>
      </c>
      <c r="E12993" s="659"/>
      <c r="F12993" s="660"/>
      <c r="G12993" s="660"/>
      <c r="H12993" s="660"/>
      <c r="I12993" s="661"/>
      <c r="J12993" s="660"/>
      <c r="K12993" s="662" t="s">
        <v>3</v>
      </c>
      <c r="L12993" s="660"/>
      <c r="M12993" s="658"/>
      <c r="N12993" s="660"/>
      <c r="O12993" s="663"/>
      <c r="P12993" s="1098"/>
    </row>
    <row r="12994" spans="1:16" ht="18">
      <c r="A12994" s="1662" t="s">
        <v>22</v>
      </c>
      <c r="B12994" s="1990" t="s">
        <v>23</v>
      </c>
      <c r="C12994" s="2005"/>
      <c r="D12994" s="1989"/>
      <c r="E12994" s="1662" t="s">
        <v>24</v>
      </c>
      <c r="F12994" s="1990" t="s">
        <v>25</v>
      </c>
      <c r="G12994" s="1989"/>
      <c r="H12994" s="1990" t="s">
        <v>26</v>
      </c>
      <c r="I12994" s="2005"/>
      <c r="J12994" s="2005"/>
      <c r="K12994" s="1989"/>
      <c r="L12994" s="2006" t="s">
        <v>27</v>
      </c>
      <c r="M12994" s="2006"/>
      <c r="N12994" s="2006"/>
      <c r="O12994" s="1990"/>
      <c r="P12994" s="1098"/>
    </row>
    <row r="12995" spans="1:16" ht="18">
      <c r="A12995" s="664"/>
      <c r="B12995" s="1975"/>
      <c r="C12995" s="1976"/>
      <c r="D12995" s="1977"/>
      <c r="E12995" s="665"/>
      <c r="F12995" s="1975"/>
      <c r="G12995" s="1977"/>
      <c r="H12995" s="1975"/>
      <c r="I12995" s="1976"/>
      <c r="J12995" s="1976"/>
      <c r="K12995" s="1977"/>
      <c r="L12995" s="1975"/>
      <c r="M12995" s="1976"/>
      <c r="N12995" s="1976"/>
      <c r="O12995" s="1976"/>
      <c r="P12995" s="1098"/>
    </row>
    <row r="12996" spans="1:16" ht="18">
      <c r="A12996" s="664"/>
      <c r="B12996" s="1655"/>
      <c r="C12996" s="1656"/>
      <c r="D12996" s="1657"/>
      <c r="E12996" s="665"/>
      <c r="F12996" s="1655"/>
      <c r="G12996" s="1657"/>
      <c r="H12996" s="1655"/>
      <c r="I12996" s="1842"/>
      <c r="J12996" s="1656"/>
      <c r="K12996" s="1657"/>
      <c r="L12996" s="1656"/>
      <c r="M12996" s="1656"/>
      <c r="N12996" s="1656"/>
      <c r="O12996" s="1656"/>
      <c r="P12996" s="1098"/>
    </row>
    <row r="12997" spans="1:16" s="1511" customFormat="1" ht="18">
      <c r="A12997" s="664" t="s">
        <v>28</v>
      </c>
      <c r="B12997" s="1975" t="s">
        <v>573</v>
      </c>
      <c r="C12997" s="1976"/>
      <c r="D12997" s="1977"/>
      <c r="E12997" s="665">
        <f>+L12917-1.092</f>
        <v>39.040737000000007</v>
      </c>
      <c r="F12997" s="1973">
        <v>9</v>
      </c>
      <c r="G12997" s="1974"/>
      <c r="H12997" s="1975" t="s">
        <v>155</v>
      </c>
      <c r="I12997" s="1976"/>
      <c r="J12997" s="1976"/>
      <c r="K12997" s="1977"/>
      <c r="L12997" s="1976" t="s">
        <v>64</v>
      </c>
      <c r="M12997" s="1976"/>
      <c r="N12997" s="1976"/>
      <c r="O12997" s="1976"/>
      <c r="P12997" s="1098"/>
    </row>
    <row r="12998" spans="1:16" s="1511" customFormat="1" ht="18">
      <c r="A12998" s="664"/>
      <c r="B12998" s="1975"/>
      <c r="C12998" s="1976"/>
      <c r="D12998" s="1977"/>
      <c r="E12998" s="665"/>
      <c r="F12998" s="1973"/>
      <c r="G12998" s="1974"/>
      <c r="H12998" s="1975"/>
      <c r="I12998" s="1976"/>
      <c r="J12998" s="1976"/>
      <c r="K12998" s="1977"/>
      <c r="L12998" s="1976"/>
      <c r="M12998" s="1976"/>
      <c r="N12998" s="1976"/>
      <c r="O12998" s="1976"/>
      <c r="P12998" s="1098"/>
    </row>
    <row r="12999" spans="1:16" s="1511" customFormat="1" ht="18">
      <c r="A12999" s="664" t="s">
        <v>29</v>
      </c>
      <c r="B12999" s="1975" t="s">
        <v>71</v>
      </c>
      <c r="C12999" s="1976"/>
      <c r="D12999" s="1977"/>
      <c r="E12999" s="665">
        <f>+L12925</f>
        <v>14.763462499999999</v>
      </c>
      <c r="F12999" s="1973">
        <v>9</v>
      </c>
      <c r="G12999" s="1974"/>
      <c r="H12999" s="1975" t="s">
        <v>49</v>
      </c>
      <c r="I12999" s="1976"/>
      <c r="J12999" s="1976"/>
      <c r="K12999" s="1977"/>
      <c r="L12999" s="1976" t="s">
        <v>65</v>
      </c>
      <c r="M12999" s="1976"/>
      <c r="N12999" s="1976"/>
      <c r="O12999" s="1976"/>
      <c r="P12999" s="1098"/>
    </row>
    <row r="13000" spans="1:16" s="1511" customFormat="1" ht="18">
      <c r="A13000" s="664"/>
      <c r="B13000" s="1655"/>
      <c r="C13000" s="1656"/>
      <c r="D13000" s="1657"/>
      <c r="E13000" s="665"/>
      <c r="F13000" s="1658"/>
      <c r="G13000" s="1659"/>
      <c r="H13000" s="1655"/>
      <c r="I13000" s="1842"/>
      <c r="J13000" s="1656"/>
      <c r="K13000" s="1657"/>
      <c r="L13000" s="1656"/>
      <c r="M13000" s="1656"/>
      <c r="N13000" s="1656"/>
      <c r="O13000" s="1656"/>
      <c r="P13000" s="1098"/>
    </row>
    <row r="13001" spans="1:16" ht="18">
      <c r="A13001" s="664" t="s">
        <v>30</v>
      </c>
      <c r="B13001" s="1975" t="s">
        <v>78</v>
      </c>
      <c r="C13001" s="1976"/>
      <c r="D13001" s="1977"/>
      <c r="E13001" s="665">
        <f>+L12943</f>
        <v>83.243789999999962</v>
      </c>
      <c r="F13001" s="1973">
        <v>9</v>
      </c>
      <c r="G13001" s="1974"/>
      <c r="H13001" s="1975" t="s">
        <v>447</v>
      </c>
      <c r="I13001" s="1976"/>
      <c r="J13001" s="1976"/>
      <c r="K13001" s="1977"/>
      <c r="L13001" s="1976" t="s">
        <v>65</v>
      </c>
      <c r="M13001" s="1976"/>
      <c r="N13001" s="1976"/>
      <c r="O13001" s="1976"/>
      <c r="P13001" s="1098"/>
    </row>
    <row r="13002" spans="1:16" ht="18">
      <c r="A13002" s="664"/>
      <c r="B13002" s="1975"/>
      <c r="C13002" s="1976"/>
      <c r="D13002" s="1977"/>
      <c r="E13002" s="665"/>
      <c r="F13002" s="1973"/>
      <c r="G13002" s="1974"/>
      <c r="H13002" s="1975"/>
      <c r="I13002" s="1976"/>
      <c r="J13002" s="1976"/>
      <c r="K13002" s="1977"/>
      <c r="L13002" s="1976"/>
      <c r="M13002" s="1976"/>
      <c r="N13002" s="1976"/>
      <c r="O13002" s="1976"/>
      <c r="P13002" s="1098"/>
    </row>
    <row r="13003" spans="1:16" s="1511" customFormat="1" ht="18">
      <c r="A13003" s="664"/>
      <c r="B13003" s="1655"/>
      <c r="C13003" s="1656"/>
      <c r="D13003" s="1657"/>
      <c r="E13003" s="665"/>
      <c r="F13003" s="1658"/>
      <c r="G13003" s="1659"/>
      <c r="H13003" s="1655"/>
      <c r="I13003" s="1842"/>
      <c r="J13003" s="1656"/>
      <c r="K13003" s="1657"/>
      <c r="L13003" s="1656"/>
      <c r="M13003" s="1656"/>
      <c r="N13003" s="1656"/>
      <c r="O13003" s="1656"/>
      <c r="P13003" s="1098"/>
    </row>
    <row r="13004" spans="1:16" ht="18">
      <c r="A13004" s="664" t="s">
        <v>46</v>
      </c>
      <c r="B13004" s="1975" t="s">
        <v>573</v>
      </c>
      <c r="C13004" s="1976"/>
      <c r="D13004" s="1977"/>
      <c r="E13004" s="665">
        <f>+L12966-2.598</f>
        <v>4.1627089999999995</v>
      </c>
      <c r="F13004" s="1973">
        <v>7</v>
      </c>
      <c r="G13004" s="1974"/>
      <c r="H13004" s="1975" t="s">
        <v>450</v>
      </c>
      <c r="I13004" s="1976"/>
      <c r="J13004" s="1976"/>
      <c r="K13004" s="1977"/>
      <c r="L13004" s="1976" t="s">
        <v>64</v>
      </c>
      <c r="M13004" s="1976"/>
      <c r="N13004" s="1976"/>
      <c r="O13004" s="1976"/>
      <c r="P13004" s="1098"/>
    </row>
    <row r="13005" spans="1:16" ht="18">
      <c r="A13005" s="664" t="s">
        <v>58</v>
      </c>
      <c r="B13005" s="1975" t="s">
        <v>623</v>
      </c>
      <c r="C13005" s="1976"/>
      <c r="D13005" s="1977"/>
      <c r="E13005" s="665">
        <f>+L12977+L12988</f>
        <v>8.2704850000000008</v>
      </c>
      <c r="F13005" s="1973">
        <v>7</v>
      </c>
      <c r="G13005" s="1974"/>
      <c r="H13005" s="1975" t="s">
        <v>450</v>
      </c>
      <c r="I13005" s="1976"/>
      <c r="J13005" s="1976"/>
      <c r="K13005" s="1977"/>
      <c r="L13005" s="1976" t="s">
        <v>64</v>
      </c>
      <c r="M13005" s="1976"/>
      <c r="N13005" s="1976"/>
      <c r="O13005" s="1976"/>
      <c r="P13005" s="1098"/>
    </row>
    <row r="13006" spans="1:16" ht="18">
      <c r="A13006" s="664"/>
      <c r="B13006" s="1975"/>
      <c r="C13006" s="1976"/>
      <c r="D13006" s="1977"/>
      <c r="E13006" s="665"/>
      <c r="F13006" s="1973"/>
      <c r="G13006" s="1974"/>
      <c r="H13006" s="1975"/>
      <c r="I13006" s="1976"/>
      <c r="J13006" s="1976"/>
      <c r="K13006" s="1977"/>
      <c r="L13006" s="1976"/>
      <c r="M13006" s="1976"/>
      <c r="N13006" s="1976"/>
      <c r="O13006" s="1976"/>
      <c r="P13006" s="1098"/>
    </row>
    <row r="13007" spans="1:16" ht="18.600000000000001" thickBot="1">
      <c r="A13007" s="664"/>
      <c r="B13007" s="1655"/>
      <c r="C13007" s="1656"/>
      <c r="D13007" s="1656"/>
      <c r="E13007" s="665"/>
      <c r="F13007" s="1656"/>
      <c r="G13007" s="1657"/>
      <c r="H13007" s="1655"/>
      <c r="I13007" s="1842"/>
      <c r="J13007" s="1656"/>
      <c r="K13007" s="669"/>
      <c r="L13007" s="672"/>
      <c r="M13007" s="673"/>
      <c r="N13007" s="673"/>
      <c r="O13007" s="673"/>
      <c r="P13007" s="1098"/>
    </row>
    <row r="13008" spans="1:16" ht="18">
      <c r="A13008" s="674"/>
      <c r="B13008" s="675"/>
      <c r="C13008" s="676"/>
      <c r="D13008" s="676"/>
      <c r="E13008" s="1980">
        <f>SUM(E12995:E13007)</f>
        <v>149.48118349999999</v>
      </c>
      <c r="F13008" s="677"/>
      <c r="G13008" s="678"/>
      <c r="H13008" s="679"/>
      <c r="I13008" s="1848"/>
      <c r="J13008" s="676"/>
      <c r="K13008" s="680"/>
      <c r="L13008" s="679"/>
      <c r="M13008" s="676"/>
      <c r="N13008" s="677"/>
      <c r="O13008" s="676"/>
      <c r="P13008" s="1098"/>
    </row>
    <row r="13009" spans="1:16" ht="18.600000000000001" thickBot="1">
      <c r="A13009" s="681"/>
      <c r="B13009" s="682"/>
      <c r="C13009" s="683"/>
      <c r="D13009" s="683"/>
      <c r="E13009" s="1981"/>
      <c r="F13009" s="684"/>
      <c r="G13009" s="685"/>
      <c r="H13009" s="686"/>
      <c r="I13009" s="1850"/>
      <c r="J13009" s="683"/>
      <c r="K13009" s="687"/>
      <c r="L13009" s="686"/>
      <c r="M13009" s="683"/>
      <c r="N13009" s="684"/>
      <c r="O13009" s="683"/>
      <c r="P13009" s="1098"/>
    </row>
    <row r="13010" spans="1:16" ht="18">
      <c r="A13010" s="688" t="s">
        <v>31</v>
      </c>
      <c r="B13010" s="676"/>
      <c r="C13010" s="676"/>
      <c r="D13010" s="676"/>
      <c r="E13010" s="676"/>
      <c r="F13010" s="677"/>
      <c r="G13010" s="676"/>
      <c r="H13010" s="677"/>
      <c r="I13010" s="1848"/>
      <c r="J13010" s="676"/>
      <c r="K13010" s="689"/>
      <c r="L13010" s="677"/>
      <c r="M13010" s="676"/>
      <c r="N13010" s="677"/>
      <c r="O13010" s="676"/>
      <c r="P13010" s="1098"/>
    </row>
    <row r="13011" spans="1:16" ht="18">
      <c r="A13011" s="690"/>
      <c r="B13011" s="691"/>
      <c r="C13011" s="691"/>
      <c r="D13011" s="691"/>
      <c r="E13011" s="691"/>
      <c r="F13011" s="1654"/>
      <c r="G13011" s="691"/>
      <c r="H13011" s="1654"/>
      <c r="I13011" s="1849"/>
      <c r="J13011" s="691"/>
      <c r="K13011" s="693"/>
      <c r="L13011" s="1654"/>
      <c r="M13011" s="691"/>
      <c r="N13011" s="1654"/>
      <c r="O13011" s="691"/>
      <c r="P13011" s="1098"/>
    </row>
    <row r="13012" spans="1:16" ht="18.600000000000001" thickBot="1">
      <c r="A13012" s="1982" t="s">
        <v>32</v>
      </c>
      <c r="B13012" s="1983"/>
      <c r="C13012" s="1984" t="s">
        <v>33</v>
      </c>
      <c r="D13012" s="1985"/>
      <c r="E13012" s="694" t="s">
        <v>34</v>
      </c>
      <c r="F13012" s="694" t="s">
        <v>35</v>
      </c>
      <c r="G13012" s="1986" t="s">
        <v>36</v>
      </c>
      <c r="H13012" s="1987"/>
      <c r="I13012" s="1987"/>
      <c r="J13012" s="1987"/>
      <c r="K13012" s="1987"/>
      <c r="L13012" s="1987"/>
      <c r="M13012" s="1987"/>
      <c r="N13012" s="1987"/>
      <c r="O13012" s="1987"/>
      <c r="P13012" s="1098"/>
    </row>
    <row r="13013" spans="1:16" ht="18">
      <c r="A13013" s="1988"/>
      <c r="B13013" s="1989"/>
      <c r="C13013" s="1990"/>
      <c r="D13013" s="1989"/>
      <c r="E13013" s="1662"/>
      <c r="F13013" s="1660"/>
      <c r="G13013" s="1991"/>
      <c r="H13013" s="1992"/>
      <c r="I13013" s="1992"/>
      <c r="J13013" s="1992"/>
      <c r="K13013" s="1992"/>
      <c r="L13013" s="1992"/>
      <c r="M13013" s="1992"/>
      <c r="N13013" s="1992"/>
      <c r="O13013" s="1992"/>
      <c r="P13013" s="1098"/>
    </row>
    <row r="13014" spans="1:16" ht="18">
      <c r="A13014" s="1997" t="s">
        <v>37</v>
      </c>
      <c r="B13014" s="1998"/>
      <c r="C13014" s="1990"/>
      <c r="D13014" s="1989"/>
      <c r="E13014" s="1662"/>
      <c r="F13014" s="1660"/>
      <c r="G13014" s="1993"/>
      <c r="H13014" s="1994"/>
      <c r="I13014" s="1994"/>
      <c r="J13014" s="1994"/>
      <c r="K13014" s="1994"/>
      <c r="L13014" s="1994"/>
      <c r="M13014" s="1994"/>
      <c r="N13014" s="1994"/>
      <c r="O13014" s="1994"/>
      <c r="P13014" s="1098"/>
    </row>
    <row r="13015" spans="1:16" ht="18">
      <c r="A13015" s="1997" t="s">
        <v>38</v>
      </c>
      <c r="B13015" s="1998"/>
      <c r="C13015" s="1990"/>
      <c r="D13015" s="1989"/>
      <c r="E13015" s="1662"/>
      <c r="F13015" s="1660"/>
      <c r="G13015" s="1993"/>
      <c r="H13015" s="1994"/>
      <c r="I13015" s="1994"/>
      <c r="J13015" s="1994"/>
      <c r="K13015" s="1994"/>
      <c r="L13015" s="1994"/>
      <c r="M13015" s="1994"/>
      <c r="N13015" s="1994"/>
      <c r="O13015" s="1994"/>
      <c r="P13015" s="1098"/>
    </row>
    <row r="13016" spans="1:16" ht="18">
      <c r="A13016" s="1997" t="s">
        <v>39</v>
      </c>
      <c r="B13016" s="1998"/>
      <c r="C13016" s="1990"/>
      <c r="D13016" s="1989"/>
      <c r="E13016" s="1662"/>
      <c r="F13016" s="1660"/>
      <c r="G13016" s="1993"/>
      <c r="H13016" s="1994"/>
      <c r="I13016" s="1994"/>
      <c r="J13016" s="1994"/>
      <c r="K13016" s="1994"/>
      <c r="L13016" s="1994"/>
      <c r="M13016" s="1994"/>
      <c r="N13016" s="1994"/>
      <c r="O13016" s="1994"/>
      <c r="P13016" s="1098"/>
    </row>
    <row r="13017" spans="1:16" ht="18">
      <c r="A13017" s="1997" t="s">
        <v>40</v>
      </c>
      <c r="B13017" s="1998"/>
      <c r="C13017" s="1990"/>
      <c r="D13017" s="1989"/>
      <c r="E13017" s="1662"/>
      <c r="F13017" s="1660"/>
      <c r="G13017" s="1993"/>
      <c r="H13017" s="1994"/>
      <c r="I13017" s="1994"/>
      <c r="J13017" s="1994"/>
      <c r="K13017" s="1994"/>
      <c r="L13017" s="1994"/>
      <c r="M13017" s="1994"/>
      <c r="N13017" s="1994"/>
      <c r="O13017" s="1994"/>
      <c r="P13017" s="1098"/>
    </row>
    <row r="13018" spans="1:16" ht="18.600000000000001" thickBot="1">
      <c r="A13018" s="1999" t="s">
        <v>41</v>
      </c>
      <c r="B13018" s="2000"/>
      <c r="C13018" s="2001"/>
      <c r="D13018" s="2002"/>
      <c r="E13018" s="696"/>
      <c r="F13018" s="1661"/>
      <c r="G13018" s="1995"/>
      <c r="H13018" s="1996"/>
      <c r="I13018" s="1996"/>
      <c r="J13018" s="1996"/>
      <c r="K13018" s="1996"/>
      <c r="L13018" s="1996"/>
      <c r="M13018" s="1996"/>
      <c r="N13018" s="1996"/>
      <c r="O13018" s="1996"/>
      <c r="P13018" s="1098"/>
    </row>
    <row r="13019" spans="1:16" ht="18">
      <c r="A13019" s="690"/>
      <c r="B13019" s="691"/>
      <c r="C13019" s="691"/>
      <c r="D13019" s="691"/>
      <c r="E13019" s="691"/>
      <c r="F13019" s="1654"/>
      <c r="G13019" s="691"/>
      <c r="H13019" s="698"/>
      <c r="I13019" s="699"/>
      <c r="J13019" s="700"/>
      <c r="K13019" s="701"/>
      <c r="L13019" s="702"/>
      <c r="M13019" s="691"/>
      <c r="N13019" s="1654"/>
      <c r="O13019" s="691"/>
      <c r="P13019" s="1098"/>
    </row>
    <row r="13020" spans="1:16" ht="18">
      <c r="A13020" s="703" t="s">
        <v>42</v>
      </c>
      <c r="B13020" s="704"/>
      <c r="C13020" s="691"/>
      <c r="D13020" s="691"/>
      <c r="E13020" s="691"/>
      <c r="F13020" s="1654"/>
      <c r="G13020" s="704"/>
      <c r="H13020" s="698"/>
      <c r="I13020" s="699"/>
      <c r="J13020" s="700"/>
      <c r="K13020" s="693"/>
      <c r="L13020" s="705"/>
      <c r="M13020" s="691"/>
      <c r="N13020" s="1979" t="s">
        <v>43</v>
      </c>
      <c r="O13020" s="1979"/>
      <c r="P13020" s="1098"/>
    </row>
    <row r="13021" spans="1:16" ht="18">
      <c r="A13021" s="703"/>
      <c r="B13021" s="704"/>
      <c r="C13021" s="691"/>
      <c r="D13021" s="691"/>
      <c r="E13021" s="691"/>
      <c r="F13021" s="1654"/>
      <c r="G13021" s="691"/>
      <c r="H13021" s="1654"/>
      <c r="I13021" s="1849"/>
      <c r="J13021" s="691"/>
      <c r="K13021" s="693"/>
      <c r="L13021" s="1654"/>
      <c r="M13021" s="691"/>
      <c r="N13021" s="1654"/>
      <c r="O13021" s="704"/>
      <c r="P13021" s="1098"/>
    </row>
    <row r="13022" spans="1:16" ht="18">
      <c r="A13022" s="703" t="s">
        <v>44</v>
      </c>
      <c r="B13022" s="704"/>
      <c r="C13022" s="691"/>
      <c r="D13022" s="691"/>
      <c r="E13022" s="691"/>
      <c r="F13022" s="1654"/>
      <c r="G13022" s="691"/>
      <c r="H13022" s="1654"/>
      <c r="I13022" s="1849"/>
      <c r="J13022" s="691"/>
      <c r="K13022" s="693"/>
      <c r="L13022" s="1654"/>
      <c r="M13022" s="691"/>
      <c r="N13022" s="1979" t="s">
        <v>45</v>
      </c>
      <c r="O13022" s="1979"/>
      <c r="P13022" s="1098"/>
    </row>
    <row r="13023" spans="1:16" ht="18.600000000000001" thickBot="1">
      <c r="A13023" s="682"/>
      <c r="B13023" s="683"/>
      <c r="C13023" s="683"/>
      <c r="D13023" s="683"/>
      <c r="E13023" s="683"/>
      <c r="F13023" s="684"/>
      <c r="G13023" s="683"/>
      <c r="H13023" s="684"/>
      <c r="I13023" s="1850"/>
      <c r="J13023" s="683"/>
      <c r="K13023" s="706"/>
      <c r="L13023" s="684"/>
      <c r="M13023" s="683"/>
      <c r="N13023" s="684"/>
      <c r="O13023" s="683"/>
      <c r="P13023" s="1099"/>
    </row>
    <row r="13028" spans="1:21" ht="17.399999999999999">
      <c r="A13028" s="711" t="s">
        <v>48</v>
      </c>
      <c r="B13028" s="711"/>
      <c r="C13028" s="712"/>
      <c r="D13028" s="712"/>
      <c r="E13028" s="712"/>
      <c r="F13028" s="713"/>
      <c r="G13028" s="712"/>
      <c r="H13028" s="712"/>
      <c r="I13028" s="714"/>
      <c r="J13028" s="715"/>
      <c r="K13028" s="716"/>
      <c r="L13028" s="1978" t="s">
        <v>0</v>
      </c>
      <c r="M13028" s="1978"/>
      <c r="N13028" s="1978"/>
      <c r="O13028" s="1978"/>
      <c r="P13028" s="717"/>
    </row>
    <row r="13029" spans="1:21" ht="17.399999999999999">
      <c r="A13029" s="718" t="s">
        <v>1</v>
      </c>
      <c r="B13029" s="718"/>
      <c r="C13029" s="718"/>
      <c r="D13029" s="719" t="s">
        <v>2</v>
      </c>
      <c r="E13029" s="719"/>
      <c r="F13029" s="720"/>
      <c r="G13029" s="720"/>
      <c r="H13029" s="720"/>
      <c r="I13029" s="721"/>
      <c r="J13029" s="1663"/>
      <c r="K13029" s="723" t="s">
        <v>3</v>
      </c>
      <c r="L13029" s="1663"/>
      <c r="M13029" s="718"/>
      <c r="N13029" s="720"/>
      <c r="O13029" s="718"/>
      <c r="P13029" s="724"/>
    </row>
    <row r="13030" spans="1:21" ht="52.2">
      <c r="A13030" s="640" t="s">
        <v>4</v>
      </c>
      <c r="B13030" s="640" t="s">
        <v>5</v>
      </c>
      <c r="C13030" s="640" t="s">
        <v>6</v>
      </c>
      <c r="D13030" s="640" t="s">
        <v>7</v>
      </c>
      <c r="E13030" s="640" t="s">
        <v>8</v>
      </c>
      <c r="F13030" s="641" t="s">
        <v>9</v>
      </c>
      <c r="G13030" s="642" t="s">
        <v>10</v>
      </c>
      <c r="H13030" s="642" t="s">
        <v>11</v>
      </c>
      <c r="I13030" s="643" t="s">
        <v>12</v>
      </c>
      <c r="J13030" s="644" t="s">
        <v>13</v>
      </c>
      <c r="K13030" s="645" t="s">
        <v>14</v>
      </c>
      <c r="L13030" s="646" t="s">
        <v>15</v>
      </c>
      <c r="M13030" s="641" t="s">
        <v>16</v>
      </c>
      <c r="N13030" s="641" t="s">
        <v>17</v>
      </c>
      <c r="O13030" s="642" t="s">
        <v>18</v>
      </c>
      <c r="P13030" s="641" t="s">
        <v>192</v>
      </c>
    </row>
    <row r="13031" spans="1:21" ht="17.399999999999999">
      <c r="A13031" s="549"/>
      <c r="B13031" s="549"/>
      <c r="C13031" s="549"/>
      <c r="D13031" s="549"/>
      <c r="E13031" s="549"/>
      <c r="F13031" s="549"/>
      <c r="G13031" s="549"/>
      <c r="H13031" s="549"/>
      <c r="I13031" s="560"/>
      <c r="J13031" s="549"/>
      <c r="K13031" s="561"/>
      <c r="L13031" s="560"/>
      <c r="M13031" s="549"/>
      <c r="N13031" s="549"/>
      <c r="O13031" s="549"/>
      <c r="P13031" s="1441"/>
    </row>
    <row r="13032" spans="1:21" ht="17.399999999999999">
      <c r="A13032" s="547" t="s">
        <v>83</v>
      </c>
      <c r="B13032" s="547" t="s">
        <v>1410</v>
      </c>
      <c r="C13032" s="547" t="s">
        <v>19</v>
      </c>
      <c r="D13032" s="813" t="s">
        <v>854</v>
      </c>
      <c r="E13032" s="549" t="s">
        <v>367</v>
      </c>
      <c r="F13032" s="550">
        <v>12</v>
      </c>
      <c r="G13032" s="549" t="s">
        <v>21</v>
      </c>
      <c r="H13032" s="599" t="s">
        <v>95</v>
      </c>
      <c r="I13032" s="558">
        <v>13.4</v>
      </c>
      <c r="J13032" s="567">
        <v>11.3</v>
      </c>
      <c r="K13032" s="648">
        <v>160</v>
      </c>
      <c r="L13032" s="552">
        <f>(I13032*J13032*K13032/1000)</f>
        <v>24.227200000000003</v>
      </c>
      <c r="M13032" s="549"/>
      <c r="N13032" s="549"/>
      <c r="O13032" s="549"/>
      <c r="P13032" s="1441"/>
      <c r="Q13032" s="497">
        <f>20+20+20+20+19+4+20+20+20+20+20+20+20+20-103</f>
        <v>160</v>
      </c>
      <c r="R13032" s="126">
        <f>J13032*Q13032*I13032/1000</f>
        <v>24.2272</v>
      </c>
      <c r="S13032" s="1511" t="s">
        <v>1584</v>
      </c>
    </row>
    <row r="13033" spans="1:21" ht="17.399999999999999">
      <c r="A13033" s="549"/>
      <c r="B13033" s="728" t="s">
        <v>52</v>
      </c>
      <c r="C13033" s="549"/>
      <c r="D13033" s="549"/>
      <c r="E13033" s="549"/>
      <c r="F13033" s="549"/>
      <c r="G13033" s="549"/>
      <c r="H13033" s="549"/>
      <c r="I13033" s="558"/>
      <c r="J13033" s="567"/>
      <c r="K13033" s="648">
        <f t="shared" ref="K13033:L13033" si="2625">SUM(K13032)</f>
        <v>160</v>
      </c>
      <c r="L13033" s="567">
        <f t="shared" si="2625"/>
        <v>24.227200000000003</v>
      </c>
      <c r="M13033" s="549"/>
      <c r="N13033" s="549"/>
      <c r="O13033" s="549"/>
      <c r="P13033" s="549" t="s">
        <v>1549</v>
      </c>
      <c r="Q13033" s="648">
        <f t="shared" ref="Q13033" si="2626">SUM(Q13032)</f>
        <v>160</v>
      </c>
      <c r="R13033" s="567">
        <f>SUM(R13032)</f>
        <v>24.2272</v>
      </c>
    </row>
    <row r="13034" spans="1:21" ht="17.399999999999999">
      <c r="A13034" s="549"/>
      <c r="B13034" s="549"/>
      <c r="C13034" s="549"/>
      <c r="D13034" s="549"/>
      <c r="E13034" s="549"/>
      <c r="F13034" s="549"/>
      <c r="G13034" s="549"/>
      <c r="H13034" s="549"/>
      <c r="I13034" s="560"/>
      <c r="J13034" s="549"/>
      <c r="K13034" s="561"/>
      <c r="L13034" s="560"/>
      <c r="M13034" s="549"/>
      <c r="N13034" s="549"/>
      <c r="O13034" s="549"/>
      <c r="P13034" s="1441"/>
    </row>
    <row r="13035" spans="1:21" ht="17.399999999999999">
      <c r="A13035" s="547" t="s">
        <v>83</v>
      </c>
      <c r="B13035" s="547" t="s">
        <v>1455</v>
      </c>
      <c r="C13035" s="547" t="s">
        <v>19</v>
      </c>
      <c r="D13035" s="813" t="s">
        <v>854</v>
      </c>
      <c r="E13035" s="549" t="s">
        <v>367</v>
      </c>
      <c r="F13035" s="550">
        <v>12</v>
      </c>
      <c r="G13035" s="549" t="s">
        <v>21</v>
      </c>
      <c r="H13035" s="599" t="s">
        <v>95</v>
      </c>
      <c r="I13035" s="558">
        <v>13.4</v>
      </c>
      <c r="J13035" s="567">
        <v>11.3</v>
      </c>
      <c r="K13035" s="648">
        <v>388</v>
      </c>
      <c r="L13035" s="552">
        <f>(I13035*J13035*K13035/1000)</f>
        <v>58.750960000000006</v>
      </c>
      <c r="M13035" s="549"/>
      <c r="N13035" s="549"/>
      <c r="O13035" s="549"/>
      <c r="P13035" s="1441"/>
      <c r="Q13035" s="497">
        <v>103</v>
      </c>
      <c r="R13035" s="126">
        <f>J13035*Q13035*I13035/1000</f>
        <v>15.596260000000003</v>
      </c>
      <c r="S13035">
        <f>20+20+20+20+20+18+20+20+20+20+21</f>
        <v>219</v>
      </c>
      <c r="T13035" s="126">
        <f>J13035*S13035*I13035/1000</f>
        <v>33.160980000000002</v>
      </c>
      <c r="U13035" s="1511" t="s">
        <v>1584</v>
      </c>
    </row>
    <row r="13036" spans="1:21" ht="17.399999999999999">
      <c r="A13036" s="549"/>
      <c r="B13036" s="728" t="s">
        <v>52</v>
      </c>
      <c r="C13036" s="549"/>
      <c r="D13036" s="549"/>
      <c r="E13036" s="549"/>
      <c r="F13036" s="549"/>
      <c r="G13036" s="549"/>
      <c r="H13036" s="549"/>
      <c r="I13036" s="558"/>
      <c r="J13036" s="567"/>
      <c r="K13036" s="648">
        <f t="shared" ref="K13036:L13036" si="2627">SUM(K13035)</f>
        <v>388</v>
      </c>
      <c r="L13036" s="567">
        <f t="shared" si="2627"/>
        <v>58.750960000000006</v>
      </c>
      <c r="M13036" s="549"/>
      <c r="N13036" s="549"/>
      <c r="O13036" s="549"/>
      <c r="P13036" s="549" t="s">
        <v>1549</v>
      </c>
      <c r="Q13036" s="648">
        <f t="shared" ref="Q13036:S13036" si="2628">SUM(Q13035)</f>
        <v>103</v>
      </c>
      <c r="R13036" s="567">
        <f>SUM(R13035)</f>
        <v>15.596260000000003</v>
      </c>
      <c r="S13036" s="648">
        <f t="shared" si="2628"/>
        <v>219</v>
      </c>
      <c r="T13036" s="567">
        <f>SUM(T13035)</f>
        <v>33.160980000000002</v>
      </c>
    </row>
    <row r="13037" spans="1:21" ht="17.399999999999999">
      <c r="A13037" s="549"/>
      <c r="B13037" s="549"/>
      <c r="C13037" s="549"/>
      <c r="D13037" s="549"/>
      <c r="E13037" s="549"/>
      <c r="F13037" s="549"/>
      <c r="G13037" s="549"/>
      <c r="H13037" s="549"/>
      <c r="I13037" s="560"/>
      <c r="J13037" s="549"/>
      <c r="K13037" s="561"/>
      <c r="L13037" s="560"/>
      <c r="M13037" s="549"/>
      <c r="N13037" s="549"/>
      <c r="O13037" s="549"/>
      <c r="P13037" s="1441"/>
    </row>
    <row r="13038" spans="1:21" ht="17.399999999999999">
      <c r="A13038" s="547" t="s">
        <v>395</v>
      </c>
      <c r="B13038" s="547" t="s">
        <v>1365</v>
      </c>
      <c r="C13038" s="547" t="s">
        <v>19</v>
      </c>
      <c r="D13038" s="813" t="s">
        <v>854</v>
      </c>
      <c r="E13038" s="547" t="s">
        <v>359</v>
      </c>
      <c r="F13038" s="550">
        <v>12</v>
      </c>
      <c r="G13038" s="549" t="s">
        <v>21</v>
      </c>
      <c r="H13038" s="599" t="s">
        <v>95</v>
      </c>
      <c r="I13038" s="558">
        <v>13.4</v>
      </c>
      <c r="J13038" s="567">
        <v>10.5</v>
      </c>
      <c r="K13038" s="648">
        <v>71</v>
      </c>
      <c r="L13038" s="552">
        <f t="shared" ref="L13038:L13039" si="2629">(I13038*J13038*K13038/1000)</f>
        <v>9.9897000000000009</v>
      </c>
      <c r="M13038" s="549"/>
      <c r="N13038" s="549"/>
      <c r="O13038" s="549"/>
      <c r="P13038" s="1441"/>
      <c r="Q13038" s="497">
        <f>20+18</f>
        <v>38</v>
      </c>
      <c r="R13038" s="126">
        <f t="shared" ref="R13038:R13039" si="2630">J13038*Q13038*I13038/1000</f>
        <v>5.3466000000000005</v>
      </c>
      <c r="S13038">
        <f>21+18</f>
        <v>39</v>
      </c>
      <c r="T13038" s="126">
        <f>J13038*S13038*I13038/1000</f>
        <v>5.4873000000000003</v>
      </c>
      <c r="U13038" s="1511" t="s">
        <v>1584</v>
      </c>
    </row>
    <row r="13039" spans="1:21" ht="17.399999999999999">
      <c r="A13039" s="549"/>
      <c r="B13039" s="1605" t="s">
        <v>277</v>
      </c>
      <c r="C13039" s="549"/>
      <c r="D13039" s="549"/>
      <c r="E13039" s="549"/>
      <c r="F13039" s="549"/>
      <c r="G13039" s="549" t="s">
        <v>21</v>
      </c>
      <c r="H13039" s="549" t="s">
        <v>95</v>
      </c>
      <c r="I13039" s="558">
        <v>13.4</v>
      </c>
      <c r="J13039" s="567">
        <v>12</v>
      </c>
      <c r="K13039" s="648">
        <v>8</v>
      </c>
      <c r="L13039" s="552">
        <f t="shared" si="2629"/>
        <v>1.2864</v>
      </c>
      <c r="M13039" s="549"/>
      <c r="N13039" s="549"/>
      <c r="O13039" s="549"/>
      <c r="P13039" s="1441"/>
      <c r="Q13039" s="497">
        <v>8</v>
      </c>
      <c r="R13039" s="126">
        <f t="shared" si="2630"/>
        <v>1.2864</v>
      </c>
    </row>
    <row r="13040" spans="1:21" ht="17.399999999999999">
      <c r="A13040" s="549"/>
      <c r="B13040" s="549"/>
      <c r="C13040" s="549"/>
      <c r="D13040" s="549"/>
      <c r="E13040" s="549"/>
      <c r="F13040" s="549"/>
      <c r="G13040" s="549"/>
      <c r="H13040" s="549"/>
      <c r="I13040" s="558"/>
      <c r="J13040" s="567"/>
      <c r="K13040" s="648">
        <f>SUM(K13038:K13039)</f>
        <v>79</v>
      </c>
      <c r="L13040" s="567">
        <f>SUM(L13038:L13039)</f>
        <v>11.276100000000001</v>
      </c>
      <c r="M13040" s="549"/>
      <c r="N13040" s="549"/>
      <c r="O13040" s="549"/>
      <c r="P13040" s="549" t="s">
        <v>1550</v>
      </c>
      <c r="Q13040" s="648">
        <f>SUM(Q13038:Q13039)</f>
        <v>46</v>
      </c>
      <c r="R13040" s="567">
        <f>SUM(R13038:R13039)</f>
        <v>6.6330000000000009</v>
      </c>
      <c r="S13040" s="648">
        <f>SUM(S13038:S13039)</f>
        <v>39</v>
      </c>
      <c r="T13040" s="567">
        <f>SUM(T13038:T13039)</f>
        <v>5.4873000000000003</v>
      </c>
    </row>
    <row r="13041" spans="1:19" s="1511" customFormat="1" ht="17.399999999999999">
      <c r="A13041" s="549"/>
      <c r="B13041" s="549"/>
      <c r="C13041" s="549"/>
      <c r="D13041" s="549"/>
      <c r="E13041" s="549"/>
      <c r="F13041" s="549"/>
      <c r="G13041" s="549"/>
      <c r="H13041" s="549"/>
      <c r="I13041" s="558"/>
      <c r="J13041" s="567"/>
      <c r="K13041" s="648">
        <f>SUM(K13032:K13040)/2</f>
        <v>627</v>
      </c>
      <c r="L13041" s="567">
        <f>SUM(L13032:L13040)/2</f>
        <v>94.254260000000002</v>
      </c>
      <c r="M13041" s="549"/>
      <c r="N13041" s="549"/>
      <c r="O13041" s="549"/>
      <c r="P13041" s="1441"/>
      <c r="Q13041" s="648">
        <f>SUM(Q13032:Q13040)/2</f>
        <v>309</v>
      </c>
      <c r="R13041" s="567">
        <f>SUM(R13032:R13040)/2</f>
        <v>46.45646</v>
      </c>
    </row>
    <row r="13042" spans="1:19" s="1511" customFormat="1" ht="17.399999999999999">
      <c r="A13042" s="549"/>
      <c r="B13042" s="549"/>
      <c r="C13042" s="549"/>
      <c r="D13042" s="549"/>
      <c r="E13042" s="549"/>
      <c r="F13042" s="549"/>
      <c r="G13042" s="549"/>
      <c r="H13042" s="549"/>
      <c r="I13042" s="558"/>
      <c r="J13042" s="567"/>
      <c r="K13042" s="648"/>
      <c r="L13042" s="567"/>
      <c r="M13042" s="549"/>
      <c r="N13042" s="549"/>
      <c r="O13042" s="549"/>
      <c r="P13042" s="1441"/>
    </row>
    <row r="13043" spans="1:19" ht="17.399999999999999">
      <c r="A13043" s="549"/>
      <c r="B13043" s="549"/>
      <c r="C13043" s="549"/>
      <c r="D13043" s="549"/>
      <c r="E13043" s="549"/>
      <c r="F13043" s="549"/>
      <c r="G13043" s="549"/>
      <c r="H13043" s="549"/>
      <c r="I13043" s="560"/>
      <c r="J13043" s="549"/>
      <c r="K13043" s="561"/>
      <c r="L13043" s="560"/>
      <c r="M13043" s="549"/>
      <c r="N13043" s="549"/>
      <c r="O13043" s="549"/>
      <c r="P13043" s="1441"/>
    </row>
    <row r="13044" spans="1:19" ht="17.399999999999999">
      <c r="A13044" s="547" t="s">
        <v>395</v>
      </c>
      <c r="B13044" s="547" t="s">
        <v>1365</v>
      </c>
      <c r="C13044" s="547" t="s">
        <v>19</v>
      </c>
      <c r="D13044" s="813" t="s">
        <v>854</v>
      </c>
      <c r="E13044" s="547" t="s">
        <v>359</v>
      </c>
      <c r="F13044" s="550">
        <v>12</v>
      </c>
      <c r="G13044" s="549" t="s">
        <v>21</v>
      </c>
      <c r="H13044" s="599" t="s">
        <v>98</v>
      </c>
      <c r="I13044" s="558">
        <v>11.8</v>
      </c>
      <c r="J13044" s="567">
        <v>10</v>
      </c>
      <c r="K13044" s="648">
        <v>687</v>
      </c>
      <c r="L13044" s="552">
        <f>(I13044*J13044*K13044/1000)</f>
        <v>81.066000000000003</v>
      </c>
      <c r="M13044" s="549"/>
      <c r="N13044" s="549"/>
      <c r="O13044" s="549"/>
      <c r="P13044" s="1441"/>
      <c r="Q13044" s="497">
        <f>23+24+25+25+25+24+24+24</f>
        <v>194</v>
      </c>
      <c r="R13044" s="126">
        <f t="shared" ref="R13044:R13046" si="2631">J13044*Q13044*I13044/1000</f>
        <v>22.891999999999999</v>
      </c>
      <c r="S13044" s="1511" t="s">
        <v>1584</v>
      </c>
    </row>
    <row r="13045" spans="1:19" ht="17.399999999999999">
      <c r="A13045" s="549"/>
      <c r="B13045" s="1605" t="s">
        <v>277</v>
      </c>
      <c r="C13045" s="549"/>
      <c r="D13045" s="549"/>
      <c r="E13045" s="549"/>
      <c r="F13045" s="549"/>
      <c r="G13045" s="549" t="s">
        <v>21</v>
      </c>
      <c r="H13045" s="549" t="s">
        <v>98</v>
      </c>
      <c r="I13045" s="558">
        <v>11.8</v>
      </c>
      <c r="J13045" s="567">
        <v>11</v>
      </c>
      <c r="K13045" s="648">
        <v>106</v>
      </c>
      <c r="L13045" s="552">
        <f>(I13045*J13045*K13045/1000)</f>
        <v>13.758800000000001</v>
      </c>
      <c r="M13045" s="549"/>
      <c r="N13045" s="549"/>
      <c r="O13045" s="549"/>
      <c r="P13045" s="1441"/>
      <c r="R13045" s="126">
        <f t="shared" si="2631"/>
        <v>0</v>
      </c>
    </row>
    <row r="13046" spans="1:19" ht="17.399999999999999">
      <c r="A13046" s="549"/>
      <c r="B13046" s="549"/>
      <c r="C13046" s="549"/>
      <c r="D13046" s="549"/>
      <c r="E13046" s="549"/>
      <c r="F13046" s="549"/>
      <c r="G13046" s="549" t="s">
        <v>21</v>
      </c>
      <c r="H13046" s="549" t="s">
        <v>98</v>
      </c>
      <c r="I13046" s="558">
        <v>11.8</v>
      </c>
      <c r="J13046" s="567">
        <v>12</v>
      </c>
      <c r="K13046" s="648">
        <v>8</v>
      </c>
      <c r="L13046" s="552">
        <f>(I13046*J13046*K13046/1000)</f>
        <v>1.1328000000000003</v>
      </c>
      <c r="M13046" s="549"/>
      <c r="N13046" s="549"/>
      <c r="O13046" s="549"/>
      <c r="P13046" s="1441"/>
      <c r="R13046" s="126">
        <f t="shared" si="2631"/>
        <v>0</v>
      </c>
    </row>
    <row r="13047" spans="1:19" ht="17.399999999999999">
      <c r="A13047" s="549"/>
      <c r="B13047" s="549"/>
      <c r="C13047" s="549"/>
      <c r="D13047" s="549"/>
      <c r="E13047" s="549"/>
      <c r="F13047" s="549"/>
      <c r="G13047" s="549"/>
      <c r="H13047" s="549"/>
      <c r="I13047" s="558"/>
      <c r="J13047" s="567"/>
      <c r="K13047" s="648">
        <f>SUM(K13044:K13046)</f>
        <v>801</v>
      </c>
      <c r="L13047" s="567">
        <f>SUM(L13044:L13046)</f>
        <v>95.957600000000014</v>
      </c>
      <c r="M13047" s="549"/>
      <c r="N13047" s="549"/>
      <c r="O13047" s="549"/>
      <c r="P13047" s="549" t="s">
        <v>1551</v>
      </c>
      <c r="Q13047" s="648">
        <f>SUM(Q13044:Q13046)</f>
        <v>194</v>
      </c>
      <c r="R13047" s="567">
        <f>SUM(R13044:R13046)</f>
        <v>22.891999999999999</v>
      </c>
    </row>
    <row r="13048" spans="1:19" ht="17.399999999999999">
      <c r="A13048" s="549"/>
      <c r="B13048" s="549"/>
      <c r="C13048" s="549"/>
      <c r="D13048" s="549"/>
      <c r="E13048" s="549"/>
      <c r="F13048" s="549"/>
      <c r="G13048" s="549"/>
      <c r="H13048" s="549"/>
      <c r="I13048" s="560"/>
      <c r="J13048" s="549"/>
      <c r="K13048" s="561"/>
      <c r="L13048" s="560"/>
      <c r="M13048" s="549"/>
      <c r="N13048" s="549"/>
      <c r="O13048" s="549"/>
      <c r="P13048" s="1441"/>
    </row>
    <row r="13049" spans="1:19" ht="17.399999999999999">
      <c r="A13049" s="549"/>
      <c r="B13049" s="549"/>
      <c r="C13049" s="549"/>
      <c r="D13049" s="549"/>
      <c r="E13049" s="549"/>
      <c r="F13049" s="549"/>
      <c r="G13049" s="549"/>
      <c r="H13049" s="549"/>
      <c r="I13049" s="560"/>
      <c r="J13049" s="549"/>
      <c r="K13049" s="561"/>
      <c r="L13049" s="560"/>
      <c r="M13049" s="549"/>
      <c r="N13049" s="549"/>
      <c r="O13049" s="549"/>
      <c r="P13049" s="1441"/>
    </row>
    <row r="13050" spans="1:19" ht="17.399999999999999">
      <c r="A13050" s="547" t="s">
        <v>83</v>
      </c>
      <c r="B13050" s="547" t="s">
        <v>1410</v>
      </c>
      <c r="C13050" s="547" t="s">
        <v>19</v>
      </c>
      <c r="D13050" s="813" t="s">
        <v>155</v>
      </c>
      <c r="E13050" s="549" t="s">
        <v>62</v>
      </c>
      <c r="F13050" s="550">
        <v>12</v>
      </c>
      <c r="G13050" s="549" t="s">
        <v>61</v>
      </c>
      <c r="H13050" s="599" t="s">
        <v>95</v>
      </c>
      <c r="I13050" s="558">
        <v>13.4</v>
      </c>
      <c r="J13050" s="567">
        <v>7.8</v>
      </c>
      <c r="K13050" s="648">
        <v>4</v>
      </c>
      <c r="L13050" s="552">
        <f>(I13050*J13050*K13050/1000)</f>
        <v>0.41808000000000001</v>
      </c>
      <c r="M13050" s="549">
        <v>4</v>
      </c>
      <c r="N13050" s="567">
        <f t="shared" ref="N13050" si="2632">J13050*M13050*I13050/1000</f>
        <v>0.41808000000000001</v>
      </c>
      <c r="O13050" s="549"/>
      <c r="P13050" s="1441"/>
      <c r="Q13050" s="1511" t="s">
        <v>1584</v>
      </c>
    </row>
    <row r="13051" spans="1:19" ht="17.399999999999999">
      <c r="A13051" s="549"/>
      <c r="B13051" s="728" t="s">
        <v>52</v>
      </c>
      <c r="C13051" s="549"/>
      <c r="D13051" s="549"/>
      <c r="E13051" s="549"/>
      <c r="F13051" s="549"/>
      <c r="G13051" s="549"/>
      <c r="H13051" s="549"/>
      <c r="I13051" s="558"/>
      <c r="J13051" s="567"/>
      <c r="K13051" s="648">
        <f t="shared" ref="K13051:N13051" si="2633">SUM(K13050)</f>
        <v>4</v>
      </c>
      <c r="L13051" s="567">
        <f>SUM(L13050)</f>
        <v>0.41808000000000001</v>
      </c>
      <c r="M13051" s="648">
        <f t="shared" si="2633"/>
        <v>4</v>
      </c>
      <c r="N13051" s="567">
        <f t="shared" si="2633"/>
        <v>0.41808000000000001</v>
      </c>
      <c r="O13051" s="549"/>
      <c r="P13051" s="1441"/>
    </row>
    <row r="13052" spans="1:19" ht="17.399999999999999">
      <c r="A13052" s="549"/>
      <c r="B13052" s="549"/>
      <c r="C13052" s="549"/>
      <c r="D13052" s="549"/>
      <c r="E13052" s="549"/>
      <c r="F13052" s="549"/>
      <c r="G13052" s="549"/>
      <c r="H13052" s="549"/>
      <c r="I13052" s="560"/>
      <c r="J13052" s="549"/>
      <c r="K13052" s="561"/>
      <c r="L13052" s="560"/>
      <c r="M13052" s="549"/>
      <c r="N13052" s="549"/>
      <c r="O13052" s="549"/>
      <c r="P13052" s="1441"/>
    </row>
    <row r="13053" spans="1:19" ht="17.399999999999999">
      <c r="A13053" s="547" t="s">
        <v>83</v>
      </c>
      <c r="B13053" s="547" t="s">
        <v>1456</v>
      </c>
      <c r="C13053" s="547" t="s">
        <v>19</v>
      </c>
      <c r="D13053" s="813" t="s">
        <v>60</v>
      </c>
      <c r="E13053" s="547" t="s">
        <v>270</v>
      </c>
      <c r="F13053" s="550">
        <v>13</v>
      </c>
      <c r="G13053" s="549" t="s">
        <v>61</v>
      </c>
      <c r="H13053" s="599" t="s">
        <v>92</v>
      </c>
      <c r="I13053" s="558">
        <v>16.579999999999998</v>
      </c>
      <c r="J13053" s="567">
        <v>8.5</v>
      </c>
      <c r="K13053" s="648">
        <v>1</v>
      </c>
      <c r="L13053" s="552">
        <f>(I13053*J13053*K13053/1000)</f>
        <v>0.14092999999999997</v>
      </c>
      <c r="M13053" s="549">
        <v>1</v>
      </c>
      <c r="N13053" s="567">
        <f t="shared" ref="N13053" si="2634">J13053*M13053*I13053/1000</f>
        <v>0.14092999999999997</v>
      </c>
      <c r="O13053" s="549"/>
      <c r="P13053" s="1441"/>
      <c r="Q13053" s="1511" t="s">
        <v>1584</v>
      </c>
    </row>
    <row r="13054" spans="1:19" ht="17.399999999999999">
      <c r="A13054" s="549"/>
      <c r="B13054" s="769" t="s">
        <v>1457</v>
      </c>
      <c r="C13054" s="549"/>
      <c r="D13054" s="549"/>
      <c r="E13054" s="549"/>
      <c r="F13054" s="549"/>
      <c r="G13054" s="549"/>
      <c r="H13054" s="549"/>
      <c r="I13054" s="558"/>
      <c r="J13054" s="567"/>
      <c r="K13054" s="648">
        <f>SUM(K13053)</f>
        <v>1</v>
      </c>
      <c r="L13054" s="567">
        <f>SUM(L13053)</f>
        <v>0.14092999999999997</v>
      </c>
      <c r="M13054" s="648">
        <f>SUM(M13053)</f>
        <v>1</v>
      </c>
      <c r="N13054" s="567">
        <f>SUM(N13053)</f>
        <v>0.14092999999999997</v>
      </c>
      <c r="O13054" s="549"/>
      <c r="P13054" s="1441"/>
    </row>
    <row r="13055" spans="1:19">
      <c r="A13055" s="1441"/>
      <c r="B13055" s="1441"/>
      <c r="C13055" s="1441"/>
      <c r="D13055" s="1441"/>
      <c r="E13055" s="1441"/>
      <c r="F13055" s="1441"/>
      <c r="G13055" s="1441"/>
      <c r="H13055" s="1441"/>
      <c r="I13055" s="1861"/>
      <c r="J13055" s="1441"/>
      <c r="K13055" s="429"/>
      <c r="L13055" s="1664"/>
      <c r="M13055" s="1441"/>
      <c r="N13055" s="1441"/>
      <c r="O13055" s="1441"/>
      <c r="P13055" s="1441"/>
    </row>
    <row r="13056" spans="1:19">
      <c r="A13056" s="1441"/>
      <c r="B13056" s="1441"/>
      <c r="C13056" s="1441"/>
      <c r="D13056" s="1441"/>
      <c r="E13056" s="1441"/>
      <c r="F13056" s="1441"/>
      <c r="G13056" s="1441"/>
      <c r="H13056" s="1441"/>
      <c r="I13056" s="1861"/>
      <c r="J13056" s="1441"/>
      <c r="K13056" s="218">
        <f>+K13054+K13051+K13047+K13041</f>
        <v>1433</v>
      </c>
      <c r="L13056" s="596">
        <f>+L13054+L13051+L13047+L13041</f>
        <v>190.77087</v>
      </c>
      <c r="M13056" s="1441"/>
      <c r="N13056" s="596">
        <f>+N13054+N13051+N13047+N13041</f>
        <v>0.55901000000000001</v>
      </c>
      <c r="O13056" s="1441"/>
      <c r="P13056" s="1441"/>
    </row>
    <row r="13057" spans="1:16" ht="18">
      <c r="A13057" s="653" t="s">
        <v>48</v>
      </c>
      <c r="B13057" s="653"/>
      <c r="C13057" s="654"/>
      <c r="D13057" s="654"/>
      <c r="E13057" s="654"/>
      <c r="F13057" s="1662"/>
      <c r="G13057" s="654"/>
      <c r="H13057" s="1662"/>
      <c r="I13057" s="656"/>
      <c r="J13057" s="654"/>
      <c r="K13057" s="657"/>
      <c r="L13057" s="2003" t="s">
        <v>0</v>
      </c>
      <c r="M13057" s="2003"/>
      <c r="N13057" s="2003"/>
      <c r="O13057" s="2004"/>
      <c r="P13057" s="1097"/>
    </row>
    <row r="13058" spans="1:16" ht="18">
      <c r="A13058" s="658" t="s">
        <v>1</v>
      </c>
      <c r="B13058" s="658"/>
      <c r="C13058" s="658"/>
      <c r="D13058" s="659" t="s">
        <v>2</v>
      </c>
      <c r="E13058" s="659"/>
      <c r="F13058" s="660"/>
      <c r="G13058" s="660"/>
      <c r="H13058" s="660"/>
      <c r="I13058" s="661"/>
      <c r="J13058" s="660"/>
      <c r="K13058" s="662" t="s">
        <v>3</v>
      </c>
      <c r="L13058" s="660"/>
      <c r="M13058" s="658"/>
      <c r="N13058" s="660"/>
      <c r="O13058" s="663"/>
      <c r="P13058" s="1098"/>
    </row>
    <row r="13059" spans="1:16" ht="18">
      <c r="A13059" s="1662" t="s">
        <v>22</v>
      </c>
      <c r="B13059" s="1990" t="s">
        <v>23</v>
      </c>
      <c r="C13059" s="2005"/>
      <c r="D13059" s="1989"/>
      <c r="E13059" s="1662" t="s">
        <v>24</v>
      </c>
      <c r="F13059" s="1990" t="s">
        <v>25</v>
      </c>
      <c r="G13059" s="1989"/>
      <c r="H13059" s="1990" t="s">
        <v>26</v>
      </c>
      <c r="I13059" s="2005"/>
      <c r="J13059" s="2005"/>
      <c r="K13059" s="1989"/>
      <c r="L13059" s="2006" t="s">
        <v>27</v>
      </c>
      <c r="M13059" s="2006"/>
      <c r="N13059" s="2006"/>
      <c r="O13059" s="1990"/>
      <c r="P13059" s="1098"/>
    </row>
    <row r="13060" spans="1:16" ht="18">
      <c r="A13060" s="664"/>
      <c r="B13060" s="1975"/>
      <c r="C13060" s="1976"/>
      <c r="D13060" s="1977"/>
      <c r="E13060" s="665"/>
      <c r="F13060" s="1975"/>
      <c r="G13060" s="1977"/>
      <c r="H13060" s="1975"/>
      <c r="I13060" s="1976"/>
      <c r="J13060" s="1976"/>
      <c r="K13060" s="1977"/>
      <c r="L13060" s="1975"/>
      <c r="M13060" s="1976"/>
      <c r="N13060" s="1976"/>
      <c r="O13060" s="1976"/>
      <c r="P13060" s="1098"/>
    </row>
    <row r="13061" spans="1:16" ht="18">
      <c r="A13061" s="664"/>
      <c r="B13061" s="1655"/>
      <c r="C13061" s="1656"/>
      <c r="D13061" s="1657"/>
      <c r="E13061" s="665"/>
      <c r="F13061" s="1655"/>
      <c r="G13061" s="1657"/>
      <c r="H13061" s="1655"/>
      <c r="I13061" s="1842"/>
      <c r="J13061" s="1656"/>
      <c r="K13061" s="1657"/>
      <c r="L13061" s="1656"/>
      <c r="M13061" s="1656"/>
      <c r="N13061" s="1656"/>
      <c r="O13061" s="1656"/>
      <c r="P13061" s="1098"/>
    </row>
    <row r="13062" spans="1:16" ht="18">
      <c r="A13062" s="664" t="s">
        <v>28</v>
      </c>
      <c r="B13062" s="1975" t="s">
        <v>102</v>
      </c>
      <c r="C13062" s="1976"/>
      <c r="D13062" s="1977"/>
      <c r="E13062" s="665">
        <f>+L13041</f>
        <v>94.254260000000002</v>
      </c>
      <c r="F13062" s="1973">
        <v>12</v>
      </c>
      <c r="G13062" s="1974"/>
      <c r="H13062" s="1975" t="s">
        <v>49</v>
      </c>
      <c r="I13062" s="1976"/>
      <c r="J13062" s="1976"/>
      <c r="K13062" s="1977"/>
      <c r="L13062" s="1976" t="s">
        <v>436</v>
      </c>
      <c r="M13062" s="1976"/>
      <c r="N13062" s="1976"/>
      <c r="O13062" s="1976"/>
      <c r="P13062" s="1098"/>
    </row>
    <row r="13063" spans="1:16" ht="18">
      <c r="A13063" s="664" t="s">
        <v>29</v>
      </c>
      <c r="B13063" s="1975" t="s">
        <v>101</v>
      </c>
      <c r="C13063" s="1976"/>
      <c r="D13063" s="1977"/>
      <c r="E13063" s="665">
        <f>+L13047</f>
        <v>95.957600000000014</v>
      </c>
      <c r="F13063" s="1973">
        <v>12</v>
      </c>
      <c r="G13063" s="1974"/>
      <c r="H13063" s="1975" t="s">
        <v>49</v>
      </c>
      <c r="I13063" s="1976"/>
      <c r="J13063" s="1976"/>
      <c r="K13063" s="1977"/>
      <c r="L13063" s="1976" t="s">
        <v>436</v>
      </c>
      <c r="M13063" s="1976"/>
      <c r="N13063" s="1976"/>
      <c r="O13063" s="1976"/>
      <c r="P13063" s="1098"/>
    </row>
    <row r="13064" spans="1:16" ht="18">
      <c r="A13064" s="664"/>
      <c r="B13064" s="1975"/>
      <c r="C13064" s="1976"/>
      <c r="D13064" s="1977"/>
      <c r="E13064" s="665"/>
      <c r="F13064" s="1973"/>
      <c r="G13064" s="1974"/>
      <c r="H13064" s="1975"/>
      <c r="I13064" s="1976"/>
      <c r="J13064" s="1976"/>
      <c r="K13064" s="1977"/>
      <c r="L13064" s="1976"/>
      <c r="M13064" s="1976"/>
      <c r="N13064" s="1976"/>
      <c r="O13064" s="1976"/>
      <c r="P13064" s="1098"/>
    </row>
    <row r="13065" spans="1:16" ht="18.600000000000001" thickBot="1">
      <c r="A13065" s="664"/>
      <c r="B13065" s="1655"/>
      <c r="C13065" s="1656"/>
      <c r="D13065" s="1656"/>
      <c r="E13065" s="665"/>
      <c r="F13065" s="1656"/>
      <c r="G13065" s="1657"/>
      <c r="H13065" s="1655"/>
      <c r="I13065" s="1842"/>
      <c r="J13065" s="1656"/>
      <c r="K13065" s="669"/>
      <c r="L13065" s="672"/>
      <c r="M13065" s="673"/>
      <c r="N13065" s="673"/>
      <c r="O13065" s="673"/>
      <c r="P13065" s="1098"/>
    </row>
    <row r="13066" spans="1:16" ht="18">
      <c r="A13066" s="674"/>
      <c r="B13066" s="675"/>
      <c r="C13066" s="676"/>
      <c r="D13066" s="676"/>
      <c r="E13066" s="1980">
        <f>SUM(E13060:E13065)</f>
        <v>190.21186</v>
      </c>
      <c r="F13066" s="677"/>
      <c r="G13066" s="678"/>
      <c r="H13066" s="679"/>
      <c r="I13066" s="1848"/>
      <c r="J13066" s="676"/>
      <c r="K13066" s="680"/>
      <c r="L13066" s="679"/>
      <c r="M13066" s="676"/>
      <c r="N13066" s="677"/>
      <c r="O13066" s="676"/>
      <c r="P13066" s="1098"/>
    </row>
    <row r="13067" spans="1:16" ht="18.600000000000001" thickBot="1">
      <c r="A13067" s="681"/>
      <c r="B13067" s="682"/>
      <c r="C13067" s="683"/>
      <c r="D13067" s="683"/>
      <c r="E13067" s="1981"/>
      <c r="F13067" s="684"/>
      <c r="G13067" s="685"/>
      <c r="H13067" s="686"/>
      <c r="I13067" s="1850"/>
      <c r="J13067" s="683"/>
      <c r="K13067" s="687"/>
      <c r="L13067" s="686"/>
      <c r="M13067" s="683"/>
      <c r="N13067" s="684"/>
      <c r="O13067" s="683"/>
      <c r="P13067" s="1098"/>
    </row>
    <row r="13068" spans="1:16" ht="18">
      <c r="A13068" s="688" t="s">
        <v>31</v>
      </c>
      <c r="B13068" s="676"/>
      <c r="C13068" s="676"/>
      <c r="D13068" s="676"/>
      <c r="E13068" s="676"/>
      <c r="F13068" s="677"/>
      <c r="G13068" s="676"/>
      <c r="H13068" s="677"/>
      <c r="I13068" s="1848"/>
      <c r="J13068" s="676"/>
      <c r="K13068" s="689"/>
      <c r="L13068" s="677"/>
      <c r="M13068" s="676"/>
      <c r="N13068" s="677"/>
      <c r="O13068" s="676"/>
      <c r="P13068" s="1098"/>
    </row>
    <row r="13069" spans="1:16" ht="18">
      <c r="A13069" s="690"/>
      <c r="B13069" s="691"/>
      <c r="C13069" s="691"/>
      <c r="D13069" s="691"/>
      <c r="E13069" s="691"/>
      <c r="F13069" s="1654"/>
      <c r="G13069" s="691"/>
      <c r="H13069" s="1654"/>
      <c r="I13069" s="1849"/>
      <c r="J13069" s="691"/>
      <c r="K13069" s="693"/>
      <c r="L13069" s="1654"/>
      <c r="M13069" s="691"/>
      <c r="N13069" s="1654"/>
      <c r="O13069" s="691"/>
      <c r="P13069" s="1098"/>
    </row>
    <row r="13070" spans="1:16" ht="18.600000000000001" thickBot="1">
      <c r="A13070" s="1982" t="s">
        <v>32</v>
      </c>
      <c r="B13070" s="1983"/>
      <c r="C13070" s="1984" t="s">
        <v>33</v>
      </c>
      <c r="D13070" s="1985"/>
      <c r="E13070" s="694" t="s">
        <v>34</v>
      </c>
      <c r="F13070" s="694" t="s">
        <v>35</v>
      </c>
      <c r="G13070" s="1986" t="s">
        <v>36</v>
      </c>
      <c r="H13070" s="1987"/>
      <c r="I13070" s="1987"/>
      <c r="J13070" s="1987"/>
      <c r="K13070" s="1987"/>
      <c r="L13070" s="1987"/>
      <c r="M13070" s="1987"/>
      <c r="N13070" s="1987"/>
      <c r="O13070" s="1987"/>
      <c r="P13070" s="1098"/>
    </row>
    <row r="13071" spans="1:16" ht="18">
      <c r="A13071" s="1988"/>
      <c r="B13071" s="1989"/>
      <c r="C13071" s="1990"/>
      <c r="D13071" s="1989"/>
      <c r="E13071" s="1662"/>
      <c r="F13071" s="1660"/>
      <c r="G13071" s="1991"/>
      <c r="H13071" s="1992"/>
      <c r="I13071" s="1992"/>
      <c r="J13071" s="1992"/>
      <c r="K13071" s="1992"/>
      <c r="L13071" s="1992"/>
      <c r="M13071" s="1992"/>
      <c r="N13071" s="1992"/>
      <c r="O13071" s="1992"/>
      <c r="P13071" s="1098"/>
    </row>
    <row r="13072" spans="1:16" ht="18">
      <c r="A13072" s="1997" t="s">
        <v>37</v>
      </c>
      <c r="B13072" s="1998"/>
      <c r="C13072" s="1990"/>
      <c r="D13072" s="1989"/>
      <c r="E13072" s="1662"/>
      <c r="F13072" s="1660"/>
      <c r="G13072" s="1993"/>
      <c r="H13072" s="1994"/>
      <c r="I13072" s="1994"/>
      <c r="J13072" s="1994"/>
      <c r="K13072" s="1994"/>
      <c r="L13072" s="1994"/>
      <c r="M13072" s="1994"/>
      <c r="N13072" s="1994"/>
      <c r="O13072" s="1994"/>
      <c r="P13072" s="1098"/>
    </row>
    <row r="13073" spans="1:21" ht="18">
      <c r="A13073" s="1997" t="s">
        <v>38</v>
      </c>
      <c r="B13073" s="1998"/>
      <c r="C13073" s="1990"/>
      <c r="D13073" s="1989"/>
      <c r="E13073" s="1662"/>
      <c r="F13073" s="1660"/>
      <c r="G13073" s="1993"/>
      <c r="H13073" s="1994"/>
      <c r="I13073" s="1994"/>
      <c r="J13073" s="1994"/>
      <c r="K13073" s="1994"/>
      <c r="L13073" s="1994"/>
      <c r="M13073" s="1994"/>
      <c r="N13073" s="1994"/>
      <c r="O13073" s="1994"/>
      <c r="P13073" s="1098"/>
    </row>
    <row r="13074" spans="1:21" ht="18">
      <c r="A13074" s="1997" t="s">
        <v>39</v>
      </c>
      <c r="B13074" s="1998"/>
      <c r="C13074" s="1990"/>
      <c r="D13074" s="1989"/>
      <c r="E13074" s="1662"/>
      <c r="F13074" s="1660"/>
      <c r="G13074" s="1993"/>
      <c r="H13074" s="1994"/>
      <c r="I13074" s="1994"/>
      <c r="J13074" s="1994"/>
      <c r="K13074" s="1994"/>
      <c r="L13074" s="1994"/>
      <c r="M13074" s="1994"/>
      <c r="N13074" s="1994"/>
      <c r="O13074" s="1994"/>
      <c r="P13074" s="1098"/>
    </row>
    <row r="13075" spans="1:21" ht="18">
      <c r="A13075" s="1997" t="s">
        <v>40</v>
      </c>
      <c r="B13075" s="1998"/>
      <c r="C13075" s="1990"/>
      <c r="D13075" s="1989"/>
      <c r="E13075" s="1662"/>
      <c r="F13075" s="1660"/>
      <c r="G13075" s="1993"/>
      <c r="H13075" s="1994"/>
      <c r="I13075" s="1994"/>
      <c r="J13075" s="1994"/>
      <c r="K13075" s="1994"/>
      <c r="L13075" s="1994"/>
      <c r="M13075" s="1994"/>
      <c r="N13075" s="1994"/>
      <c r="O13075" s="1994"/>
      <c r="P13075" s="1098"/>
    </row>
    <row r="13076" spans="1:21" ht="18.600000000000001" thickBot="1">
      <c r="A13076" s="1999" t="s">
        <v>41</v>
      </c>
      <c r="B13076" s="2000"/>
      <c r="C13076" s="2001"/>
      <c r="D13076" s="2002"/>
      <c r="E13076" s="696"/>
      <c r="F13076" s="1661"/>
      <c r="G13076" s="1995"/>
      <c r="H13076" s="1996"/>
      <c r="I13076" s="1996"/>
      <c r="J13076" s="1996"/>
      <c r="K13076" s="1996"/>
      <c r="L13076" s="1996"/>
      <c r="M13076" s="1996"/>
      <c r="N13076" s="1996"/>
      <c r="O13076" s="1996"/>
      <c r="P13076" s="1098"/>
    </row>
    <row r="13077" spans="1:21" ht="18">
      <c r="A13077" s="690"/>
      <c r="B13077" s="691"/>
      <c r="C13077" s="691"/>
      <c r="D13077" s="691"/>
      <c r="E13077" s="691"/>
      <c r="F13077" s="1654"/>
      <c r="G13077" s="691"/>
      <c r="H13077" s="698"/>
      <c r="I13077" s="699"/>
      <c r="J13077" s="700"/>
      <c r="K13077" s="701"/>
      <c r="L13077" s="702"/>
      <c r="M13077" s="691"/>
      <c r="N13077" s="1654"/>
      <c r="O13077" s="691"/>
      <c r="P13077" s="1098"/>
    </row>
    <row r="13078" spans="1:21" ht="18">
      <c r="A13078" s="703" t="s">
        <v>42</v>
      </c>
      <c r="B13078" s="704"/>
      <c r="C13078" s="691"/>
      <c r="D13078" s="691"/>
      <c r="E13078" s="691"/>
      <c r="F13078" s="1654"/>
      <c r="G13078" s="704"/>
      <c r="H13078" s="698"/>
      <c r="I13078" s="699"/>
      <c r="J13078" s="700"/>
      <c r="K13078" s="693"/>
      <c r="L13078" s="705"/>
      <c r="M13078" s="691"/>
      <c r="N13078" s="1979" t="s">
        <v>43</v>
      </c>
      <c r="O13078" s="1979"/>
      <c r="P13078" s="1098"/>
    </row>
    <row r="13079" spans="1:21" ht="18">
      <c r="A13079" s="703"/>
      <c r="B13079" s="704"/>
      <c r="C13079" s="691"/>
      <c r="D13079" s="691"/>
      <c r="E13079" s="691"/>
      <c r="F13079" s="1654"/>
      <c r="G13079" s="691"/>
      <c r="H13079" s="1654"/>
      <c r="I13079" s="1849"/>
      <c r="J13079" s="691"/>
      <c r="K13079" s="693"/>
      <c r="L13079" s="1654"/>
      <c r="M13079" s="691"/>
      <c r="N13079" s="1654"/>
      <c r="O13079" s="704"/>
      <c r="P13079" s="1098"/>
    </row>
    <row r="13080" spans="1:21" ht="18">
      <c r="A13080" s="703" t="s">
        <v>44</v>
      </c>
      <c r="B13080" s="704"/>
      <c r="C13080" s="691"/>
      <c r="D13080" s="691"/>
      <c r="E13080" s="691"/>
      <c r="F13080" s="1654"/>
      <c r="G13080" s="691"/>
      <c r="H13080" s="1654"/>
      <c r="I13080" s="1849"/>
      <c r="J13080" s="691"/>
      <c r="K13080" s="693"/>
      <c r="L13080" s="1654"/>
      <c r="M13080" s="691"/>
      <c r="N13080" s="1979" t="s">
        <v>45</v>
      </c>
      <c r="O13080" s="1979"/>
      <c r="P13080" s="1098"/>
    </row>
    <row r="13081" spans="1:21" ht="18.600000000000001" thickBot="1">
      <c r="A13081" s="682"/>
      <c r="B13081" s="683"/>
      <c r="C13081" s="683"/>
      <c r="D13081" s="683"/>
      <c r="E13081" s="683"/>
      <c r="F13081" s="684"/>
      <c r="G13081" s="683"/>
      <c r="H13081" s="684"/>
      <c r="I13081" s="1850"/>
      <c r="J13081" s="683"/>
      <c r="K13081" s="706"/>
      <c r="L13081" s="684"/>
      <c r="M13081" s="683"/>
      <c r="N13081" s="684"/>
      <c r="O13081" s="683"/>
      <c r="P13081" s="1099"/>
    </row>
    <row r="13085" spans="1:21" ht="17.399999999999999">
      <c r="A13085" s="711" t="s">
        <v>48</v>
      </c>
      <c r="B13085" s="711"/>
      <c r="C13085" s="712"/>
      <c r="D13085" s="712"/>
      <c r="E13085" s="712"/>
      <c r="F13085" s="713"/>
      <c r="G13085" s="712"/>
      <c r="H13085" s="712"/>
      <c r="I13085" s="714"/>
      <c r="J13085" s="715"/>
      <c r="K13085" s="716"/>
      <c r="L13085" s="1978" t="s">
        <v>0</v>
      </c>
      <c r="M13085" s="1978"/>
      <c r="N13085" s="1978"/>
      <c r="O13085" s="1978"/>
      <c r="P13085" s="717"/>
    </row>
    <row r="13086" spans="1:21" ht="17.399999999999999">
      <c r="A13086" s="718" t="s">
        <v>1</v>
      </c>
      <c r="B13086" s="718"/>
      <c r="C13086" s="718"/>
      <c r="D13086" s="719" t="s">
        <v>2</v>
      </c>
      <c r="E13086" s="719"/>
      <c r="F13086" s="720"/>
      <c r="G13086" s="720"/>
      <c r="H13086" s="720"/>
      <c r="I13086" s="721"/>
      <c r="J13086" s="1665"/>
      <c r="K13086" s="723" t="s">
        <v>3</v>
      </c>
      <c r="L13086" s="1665"/>
      <c r="M13086" s="718"/>
      <c r="N13086" s="720"/>
      <c r="O13086" s="718"/>
      <c r="P13086" s="724"/>
    </row>
    <row r="13087" spans="1:21" ht="52.2">
      <c r="A13087" s="640" t="s">
        <v>4</v>
      </c>
      <c r="B13087" s="640" t="s">
        <v>5</v>
      </c>
      <c r="C13087" s="640" t="s">
        <v>6</v>
      </c>
      <c r="D13087" s="640" t="s">
        <v>7</v>
      </c>
      <c r="E13087" s="640" t="s">
        <v>8</v>
      </c>
      <c r="F13087" s="641" t="s">
        <v>9</v>
      </c>
      <c r="G13087" s="642" t="s">
        <v>10</v>
      </c>
      <c r="H13087" s="642" t="s">
        <v>11</v>
      </c>
      <c r="I13087" s="643" t="s">
        <v>12</v>
      </c>
      <c r="J13087" s="644" t="s">
        <v>13</v>
      </c>
      <c r="K13087" s="645" t="s">
        <v>14</v>
      </c>
      <c r="L13087" s="646" t="s">
        <v>15</v>
      </c>
      <c r="M13087" s="641" t="s">
        <v>16</v>
      </c>
      <c r="N13087" s="641" t="s">
        <v>17</v>
      </c>
      <c r="O13087" s="642" t="s">
        <v>18</v>
      </c>
      <c r="P13087" s="641" t="s">
        <v>192</v>
      </c>
    </row>
    <row r="13088" spans="1:21" ht="18">
      <c r="A13088" s="547" t="s">
        <v>83</v>
      </c>
      <c r="B13088" s="547" t="s">
        <v>1410</v>
      </c>
      <c r="C13088" s="547" t="s">
        <v>19</v>
      </c>
      <c r="D13088" s="813" t="s">
        <v>854</v>
      </c>
      <c r="E13088" s="549" t="s">
        <v>367</v>
      </c>
      <c r="F13088" s="550">
        <v>16</v>
      </c>
      <c r="G13088" s="898" t="s">
        <v>21</v>
      </c>
      <c r="H13088" s="1162" t="s">
        <v>181</v>
      </c>
      <c r="I13088" s="1586">
        <v>40.1</v>
      </c>
      <c r="J13088" s="914">
        <v>9.6999999999999993</v>
      </c>
      <c r="K13088" s="915">
        <v>443</v>
      </c>
      <c r="L13088" s="552">
        <f>(I13088*J13088*K13088/1000)</f>
        <v>172.31370999999999</v>
      </c>
      <c r="M13088" s="898"/>
      <c r="N13088" s="898"/>
      <c r="O13088" s="898"/>
      <c r="P13088" s="898"/>
      <c r="Q13088" s="497">
        <f>7+7+7+7+7+7+7+7+7+7+6+7+7+7+7+7+7+7+7+7+7+7+7-7+172</f>
        <v>325</v>
      </c>
      <c r="R13088" s="126">
        <f>J13088*Q13088*I13088/1000</f>
        <v>126.41524999999999</v>
      </c>
      <c r="S13088">
        <v>104</v>
      </c>
      <c r="T13088" s="126">
        <f>J13088*S13088*I13088/1000</f>
        <v>40.45288</v>
      </c>
      <c r="U13088" s="1511" t="s">
        <v>1585</v>
      </c>
    </row>
    <row r="13089" spans="1:22" ht="18">
      <c r="A13089" s="549"/>
      <c r="B13089" s="880" t="s">
        <v>1557</v>
      </c>
      <c r="C13089" s="549"/>
      <c r="D13089" s="549"/>
      <c r="E13089" s="549"/>
      <c r="F13089" s="549"/>
      <c r="G13089" s="898"/>
      <c r="H13089" s="898"/>
      <c r="I13089" s="1586"/>
      <c r="J13089" s="914"/>
      <c r="K13089" s="915">
        <f t="shared" ref="K13089" si="2635">SUM(K13088)</f>
        <v>443</v>
      </c>
      <c r="L13089" s="914">
        <f>SUM(L13088)</f>
        <v>172.31370999999999</v>
      </c>
      <c r="M13089" s="898"/>
      <c r="N13089" s="898"/>
      <c r="O13089" s="898"/>
      <c r="P13089" s="549" t="s">
        <v>1552</v>
      </c>
      <c r="Q13089" s="915">
        <f t="shared" ref="Q13089:S13089" si="2636">SUM(Q13088)</f>
        <v>325</v>
      </c>
      <c r="R13089" s="914">
        <f>SUM(R13088)</f>
        <v>126.41524999999999</v>
      </c>
      <c r="S13089" s="915">
        <f t="shared" si="2636"/>
        <v>104</v>
      </c>
      <c r="T13089" s="914">
        <f>SUM(T13088)</f>
        <v>40.45288</v>
      </c>
      <c r="U13089" s="1511" t="s">
        <v>1587</v>
      </c>
    </row>
    <row r="13090" spans="1:22" s="1511" customFormat="1" ht="18">
      <c r="A13090" s="549"/>
      <c r="B13090" s="728"/>
      <c r="C13090" s="549"/>
      <c r="D13090" s="549"/>
      <c r="E13090" s="549"/>
      <c r="F13090" s="549"/>
      <c r="G13090" s="898"/>
      <c r="H13090" s="898"/>
      <c r="I13090" s="1586"/>
      <c r="J13090" s="914"/>
      <c r="K13090" s="915"/>
      <c r="L13090" s="914"/>
      <c r="M13090" s="898"/>
      <c r="N13090" s="898"/>
      <c r="O13090" s="898"/>
      <c r="P13090" s="898"/>
    </row>
    <row r="13091" spans="1:22" ht="18">
      <c r="A13091" s="898"/>
      <c r="B13091" s="898"/>
      <c r="C13091" s="898"/>
      <c r="D13091" s="898"/>
      <c r="E13091" s="898"/>
      <c r="F13091" s="898"/>
      <c r="G13091" s="898"/>
      <c r="H13091" s="898"/>
      <c r="I13091" s="920"/>
      <c r="J13091" s="898"/>
      <c r="K13091" s="921"/>
      <c r="L13091" s="920"/>
      <c r="M13091" s="898"/>
      <c r="N13091" s="898"/>
      <c r="O13091" s="898"/>
      <c r="P13091" s="898"/>
    </row>
    <row r="13092" spans="1:22" ht="18">
      <c r="A13092" s="547" t="s">
        <v>83</v>
      </c>
      <c r="B13092" s="547" t="s">
        <v>1410</v>
      </c>
      <c r="C13092" s="547" t="s">
        <v>19</v>
      </c>
      <c r="D13092" s="813" t="s">
        <v>854</v>
      </c>
      <c r="E13092" s="549" t="s">
        <v>367</v>
      </c>
      <c r="F13092" s="550">
        <v>16</v>
      </c>
      <c r="G13092" s="898" t="s">
        <v>21</v>
      </c>
      <c r="H13092" s="1162" t="s">
        <v>180</v>
      </c>
      <c r="I13092" s="1586">
        <v>35.9</v>
      </c>
      <c r="J13092" s="914">
        <v>11.3</v>
      </c>
      <c r="K13092" s="915">
        <v>18</v>
      </c>
      <c r="L13092" s="552">
        <f>(I13092*J13092*K13092/1000)</f>
        <v>7.30206</v>
      </c>
      <c r="M13092" s="898"/>
      <c r="N13092" s="898"/>
      <c r="O13092" s="898"/>
      <c r="P13092" s="898"/>
      <c r="Q13092" s="497">
        <v>7</v>
      </c>
      <c r="R13092" s="126">
        <f t="shared" ref="R13092:R13094" si="2637">J13092*Q13092*I13092/1000</f>
        <v>2.83969</v>
      </c>
      <c r="S13092" s="1511" t="s">
        <v>1586</v>
      </c>
    </row>
    <row r="13093" spans="1:22" ht="18">
      <c r="A13093" s="549"/>
      <c r="B13093" s="880" t="s">
        <v>1557</v>
      </c>
      <c r="C13093" s="549"/>
      <c r="D13093" s="549"/>
      <c r="E13093" s="549"/>
      <c r="F13093" s="549"/>
      <c r="G13093" s="898" t="s">
        <v>21</v>
      </c>
      <c r="H13093" s="898" t="s">
        <v>180</v>
      </c>
      <c r="I13093" s="1586">
        <v>35.9</v>
      </c>
      <c r="J13093" s="914">
        <v>11.7</v>
      </c>
      <c r="K13093" s="915">
        <v>119</v>
      </c>
      <c r="L13093" s="552">
        <f>(I13093*J13093*K13093/1000)</f>
        <v>49.98357</v>
      </c>
      <c r="M13093" s="898"/>
      <c r="N13093" s="898"/>
      <c r="O13093" s="898"/>
      <c r="P13093" s="898"/>
      <c r="Q13093" s="497">
        <f>7+7+2+7+7+7+7+7+7+7+7+7+7+7+7+7+7+7+7</f>
        <v>128</v>
      </c>
      <c r="R13093" s="126">
        <f t="shared" si="2637"/>
        <v>53.763839999999995</v>
      </c>
      <c r="S13093" s="1511" t="s">
        <v>1588</v>
      </c>
    </row>
    <row r="13094" spans="1:22" ht="18">
      <c r="A13094" s="898"/>
      <c r="B13094" s="898"/>
      <c r="C13094" s="898"/>
      <c r="D13094" s="898"/>
      <c r="E13094" s="898"/>
      <c r="F13094" s="898"/>
      <c r="G13094" s="898" t="s">
        <v>21</v>
      </c>
      <c r="H13094" s="898" t="s">
        <v>180</v>
      </c>
      <c r="I13094" s="1586">
        <v>35.9</v>
      </c>
      <c r="J13094" s="914">
        <v>12</v>
      </c>
      <c r="K13094" s="915">
        <v>82</v>
      </c>
      <c r="L13094" s="552">
        <f>(I13094*J13094*K13094/1000)</f>
        <v>35.325600000000001</v>
      </c>
      <c r="M13094" s="898"/>
      <c r="N13094" s="898"/>
      <c r="O13094" s="898"/>
      <c r="P13094" s="898"/>
      <c r="Q13094" s="497">
        <f>8+1+3+7+7+7+7+7+7+7+7+7+7+7+7</f>
        <v>96</v>
      </c>
      <c r="R13094" s="126">
        <f t="shared" si="2637"/>
        <v>41.356799999999993</v>
      </c>
    </row>
    <row r="13095" spans="1:22" ht="18">
      <c r="A13095" s="898"/>
      <c r="B13095" s="898"/>
      <c r="C13095" s="898"/>
      <c r="D13095" s="898"/>
      <c r="E13095" s="898"/>
      <c r="F13095" s="898"/>
      <c r="G13095" s="898"/>
      <c r="H13095" s="898"/>
      <c r="I13095" s="1586"/>
      <c r="J13095" s="914"/>
      <c r="K13095" s="915">
        <f t="shared" ref="K13095" si="2638">SUM(K13092:K13094)</f>
        <v>219</v>
      </c>
      <c r="L13095" s="914">
        <f>SUM(L13092:L13094)</f>
        <v>92.611230000000006</v>
      </c>
      <c r="M13095" s="898"/>
      <c r="N13095" s="898"/>
      <c r="O13095" s="898"/>
      <c r="P13095" s="549" t="s">
        <v>1553</v>
      </c>
      <c r="Q13095" s="915">
        <f t="shared" ref="Q13095" si="2639">SUM(Q13092:Q13094)</f>
        <v>231</v>
      </c>
      <c r="R13095" s="914">
        <f>SUM(R13092:R13094)</f>
        <v>97.960329999999985</v>
      </c>
    </row>
    <row r="13096" spans="1:22" s="1511" customFormat="1" ht="18">
      <c r="A13096" s="898"/>
      <c r="B13096" s="898"/>
      <c r="C13096" s="898"/>
      <c r="D13096" s="898"/>
      <c r="E13096" s="898"/>
      <c r="F13096" s="898"/>
      <c r="G13096" s="898"/>
      <c r="H13096" s="898"/>
      <c r="I13096" s="1586"/>
      <c r="J13096" s="914"/>
      <c r="K13096" s="915"/>
      <c r="L13096" s="914"/>
      <c r="M13096" s="898"/>
      <c r="N13096" s="898"/>
      <c r="O13096" s="898"/>
      <c r="P13096" s="898"/>
    </row>
    <row r="13097" spans="1:22" ht="18">
      <c r="A13097" s="898"/>
      <c r="B13097" s="898"/>
      <c r="C13097" s="898"/>
      <c r="D13097" s="898"/>
      <c r="E13097" s="898"/>
      <c r="F13097" s="898"/>
      <c r="G13097" s="898"/>
      <c r="H13097" s="898"/>
      <c r="I13097" s="920"/>
      <c r="J13097" s="898"/>
      <c r="K13097" s="921"/>
      <c r="L13097" s="920"/>
      <c r="M13097" s="898"/>
      <c r="N13097" s="898"/>
      <c r="O13097" s="898"/>
      <c r="P13097" s="898"/>
    </row>
    <row r="13098" spans="1:22" ht="18">
      <c r="A13098" s="547" t="s">
        <v>83</v>
      </c>
      <c r="B13098" s="547" t="s">
        <v>1455</v>
      </c>
      <c r="C13098" s="547" t="s">
        <v>19</v>
      </c>
      <c r="D13098" s="813" t="s">
        <v>854</v>
      </c>
      <c r="E13098" s="549" t="s">
        <v>367</v>
      </c>
      <c r="F13098" s="550">
        <v>16</v>
      </c>
      <c r="G13098" s="898" t="s">
        <v>21</v>
      </c>
      <c r="H13098" s="1162" t="s">
        <v>179</v>
      </c>
      <c r="I13098" s="1586">
        <v>33.799999999999997</v>
      </c>
      <c r="J13098" s="914">
        <v>8.1</v>
      </c>
      <c r="K13098" s="915">
        <v>388</v>
      </c>
      <c r="L13098" s="552">
        <f t="shared" ref="L13098:L13100" si="2640">(I13098*J13098*K13098/1000)</f>
        <v>106.22663999999999</v>
      </c>
      <c r="M13098" s="898"/>
      <c r="N13098" s="898"/>
      <c r="O13098" s="898"/>
      <c r="P13098" s="898"/>
      <c r="Q13098" s="1511" t="s">
        <v>1589</v>
      </c>
      <c r="S13098">
        <f>8+8+8+2</f>
        <v>26</v>
      </c>
      <c r="T13098" s="126">
        <f>J13098*S13098*I13098/1000</f>
        <v>7.1182799999999986</v>
      </c>
    </row>
    <row r="13099" spans="1:22" ht="18">
      <c r="A13099" s="549"/>
      <c r="B13099" s="728" t="s">
        <v>52</v>
      </c>
      <c r="C13099" s="549"/>
      <c r="D13099" s="549"/>
      <c r="E13099" s="549"/>
      <c r="F13099" s="549"/>
      <c r="G13099" s="898" t="s">
        <v>21</v>
      </c>
      <c r="H13099" s="898" t="s">
        <v>179</v>
      </c>
      <c r="I13099" s="1586">
        <v>33.799999999999997</v>
      </c>
      <c r="J13099" s="914">
        <v>9.3000000000000007</v>
      </c>
      <c r="K13099" s="915">
        <v>194</v>
      </c>
      <c r="L13099" s="552">
        <f t="shared" si="2640"/>
        <v>60.981959999999994</v>
      </c>
      <c r="M13099" s="898"/>
      <c r="N13099" s="898"/>
      <c r="O13099" s="898"/>
      <c r="P13099" s="898"/>
      <c r="S13099">
        <f>8+8+8+8+8+8+8+8+2</f>
        <v>66</v>
      </c>
      <c r="T13099" s="126">
        <f>J13099*S13099*I13099/1000</f>
        <v>20.746440000000003</v>
      </c>
    </row>
    <row r="13100" spans="1:22" ht="18">
      <c r="A13100" s="898"/>
      <c r="B13100" s="898"/>
      <c r="C13100" s="898"/>
      <c r="D13100" s="898"/>
      <c r="E13100" s="898"/>
      <c r="F13100" s="898"/>
      <c r="G13100" s="898" t="s">
        <v>21</v>
      </c>
      <c r="H13100" s="898" t="s">
        <v>179</v>
      </c>
      <c r="I13100" s="1586">
        <v>33.799999999999997</v>
      </c>
      <c r="J13100" s="914">
        <v>11.9</v>
      </c>
      <c r="K13100" s="915">
        <v>39</v>
      </c>
      <c r="L13100" s="552">
        <f t="shared" si="2640"/>
        <v>15.686579999999998</v>
      </c>
      <c r="M13100" s="898"/>
      <c r="N13100" s="898"/>
      <c r="O13100" s="898"/>
      <c r="P13100" s="898"/>
      <c r="S13100">
        <f>3+8</f>
        <v>11</v>
      </c>
      <c r="T13100" s="126">
        <f>J13100*S13100*I13100/1000</f>
        <v>4.4244200000000005</v>
      </c>
    </row>
    <row r="13101" spans="1:22" ht="18">
      <c r="A13101" s="898"/>
      <c r="B13101" s="898"/>
      <c r="C13101" s="898"/>
      <c r="D13101" s="898"/>
      <c r="E13101" s="898"/>
      <c r="F13101" s="898"/>
      <c r="G13101" s="898"/>
      <c r="H13101" s="898"/>
      <c r="I13101" s="1586"/>
      <c r="J13101" s="914"/>
      <c r="K13101" s="915">
        <f t="shared" ref="K13101:L13101" si="2641">SUM(K13098:K13100)</f>
        <v>621</v>
      </c>
      <c r="L13101" s="914">
        <f t="shared" si="2641"/>
        <v>182.89517999999998</v>
      </c>
      <c r="M13101" s="898"/>
      <c r="N13101" s="898"/>
      <c r="O13101" s="898"/>
      <c r="P13101" s="898"/>
      <c r="Q13101" s="915">
        <f t="shared" ref="Q13101:S13101" si="2642">SUM(Q13098:Q13100)</f>
        <v>0</v>
      </c>
      <c r="R13101" s="914">
        <f t="shared" si="2642"/>
        <v>0</v>
      </c>
      <c r="S13101" s="915">
        <f t="shared" si="2642"/>
        <v>103</v>
      </c>
      <c r="T13101" s="914">
        <f>SUM(T13098:T13100)</f>
        <v>32.289140000000003</v>
      </c>
    </row>
    <row r="13102" spans="1:22" ht="18">
      <c r="A13102" s="898"/>
      <c r="B13102" s="898"/>
      <c r="C13102" s="898"/>
      <c r="D13102" s="898"/>
      <c r="E13102" s="898"/>
      <c r="F13102" s="898"/>
      <c r="G13102" s="898"/>
      <c r="H13102" s="898"/>
      <c r="I13102" s="920"/>
      <c r="J13102" s="898"/>
      <c r="K13102" s="921"/>
      <c r="L13102" s="920"/>
      <c r="M13102" s="898"/>
      <c r="N13102" s="898"/>
      <c r="O13102" s="898"/>
      <c r="P13102" s="898"/>
    </row>
    <row r="13103" spans="1:22" ht="18">
      <c r="A13103" s="547" t="s">
        <v>83</v>
      </c>
      <c r="B13103" s="547" t="s">
        <v>1410</v>
      </c>
      <c r="C13103" s="547" t="s">
        <v>19</v>
      </c>
      <c r="D13103" s="813" t="s">
        <v>854</v>
      </c>
      <c r="E13103" s="549" t="s">
        <v>367</v>
      </c>
      <c r="F13103" s="550">
        <v>16</v>
      </c>
      <c r="G13103" s="898" t="s">
        <v>21</v>
      </c>
      <c r="H13103" s="1162" t="s">
        <v>179</v>
      </c>
      <c r="I13103" s="1586">
        <v>33.799999999999997</v>
      </c>
      <c r="J13103" s="914">
        <v>8.1</v>
      </c>
      <c r="K13103" s="915">
        <v>164</v>
      </c>
      <c r="L13103" s="552">
        <f>(I13103*J13103*K13103/1000)</f>
        <v>44.899920000000002</v>
      </c>
      <c r="M13103" s="898"/>
      <c r="N13103" s="898"/>
      <c r="O13103" s="898">
        <f>8+8+8+8+8+8</f>
        <v>48</v>
      </c>
      <c r="P13103" s="898">
        <f>J13103*O13103*I13103/1000</f>
        <v>13.141439999999998</v>
      </c>
      <c r="Q13103" s="1511">
        <f>10+10+10+10+8</f>
        <v>48</v>
      </c>
      <c r="R13103" s="126">
        <f t="shared" ref="R13103:R13105" si="2643">J13103*Q13103*I13103/1000</f>
        <v>13.141439999999998</v>
      </c>
      <c r="S13103" s="1511"/>
      <c r="V13103" s="1511" t="s">
        <v>1589</v>
      </c>
    </row>
    <row r="13104" spans="1:22" ht="18">
      <c r="A13104" s="549"/>
      <c r="B13104" s="880" t="s">
        <v>1557</v>
      </c>
      <c r="C13104" s="549"/>
      <c r="D13104" s="549"/>
      <c r="E13104" s="549"/>
      <c r="F13104" s="549"/>
      <c r="G13104" s="898" t="s">
        <v>21</v>
      </c>
      <c r="H13104" s="898" t="s">
        <v>179</v>
      </c>
      <c r="I13104" s="1586">
        <v>33.799999999999997</v>
      </c>
      <c r="J13104" s="914">
        <v>9.3000000000000007</v>
      </c>
      <c r="K13104" s="915">
        <v>80</v>
      </c>
      <c r="L13104" s="552">
        <f>(I13104*J13104*K13104/1000)</f>
        <v>25.147199999999998</v>
      </c>
      <c r="M13104" s="898"/>
      <c r="N13104" s="898"/>
      <c r="O13104" s="898">
        <f>8+8+8+8+8+8</f>
        <v>48</v>
      </c>
      <c r="P13104" s="898">
        <f t="shared" ref="P13104:P13105" si="2644">J13104*O13104*I13104/1000</f>
        <v>15.08832</v>
      </c>
      <c r="R13104" s="126">
        <f t="shared" si="2643"/>
        <v>0</v>
      </c>
    </row>
    <row r="13105" spans="1:22" ht="18">
      <c r="A13105" s="898"/>
      <c r="B13105" s="898"/>
      <c r="C13105" s="898"/>
      <c r="D13105" s="898"/>
      <c r="E13105" s="898"/>
      <c r="F13105" s="898"/>
      <c r="G13105" s="898" t="s">
        <v>21</v>
      </c>
      <c r="H13105" s="898" t="s">
        <v>179</v>
      </c>
      <c r="I13105" s="1586">
        <v>33.799999999999997</v>
      </c>
      <c r="J13105" s="914">
        <v>11.9</v>
      </c>
      <c r="K13105" s="915">
        <v>16</v>
      </c>
      <c r="L13105" s="552">
        <f>(I13105*J13105*K13105/1000)</f>
        <v>6.4355199999999995</v>
      </c>
      <c r="M13105" s="898"/>
      <c r="N13105" s="898"/>
      <c r="O13105" s="898">
        <f>8+8+8</f>
        <v>24</v>
      </c>
      <c r="P13105" s="898">
        <f t="shared" si="2644"/>
        <v>9.6532800000000005</v>
      </c>
      <c r="R13105" s="126">
        <f t="shared" si="2643"/>
        <v>0</v>
      </c>
    </row>
    <row r="13106" spans="1:22" ht="18">
      <c r="A13106" s="898"/>
      <c r="B13106" s="898"/>
      <c r="C13106" s="898"/>
      <c r="D13106" s="898"/>
      <c r="E13106" s="898"/>
      <c r="F13106" s="898"/>
      <c r="G13106" s="898"/>
      <c r="H13106" s="898"/>
      <c r="I13106" s="1586"/>
      <c r="J13106" s="914"/>
      <c r="K13106" s="915">
        <f>SUM(K13103:K13105)</f>
        <v>260</v>
      </c>
      <c r="L13106" s="914">
        <f t="shared" ref="L13106" si="2645">SUM(L13103:L13105)</f>
        <v>76.482640000000004</v>
      </c>
      <c r="M13106" s="898"/>
      <c r="N13106" s="898"/>
      <c r="O13106" s="915">
        <f>SUM(O13103:O13105)</f>
        <v>120</v>
      </c>
      <c r="P13106" s="914">
        <f t="shared" ref="P13106" si="2646">SUM(P13103:P13105)</f>
        <v>37.883040000000001</v>
      </c>
      <c r="Q13106" s="915">
        <f>SUM(Q13103:Q13105)</f>
        <v>48</v>
      </c>
      <c r="R13106" s="914">
        <f t="shared" ref="R13106" si="2647">SUM(R13103:R13105)</f>
        <v>13.141439999999998</v>
      </c>
    </row>
    <row r="13107" spans="1:22" s="1511" customFormat="1" ht="18">
      <c r="A13107" s="898"/>
      <c r="B13107" s="898"/>
      <c r="C13107" s="898"/>
      <c r="D13107" s="898"/>
      <c r="E13107" s="898"/>
      <c r="F13107" s="898"/>
      <c r="G13107" s="898"/>
      <c r="H13107" s="898"/>
      <c r="I13107" s="1586"/>
      <c r="J13107" s="914"/>
      <c r="K13107" s="915">
        <f>SUM(K13098:K13106)/2</f>
        <v>881</v>
      </c>
      <c r="L13107" s="914">
        <f>SUM(L13098:L13106)/2</f>
        <v>259.37781999999999</v>
      </c>
      <c r="M13107" s="898"/>
      <c r="N13107" s="898"/>
      <c r="O13107" s="898"/>
      <c r="P13107" s="549" t="s">
        <v>1554</v>
      </c>
    </row>
    <row r="13108" spans="1:22" s="1511" customFormat="1" ht="18">
      <c r="A13108" s="898"/>
      <c r="B13108" s="898"/>
      <c r="C13108" s="898"/>
      <c r="D13108" s="898"/>
      <c r="E13108" s="898"/>
      <c r="F13108" s="898"/>
      <c r="G13108" s="898"/>
      <c r="H13108" s="898"/>
      <c r="I13108" s="1586"/>
      <c r="J13108" s="914"/>
      <c r="K13108" s="915"/>
      <c r="L13108" s="914"/>
      <c r="M13108" s="898"/>
      <c r="N13108" s="898"/>
      <c r="O13108" s="898"/>
      <c r="P13108" s="898"/>
    </row>
    <row r="13109" spans="1:22" ht="18">
      <c r="A13109" s="898"/>
      <c r="B13109" s="898"/>
      <c r="C13109" s="898"/>
      <c r="D13109" s="898"/>
      <c r="E13109" s="898"/>
      <c r="F13109" s="898"/>
      <c r="G13109" s="898"/>
      <c r="H13109" s="898"/>
      <c r="I13109" s="920"/>
      <c r="J13109" s="898"/>
      <c r="K13109" s="921"/>
      <c r="L13109" s="920"/>
      <c r="M13109" s="898"/>
      <c r="N13109" s="898"/>
      <c r="O13109" s="898"/>
      <c r="P13109" s="898"/>
    </row>
    <row r="13110" spans="1:22" ht="18">
      <c r="A13110" s="547" t="s">
        <v>83</v>
      </c>
      <c r="B13110" s="547" t="s">
        <v>1455</v>
      </c>
      <c r="C13110" s="547" t="s">
        <v>19</v>
      </c>
      <c r="D13110" s="813" t="s">
        <v>854</v>
      </c>
      <c r="E13110" s="549" t="s">
        <v>367</v>
      </c>
      <c r="F13110" s="550">
        <v>16</v>
      </c>
      <c r="G13110" s="898" t="s">
        <v>21</v>
      </c>
      <c r="H13110" s="1162" t="s">
        <v>178</v>
      </c>
      <c r="I13110" s="1586">
        <v>31.6</v>
      </c>
      <c r="J13110" s="914">
        <v>10.1</v>
      </c>
      <c r="K13110" s="915">
        <v>389</v>
      </c>
      <c r="L13110" s="552">
        <f t="shared" ref="L13110:L13111" si="2648">(I13110*J13110*K13110/1000)</f>
        <v>124.15324000000001</v>
      </c>
      <c r="M13110" s="898">
        <f>7+6</f>
        <v>13</v>
      </c>
      <c r="N13110" s="567">
        <f t="shared" ref="N13110" si="2649">J13110*M13110*I13110/1000</f>
        <v>4.1490799999999997</v>
      </c>
      <c r="O13110" s="898"/>
      <c r="P13110" s="898"/>
      <c r="S13110">
        <f>88+80+32+56</f>
        <v>256</v>
      </c>
      <c r="T13110" s="126">
        <f>J13110*S13110*I13110/1000</f>
        <v>81.70496</v>
      </c>
      <c r="U13110" s="1511" t="s">
        <v>1591</v>
      </c>
    </row>
    <row r="13111" spans="1:22" ht="18">
      <c r="A13111" s="549"/>
      <c r="B13111" s="728" t="s">
        <v>52</v>
      </c>
      <c r="C13111" s="549"/>
      <c r="D13111" s="549"/>
      <c r="E13111" s="549"/>
      <c r="F13111" s="549"/>
      <c r="G13111" s="898" t="s">
        <v>21</v>
      </c>
      <c r="H13111" s="898" t="s">
        <v>178</v>
      </c>
      <c r="I13111" s="1586">
        <v>31.6</v>
      </c>
      <c r="J13111" s="914">
        <v>11.9</v>
      </c>
      <c r="K13111" s="915">
        <v>38</v>
      </c>
      <c r="L13111" s="552">
        <f t="shared" si="2648"/>
        <v>14.28952</v>
      </c>
      <c r="M13111" s="898"/>
      <c r="N13111" s="898"/>
      <c r="O13111" s="898"/>
      <c r="P13111" s="898"/>
      <c r="S13111">
        <f>8+8</f>
        <v>16</v>
      </c>
      <c r="T13111" s="126">
        <f>J13111*S13111*I13111/1000</f>
        <v>6.0166400000000007</v>
      </c>
    </row>
    <row r="13112" spans="1:22" ht="18">
      <c r="A13112" s="898"/>
      <c r="B13112" s="898"/>
      <c r="C13112" s="898"/>
      <c r="D13112" s="898"/>
      <c r="E13112" s="898"/>
      <c r="F13112" s="898"/>
      <c r="G13112" s="898"/>
      <c r="H13112" s="898"/>
      <c r="I13112" s="1586"/>
      <c r="J13112" s="914"/>
      <c r="K13112" s="915">
        <f t="shared" ref="K13112:N13112" si="2650">SUM(K13110:K13111)</f>
        <v>427</v>
      </c>
      <c r="L13112" s="914">
        <f t="shared" si="2650"/>
        <v>138.44276000000002</v>
      </c>
      <c r="M13112" s="915">
        <f t="shared" si="2650"/>
        <v>13</v>
      </c>
      <c r="N13112" s="914">
        <f t="shared" si="2650"/>
        <v>4.1490799999999997</v>
      </c>
      <c r="O13112" s="898"/>
      <c r="P13112" s="549" t="s">
        <v>1555</v>
      </c>
      <c r="S13112" s="915">
        <f t="shared" ref="S13112" si="2651">SUM(S13110:S13111)</f>
        <v>272</v>
      </c>
      <c r="T13112" s="914">
        <f>SUM(T13110:T13111)</f>
        <v>87.721599999999995</v>
      </c>
    </row>
    <row r="13113" spans="1:22" ht="18">
      <c r="A13113" s="898"/>
      <c r="B13113" s="898"/>
      <c r="C13113" s="898"/>
      <c r="D13113" s="898"/>
      <c r="E13113" s="898"/>
      <c r="F13113" s="898"/>
      <c r="G13113" s="898"/>
      <c r="H13113" s="898"/>
      <c r="I13113" s="920"/>
      <c r="J13113" s="898"/>
      <c r="K13113" s="921"/>
      <c r="L13113" s="920"/>
      <c r="M13113" s="898"/>
      <c r="N13113" s="898"/>
      <c r="O13113" s="898"/>
      <c r="P13113" s="898"/>
    </row>
    <row r="13114" spans="1:22" ht="18">
      <c r="A13114" s="898"/>
      <c r="B13114" s="898"/>
      <c r="C13114" s="898"/>
      <c r="D13114" s="898"/>
      <c r="E13114" s="898"/>
      <c r="F13114" s="898"/>
      <c r="G13114" s="898"/>
      <c r="H13114" s="898"/>
      <c r="I13114" s="920"/>
      <c r="J13114" s="898"/>
      <c r="K13114" s="921"/>
      <c r="L13114" s="920"/>
      <c r="M13114" s="898"/>
      <c r="N13114" s="898"/>
      <c r="O13114" s="898"/>
      <c r="P13114" s="898"/>
    </row>
    <row r="13115" spans="1:22" ht="18">
      <c r="A13115" s="547" t="s">
        <v>83</v>
      </c>
      <c r="B13115" s="547" t="s">
        <v>1410</v>
      </c>
      <c r="C13115" s="547" t="s">
        <v>19</v>
      </c>
      <c r="D13115" s="813" t="s">
        <v>854</v>
      </c>
      <c r="E13115" s="549" t="s">
        <v>367</v>
      </c>
      <c r="F13115" s="550">
        <v>16</v>
      </c>
      <c r="G13115" s="898" t="s">
        <v>21</v>
      </c>
      <c r="H13115" s="1162" t="s">
        <v>518</v>
      </c>
      <c r="I13115" s="1586">
        <v>29.5</v>
      </c>
      <c r="J13115" s="914">
        <v>10.9</v>
      </c>
      <c r="K13115" s="915">
        <v>80</v>
      </c>
      <c r="L13115" s="552">
        <f>(I13115*J13115*K13115/1000)</f>
        <v>25.724</v>
      </c>
      <c r="M13115" s="898"/>
      <c r="N13115" s="898"/>
      <c r="O13115" s="898"/>
      <c r="P13115" s="898"/>
      <c r="Q13115" s="497">
        <f>133-53</f>
        <v>80</v>
      </c>
      <c r="R13115" s="126">
        <f t="shared" ref="R13115:R13116" si="2652">J13115*Q13115*I13115/1000</f>
        <v>25.724</v>
      </c>
      <c r="S13115" s="1511" t="s">
        <v>1591</v>
      </c>
    </row>
    <row r="13116" spans="1:22" ht="18">
      <c r="A13116" s="549"/>
      <c r="B13116" s="880" t="s">
        <v>1557</v>
      </c>
      <c r="C13116" s="549"/>
      <c r="D13116" s="549"/>
      <c r="E13116" s="549"/>
      <c r="F13116" s="549"/>
      <c r="G13116" s="898" t="s">
        <v>21</v>
      </c>
      <c r="H13116" s="898" t="s">
        <v>518</v>
      </c>
      <c r="I13116" s="1586">
        <v>29.5</v>
      </c>
      <c r="J13116" s="914">
        <v>11.9</v>
      </c>
      <c r="K13116" s="915">
        <v>8</v>
      </c>
      <c r="L13116" s="552">
        <f>(I13116*J13116*K13116/1000)</f>
        <v>2.8084000000000002</v>
      </c>
      <c r="M13116" s="898"/>
      <c r="N13116" s="898"/>
      <c r="O13116" s="898"/>
      <c r="P13116" s="898"/>
      <c r="Q13116" s="497">
        <f>8</f>
        <v>8</v>
      </c>
      <c r="R13116" s="126">
        <f t="shared" si="2652"/>
        <v>2.8084000000000002</v>
      </c>
    </row>
    <row r="13117" spans="1:22" ht="18">
      <c r="A13117" s="898"/>
      <c r="B13117" s="898"/>
      <c r="C13117" s="898"/>
      <c r="D13117" s="898"/>
      <c r="E13117" s="898"/>
      <c r="F13117" s="898"/>
      <c r="G13117" s="898"/>
      <c r="H13117" s="898"/>
      <c r="I13117" s="1586"/>
      <c r="J13117" s="914"/>
      <c r="K13117" s="915">
        <f t="shared" ref="K13117" si="2653">SUM(K13115:K13116)</f>
        <v>88</v>
      </c>
      <c r="L13117" s="914">
        <f>SUM(L13115:L13116)</f>
        <v>28.532399999999999</v>
      </c>
      <c r="M13117" s="898"/>
      <c r="N13117" s="898"/>
      <c r="O13117" s="898"/>
      <c r="P13117" s="898"/>
      <c r="Q13117" s="915">
        <f t="shared" ref="Q13117" si="2654">SUM(Q13115:Q13116)</f>
        <v>88</v>
      </c>
      <c r="R13117" s="914">
        <f>SUM(R13115:R13116)</f>
        <v>28.532399999999999</v>
      </c>
    </row>
    <row r="13118" spans="1:22" s="1511" customFormat="1" ht="18">
      <c r="A13118" s="898"/>
      <c r="B13118" s="898"/>
      <c r="C13118" s="898"/>
      <c r="D13118" s="898"/>
      <c r="E13118" s="898"/>
      <c r="F13118" s="898"/>
      <c r="G13118" s="898"/>
      <c r="H13118" s="898"/>
      <c r="I13118" s="1586"/>
      <c r="J13118" s="914"/>
      <c r="K13118" s="915"/>
      <c r="L13118" s="914"/>
      <c r="M13118" s="898"/>
      <c r="N13118" s="898"/>
      <c r="O13118" s="898"/>
      <c r="P13118" s="898"/>
    </row>
    <row r="13119" spans="1:22" ht="18">
      <c r="A13119" s="547" t="s">
        <v>83</v>
      </c>
      <c r="B13119" s="547" t="s">
        <v>1455</v>
      </c>
      <c r="C13119" s="547" t="s">
        <v>19</v>
      </c>
      <c r="D13119" s="813" t="s">
        <v>854</v>
      </c>
      <c r="E13119" s="549" t="s">
        <v>367</v>
      </c>
      <c r="F13119" s="550">
        <v>16</v>
      </c>
      <c r="G13119" s="898" t="s">
        <v>21</v>
      </c>
      <c r="H13119" s="1162" t="s">
        <v>518</v>
      </c>
      <c r="I13119" s="1586">
        <v>29.5</v>
      </c>
      <c r="J13119" s="914">
        <v>10.9</v>
      </c>
      <c r="K13119" s="915">
        <v>198</v>
      </c>
      <c r="L13119" s="552">
        <f>(I13119*J13119*K13119/1000)</f>
        <v>63.666899999999998</v>
      </c>
      <c r="M13119" s="898"/>
      <c r="N13119" s="898"/>
      <c r="O13119" s="898"/>
      <c r="P13119" s="898"/>
      <c r="Q13119" s="497">
        <v>53</v>
      </c>
      <c r="R13119" s="126">
        <f t="shared" ref="R13119:R13120" si="2655">J13119*Q13119*I13119/1000</f>
        <v>17.042150000000003</v>
      </c>
      <c r="S13119" s="1511" t="s">
        <v>1591</v>
      </c>
      <c r="U13119">
        <f>9+7+8+8</f>
        <v>32</v>
      </c>
      <c r="V13119" s="126">
        <f>J13119*U13119*I13119/1000</f>
        <v>10.2896</v>
      </c>
    </row>
    <row r="13120" spans="1:22" ht="18">
      <c r="A13120" s="549"/>
      <c r="B13120" s="728" t="s">
        <v>52</v>
      </c>
      <c r="C13120" s="549"/>
      <c r="D13120" s="549"/>
      <c r="E13120" s="549"/>
      <c r="F13120" s="549"/>
      <c r="G13120" s="898" t="s">
        <v>21</v>
      </c>
      <c r="H13120" s="898" t="s">
        <v>518</v>
      </c>
      <c r="I13120" s="1586">
        <v>29.5</v>
      </c>
      <c r="J13120" s="914">
        <v>11.9</v>
      </c>
      <c r="K13120" s="915">
        <v>16</v>
      </c>
      <c r="L13120" s="552">
        <f>(I13120*J13120*K13120/1000)</f>
        <v>5.6168000000000005</v>
      </c>
      <c r="M13120" s="898"/>
      <c r="N13120" s="898"/>
      <c r="O13120" s="898"/>
      <c r="P13120" s="898"/>
      <c r="Q13120" s="497">
        <v>8</v>
      </c>
      <c r="R13120" s="126">
        <f t="shared" si="2655"/>
        <v>2.8084000000000002</v>
      </c>
      <c r="U13120">
        <v>5</v>
      </c>
      <c r="V13120" s="126">
        <f>J13120*U13120*I13120/1000</f>
        <v>1.75525</v>
      </c>
    </row>
    <row r="13121" spans="1:22" ht="18">
      <c r="A13121" s="898"/>
      <c r="B13121" s="898"/>
      <c r="C13121" s="898"/>
      <c r="D13121" s="898"/>
      <c r="E13121" s="898"/>
      <c r="F13121" s="898"/>
      <c r="G13121" s="898"/>
      <c r="H13121" s="898"/>
      <c r="I13121" s="1586"/>
      <c r="J13121" s="914"/>
      <c r="K13121" s="915">
        <f>SUM(K13119:K13120)</f>
        <v>214</v>
      </c>
      <c r="L13121" s="914">
        <f>SUM(L13119:L13120)</f>
        <v>69.283699999999996</v>
      </c>
      <c r="M13121" s="898"/>
      <c r="N13121" s="898"/>
      <c r="O13121" s="898"/>
      <c r="P13121" s="898"/>
      <c r="Q13121" s="915">
        <f>SUM(Q13119:Q13120)</f>
        <v>61</v>
      </c>
      <c r="R13121" s="914">
        <f>SUM(R13119:R13120)</f>
        <v>19.850550000000002</v>
      </c>
      <c r="U13121" s="915">
        <f>SUM(U13119:U13120)</f>
        <v>37</v>
      </c>
      <c r="V13121" s="914">
        <f>SUM(V13119:V13120)</f>
        <v>12.04485</v>
      </c>
    </row>
    <row r="13122" spans="1:22" ht="18">
      <c r="A13122" s="898"/>
      <c r="B13122" s="898"/>
      <c r="C13122" s="898"/>
      <c r="D13122" s="898"/>
      <c r="E13122" s="898"/>
      <c r="F13122" s="898"/>
      <c r="G13122" s="898"/>
      <c r="H13122" s="898"/>
      <c r="I13122" s="920"/>
      <c r="J13122" s="898"/>
      <c r="K13122" s="730">
        <f>SUM(K13115:K13121)/2</f>
        <v>302</v>
      </c>
      <c r="L13122" s="782">
        <f>SUM(L13115:L13121)/2</f>
        <v>97.816099999999992</v>
      </c>
      <c r="M13122" s="730">
        <f>SUM(M13115:M13121)/2</f>
        <v>0</v>
      </c>
      <c r="N13122" s="782">
        <f>SUM(N13115:N13121)/2</f>
        <v>0</v>
      </c>
      <c r="O13122" s="898"/>
      <c r="P13122" s="549" t="s">
        <v>1556</v>
      </c>
    </row>
    <row r="13123" spans="1:22" s="1511" customFormat="1" ht="18">
      <c r="A13123" s="898"/>
      <c r="B13123" s="898"/>
      <c r="C13123" s="898"/>
      <c r="D13123" s="898"/>
      <c r="E13123" s="898"/>
      <c r="F13123" s="898"/>
      <c r="G13123" s="898"/>
      <c r="H13123" s="898"/>
      <c r="I13123" s="920"/>
      <c r="J13123" s="898"/>
      <c r="K13123" s="730"/>
      <c r="L13123" s="782"/>
      <c r="M13123" s="730"/>
      <c r="N13123" s="782"/>
      <c r="O13123" s="898"/>
      <c r="P13123" s="549"/>
    </row>
    <row r="13124" spans="1:22" s="1737" customFormat="1" ht="18">
      <c r="A13124" s="852" t="s">
        <v>272</v>
      </c>
      <c r="B13124" s="852" t="s">
        <v>1365</v>
      </c>
      <c r="C13124" s="852" t="s">
        <v>19</v>
      </c>
      <c r="D13124" s="998" t="s">
        <v>854</v>
      </c>
      <c r="E13124" s="852" t="s">
        <v>359</v>
      </c>
      <c r="F13124" s="599">
        <v>16</v>
      </c>
      <c r="G13124" s="1162" t="s">
        <v>21</v>
      </c>
      <c r="H13124" s="1162" t="s">
        <v>177</v>
      </c>
      <c r="I13124" s="1897">
        <v>27.29</v>
      </c>
      <c r="J13124" s="1703">
        <v>9.5</v>
      </c>
      <c r="K13124" s="1164">
        <v>10</v>
      </c>
      <c r="L13124" s="734">
        <f>(I13124*J13124*K13124/1000)</f>
        <v>2.5925500000000001</v>
      </c>
      <c r="M13124" s="1697"/>
      <c r="N13124" s="1698"/>
      <c r="O13124" s="1162"/>
      <c r="P13124" s="599"/>
    </row>
    <row r="13125" spans="1:22" s="1737" customFormat="1" ht="18">
      <c r="A13125" s="599"/>
      <c r="B13125" s="1162" t="s">
        <v>1576</v>
      </c>
      <c r="C13125" s="599"/>
      <c r="D13125" s="599"/>
      <c r="E13125" s="599"/>
      <c r="F13125" s="599"/>
      <c r="G13125" s="1162" t="s">
        <v>21</v>
      </c>
      <c r="H13125" s="1162" t="s">
        <v>177</v>
      </c>
      <c r="I13125" s="1897">
        <v>27.29</v>
      </c>
      <c r="J13125" s="1703">
        <v>10</v>
      </c>
      <c r="K13125" s="1164">
        <v>1</v>
      </c>
      <c r="L13125" s="734">
        <f>(I13125*J13125*K13125/1000)</f>
        <v>0.27289999999999998</v>
      </c>
      <c r="M13125" s="1697"/>
      <c r="N13125" s="1698"/>
      <c r="O13125" s="1162"/>
      <c r="P13125" s="599"/>
    </row>
    <row r="13126" spans="1:22" s="1737" customFormat="1" ht="18">
      <c r="A13126" s="599"/>
      <c r="B13126" s="599"/>
      <c r="C13126" s="599"/>
      <c r="D13126" s="599"/>
      <c r="E13126" s="599"/>
      <c r="F13126" s="599"/>
      <c r="G13126" s="1162"/>
      <c r="H13126" s="1162"/>
      <c r="I13126" s="1897"/>
      <c r="J13126" s="1703"/>
      <c r="K13126" s="1164">
        <f>SUM(K13124:K13125)</f>
        <v>11</v>
      </c>
      <c r="L13126" s="1703">
        <f>SUM(L13124:L13125)</f>
        <v>2.8654500000000001</v>
      </c>
      <c r="M13126" s="1164">
        <f>SUM(M13124:M13125)</f>
        <v>0</v>
      </c>
      <c r="N13126" s="1703">
        <f>SUM(N13124:N13125)</f>
        <v>0</v>
      </c>
      <c r="O13126" s="1162"/>
      <c r="P13126" s="599"/>
    </row>
    <row r="13127" spans="1:22" s="1511" customFormat="1" ht="18">
      <c r="A13127" s="898"/>
      <c r="B13127" s="898"/>
      <c r="C13127" s="898"/>
      <c r="D13127" s="898"/>
      <c r="E13127" s="898"/>
      <c r="F13127" s="898"/>
      <c r="G13127" s="898"/>
      <c r="H13127" s="898"/>
      <c r="I13127" s="920"/>
      <c r="J13127" s="898"/>
      <c r="K13127" s="730"/>
      <c r="L13127" s="782"/>
      <c r="M13127" s="730"/>
      <c r="N13127" s="782"/>
      <c r="O13127" s="898"/>
      <c r="P13127" s="549"/>
    </row>
    <row r="13128" spans="1:22" s="1511" customFormat="1" ht="18">
      <c r="A13128" s="1162"/>
      <c r="B13128" s="1162"/>
      <c r="C13128" s="1162"/>
      <c r="D13128" s="1162"/>
      <c r="E13128" s="1162"/>
      <c r="F13128" s="1162"/>
      <c r="G13128" s="1162"/>
      <c r="H13128" s="1162"/>
      <c r="I13128" s="1696"/>
      <c r="J13128" s="1162"/>
      <c r="K13128" s="1697"/>
      <c r="L13128" s="1698"/>
      <c r="M13128" s="1697"/>
      <c r="N13128" s="1698"/>
      <c r="O13128" s="1162"/>
      <c r="P13128" s="599"/>
    </row>
    <row r="13129" spans="1:22" s="1511" customFormat="1" ht="17.399999999999999">
      <c r="A13129" s="852" t="s">
        <v>83</v>
      </c>
      <c r="B13129" s="852" t="s">
        <v>1559</v>
      </c>
      <c r="C13129" s="852" t="s">
        <v>19</v>
      </c>
      <c r="D13129" s="998" t="s">
        <v>854</v>
      </c>
      <c r="E13129" s="599" t="s">
        <v>464</v>
      </c>
      <c r="F13129" s="599">
        <v>16</v>
      </c>
      <c r="G13129" s="599" t="s">
        <v>21</v>
      </c>
      <c r="H13129" s="599" t="s">
        <v>179</v>
      </c>
      <c r="I13129" s="853">
        <v>33.799999999999997</v>
      </c>
      <c r="J13129" s="1699">
        <v>12</v>
      </c>
      <c r="K13129" s="733">
        <v>10</v>
      </c>
      <c r="L13129" s="734">
        <f>(I13129*J13129*K13129/1000)</f>
        <v>4.0559999999999992</v>
      </c>
      <c r="M13129" s="1574"/>
      <c r="N13129" s="1416"/>
      <c r="O13129" s="599"/>
      <c r="P13129" s="599"/>
    </row>
    <row r="13130" spans="1:22" s="1511" customFormat="1" ht="17.399999999999999">
      <c r="A13130" s="599"/>
      <c r="B13130" s="599" t="s">
        <v>439</v>
      </c>
      <c r="C13130" s="599"/>
      <c r="D13130" s="599"/>
      <c r="E13130" s="599"/>
      <c r="F13130" s="599"/>
      <c r="G13130" s="599" t="s">
        <v>21</v>
      </c>
      <c r="H13130" s="599" t="s">
        <v>179</v>
      </c>
      <c r="I13130" s="853">
        <v>33.799999999999997</v>
      </c>
      <c r="J13130" s="1699">
        <v>11.4</v>
      </c>
      <c r="K13130" s="733">
        <v>82</v>
      </c>
      <c r="L13130" s="734">
        <f>(I13130*J13130*K13130/1000)</f>
        <v>31.596239999999998</v>
      </c>
      <c r="M13130" s="1574"/>
      <c r="N13130" s="1416"/>
      <c r="O13130" s="599"/>
      <c r="P13130" s="599"/>
    </row>
    <row r="13131" spans="1:22" s="1511" customFormat="1" ht="17.399999999999999">
      <c r="A13131" s="599"/>
      <c r="B13131" s="599"/>
      <c r="C13131" s="599"/>
      <c r="D13131" s="599"/>
      <c r="E13131" s="599"/>
      <c r="F13131" s="599"/>
      <c r="G13131" s="599"/>
      <c r="H13131" s="599"/>
      <c r="I13131" s="853"/>
      <c r="J13131" s="1699"/>
      <c r="K13131" s="733">
        <f>SUM(K13129:K13130)</f>
        <v>92</v>
      </c>
      <c r="L13131" s="732">
        <f>SUM(L13129:L13130)</f>
        <v>35.652239999999999</v>
      </c>
      <c r="M13131" s="1574"/>
      <c r="N13131" s="1416"/>
      <c r="O13131" s="599"/>
      <c r="P13131" s="599" t="s">
        <v>1580</v>
      </c>
    </row>
    <row r="13132" spans="1:22" s="1511" customFormat="1" ht="17.399999999999999">
      <c r="A13132" s="599"/>
      <c r="B13132" s="599"/>
      <c r="C13132" s="599"/>
      <c r="D13132" s="599"/>
      <c r="E13132" s="599"/>
      <c r="F13132" s="599"/>
      <c r="G13132" s="599"/>
      <c r="H13132" s="599"/>
      <c r="I13132" s="853"/>
      <c r="J13132" s="1699"/>
      <c r="K13132" s="733"/>
      <c r="L13132" s="732"/>
      <c r="M13132" s="1574"/>
      <c r="N13132" s="1416"/>
      <c r="O13132" s="599"/>
      <c r="P13132" s="599"/>
    </row>
    <row r="13133" spans="1:22" s="1511" customFormat="1" ht="17.399999999999999">
      <c r="A13133" s="599"/>
      <c r="B13133" s="599"/>
      <c r="C13133" s="599"/>
      <c r="D13133" s="599"/>
      <c r="E13133" s="599"/>
      <c r="F13133" s="599"/>
      <c r="G13133" s="599"/>
      <c r="H13133" s="599"/>
      <c r="I13133" s="853"/>
      <c r="J13133" s="1699"/>
      <c r="K13133" s="733"/>
      <c r="L13133" s="732"/>
      <c r="M13133" s="1574"/>
      <c r="N13133" s="1416"/>
      <c r="O13133" s="599"/>
      <c r="P13133" s="599"/>
    </row>
    <row r="13134" spans="1:22" s="1511" customFormat="1" ht="17.399999999999999">
      <c r="A13134" s="852" t="s">
        <v>83</v>
      </c>
      <c r="B13134" s="852" t="s">
        <v>1559</v>
      </c>
      <c r="C13134" s="852" t="s">
        <v>19</v>
      </c>
      <c r="D13134" s="998" t="s">
        <v>854</v>
      </c>
      <c r="E13134" s="599" t="s">
        <v>464</v>
      </c>
      <c r="F13134" s="599">
        <v>16</v>
      </c>
      <c r="G13134" s="599" t="s">
        <v>21</v>
      </c>
      <c r="H13134" s="599" t="s">
        <v>178</v>
      </c>
      <c r="I13134" s="853">
        <v>31.6</v>
      </c>
      <c r="J13134" s="1699">
        <v>11.6</v>
      </c>
      <c r="K13134" s="733">
        <v>12</v>
      </c>
      <c r="L13134" s="734">
        <f t="shared" ref="L13134:L13136" si="2656">(I13134*J13134*K13134/1000)</f>
        <v>4.39872</v>
      </c>
      <c r="M13134" s="1574"/>
      <c r="N13134" s="1416"/>
      <c r="O13134" s="599"/>
      <c r="P13134" s="599"/>
    </row>
    <row r="13135" spans="1:22" s="1511" customFormat="1" ht="17.399999999999999">
      <c r="A13135" s="599"/>
      <c r="B13135" s="599" t="s">
        <v>439</v>
      </c>
      <c r="C13135" s="599"/>
      <c r="D13135" s="599"/>
      <c r="E13135" s="599"/>
      <c r="F13135" s="599"/>
      <c r="G13135" s="599" t="s">
        <v>21</v>
      </c>
      <c r="H13135" s="599" t="s">
        <v>178</v>
      </c>
      <c r="I13135" s="853">
        <v>31.6</v>
      </c>
      <c r="J13135" s="1699">
        <v>10.3</v>
      </c>
      <c r="K13135" s="733">
        <v>8</v>
      </c>
      <c r="L13135" s="734">
        <f t="shared" si="2656"/>
        <v>2.6038399999999999</v>
      </c>
      <c r="M13135" s="1574"/>
      <c r="N13135" s="1416"/>
      <c r="O13135" s="599"/>
      <c r="P13135" s="599"/>
    </row>
    <row r="13136" spans="1:22" s="1511" customFormat="1" ht="17.399999999999999">
      <c r="A13136" s="599"/>
      <c r="B13136" s="599"/>
      <c r="C13136" s="599"/>
      <c r="D13136" s="599"/>
      <c r="E13136" s="599"/>
      <c r="F13136" s="599"/>
      <c r="G13136" s="599" t="s">
        <v>21</v>
      </c>
      <c r="H13136" s="599" t="s">
        <v>178</v>
      </c>
      <c r="I13136" s="853">
        <v>31.6</v>
      </c>
      <c r="J13136" s="1699">
        <v>9.6999999999999993</v>
      </c>
      <c r="K13136" s="733">
        <v>6</v>
      </c>
      <c r="L13136" s="734">
        <f t="shared" si="2656"/>
        <v>1.8391199999999999</v>
      </c>
      <c r="M13136" s="1574">
        <f>2+3</f>
        <v>5</v>
      </c>
      <c r="N13136" s="1416">
        <f>J13136*M13136*I13136/1000</f>
        <v>1.5326000000000002</v>
      </c>
      <c r="O13136" s="599"/>
      <c r="P13136" s="599"/>
    </row>
    <row r="13137" spans="1:16" s="1511" customFormat="1" ht="17.399999999999999">
      <c r="A13137" s="599"/>
      <c r="B13137" s="599"/>
      <c r="C13137" s="599"/>
      <c r="D13137" s="599"/>
      <c r="E13137" s="599"/>
      <c r="F13137" s="599"/>
      <c r="G13137" s="599"/>
      <c r="H13137" s="599"/>
      <c r="I13137" s="853"/>
      <c r="J13137" s="1699"/>
      <c r="K13137" s="733">
        <f>SUM(K13134:K13136)</f>
        <v>26</v>
      </c>
      <c r="L13137" s="732">
        <f>SUM(L13134:L13136)</f>
        <v>8.8416800000000002</v>
      </c>
      <c r="M13137" s="733">
        <f>SUM(M13134:M13136)</f>
        <v>5</v>
      </c>
      <c r="N13137" s="732">
        <f>SUM(N13134:N13136)</f>
        <v>1.5326000000000002</v>
      </c>
      <c r="O13137" s="599"/>
      <c r="P13137" s="599" t="s">
        <v>1579</v>
      </c>
    </row>
    <row r="13138" spans="1:16" s="1511" customFormat="1" ht="17.399999999999999">
      <c r="A13138" s="599"/>
      <c r="B13138" s="599"/>
      <c r="C13138" s="599"/>
      <c r="D13138" s="599"/>
      <c r="E13138" s="599"/>
      <c r="F13138" s="599"/>
      <c r="G13138" s="599"/>
      <c r="H13138" s="599"/>
      <c r="I13138" s="853"/>
      <c r="J13138" s="1699"/>
      <c r="K13138" s="733"/>
      <c r="L13138" s="732"/>
      <c r="M13138" s="1574"/>
      <c r="N13138" s="1416"/>
      <c r="O13138" s="599"/>
      <c r="P13138" s="599"/>
    </row>
    <row r="13139" spans="1:16" s="1511" customFormat="1" ht="17.399999999999999">
      <c r="A13139" s="599"/>
      <c r="B13139" s="599"/>
      <c r="C13139" s="599"/>
      <c r="D13139" s="599"/>
      <c r="E13139" s="599"/>
      <c r="F13139" s="599"/>
      <c r="G13139" s="599"/>
      <c r="H13139" s="599"/>
      <c r="I13139" s="853"/>
      <c r="J13139" s="599"/>
      <c r="K13139" s="1574"/>
      <c r="L13139" s="1416"/>
      <c r="M13139" s="1574"/>
      <c r="N13139" s="1416"/>
      <c r="O13139" s="599"/>
      <c r="P13139" s="599"/>
    </row>
    <row r="13140" spans="1:16" s="1511" customFormat="1" ht="17.399999999999999">
      <c r="A13140" s="599"/>
      <c r="B13140" s="1700"/>
      <c r="C13140" s="599"/>
      <c r="D13140" s="599"/>
      <c r="E13140" s="599"/>
      <c r="F13140" s="599"/>
      <c r="G13140" s="599"/>
      <c r="H13140" s="599"/>
      <c r="I13140" s="1699"/>
      <c r="J13140" s="732"/>
      <c r="K13140" s="733"/>
      <c r="L13140" s="732"/>
      <c r="M13140" s="1574"/>
      <c r="N13140" s="1416"/>
      <c r="O13140" s="599"/>
      <c r="P13140" s="599"/>
    </row>
    <row r="13141" spans="1:16" s="1511" customFormat="1" ht="17.399999999999999">
      <c r="A13141" s="852" t="s">
        <v>83</v>
      </c>
      <c r="B13141" s="852" t="s">
        <v>1559</v>
      </c>
      <c r="C13141" s="852" t="s">
        <v>19</v>
      </c>
      <c r="D13141" s="998" t="s">
        <v>854</v>
      </c>
      <c r="E13141" s="599" t="s">
        <v>464</v>
      </c>
      <c r="F13141" s="599">
        <v>16</v>
      </c>
      <c r="G13141" s="599" t="s">
        <v>21</v>
      </c>
      <c r="H13141" s="599" t="s">
        <v>177</v>
      </c>
      <c r="I13141" s="853">
        <v>27.3</v>
      </c>
      <c r="J13141" s="1699">
        <v>12</v>
      </c>
      <c r="K13141" s="733">
        <v>16</v>
      </c>
      <c r="L13141" s="734">
        <f t="shared" ref="L13141:L13143" si="2657">(I13141*J13141*K13141/1000)</f>
        <v>5.2416</v>
      </c>
      <c r="M13141" s="1574">
        <v>2</v>
      </c>
      <c r="N13141" s="1416">
        <f t="shared" ref="N13141:N13143" si="2658">J13141*M13141*I13141/1000</f>
        <v>0.6552</v>
      </c>
      <c r="O13141" s="599"/>
      <c r="P13141" s="599"/>
    </row>
    <row r="13142" spans="1:16" s="1511" customFormat="1" ht="17.399999999999999">
      <c r="A13142" s="599"/>
      <c r="B13142" s="599" t="s">
        <v>439</v>
      </c>
      <c r="C13142" s="599"/>
      <c r="D13142" s="599"/>
      <c r="E13142" s="599"/>
      <c r="F13142" s="599"/>
      <c r="G13142" s="599" t="s">
        <v>21</v>
      </c>
      <c r="H13142" s="599" t="s">
        <v>177</v>
      </c>
      <c r="I13142" s="853">
        <v>27.3</v>
      </c>
      <c r="J13142" s="1699">
        <v>9.8000000000000007</v>
      </c>
      <c r="K13142" s="733">
        <v>14</v>
      </c>
      <c r="L13142" s="734">
        <f t="shared" si="2657"/>
        <v>3.7455600000000002</v>
      </c>
      <c r="M13142" s="1574"/>
      <c r="N13142" s="1416">
        <f t="shared" si="2658"/>
        <v>0</v>
      </c>
      <c r="O13142" s="599"/>
      <c r="P13142" s="599"/>
    </row>
    <row r="13143" spans="1:16" s="1511" customFormat="1" ht="17.399999999999999">
      <c r="A13143" s="599"/>
      <c r="B13143" s="599"/>
      <c r="C13143" s="599"/>
      <c r="D13143" s="599"/>
      <c r="E13143" s="599"/>
      <c r="F13143" s="599"/>
      <c r="G13143" s="599" t="s">
        <v>21</v>
      </c>
      <c r="H13143" s="599" t="s">
        <v>177</v>
      </c>
      <c r="I13143" s="853">
        <v>27.3</v>
      </c>
      <c r="J13143" s="1699">
        <v>7.3</v>
      </c>
      <c r="K13143" s="733">
        <v>9</v>
      </c>
      <c r="L13143" s="734">
        <f t="shared" si="2657"/>
        <v>1.7936099999999999</v>
      </c>
      <c r="M13143" s="1574">
        <f>6+3</f>
        <v>9</v>
      </c>
      <c r="N13143" s="1416">
        <f t="shared" si="2658"/>
        <v>1.7936100000000001</v>
      </c>
      <c r="O13143" s="599"/>
      <c r="P13143" s="599"/>
    </row>
    <row r="13144" spans="1:16" s="1511" customFormat="1" ht="17.399999999999999">
      <c r="A13144" s="599"/>
      <c r="B13144" s="599"/>
      <c r="C13144" s="599"/>
      <c r="D13144" s="599"/>
      <c r="E13144" s="599"/>
      <c r="F13144" s="599"/>
      <c r="G13144" s="599"/>
      <c r="H13144" s="599"/>
      <c r="I13144" s="853"/>
      <c r="J13144" s="1699"/>
      <c r="K13144" s="733">
        <f>SUM(K13141:K13143)</f>
        <v>39</v>
      </c>
      <c r="L13144" s="732">
        <f>SUM(L13141:L13143)</f>
        <v>10.780769999999999</v>
      </c>
      <c r="M13144" s="733">
        <f>SUM(M13141:M13143)</f>
        <v>11</v>
      </c>
      <c r="N13144" s="732">
        <f>SUM(N13141:N13143)</f>
        <v>2.4488099999999999</v>
      </c>
      <c r="O13144" s="599"/>
      <c r="P13144" s="599" t="s">
        <v>1578</v>
      </c>
    </row>
    <row r="13145" spans="1:16" s="1511" customFormat="1" ht="17.399999999999999">
      <c r="A13145" s="599"/>
      <c r="B13145" s="599"/>
      <c r="C13145" s="599"/>
      <c r="D13145" s="599"/>
      <c r="E13145" s="599"/>
      <c r="F13145" s="599"/>
      <c r="G13145" s="599"/>
      <c r="H13145" s="599"/>
      <c r="I13145" s="853"/>
      <c r="J13145" s="1699"/>
      <c r="K13145" s="733"/>
      <c r="L13145" s="732"/>
      <c r="M13145" s="1574"/>
      <c r="N13145" s="1416"/>
      <c r="O13145" s="599"/>
      <c r="P13145" s="599"/>
    </row>
    <row r="13146" spans="1:16" s="1511" customFormat="1" ht="18">
      <c r="A13146" s="852" t="s">
        <v>272</v>
      </c>
      <c r="B13146" s="852" t="s">
        <v>1575</v>
      </c>
      <c r="C13146" s="852" t="s">
        <v>19</v>
      </c>
      <c r="D13146" s="998" t="s">
        <v>854</v>
      </c>
      <c r="E13146" s="852" t="s">
        <v>1028</v>
      </c>
      <c r="F13146" s="599">
        <v>16</v>
      </c>
      <c r="G13146" s="599" t="s">
        <v>21</v>
      </c>
      <c r="H13146" s="599" t="s">
        <v>177</v>
      </c>
      <c r="I13146" s="853">
        <v>27.3</v>
      </c>
      <c r="J13146" s="1701">
        <v>7.3</v>
      </c>
      <c r="K13146" s="1702">
        <v>1</v>
      </c>
      <c r="L13146" s="734">
        <f>(I13146*J13146*K13146/1000)</f>
        <v>0.19928999999999999</v>
      </c>
      <c r="M13146" s="1697">
        <v>1</v>
      </c>
      <c r="N13146" s="1416">
        <f t="shared" ref="N13146" si="2659">J13146*M13146*I13146/1000</f>
        <v>0.19928999999999999</v>
      </c>
      <c r="O13146" s="1162"/>
      <c r="P13146" s="599"/>
    </row>
    <row r="13147" spans="1:16" s="1511" customFormat="1" ht="18">
      <c r="A13147" s="599"/>
      <c r="B13147" s="1700" t="s">
        <v>1027</v>
      </c>
      <c r="C13147" s="599"/>
      <c r="D13147" s="599"/>
      <c r="E13147" s="599"/>
      <c r="F13147" s="599"/>
      <c r="G13147" s="599"/>
      <c r="H13147" s="599"/>
      <c r="I13147" s="1699"/>
      <c r="J13147" s="732"/>
      <c r="K13147" s="733">
        <f>SUM(K13146:K13146)</f>
        <v>1</v>
      </c>
      <c r="L13147" s="732">
        <f>SUM(L13146:L13146)</f>
        <v>0.19928999999999999</v>
      </c>
      <c r="M13147" s="733">
        <f>SUM(M13146:M13146)</f>
        <v>1</v>
      </c>
      <c r="N13147" s="732">
        <f>SUM(N13146:N13146)</f>
        <v>0.19928999999999999</v>
      </c>
      <c r="O13147" s="1162"/>
      <c r="P13147" s="599"/>
    </row>
    <row r="13148" spans="1:16" s="1511" customFormat="1" ht="18">
      <c r="A13148" s="599"/>
      <c r="B13148" s="599"/>
      <c r="C13148" s="599"/>
      <c r="D13148" s="599"/>
      <c r="E13148" s="599"/>
      <c r="F13148" s="599"/>
      <c r="G13148" s="599"/>
      <c r="H13148" s="599"/>
      <c r="I13148" s="1699"/>
      <c r="J13148" s="732"/>
      <c r="K13148" s="733">
        <f>SUM(K13141:K13147)/2</f>
        <v>40</v>
      </c>
      <c r="L13148" s="732">
        <f>SUM(L13141:L13147)/2</f>
        <v>10.98006</v>
      </c>
      <c r="M13148" s="733">
        <f>SUM(M13141:M13147)/2</f>
        <v>12</v>
      </c>
      <c r="N13148" s="732">
        <f>SUM(N13141:N13147)/2</f>
        <v>2.6481000000000003</v>
      </c>
      <c r="O13148" s="1162"/>
      <c r="P13148" s="599"/>
    </row>
    <row r="13149" spans="1:16" s="1511" customFormat="1" ht="18">
      <c r="A13149" s="599"/>
      <c r="B13149" s="599"/>
      <c r="C13149" s="599"/>
      <c r="D13149" s="599"/>
      <c r="E13149" s="599"/>
      <c r="F13149" s="599"/>
      <c r="G13149" s="599"/>
      <c r="H13149" s="599"/>
      <c r="I13149" s="1699"/>
      <c r="J13149" s="732"/>
      <c r="K13149" s="733"/>
      <c r="L13149" s="732"/>
      <c r="M13149" s="733"/>
      <c r="N13149" s="732"/>
      <c r="O13149" s="1162"/>
      <c r="P13149" s="599"/>
    </row>
    <row r="13150" spans="1:16" s="1511" customFormat="1" ht="18">
      <c r="A13150" s="599"/>
      <c r="B13150" s="599"/>
      <c r="C13150" s="599"/>
      <c r="D13150" s="599"/>
      <c r="E13150" s="599"/>
      <c r="F13150" s="599"/>
      <c r="G13150" s="599"/>
      <c r="H13150" s="599"/>
      <c r="I13150" s="1699"/>
      <c r="J13150" s="732"/>
      <c r="K13150" s="733"/>
      <c r="L13150" s="732"/>
      <c r="M13150" s="1697"/>
      <c r="N13150" s="1698"/>
      <c r="O13150" s="1162"/>
      <c r="P13150" s="599"/>
    </row>
    <row r="13151" spans="1:16" s="1511" customFormat="1" ht="17.399999999999999">
      <c r="A13151" s="852" t="s">
        <v>272</v>
      </c>
      <c r="B13151" s="852" t="s">
        <v>1562</v>
      </c>
      <c r="C13151" s="852" t="s">
        <v>19</v>
      </c>
      <c r="D13151" s="998" t="s">
        <v>854</v>
      </c>
      <c r="E13151" s="852" t="s">
        <v>359</v>
      </c>
      <c r="F13151" s="599">
        <v>16</v>
      </c>
      <c r="G13151" s="599" t="s">
        <v>21</v>
      </c>
      <c r="H13151" s="599" t="s">
        <v>176</v>
      </c>
      <c r="I13151" s="1699">
        <v>22.93</v>
      </c>
      <c r="J13151" s="732">
        <v>10</v>
      </c>
      <c r="K13151" s="733">
        <v>1</v>
      </c>
      <c r="L13151" s="734">
        <f>(I13151*J13151*K13151/1000)</f>
        <v>0.2293</v>
      </c>
      <c r="M13151" s="1574">
        <v>1</v>
      </c>
      <c r="N13151" s="1416">
        <f>J13151*M13151*I13151/1000</f>
        <v>0.2293</v>
      </c>
      <c r="O13151" s="599"/>
      <c r="P13151" s="599"/>
    </row>
    <row r="13152" spans="1:16" s="1511" customFormat="1" ht="17.399999999999999">
      <c r="A13152" s="599"/>
      <c r="B13152" s="1700" t="s">
        <v>1027</v>
      </c>
      <c r="C13152" s="599"/>
      <c r="D13152" s="599"/>
      <c r="E13152" s="599"/>
      <c r="F13152" s="599"/>
      <c r="G13152" s="599"/>
      <c r="H13152" s="599"/>
      <c r="I13152" s="1699"/>
      <c r="J13152" s="732"/>
      <c r="K13152" s="733">
        <f>SUM(K13151:K13151)</f>
        <v>1</v>
      </c>
      <c r="L13152" s="732">
        <f>SUM(L13151:L13151)</f>
        <v>0.2293</v>
      </c>
      <c r="M13152" s="733">
        <f>SUM(M13151:M13151)</f>
        <v>1</v>
      </c>
      <c r="N13152" s="732">
        <f>SUM(N13151:N13151)</f>
        <v>0.2293</v>
      </c>
      <c r="O13152" s="599"/>
      <c r="P13152" s="599"/>
    </row>
    <row r="13153" spans="1:16" s="1511" customFormat="1" ht="17.399999999999999">
      <c r="A13153" s="599"/>
      <c r="B13153" s="1700"/>
      <c r="C13153" s="599"/>
      <c r="D13153" s="599"/>
      <c r="E13153" s="599"/>
      <c r="F13153" s="599"/>
      <c r="G13153" s="599"/>
      <c r="H13153" s="599"/>
      <c r="I13153" s="1699"/>
      <c r="J13153" s="732"/>
      <c r="K13153" s="733"/>
      <c r="L13153" s="732"/>
      <c r="M13153" s="1574"/>
      <c r="N13153" s="1416"/>
      <c r="O13153" s="599"/>
      <c r="P13153" s="599"/>
    </row>
    <row r="13154" spans="1:16" s="1511" customFormat="1" ht="17.399999999999999">
      <c r="A13154" s="852" t="s">
        <v>83</v>
      </c>
      <c r="B13154" s="852" t="s">
        <v>1559</v>
      </c>
      <c r="C13154" s="852" t="s">
        <v>19</v>
      </c>
      <c r="D13154" s="998" t="s">
        <v>854</v>
      </c>
      <c r="E13154" s="599" t="s">
        <v>464</v>
      </c>
      <c r="F13154" s="599">
        <v>16</v>
      </c>
      <c r="G13154" s="599" t="s">
        <v>21</v>
      </c>
      <c r="H13154" s="599" t="s">
        <v>510</v>
      </c>
      <c r="I13154" s="853">
        <v>25.2</v>
      </c>
      <c r="J13154" s="1699">
        <v>11.7</v>
      </c>
      <c r="K13154" s="733">
        <v>2</v>
      </c>
      <c r="L13154" s="734">
        <f>(I13154*J13154*K13154/1000)</f>
        <v>0.58967999999999998</v>
      </c>
      <c r="M13154" s="1574">
        <v>2</v>
      </c>
      <c r="N13154" s="1416">
        <f t="shared" ref="N13154:N13155" si="2660">J13154*M13154*I13154/1000</f>
        <v>0.58967999999999998</v>
      </c>
      <c r="O13154" s="599"/>
      <c r="P13154" s="599"/>
    </row>
    <row r="13155" spans="1:16" s="1511" customFormat="1" ht="17.399999999999999">
      <c r="A13155" s="599"/>
      <c r="B13155" s="599" t="s">
        <v>439</v>
      </c>
      <c r="C13155" s="599"/>
      <c r="D13155" s="599"/>
      <c r="E13155" s="599"/>
      <c r="F13155" s="599"/>
      <c r="G13155" s="599" t="s">
        <v>21</v>
      </c>
      <c r="H13155" s="599" t="s">
        <v>510</v>
      </c>
      <c r="I13155" s="853">
        <v>25.2</v>
      </c>
      <c r="J13155" s="1699">
        <v>9.5</v>
      </c>
      <c r="K13155" s="733">
        <v>4</v>
      </c>
      <c r="L13155" s="734">
        <f>(I13155*J13155*K13155/1000)</f>
        <v>0.95760000000000001</v>
      </c>
      <c r="M13155" s="1574">
        <v>4</v>
      </c>
      <c r="N13155" s="1416">
        <f t="shared" si="2660"/>
        <v>0.95760000000000001</v>
      </c>
      <c r="O13155" s="599"/>
      <c r="P13155" s="599"/>
    </row>
    <row r="13156" spans="1:16" s="1511" customFormat="1" ht="17.399999999999999">
      <c r="A13156" s="599"/>
      <c r="B13156" s="599"/>
      <c r="C13156" s="599"/>
      <c r="D13156" s="599"/>
      <c r="E13156" s="599"/>
      <c r="F13156" s="599"/>
      <c r="G13156" s="599"/>
      <c r="H13156" s="599"/>
      <c r="I13156" s="853"/>
      <c r="J13156" s="1699"/>
      <c r="K13156" s="733">
        <f>SUM(K13154:K13155)</f>
        <v>6</v>
      </c>
      <c r="L13156" s="732">
        <f>SUM(L13154:L13155)</f>
        <v>1.54728</v>
      </c>
      <c r="M13156" s="733">
        <f>SUM(M13154:M13155)</f>
        <v>6</v>
      </c>
      <c r="N13156" s="732">
        <f>SUM(N13154:N13155)</f>
        <v>1.54728</v>
      </c>
      <c r="O13156" s="599"/>
      <c r="P13156" s="599"/>
    </row>
    <row r="13157" spans="1:16" s="1511" customFormat="1" ht="17.399999999999999">
      <c r="A13157" s="599"/>
      <c r="B13157" s="599"/>
      <c r="C13157" s="599"/>
      <c r="D13157" s="599"/>
      <c r="E13157" s="599"/>
      <c r="F13157" s="599"/>
      <c r="G13157" s="599"/>
      <c r="H13157" s="599"/>
      <c r="I13157" s="853"/>
      <c r="J13157" s="1699"/>
      <c r="K13157" s="733"/>
      <c r="L13157" s="732"/>
      <c r="M13157" s="1574"/>
      <c r="N13157" s="1416"/>
      <c r="O13157" s="599"/>
      <c r="P13157" s="599"/>
    </row>
    <row r="13158" spans="1:16" s="1511" customFormat="1" ht="17.399999999999999">
      <c r="A13158" s="852" t="s">
        <v>83</v>
      </c>
      <c r="B13158" s="852" t="s">
        <v>1559</v>
      </c>
      <c r="C13158" s="852" t="s">
        <v>19</v>
      </c>
      <c r="D13158" s="998" t="s">
        <v>854</v>
      </c>
      <c r="E13158" s="599" t="s">
        <v>464</v>
      </c>
      <c r="F13158" s="599">
        <v>16</v>
      </c>
      <c r="G13158" s="599" t="s">
        <v>21</v>
      </c>
      <c r="H13158" s="599" t="s">
        <v>518</v>
      </c>
      <c r="I13158" s="853">
        <v>29.5</v>
      </c>
      <c r="J13158" s="1699">
        <v>10.7</v>
      </c>
      <c r="K13158" s="733">
        <v>4</v>
      </c>
      <c r="L13158" s="734">
        <f>(I13158*J13158*K13158/1000)</f>
        <v>1.2625999999999999</v>
      </c>
      <c r="M13158" s="1574">
        <v>4</v>
      </c>
      <c r="N13158" s="1416">
        <f t="shared" ref="N13158" si="2661">J13158*M13158*I13158/1000</f>
        <v>1.2625999999999999</v>
      </c>
      <c r="O13158" s="599"/>
      <c r="P13158" s="599"/>
    </row>
    <row r="13159" spans="1:16" s="1511" customFormat="1" ht="17.399999999999999">
      <c r="A13159" s="599"/>
      <c r="B13159" s="599" t="s">
        <v>439</v>
      </c>
      <c r="C13159" s="599"/>
      <c r="D13159" s="599"/>
      <c r="E13159" s="599"/>
      <c r="F13159" s="599"/>
      <c r="G13159" s="599"/>
      <c r="H13159" s="599"/>
      <c r="I13159" s="853"/>
      <c r="J13159" s="1699"/>
      <c r="K13159" s="733">
        <f>SUM(K13158)</f>
        <v>4</v>
      </c>
      <c r="L13159" s="732">
        <f>SUM(L13158)</f>
        <v>1.2625999999999999</v>
      </c>
      <c r="M13159" s="733">
        <f>SUM(M13158)</f>
        <v>4</v>
      </c>
      <c r="N13159" s="732">
        <f>SUM(N13158)</f>
        <v>1.2625999999999999</v>
      </c>
      <c r="O13159" s="599"/>
      <c r="P13159" s="599"/>
    </row>
    <row r="13160" spans="1:16" s="1511" customFormat="1" ht="17.399999999999999">
      <c r="A13160" s="599"/>
      <c r="B13160" s="599"/>
      <c r="C13160" s="599"/>
      <c r="D13160" s="599"/>
      <c r="E13160" s="599"/>
      <c r="F13160" s="599"/>
      <c r="G13160" s="599"/>
      <c r="H13160" s="599"/>
      <c r="I13160" s="853"/>
      <c r="J13160" s="1699"/>
      <c r="K13160" s="733"/>
      <c r="L13160" s="732"/>
      <c r="M13160" s="1574"/>
      <c r="N13160" s="1416"/>
      <c r="O13160" s="599"/>
      <c r="P13160" s="599"/>
    </row>
    <row r="13161" spans="1:16" s="1511" customFormat="1" ht="17.399999999999999">
      <c r="A13161" s="599"/>
      <c r="B13161" s="599"/>
      <c r="C13161" s="599"/>
      <c r="D13161" s="599"/>
      <c r="E13161" s="599"/>
      <c r="F13161" s="599"/>
      <c r="G13161" s="599"/>
      <c r="H13161" s="599"/>
      <c r="I13161" s="853"/>
      <c r="J13161" s="1699"/>
      <c r="K13161" s="733"/>
      <c r="L13161" s="732"/>
      <c r="M13161" s="1574"/>
      <c r="N13161" s="1416"/>
      <c r="O13161" s="599"/>
      <c r="P13161" s="599"/>
    </row>
    <row r="13162" spans="1:16" s="1511" customFormat="1" ht="17.399999999999999">
      <c r="A13162" s="852" t="s">
        <v>83</v>
      </c>
      <c r="B13162" s="852" t="s">
        <v>1559</v>
      </c>
      <c r="C13162" s="852" t="s">
        <v>19</v>
      </c>
      <c r="D13162" s="998" t="s">
        <v>854</v>
      </c>
      <c r="E13162" s="599" t="s">
        <v>464</v>
      </c>
      <c r="F13162" s="599">
        <v>16</v>
      </c>
      <c r="G13162" s="599" t="s">
        <v>21</v>
      </c>
      <c r="H13162" s="599" t="s">
        <v>180</v>
      </c>
      <c r="I13162" s="853">
        <v>35.9</v>
      </c>
      <c r="J13162" s="1699">
        <v>11.7</v>
      </c>
      <c r="K13162" s="733">
        <v>4</v>
      </c>
      <c r="L13162" s="734">
        <f>(I13162*J13162*K13162/1000)</f>
        <v>1.6801199999999998</v>
      </c>
      <c r="M13162" s="1574">
        <f>1+3</f>
        <v>4</v>
      </c>
      <c r="N13162" s="1416">
        <f t="shared" ref="N13162:N13163" si="2662">J13162*M13162*I13162/1000</f>
        <v>1.6801199999999998</v>
      </c>
      <c r="O13162" s="599" t="s">
        <v>1577</v>
      </c>
      <c r="P13162" s="599"/>
    </row>
    <row r="13163" spans="1:16" s="1511" customFormat="1" ht="17.399999999999999">
      <c r="A13163" s="599"/>
      <c r="B13163" s="599" t="s">
        <v>439</v>
      </c>
      <c r="C13163" s="599"/>
      <c r="D13163" s="599"/>
      <c r="E13163" s="599"/>
      <c r="F13163" s="599"/>
      <c r="G13163" s="599" t="s">
        <v>21</v>
      </c>
      <c r="H13163" s="599" t="s">
        <v>180</v>
      </c>
      <c r="I13163" s="853">
        <v>35.9</v>
      </c>
      <c r="J13163" s="1699">
        <v>7.8</v>
      </c>
      <c r="K13163" s="733">
        <v>5</v>
      </c>
      <c r="L13163" s="734">
        <f>(I13163*J13163*K13163/1000)</f>
        <v>1.4000999999999999</v>
      </c>
      <c r="M13163" s="1574">
        <f>3+2</f>
        <v>5</v>
      </c>
      <c r="N13163" s="1416">
        <f t="shared" si="2662"/>
        <v>1.4000999999999999</v>
      </c>
      <c r="O13163" s="599"/>
      <c r="P13163" s="599"/>
    </row>
    <row r="13164" spans="1:16" s="1511" customFormat="1" ht="17.399999999999999">
      <c r="A13164" s="599"/>
      <c r="B13164" s="599"/>
      <c r="C13164" s="599"/>
      <c r="D13164" s="599"/>
      <c r="E13164" s="599"/>
      <c r="F13164" s="599"/>
      <c r="G13164" s="599"/>
      <c r="H13164" s="599"/>
      <c r="I13164" s="853"/>
      <c r="J13164" s="1699"/>
      <c r="K13164" s="733">
        <f>SUM(K13162:K13163)</f>
        <v>9</v>
      </c>
      <c r="L13164" s="732">
        <f>SUM(L13162:L13163)</f>
        <v>3.0802199999999997</v>
      </c>
      <c r="M13164" s="733">
        <f>SUM(M13162:M13163)</f>
        <v>9</v>
      </c>
      <c r="N13164" s="732">
        <f>SUM(N13162:N13163)</f>
        <v>3.0802199999999997</v>
      </c>
      <c r="O13164" s="599"/>
      <c r="P13164" s="599"/>
    </row>
    <row r="13165" spans="1:16" s="1511" customFormat="1" ht="17.399999999999999">
      <c r="A13165" s="599"/>
      <c r="B13165" s="599"/>
      <c r="C13165" s="599"/>
      <c r="D13165" s="599"/>
      <c r="E13165" s="599"/>
      <c r="F13165" s="599"/>
      <c r="G13165" s="599"/>
      <c r="H13165" s="599"/>
      <c r="I13165" s="853"/>
      <c r="J13165" s="1699"/>
      <c r="K13165" s="733"/>
      <c r="L13165" s="732"/>
      <c r="M13165" s="1574"/>
      <c r="N13165" s="1416"/>
      <c r="O13165" s="599"/>
      <c r="P13165" s="599"/>
    </row>
    <row r="13166" spans="1:16" s="1511" customFormat="1" ht="17.399999999999999">
      <c r="A13166" s="599"/>
      <c r="B13166" s="599"/>
      <c r="C13166" s="599"/>
      <c r="D13166" s="599"/>
      <c r="E13166" s="599"/>
      <c r="F13166" s="599"/>
      <c r="G13166" s="599"/>
      <c r="H13166" s="599"/>
      <c r="I13166" s="853"/>
      <c r="J13166" s="1699"/>
      <c r="K13166" s="733"/>
      <c r="L13166" s="732"/>
      <c r="M13166" s="1574"/>
      <c r="N13166" s="1416"/>
      <c r="O13166" s="599"/>
      <c r="P13166" s="599"/>
    </row>
    <row r="13167" spans="1:16" s="1511" customFormat="1" ht="17.399999999999999">
      <c r="A13167" s="852" t="s">
        <v>83</v>
      </c>
      <c r="B13167" s="852" t="s">
        <v>1559</v>
      </c>
      <c r="C13167" s="852" t="s">
        <v>19</v>
      </c>
      <c r="D13167" s="998" t="s">
        <v>854</v>
      </c>
      <c r="E13167" s="599" t="s">
        <v>464</v>
      </c>
      <c r="F13167" s="599">
        <v>16</v>
      </c>
      <c r="G13167" s="599" t="s">
        <v>21</v>
      </c>
      <c r="H13167" s="599" t="s">
        <v>181</v>
      </c>
      <c r="I13167" s="853">
        <v>40.1</v>
      </c>
      <c r="J13167" s="1699">
        <v>7.2</v>
      </c>
      <c r="K13167" s="733">
        <v>3</v>
      </c>
      <c r="L13167" s="734">
        <f t="shared" ref="L13167" si="2663">(I13167*J13167*K13167/1000)</f>
        <v>0.86616000000000004</v>
      </c>
      <c r="M13167" s="1574">
        <v>3</v>
      </c>
      <c r="N13167" s="1416">
        <f t="shared" ref="N13167" si="2664">J13167*M13167*I13167/1000</f>
        <v>0.86616000000000004</v>
      </c>
      <c r="O13167" s="599"/>
      <c r="P13167" s="599"/>
    </row>
    <row r="13168" spans="1:16" s="1511" customFormat="1" ht="17.399999999999999">
      <c r="A13168" s="599"/>
      <c r="B13168" s="599" t="s">
        <v>439</v>
      </c>
      <c r="C13168" s="599"/>
      <c r="D13168" s="599"/>
      <c r="E13168" s="599"/>
      <c r="F13168" s="599"/>
      <c r="G13168" s="599"/>
      <c r="H13168" s="599"/>
      <c r="I13168" s="853"/>
      <c r="J13168" s="1699"/>
      <c r="K13168" s="733">
        <f>SUM(K13167)</f>
        <v>3</v>
      </c>
      <c r="L13168" s="732">
        <f>SUM(L13167)</f>
        <v>0.86616000000000004</v>
      </c>
      <c r="M13168" s="733">
        <f>SUM(M13167)</f>
        <v>3</v>
      </c>
      <c r="N13168" s="732">
        <f>SUM(N13167)</f>
        <v>0.86616000000000004</v>
      </c>
      <c r="O13168" s="599"/>
      <c r="P13168" s="599"/>
    </row>
    <row r="13169" spans="1:17" s="1511" customFormat="1" ht="17.399999999999999">
      <c r="A13169" s="599"/>
      <c r="B13169" s="599"/>
      <c r="C13169" s="599"/>
      <c r="D13169" s="599"/>
      <c r="E13169" s="599"/>
      <c r="F13169" s="599"/>
      <c r="G13169" s="599"/>
      <c r="H13169" s="599"/>
      <c r="I13169" s="853"/>
      <c r="J13169" s="599"/>
      <c r="K13169" s="1574"/>
      <c r="L13169" s="1416"/>
      <c r="M13169" s="1574"/>
      <c r="N13169" s="1416"/>
      <c r="O13169" s="599"/>
      <c r="P13169" s="599"/>
    </row>
    <row r="13170" spans="1:17" s="1511" customFormat="1" ht="17.399999999999999">
      <c r="A13170" s="599"/>
      <c r="B13170" s="599"/>
      <c r="C13170" s="599"/>
      <c r="D13170" s="599"/>
      <c r="E13170" s="599"/>
      <c r="F13170" s="599"/>
      <c r="G13170" s="599"/>
      <c r="H13170" s="599"/>
      <c r="I13170" s="853"/>
      <c r="J13170" s="599"/>
      <c r="K13170" s="1574"/>
      <c r="L13170" s="1416">
        <f>+L13168+L13164+L13131+L13137+L13159+L13147+L13144+L13156+L13152+L13126</f>
        <v>65.324989999999985</v>
      </c>
      <c r="M13170" s="1574"/>
      <c r="N13170" s="1416">
        <f>+N13168+N13164+N13131+N13137+N13159+N13147+N13144+N13156+N13152+N13126</f>
        <v>11.166260000000001</v>
      </c>
      <c r="O13170" s="599"/>
      <c r="P13170" s="599"/>
      <c r="Q13170" s="1511" t="s">
        <v>1590</v>
      </c>
    </row>
    <row r="13171" spans="1:17" s="1511" customFormat="1" ht="18">
      <c r="A13171" s="898"/>
      <c r="B13171" s="898"/>
      <c r="C13171" s="898"/>
      <c r="D13171" s="898"/>
      <c r="E13171" s="898"/>
      <c r="F13171" s="898"/>
      <c r="G13171" s="898"/>
      <c r="H13171" s="898"/>
      <c r="I13171" s="920"/>
      <c r="J13171" s="898"/>
      <c r="K13171" s="730"/>
      <c r="L13171" s="782"/>
      <c r="M13171" s="730"/>
      <c r="N13171" s="782"/>
      <c r="O13171" s="898"/>
      <c r="P13171" s="549"/>
    </row>
    <row r="13172" spans="1:17" s="1511" customFormat="1" ht="18">
      <c r="A13172" s="898"/>
      <c r="B13172" s="898"/>
      <c r="C13172" s="898"/>
      <c r="D13172" s="898"/>
      <c r="E13172" s="898"/>
      <c r="F13172" s="898"/>
      <c r="G13172" s="898"/>
      <c r="H13172" s="898"/>
      <c r="I13172" s="920"/>
      <c r="J13172" s="898"/>
      <c r="K13172" s="730"/>
      <c r="L13172" s="782"/>
      <c r="M13172" s="730"/>
      <c r="N13172" s="782"/>
      <c r="O13172" s="898"/>
      <c r="P13172" s="549"/>
    </row>
    <row r="13173" spans="1:17" s="1511" customFormat="1" ht="18">
      <c r="A13173" s="898"/>
      <c r="B13173" s="898"/>
      <c r="C13173" s="898"/>
      <c r="D13173" s="898"/>
      <c r="E13173" s="898"/>
      <c r="F13173" s="898"/>
      <c r="G13173" s="898"/>
      <c r="H13173" s="898"/>
      <c r="I13173" s="920"/>
      <c r="J13173" s="898"/>
      <c r="K13173" s="730"/>
      <c r="L13173" s="782"/>
      <c r="M13173" s="730"/>
      <c r="N13173" s="782"/>
      <c r="O13173" s="898"/>
      <c r="P13173" s="549"/>
    </row>
    <row r="13174" spans="1:17" s="1511" customFormat="1" ht="18">
      <c r="A13174" s="898"/>
      <c r="B13174" s="898"/>
      <c r="C13174" s="898"/>
      <c r="D13174" s="898"/>
      <c r="E13174" s="898"/>
      <c r="F13174" s="898"/>
      <c r="G13174" s="898"/>
      <c r="H13174" s="898"/>
      <c r="I13174" s="920"/>
      <c r="J13174" s="898"/>
      <c r="K13174" s="730"/>
      <c r="L13174" s="782"/>
      <c r="M13174" s="730"/>
      <c r="N13174" s="782"/>
      <c r="O13174" s="898"/>
      <c r="P13174" s="549"/>
    </row>
    <row r="13175" spans="1:17" s="1511" customFormat="1" ht="18">
      <c r="A13175" s="898"/>
      <c r="B13175" s="898"/>
      <c r="C13175" s="898"/>
      <c r="D13175" s="898"/>
      <c r="E13175" s="898"/>
      <c r="F13175" s="898"/>
      <c r="G13175" s="898"/>
      <c r="H13175" s="898"/>
      <c r="I13175" s="920"/>
      <c r="J13175" s="898"/>
      <c r="K13175" s="730"/>
      <c r="L13175" s="782"/>
      <c r="M13175" s="730"/>
      <c r="N13175" s="782"/>
      <c r="O13175" s="898"/>
      <c r="P13175" s="549"/>
    </row>
    <row r="13176" spans="1:17" s="1511" customFormat="1" ht="18">
      <c r="A13176" s="898"/>
      <c r="B13176" s="898"/>
      <c r="C13176" s="898"/>
      <c r="D13176" s="898"/>
      <c r="E13176" s="898"/>
      <c r="F13176" s="898"/>
      <c r="G13176" s="898"/>
      <c r="H13176" s="898"/>
      <c r="I13176" s="920"/>
      <c r="J13176" s="898"/>
      <c r="K13176" s="730"/>
      <c r="L13176" s="782"/>
      <c r="M13176" s="730"/>
      <c r="N13176" s="782"/>
      <c r="O13176" s="898"/>
      <c r="P13176" s="549"/>
    </row>
    <row r="13177" spans="1:17" s="1511" customFormat="1" ht="18">
      <c r="A13177" s="898"/>
      <c r="B13177" s="898"/>
      <c r="C13177" s="898"/>
      <c r="D13177" s="898"/>
      <c r="E13177" s="898"/>
      <c r="F13177" s="898"/>
      <c r="G13177" s="898"/>
      <c r="H13177" s="898"/>
      <c r="I13177" s="920"/>
      <c r="J13177" s="898"/>
      <c r="K13177" s="730"/>
      <c r="L13177" s="782"/>
      <c r="M13177" s="730"/>
      <c r="N13177" s="782"/>
      <c r="O13177" s="898"/>
      <c r="P13177" s="549"/>
    </row>
    <row r="13178" spans="1:17" ht="18">
      <c r="A13178" s="898"/>
      <c r="B13178" s="898"/>
      <c r="C13178" s="898"/>
      <c r="D13178" s="898"/>
      <c r="E13178" s="898"/>
      <c r="F13178" s="898"/>
      <c r="G13178" s="898"/>
      <c r="H13178" s="898"/>
      <c r="I13178" s="920"/>
      <c r="J13178" s="898"/>
      <c r="K13178" s="921"/>
      <c r="L13178" s="920"/>
      <c r="M13178" s="898"/>
      <c r="N13178" s="898"/>
      <c r="O13178" s="898"/>
      <c r="P13178" s="898"/>
    </row>
    <row r="13179" spans="1:17" ht="18">
      <c r="A13179" s="898"/>
      <c r="B13179" s="898"/>
      <c r="C13179" s="898"/>
      <c r="D13179" s="898"/>
      <c r="E13179" s="898"/>
      <c r="F13179" s="898"/>
      <c r="G13179" s="898"/>
      <c r="H13179" s="898"/>
      <c r="I13179" s="920"/>
      <c r="J13179" s="898"/>
      <c r="K13179" s="921"/>
      <c r="L13179" s="782">
        <f>+L13122+L13112+L13107+L13095+L13089</f>
        <v>760.56162000000006</v>
      </c>
      <c r="M13179" s="898"/>
      <c r="N13179" s="782">
        <f>+N13122+N13112+N13107+N13095+N13089</f>
        <v>4.1490799999999997</v>
      </c>
      <c r="O13179" s="898"/>
      <c r="P13179" s="898"/>
    </row>
    <row r="13180" spans="1:17" ht="18">
      <c r="A13180" s="653" t="s">
        <v>48</v>
      </c>
      <c r="B13180" s="653"/>
      <c r="C13180" s="654"/>
      <c r="D13180" s="654"/>
      <c r="E13180" s="654"/>
      <c r="F13180" s="1672"/>
      <c r="G13180" s="654"/>
      <c r="H13180" s="1672"/>
      <c r="I13180" s="656"/>
      <c r="J13180" s="654"/>
      <c r="K13180" s="657"/>
      <c r="L13180" s="2003" t="s">
        <v>0</v>
      </c>
      <c r="M13180" s="2003"/>
      <c r="N13180" s="2003"/>
      <c r="O13180" s="2004"/>
      <c r="P13180" s="1097"/>
    </row>
    <row r="13181" spans="1:17" ht="18">
      <c r="A13181" s="658" t="s">
        <v>1</v>
      </c>
      <c r="B13181" s="658"/>
      <c r="C13181" s="658"/>
      <c r="D13181" s="659" t="s">
        <v>2</v>
      </c>
      <c r="E13181" s="659"/>
      <c r="F13181" s="660"/>
      <c r="G13181" s="660"/>
      <c r="H13181" s="660"/>
      <c r="I13181" s="661"/>
      <c r="J13181" s="660"/>
      <c r="K13181" s="662" t="s">
        <v>3</v>
      </c>
      <c r="L13181" s="660"/>
      <c r="M13181" s="658"/>
      <c r="N13181" s="660"/>
      <c r="O13181" s="663"/>
      <c r="P13181" s="1098"/>
    </row>
    <row r="13182" spans="1:17" ht="18">
      <c r="A13182" s="1672" t="s">
        <v>22</v>
      </c>
      <c r="B13182" s="1990" t="s">
        <v>23</v>
      </c>
      <c r="C13182" s="2005"/>
      <c r="D13182" s="1989"/>
      <c r="E13182" s="1672" t="s">
        <v>24</v>
      </c>
      <c r="F13182" s="1990" t="s">
        <v>25</v>
      </c>
      <c r="G13182" s="1989"/>
      <c r="H13182" s="1990" t="s">
        <v>26</v>
      </c>
      <c r="I13182" s="2005"/>
      <c r="J13182" s="2005"/>
      <c r="K13182" s="1989"/>
      <c r="L13182" s="2006" t="s">
        <v>27</v>
      </c>
      <c r="M13182" s="2006"/>
      <c r="N13182" s="2006"/>
      <c r="O13182" s="1990"/>
      <c r="P13182" s="1098"/>
    </row>
    <row r="13183" spans="1:17" ht="18">
      <c r="A13183" s="664"/>
      <c r="B13183" s="1975"/>
      <c r="C13183" s="1976"/>
      <c r="D13183" s="1977"/>
      <c r="E13183" s="665"/>
      <c r="F13183" s="1975"/>
      <c r="G13183" s="1977"/>
      <c r="H13183" s="1975"/>
      <c r="I13183" s="1976"/>
      <c r="J13183" s="1976"/>
      <c r="K13183" s="1977"/>
      <c r="L13183" s="1975"/>
      <c r="M13183" s="1976"/>
      <c r="N13183" s="1976"/>
      <c r="O13183" s="1976"/>
      <c r="P13183" s="1098"/>
    </row>
    <row r="13184" spans="1:17" ht="18">
      <c r="A13184" s="664"/>
      <c r="B13184" s="1667"/>
      <c r="C13184" s="1668"/>
      <c r="D13184" s="1669"/>
      <c r="E13184" s="665"/>
      <c r="F13184" s="1667"/>
      <c r="G13184" s="1669"/>
      <c r="H13184" s="1667"/>
      <c r="I13184" s="1842"/>
      <c r="J13184" s="1668"/>
      <c r="K13184" s="1669"/>
      <c r="L13184" s="1668"/>
      <c r="M13184" s="1668"/>
      <c r="N13184" s="1668"/>
      <c r="O13184" s="1668"/>
      <c r="P13184" s="1098"/>
    </row>
    <row r="13185" spans="1:16" ht="18">
      <c r="A13185" s="664" t="s">
        <v>28</v>
      </c>
      <c r="B13185" s="1975" t="s">
        <v>183</v>
      </c>
      <c r="C13185" s="1976"/>
      <c r="D13185" s="1977"/>
      <c r="E13185" s="665">
        <f>+L13089</f>
        <v>172.31370999999999</v>
      </c>
      <c r="F13185" s="1973">
        <v>16</v>
      </c>
      <c r="G13185" s="1974"/>
      <c r="H13185" s="1975" t="s">
        <v>49</v>
      </c>
      <c r="I13185" s="1976"/>
      <c r="J13185" s="1976"/>
      <c r="K13185" s="1977"/>
      <c r="L13185" s="1976" t="s">
        <v>557</v>
      </c>
      <c r="M13185" s="1976"/>
      <c r="N13185" s="1976"/>
      <c r="O13185" s="1976"/>
      <c r="P13185" s="1098"/>
    </row>
    <row r="13186" spans="1:16" ht="18">
      <c r="A13186" s="664" t="s">
        <v>29</v>
      </c>
      <c r="B13186" s="1975" t="s">
        <v>184</v>
      </c>
      <c r="C13186" s="1976"/>
      <c r="D13186" s="1977"/>
      <c r="E13186" s="665">
        <f>+L13095</f>
        <v>92.611230000000006</v>
      </c>
      <c r="F13186" s="1973">
        <v>16</v>
      </c>
      <c r="G13186" s="1974"/>
      <c r="H13186" s="1975" t="s">
        <v>49</v>
      </c>
      <c r="I13186" s="1976"/>
      <c r="J13186" s="1976"/>
      <c r="K13186" s="1977"/>
      <c r="L13186" s="1976" t="s">
        <v>557</v>
      </c>
      <c r="M13186" s="1976"/>
      <c r="N13186" s="1976"/>
      <c r="O13186" s="1976"/>
      <c r="P13186" s="1098"/>
    </row>
    <row r="13187" spans="1:16" s="1511" customFormat="1" ht="18">
      <c r="A13187" s="664" t="s">
        <v>30</v>
      </c>
      <c r="B13187" s="1975" t="s">
        <v>185</v>
      </c>
      <c r="C13187" s="1976"/>
      <c r="D13187" s="1977"/>
      <c r="E13187" s="665">
        <f>+L13107</f>
        <v>259.37781999999999</v>
      </c>
      <c r="F13187" s="1973">
        <v>16</v>
      </c>
      <c r="G13187" s="1974"/>
      <c r="H13187" s="1975" t="s">
        <v>49</v>
      </c>
      <c r="I13187" s="1976"/>
      <c r="J13187" s="1976"/>
      <c r="K13187" s="1977"/>
      <c r="L13187" s="1976" t="s">
        <v>1547</v>
      </c>
      <c r="M13187" s="1976"/>
      <c r="N13187" s="1976"/>
      <c r="O13187" s="1976"/>
      <c r="P13187" s="1098"/>
    </row>
    <row r="13188" spans="1:16" s="1511" customFormat="1" ht="18">
      <c r="A13188" s="664" t="s">
        <v>46</v>
      </c>
      <c r="B13188" s="1975" t="s">
        <v>186</v>
      </c>
      <c r="C13188" s="1976"/>
      <c r="D13188" s="1977"/>
      <c r="E13188" s="665">
        <f>+L13112-4.149</f>
        <v>134.29376000000002</v>
      </c>
      <c r="F13188" s="1973">
        <v>16</v>
      </c>
      <c r="G13188" s="1974"/>
      <c r="H13188" s="1975" t="s">
        <v>49</v>
      </c>
      <c r="I13188" s="1976"/>
      <c r="J13188" s="1976"/>
      <c r="K13188" s="1977"/>
      <c r="L13188" s="1976" t="s">
        <v>1548</v>
      </c>
      <c r="M13188" s="1976"/>
      <c r="N13188" s="1976"/>
      <c r="O13188" s="1976"/>
      <c r="P13188" s="1098"/>
    </row>
    <row r="13189" spans="1:16" s="1511" customFormat="1" ht="18">
      <c r="A13189" s="664" t="s">
        <v>58</v>
      </c>
      <c r="B13189" s="1975" t="s">
        <v>555</v>
      </c>
      <c r="C13189" s="1976"/>
      <c r="D13189" s="1977"/>
      <c r="E13189" s="665">
        <f>+L13122</f>
        <v>97.816099999999992</v>
      </c>
      <c r="F13189" s="1973">
        <v>16</v>
      </c>
      <c r="G13189" s="1974"/>
      <c r="H13189" s="1975" t="s">
        <v>49</v>
      </c>
      <c r="I13189" s="1976"/>
      <c r="J13189" s="1976"/>
      <c r="K13189" s="1977"/>
      <c r="L13189" s="1976" t="s">
        <v>1548</v>
      </c>
      <c r="M13189" s="1976"/>
      <c r="N13189" s="1976"/>
      <c r="O13189" s="1976"/>
      <c r="P13189" s="1098"/>
    </row>
    <row r="13190" spans="1:16" s="1511" customFormat="1" ht="18">
      <c r="A13190" s="664"/>
      <c r="B13190" s="1691"/>
      <c r="C13190" s="1692"/>
      <c r="D13190" s="1693"/>
      <c r="E13190" s="665"/>
      <c r="F13190" s="1694"/>
      <c r="G13190" s="1695"/>
      <c r="H13190" s="1691"/>
      <c r="I13190" s="1842"/>
      <c r="J13190" s="1692"/>
      <c r="K13190" s="1693"/>
      <c r="L13190" s="1692"/>
      <c r="M13190" s="1692"/>
      <c r="N13190" s="1692"/>
      <c r="O13190" s="1692"/>
      <c r="P13190" s="1098"/>
    </row>
    <row r="13191" spans="1:16" s="1511" customFormat="1" ht="18">
      <c r="A13191" s="664"/>
      <c r="B13191" s="1691"/>
      <c r="C13191" s="1692"/>
      <c r="D13191" s="1693"/>
      <c r="E13191" s="665"/>
      <c r="F13191" s="1694"/>
      <c r="G13191" s="1695"/>
      <c r="H13191" s="1691"/>
      <c r="I13191" s="1842"/>
      <c r="J13191" s="1692"/>
      <c r="K13191" s="1693"/>
      <c r="L13191" s="1692"/>
      <c r="M13191" s="1692"/>
      <c r="N13191" s="1692"/>
      <c r="O13191" s="1692"/>
      <c r="P13191" s="1098"/>
    </row>
    <row r="13192" spans="1:16" s="1511" customFormat="1" ht="18">
      <c r="A13192" s="664"/>
      <c r="B13192" s="1691"/>
      <c r="C13192" s="1692"/>
      <c r="D13192" s="1693"/>
      <c r="E13192" s="665"/>
      <c r="F13192" s="1694"/>
      <c r="G13192" s="1695"/>
      <c r="H13192" s="1691"/>
      <c r="I13192" s="1842"/>
      <c r="J13192" s="1692"/>
      <c r="K13192" s="1693"/>
      <c r="L13192" s="1692"/>
      <c r="M13192" s="1692"/>
      <c r="N13192" s="1692"/>
      <c r="O13192" s="1692"/>
      <c r="P13192" s="1098"/>
    </row>
    <row r="13193" spans="1:16" s="1511" customFormat="1" ht="18">
      <c r="A13193" s="664"/>
      <c r="B13193" s="1691"/>
      <c r="C13193" s="1692"/>
      <c r="D13193" s="1693"/>
      <c r="E13193" s="665"/>
      <c r="F13193" s="1694"/>
      <c r="G13193" s="1695"/>
      <c r="H13193" s="1691"/>
      <c r="I13193" s="1842"/>
      <c r="J13193" s="1692"/>
      <c r="K13193" s="1693"/>
      <c r="L13193" s="1692"/>
      <c r="M13193" s="1692"/>
      <c r="N13193" s="1692"/>
      <c r="O13193" s="1692"/>
      <c r="P13193" s="1098"/>
    </row>
    <row r="13194" spans="1:16" s="1511" customFormat="1" ht="18">
      <c r="A13194" s="664"/>
      <c r="B13194" s="1676"/>
      <c r="C13194" s="1677"/>
      <c r="D13194" s="1678"/>
      <c r="E13194" s="665"/>
      <c r="F13194" s="1679"/>
      <c r="G13194" s="1680"/>
      <c r="H13194" s="1676"/>
      <c r="I13194" s="1842"/>
      <c r="J13194" s="1677"/>
      <c r="K13194" s="1678"/>
      <c r="L13194" s="1677"/>
      <c r="M13194" s="1677"/>
      <c r="N13194" s="1677"/>
      <c r="O13194" s="1677"/>
      <c r="P13194" s="1098"/>
    </row>
    <row r="13195" spans="1:16" ht="18.600000000000001" thickBot="1">
      <c r="A13195" s="664"/>
      <c r="B13195" s="1667"/>
      <c r="C13195" s="1668"/>
      <c r="D13195" s="1668"/>
      <c r="E13195" s="665"/>
      <c r="F13195" s="1668"/>
      <c r="G13195" s="1669"/>
      <c r="H13195" s="1667"/>
      <c r="I13195" s="1842"/>
      <c r="J13195" s="1668"/>
      <c r="K13195" s="669"/>
      <c r="L13195" s="672"/>
      <c r="M13195" s="673"/>
      <c r="N13195" s="673"/>
      <c r="O13195" s="673"/>
      <c r="P13195" s="1098"/>
    </row>
    <row r="13196" spans="1:16" ht="18">
      <c r="A13196" s="674"/>
      <c r="B13196" s="675"/>
      <c r="C13196" s="676"/>
      <c r="D13196" s="676"/>
      <c r="E13196" s="1980">
        <f>SUM(E13183:E13195)</f>
        <v>756.41262000000006</v>
      </c>
      <c r="F13196" s="677"/>
      <c r="G13196" s="678"/>
      <c r="H13196" s="679"/>
      <c r="I13196" s="1848"/>
      <c r="J13196" s="676"/>
      <c r="K13196" s="680"/>
      <c r="L13196" s="679"/>
      <c r="M13196" s="676"/>
      <c r="N13196" s="677"/>
      <c r="O13196" s="676"/>
      <c r="P13196" s="1098"/>
    </row>
    <row r="13197" spans="1:16" ht="18.600000000000001" thickBot="1">
      <c r="A13197" s="681"/>
      <c r="B13197" s="682"/>
      <c r="C13197" s="683"/>
      <c r="D13197" s="683"/>
      <c r="E13197" s="1981"/>
      <c r="F13197" s="684"/>
      <c r="G13197" s="685"/>
      <c r="H13197" s="686"/>
      <c r="I13197" s="1850"/>
      <c r="J13197" s="683"/>
      <c r="K13197" s="687"/>
      <c r="L13197" s="686"/>
      <c r="M13197" s="683"/>
      <c r="N13197" s="684"/>
      <c r="O13197" s="683"/>
      <c r="P13197" s="1098"/>
    </row>
    <row r="13198" spans="1:16" ht="18">
      <c r="A13198" s="688" t="s">
        <v>31</v>
      </c>
      <c r="B13198" s="676"/>
      <c r="C13198" s="676"/>
      <c r="D13198" s="676"/>
      <c r="E13198" s="676"/>
      <c r="F13198" s="677"/>
      <c r="G13198" s="676"/>
      <c r="H13198" s="677"/>
      <c r="I13198" s="1848"/>
      <c r="J13198" s="676"/>
      <c r="K13198" s="689"/>
      <c r="L13198" s="677"/>
      <c r="M13198" s="676"/>
      <c r="N13198" s="677"/>
      <c r="O13198" s="676"/>
      <c r="P13198" s="1098"/>
    </row>
    <row r="13199" spans="1:16" ht="18">
      <c r="A13199" s="690"/>
      <c r="B13199" s="691"/>
      <c r="C13199" s="691"/>
      <c r="D13199" s="691"/>
      <c r="E13199" s="691"/>
      <c r="F13199" s="1666"/>
      <c r="G13199" s="691"/>
      <c r="H13199" s="1666"/>
      <c r="I13199" s="1849"/>
      <c r="J13199" s="691"/>
      <c r="K13199" s="693"/>
      <c r="L13199" s="1666"/>
      <c r="M13199" s="691"/>
      <c r="N13199" s="1666"/>
      <c r="O13199" s="691"/>
      <c r="P13199" s="1098"/>
    </row>
    <row r="13200" spans="1:16" ht="18.600000000000001" thickBot="1">
      <c r="A13200" s="1982" t="s">
        <v>32</v>
      </c>
      <c r="B13200" s="1983"/>
      <c r="C13200" s="1984" t="s">
        <v>33</v>
      </c>
      <c r="D13200" s="1985"/>
      <c r="E13200" s="694" t="s">
        <v>34</v>
      </c>
      <c r="F13200" s="694" t="s">
        <v>35</v>
      </c>
      <c r="G13200" s="1986" t="s">
        <v>36</v>
      </c>
      <c r="H13200" s="1987"/>
      <c r="I13200" s="1987"/>
      <c r="J13200" s="1987"/>
      <c r="K13200" s="1987"/>
      <c r="L13200" s="1987"/>
      <c r="M13200" s="1987"/>
      <c r="N13200" s="1987"/>
      <c r="O13200" s="1987"/>
      <c r="P13200" s="1098"/>
    </row>
    <row r="13201" spans="1:16" ht="18">
      <c r="A13201" s="1988"/>
      <c r="B13201" s="1989"/>
      <c r="C13201" s="1990"/>
      <c r="D13201" s="1989"/>
      <c r="E13201" s="1672"/>
      <c r="F13201" s="1670"/>
      <c r="G13201" s="1991"/>
      <c r="H13201" s="1992"/>
      <c r="I13201" s="1992"/>
      <c r="J13201" s="1992"/>
      <c r="K13201" s="1992"/>
      <c r="L13201" s="1992"/>
      <c r="M13201" s="1992"/>
      <c r="N13201" s="1992"/>
      <c r="O13201" s="1992"/>
      <c r="P13201" s="1098"/>
    </row>
    <row r="13202" spans="1:16" ht="18">
      <c r="A13202" s="1997" t="s">
        <v>37</v>
      </c>
      <c r="B13202" s="1998"/>
      <c r="C13202" s="1990"/>
      <c r="D13202" s="1989"/>
      <c r="E13202" s="1672"/>
      <c r="F13202" s="1670"/>
      <c r="G13202" s="1993"/>
      <c r="H13202" s="1994"/>
      <c r="I13202" s="1994"/>
      <c r="J13202" s="1994"/>
      <c r="K13202" s="1994"/>
      <c r="L13202" s="1994"/>
      <c r="M13202" s="1994"/>
      <c r="N13202" s="1994"/>
      <c r="O13202" s="1994"/>
      <c r="P13202" s="1098"/>
    </row>
    <row r="13203" spans="1:16" ht="18">
      <c r="A13203" s="1997" t="s">
        <v>38</v>
      </c>
      <c r="B13203" s="1998"/>
      <c r="C13203" s="1990"/>
      <c r="D13203" s="1989"/>
      <c r="E13203" s="1672"/>
      <c r="F13203" s="1670"/>
      <c r="G13203" s="1993"/>
      <c r="H13203" s="1994"/>
      <c r="I13203" s="1994"/>
      <c r="J13203" s="1994"/>
      <c r="K13203" s="1994"/>
      <c r="L13203" s="1994"/>
      <c r="M13203" s="1994"/>
      <c r="N13203" s="1994"/>
      <c r="O13203" s="1994"/>
      <c r="P13203" s="1098"/>
    </row>
    <row r="13204" spans="1:16" ht="18">
      <c r="A13204" s="1997" t="s">
        <v>39</v>
      </c>
      <c r="B13204" s="1998"/>
      <c r="C13204" s="1990"/>
      <c r="D13204" s="1989"/>
      <c r="E13204" s="1672"/>
      <c r="F13204" s="1670"/>
      <c r="G13204" s="1993"/>
      <c r="H13204" s="1994"/>
      <c r="I13204" s="1994"/>
      <c r="J13204" s="1994"/>
      <c r="K13204" s="1994"/>
      <c r="L13204" s="1994"/>
      <c r="M13204" s="1994"/>
      <c r="N13204" s="1994"/>
      <c r="O13204" s="1994"/>
      <c r="P13204" s="1098"/>
    </row>
    <row r="13205" spans="1:16" ht="18">
      <c r="A13205" s="1997" t="s">
        <v>40</v>
      </c>
      <c r="B13205" s="1998"/>
      <c r="C13205" s="1990"/>
      <c r="D13205" s="1989"/>
      <c r="E13205" s="1672"/>
      <c r="F13205" s="1670"/>
      <c r="G13205" s="1993"/>
      <c r="H13205" s="1994"/>
      <c r="I13205" s="1994"/>
      <c r="J13205" s="1994"/>
      <c r="K13205" s="1994"/>
      <c r="L13205" s="1994"/>
      <c r="M13205" s="1994"/>
      <c r="N13205" s="1994"/>
      <c r="O13205" s="1994"/>
      <c r="P13205" s="1098"/>
    </row>
    <row r="13206" spans="1:16" ht="18.600000000000001" thickBot="1">
      <c r="A13206" s="1999" t="s">
        <v>41</v>
      </c>
      <c r="B13206" s="2000"/>
      <c r="C13206" s="2001"/>
      <c r="D13206" s="2002"/>
      <c r="E13206" s="696"/>
      <c r="F13206" s="1671"/>
      <c r="G13206" s="1995"/>
      <c r="H13206" s="1996"/>
      <c r="I13206" s="1996"/>
      <c r="J13206" s="1996"/>
      <c r="K13206" s="1996"/>
      <c r="L13206" s="1996"/>
      <c r="M13206" s="1996"/>
      <c r="N13206" s="1996"/>
      <c r="O13206" s="1996"/>
      <c r="P13206" s="1098"/>
    </row>
    <row r="13207" spans="1:16" ht="18">
      <c r="A13207" s="690"/>
      <c r="B13207" s="691"/>
      <c r="C13207" s="691"/>
      <c r="D13207" s="691"/>
      <c r="E13207" s="691"/>
      <c r="F13207" s="1666"/>
      <c r="G13207" s="691"/>
      <c r="H13207" s="698"/>
      <c r="I13207" s="699"/>
      <c r="J13207" s="700"/>
      <c r="K13207" s="701"/>
      <c r="L13207" s="702"/>
      <c r="M13207" s="691"/>
      <c r="N13207" s="1666"/>
      <c r="O13207" s="691"/>
      <c r="P13207" s="1098"/>
    </row>
    <row r="13208" spans="1:16" ht="18">
      <c r="A13208" s="703" t="s">
        <v>42</v>
      </c>
      <c r="B13208" s="704"/>
      <c r="C13208" s="691"/>
      <c r="D13208" s="691"/>
      <c r="E13208" s="691"/>
      <c r="F13208" s="1666"/>
      <c r="G13208" s="704"/>
      <c r="H13208" s="698"/>
      <c r="I13208" s="699"/>
      <c r="J13208" s="700"/>
      <c r="K13208" s="693"/>
      <c r="L13208" s="705"/>
      <c r="M13208" s="691"/>
      <c r="N13208" s="1979" t="s">
        <v>43</v>
      </c>
      <c r="O13208" s="1979"/>
      <c r="P13208" s="1098"/>
    </row>
    <row r="13209" spans="1:16" ht="18">
      <c r="A13209" s="703"/>
      <c r="B13209" s="704"/>
      <c r="C13209" s="691"/>
      <c r="D13209" s="691"/>
      <c r="E13209" s="691"/>
      <c r="F13209" s="1666"/>
      <c r="G13209" s="691"/>
      <c r="H13209" s="1666"/>
      <c r="I13209" s="1849"/>
      <c r="J13209" s="691"/>
      <c r="K13209" s="693"/>
      <c r="L13209" s="1666"/>
      <c r="M13209" s="691"/>
      <c r="N13209" s="1666"/>
      <c r="O13209" s="704"/>
      <c r="P13209" s="1098"/>
    </row>
    <row r="13210" spans="1:16" ht="18">
      <c r="A13210" s="703" t="s">
        <v>44</v>
      </c>
      <c r="B13210" s="704"/>
      <c r="C13210" s="691"/>
      <c r="D13210" s="691"/>
      <c r="E13210" s="691"/>
      <c r="F13210" s="1666"/>
      <c r="G13210" s="691"/>
      <c r="H13210" s="1666"/>
      <c r="I13210" s="1849"/>
      <c r="J13210" s="691"/>
      <c r="K13210" s="693"/>
      <c r="L13210" s="1666"/>
      <c r="M13210" s="691"/>
      <c r="N13210" s="1979" t="s">
        <v>45</v>
      </c>
      <c r="O13210" s="1979"/>
      <c r="P13210" s="1098"/>
    </row>
    <row r="13211" spans="1:16" ht="18.600000000000001" thickBot="1">
      <c r="A13211" s="682"/>
      <c r="B13211" s="683"/>
      <c r="C13211" s="683"/>
      <c r="D13211" s="683"/>
      <c r="E13211" s="683"/>
      <c r="F13211" s="684"/>
      <c r="G13211" s="683"/>
      <c r="H13211" s="684"/>
      <c r="I13211" s="1850"/>
      <c r="J13211" s="683"/>
      <c r="K13211" s="706"/>
      <c r="L13211" s="684"/>
      <c r="M13211" s="683"/>
      <c r="N13211" s="684"/>
      <c r="O13211" s="683"/>
      <c r="P13211" s="1099"/>
    </row>
    <row r="13215" spans="1:16" ht="17.399999999999999">
      <c r="A13215" s="711" t="s">
        <v>48</v>
      </c>
      <c r="B13215" s="711"/>
      <c r="C13215" s="712"/>
      <c r="D13215" s="712"/>
      <c r="E13215" s="712"/>
      <c r="F13215" s="713"/>
      <c r="G13215" s="712"/>
      <c r="H13215" s="712"/>
      <c r="I13215" s="714"/>
      <c r="J13215" s="715"/>
      <c r="K13215" s="716"/>
      <c r="L13215" s="1978" t="s">
        <v>0</v>
      </c>
      <c r="M13215" s="1978"/>
      <c r="N13215" s="1978"/>
      <c r="O13215" s="1978"/>
      <c r="P13215" s="717"/>
    </row>
    <row r="13216" spans="1:16" ht="17.399999999999999">
      <c r="A13216" s="718" t="s">
        <v>1</v>
      </c>
      <c r="B13216" s="718"/>
      <c r="C13216" s="718"/>
      <c r="D13216" s="719" t="s">
        <v>2</v>
      </c>
      <c r="E13216" s="719"/>
      <c r="F13216" s="720"/>
      <c r="G13216" s="720"/>
      <c r="H13216" s="720"/>
      <c r="I13216" s="721"/>
      <c r="J13216" s="1681"/>
      <c r="K13216" s="723" t="s">
        <v>3</v>
      </c>
      <c r="L13216" s="1681"/>
      <c r="M13216" s="718"/>
      <c r="N13216" s="720"/>
      <c r="O13216" s="718"/>
      <c r="P13216" s="724"/>
    </row>
    <row r="13217" spans="1:17" ht="52.2">
      <c r="A13217" s="640" t="s">
        <v>4</v>
      </c>
      <c r="B13217" s="640" t="s">
        <v>5</v>
      </c>
      <c r="C13217" s="640" t="s">
        <v>6</v>
      </c>
      <c r="D13217" s="640" t="s">
        <v>7</v>
      </c>
      <c r="E13217" s="640" t="s">
        <v>8</v>
      </c>
      <c r="F13217" s="641" t="s">
        <v>9</v>
      </c>
      <c r="G13217" s="642" t="s">
        <v>10</v>
      </c>
      <c r="H13217" s="642" t="s">
        <v>11</v>
      </c>
      <c r="I13217" s="643" t="s">
        <v>12</v>
      </c>
      <c r="J13217" s="644" t="s">
        <v>13</v>
      </c>
      <c r="K13217" s="645" t="s">
        <v>14</v>
      </c>
      <c r="L13217" s="646" t="s">
        <v>15</v>
      </c>
      <c r="M13217" s="641" t="s">
        <v>16</v>
      </c>
      <c r="N13217" s="641" t="s">
        <v>17</v>
      </c>
      <c r="O13217" s="642" t="s">
        <v>18</v>
      </c>
      <c r="P13217" s="641" t="s">
        <v>192</v>
      </c>
    </row>
    <row r="13218" spans="1:17" ht="17.399999999999999">
      <c r="A13218" s="547" t="s">
        <v>83</v>
      </c>
      <c r="B13218" s="547" t="s">
        <v>1455</v>
      </c>
      <c r="C13218" s="547" t="s">
        <v>19</v>
      </c>
      <c r="D13218" s="813" t="s">
        <v>854</v>
      </c>
      <c r="E13218" s="549" t="s">
        <v>367</v>
      </c>
      <c r="F13218" s="550">
        <v>12</v>
      </c>
      <c r="G13218" s="549" t="s">
        <v>21</v>
      </c>
      <c r="H13218" s="599" t="s">
        <v>134</v>
      </c>
      <c r="I13218" s="558">
        <v>12.2</v>
      </c>
      <c r="J13218" s="567">
        <v>10.5</v>
      </c>
      <c r="K13218" s="648">
        <v>1169</v>
      </c>
      <c r="L13218" s="552">
        <f>(I13218*J13218*K13218/1000)</f>
        <v>149.74889999999999</v>
      </c>
      <c r="M13218" s="549"/>
      <c r="N13218" s="549"/>
      <c r="O13218" s="549"/>
      <c r="P13218" s="549"/>
      <c r="Q13218" s="1511" t="s">
        <v>1599</v>
      </c>
    </row>
    <row r="13219" spans="1:17" ht="17.399999999999999">
      <c r="A13219" s="549"/>
      <c r="B13219" s="728" t="s">
        <v>52</v>
      </c>
      <c r="C13219" s="549"/>
      <c r="D13219" s="549"/>
      <c r="E13219" s="549"/>
      <c r="F13219" s="549"/>
      <c r="G13219" s="549" t="s">
        <v>21</v>
      </c>
      <c r="H13219" s="549" t="s">
        <v>134</v>
      </c>
      <c r="I13219" s="558">
        <v>12.2</v>
      </c>
      <c r="J13219" s="567">
        <v>11.25</v>
      </c>
      <c r="K13219" s="648">
        <v>587</v>
      </c>
      <c r="L13219" s="552">
        <f>(I13219*J13219*K13219/1000)</f>
        <v>80.565749999999994</v>
      </c>
      <c r="M13219" s="549"/>
      <c r="N13219" s="549"/>
      <c r="O13219" s="549"/>
      <c r="P13219" s="549"/>
      <c r="Q13219" s="1737" t="s">
        <v>1633</v>
      </c>
    </row>
    <row r="13220" spans="1:17" ht="17.399999999999999">
      <c r="A13220" s="549"/>
      <c r="B13220" s="549"/>
      <c r="C13220" s="549"/>
      <c r="D13220" s="549"/>
      <c r="E13220" s="549"/>
      <c r="F13220" s="549"/>
      <c r="G13220" s="549" t="s">
        <v>21</v>
      </c>
      <c r="H13220" s="549" t="s">
        <v>134</v>
      </c>
      <c r="I13220" s="558">
        <v>12.2</v>
      </c>
      <c r="J13220" s="567">
        <v>11.5</v>
      </c>
      <c r="K13220" s="648">
        <v>466</v>
      </c>
      <c r="L13220" s="552">
        <f>(I13220*J13220*K13220/1000)</f>
        <v>65.379799999999989</v>
      </c>
      <c r="M13220" s="549"/>
      <c r="N13220" s="549"/>
      <c r="O13220" s="549"/>
      <c r="P13220" s="549"/>
    </row>
    <row r="13221" spans="1:17" ht="17.399999999999999">
      <c r="A13221" s="549"/>
      <c r="B13221" s="549"/>
      <c r="C13221" s="549"/>
      <c r="D13221" s="549"/>
      <c r="E13221" s="549"/>
      <c r="F13221" s="549"/>
      <c r="G13221" s="549"/>
      <c r="H13221" s="549"/>
      <c r="I13221" s="558"/>
      <c r="J13221" s="567"/>
      <c r="K13221" s="648">
        <f t="shared" ref="K13221" si="2665">SUM(K13218:K13220)</f>
        <v>2222</v>
      </c>
      <c r="L13221" s="567">
        <f>SUM(L13218:L13220)</f>
        <v>295.69444999999996</v>
      </c>
      <c r="M13221" s="549"/>
      <c r="N13221" s="549"/>
      <c r="O13221" s="549"/>
      <c r="P13221" s="549" t="s">
        <v>1563</v>
      </c>
    </row>
    <row r="13222" spans="1:17" ht="17.399999999999999">
      <c r="A13222" s="549"/>
      <c r="B13222" s="549"/>
      <c r="C13222" s="549"/>
      <c r="D13222" s="549"/>
      <c r="E13222" s="549"/>
      <c r="F13222" s="549"/>
      <c r="G13222" s="549"/>
      <c r="H13222" s="549"/>
      <c r="I13222" s="560"/>
      <c r="J13222" s="549"/>
      <c r="K13222" s="561"/>
      <c r="L13222" s="560"/>
      <c r="M13222" s="549"/>
      <c r="N13222" s="549"/>
      <c r="O13222" s="549"/>
      <c r="P13222" s="549"/>
    </row>
    <row r="13223" spans="1:17" ht="17.399999999999999">
      <c r="A13223" s="547" t="s">
        <v>83</v>
      </c>
      <c r="B13223" s="547" t="s">
        <v>1558</v>
      </c>
      <c r="C13223" s="547" t="s">
        <v>19</v>
      </c>
      <c r="D13223" s="813" t="s">
        <v>854</v>
      </c>
      <c r="E13223" s="550" t="s">
        <v>464</v>
      </c>
      <c r="F13223" s="550">
        <v>12</v>
      </c>
      <c r="G13223" s="549" t="s">
        <v>21</v>
      </c>
      <c r="H13223" s="599" t="s">
        <v>134</v>
      </c>
      <c r="I13223" s="558">
        <v>12.2</v>
      </c>
      <c r="J13223" s="567">
        <v>12</v>
      </c>
      <c r="K13223" s="648">
        <v>15</v>
      </c>
      <c r="L13223" s="552">
        <f>(I13223*J13223*K13223/1000)</f>
        <v>2.1959999999999997</v>
      </c>
      <c r="M13223" s="549"/>
      <c r="N13223" s="549"/>
      <c r="O13223" s="549"/>
      <c r="P13223" s="549"/>
      <c r="Q13223" s="1737" t="s">
        <v>1634</v>
      </c>
    </row>
    <row r="13224" spans="1:17" ht="17.399999999999999">
      <c r="A13224" s="549"/>
      <c r="B13224" s="549" t="s">
        <v>1407</v>
      </c>
      <c r="C13224" s="549"/>
      <c r="D13224" s="549"/>
      <c r="E13224" s="549"/>
      <c r="F13224" s="549"/>
      <c r="G13224" s="549"/>
      <c r="H13224" s="549"/>
      <c r="I13224" s="558"/>
      <c r="J13224" s="567"/>
      <c r="K13224" s="648">
        <f>SUM(K13223:K13223)</f>
        <v>15</v>
      </c>
      <c r="L13224" s="567">
        <f>SUM(L13223:L13223)</f>
        <v>2.1959999999999997</v>
      </c>
      <c r="M13224" s="648">
        <f>SUM(M13223:M13223)</f>
        <v>0</v>
      </c>
      <c r="N13224" s="567">
        <f>SUM(N13223:N13223)</f>
        <v>0</v>
      </c>
      <c r="O13224" s="549"/>
      <c r="P13224" s="549" t="s">
        <v>1564</v>
      </c>
    </row>
    <row r="13225" spans="1:17" s="1511" customFormat="1" ht="17.399999999999999">
      <c r="A13225" s="549"/>
      <c r="B13225" s="549"/>
      <c r="C13225" s="549"/>
      <c r="D13225" s="549"/>
      <c r="E13225" s="549"/>
      <c r="F13225" s="549"/>
      <c r="G13225" s="549"/>
      <c r="H13225" s="549"/>
      <c r="I13225" s="558"/>
      <c r="J13225" s="567"/>
      <c r="K13225" s="648"/>
      <c r="L13225" s="567"/>
      <c r="M13225" s="648"/>
      <c r="N13225" s="567"/>
      <c r="O13225" s="549"/>
      <c r="P13225" s="549"/>
    </row>
    <row r="13226" spans="1:17" s="1511" customFormat="1" ht="17.399999999999999">
      <c r="A13226" s="547" t="s">
        <v>272</v>
      </c>
      <c r="B13226" s="852" t="s">
        <v>1560</v>
      </c>
      <c r="C13226" s="547" t="s">
        <v>19</v>
      </c>
      <c r="D13226" s="813" t="s">
        <v>854</v>
      </c>
      <c r="E13226" s="780" t="s">
        <v>1028</v>
      </c>
      <c r="F13226" s="550">
        <v>12</v>
      </c>
      <c r="G13226" s="549" t="s">
        <v>21</v>
      </c>
      <c r="H13226" s="599" t="s">
        <v>134</v>
      </c>
      <c r="I13226" s="558">
        <v>12.2</v>
      </c>
      <c r="J13226" s="567">
        <v>12</v>
      </c>
      <c r="K13226" s="648">
        <v>2</v>
      </c>
      <c r="L13226" s="552">
        <f>(I13226*J13226*K13226/1000)</f>
        <v>0.29279999999999995</v>
      </c>
      <c r="M13226" s="549">
        <v>2</v>
      </c>
      <c r="N13226" s="567">
        <f t="shared" ref="N13226" si="2666">J13226*M13226*I13226/1000</f>
        <v>0.29279999999999995</v>
      </c>
      <c r="O13226" s="549"/>
      <c r="P13226" s="549"/>
      <c r="Q13226" s="1511" t="s">
        <v>1600</v>
      </c>
    </row>
    <row r="13227" spans="1:17" s="1511" customFormat="1" ht="17.399999999999999">
      <c r="A13227" s="549"/>
      <c r="B13227" s="549" t="s">
        <v>1027</v>
      </c>
      <c r="C13227" s="549"/>
      <c r="D13227" s="549"/>
      <c r="E13227" s="549"/>
      <c r="F13227" s="549"/>
      <c r="G13227" s="549"/>
      <c r="H13227" s="549"/>
      <c r="I13227" s="558"/>
      <c r="J13227" s="567"/>
      <c r="K13227" s="648">
        <f>SUM(K13226:K13226)</f>
        <v>2</v>
      </c>
      <c r="L13227" s="567">
        <f>SUM(L13226:L13226)</f>
        <v>0.29279999999999995</v>
      </c>
      <c r="M13227" s="648">
        <f>SUM(M13226:M13226)</f>
        <v>2</v>
      </c>
      <c r="N13227" s="567">
        <f>SUM(N13226:N13226)</f>
        <v>0.29279999999999995</v>
      </c>
      <c r="O13227" s="549"/>
      <c r="P13227" s="549"/>
    </row>
    <row r="13228" spans="1:17" s="1511" customFormat="1" ht="17.399999999999999">
      <c r="A13228" s="549"/>
      <c r="B13228" s="549"/>
      <c r="C13228" s="549"/>
      <c r="D13228" s="549"/>
      <c r="E13228" s="549"/>
      <c r="F13228" s="549"/>
      <c r="G13228" s="549"/>
      <c r="H13228" s="549"/>
      <c r="I13228" s="560"/>
      <c r="J13228" s="549"/>
      <c r="K13228" s="561"/>
      <c r="L13228" s="560"/>
      <c r="M13228" s="549"/>
      <c r="N13228" s="549"/>
      <c r="O13228" s="549"/>
      <c r="P13228" s="549"/>
    </row>
    <row r="13229" spans="1:17" s="1511" customFormat="1" ht="18">
      <c r="A13229" s="547" t="s">
        <v>83</v>
      </c>
      <c r="B13229" s="547" t="s">
        <v>1559</v>
      </c>
      <c r="C13229" s="547" t="s">
        <v>19</v>
      </c>
      <c r="D13229" s="813" t="s">
        <v>854</v>
      </c>
      <c r="E13229" s="550" t="s">
        <v>464</v>
      </c>
      <c r="F13229" s="550">
        <v>12</v>
      </c>
      <c r="G13229" s="549" t="s">
        <v>21</v>
      </c>
      <c r="H13229" s="599" t="s">
        <v>134</v>
      </c>
      <c r="I13229" s="558">
        <v>12.2</v>
      </c>
      <c r="J13229" s="1022">
        <v>7</v>
      </c>
      <c r="K13229" s="1023">
        <v>11</v>
      </c>
      <c r="L13229" s="552">
        <f>(I13229*J13229*K13229/1000)</f>
        <v>0.9393999999999999</v>
      </c>
      <c r="M13229" s="549">
        <v>11</v>
      </c>
      <c r="N13229" s="567">
        <f>J13229*M13229*I13229/1000</f>
        <v>0.93940000000000001</v>
      </c>
      <c r="O13229" s="549"/>
      <c r="P13229" s="549"/>
      <c r="Q13229" s="1511" t="s">
        <v>1600</v>
      </c>
    </row>
    <row r="13230" spans="1:17" s="1511" customFormat="1" ht="17.399999999999999">
      <c r="A13230" s="549"/>
      <c r="B13230" s="549" t="s">
        <v>439</v>
      </c>
      <c r="C13230" s="549"/>
      <c r="D13230" s="549"/>
      <c r="E13230" s="549"/>
      <c r="F13230" s="549"/>
      <c r="G13230" s="549"/>
      <c r="H13230" s="549"/>
      <c r="I13230" s="558"/>
      <c r="J13230" s="567"/>
      <c r="K13230" s="648">
        <f>SUM(K13229:K13229)</f>
        <v>11</v>
      </c>
      <c r="L13230" s="567">
        <f>SUM(L13229:L13229)</f>
        <v>0.9393999999999999</v>
      </c>
      <c r="M13230" s="648">
        <f>SUM(M13229:M13229)</f>
        <v>11</v>
      </c>
      <c r="N13230" s="567">
        <f>SUM(N13229:N13229)</f>
        <v>0.93940000000000001</v>
      </c>
      <c r="O13230" s="549"/>
      <c r="P13230" s="549"/>
    </row>
    <row r="13231" spans="1:17" s="1511" customFormat="1" ht="17.399999999999999">
      <c r="A13231" s="549"/>
      <c r="B13231" s="549"/>
      <c r="C13231" s="549"/>
      <c r="D13231" s="549"/>
      <c r="E13231" s="549"/>
      <c r="F13231" s="549"/>
      <c r="G13231" s="549"/>
      <c r="H13231" s="549"/>
      <c r="I13231" s="558"/>
      <c r="J13231" s="567"/>
      <c r="K13231" s="648">
        <f>SUM(K13218:K13230)/2</f>
        <v>2250</v>
      </c>
      <c r="L13231" s="567">
        <f>SUM(L13218:L13230)/2</f>
        <v>299.12265000000002</v>
      </c>
      <c r="M13231" s="648">
        <f>SUM(M13218:M13230)/2</f>
        <v>13</v>
      </c>
      <c r="N13231" s="567">
        <f>SUM(N13218:N13230)/2</f>
        <v>1.2322</v>
      </c>
      <c r="O13231" s="549"/>
      <c r="P13231" s="549"/>
    </row>
    <row r="13232" spans="1:17" s="1511" customFormat="1" ht="17.399999999999999">
      <c r="A13232" s="549"/>
      <c r="B13232" s="549"/>
      <c r="C13232" s="549"/>
      <c r="D13232" s="549"/>
      <c r="E13232" s="549"/>
      <c r="F13232" s="549"/>
      <c r="G13232" s="549"/>
      <c r="H13232" s="549"/>
      <c r="I13232" s="558"/>
      <c r="J13232" s="567"/>
      <c r="K13232" s="648"/>
      <c r="L13232" s="567"/>
      <c r="M13232" s="549"/>
      <c r="N13232" s="549"/>
      <c r="O13232" s="549"/>
      <c r="P13232" s="549"/>
    </row>
    <row r="13233" spans="1:17" ht="17.399999999999999">
      <c r="A13233" s="549"/>
      <c r="B13233" s="549"/>
      <c r="C13233" s="549"/>
      <c r="D13233" s="549"/>
      <c r="E13233" s="549"/>
      <c r="F13233" s="549"/>
      <c r="G13233" s="549"/>
      <c r="H13233" s="549"/>
      <c r="I13233" s="560"/>
      <c r="J13233" s="549"/>
      <c r="K13233" s="561"/>
      <c r="L13233" s="560"/>
      <c r="M13233" s="549"/>
      <c r="N13233" s="549"/>
      <c r="O13233" s="549"/>
      <c r="P13233" s="549"/>
    </row>
    <row r="13234" spans="1:17" ht="17.399999999999999">
      <c r="A13234" s="547" t="s">
        <v>83</v>
      </c>
      <c r="B13234" s="547" t="s">
        <v>1455</v>
      </c>
      <c r="C13234" s="547" t="s">
        <v>19</v>
      </c>
      <c r="D13234" s="813" t="s">
        <v>854</v>
      </c>
      <c r="E13234" s="549" t="s">
        <v>367</v>
      </c>
      <c r="F13234" s="550">
        <v>12</v>
      </c>
      <c r="G13234" s="549" t="s">
        <v>21</v>
      </c>
      <c r="H13234" s="599" t="s">
        <v>119</v>
      </c>
      <c r="I13234" s="558">
        <v>10.7</v>
      </c>
      <c r="J13234" s="567">
        <v>10.4</v>
      </c>
      <c r="K13234" s="648">
        <v>296</v>
      </c>
      <c r="L13234" s="552">
        <f>(I13234*J13234*K13234/1000)</f>
        <v>32.938879999999997</v>
      </c>
      <c r="M13234" s="549">
        <f>11+5+3+2+2+4+21+7+3</f>
        <v>58</v>
      </c>
      <c r="N13234" s="567">
        <f>J13234*M13234*I13234/1000</f>
        <v>6.4542399999999995</v>
      </c>
      <c r="O13234" s="549"/>
      <c r="P13234" s="549"/>
      <c r="Q13234" s="1737" t="s">
        <v>1634</v>
      </c>
    </row>
    <row r="13235" spans="1:17" ht="17.399999999999999">
      <c r="A13235" s="549"/>
      <c r="B13235" s="728" t="s">
        <v>52</v>
      </c>
      <c r="C13235" s="549"/>
      <c r="D13235" s="549"/>
      <c r="E13235" s="549"/>
      <c r="F13235" s="549"/>
      <c r="G13235" s="549" t="s">
        <v>21</v>
      </c>
      <c r="H13235" s="549" t="s">
        <v>119</v>
      </c>
      <c r="I13235" s="558">
        <v>10.7</v>
      </c>
      <c r="J13235" s="567">
        <v>11.6</v>
      </c>
      <c r="K13235" s="648">
        <v>693</v>
      </c>
      <c r="L13235" s="552">
        <f>(I13235*J13235*K13235/1000)</f>
        <v>86.015159999999995</v>
      </c>
      <c r="M13235" s="549"/>
      <c r="N13235" s="549"/>
      <c r="O13235" s="549"/>
      <c r="P13235" s="549"/>
    </row>
    <row r="13236" spans="1:17" ht="17.399999999999999">
      <c r="A13236" s="549"/>
      <c r="B13236" s="549"/>
      <c r="C13236" s="549"/>
      <c r="D13236" s="549"/>
      <c r="E13236" s="549"/>
      <c r="F13236" s="549"/>
      <c r="G13236" s="549" t="s">
        <v>21</v>
      </c>
      <c r="H13236" s="549" t="s">
        <v>119</v>
      </c>
      <c r="I13236" s="558">
        <v>10.7</v>
      </c>
      <c r="J13236" s="567">
        <v>12</v>
      </c>
      <c r="K13236" s="648">
        <v>388</v>
      </c>
      <c r="L13236" s="552">
        <f>(I13236*J13236*K13236/1000)</f>
        <v>49.819199999999988</v>
      </c>
      <c r="M13236" s="549"/>
      <c r="N13236" s="549"/>
      <c r="O13236" s="549"/>
      <c r="P13236" s="549"/>
    </row>
    <row r="13237" spans="1:17" ht="17.399999999999999">
      <c r="A13237" s="549"/>
      <c r="B13237" s="549"/>
      <c r="C13237" s="549"/>
      <c r="D13237" s="549"/>
      <c r="E13237" s="549"/>
      <c r="F13237" s="549"/>
      <c r="G13237" s="549"/>
      <c r="H13237" s="549"/>
      <c r="I13237" s="558"/>
      <c r="J13237" s="567"/>
      <c r="K13237" s="648">
        <f>SUM(K13234:K13236)</f>
        <v>1377</v>
      </c>
      <c r="L13237" s="567">
        <f>SUM(L13234:L13236)</f>
        <v>168.77323999999999</v>
      </c>
      <c r="M13237" s="648">
        <f>SUM(M13234:M13236)</f>
        <v>58</v>
      </c>
      <c r="N13237" s="567">
        <f>SUM(N13234:N13236)</f>
        <v>6.4542399999999995</v>
      </c>
      <c r="O13237" s="549"/>
      <c r="P13237" s="549" t="s">
        <v>1565</v>
      </c>
    </row>
    <row r="13238" spans="1:17" s="1511" customFormat="1" ht="17.399999999999999">
      <c r="A13238" s="549"/>
      <c r="B13238" s="549"/>
      <c r="C13238" s="549"/>
      <c r="D13238" s="549"/>
      <c r="E13238" s="549"/>
      <c r="F13238" s="549"/>
      <c r="G13238" s="549"/>
      <c r="H13238" s="549"/>
      <c r="I13238" s="558"/>
      <c r="J13238" s="567"/>
      <c r="K13238" s="648"/>
      <c r="L13238" s="567"/>
      <c r="M13238" s="549"/>
      <c r="N13238" s="549"/>
      <c r="O13238" s="549"/>
      <c r="P13238" s="549"/>
    </row>
    <row r="13239" spans="1:17" s="1511" customFormat="1" ht="18">
      <c r="A13239" s="547" t="s">
        <v>83</v>
      </c>
      <c r="B13239" s="547" t="s">
        <v>1559</v>
      </c>
      <c r="C13239" s="547" t="s">
        <v>19</v>
      </c>
      <c r="D13239" s="813" t="s">
        <v>854</v>
      </c>
      <c r="E13239" s="550" t="s">
        <v>464</v>
      </c>
      <c r="F13239" s="550">
        <v>12</v>
      </c>
      <c r="G13239" s="549" t="s">
        <v>21</v>
      </c>
      <c r="H13239" s="599" t="s">
        <v>119</v>
      </c>
      <c r="I13239" s="558">
        <v>10.7</v>
      </c>
      <c r="J13239" s="1022">
        <v>12</v>
      </c>
      <c r="K13239" s="1023">
        <v>8</v>
      </c>
      <c r="L13239" s="552">
        <f t="shared" ref="L13239:L13240" si="2667">(I13239*J13239*K13239/1000)</f>
        <v>1.0271999999999999</v>
      </c>
      <c r="M13239" s="549"/>
      <c r="N13239" s="549"/>
      <c r="O13239" s="549"/>
      <c r="P13239" s="549"/>
      <c r="Q13239" s="1737" t="s">
        <v>1635</v>
      </c>
    </row>
    <row r="13240" spans="1:17" s="1511" customFormat="1" ht="18">
      <c r="A13240" s="549"/>
      <c r="B13240" s="549" t="s">
        <v>439</v>
      </c>
      <c r="C13240" s="549"/>
      <c r="D13240" s="549"/>
      <c r="E13240" s="549"/>
      <c r="F13240" s="549"/>
      <c r="G13240" s="549" t="s">
        <v>21</v>
      </c>
      <c r="H13240" s="549" t="s">
        <v>119</v>
      </c>
      <c r="I13240" s="558">
        <v>10.7</v>
      </c>
      <c r="J13240" s="1022">
        <v>10</v>
      </c>
      <c r="K13240" s="1023">
        <v>21</v>
      </c>
      <c r="L13240" s="552">
        <f t="shared" si="2667"/>
        <v>2.2469999999999999</v>
      </c>
      <c r="M13240" s="549"/>
      <c r="N13240" s="549"/>
      <c r="O13240" s="549"/>
      <c r="P13240" s="549"/>
    </row>
    <row r="13241" spans="1:17" s="1511" customFormat="1" ht="17.399999999999999">
      <c r="A13241" s="549"/>
      <c r="B13241" s="549"/>
      <c r="C13241" s="549"/>
      <c r="D13241" s="549"/>
      <c r="E13241" s="549"/>
      <c r="F13241" s="549"/>
      <c r="G13241" s="549"/>
      <c r="H13241" s="549"/>
      <c r="I13241" s="560"/>
      <c r="J13241" s="549"/>
      <c r="K13241" s="652">
        <f>SUM(K13239:K13240)</f>
        <v>29</v>
      </c>
      <c r="L13241" s="565">
        <f>SUM(L13239:L13240)</f>
        <v>3.2741999999999996</v>
      </c>
      <c r="M13241" s="549"/>
      <c r="N13241" s="549"/>
      <c r="O13241" s="549"/>
      <c r="P13241" s="549" t="s">
        <v>1566</v>
      </c>
    </row>
    <row r="13242" spans="1:17" s="1511" customFormat="1" ht="17.399999999999999">
      <c r="A13242" s="549"/>
      <c r="B13242" s="549"/>
      <c r="C13242" s="549"/>
      <c r="D13242" s="549"/>
      <c r="E13242" s="549"/>
      <c r="F13242" s="549"/>
      <c r="G13242" s="549"/>
      <c r="H13242" s="549"/>
      <c r="I13242" s="560"/>
      <c r="J13242" s="549"/>
      <c r="K13242" s="561"/>
      <c r="L13242" s="560"/>
      <c r="M13242" s="549"/>
      <c r="N13242" s="549"/>
      <c r="O13242" s="549"/>
      <c r="P13242" s="549"/>
    </row>
    <row r="13243" spans="1:17" s="1511" customFormat="1" ht="18">
      <c r="A13243" s="547" t="s">
        <v>272</v>
      </c>
      <c r="B13243" s="547" t="s">
        <v>1560</v>
      </c>
      <c r="C13243" s="547" t="s">
        <v>19</v>
      </c>
      <c r="D13243" s="813" t="s">
        <v>854</v>
      </c>
      <c r="E13243" s="780" t="s">
        <v>1028</v>
      </c>
      <c r="F13243" s="550">
        <v>12</v>
      </c>
      <c r="G13243" s="549" t="s">
        <v>21</v>
      </c>
      <c r="H13243" s="599" t="s">
        <v>119</v>
      </c>
      <c r="I13243" s="558">
        <v>10.7</v>
      </c>
      <c r="J13243" s="1022">
        <v>6</v>
      </c>
      <c r="K13243" s="1023">
        <v>1</v>
      </c>
      <c r="L13243" s="552">
        <f>(I13243*J13243*K13243/1000)</f>
        <v>6.4199999999999993E-2</v>
      </c>
      <c r="M13243" s="549">
        <v>1</v>
      </c>
      <c r="N13243" s="567">
        <f t="shared" ref="N13243" si="2668">J13243*M13243*I13243/1000</f>
        <v>6.4199999999999993E-2</v>
      </c>
      <c r="O13243" s="549"/>
      <c r="P13243" s="549"/>
      <c r="Q13243" s="1737" t="s">
        <v>1634</v>
      </c>
    </row>
    <row r="13244" spans="1:17" s="1511" customFormat="1" ht="17.399999999999999">
      <c r="A13244" s="549"/>
      <c r="B13244" s="549" t="s">
        <v>1027</v>
      </c>
      <c r="C13244" s="549"/>
      <c r="D13244" s="549"/>
      <c r="E13244" s="549"/>
      <c r="F13244" s="549"/>
      <c r="G13244" s="549"/>
      <c r="H13244" s="549"/>
      <c r="I13244" s="558"/>
      <c r="J13244" s="567"/>
      <c r="K13244" s="648">
        <f>SUM(K13243:K13243)</f>
        <v>1</v>
      </c>
      <c r="L13244" s="567">
        <f>SUM(L13243:L13243)</f>
        <v>6.4199999999999993E-2</v>
      </c>
      <c r="M13244" s="648">
        <f>SUM(M13243:M13243)</f>
        <v>1</v>
      </c>
      <c r="N13244" s="567">
        <f>SUM(N13243:N13243)</f>
        <v>6.4199999999999993E-2</v>
      </c>
      <c r="O13244" s="549"/>
      <c r="P13244" s="549"/>
    </row>
    <row r="13245" spans="1:17" s="1511" customFormat="1" ht="17.399999999999999">
      <c r="A13245" s="549"/>
      <c r="B13245" s="549"/>
      <c r="C13245" s="549"/>
      <c r="D13245" s="549"/>
      <c r="E13245" s="549"/>
      <c r="F13245" s="549"/>
      <c r="G13245" s="549"/>
      <c r="H13245" s="549"/>
      <c r="I13245" s="558"/>
      <c r="J13245" s="567"/>
      <c r="K13245" s="648">
        <f>SUM(K13234:K13244)/2</f>
        <v>1407</v>
      </c>
      <c r="L13245" s="567">
        <f>SUM(L13234:L13244)/2</f>
        <v>172.11164000000002</v>
      </c>
      <c r="M13245" s="648">
        <f>SUM(M13234:M13244)/2</f>
        <v>59</v>
      </c>
      <c r="N13245" s="567">
        <f>SUM(N13234:N13244)/2</f>
        <v>6.5184399999999991</v>
      </c>
      <c r="O13245" s="549"/>
      <c r="P13245" s="549"/>
    </row>
    <row r="13246" spans="1:17" s="1511" customFormat="1" ht="17.399999999999999">
      <c r="A13246" s="549"/>
      <c r="B13246" s="549"/>
      <c r="C13246" s="549"/>
      <c r="D13246" s="549"/>
      <c r="E13246" s="549"/>
      <c r="F13246" s="549"/>
      <c r="G13246" s="549"/>
      <c r="H13246" s="549"/>
      <c r="I13246" s="558"/>
      <c r="J13246" s="567"/>
      <c r="K13246" s="648"/>
      <c r="L13246" s="567"/>
      <c r="M13246" s="648"/>
      <c r="N13246" s="567"/>
      <c r="O13246" s="549"/>
      <c r="P13246" s="549"/>
    </row>
    <row r="13247" spans="1:17" s="1511" customFormat="1" ht="17.399999999999999">
      <c r="A13247" s="549"/>
      <c r="B13247" s="549"/>
      <c r="C13247" s="549"/>
      <c r="D13247" s="549"/>
      <c r="E13247" s="549"/>
      <c r="F13247" s="549"/>
      <c r="G13247" s="549"/>
      <c r="H13247" s="549"/>
      <c r="I13247" s="558"/>
      <c r="J13247" s="567"/>
      <c r="K13247" s="648"/>
      <c r="L13247" s="567"/>
      <c r="M13247" s="549"/>
      <c r="N13247" s="549"/>
      <c r="O13247" s="549"/>
      <c r="P13247" s="549"/>
    </row>
    <row r="13248" spans="1:17" ht="17.399999999999999">
      <c r="A13248" s="547" t="s">
        <v>83</v>
      </c>
      <c r="B13248" s="547" t="s">
        <v>1455</v>
      </c>
      <c r="C13248" s="547" t="s">
        <v>19</v>
      </c>
      <c r="D13248" s="813" t="s">
        <v>854</v>
      </c>
      <c r="E13248" s="549" t="s">
        <v>367</v>
      </c>
      <c r="F13248" s="550">
        <v>12</v>
      </c>
      <c r="G13248" s="549" t="s">
        <v>21</v>
      </c>
      <c r="H13248" s="599" t="s">
        <v>118</v>
      </c>
      <c r="I13248" s="558">
        <v>9.26</v>
      </c>
      <c r="J13248" s="567">
        <v>10.3</v>
      </c>
      <c r="K13248" s="648">
        <v>194</v>
      </c>
      <c r="L13248" s="552">
        <f>(I13248*J13248*K13248/1000)</f>
        <v>18.503331999999997</v>
      </c>
      <c r="M13248" s="549">
        <v>10</v>
      </c>
      <c r="N13248" s="567">
        <f t="shared" ref="N13248" si="2669">J13248*M13248*I13248/1000</f>
        <v>0.95377999999999996</v>
      </c>
      <c r="O13248" s="549"/>
      <c r="P13248" s="549"/>
      <c r="Q13248" s="1737" t="s">
        <v>1635</v>
      </c>
    </row>
    <row r="13249" spans="1:17" ht="17.399999999999999">
      <c r="A13249" s="549"/>
      <c r="B13249" s="728" t="s">
        <v>52</v>
      </c>
      <c r="C13249" s="549"/>
      <c r="D13249" s="549"/>
      <c r="E13249" s="549"/>
      <c r="F13249" s="549"/>
      <c r="G13249" s="549" t="s">
        <v>21</v>
      </c>
      <c r="H13249" s="549" t="s">
        <v>118</v>
      </c>
      <c r="I13249" s="558">
        <v>9.26</v>
      </c>
      <c r="J13249" s="567">
        <v>11.3</v>
      </c>
      <c r="K13249" s="648">
        <v>39</v>
      </c>
      <c r="L13249" s="552">
        <f>(I13249*J13249*K13249/1000)</f>
        <v>4.0808819999999999</v>
      </c>
      <c r="M13249" s="549"/>
      <c r="N13249" s="549"/>
      <c r="O13249" s="549"/>
      <c r="P13249" s="549"/>
    </row>
    <row r="13250" spans="1:17" ht="17.399999999999999">
      <c r="A13250" s="549"/>
      <c r="B13250" s="549"/>
      <c r="C13250" s="549"/>
      <c r="D13250" s="549"/>
      <c r="E13250" s="549"/>
      <c r="F13250" s="549"/>
      <c r="G13250" s="549" t="s">
        <v>21</v>
      </c>
      <c r="H13250" s="549" t="s">
        <v>118</v>
      </c>
      <c r="I13250" s="558">
        <v>9.26</v>
      </c>
      <c r="J13250" s="567">
        <v>11.8</v>
      </c>
      <c r="K13250" s="648">
        <v>388</v>
      </c>
      <c r="L13250" s="552">
        <f>(I13250*J13250*K13250/1000)</f>
        <v>42.395983999999999</v>
      </c>
      <c r="M13250" s="549"/>
      <c r="N13250" s="549"/>
      <c r="O13250" s="549"/>
      <c r="P13250" s="549"/>
    </row>
    <row r="13251" spans="1:17" ht="17.399999999999999">
      <c r="A13251" s="549"/>
      <c r="B13251" s="549"/>
      <c r="C13251" s="549"/>
      <c r="D13251" s="549"/>
      <c r="E13251" s="549"/>
      <c r="F13251" s="549"/>
      <c r="G13251" s="549"/>
      <c r="H13251" s="549"/>
      <c r="I13251" s="558"/>
      <c r="J13251" s="567"/>
      <c r="K13251" s="648">
        <f>SUM(K13248:K13250)</f>
        <v>621</v>
      </c>
      <c r="L13251" s="567">
        <f>SUM(L13248:L13250)</f>
        <v>64.980198000000001</v>
      </c>
      <c r="M13251" s="648">
        <f>SUM(M13248:M13250)</f>
        <v>10</v>
      </c>
      <c r="N13251" s="567">
        <f>SUM(N13248:N13250)</f>
        <v>0.95377999999999996</v>
      </c>
      <c r="O13251" s="549"/>
      <c r="P13251" s="549" t="s">
        <v>1567</v>
      </c>
    </row>
    <row r="13252" spans="1:17" s="1511" customFormat="1" ht="17.399999999999999">
      <c r="A13252" s="549"/>
      <c r="B13252" s="549"/>
      <c r="C13252" s="549"/>
      <c r="D13252" s="549"/>
      <c r="E13252" s="549"/>
      <c r="F13252" s="549"/>
      <c r="G13252" s="549"/>
      <c r="H13252" s="549"/>
      <c r="I13252" s="558"/>
      <c r="J13252" s="567"/>
      <c r="K13252" s="648"/>
      <c r="L13252" s="567"/>
      <c r="M13252" s="549"/>
      <c r="N13252" s="549"/>
      <c r="O13252" s="549"/>
      <c r="P13252" s="549"/>
    </row>
    <row r="13253" spans="1:17" s="1511" customFormat="1" ht="18">
      <c r="A13253" s="547" t="s">
        <v>272</v>
      </c>
      <c r="B13253" s="547" t="s">
        <v>1560</v>
      </c>
      <c r="C13253" s="547" t="s">
        <v>19</v>
      </c>
      <c r="D13253" s="813" t="s">
        <v>854</v>
      </c>
      <c r="E13253" s="780" t="s">
        <v>1028</v>
      </c>
      <c r="F13253" s="550">
        <v>12</v>
      </c>
      <c r="G13253" s="549" t="s">
        <v>21</v>
      </c>
      <c r="H13253" s="599" t="s">
        <v>118</v>
      </c>
      <c r="I13253" s="558">
        <v>9.26</v>
      </c>
      <c r="J13253" s="1022">
        <v>8</v>
      </c>
      <c r="K13253" s="1023">
        <v>1</v>
      </c>
      <c r="L13253" s="552">
        <f t="shared" ref="L13253" si="2670">(I13253*J13253*K13253/1000)</f>
        <v>7.4079999999999993E-2</v>
      </c>
      <c r="M13253" s="549">
        <v>1</v>
      </c>
      <c r="N13253" s="567">
        <f t="shared" ref="N13253" si="2671">J13253*M13253*I13253/1000</f>
        <v>7.4079999999999993E-2</v>
      </c>
      <c r="O13253" s="549"/>
      <c r="P13253" s="549"/>
      <c r="Q13253" s="1737" t="s">
        <v>1635</v>
      </c>
    </row>
    <row r="13254" spans="1:17" s="1511" customFormat="1" ht="17.399999999999999">
      <c r="A13254" s="549"/>
      <c r="B13254" s="549" t="s">
        <v>1027</v>
      </c>
      <c r="C13254" s="549"/>
      <c r="D13254" s="549"/>
      <c r="E13254" s="549"/>
      <c r="F13254" s="549"/>
      <c r="G13254" s="549"/>
      <c r="H13254" s="549"/>
      <c r="I13254" s="558"/>
      <c r="J13254" s="567"/>
      <c r="K13254" s="648">
        <f>SUM(K13253:K13253)</f>
        <v>1</v>
      </c>
      <c r="L13254" s="567">
        <f>SUM(L13253:L13253)</f>
        <v>7.4079999999999993E-2</v>
      </c>
      <c r="M13254" s="648">
        <f>SUM(M13253:M13253)</f>
        <v>1</v>
      </c>
      <c r="N13254" s="567">
        <f>SUM(N13253:N13253)</f>
        <v>7.4079999999999993E-2</v>
      </c>
      <c r="O13254" s="549"/>
      <c r="P13254" s="549"/>
    </row>
    <row r="13255" spans="1:17" s="1511" customFormat="1" ht="17.399999999999999">
      <c r="A13255" s="549"/>
      <c r="B13255" s="549"/>
      <c r="C13255" s="549"/>
      <c r="D13255" s="549"/>
      <c r="E13255" s="549"/>
      <c r="F13255" s="549"/>
      <c r="G13255" s="549"/>
      <c r="H13255" s="549"/>
      <c r="I13255" s="560"/>
      <c r="J13255" s="549"/>
      <c r="K13255" s="561"/>
      <c r="L13255" s="560"/>
      <c r="M13255" s="549"/>
      <c r="N13255" s="549"/>
      <c r="O13255" s="549"/>
      <c r="P13255" s="549"/>
    </row>
    <row r="13256" spans="1:17" s="1511" customFormat="1" ht="18">
      <c r="A13256" s="547" t="s">
        <v>272</v>
      </c>
      <c r="B13256" s="547" t="s">
        <v>1561</v>
      </c>
      <c r="C13256" s="547" t="s">
        <v>19</v>
      </c>
      <c r="D13256" s="813" t="s">
        <v>854</v>
      </c>
      <c r="E13256" s="547" t="s">
        <v>359</v>
      </c>
      <c r="F13256" s="550">
        <v>12</v>
      </c>
      <c r="G13256" s="549" t="s">
        <v>21</v>
      </c>
      <c r="H13256" s="599" t="s">
        <v>118</v>
      </c>
      <c r="I13256" s="558">
        <v>9.26</v>
      </c>
      <c r="J13256" s="1021">
        <v>12</v>
      </c>
      <c r="K13256" s="1023">
        <v>2</v>
      </c>
      <c r="L13256" s="552">
        <f>(I13256*J13256*K13256/1000)</f>
        <v>0.22224000000000002</v>
      </c>
      <c r="M13256" s="549">
        <v>2</v>
      </c>
      <c r="N13256" s="567">
        <f t="shared" ref="N13256" si="2672">J13256*M13256*I13256/1000</f>
        <v>0.22224000000000002</v>
      </c>
      <c r="O13256" s="549"/>
      <c r="P13256" s="549"/>
      <c r="Q13256" s="1737" t="s">
        <v>1635</v>
      </c>
    </row>
    <row r="13257" spans="1:17" s="1511" customFormat="1" ht="17.399999999999999">
      <c r="A13257" s="549"/>
      <c r="B13257" s="549" t="s">
        <v>1027</v>
      </c>
      <c r="C13257" s="549"/>
      <c r="D13257" s="549"/>
      <c r="E13257" s="549"/>
      <c r="F13257" s="549"/>
      <c r="G13257" s="549"/>
      <c r="H13257" s="549"/>
      <c r="I13257" s="558"/>
      <c r="J13257" s="567"/>
      <c r="K13257" s="648">
        <f>SUM(K13256:K13256)</f>
        <v>2</v>
      </c>
      <c r="L13257" s="567">
        <f>SUM(L13256:L13256)</f>
        <v>0.22224000000000002</v>
      </c>
      <c r="M13257" s="648">
        <f>SUM(M13256:M13256)</f>
        <v>2</v>
      </c>
      <c r="N13257" s="567">
        <f>SUM(N13256:N13256)</f>
        <v>0.22224000000000002</v>
      </c>
      <c r="O13257" s="549"/>
      <c r="P13257" s="549"/>
    </row>
    <row r="13258" spans="1:17" s="1511" customFormat="1" ht="17.399999999999999">
      <c r="A13258" s="549"/>
      <c r="B13258" s="549"/>
      <c r="C13258" s="549"/>
      <c r="D13258" s="549"/>
      <c r="E13258" s="549"/>
      <c r="F13258" s="549"/>
      <c r="G13258" s="549"/>
      <c r="H13258" s="549"/>
      <c r="I13258" s="560"/>
      <c r="J13258" s="549"/>
      <c r="K13258" s="561"/>
      <c r="L13258" s="560"/>
      <c r="M13258" s="549"/>
      <c r="N13258" s="549"/>
      <c r="O13258" s="549"/>
      <c r="P13258" s="549"/>
    </row>
    <row r="13259" spans="1:17" s="1511" customFormat="1" ht="18">
      <c r="A13259" s="547" t="s">
        <v>83</v>
      </c>
      <c r="B13259" s="547" t="s">
        <v>1559</v>
      </c>
      <c r="C13259" s="547" t="s">
        <v>19</v>
      </c>
      <c r="D13259" s="813" t="s">
        <v>854</v>
      </c>
      <c r="E13259" s="550" t="s">
        <v>464</v>
      </c>
      <c r="F13259" s="550">
        <v>12</v>
      </c>
      <c r="G13259" s="549" t="s">
        <v>21</v>
      </c>
      <c r="H13259" s="599" t="s">
        <v>118</v>
      </c>
      <c r="I13259" s="558">
        <v>9.26</v>
      </c>
      <c r="J13259" s="1021">
        <v>12</v>
      </c>
      <c r="K13259" s="1023">
        <v>22</v>
      </c>
      <c r="L13259" s="552">
        <f>(I13259*J13259*K13259/1000)</f>
        <v>2.4446400000000001</v>
      </c>
      <c r="M13259" s="549">
        <v>3</v>
      </c>
      <c r="N13259" s="567">
        <f t="shared" ref="N13259:N13260" si="2673">J13259*M13259*I13259/1000</f>
        <v>0.33335999999999999</v>
      </c>
      <c r="O13259" s="549"/>
      <c r="P13259" s="549"/>
      <c r="Q13259" s="1737" t="s">
        <v>1635</v>
      </c>
    </row>
    <row r="13260" spans="1:17" s="1511" customFormat="1" ht="18">
      <c r="A13260" s="549"/>
      <c r="B13260" s="549" t="s">
        <v>439</v>
      </c>
      <c r="C13260" s="549"/>
      <c r="D13260" s="549"/>
      <c r="E13260" s="549"/>
      <c r="F13260" s="549"/>
      <c r="G13260" s="549" t="s">
        <v>21</v>
      </c>
      <c r="H13260" s="549" t="s">
        <v>118</v>
      </c>
      <c r="I13260" s="558">
        <v>9.26</v>
      </c>
      <c r="J13260" s="1021">
        <v>8</v>
      </c>
      <c r="K13260" s="1023">
        <v>6</v>
      </c>
      <c r="L13260" s="552">
        <f>(I13260*J13260*K13260/1000)</f>
        <v>0.44448000000000004</v>
      </c>
      <c r="M13260" s="549">
        <v>6</v>
      </c>
      <c r="N13260" s="567">
        <f t="shared" si="2673"/>
        <v>0.44448000000000004</v>
      </c>
      <c r="O13260" s="549"/>
      <c r="P13260" s="549"/>
    </row>
    <row r="13261" spans="1:17" s="1511" customFormat="1" ht="17.399999999999999">
      <c r="A13261" s="549"/>
      <c r="B13261" s="549"/>
      <c r="C13261" s="549"/>
      <c r="D13261" s="549"/>
      <c r="E13261" s="549"/>
      <c r="F13261" s="549"/>
      <c r="G13261" s="549"/>
      <c r="H13261" s="549"/>
      <c r="I13261" s="560"/>
      <c r="J13261" s="549"/>
      <c r="K13261" s="652">
        <f>SUM(K13259:K13260)</f>
        <v>28</v>
      </c>
      <c r="L13261" s="565">
        <f>SUM(L13259:L13260)</f>
        <v>2.8891200000000001</v>
      </c>
      <c r="M13261" s="652">
        <f>SUM(M13259:M13260)</f>
        <v>9</v>
      </c>
      <c r="N13261" s="565">
        <f>SUM(N13259:N13260)</f>
        <v>0.77784000000000009</v>
      </c>
      <c r="O13261" s="549"/>
      <c r="P13261" s="549" t="s">
        <v>1568</v>
      </c>
    </row>
    <row r="13262" spans="1:17" s="1511" customFormat="1" ht="17.399999999999999">
      <c r="A13262" s="549"/>
      <c r="B13262" s="549"/>
      <c r="C13262" s="549"/>
      <c r="D13262" s="549"/>
      <c r="E13262" s="549"/>
      <c r="F13262" s="549"/>
      <c r="G13262" s="549"/>
      <c r="H13262" s="549"/>
      <c r="I13262" s="560"/>
      <c r="J13262" s="549"/>
      <c r="K13262" s="652">
        <f>SUM(K13248:K13261)/2</f>
        <v>652</v>
      </c>
      <c r="L13262" s="565">
        <f>SUM(L13248:L13261)/2</f>
        <v>68.165638000000001</v>
      </c>
      <c r="M13262" s="652">
        <f>SUM(M13248:M13261)/2</f>
        <v>22</v>
      </c>
      <c r="N13262" s="565">
        <f>SUM(N13248:N13261)/2</f>
        <v>2.0279400000000001</v>
      </c>
      <c r="O13262" s="549"/>
      <c r="P13262" s="549"/>
    </row>
    <row r="13263" spans="1:17" s="1511" customFormat="1" ht="17.399999999999999">
      <c r="A13263" s="549"/>
      <c r="B13263" s="549"/>
      <c r="C13263" s="549"/>
      <c r="D13263" s="549"/>
      <c r="E13263" s="549"/>
      <c r="F13263" s="549"/>
      <c r="G13263" s="549"/>
      <c r="H13263" s="549"/>
      <c r="I13263" s="558"/>
      <c r="J13263" s="567"/>
      <c r="K13263" s="648"/>
      <c r="L13263" s="567"/>
      <c r="M13263" s="549"/>
      <c r="N13263" s="549"/>
      <c r="O13263" s="549"/>
      <c r="P13263" s="549"/>
    </row>
    <row r="13264" spans="1:17" s="1511" customFormat="1" ht="17.399999999999999">
      <c r="A13264" s="549"/>
      <c r="B13264" s="549"/>
      <c r="C13264" s="549"/>
      <c r="D13264" s="549"/>
      <c r="E13264" s="549"/>
      <c r="F13264" s="549"/>
      <c r="G13264" s="549"/>
      <c r="H13264" s="549"/>
      <c r="I13264" s="558"/>
      <c r="J13264" s="567"/>
      <c r="K13264" s="648"/>
      <c r="L13264" s="567"/>
      <c r="M13264" s="549"/>
      <c r="N13264" s="549"/>
      <c r="O13264" s="549"/>
      <c r="P13264" s="549"/>
    </row>
    <row r="13265" spans="1:23" ht="17.399999999999999">
      <c r="A13265" s="547" t="s">
        <v>83</v>
      </c>
      <c r="B13265" s="547" t="s">
        <v>1455</v>
      </c>
      <c r="C13265" s="547" t="s">
        <v>19</v>
      </c>
      <c r="D13265" s="813" t="s">
        <v>155</v>
      </c>
      <c r="E13265" s="549" t="s">
        <v>62</v>
      </c>
      <c r="F13265" s="550">
        <v>12</v>
      </c>
      <c r="G13265" s="549" t="s">
        <v>61</v>
      </c>
      <c r="H13265" s="599" t="s">
        <v>118</v>
      </c>
      <c r="I13265" s="558">
        <v>9.26</v>
      </c>
      <c r="J13265" s="567">
        <v>6.35</v>
      </c>
      <c r="K13265" s="648">
        <v>388</v>
      </c>
      <c r="L13265" s="552">
        <f>(I13265*J13265*K13265/1000)</f>
        <v>22.814787999999997</v>
      </c>
      <c r="M13265" s="549"/>
      <c r="N13265" s="549"/>
      <c r="O13265" s="549"/>
      <c r="P13265" s="549"/>
      <c r="Q13265" s="497">
        <f>41+41+22+37</f>
        <v>141</v>
      </c>
      <c r="R13265" s="126">
        <f t="shared" ref="R13265:R13267" si="2674">J13265*Q13265*I13265/1000</f>
        <v>8.2909409999999983</v>
      </c>
      <c r="S13265">
        <f>36+38</f>
        <v>74</v>
      </c>
      <c r="T13265">
        <f>J13265*S13265*I13265/1000</f>
        <v>4.3512739999999992</v>
      </c>
      <c r="U13265">
        <f>38+36+37+26</f>
        <v>137</v>
      </c>
      <c r="V13265">
        <f>J13265*U13265*I13265/1000</f>
        <v>8.0557369999999988</v>
      </c>
      <c r="W13265" s="1737" t="s">
        <v>1636</v>
      </c>
    </row>
    <row r="13266" spans="1:23" ht="17.399999999999999">
      <c r="A13266" s="549"/>
      <c r="B13266" s="728" t="s">
        <v>52</v>
      </c>
      <c r="C13266" s="549"/>
      <c r="D13266" s="549"/>
      <c r="E13266" s="549"/>
      <c r="F13266" s="549"/>
      <c r="G13266" s="549" t="s">
        <v>61</v>
      </c>
      <c r="H13266" s="549" t="s">
        <v>118</v>
      </c>
      <c r="I13266" s="558">
        <v>9.26</v>
      </c>
      <c r="J13266" s="567">
        <v>6.5</v>
      </c>
      <c r="K13266" s="648">
        <v>776</v>
      </c>
      <c r="L13266" s="552">
        <f>(I13266*J13266*K13266/1000)</f>
        <v>46.707439999999998</v>
      </c>
      <c r="M13266" s="549"/>
      <c r="N13266" s="549"/>
      <c r="O13266" s="549"/>
      <c r="P13266" s="549"/>
      <c r="Q13266" s="497">
        <f>35+37+35+35+35+38+31</f>
        <v>246</v>
      </c>
      <c r="R13266" s="126">
        <f t="shared" si="2674"/>
        <v>14.80674</v>
      </c>
      <c r="S13266">
        <f>36+36+35+36+36</f>
        <v>179</v>
      </c>
      <c r="T13266" s="1737">
        <f t="shared" ref="T13266:T13267" si="2675">J13266*S13266*I13266/1000</f>
        <v>10.774010000000001</v>
      </c>
      <c r="U13266">
        <f>38+35+36+12</f>
        <v>121</v>
      </c>
      <c r="V13266" s="1737">
        <f t="shared" ref="V13266:V13267" si="2676">J13266*U13266*I13266/1000</f>
        <v>7.2829899999999999</v>
      </c>
    </row>
    <row r="13267" spans="1:23" ht="17.399999999999999">
      <c r="A13267" s="549"/>
      <c r="B13267" s="549"/>
      <c r="C13267" s="549"/>
      <c r="D13267" s="549"/>
      <c r="E13267" s="549"/>
      <c r="F13267" s="549"/>
      <c r="G13267" s="549" t="s">
        <v>61</v>
      </c>
      <c r="H13267" s="549" t="s">
        <v>118</v>
      </c>
      <c r="I13267" s="558">
        <v>9.26</v>
      </c>
      <c r="J13267" s="567">
        <v>9.15</v>
      </c>
      <c r="K13267" s="648">
        <v>776</v>
      </c>
      <c r="L13267" s="552">
        <f>(I13267*J13267*K13267/1000)</f>
        <v>65.749703999999994</v>
      </c>
      <c r="M13267" s="549"/>
      <c r="N13267" s="549"/>
      <c r="O13267" s="549"/>
      <c r="P13267" s="549"/>
      <c r="Q13267" s="497">
        <f>32+34+32+32+35+35</f>
        <v>200</v>
      </c>
      <c r="R13267" s="126">
        <f t="shared" si="2674"/>
        <v>16.945799999999998</v>
      </c>
      <c r="S13267">
        <f>36+36+36+36+34</f>
        <v>178</v>
      </c>
      <c r="T13267" s="1737">
        <f t="shared" si="2675"/>
        <v>15.081762000000001</v>
      </c>
      <c r="U13267">
        <f>35+34+31+37+11</f>
        <v>148</v>
      </c>
      <c r="V13267" s="1737">
        <f t="shared" si="2676"/>
        <v>12.539892</v>
      </c>
    </row>
    <row r="13268" spans="1:23" ht="17.399999999999999">
      <c r="A13268" s="549"/>
      <c r="B13268" s="549"/>
      <c r="C13268" s="549"/>
      <c r="D13268" s="549"/>
      <c r="E13268" s="549"/>
      <c r="F13268" s="549"/>
      <c r="G13268" s="549"/>
      <c r="H13268" s="549"/>
      <c r="I13268" s="558"/>
      <c r="J13268" s="567"/>
      <c r="K13268" s="648">
        <f t="shared" ref="K13268:L13268" si="2677">SUM(K13265:K13267)</f>
        <v>1940</v>
      </c>
      <c r="L13268" s="567">
        <f t="shared" si="2677"/>
        <v>135.27193199999999</v>
      </c>
      <c r="M13268" s="549"/>
      <c r="N13268" s="549"/>
      <c r="O13268" s="549"/>
      <c r="P13268" s="549" t="s">
        <v>1569</v>
      </c>
      <c r="Q13268" s="648">
        <f t="shared" ref="Q13268" si="2678">SUM(Q13265:Q13267)</f>
        <v>587</v>
      </c>
      <c r="R13268" s="567">
        <f>SUM(R13265:R13267)</f>
        <v>40.043481</v>
      </c>
      <c r="S13268" s="648">
        <f t="shared" ref="S13268:V13268" si="2679">SUM(S13265:S13267)</f>
        <v>431</v>
      </c>
      <c r="T13268" s="567">
        <f t="shared" si="2679"/>
        <v>30.207046000000002</v>
      </c>
      <c r="U13268" s="648">
        <f t="shared" si="2679"/>
        <v>406</v>
      </c>
      <c r="V13268" s="567">
        <f t="shared" si="2679"/>
        <v>27.878619</v>
      </c>
    </row>
    <row r="13269" spans="1:23" s="1511" customFormat="1" ht="17.399999999999999">
      <c r="A13269" s="549"/>
      <c r="B13269" s="549"/>
      <c r="C13269" s="549"/>
      <c r="D13269" s="549"/>
      <c r="E13269" s="549"/>
      <c r="F13269" s="549"/>
      <c r="G13269" s="549"/>
      <c r="H13269" s="549"/>
      <c r="I13269" s="558"/>
      <c r="J13269" s="567"/>
      <c r="K13269" s="648"/>
      <c r="L13269" s="567"/>
      <c r="M13269" s="549"/>
      <c r="N13269" s="549"/>
      <c r="O13269" s="549"/>
      <c r="P13269" s="549"/>
    </row>
    <row r="13270" spans="1:23" ht="17.399999999999999">
      <c r="A13270" s="547" t="s">
        <v>83</v>
      </c>
      <c r="B13270" s="547" t="s">
        <v>1559</v>
      </c>
      <c r="C13270" s="547" t="s">
        <v>19</v>
      </c>
      <c r="D13270" s="813" t="s">
        <v>155</v>
      </c>
      <c r="E13270" s="550" t="s">
        <v>471</v>
      </c>
      <c r="F13270" s="550">
        <v>12</v>
      </c>
      <c r="G13270" s="550" t="s">
        <v>61</v>
      </c>
      <c r="H13270" s="599" t="s">
        <v>118</v>
      </c>
      <c r="I13270" s="551">
        <v>9.26</v>
      </c>
      <c r="J13270" s="764">
        <v>9.6999999999999993</v>
      </c>
      <c r="K13270" s="766">
        <v>48</v>
      </c>
      <c r="L13270" s="552">
        <f>(I13270*J13270*K13270/1000)</f>
        <v>4.3114559999999988</v>
      </c>
      <c r="M13270" s="549"/>
      <c r="N13270" s="549"/>
      <c r="O13270" s="549"/>
      <c r="P13270" s="549"/>
      <c r="Q13270" s="497">
        <v>22</v>
      </c>
      <c r="R13270" s="126">
        <f>J13270*Q13270*I13270/1000</f>
        <v>1.9760839999999997</v>
      </c>
      <c r="U13270" s="1737">
        <f>24+14-11</f>
        <v>27</v>
      </c>
      <c r="V13270" s="1737">
        <f t="shared" ref="V13270" si="2680">J13270*U13270*I13270/1000</f>
        <v>2.4251939999999998</v>
      </c>
      <c r="W13270" s="1737" t="s">
        <v>1636</v>
      </c>
    </row>
    <row r="13271" spans="1:23" ht="17.399999999999999">
      <c r="A13271" s="550"/>
      <c r="B13271" s="550" t="s">
        <v>439</v>
      </c>
      <c r="C13271" s="550"/>
      <c r="D13271" s="550"/>
      <c r="E13271" s="550"/>
      <c r="F13271" s="550"/>
      <c r="G13271" s="550"/>
      <c r="H13271" s="550"/>
      <c r="I13271" s="551"/>
      <c r="J13271" s="765"/>
      <c r="K13271" s="766">
        <f>SUM(K13270:K13270)</f>
        <v>48</v>
      </c>
      <c r="L13271" s="765">
        <f>SUM(L13270:L13270)</f>
        <v>4.3114559999999988</v>
      </c>
      <c r="M13271" s="549"/>
      <c r="N13271" s="549"/>
      <c r="O13271" s="549"/>
      <c r="P13271" s="549" t="s">
        <v>1570</v>
      </c>
      <c r="Q13271" s="766">
        <f>SUM(Q13270:Q13270)</f>
        <v>22</v>
      </c>
      <c r="R13271" s="765">
        <f>SUM(R13270:R13270)</f>
        <v>1.9760839999999997</v>
      </c>
      <c r="U13271" s="766">
        <f>SUM(U13270:U13270)</f>
        <v>27</v>
      </c>
      <c r="V13271" s="765">
        <f>SUM(V13270:V13270)</f>
        <v>2.4251939999999998</v>
      </c>
    </row>
    <row r="13272" spans="1:23" ht="17.399999999999999">
      <c r="A13272" s="550"/>
      <c r="B13272" s="550"/>
      <c r="C13272" s="550"/>
      <c r="D13272" s="550"/>
      <c r="E13272" s="550"/>
      <c r="F13272" s="550"/>
      <c r="G13272" s="550"/>
      <c r="H13272" s="550"/>
      <c r="I13272" s="1865"/>
      <c r="J13272" s="550"/>
      <c r="K13272" s="772"/>
      <c r="L13272" s="1726"/>
      <c r="M13272" s="549"/>
      <c r="N13272" s="549"/>
      <c r="O13272" s="549"/>
      <c r="P13272" s="549"/>
      <c r="Q13272" s="150"/>
      <c r="R13272" s="150"/>
    </row>
    <row r="13273" spans="1:23" ht="17.399999999999999">
      <c r="A13273" s="547" t="s">
        <v>272</v>
      </c>
      <c r="B13273" s="547" t="s">
        <v>1560</v>
      </c>
      <c r="C13273" s="547" t="s">
        <v>19</v>
      </c>
      <c r="D13273" s="813" t="s">
        <v>155</v>
      </c>
      <c r="E13273" s="550" t="s">
        <v>1096</v>
      </c>
      <c r="F13273" s="550">
        <v>12</v>
      </c>
      <c r="G13273" s="550" t="s">
        <v>61</v>
      </c>
      <c r="H13273" s="599" t="s">
        <v>118</v>
      </c>
      <c r="I13273" s="551">
        <v>9.26</v>
      </c>
      <c r="J13273" s="765">
        <v>9.6999999999999993</v>
      </c>
      <c r="K13273" s="766">
        <v>1</v>
      </c>
      <c r="L13273" s="552">
        <f>(I13273*J13273*K13273/1000)</f>
        <v>8.9821999999999985E-2</v>
      </c>
      <c r="M13273" s="549"/>
      <c r="N13273" s="549"/>
      <c r="O13273" s="549"/>
      <c r="P13273" s="549"/>
      <c r="Q13273" s="150">
        <v>1</v>
      </c>
      <c r="R13273" s="126">
        <f>J13273*Q13273*I13273/1000</f>
        <v>8.9821999999999985E-2</v>
      </c>
      <c r="S13273" s="1737" t="s">
        <v>1636</v>
      </c>
    </row>
    <row r="13274" spans="1:23" ht="17.399999999999999">
      <c r="A13274" s="550"/>
      <c r="B13274" s="550" t="s">
        <v>1027</v>
      </c>
      <c r="C13274" s="550"/>
      <c r="D13274" s="550"/>
      <c r="E13274" s="550"/>
      <c r="F13274" s="550"/>
      <c r="G13274" s="550"/>
      <c r="H13274" s="550"/>
      <c r="I13274" s="551"/>
      <c r="J13274" s="765"/>
      <c r="K13274" s="766">
        <f>SUM(K13273:K13273)</f>
        <v>1</v>
      </c>
      <c r="L13274" s="765">
        <f>SUM(L13273:L13273)</f>
        <v>8.9821999999999985E-2</v>
      </c>
      <c r="M13274" s="549"/>
      <c r="N13274" s="549"/>
      <c r="O13274" s="549"/>
      <c r="P13274" s="549" t="s">
        <v>1571</v>
      </c>
      <c r="Q13274" s="766">
        <f>SUM(Q13273:Q13273)</f>
        <v>1</v>
      </c>
      <c r="R13274" s="765">
        <f>SUM(R13273:R13273)</f>
        <v>8.9821999999999985E-2</v>
      </c>
    </row>
    <row r="13275" spans="1:23" s="1511" customFormat="1" ht="17.399999999999999">
      <c r="A13275" s="549"/>
      <c r="B13275" s="549"/>
      <c r="C13275" s="549"/>
      <c r="D13275" s="549"/>
      <c r="E13275" s="549"/>
      <c r="F13275" s="549"/>
      <c r="G13275" s="549"/>
      <c r="H13275" s="549"/>
      <c r="I13275" s="558"/>
      <c r="J13275" s="567"/>
      <c r="K13275" s="648">
        <f>SUM(K13265:K13274)/2</f>
        <v>1989</v>
      </c>
      <c r="L13275" s="567">
        <f>SUM(L13265:L13274)/2</f>
        <v>139.67321000000004</v>
      </c>
      <c r="M13275" s="648">
        <f>SUM(M13265:M13274)/2</f>
        <v>0</v>
      </c>
      <c r="N13275" s="567">
        <f>SUM(N13265:N13274)/2</f>
        <v>0</v>
      </c>
      <c r="O13275" s="549"/>
      <c r="P13275" s="549"/>
    </row>
    <row r="13276" spans="1:23" s="1511" customFormat="1" ht="17.399999999999999">
      <c r="A13276" s="549"/>
      <c r="B13276" s="549"/>
      <c r="C13276" s="549"/>
      <c r="D13276" s="549"/>
      <c r="E13276" s="549"/>
      <c r="F13276" s="549"/>
      <c r="G13276" s="549"/>
      <c r="H13276" s="549"/>
      <c r="I13276" s="558"/>
      <c r="J13276" s="567"/>
      <c r="K13276" s="648"/>
      <c r="L13276" s="567"/>
      <c r="M13276" s="549"/>
      <c r="N13276" s="549"/>
      <c r="O13276" s="549"/>
      <c r="P13276" s="549"/>
    </row>
    <row r="13277" spans="1:23" s="1511" customFormat="1" ht="17.399999999999999">
      <c r="A13277" s="549"/>
      <c r="B13277" s="549"/>
      <c r="C13277" s="549"/>
      <c r="D13277" s="549"/>
      <c r="E13277" s="549"/>
      <c r="F13277" s="549"/>
      <c r="G13277" s="549"/>
      <c r="H13277" s="549"/>
      <c r="I13277" s="558"/>
      <c r="J13277" s="567"/>
      <c r="K13277" s="648"/>
      <c r="L13277" s="567"/>
      <c r="M13277" s="549"/>
      <c r="N13277" s="549"/>
      <c r="O13277" s="549"/>
      <c r="P13277" s="549"/>
    </row>
    <row r="13278" spans="1:23" ht="17.399999999999999">
      <c r="A13278" s="547" t="s">
        <v>83</v>
      </c>
      <c r="B13278" s="547" t="s">
        <v>1455</v>
      </c>
      <c r="C13278" s="547" t="s">
        <v>19</v>
      </c>
      <c r="D13278" s="813" t="s">
        <v>155</v>
      </c>
      <c r="E13278" s="549" t="s">
        <v>62</v>
      </c>
      <c r="F13278" s="550">
        <v>12</v>
      </c>
      <c r="G13278" s="549" t="s">
        <v>61</v>
      </c>
      <c r="H13278" s="599" t="s">
        <v>119</v>
      </c>
      <c r="I13278" s="558">
        <v>10.7</v>
      </c>
      <c r="J13278" s="567">
        <v>6.5</v>
      </c>
      <c r="K13278" s="648">
        <v>388</v>
      </c>
      <c r="L13278" s="552">
        <f>(I13278*J13278*K13278/1000)</f>
        <v>26.985399999999998</v>
      </c>
      <c r="M13278" s="549"/>
      <c r="N13278" s="549"/>
      <c r="O13278" s="549"/>
      <c r="P13278" s="549"/>
      <c r="Q13278" s="497">
        <f>35+35+35+35+7</f>
        <v>147</v>
      </c>
      <c r="R13278" s="126">
        <f>J13278*Q13278*I13278/1000</f>
        <v>10.223849999999999</v>
      </c>
      <c r="S13278" s="1737" t="s">
        <v>1636</v>
      </c>
    </row>
    <row r="13279" spans="1:23" ht="17.399999999999999">
      <c r="A13279" s="549"/>
      <c r="B13279" s="728" t="s">
        <v>52</v>
      </c>
      <c r="C13279" s="549"/>
      <c r="D13279" s="549"/>
      <c r="E13279" s="549"/>
      <c r="F13279" s="549"/>
      <c r="G13279" s="549"/>
      <c r="H13279" s="549"/>
      <c r="I13279" s="558"/>
      <c r="J13279" s="567"/>
      <c r="K13279" s="648">
        <f t="shared" ref="K13279:M13279" si="2681">SUM(K13278)</f>
        <v>388</v>
      </c>
      <c r="L13279" s="567">
        <f>SUM(L13278)</f>
        <v>26.985399999999998</v>
      </c>
      <c r="M13279" s="648">
        <f t="shared" si="2681"/>
        <v>0</v>
      </c>
      <c r="N13279" s="567">
        <f>SUM(N13278)</f>
        <v>0</v>
      </c>
      <c r="O13279" s="549"/>
      <c r="P13279" s="549" t="s">
        <v>1572</v>
      </c>
      <c r="Q13279" s="648">
        <f t="shared" ref="Q13279" si="2682">SUM(Q13278)</f>
        <v>147</v>
      </c>
      <c r="R13279" s="567">
        <f>SUM(R13278)</f>
        <v>10.223849999999999</v>
      </c>
    </row>
    <row r="13280" spans="1:23" s="1511" customFormat="1" ht="17.399999999999999">
      <c r="A13280" s="549"/>
      <c r="B13280" s="728"/>
      <c r="C13280" s="549"/>
      <c r="D13280" s="549"/>
      <c r="E13280" s="549"/>
      <c r="F13280" s="549"/>
      <c r="G13280" s="549"/>
      <c r="H13280" s="549"/>
      <c r="I13280" s="558"/>
      <c r="J13280" s="567"/>
      <c r="K13280" s="648"/>
      <c r="L13280" s="567"/>
      <c r="M13280" s="549"/>
      <c r="N13280" s="549"/>
      <c r="O13280" s="549"/>
      <c r="P13280" s="549"/>
    </row>
    <row r="13281" spans="1:19" s="1511" customFormat="1" ht="17.399999999999999">
      <c r="A13281" s="549"/>
      <c r="B13281" s="728"/>
      <c r="C13281" s="549"/>
      <c r="D13281" s="549"/>
      <c r="E13281" s="549"/>
      <c r="F13281" s="549"/>
      <c r="G13281" s="549"/>
      <c r="H13281" s="549"/>
      <c r="I13281" s="558"/>
      <c r="J13281" s="567"/>
      <c r="K13281" s="648"/>
      <c r="L13281" s="567"/>
      <c r="M13281" s="549"/>
      <c r="N13281" s="549"/>
      <c r="O13281" s="549"/>
      <c r="P13281" s="549"/>
    </row>
    <row r="13282" spans="1:19" s="1511" customFormat="1" ht="17.399999999999999">
      <c r="A13282" s="549"/>
      <c r="B13282" s="728"/>
      <c r="C13282" s="549"/>
      <c r="D13282" s="549"/>
      <c r="E13282" s="549"/>
      <c r="F13282" s="549"/>
      <c r="G13282" s="549"/>
      <c r="H13282" s="549"/>
      <c r="I13282" s="558"/>
      <c r="J13282" s="567"/>
      <c r="K13282" s="648"/>
      <c r="L13282" s="567"/>
      <c r="M13282" s="549"/>
      <c r="N13282" s="549"/>
      <c r="O13282" s="549"/>
      <c r="P13282" s="549"/>
    </row>
    <row r="13283" spans="1:19" s="1511" customFormat="1" ht="17.399999999999999">
      <c r="A13283" s="549"/>
      <c r="B13283" s="728"/>
      <c r="C13283" s="549"/>
      <c r="D13283" s="549"/>
      <c r="E13283" s="549"/>
      <c r="F13283" s="549"/>
      <c r="G13283" s="549"/>
      <c r="H13283" s="549"/>
      <c r="I13283" s="558"/>
      <c r="J13283" s="567"/>
      <c r="K13283" s="648"/>
      <c r="L13283" s="567"/>
      <c r="M13283" s="549"/>
      <c r="N13283" s="549"/>
      <c r="O13283" s="549"/>
      <c r="P13283" s="549"/>
    </row>
    <row r="13284" spans="1:19" ht="17.399999999999999">
      <c r="A13284" s="547" t="s">
        <v>83</v>
      </c>
      <c r="B13284" s="547" t="s">
        <v>1455</v>
      </c>
      <c r="C13284" s="547" t="s">
        <v>19</v>
      </c>
      <c r="D13284" s="813" t="s">
        <v>155</v>
      </c>
      <c r="E13284" s="549" t="s">
        <v>62</v>
      </c>
      <c r="F13284" s="550">
        <v>12</v>
      </c>
      <c r="G13284" s="549" t="s">
        <v>61</v>
      </c>
      <c r="H13284" s="599" t="s">
        <v>134</v>
      </c>
      <c r="I13284" s="558">
        <v>12.2</v>
      </c>
      <c r="J13284" s="567">
        <v>8</v>
      </c>
      <c r="K13284" s="648">
        <v>74</v>
      </c>
      <c r="L13284" s="552">
        <f>(I13284*J13284*K13284/1000)</f>
        <v>7.2223999999999995</v>
      </c>
      <c r="M13284" s="549"/>
      <c r="N13284" s="549"/>
      <c r="O13284" s="549"/>
      <c r="P13284" s="549"/>
      <c r="Q13284" s="497">
        <v>23</v>
      </c>
      <c r="R13284" s="126">
        <f t="shared" ref="R13284:R13285" si="2683">J13284*Q13284*I13284/1000</f>
        <v>2.2447999999999997</v>
      </c>
      <c r="S13284" s="1737" t="s">
        <v>1639</v>
      </c>
    </row>
    <row r="13285" spans="1:19" ht="17.399999999999999">
      <c r="A13285" s="549"/>
      <c r="B13285" s="728" t="s">
        <v>52</v>
      </c>
      <c r="C13285" s="549"/>
      <c r="D13285" s="549"/>
      <c r="E13285" s="549"/>
      <c r="F13285" s="549"/>
      <c r="G13285" s="549" t="s">
        <v>61</v>
      </c>
      <c r="H13285" s="549" t="s">
        <v>134</v>
      </c>
      <c r="I13285" s="558">
        <v>12.2</v>
      </c>
      <c r="J13285" s="567">
        <v>11.9</v>
      </c>
      <c r="K13285" s="648">
        <v>80</v>
      </c>
      <c r="L13285" s="552">
        <f>(I13285*J13285*K13285/1000)</f>
        <v>11.614400000000002</v>
      </c>
      <c r="M13285" s="549"/>
      <c r="N13285" s="549"/>
      <c r="O13285" s="549"/>
      <c r="P13285" s="549"/>
      <c r="Q13285" s="497">
        <f>6+25</f>
        <v>31</v>
      </c>
      <c r="R13285" s="126">
        <f t="shared" si="2683"/>
        <v>4.5005800000000002</v>
      </c>
    </row>
    <row r="13286" spans="1:19" ht="17.399999999999999">
      <c r="A13286" s="549"/>
      <c r="B13286" s="549"/>
      <c r="C13286" s="549"/>
      <c r="D13286" s="549"/>
      <c r="E13286" s="549"/>
      <c r="F13286" s="549"/>
      <c r="G13286" s="549"/>
      <c r="H13286" s="549"/>
      <c r="I13286" s="558"/>
      <c r="J13286" s="567"/>
      <c r="K13286" s="648">
        <f>SUM(K13284:K13285)</f>
        <v>154</v>
      </c>
      <c r="L13286" s="567">
        <f>SUM(L13284:L13285)</f>
        <v>18.8368</v>
      </c>
      <c r="M13286" s="549"/>
      <c r="N13286" s="549"/>
      <c r="O13286" s="549"/>
      <c r="P13286" s="549" t="s">
        <v>1573</v>
      </c>
      <c r="Q13286" s="648">
        <f>SUM(Q13284:Q13285)</f>
        <v>54</v>
      </c>
      <c r="R13286" s="567">
        <f>SUM(R13284:R13285)</f>
        <v>6.7453799999999999</v>
      </c>
    </row>
    <row r="13287" spans="1:19" ht="17.399999999999999">
      <c r="A13287" s="549"/>
      <c r="B13287" s="549"/>
      <c r="C13287" s="549"/>
      <c r="D13287" s="549"/>
      <c r="E13287" s="549"/>
      <c r="F13287" s="549"/>
      <c r="G13287" s="549"/>
      <c r="H13287" s="549"/>
      <c r="I13287" s="560"/>
      <c r="J13287" s="549"/>
      <c r="K13287" s="561"/>
      <c r="L13287" s="560"/>
      <c r="M13287" s="549"/>
      <c r="N13287" s="549"/>
      <c r="O13287" s="549"/>
      <c r="P13287" s="549"/>
    </row>
    <row r="13288" spans="1:19" s="1511" customFormat="1" ht="18">
      <c r="A13288" s="547" t="s">
        <v>272</v>
      </c>
      <c r="B13288" s="547" t="s">
        <v>1562</v>
      </c>
      <c r="C13288" s="547" t="s">
        <v>19</v>
      </c>
      <c r="D13288" s="813" t="s">
        <v>155</v>
      </c>
      <c r="E13288" s="547" t="s">
        <v>270</v>
      </c>
      <c r="F13288" s="550">
        <v>12</v>
      </c>
      <c r="G13288" s="549" t="s">
        <v>61</v>
      </c>
      <c r="H13288" s="599" t="s">
        <v>134</v>
      </c>
      <c r="I13288" s="558">
        <v>12.18</v>
      </c>
      <c r="J13288" s="913">
        <v>8</v>
      </c>
      <c r="K13288" s="915">
        <v>5</v>
      </c>
      <c r="L13288" s="552">
        <f t="shared" ref="L13288:L13289" si="2684">(I13288*J13288*K13288/1000)</f>
        <v>0.48719999999999997</v>
      </c>
      <c r="M13288" s="549"/>
      <c r="N13288" s="549"/>
      <c r="O13288" s="549"/>
      <c r="P13288" s="549"/>
      <c r="Q13288" s="1511">
        <v>5</v>
      </c>
      <c r="R13288" s="126">
        <f t="shared" ref="R13288:R13289" si="2685">J13288*Q13288*I13288/1000</f>
        <v>0.48719999999999997</v>
      </c>
      <c r="S13288" s="1737" t="s">
        <v>1639</v>
      </c>
    </row>
    <row r="13289" spans="1:19" s="1511" customFormat="1" ht="18">
      <c r="A13289" s="549"/>
      <c r="B13289" s="898" t="s">
        <v>333</v>
      </c>
      <c r="C13289" s="549"/>
      <c r="D13289" s="549"/>
      <c r="E13289" s="549"/>
      <c r="F13289" s="549"/>
      <c r="G13289" s="549" t="s">
        <v>61</v>
      </c>
      <c r="H13289" s="549" t="s">
        <v>134</v>
      </c>
      <c r="I13289" s="558">
        <v>12.18</v>
      </c>
      <c r="J13289" s="913">
        <v>8</v>
      </c>
      <c r="K13289" s="915">
        <v>4</v>
      </c>
      <c r="L13289" s="552">
        <f t="shared" si="2684"/>
        <v>0.38976</v>
      </c>
      <c r="M13289" s="549"/>
      <c r="N13289" s="549"/>
      <c r="O13289" s="549"/>
      <c r="P13289" s="549"/>
      <c r="Q13289" s="1511">
        <v>4</v>
      </c>
      <c r="R13289" s="126">
        <f t="shared" si="2685"/>
        <v>0.38976</v>
      </c>
    </row>
    <row r="13290" spans="1:19" s="1511" customFormat="1" ht="17.399999999999999">
      <c r="A13290" s="549"/>
      <c r="B13290" s="549"/>
      <c r="C13290" s="549"/>
      <c r="D13290" s="549"/>
      <c r="E13290" s="549"/>
      <c r="F13290" s="549"/>
      <c r="G13290" s="549"/>
      <c r="H13290" s="549"/>
      <c r="I13290" s="558"/>
      <c r="J13290" s="567"/>
      <c r="K13290" s="648">
        <f>SUM(K13288:K13289)</f>
        <v>9</v>
      </c>
      <c r="L13290" s="567">
        <f>SUM(L13288:L13289)</f>
        <v>0.87695999999999996</v>
      </c>
      <c r="M13290" s="549"/>
      <c r="N13290" s="549"/>
      <c r="O13290" s="549"/>
      <c r="P13290" s="549" t="s">
        <v>1574</v>
      </c>
      <c r="Q13290" s="648">
        <f>SUM(Q13288:Q13289)</f>
        <v>9</v>
      </c>
      <c r="R13290" s="567">
        <f>SUM(R13288:R13289)</f>
        <v>0.87695999999999996</v>
      </c>
    </row>
    <row r="13291" spans="1:19" s="1511" customFormat="1" ht="17.399999999999999">
      <c r="A13291" s="549"/>
      <c r="B13291" s="549"/>
      <c r="C13291" s="549"/>
      <c r="D13291" s="549"/>
      <c r="E13291" s="549"/>
      <c r="F13291" s="549"/>
      <c r="G13291" s="549"/>
      <c r="H13291" s="549"/>
      <c r="I13291" s="560"/>
      <c r="J13291" s="549"/>
      <c r="K13291" s="652">
        <f>SUM(K13284:K13290)/2</f>
        <v>163</v>
      </c>
      <c r="L13291" s="565">
        <f>SUM(L13284:L13290)/2</f>
        <v>19.713760000000001</v>
      </c>
      <c r="M13291" s="549"/>
      <c r="N13291" s="549"/>
      <c r="O13291" s="549"/>
      <c r="P13291" s="549"/>
    </row>
    <row r="13292" spans="1:19" s="1511" customFormat="1" ht="17.399999999999999">
      <c r="A13292" s="549"/>
      <c r="B13292" s="549"/>
      <c r="C13292" s="549"/>
      <c r="D13292" s="549"/>
      <c r="E13292" s="549"/>
      <c r="F13292" s="549"/>
      <c r="G13292" s="549"/>
      <c r="H13292" s="549"/>
      <c r="I13292" s="560"/>
      <c r="J13292" s="549"/>
      <c r="K13292" s="561"/>
      <c r="L13292" s="560"/>
      <c r="M13292" s="549"/>
      <c r="N13292" s="549"/>
      <c r="O13292" s="549"/>
      <c r="P13292" s="549"/>
    </row>
    <row r="13293" spans="1:19" s="1511" customFormat="1" ht="17.399999999999999">
      <c r="A13293" s="549"/>
      <c r="B13293" s="549"/>
      <c r="C13293" s="549"/>
      <c r="D13293" s="549"/>
      <c r="E13293" s="549"/>
      <c r="F13293" s="549"/>
      <c r="G13293" s="549"/>
      <c r="H13293" s="549"/>
      <c r="I13293" s="560"/>
      <c r="J13293" s="549"/>
      <c r="K13293" s="561"/>
      <c r="L13293" s="560"/>
      <c r="M13293" s="549"/>
      <c r="N13293" s="549"/>
      <c r="O13293" s="549"/>
      <c r="P13293" s="549"/>
    </row>
    <row r="13294" spans="1:19" s="1511" customFormat="1" ht="17.399999999999999">
      <c r="A13294" s="549"/>
      <c r="B13294" s="549"/>
      <c r="C13294" s="549"/>
      <c r="D13294" s="549"/>
      <c r="E13294" s="549"/>
      <c r="F13294" s="549"/>
      <c r="G13294" s="549"/>
      <c r="H13294" s="549"/>
      <c r="I13294" s="560"/>
      <c r="J13294" s="549"/>
      <c r="K13294" s="561"/>
      <c r="L13294" s="560"/>
      <c r="M13294" s="549"/>
      <c r="N13294" s="549"/>
      <c r="O13294" s="549"/>
      <c r="P13294" s="549"/>
    </row>
    <row r="13295" spans="1:19" s="1511" customFormat="1" ht="18">
      <c r="A13295" s="547" t="s">
        <v>83</v>
      </c>
      <c r="B13295" s="547" t="s">
        <v>1559</v>
      </c>
      <c r="C13295" s="547" t="s">
        <v>19</v>
      </c>
      <c r="D13295" s="813" t="s">
        <v>854</v>
      </c>
      <c r="E13295" s="550" t="s">
        <v>464</v>
      </c>
      <c r="F13295" s="550">
        <v>12</v>
      </c>
      <c r="G13295" s="549" t="s">
        <v>21</v>
      </c>
      <c r="H13295" s="599" t="s">
        <v>133</v>
      </c>
      <c r="I13295" s="558">
        <v>15</v>
      </c>
      <c r="J13295" s="1022">
        <v>11</v>
      </c>
      <c r="K13295" s="1023">
        <v>13</v>
      </c>
      <c r="L13295" s="552">
        <f>(I13295*J13295*K13295/1000)</f>
        <v>2.145</v>
      </c>
      <c r="M13295" s="549">
        <v>13</v>
      </c>
      <c r="N13295" s="567">
        <f t="shared" ref="N13295" si="2686">J13295*M13295*I13295/1000</f>
        <v>2.145</v>
      </c>
      <c r="O13295" s="549"/>
      <c r="P13295" s="549"/>
      <c r="Q13295" s="1737" t="s">
        <v>1639</v>
      </c>
    </row>
    <row r="13296" spans="1:19" s="1511" customFormat="1" ht="17.399999999999999">
      <c r="A13296" s="549"/>
      <c r="B13296" s="549" t="s">
        <v>439</v>
      </c>
      <c r="C13296" s="549"/>
      <c r="D13296" s="549"/>
      <c r="E13296" s="549"/>
      <c r="F13296" s="549"/>
      <c r="G13296" s="549"/>
      <c r="H13296" s="549"/>
      <c r="I13296" s="560"/>
      <c r="J13296" s="549"/>
      <c r="K13296" s="652">
        <f>SUM(K13295:K13295)</f>
        <v>13</v>
      </c>
      <c r="L13296" s="565">
        <f>SUM(L13295:L13295)</f>
        <v>2.145</v>
      </c>
      <c r="M13296" s="652">
        <f>SUM(M13295:M13295)</f>
        <v>13</v>
      </c>
      <c r="N13296" s="565">
        <f>SUM(N13295:N13295)</f>
        <v>2.145</v>
      </c>
      <c r="O13296" s="549"/>
      <c r="P13296" s="549"/>
    </row>
    <row r="13297" spans="1:21" s="1511" customFormat="1" ht="17.399999999999999">
      <c r="A13297" s="549"/>
      <c r="B13297" s="549"/>
      <c r="C13297" s="549"/>
      <c r="D13297" s="549"/>
      <c r="E13297" s="549"/>
      <c r="F13297" s="549"/>
      <c r="G13297" s="549"/>
      <c r="H13297" s="549"/>
      <c r="I13297" s="560"/>
      <c r="J13297" s="549"/>
      <c r="K13297" s="561"/>
      <c r="L13297" s="560"/>
      <c r="M13297" s="549"/>
      <c r="N13297" s="549"/>
      <c r="O13297" s="549"/>
      <c r="P13297" s="549"/>
    </row>
    <row r="13298" spans="1:21" ht="17.399999999999999">
      <c r="A13298" s="549"/>
      <c r="B13298" s="549"/>
      <c r="C13298" s="549"/>
      <c r="D13298" s="549"/>
      <c r="E13298" s="549"/>
      <c r="F13298" s="549"/>
      <c r="G13298" s="549"/>
      <c r="H13298" s="549"/>
      <c r="I13298" s="560"/>
      <c r="J13298" s="549"/>
      <c r="K13298" s="561"/>
      <c r="L13298" s="560"/>
      <c r="M13298" s="549"/>
      <c r="N13298" s="549"/>
      <c r="O13298" s="549"/>
      <c r="P13298" s="549"/>
    </row>
    <row r="13299" spans="1:21" s="1511" customFormat="1" ht="17.399999999999999">
      <c r="A13299" s="549"/>
      <c r="B13299" s="549"/>
      <c r="C13299" s="549"/>
      <c r="D13299" s="549"/>
      <c r="E13299" s="549"/>
      <c r="F13299" s="549"/>
      <c r="G13299" s="549"/>
      <c r="H13299" s="549"/>
      <c r="I13299" s="560"/>
      <c r="J13299" s="549"/>
      <c r="K13299" s="561"/>
      <c r="L13299" s="560"/>
      <c r="M13299" s="549"/>
      <c r="N13299" s="549"/>
      <c r="O13299" s="549"/>
      <c r="P13299" s="549"/>
    </row>
    <row r="13300" spans="1:21" s="1511" customFormat="1" ht="18">
      <c r="A13300" s="547" t="s">
        <v>395</v>
      </c>
      <c r="B13300" s="547" t="s">
        <v>1365</v>
      </c>
      <c r="C13300" s="547" t="s">
        <v>19</v>
      </c>
      <c r="D13300" s="813" t="s">
        <v>60</v>
      </c>
      <c r="E13300" s="547" t="s">
        <v>270</v>
      </c>
      <c r="F13300" s="550">
        <v>8.5</v>
      </c>
      <c r="G13300" s="898" t="s">
        <v>61</v>
      </c>
      <c r="H13300" s="1757" t="s">
        <v>118</v>
      </c>
      <c r="I13300" s="1586">
        <v>9.26</v>
      </c>
      <c r="J13300" s="914">
        <v>10.5</v>
      </c>
      <c r="K13300" s="915">
        <v>100</v>
      </c>
      <c r="L13300" s="552">
        <f t="shared" ref="L13300:L13302" si="2687">(I13300*J13300*K13300/1000)</f>
        <v>9.7230000000000008</v>
      </c>
      <c r="M13300" s="549"/>
      <c r="N13300" s="549"/>
      <c r="O13300" s="549"/>
      <c r="P13300" s="549"/>
      <c r="Q13300" s="1511">
        <v>22</v>
      </c>
      <c r="R13300" s="126">
        <f t="shared" ref="R13300:R13302" si="2688">J13300*Q13300*I13300/1000</f>
        <v>2.1390599999999997</v>
      </c>
      <c r="S13300" s="1511">
        <f>32+29+21</f>
        <v>82</v>
      </c>
      <c r="T13300" s="1737">
        <f t="shared" ref="T13300:T13302" si="2689">J13300*S13300*I13300/1000</f>
        <v>7.9728599999999998</v>
      </c>
      <c r="U13300" s="1737" t="s">
        <v>1637</v>
      </c>
    </row>
    <row r="13301" spans="1:21" s="1511" customFormat="1" ht="18">
      <c r="A13301" s="549"/>
      <c r="B13301" s="1605" t="s">
        <v>277</v>
      </c>
      <c r="C13301" s="549"/>
      <c r="D13301" s="549"/>
      <c r="E13301" s="549"/>
      <c r="F13301" s="549"/>
      <c r="G13301" s="898" t="s">
        <v>61</v>
      </c>
      <c r="H13301" s="898" t="s">
        <v>118</v>
      </c>
      <c r="I13301" s="1586">
        <v>9.26</v>
      </c>
      <c r="J13301" s="914">
        <v>11</v>
      </c>
      <c r="K13301" s="915">
        <v>600</v>
      </c>
      <c r="L13301" s="552">
        <f t="shared" si="2687"/>
        <v>61.116</v>
      </c>
      <c r="M13301" s="549"/>
      <c r="N13301" s="549"/>
      <c r="O13301" s="549"/>
      <c r="P13301" s="549"/>
      <c r="R13301" s="126">
        <f t="shared" si="2688"/>
        <v>0</v>
      </c>
      <c r="T13301" s="1737">
        <f t="shared" si="2689"/>
        <v>0</v>
      </c>
    </row>
    <row r="13302" spans="1:21" s="1511" customFormat="1" ht="18">
      <c r="A13302" s="549"/>
      <c r="B13302" s="549"/>
      <c r="C13302" s="549"/>
      <c r="D13302" s="549"/>
      <c r="E13302" s="549"/>
      <c r="F13302" s="549"/>
      <c r="G13302" s="898" t="s">
        <v>61</v>
      </c>
      <c r="H13302" s="898" t="s">
        <v>118</v>
      </c>
      <c r="I13302" s="1586">
        <v>9.26</v>
      </c>
      <c r="J13302" s="914">
        <v>11.6</v>
      </c>
      <c r="K13302" s="915">
        <v>162</v>
      </c>
      <c r="L13302" s="552">
        <f t="shared" si="2687"/>
        <v>17.401392000000001</v>
      </c>
      <c r="M13302" s="549"/>
      <c r="N13302" s="549"/>
      <c r="O13302" s="549"/>
      <c r="P13302" s="549"/>
      <c r="Q13302" s="1511">
        <v>17</v>
      </c>
      <c r="R13302" s="126">
        <f t="shared" si="2688"/>
        <v>1.8260719999999999</v>
      </c>
      <c r="S13302" s="1511">
        <f>29+29+26</f>
        <v>84</v>
      </c>
      <c r="T13302" s="1737">
        <f t="shared" si="2689"/>
        <v>9.022943999999999</v>
      </c>
    </row>
    <row r="13303" spans="1:21" s="1511" customFormat="1" ht="18">
      <c r="A13303" s="549"/>
      <c r="B13303" s="549"/>
      <c r="C13303" s="549"/>
      <c r="D13303" s="549"/>
      <c r="E13303" s="549"/>
      <c r="F13303" s="549"/>
      <c r="G13303" s="898"/>
      <c r="H13303" s="898"/>
      <c r="I13303" s="1586"/>
      <c r="J13303" s="914"/>
      <c r="K13303" s="915">
        <f t="shared" ref="K13303:L13303" si="2690">SUM(K13300:K13302)</f>
        <v>862</v>
      </c>
      <c r="L13303" s="914">
        <f t="shared" si="2690"/>
        <v>88.240392</v>
      </c>
      <c r="M13303" s="549" t="s">
        <v>1604</v>
      </c>
      <c r="N13303" s="549"/>
      <c r="O13303" s="549"/>
      <c r="P13303" s="549" t="s">
        <v>1570</v>
      </c>
      <c r="Q13303" s="915">
        <f t="shared" ref="Q13303:T13303" si="2691">SUM(Q13300:Q13302)</f>
        <v>39</v>
      </c>
      <c r="R13303" s="914">
        <f t="shared" si="2691"/>
        <v>3.9651319999999997</v>
      </c>
      <c r="S13303" s="915">
        <f t="shared" si="2691"/>
        <v>166</v>
      </c>
      <c r="T13303" s="914">
        <f t="shared" si="2691"/>
        <v>16.995804</v>
      </c>
    </row>
    <row r="13304" spans="1:21" s="1511" customFormat="1" ht="18">
      <c r="A13304" s="549"/>
      <c r="B13304" s="549"/>
      <c r="C13304" s="549"/>
      <c r="D13304" s="549"/>
      <c r="E13304" s="549"/>
      <c r="F13304" s="549"/>
      <c r="G13304" s="898"/>
      <c r="H13304" s="898"/>
      <c r="I13304" s="1586"/>
      <c r="J13304" s="914"/>
      <c r="K13304" s="915"/>
      <c r="L13304" s="914"/>
      <c r="M13304" s="549"/>
      <c r="N13304" s="549"/>
      <c r="O13304" s="549"/>
      <c r="P13304" s="549"/>
    </row>
    <row r="13305" spans="1:21" s="1511" customFormat="1" ht="18">
      <c r="A13305" s="547" t="s">
        <v>395</v>
      </c>
      <c r="B13305" s="547" t="s">
        <v>1365</v>
      </c>
      <c r="C13305" s="547" t="s">
        <v>19</v>
      </c>
      <c r="D13305" s="813" t="s">
        <v>60</v>
      </c>
      <c r="E13305" s="547" t="s">
        <v>270</v>
      </c>
      <c r="F13305" s="550">
        <v>8.5</v>
      </c>
      <c r="G13305" s="898" t="s">
        <v>61</v>
      </c>
      <c r="H13305" s="1162" t="s">
        <v>119</v>
      </c>
      <c r="I13305" s="1586">
        <v>10.73</v>
      </c>
      <c r="J13305" s="914">
        <v>8.75</v>
      </c>
      <c r="K13305" s="915">
        <v>200</v>
      </c>
      <c r="L13305" s="552">
        <f>(I13305*J13305*K13305/1000)</f>
        <v>18.7775</v>
      </c>
      <c r="M13305" s="549"/>
      <c r="N13305" s="549"/>
      <c r="O13305" s="549"/>
      <c r="P13305" s="549"/>
      <c r="Q13305" s="1511">
        <f>35+30</f>
        <v>65</v>
      </c>
      <c r="R13305" s="126">
        <f t="shared" ref="R13305:R13306" si="2692">J13305*Q13305*I13305/1000</f>
        <v>6.1026875</v>
      </c>
      <c r="S13305" s="1737" t="s">
        <v>1638</v>
      </c>
    </row>
    <row r="13306" spans="1:21" s="1511" customFormat="1" ht="18">
      <c r="A13306" s="549"/>
      <c r="B13306" s="1605" t="s">
        <v>277</v>
      </c>
      <c r="C13306" s="549"/>
      <c r="D13306" s="549"/>
      <c r="E13306" s="549"/>
      <c r="F13306" s="549"/>
      <c r="G13306" s="898" t="s">
        <v>61</v>
      </c>
      <c r="H13306" s="898" t="s">
        <v>119</v>
      </c>
      <c r="I13306" s="1586">
        <v>10.73</v>
      </c>
      <c r="J13306" s="914">
        <v>9.75</v>
      </c>
      <c r="K13306" s="915">
        <v>20</v>
      </c>
      <c r="L13306" s="552">
        <f>(I13306*J13306*K13306/1000)</f>
        <v>2.0923500000000002</v>
      </c>
      <c r="M13306" s="549">
        <v>20</v>
      </c>
      <c r="N13306" s="567">
        <f>J13306*M13306*I13306/1000</f>
        <v>2.0923499999999997</v>
      </c>
      <c r="O13306" s="549" t="s">
        <v>1603</v>
      </c>
      <c r="P13306" s="549"/>
      <c r="R13306" s="126">
        <f t="shared" si="2692"/>
        <v>0</v>
      </c>
    </row>
    <row r="13307" spans="1:21" s="1511" customFormat="1" ht="18">
      <c r="A13307" s="549"/>
      <c r="B13307" s="549"/>
      <c r="C13307" s="549"/>
      <c r="D13307" s="549"/>
      <c r="E13307" s="549"/>
      <c r="F13307" s="549"/>
      <c r="G13307" s="898"/>
      <c r="H13307" s="898"/>
      <c r="I13307" s="1586"/>
      <c r="J13307" s="914"/>
      <c r="K13307" s="915">
        <f>SUM(K13305:K13306)</f>
        <v>220</v>
      </c>
      <c r="L13307" s="914">
        <f>SUM(L13305:L13306)</f>
        <v>20.86985</v>
      </c>
      <c r="M13307" s="915">
        <f t="shared" ref="M13307" si="2693">SUM(M13305:M13306)</f>
        <v>20</v>
      </c>
      <c r="N13307" s="914">
        <f>SUM(N13305:N13306)</f>
        <v>2.0923499999999997</v>
      </c>
      <c r="O13307" s="549"/>
      <c r="P13307" s="549" t="s">
        <v>1605</v>
      </c>
      <c r="Q13307" s="915">
        <f>SUM(Q13305:Q13306)</f>
        <v>65</v>
      </c>
      <c r="R13307" s="914">
        <f>SUM(R13305:R13306)</f>
        <v>6.1026875</v>
      </c>
    </row>
    <row r="13308" spans="1:21" s="1511" customFormat="1" ht="17.399999999999999">
      <c r="A13308" s="549"/>
      <c r="B13308" s="549"/>
      <c r="C13308" s="549"/>
      <c r="D13308" s="549"/>
      <c r="E13308" s="549"/>
      <c r="F13308" s="549"/>
      <c r="G13308" s="549"/>
      <c r="H13308" s="549"/>
      <c r="I13308" s="560"/>
      <c r="J13308" s="549"/>
      <c r="K13308" s="561"/>
      <c r="L13308" s="560"/>
      <c r="M13308" s="549"/>
      <c r="N13308" s="549"/>
      <c r="O13308" s="549"/>
      <c r="P13308" s="549"/>
    </row>
    <row r="13309" spans="1:21" ht="17.399999999999999">
      <c r="A13309" s="549"/>
      <c r="B13309" s="549"/>
      <c r="C13309" s="549"/>
      <c r="D13309" s="549"/>
      <c r="E13309" s="549"/>
      <c r="F13309" s="549"/>
      <c r="G13309" s="549"/>
      <c r="H13309" s="549"/>
      <c r="I13309" s="560"/>
      <c r="J13309" s="549"/>
      <c r="K13309" s="561"/>
      <c r="L13309" s="560"/>
      <c r="M13309" s="549"/>
      <c r="N13309" s="549"/>
      <c r="O13309" s="549"/>
      <c r="P13309" s="549"/>
    </row>
    <row r="13310" spans="1:21" ht="17.399999999999999">
      <c r="A13310" s="549"/>
      <c r="B13310" s="549"/>
      <c r="C13310" s="549"/>
      <c r="D13310" s="549"/>
      <c r="E13310" s="549"/>
      <c r="F13310" s="549"/>
      <c r="G13310" s="549"/>
      <c r="H13310" s="549"/>
      <c r="I13310" s="560"/>
      <c r="J13310" s="549"/>
      <c r="K13310" s="652">
        <f>+K13296+K13291+K13279+K13275+K13262+K13245+K13231</f>
        <v>6862</v>
      </c>
      <c r="L13310" s="565">
        <f>+L13296+L13291+L13279+L13275+L13262+L13245+L13231</f>
        <v>727.91729800000007</v>
      </c>
      <c r="M13310" s="652">
        <f>+M13296+M13291+M13279+M13275+M13262+M13245+M13231</f>
        <v>107</v>
      </c>
      <c r="N13310" s="565">
        <f>+N13296+N13291+N13279+N13275+N13262+N13245+N13231</f>
        <v>11.923579999999999</v>
      </c>
      <c r="O13310" s="549"/>
      <c r="P13310" s="549"/>
    </row>
    <row r="13311" spans="1:21" ht="18">
      <c r="A13311" s="653" t="s">
        <v>48</v>
      </c>
      <c r="B13311" s="653"/>
      <c r="C13311" s="654"/>
      <c r="D13311" s="654"/>
      <c r="E13311" s="654"/>
      <c r="F13311" s="1690"/>
      <c r="G13311" s="654"/>
      <c r="H13311" s="1690"/>
      <c r="I13311" s="656"/>
      <c r="J13311" s="654"/>
      <c r="K13311" s="657"/>
      <c r="L13311" s="2003" t="s">
        <v>0</v>
      </c>
      <c r="M13311" s="2003"/>
      <c r="N13311" s="2003"/>
      <c r="O13311" s="2004"/>
      <c r="P13311" s="1097"/>
    </row>
    <row r="13312" spans="1:21" ht="18">
      <c r="A13312" s="658" t="s">
        <v>1</v>
      </c>
      <c r="B13312" s="658"/>
      <c r="C13312" s="658"/>
      <c r="D13312" s="659" t="s">
        <v>2</v>
      </c>
      <c r="E13312" s="659"/>
      <c r="F13312" s="660"/>
      <c r="G13312" s="660"/>
      <c r="H13312" s="660"/>
      <c r="I13312" s="661"/>
      <c r="J13312" s="660"/>
      <c r="K13312" s="662" t="s">
        <v>3</v>
      </c>
      <c r="L13312" s="660"/>
      <c r="M13312" s="658"/>
      <c r="N13312" s="660"/>
      <c r="O13312" s="663"/>
      <c r="P13312" s="1098"/>
    </row>
    <row r="13313" spans="1:16" ht="18">
      <c r="A13313" s="1690" t="s">
        <v>22</v>
      </c>
      <c r="B13313" s="1990" t="s">
        <v>23</v>
      </c>
      <c r="C13313" s="2005"/>
      <c r="D13313" s="1989"/>
      <c r="E13313" s="1690" t="s">
        <v>24</v>
      </c>
      <c r="F13313" s="1990" t="s">
        <v>25</v>
      </c>
      <c r="G13313" s="1989"/>
      <c r="H13313" s="1990" t="s">
        <v>26</v>
      </c>
      <c r="I13313" s="2005"/>
      <c r="J13313" s="2005"/>
      <c r="K13313" s="1989"/>
      <c r="L13313" s="2006" t="s">
        <v>27</v>
      </c>
      <c r="M13313" s="2006"/>
      <c r="N13313" s="2006"/>
      <c r="O13313" s="1990"/>
      <c r="P13313" s="1098"/>
    </row>
    <row r="13314" spans="1:16" ht="18">
      <c r="A13314" s="664"/>
      <c r="B13314" s="1975"/>
      <c r="C13314" s="1976"/>
      <c r="D13314" s="1977"/>
      <c r="E13314" s="665"/>
      <c r="F13314" s="1975"/>
      <c r="G13314" s="1977"/>
      <c r="H13314" s="1975"/>
      <c r="I13314" s="1976"/>
      <c r="J13314" s="1976"/>
      <c r="K13314" s="1977"/>
      <c r="L13314" s="1975"/>
      <c r="M13314" s="1976"/>
      <c r="N13314" s="1976"/>
      <c r="O13314" s="1976"/>
      <c r="P13314" s="1098"/>
    </row>
    <row r="13315" spans="1:16" ht="18">
      <c r="A13315" s="664"/>
      <c r="B13315" s="1682"/>
      <c r="C13315" s="1683"/>
      <c r="D13315" s="1684"/>
      <c r="E13315" s="665"/>
      <c r="F13315" s="1682"/>
      <c r="G13315" s="1684"/>
      <c r="H13315" s="1682"/>
      <c r="I13315" s="1842"/>
      <c r="J13315" s="1683"/>
      <c r="K13315" s="1684"/>
      <c r="L13315" s="1683"/>
      <c r="M13315" s="1683"/>
      <c r="N13315" s="1683"/>
      <c r="O13315" s="1683"/>
      <c r="P13315" s="1098"/>
    </row>
    <row r="13316" spans="1:16" ht="18">
      <c r="A13316" s="664" t="s">
        <v>28</v>
      </c>
      <c r="B13316" s="1975" t="s">
        <v>137</v>
      </c>
      <c r="C13316" s="1976"/>
      <c r="D13316" s="1977"/>
      <c r="E13316" s="665">
        <f>+L13245-6.518-120</f>
        <v>45.593640000000022</v>
      </c>
      <c r="F13316" s="1973">
        <v>12</v>
      </c>
      <c r="G13316" s="1974"/>
      <c r="H13316" s="1975" t="s">
        <v>49</v>
      </c>
      <c r="I13316" s="1976"/>
      <c r="J13316" s="1976"/>
      <c r="K13316" s="1977"/>
      <c r="L13316" s="1976" t="s">
        <v>436</v>
      </c>
      <c r="M13316" s="1976"/>
      <c r="N13316" s="1976"/>
      <c r="O13316" s="1976"/>
      <c r="P13316" s="1098"/>
    </row>
    <row r="13317" spans="1:16" ht="18">
      <c r="A13317" s="664" t="s">
        <v>29</v>
      </c>
      <c r="B13317" s="1975" t="s">
        <v>136</v>
      </c>
      <c r="C13317" s="1976"/>
      <c r="D13317" s="1977"/>
      <c r="E13317" s="665">
        <f>+L13262-2.028</f>
        <v>66.137637999999995</v>
      </c>
      <c r="F13317" s="1973">
        <v>12</v>
      </c>
      <c r="G13317" s="1974"/>
      <c r="H13317" s="1975" t="s">
        <v>49</v>
      </c>
      <c r="I13317" s="1976"/>
      <c r="J13317" s="1976"/>
      <c r="K13317" s="1977"/>
      <c r="L13317" s="1976" t="s">
        <v>436</v>
      </c>
      <c r="M13317" s="1976"/>
      <c r="N13317" s="1976"/>
      <c r="O13317" s="1976"/>
      <c r="P13317" s="1098"/>
    </row>
    <row r="13318" spans="1:16" s="1511" customFormat="1" ht="18">
      <c r="A13318" s="664"/>
      <c r="B13318" s="1682"/>
      <c r="C13318" s="1683"/>
      <c r="D13318" s="1684"/>
      <c r="E13318" s="665"/>
      <c r="F13318" s="1685"/>
      <c r="G13318" s="1686"/>
      <c r="H13318" s="1682"/>
      <c r="I13318" s="1842"/>
      <c r="J13318" s="1683"/>
      <c r="K13318" s="1684"/>
      <c r="L13318" s="1683"/>
      <c r="M13318" s="1683"/>
      <c r="N13318" s="1683"/>
      <c r="O13318" s="1683"/>
      <c r="P13318" s="1098"/>
    </row>
    <row r="13319" spans="1:16" s="1511" customFormat="1" ht="18">
      <c r="A13319" s="664"/>
      <c r="B13319" s="1682"/>
      <c r="C13319" s="1683"/>
      <c r="D13319" s="1684"/>
      <c r="E13319" s="665"/>
      <c r="F13319" s="1685"/>
      <c r="G13319" s="1686"/>
      <c r="H13319" s="1682"/>
      <c r="I13319" s="1842"/>
      <c r="J13319" s="1683"/>
      <c r="K13319" s="1684"/>
      <c r="L13319" s="1683"/>
      <c r="M13319" s="1683"/>
      <c r="N13319" s="1683"/>
      <c r="O13319" s="1683"/>
      <c r="P13319" s="1098"/>
    </row>
    <row r="13320" spans="1:16" ht="18">
      <c r="A13320" s="664" t="s">
        <v>30</v>
      </c>
      <c r="B13320" s="1975" t="s">
        <v>154</v>
      </c>
      <c r="C13320" s="1976"/>
      <c r="D13320" s="1977"/>
      <c r="E13320" s="665">
        <f>+L13275+20</f>
        <v>159.67321000000004</v>
      </c>
      <c r="F13320" s="1973">
        <v>12</v>
      </c>
      <c r="G13320" s="1974"/>
      <c r="H13320" s="1975" t="s">
        <v>60</v>
      </c>
      <c r="I13320" s="1976"/>
      <c r="J13320" s="1976"/>
      <c r="K13320" s="1977"/>
      <c r="L13320" s="1976" t="s">
        <v>437</v>
      </c>
      <c r="M13320" s="1976"/>
      <c r="N13320" s="1976"/>
      <c r="O13320" s="1976"/>
      <c r="P13320" s="1098"/>
    </row>
    <row r="13321" spans="1:16" s="1511" customFormat="1" ht="18">
      <c r="A13321" s="664" t="s">
        <v>46</v>
      </c>
      <c r="B13321" s="1975" t="s">
        <v>1182</v>
      </c>
      <c r="C13321" s="1976"/>
      <c r="D13321" s="1977"/>
      <c r="E13321" s="665">
        <f>+L13279+L13305</f>
        <v>45.762900000000002</v>
      </c>
      <c r="F13321" s="1973">
        <v>12</v>
      </c>
      <c r="G13321" s="1974"/>
      <c r="H13321" s="1975" t="s">
        <v>60</v>
      </c>
      <c r="I13321" s="1976"/>
      <c r="J13321" s="1976"/>
      <c r="K13321" s="1977"/>
      <c r="L13321" s="1976" t="s">
        <v>437</v>
      </c>
      <c r="M13321" s="1976"/>
      <c r="N13321" s="1976"/>
      <c r="O13321" s="1976"/>
      <c r="P13321" s="1098"/>
    </row>
    <row r="13322" spans="1:16" ht="18">
      <c r="A13322" s="664" t="s">
        <v>58</v>
      </c>
      <c r="B13322" s="1975" t="s">
        <v>1183</v>
      </c>
      <c r="C13322" s="1976"/>
      <c r="D13322" s="1977"/>
      <c r="E13322" s="665">
        <f>+L13291</f>
        <v>19.713760000000001</v>
      </c>
      <c r="F13322" s="1973">
        <v>12</v>
      </c>
      <c r="G13322" s="1974"/>
      <c r="H13322" s="1975" t="s">
        <v>60</v>
      </c>
      <c r="I13322" s="1976"/>
      <c r="J13322" s="1976"/>
      <c r="K13322" s="1977"/>
      <c r="L13322" s="1976" t="s">
        <v>437</v>
      </c>
      <c r="M13322" s="1976"/>
      <c r="N13322" s="1976"/>
      <c r="O13322" s="1976"/>
      <c r="P13322" s="1098"/>
    </row>
    <row r="13323" spans="1:16" ht="18">
      <c r="A13323" s="664"/>
      <c r="B13323" s="1682"/>
      <c r="C13323" s="1683"/>
      <c r="D13323" s="1684"/>
      <c r="E13323" s="665"/>
      <c r="F13323" s="1685"/>
      <c r="G13323" s="1686"/>
      <c r="H13323" s="1682"/>
      <c r="I13323" s="1842"/>
      <c r="J13323" s="1683"/>
      <c r="K13323" s="1684"/>
      <c r="L13323" s="1683"/>
      <c r="M13323" s="1683"/>
      <c r="N13323" s="1683"/>
      <c r="O13323" s="1683"/>
      <c r="P13323" s="1098"/>
    </row>
    <row r="13324" spans="1:16" ht="18.600000000000001" thickBot="1">
      <c r="A13324" s="664"/>
      <c r="B13324" s="1682"/>
      <c r="C13324" s="1683"/>
      <c r="D13324" s="1683"/>
      <c r="E13324" s="665"/>
      <c r="F13324" s="1683"/>
      <c r="G13324" s="1684"/>
      <c r="H13324" s="1682"/>
      <c r="I13324" s="1842"/>
      <c r="J13324" s="1683"/>
      <c r="K13324" s="669"/>
      <c r="L13324" s="672"/>
      <c r="M13324" s="673"/>
      <c r="N13324" s="673"/>
      <c r="O13324" s="673"/>
      <c r="P13324" s="1098"/>
    </row>
    <row r="13325" spans="1:16" ht="18">
      <c r="A13325" s="674"/>
      <c r="B13325" s="675"/>
      <c r="C13325" s="676"/>
      <c r="D13325" s="676"/>
      <c r="E13325" s="1980">
        <f>SUM(E13314:E13324)</f>
        <v>336.88114800000005</v>
      </c>
      <c r="F13325" s="677"/>
      <c r="G13325" s="678"/>
      <c r="H13325" s="679"/>
      <c r="I13325" s="1848"/>
      <c r="J13325" s="676"/>
      <c r="K13325" s="680"/>
      <c r="L13325" s="679"/>
      <c r="M13325" s="676"/>
      <c r="N13325" s="677"/>
      <c r="O13325" s="676"/>
      <c r="P13325" s="1098"/>
    </row>
    <row r="13326" spans="1:16" ht="18.600000000000001" thickBot="1">
      <c r="A13326" s="681"/>
      <c r="B13326" s="682"/>
      <c r="C13326" s="683"/>
      <c r="D13326" s="683"/>
      <c r="E13326" s="1981"/>
      <c r="F13326" s="684"/>
      <c r="G13326" s="685"/>
      <c r="H13326" s="686"/>
      <c r="I13326" s="1850"/>
      <c r="J13326" s="683"/>
      <c r="K13326" s="687"/>
      <c r="L13326" s="686"/>
      <c r="M13326" s="683"/>
      <c r="N13326" s="684"/>
      <c r="O13326" s="683"/>
      <c r="P13326" s="1098"/>
    </row>
    <row r="13327" spans="1:16" ht="18">
      <c r="A13327" s="688" t="s">
        <v>31</v>
      </c>
      <c r="B13327" s="676"/>
      <c r="C13327" s="676"/>
      <c r="D13327" s="676"/>
      <c r="E13327" s="676"/>
      <c r="F13327" s="677"/>
      <c r="G13327" s="676"/>
      <c r="H13327" s="677"/>
      <c r="I13327" s="1848"/>
      <c r="J13327" s="676"/>
      <c r="K13327" s="689"/>
      <c r="L13327" s="677"/>
      <c r="M13327" s="676"/>
      <c r="N13327" s="677"/>
      <c r="O13327" s="676"/>
      <c r="P13327" s="1098"/>
    </row>
    <row r="13328" spans="1:16" ht="18">
      <c r="A13328" s="690"/>
      <c r="B13328" s="691"/>
      <c r="C13328" s="691"/>
      <c r="D13328" s="691"/>
      <c r="E13328" s="691"/>
      <c r="F13328" s="1687"/>
      <c r="G13328" s="691"/>
      <c r="H13328" s="1687"/>
      <c r="I13328" s="1849"/>
      <c r="J13328" s="691"/>
      <c r="K13328" s="693"/>
      <c r="L13328" s="1687"/>
      <c r="M13328" s="691"/>
      <c r="N13328" s="1687"/>
      <c r="O13328" s="691"/>
      <c r="P13328" s="1098"/>
    </row>
    <row r="13329" spans="1:16" ht="18.600000000000001" thickBot="1">
      <c r="A13329" s="1982" t="s">
        <v>32</v>
      </c>
      <c r="B13329" s="1983"/>
      <c r="C13329" s="1984" t="s">
        <v>33</v>
      </c>
      <c r="D13329" s="1985"/>
      <c r="E13329" s="694" t="s">
        <v>34</v>
      </c>
      <c r="F13329" s="694" t="s">
        <v>35</v>
      </c>
      <c r="G13329" s="1986" t="s">
        <v>36</v>
      </c>
      <c r="H13329" s="1987"/>
      <c r="I13329" s="1987"/>
      <c r="J13329" s="1987"/>
      <c r="K13329" s="1987"/>
      <c r="L13329" s="1987"/>
      <c r="M13329" s="1987"/>
      <c r="N13329" s="1987"/>
      <c r="O13329" s="1987"/>
      <c r="P13329" s="1098"/>
    </row>
    <row r="13330" spans="1:16" ht="18">
      <c r="A13330" s="1988"/>
      <c r="B13330" s="1989"/>
      <c r="C13330" s="1990"/>
      <c r="D13330" s="1989"/>
      <c r="E13330" s="1690"/>
      <c r="F13330" s="1688"/>
      <c r="G13330" s="1991"/>
      <c r="H13330" s="1992"/>
      <c r="I13330" s="1992"/>
      <c r="J13330" s="1992"/>
      <c r="K13330" s="1992"/>
      <c r="L13330" s="1992"/>
      <c r="M13330" s="1992"/>
      <c r="N13330" s="1992"/>
      <c r="O13330" s="1992"/>
      <c r="P13330" s="1098"/>
    </row>
    <row r="13331" spans="1:16" ht="18">
      <c r="A13331" s="1997" t="s">
        <v>37</v>
      </c>
      <c r="B13331" s="1998"/>
      <c r="C13331" s="1990"/>
      <c r="D13331" s="1989"/>
      <c r="E13331" s="1690"/>
      <c r="F13331" s="1688"/>
      <c r="G13331" s="1993"/>
      <c r="H13331" s="1994"/>
      <c r="I13331" s="1994"/>
      <c r="J13331" s="1994"/>
      <c r="K13331" s="1994"/>
      <c r="L13331" s="1994"/>
      <c r="M13331" s="1994"/>
      <c r="N13331" s="1994"/>
      <c r="O13331" s="1994"/>
      <c r="P13331" s="1098"/>
    </row>
    <row r="13332" spans="1:16" ht="18">
      <c r="A13332" s="1997" t="s">
        <v>38</v>
      </c>
      <c r="B13332" s="1998"/>
      <c r="C13332" s="1990"/>
      <c r="D13332" s="1989"/>
      <c r="E13332" s="1690"/>
      <c r="F13332" s="1688"/>
      <c r="G13332" s="1993"/>
      <c r="H13332" s="1994"/>
      <c r="I13332" s="1994"/>
      <c r="J13332" s="1994"/>
      <c r="K13332" s="1994"/>
      <c r="L13332" s="1994"/>
      <c r="M13332" s="1994"/>
      <c r="N13332" s="1994"/>
      <c r="O13332" s="1994"/>
      <c r="P13332" s="1098"/>
    </row>
    <row r="13333" spans="1:16" ht="18">
      <c r="A13333" s="1997" t="s">
        <v>39</v>
      </c>
      <c r="B13333" s="1998"/>
      <c r="C13333" s="1990"/>
      <c r="D13333" s="1989"/>
      <c r="E13333" s="1690"/>
      <c r="F13333" s="1688"/>
      <c r="G13333" s="1993"/>
      <c r="H13333" s="1994"/>
      <c r="I13333" s="1994"/>
      <c r="J13333" s="1994"/>
      <c r="K13333" s="1994"/>
      <c r="L13333" s="1994"/>
      <c r="M13333" s="1994"/>
      <c r="N13333" s="1994"/>
      <c r="O13333" s="1994"/>
      <c r="P13333" s="1098"/>
    </row>
    <row r="13334" spans="1:16" ht="18">
      <c r="A13334" s="1997" t="s">
        <v>40</v>
      </c>
      <c r="B13334" s="1998"/>
      <c r="C13334" s="1990"/>
      <c r="D13334" s="1989"/>
      <c r="E13334" s="1690"/>
      <c r="F13334" s="1688"/>
      <c r="G13334" s="1993"/>
      <c r="H13334" s="1994"/>
      <c r="I13334" s="1994"/>
      <c r="J13334" s="1994"/>
      <c r="K13334" s="1994"/>
      <c r="L13334" s="1994"/>
      <c r="M13334" s="1994"/>
      <c r="N13334" s="1994"/>
      <c r="O13334" s="1994"/>
      <c r="P13334" s="1098"/>
    </row>
    <row r="13335" spans="1:16" ht="18.600000000000001" thickBot="1">
      <c r="A13335" s="1999" t="s">
        <v>41</v>
      </c>
      <c r="B13335" s="2000"/>
      <c r="C13335" s="2001"/>
      <c r="D13335" s="2002"/>
      <c r="E13335" s="696"/>
      <c r="F13335" s="1689"/>
      <c r="G13335" s="1995"/>
      <c r="H13335" s="1996"/>
      <c r="I13335" s="1996"/>
      <c r="J13335" s="1996"/>
      <c r="K13335" s="1996"/>
      <c r="L13335" s="1996"/>
      <c r="M13335" s="1996"/>
      <c r="N13335" s="1996"/>
      <c r="O13335" s="1996"/>
      <c r="P13335" s="1098"/>
    </row>
    <row r="13336" spans="1:16" ht="18">
      <c r="A13336" s="690"/>
      <c r="B13336" s="691"/>
      <c r="C13336" s="691"/>
      <c r="D13336" s="691"/>
      <c r="E13336" s="691"/>
      <c r="F13336" s="1687"/>
      <c r="G13336" s="691"/>
      <c r="H13336" s="698"/>
      <c r="I13336" s="699"/>
      <c r="J13336" s="700"/>
      <c r="K13336" s="701"/>
      <c r="L13336" s="702"/>
      <c r="M13336" s="691"/>
      <c r="N13336" s="1687"/>
      <c r="O13336" s="691"/>
      <c r="P13336" s="1098"/>
    </row>
    <row r="13337" spans="1:16" ht="18">
      <c r="A13337" s="703" t="s">
        <v>42</v>
      </c>
      <c r="B13337" s="704"/>
      <c r="C13337" s="691"/>
      <c r="D13337" s="691"/>
      <c r="E13337" s="691"/>
      <c r="F13337" s="1687"/>
      <c r="G13337" s="704"/>
      <c r="H13337" s="698"/>
      <c r="I13337" s="699"/>
      <c r="J13337" s="700"/>
      <c r="K13337" s="693"/>
      <c r="L13337" s="705"/>
      <c r="M13337" s="691"/>
      <c r="N13337" s="1979" t="s">
        <v>43</v>
      </c>
      <c r="O13337" s="1979"/>
      <c r="P13337" s="1098"/>
    </row>
    <row r="13338" spans="1:16" ht="18">
      <c r="A13338" s="703"/>
      <c r="B13338" s="704"/>
      <c r="C13338" s="691"/>
      <c r="D13338" s="691"/>
      <c r="E13338" s="691"/>
      <c r="F13338" s="1687"/>
      <c r="G13338" s="691"/>
      <c r="H13338" s="1687"/>
      <c r="I13338" s="1849"/>
      <c r="J13338" s="691"/>
      <c r="K13338" s="693"/>
      <c r="L13338" s="1687"/>
      <c r="M13338" s="691"/>
      <c r="N13338" s="1687"/>
      <c r="O13338" s="704"/>
      <c r="P13338" s="1098"/>
    </row>
    <row r="13339" spans="1:16" ht="18">
      <c r="A13339" s="703" t="s">
        <v>44</v>
      </c>
      <c r="B13339" s="704"/>
      <c r="C13339" s="691"/>
      <c r="D13339" s="691"/>
      <c r="E13339" s="691"/>
      <c r="F13339" s="1687"/>
      <c r="G13339" s="691"/>
      <c r="H13339" s="1687"/>
      <c r="I13339" s="1849"/>
      <c r="J13339" s="691"/>
      <c r="K13339" s="693"/>
      <c r="L13339" s="1687"/>
      <c r="M13339" s="691"/>
      <c r="N13339" s="1979" t="s">
        <v>45</v>
      </c>
      <c r="O13339" s="1979"/>
      <c r="P13339" s="1098"/>
    </row>
    <row r="13340" spans="1:16" ht="18.600000000000001" thickBot="1">
      <c r="A13340" s="682"/>
      <c r="B13340" s="683"/>
      <c r="C13340" s="683"/>
      <c r="D13340" s="683"/>
      <c r="E13340" s="683"/>
      <c r="F13340" s="684"/>
      <c r="G13340" s="683"/>
      <c r="H13340" s="684"/>
      <c r="I13340" s="1850"/>
      <c r="J13340" s="683"/>
      <c r="K13340" s="706"/>
      <c r="L13340" s="684"/>
      <c r="M13340" s="683"/>
      <c r="N13340" s="684"/>
      <c r="O13340" s="683"/>
      <c r="P13340" s="1099"/>
    </row>
    <row r="13344" spans="1:16" ht="17.399999999999999">
      <c r="A13344" s="711" t="s">
        <v>48</v>
      </c>
      <c r="B13344" s="711"/>
      <c r="C13344" s="712"/>
      <c r="D13344" s="712"/>
      <c r="E13344" s="712"/>
      <c r="F13344" s="713"/>
      <c r="G13344" s="712"/>
      <c r="H13344" s="712"/>
      <c r="I13344" s="714"/>
      <c r="J13344" s="715"/>
      <c r="K13344" s="716"/>
      <c r="L13344" s="1978" t="s">
        <v>0</v>
      </c>
      <c r="M13344" s="1978"/>
      <c r="N13344" s="1978"/>
      <c r="O13344" s="1978"/>
      <c r="P13344" s="717"/>
    </row>
    <row r="13345" spans="1:19" ht="17.399999999999999">
      <c r="A13345" s="718" t="s">
        <v>1</v>
      </c>
      <c r="B13345" s="718"/>
      <c r="C13345" s="718"/>
      <c r="D13345" s="719" t="s">
        <v>2</v>
      </c>
      <c r="E13345" s="719"/>
      <c r="F13345" s="720"/>
      <c r="G13345" s="720"/>
      <c r="H13345" s="720"/>
      <c r="I13345" s="721"/>
      <c r="J13345" s="1704"/>
      <c r="K13345" s="723" t="s">
        <v>3</v>
      </c>
      <c r="L13345" s="1704"/>
      <c r="M13345" s="718"/>
      <c r="N13345" s="720"/>
      <c r="O13345" s="718"/>
      <c r="P13345" s="724"/>
    </row>
    <row r="13346" spans="1:19" ht="52.2">
      <c r="A13346" s="640" t="s">
        <v>4</v>
      </c>
      <c r="B13346" s="640" t="s">
        <v>5</v>
      </c>
      <c r="C13346" s="640" t="s">
        <v>6</v>
      </c>
      <c r="D13346" s="640" t="s">
        <v>7</v>
      </c>
      <c r="E13346" s="640" t="s">
        <v>8</v>
      </c>
      <c r="F13346" s="641" t="s">
        <v>9</v>
      </c>
      <c r="G13346" s="642" t="s">
        <v>10</v>
      </c>
      <c r="H13346" s="642" t="s">
        <v>11</v>
      </c>
      <c r="I13346" s="643" t="s">
        <v>12</v>
      </c>
      <c r="J13346" s="644" t="s">
        <v>13</v>
      </c>
      <c r="K13346" s="645" t="s">
        <v>14</v>
      </c>
      <c r="L13346" s="646" t="s">
        <v>15</v>
      </c>
      <c r="M13346" s="641" t="s">
        <v>16</v>
      </c>
      <c r="N13346" s="641" t="s">
        <v>17</v>
      </c>
      <c r="O13346" s="642" t="s">
        <v>18</v>
      </c>
      <c r="P13346" s="641" t="s">
        <v>192</v>
      </c>
    </row>
    <row r="13347" spans="1:19" ht="17.399999999999999">
      <c r="A13347" s="547" t="s">
        <v>395</v>
      </c>
      <c r="B13347" s="547" t="s">
        <v>1365</v>
      </c>
      <c r="C13347" s="547" t="s">
        <v>19</v>
      </c>
      <c r="D13347" s="813" t="s">
        <v>854</v>
      </c>
      <c r="E13347" s="547" t="s">
        <v>359</v>
      </c>
      <c r="F13347" s="550">
        <v>11</v>
      </c>
      <c r="G13347" s="549" t="s">
        <v>21</v>
      </c>
      <c r="H13347" s="599" t="s">
        <v>54</v>
      </c>
      <c r="I13347" s="558">
        <v>9.61</v>
      </c>
      <c r="J13347" s="567">
        <v>11</v>
      </c>
      <c r="K13347" s="648">
        <v>90</v>
      </c>
      <c r="L13347" s="725">
        <f t="shared" ref="L13347:L13348" si="2694">(I13347*J13347*K13347/1000)</f>
        <v>9.5138999999999996</v>
      </c>
      <c r="M13347" s="549"/>
      <c r="N13347" s="549"/>
      <c r="O13347" s="549"/>
      <c r="P13347" s="549"/>
      <c r="Q13347" s="497">
        <f>30+22+29+26+5-22</f>
        <v>90</v>
      </c>
      <c r="R13347" s="126">
        <f t="shared" ref="R13347:R13348" si="2695">J13347*Q13347*I13347/1000</f>
        <v>9.5138999999999996</v>
      </c>
      <c r="S13347" s="1737" t="s">
        <v>1640</v>
      </c>
    </row>
    <row r="13348" spans="1:19" ht="17.399999999999999">
      <c r="A13348" s="549"/>
      <c r="B13348" s="1605" t="s">
        <v>277</v>
      </c>
      <c r="C13348" s="549"/>
      <c r="D13348" s="549"/>
      <c r="E13348" s="549"/>
      <c r="F13348" s="549"/>
      <c r="G13348" s="549" t="s">
        <v>21</v>
      </c>
      <c r="H13348" s="549" t="s">
        <v>54</v>
      </c>
      <c r="I13348" s="558">
        <v>9.61</v>
      </c>
      <c r="J13348" s="567">
        <v>12</v>
      </c>
      <c r="K13348" s="648">
        <v>184</v>
      </c>
      <c r="L13348" s="725">
        <f t="shared" si="2694"/>
        <v>21.218879999999999</v>
      </c>
      <c r="M13348" s="549"/>
      <c r="N13348" s="549"/>
      <c r="O13348" s="549"/>
      <c r="P13348" s="549"/>
      <c r="Q13348" s="497">
        <f>30+30+30+8+26+26+26+14+2-8</f>
        <v>184</v>
      </c>
      <c r="R13348" s="126">
        <f t="shared" si="2695"/>
        <v>21.218879999999999</v>
      </c>
    </row>
    <row r="13349" spans="1:19" ht="17.399999999999999">
      <c r="A13349" s="549"/>
      <c r="B13349" s="549"/>
      <c r="C13349" s="549"/>
      <c r="D13349" s="549"/>
      <c r="E13349" s="549"/>
      <c r="F13349" s="549"/>
      <c r="G13349" s="549"/>
      <c r="H13349" s="549"/>
      <c r="I13349" s="558"/>
      <c r="J13349" s="567"/>
      <c r="K13349" s="648">
        <f t="shared" ref="K13349:L13349" si="2696">SUM(K13347:K13348)</f>
        <v>274</v>
      </c>
      <c r="L13349" s="710">
        <f t="shared" si="2696"/>
        <v>30.732779999999998</v>
      </c>
      <c r="M13349" s="549"/>
      <c r="N13349" s="549"/>
      <c r="O13349" s="549"/>
      <c r="P13349" s="549" t="s">
        <v>1578</v>
      </c>
      <c r="Q13349" s="648">
        <f t="shared" ref="Q13349:R13349" si="2697">SUM(Q13347:Q13348)</f>
        <v>274</v>
      </c>
      <c r="R13349" s="710">
        <f t="shared" si="2697"/>
        <v>30.732779999999998</v>
      </c>
    </row>
    <row r="13350" spans="1:19" s="1511" customFormat="1" ht="17.399999999999999">
      <c r="A13350" s="549"/>
      <c r="B13350" s="549"/>
      <c r="C13350" s="549"/>
      <c r="D13350" s="549"/>
      <c r="E13350" s="549"/>
      <c r="F13350" s="549"/>
      <c r="G13350" s="549"/>
      <c r="H13350" s="549"/>
      <c r="I13350" s="558"/>
      <c r="J13350" s="567"/>
      <c r="K13350" s="648"/>
      <c r="L13350" s="710"/>
      <c r="M13350" s="549"/>
      <c r="N13350" s="549"/>
      <c r="O13350" s="549"/>
      <c r="P13350" s="549"/>
    </row>
    <row r="13351" spans="1:19" ht="17.399999999999999">
      <c r="A13351" s="547" t="s">
        <v>83</v>
      </c>
      <c r="B13351" s="547" t="s">
        <v>1455</v>
      </c>
      <c r="C13351" s="547" t="s">
        <v>19</v>
      </c>
      <c r="D13351" s="813" t="s">
        <v>854</v>
      </c>
      <c r="E13351" s="549" t="s">
        <v>367</v>
      </c>
      <c r="F13351" s="550">
        <v>11</v>
      </c>
      <c r="G13351" s="549" t="s">
        <v>21</v>
      </c>
      <c r="H13351" s="599" t="s">
        <v>54</v>
      </c>
      <c r="I13351" s="558">
        <v>9.61</v>
      </c>
      <c r="J13351" s="567">
        <v>9.4</v>
      </c>
      <c r="K13351" s="648">
        <v>388</v>
      </c>
      <c r="L13351" s="725">
        <f>(I13351*J13351*K13351/1000)</f>
        <v>35.049592000000004</v>
      </c>
      <c r="M13351" s="549">
        <v>8</v>
      </c>
      <c r="N13351" s="567">
        <f>J13351*M13351*I13351/1000</f>
        <v>0.72267199999999998</v>
      </c>
      <c r="O13351" s="549"/>
      <c r="P13351" s="549"/>
      <c r="Q13351" s="497">
        <f>30+30+30+30+30+31+30+30+30+30+30+18+21+1</f>
        <v>371</v>
      </c>
      <c r="R13351" s="126">
        <f>J13351*Q13351*I13351/1000</f>
        <v>33.513914</v>
      </c>
      <c r="S13351" s="1737" t="s">
        <v>1640</v>
      </c>
    </row>
    <row r="13352" spans="1:19" ht="17.399999999999999">
      <c r="A13352" s="549"/>
      <c r="B13352" s="728" t="s">
        <v>52</v>
      </c>
      <c r="C13352" s="549"/>
      <c r="D13352" s="549"/>
      <c r="E13352" s="549"/>
      <c r="F13352" s="549"/>
      <c r="G13352" s="549" t="s">
        <v>21</v>
      </c>
      <c r="H13352" s="549" t="s">
        <v>54</v>
      </c>
      <c r="I13352" s="558">
        <v>9.61</v>
      </c>
      <c r="J13352" s="567">
        <v>10.6</v>
      </c>
      <c r="K13352" s="648">
        <v>194</v>
      </c>
      <c r="L13352" s="725">
        <f>(I13352*J13352*K13352/1000)</f>
        <v>19.762003999999997</v>
      </c>
      <c r="M13352" s="549">
        <v>4</v>
      </c>
      <c r="N13352" s="567">
        <f>J13352*M13352*I13352/1000</f>
        <v>0.40746399999999994</v>
      </c>
      <c r="O13352" s="549"/>
      <c r="P13352" s="549"/>
      <c r="Q13352" s="497">
        <f>30+30+30+19+32+29+22</f>
        <v>192</v>
      </c>
      <c r="R13352" s="126">
        <f>J13352*Q13352*I13352/1000</f>
        <v>19.558271999999999</v>
      </c>
    </row>
    <row r="13353" spans="1:19" ht="17.399999999999999">
      <c r="A13353" s="549"/>
      <c r="B13353" s="549"/>
      <c r="C13353" s="549"/>
      <c r="D13353" s="549"/>
      <c r="E13353" s="549"/>
      <c r="F13353" s="549"/>
      <c r="G13353" s="549"/>
      <c r="H13353" s="549"/>
      <c r="I13353" s="558"/>
      <c r="J13353" s="567"/>
      <c r="K13353" s="648">
        <f t="shared" ref="K13353:L13353" si="2698">SUM(K13351:K13352)</f>
        <v>582</v>
      </c>
      <c r="L13353" s="710">
        <f t="shared" si="2698"/>
        <v>54.811596000000002</v>
      </c>
      <c r="M13353" s="648">
        <f>SUM(M13351:M13352)</f>
        <v>12</v>
      </c>
      <c r="N13353" s="710">
        <f>SUM(N13351:N13352)</f>
        <v>1.1301359999999998</v>
      </c>
      <c r="O13353" s="549"/>
      <c r="P13353" s="549" t="s">
        <v>1606</v>
      </c>
      <c r="Q13353" s="648">
        <f t="shared" ref="Q13353" si="2699">SUM(Q13351:Q13352)</f>
        <v>563</v>
      </c>
      <c r="R13353" s="710">
        <f>SUM(R13351:R13352)</f>
        <v>53.072186000000002</v>
      </c>
    </row>
    <row r="13354" spans="1:19" s="1511" customFormat="1" ht="17.399999999999999">
      <c r="A13354" s="549"/>
      <c r="B13354" s="549"/>
      <c r="C13354" s="549"/>
      <c r="D13354" s="549"/>
      <c r="E13354" s="549"/>
      <c r="F13354" s="549"/>
      <c r="G13354" s="549"/>
      <c r="H13354" s="549"/>
      <c r="I13354" s="558"/>
      <c r="J13354" s="567"/>
      <c r="K13354" s="648">
        <f>SUM(K13347:K13353)/2</f>
        <v>856</v>
      </c>
      <c r="L13354" s="710">
        <f>SUM(L13347:L13353)/2</f>
        <v>85.544376</v>
      </c>
      <c r="M13354" s="648">
        <f>SUM(M13347:M13353)/2</f>
        <v>12</v>
      </c>
      <c r="N13354" s="710">
        <f>SUM(N13347:N13353)/2</f>
        <v>1.1301359999999998</v>
      </c>
      <c r="O13354" s="549"/>
      <c r="P13354" s="549"/>
      <c r="Q13354" s="648">
        <f>SUM(Q13347:Q13353)/2</f>
        <v>837</v>
      </c>
      <c r="R13354" s="710">
        <f>SUM(R13347:R13353)/2</f>
        <v>83.804966000000007</v>
      </c>
    </row>
    <row r="13355" spans="1:19" s="1511" customFormat="1" ht="17.399999999999999">
      <c r="A13355" s="549"/>
      <c r="B13355" s="549"/>
      <c r="C13355" s="549"/>
      <c r="D13355" s="549"/>
      <c r="E13355" s="549"/>
      <c r="F13355" s="549"/>
      <c r="G13355" s="549"/>
      <c r="H13355" s="549"/>
      <c r="I13355" s="558"/>
      <c r="J13355" s="567"/>
      <c r="K13355" s="648"/>
      <c r="L13355" s="710"/>
      <c r="M13355" s="648"/>
      <c r="N13355" s="710"/>
      <c r="O13355" s="549"/>
      <c r="P13355" s="549"/>
    </row>
    <row r="13356" spans="1:19" ht="17.399999999999999">
      <c r="A13356" s="547" t="s">
        <v>83</v>
      </c>
      <c r="B13356" s="547" t="s">
        <v>1455</v>
      </c>
      <c r="C13356" s="547" t="s">
        <v>19</v>
      </c>
      <c r="D13356" s="813" t="s">
        <v>854</v>
      </c>
      <c r="E13356" s="549" t="s">
        <v>367</v>
      </c>
      <c r="F13356" s="550">
        <v>11</v>
      </c>
      <c r="G13356" s="549" t="s">
        <v>21</v>
      </c>
      <c r="H13356" s="599" t="s">
        <v>53</v>
      </c>
      <c r="I13356" s="558">
        <v>8.3000000000000007</v>
      </c>
      <c r="J13356" s="567">
        <v>8.1</v>
      </c>
      <c r="K13356" s="648">
        <v>388</v>
      </c>
      <c r="L13356" s="725">
        <f>(I13356*J13356*K13356/1000)</f>
        <v>26.085240000000002</v>
      </c>
      <c r="M13356" s="549"/>
      <c r="N13356" s="549"/>
      <c r="O13356" s="549"/>
      <c r="P13356" s="549"/>
      <c r="Q13356" s="1737" t="s">
        <v>1641</v>
      </c>
    </row>
    <row r="13357" spans="1:19" ht="17.399999999999999">
      <c r="A13357" s="549"/>
      <c r="B13357" s="728" t="s">
        <v>52</v>
      </c>
      <c r="C13357" s="549"/>
      <c r="D13357" s="549"/>
      <c r="E13357" s="549"/>
      <c r="F13357" s="549"/>
      <c r="G13357" s="549" t="s">
        <v>21</v>
      </c>
      <c r="H13357" s="549" t="s">
        <v>53</v>
      </c>
      <c r="I13357" s="558">
        <v>8.3000000000000007</v>
      </c>
      <c r="J13357" s="567">
        <v>12</v>
      </c>
      <c r="K13357" s="648">
        <v>388</v>
      </c>
      <c r="L13357" s="725">
        <f>(I13357*J13357*K13357/1000)</f>
        <v>38.644800000000004</v>
      </c>
      <c r="M13357" s="549"/>
      <c r="N13357" s="549"/>
      <c r="O13357" s="549"/>
      <c r="P13357" s="549"/>
      <c r="Q13357" s="497">
        <f>35+35+35+24+29</f>
        <v>158</v>
      </c>
      <c r="R13357" s="126">
        <f t="shared" ref="R13357" si="2700">J13357*Q13357*I13357/1000</f>
        <v>15.736800000000001</v>
      </c>
      <c r="S13357" s="1737" t="s">
        <v>1644</v>
      </c>
    </row>
    <row r="13358" spans="1:19" ht="17.399999999999999">
      <c r="A13358" s="549"/>
      <c r="B13358" s="549"/>
      <c r="C13358" s="549"/>
      <c r="D13358" s="549"/>
      <c r="E13358" s="549"/>
      <c r="F13358" s="549"/>
      <c r="G13358" s="549"/>
      <c r="H13358" s="549"/>
      <c r="I13358" s="558"/>
      <c r="J13358" s="567"/>
      <c r="K13358" s="648">
        <f t="shared" ref="K13358:L13358" si="2701">SUM(K13356:K13357)</f>
        <v>776</v>
      </c>
      <c r="L13358" s="710">
        <f t="shared" si="2701"/>
        <v>64.730040000000002</v>
      </c>
      <c r="M13358" s="549"/>
      <c r="N13358" s="549"/>
      <c r="O13358" s="549"/>
      <c r="P13358" s="549" t="s">
        <v>1579</v>
      </c>
      <c r="Q13358" s="648">
        <f t="shared" ref="Q13358:R13358" si="2702">SUM(Q13356:Q13357)</f>
        <v>158</v>
      </c>
      <c r="R13358" s="710">
        <f t="shared" si="2702"/>
        <v>15.736800000000001</v>
      </c>
    </row>
    <row r="13359" spans="1:19" s="1511" customFormat="1" ht="17.399999999999999">
      <c r="A13359" s="549"/>
      <c r="B13359" s="549"/>
      <c r="C13359" s="549"/>
      <c r="D13359" s="549"/>
      <c r="E13359" s="549"/>
      <c r="F13359" s="549"/>
      <c r="G13359" s="549"/>
      <c r="H13359" s="549"/>
      <c r="I13359" s="558"/>
      <c r="J13359" s="567"/>
      <c r="K13359" s="648"/>
      <c r="L13359" s="710"/>
      <c r="M13359" s="549"/>
      <c r="N13359" s="549"/>
      <c r="O13359" s="549"/>
      <c r="P13359" s="549"/>
    </row>
    <row r="13360" spans="1:19" ht="17.399999999999999">
      <c r="A13360" s="547" t="s">
        <v>395</v>
      </c>
      <c r="B13360" s="547" t="s">
        <v>1365</v>
      </c>
      <c r="C13360" s="547" t="s">
        <v>19</v>
      </c>
      <c r="D13360" s="813" t="s">
        <v>854</v>
      </c>
      <c r="E13360" s="547" t="s">
        <v>359</v>
      </c>
      <c r="F13360" s="550">
        <v>11</v>
      </c>
      <c r="G13360" s="549" t="s">
        <v>21</v>
      </c>
      <c r="H13360" s="599" t="s">
        <v>53</v>
      </c>
      <c r="I13360" s="558">
        <v>8.32</v>
      </c>
      <c r="J13360" s="567">
        <v>8.5</v>
      </c>
      <c r="K13360" s="648">
        <v>605</v>
      </c>
      <c r="L13360" s="725">
        <f t="shared" ref="L13360:L13364" si="2703">(I13360*J13360*K13360/1000)</f>
        <v>42.785599999999995</v>
      </c>
      <c r="M13360" s="549"/>
      <c r="N13360" s="549"/>
      <c r="O13360" s="549"/>
      <c r="P13360" s="549"/>
      <c r="Q13360" s="497">
        <v>26</v>
      </c>
      <c r="R13360" s="126">
        <f t="shared" ref="R13360:R13364" si="2704">J13360*Q13360*I13360/1000</f>
        <v>1.8387200000000001</v>
      </c>
      <c r="S13360" s="1737" t="s">
        <v>1642</v>
      </c>
    </row>
    <row r="13361" spans="1:19" ht="17.399999999999999">
      <c r="A13361" s="549"/>
      <c r="B13361" s="1605" t="s">
        <v>277</v>
      </c>
      <c r="C13361" s="549"/>
      <c r="D13361" s="549"/>
      <c r="E13361" s="549"/>
      <c r="F13361" s="549"/>
      <c r="G13361" s="549" t="s">
        <v>21</v>
      </c>
      <c r="H13361" s="549" t="s">
        <v>53</v>
      </c>
      <c r="I13361" s="558">
        <v>8.32</v>
      </c>
      <c r="J13361" s="567">
        <v>10</v>
      </c>
      <c r="K13361" s="648">
        <v>636</v>
      </c>
      <c r="L13361" s="725">
        <f t="shared" si="2703"/>
        <v>52.915200000000006</v>
      </c>
      <c r="M13361" s="549"/>
      <c r="N13361" s="549"/>
      <c r="O13361" s="549"/>
      <c r="P13361" s="549"/>
      <c r="Q13361" s="497">
        <f>37+35+32+35+35+36+36+36+31</f>
        <v>313</v>
      </c>
      <c r="R13361" s="126">
        <f t="shared" si="2704"/>
        <v>26.041600000000003</v>
      </c>
      <c r="S13361" s="1737" t="s">
        <v>1646</v>
      </c>
    </row>
    <row r="13362" spans="1:19" ht="17.399999999999999">
      <c r="A13362" s="549"/>
      <c r="B13362" s="549"/>
      <c r="C13362" s="549"/>
      <c r="D13362" s="549"/>
      <c r="E13362" s="549"/>
      <c r="F13362" s="549"/>
      <c r="G13362" s="549" t="s">
        <v>21</v>
      </c>
      <c r="H13362" s="549" t="s">
        <v>53</v>
      </c>
      <c r="I13362" s="558">
        <v>8.32</v>
      </c>
      <c r="J13362" s="567">
        <v>10.5</v>
      </c>
      <c r="K13362" s="648">
        <v>65</v>
      </c>
      <c r="L13362" s="725">
        <f t="shared" si="2703"/>
        <v>5.6783999999999999</v>
      </c>
      <c r="M13362" s="549"/>
      <c r="N13362" s="549"/>
      <c r="O13362" s="549"/>
      <c r="P13362" s="549"/>
      <c r="Q13362" s="497">
        <v>25</v>
      </c>
      <c r="R13362" s="126">
        <f t="shared" si="2704"/>
        <v>2.1840000000000002</v>
      </c>
    </row>
    <row r="13363" spans="1:19" ht="17.399999999999999">
      <c r="A13363" s="549"/>
      <c r="B13363" s="549"/>
      <c r="C13363" s="549"/>
      <c r="D13363" s="549"/>
      <c r="E13363" s="549"/>
      <c r="F13363" s="549"/>
      <c r="G13363" s="549" t="s">
        <v>21</v>
      </c>
      <c r="H13363" s="549" t="s">
        <v>53</v>
      </c>
      <c r="I13363" s="558">
        <v>8.32</v>
      </c>
      <c r="J13363" s="567">
        <v>11</v>
      </c>
      <c r="K13363" s="648">
        <v>103</v>
      </c>
      <c r="L13363" s="725">
        <f t="shared" si="2703"/>
        <v>9.426560000000002</v>
      </c>
      <c r="M13363" s="549"/>
      <c r="N13363" s="549"/>
      <c r="O13363" s="549"/>
      <c r="P13363" s="549"/>
      <c r="R13363" s="126">
        <f t="shared" si="2704"/>
        <v>0</v>
      </c>
    </row>
    <row r="13364" spans="1:19" ht="17.399999999999999">
      <c r="A13364" s="549"/>
      <c r="B13364" s="549"/>
      <c r="C13364" s="549"/>
      <c r="D13364" s="549"/>
      <c r="E13364" s="549"/>
      <c r="F13364" s="549"/>
      <c r="G13364" s="549" t="s">
        <v>21</v>
      </c>
      <c r="H13364" s="549" t="s">
        <v>53</v>
      </c>
      <c r="I13364" s="558">
        <v>8.32</v>
      </c>
      <c r="J13364" s="567">
        <v>12</v>
      </c>
      <c r="K13364" s="648">
        <v>105</v>
      </c>
      <c r="L13364" s="725">
        <f t="shared" si="2703"/>
        <v>10.4832</v>
      </c>
      <c r="M13364" s="549"/>
      <c r="N13364" s="549"/>
      <c r="O13364" s="549"/>
      <c r="P13364" s="549"/>
      <c r="Q13364" s="497">
        <f>32+32+26+15+29-29</f>
        <v>105</v>
      </c>
      <c r="R13364" s="126">
        <f t="shared" si="2704"/>
        <v>10.4832</v>
      </c>
    </row>
    <row r="13365" spans="1:19" ht="17.399999999999999">
      <c r="A13365" s="549"/>
      <c r="B13365" s="549"/>
      <c r="C13365" s="549"/>
      <c r="D13365" s="549"/>
      <c r="E13365" s="549"/>
      <c r="F13365" s="549"/>
      <c r="G13365" s="549"/>
      <c r="H13365" s="549"/>
      <c r="I13365" s="558"/>
      <c r="J13365" s="567"/>
      <c r="K13365" s="648">
        <f t="shared" ref="K13365:L13365" si="2705">SUM(K13360:K13364)</f>
        <v>1514</v>
      </c>
      <c r="L13365" s="710">
        <f t="shared" si="2705"/>
        <v>121.28895999999999</v>
      </c>
      <c r="M13365" s="549"/>
      <c r="N13365" s="549"/>
      <c r="O13365" s="549"/>
      <c r="P13365" s="549" t="s">
        <v>1607</v>
      </c>
      <c r="Q13365" s="648">
        <f>SUM(Q13360:Q13364)</f>
        <v>469</v>
      </c>
      <c r="R13365" s="710">
        <f>SUM(R13360:R13364)</f>
        <v>40.547520000000006</v>
      </c>
    </row>
    <row r="13366" spans="1:19" s="1511" customFormat="1" ht="17.399999999999999">
      <c r="A13366" s="549"/>
      <c r="B13366" s="549"/>
      <c r="C13366" s="549"/>
      <c r="D13366" s="549"/>
      <c r="E13366" s="549"/>
      <c r="F13366" s="549"/>
      <c r="G13366" s="549"/>
      <c r="H13366" s="549"/>
      <c r="I13366" s="558"/>
      <c r="J13366" s="567"/>
      <c r="K13366" s="648"/>
      <c r="L13366" s="710"/>
      <c r="M13366" s="549"/>
      <c r="N13366" s="549"/>
      <c r="O13366" s="549"/>
      <c r="P13366" s="549"/>
    </row>
    <row r="13367" spans="1:19" ht="17.399999999999999">
      <c r="A13367" s="547" t="s">
        <v>83</v>
      </c>
      <c r="B13367" s="547" t="s">
        <v>1592</v>
      </c>
      <c r="C13367" s="547" t="s">
        <v>19</v>
      </c>
      <c r="D13367" s="813" t="s">
        <v>854</v>
      </c>
      <c r="E13367" s="650" t="s">
        <v>464</v>
      </c>
      <c r="F13367" s="550">
        <v>11</v>
      </c>
      <c r="G13367" s="549" t="s">
        <v>21</v>
      </c>
      <c r="H13367" s="599" t="s">
        <v>53</v>
      </c>
      <c r="I13367" s="558">
        <v>8.3000000000000007</v>
      </c>
      <c r="J13367" s="710">
        <v>12</v>
      </c>
      <c r="K13367" s="648">
        <v>9</v>
      </c>
      <c r="L13367" s="725">
        <f>(I13367*J13367*K13367/1000)</f>
        <v>0.89640000000000009</v>
      </c>
      <c r="M13367" s="549"/>
      <c r="N13367" s="549"/>
      <c r="O13367" s="549"/>
      <c r="P13367" s="549"/>
      <c r="Q13367" s="1737" t="s">
        <v>1645</v>
      </c>
    </row>
    <row r="13368" spans="1:19" ht="17.399999999999999">
      <c r="A13368" s="549"/>
      <c r="B13368" s="1714" t="s">
        <v>1593</v>
      </c>
      <c r="C13368" s="549"/>
      <c r="D13368" s="549"/>
      <c r="E13368" s="549"/>
      <c r="F13368" s="549"/>
      <c r="G13368" s="549" t="s">
        <v>21</v>
      </c>
      <c r="H13368" s="549" t="s">
        <v>53</v>
      </c>
      <c r="I13368" s="558">
        <v>8.3000000000000007</v>
      </c>
      <c r="J13368" s="710"/>
      <c r="K13368" s="648"/>
      <c r="L13368" s="725">
        <f>(I13368*J13368*K13368/1000)</f>
        <v>0</v>
      </c>
      <c r="M13368" s="549"/>
      <c r="N13368" s="549"/>
      <c r="O13368" s="549"/>
      <c r="P13368" s="549"/>
    </row>
    <row r="13369" spans="1:19" ht="17.399999999999999">
      <c r="A13369" s="549"/>
      <c r="B13369" s="549"/>
      <c r="C13369" s="549"/>
      <c r="D13369" s="549"/>
      <c r="E13369" s="549"/>
      <c r="F13369" s="549"/>
      <c r="G13369" s="549"/>
      <c r="H13369" s="650"/>
      <c r="I13369" s="558"/>
      <c r="J13369" s="710"/>
      <c r="K13369" s="648">
        <f>SUM(K13367:K13368)</f>
        <v>9</v>
      </c>
      <c r="L13369" s="763">
        <f>SUM(L13367:L13368)</f>
        <v>0.89640000000000009</v>
      </c>
      <c r="M13369" s="549"/>
      <c r="N13369" s="549"/>
      <c r="O13369" s="549"/>
      <c r="P13369" s="549" t="s">
        <v>1608</v>
      </c>
    </row>
    <row r="13370" spans="1:19" ht="17.399999999999999">
      <c r="A13370" s="549"/>
      <c r="B13370" s="549"/>
      <c r="C13370" s="549"/>
      <c r="D13370" s="549"/>
      <c r="E13370" s="549"/>
      <c r="F13370" s="549"/>
      <c r="G13370" s="549"/>
      <c r="H13370" s="549"/>
      <c r="I13370" s="558"/>
      <c r="J13370" s="549"/>
      <c r="K13370" s="561"/>
      <c r="L13370" s="728"/>
      <c r="M13370" s="549"/>
      <c r="N13370" s="549"/>
      <c r="O13370" s="549"/>
      <c r="P13370" s="549"/>
    </row>
    <row r="13371" spans="1:19" ht="17.399999999999999">
      <c r="A13371" s="547" t="s">
        <v>83</v>
      </c>
      <c r="B13371" s="547" t="s">
        <v>1558</v>
      </c>
      <c r="C13371" s="547" t="s">
        <v>19</v>
      </c>
      <c r="D13371" s="813" t="s">
        <v>854</v>
      </c>
      <c r="E13371" s="650" t="s">
        <v>464</v>
      </c>
      <c r="F13371" s="550">
        <v>11</v>
      </c>
      <c r="G13371" s="549" t="s">
        <v>21</v>
      </c>
      <c r="H13371" s="599" t="s">
        <v>53</v>
      </c>
      <c r="I13371" s="558">
        <v>8.3000000000000007</v>
      </c>
      <c r="J13371" s="710">
        <v>12</v>
      </c>
      <c r="K13371" s="648">
        <v>15</v>
      </c>
      <c r="L13371" s="725">
        <f>(I13371*J13371*K13371/1000)</f>
        <v>1.4940000000000002</v>
      </c>
      <c r="M13371" s="549"/>
      <c r="N13371" s="549"/>
      <c r="O13371" s="549"/>
      <c r="P13371" s="549"/>
      <c r="Q13371" s="1737" t="s">
        <v>1645</v>
      </c>
    </row>
    <row r="13372" spans="1:19" ht="17.399999999999999">
      <c r="A13372" s="549"/>
      <c r="B13372" s="1714" t="s">
        <v>1593</v>
      </c>
      <c r="C13372" s="549"/>
      <c r="D13372" s="549"/>
      <c r="E13372" s="549"/>
      <c r="F13372" s="549"/>
      <c r="G13372" s="549" t="s">
        <v>21</v>
      </c>
      <c r="H13372" s="549" t="s">
        <v>53</v>
      </c>
      <c r="I13372" s="558"/>
      <c r="J13372" s="710"/>
      <c r="K13372" s="648"/>
      <c r="L13372" s="725">
        <f>(I13372*J13372*K13372/1000)</f>
        <v>0</v>
      </c>
      <c r="M13372" s="549"/>
      <c r="N13372" s="549"/>
      <c r="O13372" s="549"/>
      <c r="P13372" s="549"/>
    </row>
    <row r="13373" spans="1:19" ht="17.399999999999999">
      <c r="A13373" s="549"/>
      <c r="B13373" s="549"/>
      <c r="C13373" s="549"/>
      <c r="D13373" s="549"/>
      <c r="E13373" s="549"/>
      <c r="F13373" s="549"/>
      <c r="G13373" s="549"/>
      <c r="H13373" s="650"/>
      <c r="I13373" s="558"/>
      <c r="J13373" s="710"/>
      <c r="K13373" s="648">
        <f>SUM(K13371:K13372)</f>
        <v>15</v>
      </c>
      <c r="L13373" s="763">
        <f>SUM(L13371:L13372)</f>
        <v>1.4940000000000002</v>
      </c>
      <c r="M13373" s="549"/>
      <c r="N13373" s="549"/>
      <c r="O13373" s="549"/>
      <c r="P13373" s="549" t="s">
        <v>1608</v>
      </c>
    </row>
    <row r="13374" spans="1:19" s="1511" customFormat="1" ht="17.399999999999999">
      <c r="A13374" s="549"/>
      <c r="B13374" s="549"/>
      <c r="C13374" s="549"/>
      <c r="D13374" s="549"/>
      <c r="E13374" s="549"/>
      <c r="F13374" s="549"/>
      <c r="G13374" s="549"/>
      <c r="H13374" s="650"/>
      <c r="I13374" s="558"/>
      <c r="J13374" s="710"/>
      <c r="K13374" s="766">
        <f>SUM(K13356:K13373)/2</f>
        <v>2314</v>
      </c>
      <c r="L13374" s="763">
        <f>SUM(L13356:L13373)/2</f>
        <v>188.40940000000006</v>
      </c>
      <c r="M13374" s="549"/>
      <c r="N13374" s="549"/>
      <c r="O13374" s="549"/>
      <c r="P13374" s="549"/>
    </row>
    <row r="13375" spans="1:19" s="1511" customFormat="1" ht="17.399999999999999">
      <c r="A13375" s="549"/>
      <c r="B13375" s="549"/>
      <c r="C13375" s="549"/>
      <c r="D13375" s="549"/>
      <c r="E13375" s="549"/>
      <c r="F13375" s="549"/>
      <c r="G13375" s="549"/>
      <c r="H13375" s="650"/>
      <c r="I13375" s="558"/>
      <c r="J13375" s="710"/>
      <c r="K13375" s="766"/>
      <c r="L13375" s="763"/>
      <c r="M13375" s="549"/>
      <c r="N13375" s="549"/>
      <c r="O13375" s="549"/>
      <c r="P13375" s="549"/>
    </row>
    <row r="13376" spans="1:19" ht="17.399999999999999">
      <c r="A13376" s="549"/>
      <c r="B13376" s="549"/>
      <c r="C13376" s="549"/>
      <c r="D13376" s="549"/>
      <c r="E13376" s="549"/>
      <c r="F13376" s="549"/>
      <c r="G13376" s="549"/>
      <c r="H13376" s="549"/>
      <c r="I13376" s="558"/>
      <c r="J13376" s="549"/>
      <c r="K13376" s="561"/>
      <c r="L13376" s="728"/>
      <c r="M13376" s="549"/>
      <c r="N13376" s="549"/>
      <c r="O13376" s="549"/>
      <c r="P13376" s="549"/>
    </row>
    <row r="13377" spans="1:19" ht="17.399999999999999">
      <c r="A13377" s="547" t="s">
        <v>395</v>
      </c>
      <c r="B13377" s="852" t="s">
        <v>1365</v>
      </c>
      <c r="C13377" s="547" t="s">
        <v>19</v>
      </c>
      <c r="D13377" s="813" t="s">
        <v>854</v>
      </c>
      <c r="E13377" s="547" t="s">
        <v>359</v>
      </c>
      <c r="F13377" s="550">
        <v>11</v>
      </c>
      <c r="G13377" s="549" t="s">
        <v>21</v>
      </c>
      <c r="H13377" s="599" t="s">
        <v>91</v>
      </c>
      <c r="I13377" s="558">
        <v>6.97</v>
      </c>
      <c r="J13377" s="567">
        <v>9.5</v>
      </c>
      <c r="K13377" s="648">
        <v>205</v>
      </c>
      <c r="L13377" s="725">
        <f t="shared" ref="L13377:L13380" si="2706">(I13377*J13377*K13377/1000)</f>
        <v>13.574075000000001</v>
      </c>
      <c r="M13377" s="549">
        <v>5</v>
      </c>
      <c r="N13377" s="567">
        <f t="shared" ref="N13377" si="2707">J13377*M13377*I13377/1000</f>
        <v>0.33107500000000001</v>
      </c>
      <c r="O13377" s="549"/>
      <c r="P13377" s="549"/>
      <c r="Q13377" s="1737">
        <f>36+38</f>
        <v>74</v>
      </c>
      <c r="R13377" s="126">
        <f t="shared" ref="R13377:R13379" si="2708">J13377*Q13377*I13377/1000</f>
        <v>4.8999100000000002</v>
      </c>
      <c r="S13377" s="1737" t="s">
        <v>1645</v>
      </c>
    </row>
    <row r="13378" spans="1:19" ht="17.399999999999999">
      <c r="A13378" s="549"/>
      <c r="B13378" s="1605" t="s">
        <v>277</v>
      </c>
      <c r="C13378" s="549"/>
      <c r="D13378" s="549"/>
      <c r="E13378" s="549"/>
      <c r="F13378" s="549"/>
      <c r="G13378" s="549" t="s">
        <v>21</v>
      </c>
      <c r="H13378" s="549" t="s">
        <v>91</v>
      </c>
      <c r="I13378" s="558">
        <v>6.97</v>
      </c>
      <c r="J13378" s="567">
        <v>10.5</v>
      </c>
      <c r="K13378" s="648">
        <v>90</v>
      </c>
      <c r="L13378" s="725">
        <f t="shared" si="2706"/>
        <v>6.5866500000000006</v>
      </c>
      <c r="M13378" s="549"/>
      <c r="N13378" s="549"/>
      <c r="O13378" s="549"/>
      <c r="P13378" s="549"/>
      <c r="Q13378" s="1737"/>
      <c r="R13378" s="126">
        <f t="shared" si="2708"/>
        <v>0</v>
      </c>
    </row>
    <row r="13379" spans="1:19" ht="17.399999999999999">
      <c r="A13379" s="549"/>
      <c r="B13379" s="549"/>
      <c r="C13379" s="549"/>
      <c r="D13379" s="549"/>
      <c r="E13379" s="549"/>
      <c r="F13379" s="549"/>
      <c r="G13379" s="549" t="s">
        <v>21</v>
      </c>
      <c r="H13379" s="549" t="s">
        <v>91</v>
      </c>
      <c r="I13379" s="558">
        <v>6.97</v>
      </c>
      <c r="J13379" s="567">
        <v>11.5</v>
      </c>
      <c r="K13379" s="648">
        <v>500</v>
      </c>
      <c r="L13379" s="725">
        <f t="shared" si="2706"/>
        <v>40.077500000000001</v>
      </c>
      <c r="M13379" s="549"/>
      <c r="N13379" s="549"/>
      <c r="O13379" s="549"/>
      <c r="P13379" s="549"/>
      <c r="Q13379" s="1737">
        <v>36</v>
      </c>
      <c r="R13379" s="126">
        <f t="shared" si="2708"/>
        <v>2.88558</v>
      </c>
    </row>
    <row r="13380" spans="1:19" ht="17.399999999999999">
      <c r="A13380" s="549"/>
      <c r="B13380" s="549"/>
      <c r="C13380" s="549"/>
      <c r="D13380" s="549"/>
      <c r="E13380" s="549"/>
      <c r="F13380" s="549"/>
      <c r="G13380" s="549" t="s">
        <v>21</v>
      </c>
      <c r="H13380" s="549" t="s">
        <v>91</v>
      </c>
      <c r="I13380" s="558">
        <v>6.97</v>
      </c>
      <c r="J13380" s="567">
        <v>12</v>
      </c>
      <c r="K13380" s="648">
        <v>465</v>
      </c>
      <c r="L13380" s="725">
        <f t="shared" si="2706"/>
        <v>38.892600000000002</v>
      </c>
      <c r="M13380" s="549"/>
      <c r="N13380" s="549"/>
      <c r="O13380" s="549"/>
      <c r="P13380" s="549"/>
      <c r="Q13380" s="497">
        <f>35+35+35+36+35+36+35</f>
        <v>247</v>
      </c>
      <c r="R13380" s="126">
        <f>J13380*Q13380*I13380/1000</f>
        <v>20.659079999999999</v>
      </c>
    </row>
    <row r="13381" spans="1:19" ht="17.399999999999999">
      <c r="A13381" s="549"/>
      <c r="B13381" s="549"/>
      <c r="C13381" s="549"/>
      <c r="D13381" s="549"/>
      <c r="E13381" s="549"/>
      <c r="F13381" s="549"/>
      <c r="G13381" s="549"/>
      <c r="H13381" s="549"/>
      <c r="I13381" s="558"/>
      <c r="J13381" s="567"/>
      <c r="K13381" s="648">
        <f t="shared" ref="K13381:N13381" si="2709">SUM(K13377:K13380)</f>
        <v>1260</v>
      </c>
      <c r="L13381" s="710">
        <f>SUM(L13377:L13380)</f>
        <v>99.130825000000002</v>
      </c>
      <c r="M13381" s="648">
        <f t="shared" si="2709"/>
        <v>5</v>
      </c>
      <c r="N13381" s="710">
        <f t="shared" si="2709"/>
        <v>0.33107500000000001</v>
      </c>
      <c r="O13381" s="549"/>
      <c r="P13381" s="549" t="s">
        <v>1580</v>
      </c>
      <c r="Q13381" s="648">
        <f t="shared" ref="Q13381" si="2710">SUM(Q13377:Q13380)</f>
        <v>357</v>
      </c>
      <c r="R13381" s="710">
        <f>SUM(R13377:R13380)</f>
        <v>28.444569999999999</v>
      </c>
    </row>
    <row r="13382" spans="1:19" ht="17.399999999999999">
      <c r="A13382" s="549"/>
      <c r="B13382" s="549"/>
      <c r="C13382" s="549"/>
      <c r="D13382" s="549"/>
      <c r="E13382" s="549"/>
      <c r="F13382" s="549"/>
      <c r="G13382" s="549"/>
      <c r="H13382" s="549"/>
      <c r="I13382" s="558"/>
      <c r="J13382" s="549"/>
      <c r="K13382" s="561"/>
      <c r="L13382" s="728"/>
      <c r="M13382" s="549"/>
      <c r="N13382" s="549"/>
      <c r="O13382" s="549"/>
      <c r="P13382" s="549"/>
    </row>
    <row r="13383" spans="1:19" ht="17.399999999999999">
      <c r="A13383" s="547" t="s">
        <v>458</v>
      </c>
      <c r="B13383" s="1124" t="s">
        <v>1598</v>
      </c>
      <c r="C13383" s="547" t="s">
        <v>19</v>
      </c>
      <c r="D13383" s="813" t="s">
        <v>854</v>
      </c>
      <c r="E13383" s="650" t="s">
        <v>464</v>
      </c>
      <c r="F13383" s="550">
        <v>11</v>
      </c>
      <c r="G13383" s="549" t="s">
        <v>21</v>
      </c>
      <c r="H13383" s="599" t="s">
        <v>91</v>
      </c>
      <c r="I13383" s="558">
        <v>6.97</v>
      </c>
      <c r="J13383" s="567">
        <v>7.25</v>
      </c>
      <c r="K13383" s="648">
        <v>8</v>
      </c>
      <c r="L13383" s="725">
        <f>(I13383*J13383*K13383/1000)</f>
        <v>0.40426000000000001</v>
      </c>
      <c r="M13383" s="549">
        <v>8</v>
      </c>
      <c r="N13383" s="567">
        <f t="shared" ref="N13383" si="2711">J13383*M13383*I13383/1000</f>
        <v>0.40426000000000001</v>
      </c>
      <c r="O13383" s="549"/>
      <c r="P13383" s="549"/>
      <c r="Q13383" s="1737" t="s">
        <v>1645</v>
      </c>
    </row>
    <row r="13384" spans="1:19" ht="17.399999999999999">
      <c r="A13384" s="549"/>
      <c r="B13384" s="549" t="s">
        <v>439</v>
      </c>
      <c r="C13384" s="549"/>
      <c r="D13384" s="549"/>
      <c r="E13384" s="549"/>
      <c r="F13384" s="549"/>
      <c r="G13384" s="549" t="s">
        <v>21</v>
      </c>
      <c r="H13384" s="549" t="s">
        <v>91</v>
      </c>
      <c r="I13384" s="558">
        <v>6.97</v>
      </c>
      <c r="J13384" s="567">
        <v>11</v>
      </c>
      <c r="K13384" s="648">
        <v>9</v>
      </c>
      <c r="L13384" s="725">
        <f>(I13384*J13384*K13384/1000)</f>
        <v>0.69002999999999992</v>
      </c>
      <c r="M13384" s="549"/>
      <c r="N13384" s="549"/>
      <c r="O13384" s="549"/>
      <c r="P13384" s="549"/>
    </row>
    <row r="13385" spans="1:19" ht="17.399999999999999">
      <c r="A13385" s="549"/>
      <c r="B13385" s="549"/>
      <c r="C13385" s="549"/>
      <c r="D13385" s="549"/>
      <c r="E13385" s="549"/>
      <c r="F13385" s="549"/>
      <c r="G13385" s="549"/>
      <c r="H13385" s="549"/>
      <c r="I13385" s="558"/>
      <c r="J13385" s="567"/>
      <c r="K13385" s="648">
        <f>SUM(K13383:K13384)</f>
        <v>17</v>
      </c>
      <c r="L13385" s="710">
        <f>SUM(L13383:L13384)</f>
        <v>1.09429</v>
      </c>
      <c r="M13385" s="648">
        <f>SUM(M13383:M13384)</f>
        <v>8</v>
      </c>
      <c r="N13385" s="710">
        <f>SUM(N13383:N13384)</f>
        <v>0.40426000000000001</v>
      </c>
      <c r="O13385" s="549"/>
      <c r="P13385" s="549" t="s">
        <v>1609</v>
      </c>
    </row>
    <row r="13386" spans="1:19" ht="17.399999999999999">
      <c r="A13386" s="549"/>
      <c r="B13386" s="549"/>
      <c r="C13386" s="549"/>
      <c r="D13386" s="549"/>
      <c r="E13386" s="549"/>
      <c r="F13386" s="549"/>
      <c r="G13386" s="549"/>
      <c r="H13386" s="549"/>
      <c r="I13386" s="558"/>
      <c r="J13386" s="549"/>
      <c r="K13386" s="652">
        <f>SUM(K13377:K13385)/2</f>
        <v>1277</v>
      </c>
      <c r="L13386" s="710">
        <f>SUM(L13377:L13385)/2</f>
        <v>100.225115</v>
      </c>
      <c r="M13386" s="652">
        <f>SUM(M13377:M13385)/2</f>
        <v>13</v>
      </c>
      <c r="N13386" s="710">
        <f>SUM(N13377:N13385)/2</f>
        <v>0.73533500000000007</v>
      </c>
      <c r="O13386" s="549"/>
      <c r="P13386" s="549"/>
    </row>
    <row r="13387" spans="1:19" s="1511" customFormat="1" ht="17.399999999999999">
      <c r="A13387" s="549"/>
      <c r="B13387" s="549"/>
      <c r="C13387" s="549"/>
      <c r="D13387" s="549"/>
      <c r="E13387" s="549"/>
      <c r="F13387" s="549"/>
      <c r="G13387" s="549"/>
      <c r="H13387" s="549"/>
      <c r="I13387" s="558"/>
      <c r="J13387" s="549"/>
      <c r="K13387" s="564"/>
      <c r="L13387" s="710"/>
      <c r="M13387" s="549"/>
      <c r="N13387" s="549"/>
      <c r="O13387" s="549"/>
      <c r="P13387" s="549"/>
    </row>
    <row r="13388" spans="1:19" ht="17.399999999999999">
      <c r="A13388" s="549"/>
      <c r="B13388" s="549"/>
      <c r="C13388" s="549"/>
      <c r="D13388" s="549"/>
      <c r="E13388" s="549"/>
      <c r="F13388" s="549"/>
      <c r="G13388" s="549"/>
      <c r="H13388" s="549"/>
      <c r="I13388" s="558"/>
      <c r="J13388" s="549"/>
      <c r="K13388" s="561"/>
      <c r="L13388" s="728"/>
      <c r="M13388" s="549"/>
      <c r="N13388" s="549"/>
      <c r="O13388" s="549"/>
      <c r="P13388" s="549"/>
    </row>
    <row r="13389" spans="1:19" ht="17.399999999999999">
      <c r="A13389" s="547" t="s">
        <v>395</v>
      </c>
      <c r="B13389" s="547" t="s">
        <v>1365</v>
      </c>
      <c r="C13389" s="547" t="s">
        <v>19</v>
      </c>
      <c r="D13389" s="813" t="s">
        <v>60</v>
      </c>
      <c r="E13389" s="547" t="s">
        <v>270</v>
      </c>
      <c r="F13389" s="550">
        <v>11</v>
      </c>
      <c r="G13389" s="549" t="s">
        <v>61</v>
      </c>
      <c r="H13389" s="599" t="s">
        <v>91</v>
      </c>
      <c r="I13389" s="558">
        <v>6.97</v>
      </c>
      <c r="J13389" s="567">
        <v>8.5</v>
      </c>
      <c r="K13389" s="648">
        <v>92</v>
      </c>
      <c r="L13389" s="725">
        <f>(I13389*J13389*K13389/1000)</f>
        <v>5.4505400000000002</v>
      </c>
      <c r="M13389" s="549"/>
      <c r="N13389" s="549"/>
      <c r="O13389" s="549"/>
      <c r="P13389" s="549"/>
      <c r="Q13389" s="1737" t="s">
        <v>1647</v>
      </c>
    </row>
    <row r="13390" spans="1:19" ht="17.399999999999999">
      <c r="A13390" s="549"/>
      <c r="B13390" s="1605" t="s">
        <v>277</v>
      </c>
      <c r="C13390" s="549"/>
      <c r="D13390" s="549"/>
      <c r="E13390" s="549"/>
      <c r="F13390" s="549"/>
      <c r="G13390" s="549"/>
      <c r="H13390" s="549"/>
      <c r="I13390" s="558"/>
      <c r="J13390" s="567"/>
      <c r="K13390" s="648">
        <f t="shared" ref="K13390:N13390" si="2712">SUM(K13389)</f>
        <v>92</v>
      </c>
      <c r="L13390" s="710">
        <f t="shared" si="2712"/>
        <v>5.4505400000000002</v>
      </c>
      <c r="M13390" s="648">
        <f t="shared" si="2712"/>
        <v>0</v>
      </c>
      <c r="N13390" s="710">
        <f t="shared" si="2712"/>
        <v>0</v>
      </c>
      <c r="O13390" s="549"/>
      <c r="P13390" s="549" t="s">
        <v>1610</v>
      </c>
    </row>
    <row r="13391" spans="1:19" ht="17.399999999999999">
      <c r="A13391" s="549"/>
      <c r="B13391" s="549"/>
      <c r="C13391" s="549"/>
      <c r="D13391" s="549"/>
      <c r="E13391" s="549"/>
      <c r="F13391" s="549"/>
      <c r="G13391" s="549"/>
      <c r="H13391" s="549"/>
      <c r="I13391" s="558"/>
      <c r="J13391" s="549"/>
      <c r="K13391" s="561"/>
      <c r="L13391" s="728"/>
      <c r="M13391" s="549"/>
      <c r="N13391" s="549"/>
      <c r="O13391" s="549"/>
      <c r="P13391" s="549"/>
    </row>
    <row r="13392" spans="1:19" ht="17.399999999999999">
      <c r="A13392" s="549"/>
      <c r="B13392" s="549"/>
      <c r="C13392" s="549"/>
      <c r="D13392" s="549"/>
      <c r="E13392" s="549"/>
      <c r="F13392" s="549"/>
      <c r="G13392" s="549"/>
      <c r="H13392" s="549"/>
      <c r="I13392" s="558"/>
      <c r="J13392" s="549"/>
      <c r="K13392" s="561"/>
      <c r="L13392" s="728"/>
      <c r="M13392" s="549"/>
      <c r="N13392" s="549"/>
      <c r="O13392" s="549"/>
      <c r="P13392" s="549"/>
    </row>
    <row r="13393" spans="1:17" ht="17.399999999999999">
      <c r="A13393" s="547" t="s">
        <v>83</v>
      </c>
      <c r="B13393" s="547" t="s">
        <v>1455</v>
      </c>
      <c r="C13393" s="547" t="s">
        <v>19</v>
      </c>
      <c r="D13393" s="813" t="s">
        <v>155</v>
      </c>
      <c r="E13393" s="549" t="s">
        <v>62</v>
      </c>
      <c r="F13393" s="550">
        <v>11</v>
      </c>
      <c r="G13393" s="549" t="s">
        <v>61</v>
      </c>
      <c r="H13393" s="599" t="s">
        <v>53</v>
      </c>
      <c r="I13393" s="558">
        <v>8.3000000000000007</v>
      </c>
      <c r="J13393" s="567">
        <v>10.199999999999999</v>
      </c>
      <c r="K13393" s="648">
        <v>781</v>
      </c>
      <c r="L13393" s="725">
        <f t="shared" ref="L13393:L13394" si="2713">(I13393*J13393*K13393/1000)</f>
        <v>66.119459999999989</v>
      </c>
      <c r="M13393" s="549"/>
      <c r="N13393" s="549"/>
      <c r="O13393" s="549"/>
      <c r="P13393" s="549"/>
      <c r="Q13393" s="1737" t="s">
        <v>1647</v>
      </c>
    </row>
    <row r="13394" spans="1:17" ht="17.399999999999999">
      <c r="A13394" s="549"/>
      <c r="B13394" s="728" t="s">
        <v>52</v>
      </c>
      <c r="C13394" s="549"/>
      <c r="D13394" s="549"/>
      <c r="E13394" s="549"/>
      <c r="F13394" s="549"/>
      <c r="G13394" s="549" t="s">
        <v>61</v>
      </c>
      <c r="H13394" s="549" t="s">
        <v>53</v>
      </c>
      <c r="I13394" s="558">
        <v>8.3000000000000007</v>
      </c>
      <c r="J13394" s="567">
        <v>11.35</v>
      </c>
      <c r="K13394" s="648">
        <v>126</v>
      </c>
      <c r="L13394" s="725">
        <f t="shared" si="2713"/>
        <v>11.86983</v>
      </c>
      <c r="M13394" s="549">
        <v>3</v>
      </c>
      <c r="N13394" s="567">
        <f t="shared" ref="N13394" si="2714">J13394*M13394*I13394/1000</f>
        <v>0.28261500000000001</v>
      </c>
      <c r="O13394" s="549"/>
      <c r="P13394" s="549"/>
    </row>
    <row r="13395" spans="1:17" ht="17.399999999999999">
      <c r="A13395" s="549"/>
      <c r="B13395" s="549"/>
      <c r="C13395" s="549"/>
      <c r="D13395" s="549"/>
      <c r="E13395" s="549"/>
      <c r="F13395" s="549"/>
      <c r="G13395" s="549"/>
      <c r="H13395" s="549"/>
      <c r="I13395" s="558"/>
      <c r="J13395" s="567"/>
      <c r="K13395" s="648">
        <f t="shared" ref="K13395:N13395" si="2715">SUM(K13393:K13394)</f>
        <v>907</v>
      </c>
      <c r="L13395" s="710">
        <f t="shared" si="2715"/>
        <v>77.989289999999983</v>
      </c>
      <c r="M13395" s="648">
        <f t="shared" si="2715"/>
        <v>3</v>
      </c>
      <c r="N13395" s="710">
        <f t="shared" si="2715"/>
        <v>0.28261500000000001</v>
      </c>
      <c r="O13395" s="549"/>
      <c r="P13395" s="549" t="s">
        <v>1611</v>
      </c>
    </row>
    <row r="13396" spans="1:17" s="1511" customFormat="1" ht="17.399999999999999">
      <c r="A13396" s="549"/>
      <c r="B13396" s="549"/>
      <c r="C13396" s="549"/>
      <c r="D13396" s="549"/>
      <c r="E13396" s="549"/>
      <c r="F13396" s="549"/>
      <c r="G13396" s="549"/>
      <c r="H13396" s="549"/>
      <c r="I13396" s="558"/>
      <c r="J13396" s="567"/>
      <c r="K13396" s="648"/>
      <c r="L13396" s="710"/>
      <c r="M13396" s="549"/>
      <c r="N13396" s="549"/>
      <c r="O13396" s="549"/>
      <c r="P13396" s="549"/>
    </row>
    <row r="13397" spans="1:17" ht="17.399999999999999">
      <c r="A13397" s="547" t="s">
        <v>83</v>
      </c>
      <c r="B13397" s="547" t="s">
        <v>1559</v>
      </c>
      <c r="C13397" s="547" t="s">
        <v>19</v>
      </c>
      <c r="D13397" s="813" t="s">
        <v>155</v>
      </c>
      <c r="E13397" s="549" t="s">
        <v>323</v>
      </c>
      <c r="F13397" s="550">
        <v>11</v>
      </c>
      <c r="G13397" s="549" t="s">
        <v>61</v>
      </c>
      <c r="H13397" s="599" t="s">
        <v>53</v>
      </c>
      <c r="I13397" s="558">
        <v>8.3000000000000007</v>
      </c>
      <c r="J13397" s="567">
        <v>10</v>
      </c>
      <c r="K13397" s="648">
        <v>1</v>
      </c>
      <c r="L13397" s="725">
        <f>(I13397*J13397*K13397/1000)</f>
        <v>8.3000000000000004E-2</v>
      </c>
      <c r="M13397" s="549"/>
      <c r="N13397" s="549"/>
      <c r="O13397" s="549"/>
      <c r="P13397" s="549"/>
      <c r="Q13397" s="1737" t="s">
        <v>1647</v>
      </c>
    </row>
    <row r="13398" spans="1:17" ht="17.399999999999999">
      <c r="A13398" s="549"/>
      <c r="B13398" s="549" t="s">
        <v>439</v>
      </c>
      <c r="C13398" s="549"/>
      <c r="D13398" s="549"/>
      <c r="E13398" s="549"/>
      <c r="F13398" s="549"/>
      <c r="G13398" s="549" t="s">
        <v>61</v>
      </c>
      <c r="H13398" s="549" t="s">
        <v>53</v>
      </c>
      <c r="I13398" s="558">
        <v>8.3000000000000007</v>
      </c>
      <c r="J13398" s="567">
        <v>10.5</v>
      </c>
      <c r="K13398" s="648">
        <v>1</v>
      </c>
      <c r="L13398" s="725">
        <f>(I13398*J13398*K13398/1000)</f>
        <v>8.7150000000000005E-2</v>
      </c>
      <c r="M13398" s="549"/>
      <c r="N13398" s="549"/>
      <c r="O13398" s="549"/>
      <c r="P13398" s="549"/>
    </row>
    <row r="13399" spans="1:17" ht="17.399999999999999">
      <c r="A13399" s="549"/>
      <c r="B13399" s="549"/>
      <c r="C13399" s="549"/>
      <c r="D13399" s="549"/>
      <c r="E13399" s="549"/>
      <c r="F13399" s="549"/>
      <c r="G13399" s="549"/>
      <c r="H13399" s="549"/>
      <c r="I13399" s="558"/>
      <c r="J13399" s="567"/>
      <c r="K13399" s="648">
        <f t="shared" ref="K13399:L13399" si="2716">SUM(K13397:K13398)</f>
        <v>2</v>
      </c>
      <c r="L13399" s="710">
        <f t="shared" si="2716"/>
        <v>0.17015000000000002</v>
      </c>
      <c r="M13399" s="549"/>
      <c r="N13399" s="549"/>
      <c r="O13399" s="549"/>
      <c r="P13399" s="549" t="s">
        <v>1612</v>
      </c>
    </row>
    <row r="13400" spans="1:17" ht="17.399999999999999">
      <c r="A13400" s="549"/>
      <c r="B13400" s="549"/>
      <c r="C13400" s="549"/>
      <c r="D13400" s="549"/>
      <c r="E13400" s="549"/>
      <c r="F13400" s="549"/>
      <c r="G13400" s="549"/>
      <c r="H13400" s="549"/>
      <c r="I13400" s="558"/>
      <c r="J13400" s="549"/>
      <c r="K13400" s="561"/>
      <c r="L13400" s="728"/>
      <c r="M13400" s="549"/>
      <c r="N13400" s="549"/>
      <c r="O13400" s="549"/>
      <c r="P13400" s="549"/>
    </row>
    <row r="13401" spans="1:17" ht="17.399999999999999">
      <c r="A13401" s="547" t="s">
        <v>458</v>
      </c>
      <c r="B13401" s="547" t="s">
        <v>1598</v>
      </c>
      <c r="C13401" s="547" t="s">
        <v>19</v>
      </c>
      <c r="D13401" s="813" t="s">
        <v>60</v>
      </c>
      <c r="E13401" s="650" t="s">
        <v>323</v>
      </c>
      <c r="F13401" s="550">
        <v>11</v>
      </c>
      <c r="G13401" s="549" t="s">
        <v>61</v>
      </c>
      <c r="H13401" s="599" t="s">
        <v>53</v>
      </c>
      <c r="I13401" s="558">
        <v>8.3000000000000007</v>
      </c>
      <c r="J13401" s="567">
        <v>8.1999999999999993</v>
      </c>
      <c r="K13401" s="648">
        <v>2</v>
      </c>
      <c r="L13401" s="725">
        <f>(I13401*J13401*K13401/1000)</f>
        <v>0.13611999999999999</v>
      </c>
      <c r="M13401" s="549">
        <v>2</v>
      </c>
      <c r="N13401" s="567">
        <f t="shared" ref="N13401" si="2717">J13401*M13401*I13401/1000</f>
        <v>0.13611999999999999</v>
      </c>
      <c r="O13401" s="549"/>
      <c r="P13401" s="549"/>
      <c r="Q13401" s="1737" t="s">
        <v>1647</v>
      </c>
    </row>
    <row r="13402" spans="1:17" ht="17.399999999999999">
      <c r="A13402" s="549"/>
      <c r="B13402" s="549" t="s">
        <v>439</v>
      </c>
      <c r="C13402" s="549"/>
      <c r="D13402" s="549"/>
      <c r="E13402" s="549"/>
      <c r="F13402" s="549"/>
      <c r="G13402" s="549"/>
      <c r="H13402" s="549"/>
      <c r="I13402" s="558"/>
      <c r="J13402" s="567"/>
      <c r="K13402" s="648">
        <f t="shared" ref="K13402:N13402" si="2718">SUM(K13401)</f>
        <v>2</v>
      </c>
      <c r="L13402" s="710">
        <f t="shared" si="2718"/>
        <v>0.13611999999999999</v>
      </c>
      <c r="M13402" s="648">
        <f t="shared" si="2718"/>
        <v>2</v>
      </c>
      <c r="N13402" s="710">
        <f t="shared" si="2718"/>
        <v>0.13611999999999999</v>
      </c>
      <c r="O13402" s="549"/>
      <c r="P13402" s="549"/>
    </row>
    <row r="13403" spans="1:17" s="1511" customFormat="1" ht="17.399999999999999">
      <c r="A13403" s="549"/>
      <c r="B13403" s="549"/>
      <c r="C13403" s="549"/>
      <c r="D13403" s="549"/>
      <c r="E13403" s="549"/>
      <c r="F13403" s="549"/>
      <c r="G13403" s="549"/>
      <c r="H13403" s="549"/>
      <c r="I13403" s="558"/>
      <c r="J13403" s="567"/>
      <c r="K13403" s="648"/>
      <c r="L13403" s="710"/>
      <c r="M13403" s="549"/>
      <c r="N13403" s="549"/>
      <c r="O13403" s="549"/>
      <c r="P13403" s="549"/>
    </row>
    <row r="13404" spans="1:17" ht="17.399999999999999">
      <c r="A13404" s="547" t="s">
        <v>395</v>
      </c>
      <c r="B13404" s="547" t="s">
        <v>1596</v>
      </c>
      <c r="C13404" s="547" t="s">
        <v>19</v>
      </c>
      <c r="D13404" s="813" t="s">
        <v>60</v>
      </c>
      <c r="E13404" s="547" t="s">
        <v>270</v>
      </c>
      <c r="F13404" s="550">
        <v>11</v>
      </c>
      <c r="G13404" s="549" t="s">
        <v>61</v>
      </c>
      <c r="H13404" s="599" t="s">
        <v>53</v>
      </c>
      <c r="I13404" s="558">
        <v>8.32</v>
      </c>
      <c r="J13404" s="567">
        <v>10</v>
      </c>
      <c r="K13404" s="648">
        <v>8</v>
      </c>
      <c r="L13404" s="725">
        <f>(I13404*J13404*K13404/1000)</f>
        <v>0.66559999999999997</v>
      </c>
      <c r="M13404" s="549"/>
      <c r="N13404" s="549"/>
      <c r="O13404" s="549"/>
      <c r="P13404" s="549"/>
      <c r="Q13404" s="1737" t="s">
        <v>1647</v>
      </c>
    </row>
    <row r="13405" spans="1:17" ht="17.399999999999999">
      <c r="A13405" s="549"/>
      <c r="B13405" s="549" t="s">
        <v>1595</v>
      </c>
      <c r="C13405" s="549"/>
      <c r="D13405" s="549"/>
      <c r="E13405" s="549"/>
      <c r="F13405" s="549"/>
      <c r="G13405" s="549"/>
      <c r="H13405" s="549"/>
      <c r="I13405" s="558"/>
      <c r="J13405" s="567"/>
      <c r="K13405" s="648">
        <f t="shared" ref="K13405:L13405" si="2719">SUM(K13404)</f>
        <v>8</v>
      </c>
      <c r="L13405" s="710">
        <f t="shared" si="2719"/>
        <v>0.66559999999999997</v>
      </c>
      <c r="M13405" s="549"/>
      <c r="N13405" s="549"/>
      <c r="O13405" s="549"/>
      <c r="P13405" s="549" t="s">
        <v>1613</v>
      </c>
    </row>
    <row r="13406" spans="1:17" ht="17.399999999999999">
      <c r="A13406" s="549"/>
      <c r="B13406" s="549"/>
      <c r="C13406" s="549"/>
      <c r="D13406" s="549"/>
      <c r="E13406" s="549"/>
      <c r="F13406" s="549"/>
      <c r="G13406" s="549"/>
      <c r="H13406" s="549"/>
      <c r="I13406" s="558"/>
      <c r="J13406" s="549"/>
      <c r="K13406" s="561"/>
      <c r="L13406" s="728"/>
      <c r="M13406" s="549"/>
      <c r="N13406" s="549"/>
      <c r="O13406" s="549"/>
      <c r="P13406" s="549"/>
    </row>
    <row r="13407" spans="1:17" ht="17.399999999999999">
      <c r="A13407" s="547" t="s">
        <v>395</v>
      </c>
      <c r="B13407" s="547" t="s">
        <v>1575</v>
      </c>
      <c r="C13407" s="547" t="s">
        <v>19</v>
      </c>
      <c r="D13407" s="813" t="s">
        <v>60</v>
      </c>
      <c r="E13407" s="547" t="s">
        <v>1104</v>
      </c>
      <c r="F13407" s="550">
        <v>11</v>
      </c>
      <c r="G13407" s="549" t="s">
        <v>61</v>
      </c>
      <c r="H13407" s="599" t="s">
        <v>53</v>
      </c>
      <c r="I13407" s="558">
        <v>8.32</v>
      </c>
      <c r="J13407" s="647">
        <v>12</v>
      </c>
      <c r="K13407" s="648">
        <v>1</v>
      </c>
      <c r="L13407" s="725">
        <f>(I13407*J13407*K13407/1000)</f>
        <v>9.9839999999999998E-2</v>
      </c>
      <c r="M13407" s="549">
        <v>1</v>
      </c>
      <c r="N13407" s="567">
        <f t="shared" ref="N13407" si="2720">J13407*M13407*I13407/1000</f>
        <v>9.9839999999999998E-2</v>
      </c>
      <c r="O13407" s="549"/>
      <c r="P13407" s="549"/>
      <c r="Q13407" s="1737" t="s">
        <v>1647</v>
      </c>
    </row>
    <row r="13408" spans="1:17" ht="17.399999999999999">
      <c r="A13408" s="549"/>
      <c r="B13408" s="549" t="s">
        <v>1027</v>
      </c>
      <c r="C13408" s="549"/>
      <c r="D13408" s="549"/>
      <c r="E13408" s="549"/>
      <c r="F13408" s="549"/>
      <c r="G13408" s="549"/>
      <c r="H13408" s="549"/>
      <c r="I13408" s="558"/>
      <c r="J13408" s="647"/>
      <c r="K13408" s="648">
        <f t="shared" ref="K13408:N13408" si="2721">SUM(K13407)</f>
        <v>1</v>
      </c>
      <c r="L13408" s="710">
        <f>SUM(L13407)</f>
        <v>9.9839999999999998E-2</v>
      </c>
      <c r="M13408" s="648">
        <f t="shared" si="2721"/>
        <v>1</v>
      </c>
      <c r="N13408" s="710">
        <f t="shared" si="2721"/>
        <v>9.9839999999999998E-2</v>
      </c>
      <c r="O13408" s="549"/>
      <c r="P13408" s="549"/>
    </row>
    <row r="13409" spans="1:17" s="1511" customFormat="1" ht="17.399999999999999">
      <c r="A13409" s="549"/>
      <c r="B13409" s="549"/>
      <c r="C13409" s="549"/>
      <c r="D13409" s="549"/>
      <c r="E13409" s="549"/>
      <c r="F13409" s="549"/>
      <c r="G13409" s="549"/>
      <c r="H13409" s="549"/>
      <c r="I13409" s="558"/>
      <c r="J13409" s="567"/>
      <c r="K13409" s="648">
        <f>SUM(K13393:K13408)/2</f>
        <v>920</v>
      </c>
      <c r="L13409" s="710">
        <f>SUM(L13393:L13408)/2</f>
        <v>79.061000000000007</v>
      </c>
      <c r="M13409" s="648">
        <f>SUM(M13393:M13408)/2</f>
        <v>6</v>
      </c>
      <c r="N13409" s="710">
        <f>SUM(N13393:N13408)/2</f>
        <v>0.51857500000000001</v>
      </c>
      <c r="O13409" s="549"/>
      <c r="P13409" s="549"/>
    </row>
    <row r="13410" spans="1:17" s="1511" customFormat="1" ht="17.399999999999999">
      <c r="A13410" s="549"/>
      <c r="B13410" s="549"/>
      <c r="C13410" s="549"/>
      <c r="D13410" s="549"/>
      <c r="E13410" s="549"/>
      <c r="F13410" s="549"/>
      <c r="G13410" s="549"/>
      <c r="H13410" s="549"/>
      <c r="I13410" s="558"/>
      <c r="J13410" s="567"/>
      <c r="K13410" s="648"/>
      <c r="L13410" s="710"/>
      <c r="M13410" s="549"/>
      <c r="N13410" s="549"/>
      <c r="O13410" s="549"/>
      <c r="P13410" s="549"/>
    </row>
    <row r="13411" spans="1:17" ht="17.399999999999999">
      <c r="A13411" s="549"/>
      <c r="B13411" s="549"/>
      <c r="C13411" s="549"/>
      <c r="D13411" s="549"/>
      <c r="E13411" s="549"/>
      <c r="F13411" s="549"/>
      <c r="G13411" s="549"/>
      <c r="H13411" s="549"/>
      <c r="I13411" s="558"/>
      <c r="J13411" s="549"/>
      <c r="K13411" s="561"/>
      <c r="L13411" s="728"/>
      <c r="M13411" s="549"/>
      <c r="N13411" s="549"/>
      <c r="O13411" s="549"/>
      <c r="P13411" s="549"/>
    </row>
    <row r="13412" spans="1:17" ht="17.399999999999999">
      <c r="A13412" s="547" t="s">
        <v>83</v>
      </c>
      <c r="B13412" s="547" t="s">
        <v>1455</v>
      </c>
      <c r="C13412" s="547" t="s">
        <v>19</v>
      </c>
      <c r="D13412" s="813" t="s">
        <v>155</v>
      </c>
      <c r="E13412" s="549" t="s">
        <v>62</v>
      </c>
      <c r="F13412" s="550">
        <v>11</v>
      </c>
      <c r="G13412" s="549" t="s">
        <v>61</v>
      </c>
      <c r="H13412" s="599" t="s">
        <v>54</v>
      </c>
      <c r="I13412" s="558">
        <v>9.61</v>
      </c>
      <c r="J13412" s="567">
        <v>6.15</v>
      </c>
      <c r="K13412" s="648">
        <v>388</v>
      </c>
      <c r="L13412" s="725">
        <f t="shared" ref="L13412:L13413" si="2722">(I13412*J13412*K13412/1000)</f>
        <v>22.931382000000003</v>
      </c>
      <c r="M13412" s="549">
        <v>1</v>
      </c>
      <c r="N13412" s="567">
        <f t="shared" ref="N13412:N13413" si="2723">J13412*M13412*I13412/1000</f>
        <v>5.9101500000000001E-2</v>
      </c>
      <c r="O13412" s="549"/>
      <c r="P13412" s="549"/>
      <c r="Q13412" s="1737" t="s">
        <v>1647</v>
      </c>
    </row>
    <row r="13413" spans="1:17" ht="17.399999999999999">
      <c r="A13413" s="549"/>
      <c r="B13413" s="728" t="s">
        <v>52</v>
      </c>
      <c r="C13413" s="549"/>
      <c r="D13413" s="549"/>
      <c r="E13413" s="549"/>
      <c r="F13413" s="549"/>
      <c r="G13413" s="549" t="s">
        <v>61</v>
      </c>
      <c r="H13413" s="549" t="s">
        <v>54</v>
      </c>
      <c r="I13413" s="558">
        <v>9.61</v>
      </c>
      <c r="J13413" s="567">
        <v>6.8</v>
      </c>
      <c r="K13413" s="648">
        <v>388</v>
      </c>
      <c r="L13413" s="725">
        <f t="shared" si="2722"/>
        <v>25.355024</v>
      </c>
      <c r="M13413" s="549">
        <v>1</v>
      </c>
      <c r="N13413" s="567">
        <f t="shared" si="2723"/>
        <v>6.5348000000000003E-2</v>
      </c>
      <c r="O13413" s="549"/>
      <c r="P13413" s="549"/>
    </row>
    <row r="13414" spans="1:17" ht="17.399999999999999">
      <c r="A13414" s="549"/>
      <c r="B13414" s="549"/>
      <c r="C13414" s="549"/>
      <c r="D13414" s="549"/>
      <c r="E13414" s="549"/>
      <c r="F13414" s="549"/>
      <c r="G13414" s="549"/>
      <c r="H13414" s="549"/>
      <c r="I13414" s="558"/>
      <c r="J13414" s="567"/>
      <c r="K13414" s="648">
        <f t="shared" ref="K13414:N13414" si="2724">SUM(K13412:K13413)</f>
        <v>776</v>
      </c>
      <c r="L13414" s="710">
        <f t="shared" si="2724"/>
        <v>48.286405999999999</v>
      </c>
      <c r="M13414" s="648">
        <f t="shared" si="2724"/>
        <v>2</v>
      </c>
      <c r="N13414" s="710">
        <f t="shared" si="2724"/>
        <v>0.1244495</v>
      </c>
      <c r="O13414" s="549"/>
      <c r="P13414" s="549" t="s">
        <v>1614</v>
      </c>
    </row>
    <row r="13415" spans="1:17" ht="17.399999999999999">
      <c r="A13415" s="549"/>
      <c r="B13415" s="549"/>
      <c r="C13415" s="549"/>
      <c r="D13415" s="549"/>
      <c r="E13415" s="549"/>
      <c r="F13415" s="549"/>
      <c r="G13415" s="549"/>
      <c r="H13415" s="549"/>
      <c r="I13415" s="558"/>
      <c r="J13415" s="549"/>
      <c r="K13415" s="561"/>
      <c r="L13415" s="728"/>
      <c r="M13415" s="549"/>
      <c r="N13415" s="549"/>
      <c r="O13415" s="549"/>
      <c r="P13415" s="549"/>
    </row>
    <row r="13416" spans="1:17" ht="17.399999999999999">
      <c r="A13416" s="547" t="s">
        <v>83</v>
      </c>
      <c r="B13416" s="547" t="s">
        <v>1456</v>
      </c>
      <c r="C13416" s="547" t="s">
        <v>19</v>
      </c>
      <c r="D13416" s="813" t="s">
        <v>60</v>
      </c>
      <c r="E13416" s="547" t="s">
        <v>270</v>
      </c>
      <c r="F13416" s="550">
        <v>11</v>
      </c>
      <c r="G13416" s="549" t="s">
        <v>61</v>
      </c>
      <c r="H13416" s="599" t="s">
        <v>54</v>
      </c>
      <c r="I13416" s="558">
        <v>9.61</v>
      </c>
      <c r="J13416" s="567">
        <v>12</v>
      </c>
      <c r="K13416" s="648">
        <v>1</v>
      </c>
      <c r="L13416" s="725">
        <f>(I13416*J13416*K13416/1000)</f>
        <v>0.11531999999999999</v>
      </c>
      <c r="M13416" s="549">
        <v>1</v>
      </c>
      <c r="N13416" s="567">
        <f t="shared" ref="N13416" si="2725">J13416*M13416*I13416/1000</f>
        <v>0.11531999999999999</v>
      </c>
      <c r="O13416" s="549"/>
      <c r="P13416" s="549"/>
      <c r="Q13416" s="1737" t="s">
        <v>1647</v>
      </c>
    </row>
    <row r="13417" spans="1:17" ht="17.399999999999999">
      <c r="A13417" s="549"/>
      <c r="B13417" s="769" t="s">
        <v>1457</v>
      </c>
      <c r="C13417" s="549"/>
      <c r="D13417" s="549"/>
      <c r="E13417" s="549"/>
      <c r="F13417" s="549"/>
      <c r="G13417" s="549"/>
      <c r="H13417" s="549"/>
      <c r="I13417" s="558"/>
      <c r="J13417" s="567"/>
      <c r="K13417" s="648">
        <f>SUM(K13416)</f>
        <v>1</v>
      </c>
      <c r="L13417" s="710">
        <f>SUM(L13416)</f>
        <v>0.11531999999999999</v>
      </c>
      <c r="M13417" s="648">
        <f>SUM(M13416)</f>
        <v>1</v>
      </c>
      <c r="N13417" s="710">
        <f>SUM(N13416)</f>
        <v>0.11531999999999999</v>
      </c>
      <c r="O13417" s="549"/>
      <c r="P13417" s="549"/>
    </row>
    <row r="13418" spans="1:17" ht="17.399999999999999">
      <c r="A13418" s="549"/>
      <c r="B13418" s="549"/>
      <c r="C13418" s="549"/>
      <c r="D13418" s="549"/>
      <c r="E13418" s="549"/>
      <c r="F13418" s="549"/>
      <c r="G13418" s="549"/>
      <c r="H13418" s="549"/>
      <c r="I13418" s="558"/>
      <c r="J13418" s="549"/>
      <c r="K13418" s="561"/>
      <c r="L13418" s="728"/>
      <c r="M13418" s="549"/>
      <c r="N13418" s="549"/>
      <c r="O13418" s="549"/>
      <c r="P13418" s="549"/>
    </row>
    <row r="13419" spans="1:17" ht="17.399999999999999">
      <c r="A13419" s="547" t="s">
        <v>395</v>
      </c>
      <c r="B13419" s="547" t="s">
        <v>1597</v>
      </c>
      <c r="C13419" s="547" t="s">
        <v>19</v>
      </c>
      <c r="D13419" s="813" t="s">
        <v>60</v>
      </c>
      <c r="E13419" s="547" t="s">
        <v>1104</v>
      </c>
      <c r="F13419" s="550">
        <v>11</v>
      </c>
      <c r="G13419" s="549" t="s">
        <v>61</v>
      </c>
      <c r="H13419" s="599" t="s">
        <v>54</v>
      </c>
      <c r="I13419" s="558">
        <v>9.61</v>
      </c>
      <c r="J13419" s="647">
        <v>6</v>
      </c>
      <c r="K13419" s="648">
        <v>1</v>
      </c>
      <c r="L13419" s="725">
        <f>(I13419*J13419*K13419/1000)</f>
        <v>5.7659999999999996E-2</v>
      </c>
      <c r="M13419" s="549">
        <v>1</v>
      </c>
      <c r="N13419" s="567">
        <f t="shared" ref="N13419" si="2726">J13419*M13419*I13419/1000</f>
        <v>5.7659999999999996E-2</v>
      </c>
      <c r="O13419" s="549"/>
      <c r="P13419" s="549"/>
      <c r="Q13419" s="1737" t="s">
        <v>1647</v>
      </c>
    </row>
    <row r="13420" spans="1:17" ht="17.399999999999999">
      <c r="A13420" s="549"/>
      <c r="B13420" s="549" t="s">
        <v>1027</v>
      </c>
      <c r="C13420" s="549"/>
      <c r="D13420" s="549"/>
      <c r="E13420" s="549"/>
      <c r="F13420" s="549"/>
      <c r="G13420" s="549"/>
      <c r="H13420" s="549"/>
      <c r="I13420" s="558"/>
      <c r="J13420" s="647"/>
      <c r="K13420" s="648">
        <f t="shared" ref="K13420:N13420" si="2727">SUM(K13419)</f>
        <v>1</v>
      </c>
      <c r="L13420" s="710">
        <f t="shared" si="2727"/>
        <v>5.7659999999999996E-2</v>
      </c>
      <c r="M13420" s="648">
        <f t="shared" si="2727"/>
        <v>1</v>
      </c>
      <c r="N13420" s="710">
        <f t="shared" si="2727"/>
        <v>5.7659999999999996E-2</v>
      </c>
      <c r="O13420" s="549"/>
      <c r="P13420" s="549"/>
    </row>
    <row r="13421" spans="1:17" ht="17.399999999999999">
      <c r="A13421" s="549"/>
      <c r="B13421" s="549"/>
      <c r="C13421" s="549"/>
      <c r="D13421" s="549"/>
      <c r="E13421" s="549"/>
      <c r="F13421" s="549"/>
      <c r="G13421" s="549"/>
      <c r="H13421" s="549"/>
      <c r="I13421" s="558"/>
      <c r="J13421" s="549"/>
      <c r="K13421" s="652">
        <f>SUM(K13412:K13420)/2</f>
        <v>778</v>
      </c>
      <c r="L13421" s="710">
        <f>SUM(L13412:L13420)/2</f>
        <v>48.459385999999995</v>
      </c>
      <c r="M13421" s="652">
        <f>SUM(M13412:M13420)/2</f>
        <v>4</v>
      </c>
      <c r="N13421" s="710">
        <f>SUM(N13412:N13420)/2</f>
        <v>0.29742950000000001</v>
      </c>
      <c r="O13421" s="549"/>
      <c r="P13421" s="549"/>
    </row>
    <row r="13422" spans="1:17" s="1511" customFormat="1" ht="17.399999999999999">
      <c r="A13422" s="549"/>
      <c r="B13422" s="549"/>
      <c r="C13422" s="549"/>
      <c r="D13422" s="549"/>
      <c r="E13422" s="549"/>
      <c r="F13422" s="549"/>
      <c r="G13422" s="549"/>
      <c r="H13422" s="549"/>
      <c r="I13422" s="558"/>
      <c r="J13422" s="549"/>
      <c r="K13422" s="652"/>
      <c r="L13422" s="710"/>
      <c r="M13422" s="549"/>
      <c r="N13422" s="549"/>
      <c r="O13422" s="549"/>
      <c r="P13422" s="549"/>
    </row>
    <row r="13423" spans="1:17" ht="17.399999999999999">
      <c r="A13423" s="549"/>
      <c r="B13423" s="549"/>
      <c r="C13423" s="549"/>
      <c r="D13423" s="549"/>
      <c r="E13423" s="549"/>
      <c r="F13423" s="549"/>
      <c r="G13423" s="549"/>
      <c r="H13423" s="549"/>
      <c r="I13423" s="558"/>
      <c r="J13423" s="549"/>
      <c r="K13423" s="561"/>
      <c r="L13423" s="728"/>
      <c r="M13423" s="549"/>
      <c r="N13423" s="549"/>
      <c r="O13423" s="549"/>
      <c r="P13423" s="549"/>
    </row>
    <row r="13424" spans="1:17" ht="17.399999999999999">
      <c r="A13424" s="547" t="s">
        <v>272</v>
      </c>
      <c r="B13424" s="547" t="s">
        <v>1594</v>
      </c>
      <c r="C13424" s="547" t="s">
        <v>19</v>
      </c>
      <c r="D13424" s="813" t="s">
        <v>60</v>
      </c>
      <c r="E13424" s="547" t="s">
        <v>270</v>
      </c>
      <c r="F13424" s="550">
        <v>8.5</v>
      </c>
      <c r="G13424" s="549" t="s">
        <v>61</v>
      </c>
      <c r="H13424" s="599" t="s">
        <v>366</v>
      </c>
      <c r="I13424" s="558">
        <v>10.92</v>
      </c>
      <c r="J13424" s="710">
        <v>10.5</v>
      </c>
      <c r="K13424" s="648">
        <v>13</v>
      </c>
      <c r="L13424" s="725">
        <f>(I13424*J13424*K13424/1000)</f>
        <v>1.49058</v>
      </c>
      <c r="M13424" s="549">
        <v>13</v>
      </c>
      <c r="N13424" s="567">
        <f>J13424*M13424*I13424/1000</f>
        <v>1.49058</v>
      </c>
      <c r="O13424" s="549"/>
      <c r="P13424" s="549"/>
      <c r="Q13424" s="1737" t="s">
        <v>1647</v>
      </c>
    </row>
    <row r="13425" spans="1:17" ht="17.399999999999999">
      <c r="A13425" s="549"/>
      <c r="B13425" s="549" t="s">
        <v>271</v>
      </c>
      <c r="C13425" s="549"/>
      <c r="D13425" s="549"/>
      <c r="E13425" s="549"/>
      <c r="F13425" s="549"/>
      <c r="G13425" s="549"/>
      <c r="H13425" s="549"/>
      <c r="I13425" s="560"/>
      <c r="J13425" s="710"/>
      <c r="K13425" s="648">
        <f>SUM(K13424:K13424)</f>
        <v>13</v>
      </c>
      <c r="L13425" s="763">
        <f>SUM(L13424:L13424)</f>
        <v>1.49058</v>
      </c>
      <c r="M13425" s="648">
        <f>SUM(M13424:M13424)</f>
        <v>13</v>
      </c>
      <c r="N13425" s="763">
        <f>SUM(N13424:N13424)</f>
        <v>1.49058</v>
      </c>
      <c r="O13425" s="549"/>
      <c r="P13425" s="549"/>
    </row>
    <row r="13426" spans="1:17" s="1511" customFormat="1" ht="17.399999999999999">
      <c r="A13426" s="549"/>
      <c r="B13426" s="549"/>
      <c r="C13426" s="549"/>
      <c r="D13426" s="549"/>
      <c r="E13426" s="549"/>
      <c r="F13426" s="549"/>
      <c r="G13426" s="549"/>
      <c r="H13426" s="549"/>
      <c r="I13426" s="560"/>
      <c r="J13426" s="710"/>
      <c r="K13426" s="648"/>
      <c r="L13426" s="763"/>
      <c r="M13426" s="549"/>
      <c r="N13426" s="549"/>
      <c r="O13426" s="549"/>
      <c r="P13426" s="549"/>
    </row>
    <row r="13427" spans="1:17" ht="18">
      <c r="A13427" s="547" t="s">
        <v>458</v>
      </c>
      <c r="B13427" s="547" t="s">
        <v>1598</v>
      </c>
      <c r="C13427" s="547" t="s">
        <v>19</v>
      </c>
      <c r="D13427" s="813" t="s">
        <v>854</v>
      </c>
      <c r="E13427" s="650" t="s">
        <v>464</v>
      </c>
      <c r="F13427" s="550">
        <v>11</v>
      </c>
      <c r="G13427" s="898" t="s">
        <v>21</v>
      </c>
      <c r="H13427" s="1162" t="s">
        <v>366</v>
      </c>
      <c r="I13427" s="1586">
        <v>10.9</v>
      </c>
      <c r="J13427" s="914">
        <v>6.55</v>
      </c>
      <c r="K13427" s="915">
        <v>8</v>
      </c>
      <c r="L13427" s="552">
        <f>(I13427*J13427*K13427/1000)</f>
        <v>0.57116</v>
      </c>
      <c r="M13427" s="898">
        <v>8</v>
      </c>
      <c r="N13427" s="567">
        <f>J13427*M13427*I13427/1000</f>
        <v>0.57116</v>
      </c>
      <c r="O13427" s="898"/>
      <c r="P13427" s="898"/>
      <c r="Q13427" s="1737" t="s">
        <v>1647</v>
      </c>
    </row>
    <row r="13428" spans="1:17" ht="18">
      <c r="A13428" s="549"/>
      <c r="B13428" s="549" t="s">
        <v>439</v>
      </c>
      <c r="C13428" s="549"/>
      <c r="D13428" s="549"/>
      <c r="E13428" s="549"/>
      <c r="F13428" s="549"/>
      <c r="G13428" s="898"/>
      <c r="H13428" s="898"/>
      <c r="I13428" s="1586"/>
      <c r="J13428" s="914"/>
      <c r="K13428" s="915">
        <f t="shared" ref="K13428:M13428" si="2728">SUM(K13427)</f>
        <v>8</v>
      </c>
      <c r="L13428" s="914">
        <f t="shared" si="2728"/>
        <v>0.57116</v>
      </c>
      <c r="M13428" s="915">
        <f t="shared" si="2728"/>
        <v>8</v>
      </c>
      <c r="N13428" s="914">
        <f>SUM(N13427)</f>
        <v>0.57116</v>
      </c>
      <c r="O13428" s="898"/>
      <c r="P13428" s="898"/>
    </row>
    <row r="13429" spans="1:17" ht="18">
      <c r="A13429" s="898"/>
      <c r="B13429" s="898"/>
      <c r="C13429" s="898"/>
      <c r="D13429" s="898"/>
      <c r="E13429" s="898"/>
      <c r="F13429" s="898"/>
      <c r="G13429" s="898"/>
      <c r="H13429" s="898"/>
      <c r="I13429" s="920"/>
      <c r="J13429" s="898"/>
      <c r="K13429" s="921"/>
      <c r="L13429" s="920"/>
      <c r="M13429" s="898"/>
      <c r="N13429" s="898"/>
      <c r="O13429" s="898"/>
      <c r="P13429" s="898"/>
    </row>
    <row r="13430" spans="1:17" ht="18">
      <c r="A13430" s="547" t="s">
        <v>83</v>
      </c>
      <c r="B13430" s="547" t="s">
        <v>1559</v>
      </c>
      <c r="C13430" s="547" t="s">
        <v>19</v>
      </c>
      <c r="D13430" s="813" t="s">
        <v>854</v>
      </c>
      <c r="E13430" s="650" t="s">
        <v>464</v>
      </c>
      <c r="F13430" s="550">
        <v>11</v>
      </c>
      <c r="G13430" s="898" t="s">
        <v>21</v>
      </c>
      <c r="H13430" s="1162" t="s">
        <v>366</v>
      </c>
      <c r="I13430" s="1586">
        <v>10.9</v>
      </c>
      <c r="J13430" s="914">
        <v>10</v>
      </c>
      <c r="K13430" s="915">
        <v>1</v>
      </c>
      <c r="L13430" s="552">
        <f>(I13430*J13430*K13430/1000)</f>
        <v>0.109</v>
      </c>
      <c r="M13430" s="898">
        <v>1</v>
      </c>
      <c r="N13430" s="567">
        <f>J13430*M13430*I13430/1000</f>
        <v>0.109</v>
      </c>
      <c r="O13430" s="898"/>
      <c r="P13430" s="898"/>
      <c r="Q13430" s="1737" t="s">
        <v>1647</v>
      </c>
    </row>
    <row r="13431" spans="1:17" ht="18">
      <c r="A13431" s="549"/>
      <c r="B13431" s="549" t="s">
        <v>439</v>
      </c>
      <c r="C13431" s="549"/>
      <c r="D13431" s="549"/>
      <c r="E13431" s="549"/>
      <c r="F13431" s="549"/>
      <c r="G13431" s="898"/>
      <c r="H13431" s="898"/>
      <c r="I13431" s="1586"/>
      <c r="J13431" s="914"/>
      <c r="K13431" s="915">
        <f t="shared" ref="K13431:L13431" si="2729">SUM(K13430)</f>
        <v>1</v>
      </c>
      <c r="L13431" s="914">
        <f t="shared" si="2729"/>
        <v>0.109</v>
      </c>
      <c r="M13431" s="915">
        <f>SUM(M13430)</f>
        <v>1</v>
      </c>
      <c r="N13431" s="914">
        <f>SUM(N13430)</f>
        <v>0.109</v>
      </c>
      <c r="O13431" s="898"/>
      <c r="P13431" s="898"/>
    </row>
    <row r="13432" spans="1:17" ht="18">
      <c r="A13432" s="898"/>
      <c r="B13432" s="898"/>
      <c r="C13432" s="898"/>
      <c r="D13432" s="898"/>
      <c r="E13432" s="898"/>
      <c r="F13432" s="898"/>
      <c r="G13432" s="898"/>
      <c r="H13432" s="898"/>
      <c r="I13432" s="920"/>
      <c r="J13432" s="898"/>
      <c r="K13432" s="730">
        <f>SUM(K13427:K13431)</f>
        <v>18</v>
      </c>
      <c r="L13432" s="782">
        <f>SUM(L13427:L13431)</f>
        <v>1.36032</v>
      </c>
      <c r="M13432" s="730">
        <f>SUM(M13427:M13431)</f>
        <v>18</v>
      </c>
      <c r="N13432" s="782">
        <f>SUM(N13427:N13431)</f>
        <v>1.36032</v>
      </c>
      <c r="O13432" s="898"/>
      <c r="P13432" s="898"/>
    </row>
    <row r="13433" spans="1:17" ht="17.399999999999999">
      <c r="A13433" s="549"/>
      <c r="B13433" s="549"/>
      <c r="C13433" s="549"/>
      <c r="D13433" s="549"/>
      <c r="E13433" s="549"/>
      <c r="F13433" s="549"/>
      <c r="G13433" s="549"/>
      <c r="H13433" s="549"/>
      <c r="I13433" s="560"/>
      <c r="J13433" s="549"/>
      <c r="K13433" s="561"/>
      <c r="L13433" s="728"/>
      <c r="M13433" s="549"/>
      <c r="N13433" s="549"/>
      <c r="O13433" s="549"/>
      <c r="P13433" s="549"/>
    </row>
    <row r="13434" spans="1:17" ht="17.399999999999999">
      <c r="A13434" s="549"/>
      <c r="B13434" s="549"/>
      <c r="C13434" s="549"/>
      <c r="D13434" s="549"/>
      <c r="E13434" s="549"/>
      <c r="F13434" s="549"/>
      <c r="G13434" s="549"/>
      <c r="H13434" s="549"/>
      <c r="I13434" s="560"/>
      <c r="J13434" s="549"/>
      <c r="K13434" s="561"/>
      <c r="L13434" s="710">
        <f>+L13425+L13390+L13421+L13409+L13386+L13354+L13374+L13432</f>
        <v>510.00071700000007</v>
      </c>
      <c r="M13434" s="549"/>
      <c r="N13434" s="710">
        <f>+N13425+N13390+N13421+N13409+N13386+N13354+N13374+N13432</f>
        <v>5.5323754999999997</v>
      </c>
      <c r="O13434" s="549"/>
      <c r="P13434" s="549"/>
    </row>
    <row r="13435" spans="1:17" ht="18">
      <c r="A13435" s="653" t="s">
        <v>48</v>
      </c>
      <c r="B13435" s="653"/>
      <c r="C13435" s="654"/>
      <c r="D13435" s="654"/>
      <c r="E13435" s="654"/>
      <c r="F13435" s="1708"/>
      <c r="G13435" s="654"/>
      <c r="H13435" s="1708"/>
      <c r="I13435" s="656"/>
      <c r="J13435" s="654"/>
      <c r="K13435" s="657"/>
      <c r="L13435" s="2003" t="s">
        <v>0</v>
      </c>
      <c r="M13435" s="2003"/>
      <c r="N13435" s="2003"/>
      <c r="O13435" s="2004"/>
      <c r="P13435" s="1097"/>
    </row>
    <row r="13436" spans="1:17" ht="18">
      <c r="A13436" s="658" t="s">
        <v>1</v>
      </c>
      <c r="B13436" s="658"/>
      <c r="C13436" s="658"/>
      <c r="D13436" s="659" t="s">
        <v>2</v>
      </c>
      <c r="E13436" s="659"/>
      <c r="F13436" s="660"/>
      <c r="G13436" s="660"/>
      <c r="H13436" s="660"/>
      <c r="I13436" s="661"/>
      <c r="J13436" s="660"/>
      <c r="K13436" s="662" t="s">
        <v>3</v>
      </c>
      <c r="L13436" s="660"/>
      <c r="M13436" s="658"/>
      <c r="N13436" s="660"/>
      <c r="O13436" s="663"/>
      <c r="P13436" s="1098"/>
    </row>
    <row r="13437" spans="1:17" ht="18">
      <c r="A13437" s="1708" t="s">
        <v>22</v>
      </c>
      <c r="B13437" s="1990" t="s">
        <v>23</v>
      </c>
      <c r="C13437" s="2005"/>
      <c r="D13437" s="1989"/>
      <c r="E13437" s="1708" t="s">
        <v>24</v>
      </c>
      <c r="F13437" s="1990" t="s">
        <v>25</v>
      </c>
      <c r="G13437" s="1989"/>
      <c r="H13437" s="1990" t="s">
        <v>26</v>
      </c>
      <c r="I13437" s="2005"/>
      <c r="J13437" s="2005"/>
      <c r="K13437" s="1989"/>
      <c r="L13437" s="2006" t="s">
        <v>27</v>
      </c>
      <c r="M13437" s="2006"/>
      <c r="N13437" s="2006"/>
      <c r="O13437" s="1990"/>
      <c r="P13437" s="1098"/>
    </row>
    <row r="13438" spans="1:17" ht="18">
      <c r="A13438" s="664"/>
      <c r="B13438" s="1975"/>
      <c r="C13438" s="1976"/>
      <c r="D13438" s="1977"/>
      <c r="E13438" s="665"/>
      <c r="F13438" s="1975"/>
      <c r="G13438" s="1977"/>
      <c r="H13438" s="1975"/>
      <c r="I13438" s="1976"/>
      <c r="J13438" s="1976"/>
      <c r="K13438" s="1977"/>
      <c r="L13438" s="1975"/>
      <c r="M13438" s="1976"/>
      <c r="N13438" s="1976"/>
      <c r="O13438" s="1976"/>
      <c r="P13438" s="1098"/>
    </row>
    <row r="13439" spans="1:17" ht="18">
      <c r="A13439" s="664"/>
      <c r="B13439" s="1709"/>
      <c r="C13439" s="1710"/>
      <c r="D13439" s="1711"/>
      <c r="E13439" s="665"/>
      <c r="F13439" s="1709"/>
      <c r="G13439" s="1711"/>
      <c r="H13439" s="1709"/>
      <c r="I13439" s="1842"/>
      <c r="J13439" s="1710"/>
      <c r="K13439" s="1711"/>
      <c r="L13439" s="1710"/>
      <c r="M13439" s="1710"/>
      <c r="N13439" s="1710"/>
      <c r="O13439" s="1710"/>
      <c r="P13439" s="1098"/>
    </row>
    <row r="13440" spans="1:17" ht="18">
      <c r="A13440" s="664" t="s">
        <v>28</v>
      </c>
      <c r="B13440" s="1975" t="s">
        <v>56</v>
      </c>
      <c r="C13440" s="1976"/>
      <c r="D13440" s="1977"/>
      <c r="E13440" s="665">
        <f>+L13354-1.13</f>
        <v>84.414376000000004</v>
      </c>
      <c r="F13440" s="1973">
        <v>11</v>
      </c>
      <c r="G13440" s="1974"/>
      <c r="H13440" s="1975" t="s">
        <v>49</v>
      </c>
      <c r="I13440" s="1976"/>
      <c r="J13440" s="1976"/>
      <c r="K13440" s="1977"/>
      <c r="L13440" s="1976" t="s">
        <v>65</v>
      </c>
      <c r="M13440" s="1976"/>
      <c r="N13440" s="1976"/>
      <c r="O13440" s="1976"/>
      <c r="P13440" s="1098"/>
    </row>
    <row r="13441" spans="1:16" ht="18">
      <c r="A13441" s="664" t="s">
        <v>29</v>
      </c>
      <c r="B13441" s="1975" t="s">
        <v>55</v>
      </c>
      <c r="C13441" s="1976"/>
      <c r="D13441" s="1977"/>
      <c r="E13441" s="665">
        <f>+L13374</f>
        <v>188.40940000000006</v>
      </c>
      <c r="F13441" s="1973">
        <v>11</v>
      </c>
      <c r="G13441" s="1974"/>
      <c r="H13441" s="1975" t="s">
        <v>49</v>
      </c>
      <c r="I13441" s="1976"/>
      <c r="J13441" s="1976"/>
      <c r="K13441" s="1977"/>
      <c r="L13441" s="1976" t="s">
        <v>65</v>
      </c>
      <c r="M13441" s="1976"/>
      <c r="N13441" s="1976"/>
      <c r="O13441" s="1976"/>
      <c r="P13441" s="1098"/>
    </row>
    <row r="13442" spans="1:16" ht="18">
      <c r="A13442" s="664" t="s">
        <v>30</v>
      </c>
      <c r="B13442" s="1975" t="s">
        <v>79</v>
      </c>
      <c r="C13442" s="1976"/>
      <c r="D13442" s="1977"/>
      <c r="E13442" s="665">
        <f>+L13386-0.735</f>
        <v>99.490115000000003</v>
      </c>
      <c r="F13442" s="1973">
        <v>11</v>
      </c>
      <c r="G13442" s="1974"/>
      <c r="H13442" s="1975" t="s">
        <v>49</v>
      </c>
      <c r="I13442" s="1976"/>
      <c r="J13442" s="1976"/>
      <c r="K13442" s="1977"/>
      <c r="L13442" s="1976" t="s">
        <v>65</v>
      </c>
      <c r="M13442" s="1976"/>
      <c r="N13442" s="1976"/>
      <c r="O13442" s="1976"/>
      <c r="P13442" s="1098"/>
    </row>
    <row r="13443" spans="1:16" ht="18">
      <c r="A13443" s="664"/>
      <c r="B13443" s="1709"/>
      <c r="C13443" s="1710"/>
      <c r="D13443" s="1711"/>
      <c r="E13443" s="665"/>
      <c r="F13443" s="1712"/>
      <c r="G13443" s="1713"/>
      <c r="H13443" s="1709"/>
      <c r="I13443" s="1842"/>
      <c r="J13443" s="1710"/>
      <c r="K13443" s="1711"/>
      <c r="L13443" s="1710"/>
      <c r="M13443" s="1710"/>
      <c r="N13443" s="1710"/>
      <c r="O13443" s="1710"/>
      <c r="P13443" s="1098"/>
    </row>
    <row r="13444" spans="1:16" ht="18">
      <c r="A13444" s="664" t="s">
        <v>46</v>
      </c>
      <c r="B13444" s="1975" t="s">
        <v>676</v>
      </c>
      <c r="C13444" s="1976"/>
      <c r="D13444" s="1977"/>
      <c r="E13444" s="665">
        <f>+L13390</f>
        <v>5.4505400000000002</v>
      </c>
      <c r="F13444" s="1973">
        <v>11</v>
      </c>
      <c r="G13444" s="1974"/>
      <c r="H13444" s="1975" t="s">
        <v>60</v>
      </c>
      <c r="I13444" s="1976"/>
      <c r="J13444" s="1976"/>
      <c r="K13444" s="1977"/>
      <c r="L13444" s="1976" t="s">
        <v>437</v>
      </c>
      <c r="M13444" s="1976"/>
      <c r="N13444" s="1976"/>
      <c r="O13444" s="1976"/>
      <c r="P13444" s="1098"/>
    </row>
    <row r="13445" spans="1:16" ht="18">
      <c r="A13445" s="664" t="s">
        <v>58</v>
      </c>
      <c r="B13445" s="1975" t="s">
        <v>280</v>
      </c>
      <c r="C13445" s="1976"/>
      <c r="D13445" s="1977"/>
      <c r="E13445" s="665">
        <f>+L13409-0.519</f>
        <v>78.542000000000002</v>
      </c>
      <c r="F13445" s="1973">
        <v>11</v>
      </c>
      <c r="G13445" s="1974"/>
      <c r="H13445" s="1975" t="s">
        <v>60</v>
      </c>
      <c r="I13445" s="1976"/>
      <c r="J13445" s="1976"/>
      <c r="K13445" s="1977"/>
      <c r="L13445" s="1976" t="s">
        <v>437</v>
      </c>
      <c r="M13445" s="1976"/>
      <c r="N13445" s="1976"/>
      <c r="O13445" s="1976"/>
      <c r="P13445" s="1098"/>
    </row>
    <row r="13446" spans="1:16" ht="18">
      <c r="A13446" s="664" t="s">
        <v>163</v>
      </c>
      <c r="B13446" s="1975" t="s">
        <v>279</v>
      </c>
      <c r="C13446" s="1976"/>
      <c r="D13446" s="1977"/>
      <c r="E13446" s="665">
        <f>+L13421-0.297</f>
        <v>48.162385999999998</v>
      </c>
      <c r="F13446" s="1973">
        <v>11</v>
      </c>
      <c r="G13446" s="1974"/>
      <c r="H13446" s="1975" t="s">
        <v>60</v>
      </c>
      <c r="I13446" s="1976"/>
      <c r="J13446" s="1976"/>
      <c r="K13446" s="1977"/>
      <c r="L13446" s="1976" t="s">
        <v>437</v>
      </c>
      <c r="M13446" s="1976"/>
      <c r="N13446" s="1976"/>
      <c r="O13446" s="1976"/>
      <c r="P13446" s="1098"/>
    </row>
    <row r="13447" spans="1:16" ht="18">
      <c r="A13447" s="664"/>
      <c r="B13447" s="1709"/>
      <c r="C13447" s="1710"/>
      <c r="D13447" s="1711"/>
      <c r="E13447" s="665"/>
      <c r="F13447" s="1712"/>
      <c r="G13447" s="1713"/>
      <c r="H13447" s="1709"/>
      <c r="I13447" s="1842"/>
      <c r="J13447" s="1710"/>
      <c r="K13447" s="1711"/>
      <c r="L13447" s="1710"/>
      <c r="M13447" s="1710"/>
      <c r="N13447" s="1710"/>
      <c r="O13447" s="1710"/>
      <c r="P13447" s="1098"/>
    </row>
    <row r="13448" spans="1:16" ht="18.600000000000001" thickBot="1">
      <c r="A13448" s="664"/>
      <c r="B13448" s="1709"/>
      <c r="C13448" s="1710"/>
      <c r="D13448" s="1710"/>
      <c r="E13448" s="665"/>
      <c r="F13448" s="1710"/>
      <c r="G13448" s="1711"/>
      <c r="H13448" s="1709"/>
      <c r="I13448" s="1842"/>
      <c r="J13448" s="1710"/>
      <c r="K13448" s="669"/>
      <c r="L13448" s="672"/>
      <c r="M13448" s="673"/>
      <c r="N13448" s="673"/>
      <c r="O13448" s="673"/>
      <c r="P13448" s="1098"/>
    </row>
    <row r="13449" spans="1:16" ht="18">
      <c r="A13449" s="674"/>
      <c r="B13449" s="675"/>
      <c r="C13449" s="676"/>
      <c r="D13449" s="676"/>
      <c r="E13449" s="1980">
        <f>SUM(E13438:E13448)</f>
        <v>504.46881700000006</v>
      </c>
      <c r="F13449" s="677"/>
      <c r="G13449" s="678"/>
      <c r="H13449" s="679"/>
      <c r="I13449" s="1848"/>
      <c r="J13449" s="676"/>
      <c r="K13449" s="680"/>
      <c r="L13449" s="679"/>
      <c r="M13449" s="676"/>
      <c r="N13449" s="677"/>
      <c r="O13449" s="676"/>
      <c r="P13449" s="1098"/>
    </row>
    <row r="13450" spans="1:16" ht="18.600000000000001" thickBot="1">
      <c r="A13450" s="681"/>
      <c r="B13450" s="682"/>
      <c r="C13450" s="683"/>
      <c r="D13450" s="683"/>
      <c r="E13450" s="1981"/>
      <c r="F13450" s="684"/>
      <c r="G13450" s="685"/>
      <c r="H13450" s="686"/>
      <c r="I13450" s="1850"/>
      <c r="J13450" s="683"/>
      <c r="K13450" s="687"/>
      <c r="L13450" s="686"/>
      <c r="M13450" s="683"/>
      <c r="N13450" s="684"/>
      <c r="O13450" s="683"/>
      <c r="P13450" s="1098"/>
    </row>
    <row r="13451" spans="1:16" ht="18">
      <c r="A13451" s="688" t="s">
        <v>31</v>
      </c>
      <c r="B13451" s="676"/>
      <c r="C13451" s="676"/>
      <c r="D13451" s="676"/>
      <c r="E13451" s="676"/>
      <c r="F13451" s="677"/>
      <c r="G13451" s="676"/>
      <c r="H13451" s="677"/>
      <c r="I13451" s="1848"/>
      <c r="J13451" s="676"/>
      <c r="K13451" s="689"/>
      <c r="L13451" s="677"/>
      <c r="M13451" s="676"/>
      <c r="N13451" s="677"/>
      <c r="O13451" s="676"/>
      <c r="P13451" s="1098"/>
    </row>
    <row r="13452" spans="1:16" ht="18">
      <c r="A13452" s="690"/>
      <c r="B13452" s="691"/>
      <c r="C13452" s="691"/>
      <c r="D13452" s="691"/>
      <c r="E13452" s="691"/>
      <c r="F13452" s="1705"/>
      <c r="G13452" s="691"/>
      <c r="H13452" s="1705"/>
      <c r="I13452" s="1849"/>
      <c r="J13452" s="691"/>
      <c r="K13452" s="693"/>
      <c r="L13452" s="1705"/>
      <c r="M13452" s="691"/>
      <c r="N13452" s="1705"/>
      <c r="O13452" s="691"/>
      <c r="P13452" s="1098"/>
    </row>
    <row r="13453" spans="1:16" ht="18.600000000000001" thickBot="1">
      <c r="A13453" s="1982" t="s">
        <v>32</v>
      </c>
      <c r="B13453" s="1983"/>
      <c r="C13453" s="1984" t="s">
        <v>33</v>
      </c>
      <c r="D13453" s="1985"/>
      <c r="E13453" s="694" t="s">
        <v>34</v>
      </c>
      <c r="F13453" s="694" t="s">
        <v>35</v>
      </c>
      <c r="G13453" s="1986" t="s">
        <v>36</v>
      </c>
      <c r="H13453" s="1987"/>
      <c r="I13453" s="1987"/>
      <c r="J13453" s="1987"/>
      <c r="K13453" s="1987"/>
      <c r="L13453" s="1987"/>
      <c r="M13453" s="1987"/>
      <c r="N13453" s="1987"/>
      <c r="O13453" s="1987"/>
      <c r="P13453" s="1098"/>
    </row>
    <row r="13454" spans="1:16" ht="18">
      <c r="A13454" s="1988"/>
      <c r="B13454" s="1989"/>
      <c r="C13454" s="1990"/>
      <c r="D13454" s="1989"/>
      <c r="E13454" s="1708"/>
      <c r="F13454" s="1706"/>
      <c r="G13454" s="1991"/>
      <c r="H13454" s="1992"/>
      <c r="I13454" s="1992"/>
      <c r="J13454" s="1992"/>
      <c r="K13454" s="1992"/>
      <c r="L13454" s="1992"/>
      <c r="M13454" s="1992"/>
      <c r="N13454" s="1992"/>
      <c r="O13454" s="1992"/>
      <c r="P13454" s="1098"/>
    </row>
    <row r="13455" spans="1:16" ht="18">
      <c r="A13455" s="1997" t="s">
        <v>37</v>
      </c>
      <c r="B13455" s="1998"/>
      <c r="C13455" s="1990"/>
      <c r="D13455" s="1989"/>
      <c r="E13455" s="1708"/>
      <c r="F13455" s="1706"/>
      <c r="G13455" s="1993"/>
      <c r="H13455" s="1994"/>
      <c r="I13455" s="1994"/>
      <c r="J13455" s="1994"/>
      <c r="K13455" s="1994"/>
      <c r="L13455" s="1994"/>
      <c r="M13455" s="1994"/>
      <c r="N13455" s="1994"/>
      <c r="O13455" s="1994"/>
      <c r="P13455" s="1098"/>
    </row>
    <row r="13456" spans="1:16" ht="18">
      <c r="A13456" s="1997" t="s">
        <v>38</v>
      </c>
      <c r="B13456" s="1998"/>
      <c r="C13456" s="1990"/>
      <c r="D13456" s="1989"/>
      <c r="E13456" s="1708"/>
      <c r="F13456" s="1706"/>
      <c r="G13456" s="1993"/>
      <c r="H13456" s="1994"/>
      <c r="I13456" s="1994"/>
      <c r="J13456" s="1994"/>
      <c r="K13456" s="1994"/>
      <c r="L13456" s="1994"/>
      <c r="M13456" s="1994"/>
      <c r="N13456" s="1994"/>
      <c r="O13456" s="1994"/>
      <c r="P13456" s="1098"/>
    </row>
    <row r="13457" spans="1:17" ht="18">
      <c r="A13457" s="1997" t="s">
        <v>39</v>
      </c>
      <c r="B13457" s="1998"/>
      <c r="C13457" s="1990"/>
      <c r="D13457" s="1989"/>
      <c r="E13457" s="1708"/>
      <c r="F13457" s="1706"/>
      <c r="G13457" s="1993"/>
      <c r="H13457" s="1994"/>
      <c r="I13457" s="1994"/>
      <c r="J13457" s="1994"/>
      <c r="K13457" s="1994"/>
      <c r="L13457" s="1994"/>
      <c r="M13457" s="1994"/>
      <c r="N13457" s="1994"/>
      <c r="O13457" s="1994"/>
      <c r="P13457" s="1098"/>
    </row>
    <row r="13458" spans="1:17" ht="18">
      <c r="A13458" s="1997" t="s">
        <v>40</v>
      </c>
      <c r="B13458" s="1998"/>
      <c r="C13458" s="1990"/>
      <c r="D13458" s="1989"/>
      <c r="E13458" s="1708"/>
      <c r="F13458" s="1706"/>
      <c r="G13458" s="1993"/>
      <c r="H13458" s="1994"/>
      <c r="I13458" s="1994"/>
      <c r="J13458" s="1994"/>
      <c r="K13458" s="1994"/>
      <c r="L13458" s="1994"/>
      <c r="M13458" s="1994"/>
      <c r="N13458" s="1994"/>
      <c r="O13458" s="1994"/>
      <c r="P13458" s="1098"/>
    </row>
    <row r="13459" spans="1:17" ht="18.600000000000001" thickBot="1">
      <c r="A13459" s="1999" t="s">
        <v>41</v>
      </c>
      <c r="B13459" s="2000"/>
      <c r="C13459" s="2001"/>
      <c r="D13459" s="2002"/>
      <c r="E13459" s="696"/>
      <c r="F13459" s="1707"/>
      <c r="G13459" s="1995"/>
      <c r="H13459" s="1996"/>
      <c r="I13459" s="1996"/>
      <c r="J13459" s="1996"/>
      <c r="K13459" s="1996"/>
      <c r="L13459" s="1996"/>
      <c r="M13459" s="1996"/>
      <c r="N13459" s="1996"/>
      <c r="O13459" s="1996"/>
      <c r="P13459" s="1098"/>
    </row>
    <row r="13460" spans="1:17" ht="18">
      <c r="A13460" s="690"/>
      <c r="B13460" s="691"/>
      <c r="C13460" s="691"/>
      <c r="D13460" s="691"/>
      <c r="E13460" s="691"/>
      <c r="F13460" s="1705"/>
      <c r="G13460" s="691"/>
      <c r="H13460" s="698"/>
      <c r="I13460" s="699"/>
      <c r="J13460" s="700"/>
      <c r="K13460" s="701"/>
      <c r="L13460" s="702"/>
      <c r="M13460" s="691"/>
      <c r="N13460" s="1705"/>
      <c r="O13460" s="691"/>
      <c r="P13460" s="1098"/>
    </row>
    <row r="13461" spans="1:17" ht="18">
      <c r="A13461" s="703" t="s">
        <v>42</v>
      </c>
      <c r="B13461" s="704"/>
      <c r="C13461" s="691"/>
      <c r="D13461" s="691"/>
      <c r="E13461" s="691"/>
      <c r="F13461" s="1705"/>
      <c r="G13461" s="704"/>
      <c r="H13461" s="698"/>
      <c r="I13461" s="699"/>
      <c r="J13461" s="700"/>
      <c r="K13461" s="693"/>
      <c r="L13461" s="705"/>
      <c r="M13461" s="691"/>
      <c r="N13461" s="1979" t="s">
        <v>43</v>
      </c>
      <c r="O13461" s="1979"/>
      <c r="P13461" s="1098"/>
    </row>
    <row r="13462" spans="1:17" ht="18">
      <c r="A13462" s="703"/>
      <c r="B13462" s="704"/>
      <c r="C13462" s="691"/>
      <c r="D13462" s="691"/>
      <c r="E13462" s="691"/>
      <c r="F13462" s="1705"/>
      <c r="G13462" s="691"/>
      <c r="H13462" s="1705"/>
      <c r="I13462" s="1849"/>
      <c r="J13462" s="691"/>
      <c r="K13462" s="693"/>
      <c r="L13462" s="1705"/>
      <c r="M13462" s="691"/>
      <c r="N13462" s="1705"/>
      <c r="O13462" s="704"/>
      <c r="P13462" s="1098"/>
    </row>
    <row r="13463" spans="1:17" ht="18">
      <c r="A13463" s="703" t="s">
        <v>44</v>
      </c>
      <c r="B13463" s="704"/>
      <c r="C13463" s="691"/>
      <c r="D13463" s="691"/>
      <c r="E13463" s="691"/>
      <c r="F13463" s="1705"/>
      <c r="G13463" s="691"/>
      <c r="H13463" s="1705"/>
      <c r="I13463" s="1849"/>
      <c r="J13463" s="691"/>
      <c r="K13463" s="693"/>
      <c r="L13463" s="1705"/>
      <c r="M13463" s="691"/>
      <c r="N13463" s="1979" t="s">
        <v>45</v>
      </c>
      <c r="O13463" s="1979"/>
      <c r="P13463" s="1098"/>
    </row>
    <row r="13464" spans="1:17" ht="18.600000000000001" thickBot="1">
      <c r="A13464" s="682"/>
      <c r="B13464" s="683"/>
      <c r="C13464" s="683"/>
      <c r="D13464" s="683"/>
      <c r="E13464" s="683"/>
      <c r="F13464" s="684"/>
      <c r="G13464" s="683"/>
      <c r="H13464" s="684"/>
      <c r="I13464" s="1850"/>
      <c r="J13464" s="683"/>
      <c r="K13464" s="706"/>
      <c r="L13464" s="684"/>
      <c r="M13464" s="683"/>
      <c r="N13464" s="684"/>
      <c r="O13464" s="683"/>
      <c r="P13464" s="1099"/>
    </row>
    <row r="13468" spans="1:17" ht="17.399999999999999">
      <c r="A13468" s="711" t="s">
        <v>48</v>
      </c>
      <c r="B13468" s="711"/>
      <c r="C13468" s="712"/>
      <c r="D13468" s="712"/>
      <c r="E13468" s="712"/>
      <c r="F13468" s="713"/>
      <c r="G13468" s="712"/>
      <c r="H13468" s="712"/>
      <c r="I13468" s="714"/>
      <c r="J13468" s="715"/>
      <c r="K13468" s="716"/>
      <c r="L13468" s="1978" t="s">
        <v>0</v>
      </c>
      <c r="M13468" s="1978"/>
      <c r="N13468" s="1978"/>
      <c r="O13468" s="1978"/>
      <c r="P13468" s="717"/>
    </row>
    <row r="13469" spans="1:17" ht="17.399999999999999">
      <c r="A13469" s="718" t="s">
        <v>1</v>
      </c>
      <c r="B13469" s="718"/>
      <c r="C13469" s="718"/>
      <c r="D13469" s="719" t="s">
        <v>2</v>
      </c>
      <c r="E13469" s="719"/>
      <c r="F13469" s="720"/>
      <c r="G13469" s="720"/>
      <c r="H13469" s="720"/>
      <c r="I13469" s="721"/>
      <c r="J13469" s="1715"/>
      <c r="K13469" s="723" t="s">
        <v>3</v>
      </c>
      <c r="L13469" s="1715"/>
      <c r="M13469" s="718"/>
      <c r="N13469" s="720"/>
      <c r="O13469" s="718"/>
      <c r="P13469" s="724"/>
    </row>
    <row r="13470" spans="1:17" ht="52.2">
      <c r="A13470" s="640" t="s">
        <v>4</v>
      </c>
      <c r="B13470" s="640" t="s">
        <v>5</v>
      </c>
      <c r="C13470" s="640" t="s">
        <v>6</v>
      </c>
      <c r="D13470" s="640" t="s">
        <v>7</v>
      </c>
      <c r="E13470" s="640" t="s">
        <v>8</v>
      </c>
      <c r="F13470" s="641" t="s">
        <v>9</v>
      </c>
      <c r="G13470" s="642" t="s">
        <v>10</v>
      </c>
      <c r="H13470" s="642" t="s">
        <v>11</v>
      </c>
      <c r="I13470" s="643" t="s">
        <v>12</v>
      </c>
      <c r="J13470" s="644" t="s">
        <v>13</v>
      </c>
      <c r="K13470" s="645" t="s">
        <v>14</v>
      </c>
      <c r="L13470" s="646" t="s">
        <v>15</v>
      </c>
      <c r="M13470" s="641" t="s">
        <v>16</v>
      </c>
      <c r="N13470" s="641" t="s">
        <v>17</v>
      </c>
      <c r="O13470" s="642" t="s">
        <v>18</v>
      </c>
      <c r="P13470" s="641" t="s">
        <v>192</v>
      </c>
    </row>
    <row r="13471" spans="1:17" ht="17.399999999999999">
      <c r="A13471" s="547" t="s">
        <v>83</v>
      </c>
      <c r="B13471" s="547" t="s">
        <v>1455</v>
      </c>
      <c r="C13471" s="547" t="s">
        <v>19</v>
      </c>
      <c r="D13471" s="813" t="s">
        <v>854</v>
      </c>
      <c r="E13471" s="549" t="s">
        <v>367</v>
      </c>
      <c r="F13471" s="550">
        <v>10</v>
      </c>
      <c r="G13471" s="549" t="s">
        <v>21</v>
      </c>
      <c r="H13471" s="599" t="s">
        <v>131</v>
      </c>
      <c r="I13471" s="558">
        <v>7.34</v>
      </c>
      <c r="J13471" s="567">
        <v>8.25</v>
      </c>
      <c r="K13471" s="648">
        <v>388</v>
      </c>
      <c r="L13471" s="725">
        <f>(I13471*J13471*K13471/1000)</f>
        <v>23.495339999999999</v>
      </c>
      <c r="M13471" s="549">
        <v>13</v>
      </c>
      <c r="N13471" s="567">
        <f>J13471*M13471*I13471/1000</f>
        <v>0.787215</v>
      </c>
      <c r="O13471" s="549"/>
      <c r="P13471" s="549"/>
      <c r="Q13471" s="1737" t="s">
        <v>1696</v>
      </c>
    </row>
    <row r="13472" spans="1:17" ht="17.399999999999999">
      <c r="A13472" s="549"/>
      <c r="B13472" s="728" t="s">
        <v>52</v>
      </c>
      <c r="C13472" s="549"/>
      <c r="D13472" s="549"/>
      <c r="E13472" s="549"/>
      <c r="F13472" s="549"/>
      <c r="G13472" s="549" t="s">
        <v>21</v>
      </c>
      <c r="H13472" s="549" t="s">
        <v>131</v>
      </c>
      <c r="I13472" s="558">
        <v>7.34</v>
      </c>
      <c r="J13472" s="567">
        <v>10</v>
      </c>
      <c r="K13472" s="648">
        <v>194</v>
      </c>
      <c r="L13472" s="725">
        <f>(I13472*J13472*K13472/1000)</f>
        <v>14.239600000000001</v>
      </c>
      <c r="M13472" s="549"/>
      <c r="N13472" s="549"/>
      <c r="O13472" s="549"/>
      <c r="P13472" s="549"/>
    </row>
    <row r="13473" spans="1:17" ht="17.399999999999999">
      <c r="A13473" s="549"/>
      <c r="B13473" s="549"/>
      <c r="C13473" s="549"/>
      <c r="D13473" s="549"/>
      <c r="E13473" s="549"/>
      <c r="F13473" s="549"/>
      <c r="G13473" s="549"/>
      <c r="H13473" s="549"/>
      <c r="I13473" s="558"/>
      <c r="J13473" s="567"/>
      <c r="K13473" s="648">
        <f t="shared" ref="K13473:N13473" si="2730">SUM(K13471:K13472)</f>
        <v>582</v>
      </c>
      <c r="L13473" s="710">
        <f t="shared" si="2730"/>
        <v>37.734940000000002</v>
      </c>
      <c r="M13473" s="648">
        <f t="shared" si="2730"/>
        <v>13</v>
      </c>
      <c r="N13473" s="710">
        <f t="shared" si="2730"/>
        <v>0.787215</v>
      </c>
      <c r="O13473" s="549"/>
      <c r="P13473" s="549" t="s">
        <v>1617</v>
      </c>
    </row>
    <row r="13474" spans="1:17" ht="17.399999999999999">
      <c r="A13474" s="549"/>
      <c r="B13474" s="549"/>
      <c r="C13474" s="549"/>
      <c r="D13474" s="549"/>
      <c r="E13474" s="549"/>
      <c r="F13474" s="549"/>
      <c r="G13474" s="549"/>
      <c r="H13474" s="549"/>
      <c r="I13474" s="560"/>
      <c r="J13474" s="549"/>
      <c r="K13474" s="561"/>
      <c r="L13474" s="728"/>
      <c r="M13474" s="549"/>
      <c r="N13474" s="549"/>
      <c r="O13474" s="549"/>
      <c r="P13474" s="549"/>
    </row>
    <row r="13475" spans="1:17" ht="17.399999999999999">
      <c r="A13475" s="547" t="s">
        <v>395</v>
      </c>
      <c r="B13475" s="547" t="s">
        <v>1365</v>
      </c>
      <c r="C13475" s="547" t="s">
        <v>19</v>
      </c>
      <c r="D13475" s="813" t="s">
        <v>854</v>
      </c>
      <c r="E13475" s="547" t="s">
        <v>359</v>
      </c>
      <c r="F13475" s="550">
        <v>10</v>
      </c>
      <c r="G13475" s="549" t="s">
        <v>21</v>
      </c>
      <c r="H13475" s="599" t="s">
        <v>131</v>
      </c>
      <c r="I13475" s="558">
        <v>7.36</v>
      </c>
      <c r="J13475" s="567">
        <v>11</v>
      </c>
      <c r="K13475" s="648">
        <v>342</v>
      </c>
      <c r="L13475" s="725">
        <f t="shared" ref="L13475:L13477" si="2731">(I13475*J13475*K13475/1000)</f>
        <v>27.688320000000004</v>
      </c>
      <c r="M13475" s="549"/>
      <c r="N13475" s="549"/>
      <c r="O13475" s="549"/>
      <c r="P13475" s="549"/>
      <c r="Q13475" s="1737" t="s">
        <v>1696</v>
      </c>
    </row>
    <row r="13476" spans="1:17" ht="17.399999999999999">
      <c r="A13476" s="549"/>
      <c r="B13476" s="1605" t="s">
        <v>277</v>
      </c>
      <c r="C13476" s="549"/>
      <c r="D13476" s="549"/>
      <c r="E13476" s="549"/>
      <c r="F13476" s="549"/>
      <c r="G13476" s="549" t="s">
        <v>21</v>
      </c>
      <c r="H13476" s="549" t="s">
        <v>131</v>
      </c>
      <c r="I13476" s="558">
        <v>7.36</v>
      </c>
      <c r="J13476" s="567">
        <v>11.5</v>
      </c>
      <c r="K13476" s="648">
        <v>640</v>
      </c>
      <c r="L13476" s="725">
        <f t="shared" si="2731"/>
        <v>54.169599999999996</v>
      </c>
      <c r="M13476" s="549"/>
      <c r="N13476" s="549"/>
      <c r="O13476" s="549"/>
      <c r="P13476" s="549"/>
    </row>
    <row r="13477" spans="1:17" ht="17.399999999999999">
      <c r="A13477" s="549"/>
      <c r="B13477" s="549"/>
      <c r="C13477" s="549"/>
      <c r="D13477" s="549"/>
      <c r="E13477" s="549"/>
      <c r="F13477" s="549"/>
      <c r="G13477" s="549" t="s">
        <v>21</v>
      </c>
      <c r="H13477" s="549" t="s">
        <v>131</v>
      </c>
      <c r="I13477" s="558">
        <v>7.36</v>
      </c>
      <c r="J13477" s="567">
        <v>12</v>
      </c>
      <c r="K13477" s="648">
        <v>320</v>
      </c>
      <c r="L13477" s="725">
        <f t="shared" si="2731"/>
        <v>28.262400000000003</v>
      </c>
      <c r="M13477" s="549"/>
      <c r="N13477" s="549"/>
      <c r="O13477" s="549"/>
      <c r="P13477" s="549"/>
    </row>
    <row r="13478" spans="1:17" ht="17.399999999999999">
      <c r="A13478" s="549"/>
      <c r="B13478" s="549"/>
      <c r="C13478" s="549"/>
      <c r="D13478" s="549"/>
      <c r="E13478" s="549"/>
      <c r="F13478" s="549"/>
      <c r="G13478" s="549"/>
      <c r="H13478" s="549"/>
      <c r="I13478" s="558"/>
      <c r="J13478" s="567"/>
      <c r="K13478" s="648">
        <f>SUM(K13475:K13477)</f>
        <v>1302</v>
      </c>
      <c r="L13478" s="710">
        <f>SUM(L13475:L13477)</f>
        <v>110.12032000000001</v>
      </c>
      <c r="M13478" s="648">
        <f>SUM(M13475:M13477)</f>
        <v>0</v>
      </c>
      <c r="N13478" s="710">
        <f>SUM(N13475:N13477)</f>
        <v>0</v>
      </c>
      <c r="O13478" s="549"/>
      <c r="P13478" s="549" t="s">
        <v>1618</v>
      </c>
    </row>
    <row r="13479" spans="1:17" ht="17.399999999999999">
      <c r="A13479" s="549"/>
      <c r="B13479" s="549"/>
      <c r="C13479" s="549"/>
      <c r="D13479" s="549"/>
      <c r="E13479" s="549"/>
      <c r="F13479" s="549"/>
      <c r="G13479" s="549"/>
      <c r="H13479" s="549"/>
      <c r="I13479" s="560"/>
      <c r="J13479" s="549"/>
      <c r="K13479" s="564">
        <f>SUM(K13471:K13478)/2</f>
        <v>1884</v>
      </c>
      <c r="L13479" s="710">
        <f>SUM(L13471:L13478)/2</f>
        <v>147.85526000000002</v>
      </c>
      <c r="M13479" s="652">
        <f>SUM(M13471:M13478)/2</f>
        <v>13</v>
      </c>
      <c r="N13479" s="710">
        <f>SUM(N13471:N13478)/2</f>
        <v>0.787215</v>
      </c>
      <c r="O13479" s="549"/>
      <c r="P13479" s="549"/>
    </row>
    <row r="13480" spans="1:17" s="1511" customFormat="1" ht="17.399999999999999">
      <c r="A13480" s="549"/>
      <c r="B13480" s="549"/>
      <c r="C13480" s="549"/>
      <c r="D13480" s="549"/>
      <c r="E13480" s="549"/>
      <c r="F13480" s="549"/>
      <c r="G13480" s="549"/>
      <c r="H13480" s="549"/>
      <c r="I13480" s="560"/>
      <c r="J13480" s="549"/>
      <c r="K13480" s="564"/>
      <c r="L13480" s="710"/>
      <c r="M13480" s="549"/>
      <c r="N13480" s="549"/>
      <c r="O13480" s="549"/>
      <c r="P13480" s="549"/>
    </row>
    <row r="13481" spans="1:17" s="1511" customFormat="1" ht="17.399999999999999">
      <c r="A13481" s="549"/>
      <c r="B13481" s="549"/>
      <c r="C13481" s="549"/>
      <c r="D13481" s="549"/>
      <c r="E13481" s="549"/>
      <c r="F13481" s="549"/>
      <c r="G13481" s="549"/>
      <c r="H13481" s="549"/>
      <c r="I13481" s="560"/>
      <c r="J13481" s="549"/>
      <c r="K13481" s="564"/>
      <c r="L13481" s="710"/>
      <c r="M13481" s="549"/>
      <c r="N13481" s="549"/>
      <c r="O13481" s="549"/>
      <c r="P13481" s="549"/>
    </row>
    <row r="13482" spans="1:17" ht="17.399999999999999">
      <c r="A13482" s="547" t="s">
        <v>83</v>
      </c>
      <c r="B13482" s="547" t="s">
        <v>1592</v>
      </c>
      <c r="C13482" s="547" t="s">
        <v>19</v>
      </c>
      <c r="D13482" s="813" t="s">
        <v>854</v>
      </c>
      <c r="E13482" s="650" t="s">
        <v>464</v>
      </c>
      <c r="F13482" s="550">
        <v>10</v>
      </c>
      <c r="G13482" s="549" t="s">
        <v>21</v>
      </c>
      <c r="H13482" s="599" t="s">
        <v>131</v>
      </c>
      <c r="I13482" s="560">
        <v>7.34</v>
      </c>
      <c r="J13482" s="710">
        <v>12</v>
      </c>
      <c r="K13482" s="648">
        <v>26</v>
      </c>
      <c r="L13482" s="725">
        <f>(I13482*J13482*K13482/1000)</f>
        <v>2.2900800000000001</v>
      </c>
      <c r="M13482" s="549"/>
      <c r="N13482" s="549"/>
      <c r="O13482" s="549"/>
      <c r="P13482" s="549"/>
      <c r="Q13482" s="1737" t="s">
        <v>1696</v>
      </c>
    </row>
    <row r="13483" spans="1:17" ht="17.399999999999999">
      <c r="A13483" s="549"/>
      <c r="B13483" s="1714" t="s">
        <v>1593</v>
      </c>
      <c r="C13483" s="549"/>
      <c r="D13483" s="549"/>
      <c r="E13483" s="549"/>
      <c r="F13483" s="549"/>
      <c r="G13483" s="549" t="s">
        <v>21</v>
      </c>
      <c r="H13483" s="549" t="s">
        <v>131</v>
      </c>
      <c r="I13483" s="560">
        <v>7.34</v>
      </c>
      <c r="J13483" s="710"/>
      <c r="K13483" s="648"/>
      <c r="L13483" s="725">
        <f>(I13483*J13483*K13483/1000)</f>
        <v>0</v>
      </c>
      <c r="M13483" s="549"/>
      <c r="N13483" s="549"/>
      <c r="O13483" s="549"/>
      <c r="P13483" s="549"/>
    </row>
    <row r="13484" spans="1:17" ht="17.399999999999999">
      <c r="A13484" s="549"/>
      <c r="B13484" s="549"/>
      <c r="C13484" s="549"/>
      <c r="D13484" s="549"/>
      <c r="E13484" s="549"/>
      <c r="F13484" s="549"/>
      <c r="G13484" s="549"/>
      <c r="H13484" s="650"/>
      <c r="I13484" s="560"/>
      <c r="J13484" s="710"/>
      <c r="K13484" s="648">
        <f>SUM(K13482:K13483)</f>
        <v>26</v>
      </c>
      <c r="L13484" s="763">
        <f>SUM(L13482:L13483)</f>
        <v>2.2900800000000001</v>
      </c>
      <c r="M13484" s="549"/>
      <c r="N13484" s="549"/>
      <c r="O13484" s="549"/>
      <c r="P13484" s="549" t="s">
        <v>1619</v>
      </c>
    </row>
    <row r="13485" spans="1:17" ht="17.399999999999999">
      <c r="A13485" s="549"/>
      <c r="B13485" s="549"/>
      <c r="C13485" s="549"/>
      <c r="D13485" s="549"/>
      <c r="E13485" s="549"/>
      <c r="F13485" s="549"/>
      <c r="G13485" s="549"/>
      <c r="H13485" s="549"/>
      <c r="I13485" s="560"/>
      <c r="J13485" s="549"/>
      <c r="K13485" s="561"/>
      <c r="L13485" s="728"/>
      <c r="M13485" s="549"/>
      <c r="N13485" s="549"/>
      <c r="O13485" s="549"/>
      <c r="P13485" s="549"/>
    </row>
    <row r="13486" spans="1:17" ht="17.399999999999999">
      <c r="A13486" s="547" t="s">
        <v>83</v>
      </c>
      <c r="B13486" s="547" t="s">
        <v>1558</v>
      </c>
      <c r="C13486" s="547" t="s">
        <v>19</v>
      </c>
      <c r="D13486" s="813" t="s">
        <v>854</v>
      </c>
      <c r="E13486" s="650" t="s">
        <v>464</v>
      </c>
      <c r="F13486" s="550">
        <v>10</v>
      </c>
      <c r="G13486" s="549" t="s">
        <v>21</v>
      </c>
      <c r="H13486" s="599" t="s">
        <v>131</v>
      </c>
      <c r="I13486" s="560">
        <v>7.34</v>
      </c>
      <c r="J13486" s="710">
        <v>12</v>
      </c>
      <c r="K13486" s="648">
        <v>35</v>
      </c>
      <c r="L13486" s="725">
        <f>(I13486*J13486*K13486/1000)</f>
        <v>3.0827999999999998</v>
      </c>
      <c r="M13486" s="549"/>
      <c r="N13486" s="549"/>
      <c r="O13486" s="549"/>
      <c r="P13486" s="549"/>
      <c r="Q13486" s="1737" t="s">
        <v>1696</v>
      </c>
    </row>
    <row r="13487" spans="1:17" ht="17.399999999999999">
      <c r="A13487" s="549"/>
      <c r="B13487" s="1714" t="s">
        <v>1593</v>
      </c>
      <c r="C13487" s="549"/>
      <c r="D13487" s="549"/>
      <c r="E13487" s="549"/>
      <c r="F13487" s="549"/>
      <c r="G13487" s="549"/>
      <c r="H13487" s="650"/>
      <c r="I13487" s="560"/>
      <c r="J13487" s="710"/>
      <c r="K13487" s="648">
        <f>SUM(K13486:K13486)</f>
        <v>35</v>
      </c>
      <c r="L13487" s="763">
        <f>SUM(L13486:L13486)</f>
        <v>3.0827999999999998</v>
      </c>
      <c r="M13487" s="549"/>
      <c r="N13487" s="549"/>
      <c r="O13487" s="549"/>
      <c r="P13487" s="549" t="s">
        <v>1619</v>
      </c>
    </row>
    <row r="13488" spans="1:17" ht="17.399999999999999">
      <c r="A13488" s="549"/>
      <c r="B13488" s="549"/>
      <c r="C13488" s="549"/>
      <c r="D13488" s="549"/>
      <c r="E13488" s="549"/>
      <c r="F13488" s="549"/>
      <c r="G13488" s="549"/>
      <c r="H13488" s="549"/>
      <c r="I13488" s="560"/>
      <c r="J13488" s="549"/>
      <c r="K13488" s="727">
        <f>SUM(K13482:K13487)/2</f>
        <v>61</v>
      </c>
      <c r="L13488" s="710">
        <f>SUM(L13482:L13487)/2</f>
        <v>5.3728800000000003</v>
      </c>
      <c r="M13488" s="727">
        <f>SUM(M13482:M13487)/2</f>
        <v>0</v>
      </c>
      <c r="N13488" s="710">
        <f>SUM(N13482:N13487)/2</f>
        <v>0</v>
      </c>
      <c r="O13488" s="549"/>
      <c r="P13488" s="549"/>
    </row>
    <row r="13489" spans="1:17" s="1511" customFormat="1" ht="17.399999999999999">
      <c r="A13489" s="549"/>
      <c r="B13489" s="549"/>
      <c r="C13489" s="549"/>
      <c r="D13489" s="549"/>
      <c r="E13489" s="549"/>
      <c r="F13489" s="549"/>
      <c r="G13489" s="549"/>
      <c r="H13489" s="549"/>
      <c r="I13489" s="560"/>
      <c r="J13489" s="549"/>
      <c r="K13489" s="561"/>
      <c r="L13489" s="710"/>
      <c r="M13489" s="549"/>
      <c r="N13489" s="549"/>
      <c r="O13489" s="549"/>
      <c r="P13489" s="549"/>
    </row>
    <row r="13490" spans="1:17" ht="17.399999999999999">
      <c r="A13490" s="549"/>
      <c r="B13490" s="549"/>
      <c r="C13490" s="549"/>
      <c r="D13490" s="549"/>
      <c r="E13490" s="549"/>
      <c r="F13490" s="549"/>
      <c r="G13490" s="549"/>
      <c r="H13490" s="549"/>
      <c r="I13490" s="560"/>
      <c r="J13490" s="549"/>
      <c r="K13490" s="561"/>
      <c r="L13490" s="728"/>
      <c r="M13490" s="549"/>
      <c r="N13490" s="549"/>
      <c r="O13490" s="549"/>
      <c r="P13490" s="549"/>
    </row>
    <row r="13491" spans="1:17" ht="17.399999999999999">
      <c r="A13491" s="547" t="s">
        <v>83</v>
      </c>
      <c r="B13491" s="547" t="s">
        <v>1592</v>
      </c>
      <c r="C13491" s="547" t="s">
        <v>19</v>
      </c>
      <c r="D13491" s="813" t="s">
        <v>854</v>
      </c>
      <c r="E13491" s="650" t="s">
        <v>464</v>
      </c>
      <c r="F13491" s="550">
        <v>10</v>
      </c>
      <c r="G13491" s="549" t="s">
        <v>21</v>
      </c>
      <c r="H13491" s="599" t="s">
        <v>130</v>
      </c>
      <c r="I13491" s="560">
        <v>6.17</v>
      </c>
      <c r="J13491" s="710">
        <v>12</v>
      </c>
      <c r="K13491" s="648">
        <v>5</v>
      </c>
      <c r="L13491" s="725">
        <f>(I13491*J13491*K13491/1000)</f>
        <v>0.37019999999999992</v>
      </c>
      <c r="M13491" s="549"/>
      <c r="N13491" s="549"/>
      <c r="O13491" s="549"/>
      <c r="P13491" s="549"/>
      <c r="Q13491" s="1737" t="s">
        <v>1696</v>
      </c>
    </row>
    <row r="13492" spans="1:17" ht="17.399999999999999">
      <c r="A13492" s="549"/>
      <c r="B13492" s="1714" t="s">
        <v>1593</v>
      </c>
      <c r="C13492" s="549"/>
      <c r="D13492" s="549"/>
      <c r="E13492" s="549"/>
      <c r="F13492" s="549"/>
      <c r="G13492" s="549" t="s">
        <v>21</v>
      </c>
      <c r="H13492" s="549" t="s">
        <v>130</v>
      </c>
      <c r="I13492" s="560">
        <v>6.17</v>
      </c>
      <c r="J13492" s="710"/>
      <c r="K13492" s="648"/>
      <c r="L13492" s="725">
        <f>(I13492*J13492*K13492/1000)</f>
        <v>0</v>
      </c>
      <c r="M13492" s="549"/>
      <c r="N13492" s="549"/>
      <c r="O13492" s="549"/>
      <c r="P13492" s="549"/>
    </row>
    <row r="13493" spans="1:17" ht="17.399999999999999">
      <c r="A13493" s="549"/>
      <c r="B13493" s="549"/>
      <c r="C13493" s="549"/>
      <c r="D13493" s="549"/>
      <c r="E13493" s="549"/>
      <c r="F13493" s="549"/>
      <c r="G13493" s="549"/>
      <c r="H13493" s="650"/>
      <c r="I13493" s="560"/>
      <c r="J13493" s="710"/>
      <c r="K13493" s="648">
        <f>SUM(K13491:K13492)</f>
        <v>5</v>
      </c>
      <c r="L13493" s="763">
        <f>SUM(L13491:L13492)</f>
        <v>0.37019999999999992</v>
      </c>
      <c r="M13493" s="549"/>
      <c r="N13493" s="549"/>
      <c r="O13493" s="549"/>
      <c r="P13493" s="549"/>
    </row>
    <row r="13494" spans="1:17" s="1511" customFormat="1" ht="17.399999999999999">
      <c r="A13494" s="549"/>
      <c r="B13494" s="549"/>
      <c r="C13494" s="549"/>
      <c r="D13494" s="549"/>
      <c r="E13494" s="549"/>
      <c r="F13494" s="549"/>
      <c r="G13494" s="549"/>
      <c r="H13494" s="650"/>
      <c r="I13494" s="560"/>
      <c r="J13494" s="710"/>
      <c r="K13494" s="648"/>
      <c r="L13494" s="763"/>
      <c r="M13494" s="549"/>
      <c r="N13494" s="549"/>
      <c r="O13494" s="549"/>
      <c r="P13494" s="549"/>
    </row>
    <row r="13495" spans="1:17" ht="17.399999999999999">
      <c r="A13495" s="547" t="s">
        <v>83</v>
      </c>
      <c r="B13495" s="547" t="s">
        <v>1558</v>
      </c>
      <c r="C13495" s="547" t="s">
        <v>19</v>
      </c>
      <c r="D13495" s="813" t="s">
        <v>854</v>
      </c>
      <c r="E13495" s="650" t="s">
        <v>464</v>
      </c>
      <c r="F13495" s="550">
        <v>10</v>
      </c>
      <c r="G13495" s="549" t="s">
        <v>21</v>
      </c>
      <c r="H13495" s="599" t="s">
        <v>130</v>
      </c>
      <c r="I13495" s="560">
        <v>6.17</v>
      </c>
      <c r="J13495" s="710">
        <v>12</v>
      </c>
      <c r="K13495" s="648">
        <v>8</v>
      </c>
      <c r="L13495" s="725">
        <f>(I13495*J13495*K13495/1000)</f>
        <v>0.59231999999999996</v>
      </c>
      <c r="M13495" s="549"/>
      <c r="N13495" s="549"/>
      <c r="O13495" s="549"/>
      <c r="P13495" s="549"/>
      <c r="Q13495" s="1737" t="s">
        <v>1696</v>
      </c>
    </row>
    <row r="13496" spans="1:17" ht="17.399999999999999">
      <c r="A13496" s="549"/>
      <c r="B13496" s="1714" t="s">
        <v>1593</v>
      </c>
      <c r="C13496" s="549"/>
      <c r="D13496" s="549"/>
      <c r="E13496" s="549"/>
      <c r="F13496" s="549"/>
      <c r="G13496" s="549"/>
      <c r="H13496" s="650"/>
      <c r="I13496" s="560"/>
      <c r="J13496" s="710"/>
      <c r="K13496" s="648">
        <f>SUM(K13495:K13495)</f>
        <v>8</v>
      </c>
      <c r="L13496" s="763">
        <f>SUM(L13495:L13495)</f>
        <v>0.59231999999999996</v>
      </c>
      <c r="M13496" s="549"/>
      <c r="N13496" s="549"/>
      <c r="O13496" s="549"/>
      <c r="P13496" s="549"/>
    </row>
    <row r="13497" spans="1:17" s="1511" customFormat="1" ht="17.399999999999999">
      <c r="A13497" s="549"/>
      <c r="B13497" s="549"/>
      <c r="C13497" s="549"/>
      <c r="D13497" s="549"/>
      <c r="E13497" s="549"/>
      <c r="F13497" s="549"/>
      <c r="G13497" s="549"/>
      <c r="H13497" s="650"/>
      <c r="I13497" s="560"/>
      <c r="J13497" s="710"/>
      <c r="K13497" s="766">
        <f>SUM(K13491:K13496)/2</f>
        <v>13</v>
      </c>
      <c r="L13497" s="763">
        <f>SUM(L13491:L13496)/2</f>
        <v>0.96251999999999982</v>
      </c>
      <c r="M13497" s="766">
        <f>SUM(M13491:M13496)/2</f>
        <v>0</v>
      </c>
      <c r="N13497" s="763">
        <f>SUM(N13491:N13496)/2</f>
        <v>0</v>
      </c>
      <c r="O13497" s="549"/>
      <c r="P13497" s="549" t="s">
        <v>1622</v>
      </c>
    </row>
    <row r="13498" spans="1:17" s="1511" customFormat="1" ht="17.399999999999999">
      <c r="A13498" s="549"/>
      <c r="B13498" s="549"/>
      <c r="C13498" s="549"/>
      <c r="D13498" s="549"/>
      <c r="E13498" s="549"/>
      <c r="F13498" s="549"/>
      <c r="G13498" s="549"/>
      <c r="H13498" s="650"/>
      <c r="I13498" s="560"/>
      <c r="J13498" s="710"/>
      <c r="K13498" s="766"/>
      <c r="L13498" s="763"/>
      <c r="M13498" s="549"/>
      <c r="N13498" s="549"/>
      <c r="O13498" s="549"/>
      <c r="P13498" s="549"/>
    </row>
    <row r="13499" spans="1:17" s="1511" customFormat="1" ht="17.399999999999999">
      <c r="A13499" s="549"/>
      <c r="B13499" s="549"/>
      <c r="C13499" s="549"/>
      <c r="D13499" s="549"/>
      <c r="E13499" s="549"/>
      <c r="F13499" s="549"/>
      <c r="G13499" s="549"/>
      <c r="H13499" s="650"/>
      <c r="I13499" s="560"/>
      <c r="J13499" s="710"/>
      <c r="K13499" s="766"/>
      <c r="L13499" s="763"/>
      <c r="M13499" s="549"/>
      <c r="N13499" s="549"/>
      <c r="O13499" s="549"/>
      <c r="P13499" s="549"/>
    </row>
    <row r="13500" spans="1:17" ht="17.399999999999999">
      <c r="A13500" s="549"/>
      <c r="B13500" s="549"/>
      <c r="C13500" s="549"/>
      <c r="D13500" s="549"/>
      <c r="E13500" s="549"/>
      <c r="F13500" s="549"/>
      <c r="G13500" s="549"/>
      <c r="H13500" s="549"/>
      <c r="I13500" s="560"/>
      <c r="J13500" s="549"/>
      <c r="K13500" s="561"/>
      <c r="L13500" s="728"/>
      <c r="M13500" s="549"/>
      <c r="N13500" s="549"/>
      <c r="O13500" s="549"/>
      <c r="P13500" s="549"/>
    </row>
    <row r="13501" spans="1:17" ht="17.399999999999999">
      <c r="A13501" s="547" t="s">
        <v>83</v>
      </c>
      <c r="B13501" s="547" t="s">
        <v>1559</v>
      </c>
      <c r="C13501" s="547" t="s">
        <v>19</v>
      </c>
      <c r="D13501" s="813" t="s">
        <v>854</v>
      </c>
      <c r="E13501" s="650" t="s">
        <v>464</v>
      </c>
      <c r="F13501" s="550">
        <v>10</v>
      </c>
      <c r="G13501" s="549" t="s">
        <v>21</v>
      </c>
      <c r="H13501" s="599" t="s">
        <v>130</v>
      </c>
      <c r="I13501" s="558">
        <v>6.17</v>
      </c>
      <c r="J13501" s="567">
        <v>12</v>
      </c>
      <c r="K13501" s="648">
        <v>4</v>
      </c>
      <c r="L13501" s="725">
        <f>(I13501*J13501*K13501/1000)</f>
        <v>0.29615999999999998</v>
      </c>
      <c r="M13501" s="549"/>
      <c r="N13501" s="549"/>
      <c r="O13501" s="549"/>
      <c r="P13501" s="549"/>
      <c r="Q13501" s="1737" t="s">
        <v>1696</v>
      </c>
    </row>
    <row r="13502" spans="1:17" ht="17.399999999999999">
      <c r="A13502" s="549"/>
      <c r="B13502" s="549" t="s">
        <v>439</v>
      </c>
      <c r="C13502" s="549"/>
      <c r="D13502" s="549"/>
      <c r="E13502" s="549"/>
      <c r="F13502" s="549"/>
      <c r="G13502" s="549"/>
      <c r="H13502" s="549"/>
      <c r="I13502" s="558"/>
      <c r="J13502" s="567"/>
      <c r="K13502" s="648">
        <f t="shared" ref="K13502:L13502" si="2732">SUM(K13501)</f>
        <v>4</v>
      </c>
      <c r="L13502" s="710">
        <f t="shared" si="2732"/>
        <v>0.29615999999999998</v>
      </c>
      <c r="M13502" s="549"/>
      <c r="N13502" s="549"/>
      <c r="O13502" s="549"/>
      <c r="P13502" s="549" t="s">
        <v>1621</v>
      </c>
    </row>
    <row r="13503" spans="1:17" ht="17.399999999999999">
      <c r="A13503" s="549"/>
      <c r="B13503" s="549"/>
      <c r="C13503" s="549"/>
      <c r="D13503" s="549"/>
      <c r="E13503" s="549"/>
      <c r="F13503" s="549"/>
      <c r="G13503" s="549"/>
      <c r="H13503" s="549"/>
      <c r="I13503" s="560"/>
      <c r="J13503" s="549"/>
      <c r="K13503" s="561"/>
      <c r="L13503" s="728"/>
      <c r="M13503" s="549"/>
      <c r="N13503" s="549"/>
      <c r="O13503" s="549"/>
      <c r="P13503" s="549"/>
    </row>
    <row r="13504" spans="1:17" s="1511" customFormat="1" ht="18">
      <c r="A13504" s="547" t="s">
        <v>1510</v>
      </c>
      <c r="B13504" s="547" t="s">
        <v>1511</v>
      </c>
      <c r="C13504" s="547" t="s">
        <v>19</v>
      </c>
      <c r="D13504" s="813" t="s">
        <v>854</v>
      </c>
      <c r="E13504" s="547" t="s">
        <v>359</v>
      </c>
      <c r="F13504" s="550">
        <v>10</v>
      </c>
      <c r="G13504" s="1653" t="s">
        <v>21</v>
      </c>
      <c r="H13504" s="1787" t="s">
        <v>130</v>
      </c>
      <c r="I13504" s="1675">
        <v>6.17</v>
      </c>
      <c r="J13504" s="914">
        <v>9.6999999999999993</v>
      </c>
      <c r="K13504" s="1446">
        <v>56</v>
      </c>
      <c r="L13504" s="552">
        <f>(I13504*J13504*K13504/1000)</f>
        <v>3.3515440000000001</v>
      </c>
      <c r="M13504" s="549"/>
      <c r="N13504" s="549"/>
      <c r="O13504" s="549"/>
      <c r="P13504" s="549"/>
    </row>
    <row r="13505" spans="1:17" s="1511" customFormat="1" ht="18">
      <c r="A13505" s="547"/>
      <c r="B13505" s="780" t="s">
        <v>1602</v>
      </c>
      <c r="C13505" s="547"/>
      <c r="D13505" s="813"/>
      <c r="E13505" s="547"/>
      <c r="F13505" s="550"/>
      <c r="G13505" s="1653"/>
      <c r="H13505" s="1653"/>
      <c r="I13505" s="1675"/>
      <c r="J13505" s="914"/>
      <c r="K13505" s="1446">
        <f t="shared" ref="K13505:L13505" si="2733">SUM(K13504)</f>
        <v>56</v>
      </c>
      <c r="L13505" s="552">
        <f t="shared" si="2733"/>
        <v>3.3515440000000001</v>
      </c>
      <c r="M13505" s="549"/>
      <c r="N13505" s="549"/>
      <c r="O13505" s="549"/>
      <c r="P13505" s="549"/>
    </row>
    <row r="13506" spans="1:17" s="1511" customFormat="1" ht="18">
      <c r="A13506" s="547"/>
      <c r="B13506" s="547"/>
      <c r="C13506" s="547"/>
      <c r="D13506" s="813"/>
      <c r="E13506" s="547"/>
      <c r="F13506" s="550"/>
      <c r="G13506" s="1653"/>
      <c r="H13506" s="1653"/>
      <c r="I13506" s="1675"/>
      <c r="J13506" s="914"/>
      <c r="K13506" s="1446"/>
      <c r="L13506" s="552"/>
      <c r="M13506" s="549"/>
      <c r="N13506" s="549"/>
      <c r="O13506" s="549"/>
      <c r="P13506" s="549"/>
    </row>
    <row r="13507" spans="1:17" ht="17.399999999999999">
      <c r="A13507" s="547" t="s">
        <v>395</v>
      </c>
      <c r="B13507" s="547" t="s">
        <v>1365</v>
      </c>
      <c r="C13507" s="547" t="s">
        <v>19</v>
      </c>
      <c r="D13507" s="813" t="s">
        <v>854</v>
      </c>
      <c r="E13507" s="547" t="s">
        <v>359</v>
      </c>
      <c r="F13507" s="550">
        <v>10</v>
      </c>
      <c r="G13507" s="549" t="s">
        <v>21</v>
      </c>
      <c r="H13507" s="599" t="s">
        <v>130</v>
      </c>
      <c r="I13507" s="558">
        <v>6.17</v>
      </c>
      <c r="J13507" s="567">
        <v>9</v>
      </c>
      <c r="K13507" s="648">
        <v>160</v>
      </c>
      <c r="L13507" s="725">
        <f t="shared" ref="L13507:L13510" si="2734">(I13507*J13507*K13507/1000)</f>
        <v>8.8847999999999985</v>
      </c>
      <c r="M13507" s="549"/>
      <c r="N13507" s="549"/>
      <c r="O13507" s="549"/>
      <c r="P13507" s="549"/>
      <c r="Q13507" s="1737" t="s">
        <v>1696</v>
      </c>
    </row>
    <row r="13508" spans="1:17" ht="17.399999999999999">
      <c r="A13508" s="549"/>
      <c r="B13508" s="1605" t="s">
        <v>277</v>
      </c>
      <c r="C13508" s="549"/>
      <c r="D13508" s="549"/>
      <c r="E13508" s="549"/>
      <c r="F13508" s="549"/>
      <c r="G13508" s="549" t="s">
        <v>21</v>
      </c>
      <c r="H13508" s="549" t="s">
        <v>130</v>
      </c>
      <c r="I13508" s="558">
        <v>6.17</v>
      </c>
      <c r="J13508" s="567">
        <v>10.5</v>
      </c>
      <c r="K13508" s="648">
        <f>162-17</f>
        <v>145</v>
      </c>
      <c r="L13508" s="725">
        <f t="shared" si="2734"/>
        <v>9.3938249999999996</v>
      </c>
      <c r="M13508" s="549"/>
      <c r="N13508" s="549"/>
      <c r="O13508" s="549"/>
      <c r="P13508" s="549"/>
    </row>
    <row r="13509" spans="1:17" ht="17.399999999999999">
      <c r="A13509" s="549"/>
      <c r="B13509" s="549"/>
      <c r="C13509" s="549"/>
      <c r="D13509" s="549"/>
      <c r="E13509" s="549"/>
      <c r="F13509" s="549"/>
      <c r="G13509" s="549" t="s">
        <v>21</v>
      </c>
      <c r="H13509" s="549" t="s">
        <v>130</v>
      </c>
      <c r="I13509" s="558">
        <v>6.17</v>
      </c>
      <c r="J13509" s="567">
        <v>11.5</v>
      </c>
      <c r="K13509" s="648">
        <v>348</v>
      </c>
      <c r="L13509" s="725">
        <f t="shared" si="2734"/>
        <v>24.692340000000002</v>
      </c>
      <c r="M13509" s="549"/>
      <c r="N13509" s="549"/>
      <c r="O13509" s="549"/>
      <c r="P13509" s="549"/>
    </row>
    <row r="13510" spans="1:17" ht="17.399999999999999">
      <c r="A13510" s="549"/>
      <c r="B13510" s="549"/>
      <c r="C13510" s="549"/>
      <c r="D13510" s="549"/>
      <c r="E13510" s="549"/>
      <c r="F13510" s="549"/>
      <c r="G13510" s="549" t="s">
        <v>21</v>
      </c>
      <c r="H13510" s="549" t="s">
        <v>130</v>
      </c>
      <c r="I13510" s="558">
        <v>6.17</v>
      </c>
      <c r="J13510" s="567">
        <v>12</v>
      </c>
      <c r="K13510" s="648">
        <v>304</v>
      </c>
      <c r="L13510" s="725">
        <f t="shared" si="2734"/>
        <v>22.508159999999997</v>
      </c>
      <c r="M13510" s="549"/>
      <c r="N13510" s="549"/>
      <c r="O13510" s="549"/>
      <c r="P13510" s="549"/>
    </row>
    <row r="13511" spans="1:17" ht="17.399999999999999">
      <c r="A13511" s="549"/>
      <c r="B13511" s="549"/>
      <c r="C13511" s="549"/>
      <c r="D13511" s="549"/>
      <c r="E13511" s="549"/>
      <c r="F13511" s="549"/>
      <c r="G13511" s="549"/>
      <c r="H13511" s="549"/>
      <c r="I13511" s="558"/>
      <c r="J13511" s="567"/>
      <c r="K13511" s="648">
        <f>SUM(K13507:K13510)</f>
        <v>957</v>
      </c>
      <c r="L13511" s="710">
        <f>SUM(L13507:L13510)</f>
        <v>65.479124999999996</v>
      </c>
      <c r="M13511" s="549"/>
      <c r="N13511" s="549"/>
      <c r="O13511" s="549"/>
      <c r="P13511" s="549" t="s">
        <v>1620</v>
      </c>
    </row>
    <row r="13512" spans="1:17" s="1511" customFormat="1" ht="17.399999999999999">
      <c r="A13512" s="549"/>
      <c r="B13512" s="549"/>
      <c r="C13512" s="549"/>
      <c r="D13512" s="549"/>
      <c r="E13512" s="549"/>
      <c r="F13512" s="549"/>
      <c r="G13512" s="549"/>
      <c r="H13512" s="549"/>
      <c r="I13512" s="558"/>
      <c r="J13512" s="567"/>
      <c r="K13512" s="648">
        <f>SUM(K13501:K13511)/2</f>
        <v>1017</v>
      </c>
      <c r="L13512" s="710">
        <f>SUM(L13500:L13511)/2</f>
        <v>69.126828999999987</v>
      </c>
      <c r="M13512" s="648">
        <f>SUM(M13501:M13511)/2</f>
        <v>0</v>
      </c>
      <c r="N13512" s="710">
        <f>SUM(N13500:N13511)/2</f>
        <v>0</v>
      </c>
      <c r="O13512" s="549"/>
      <c r="P13512" s="549"/>
    </row>
    <row r="13513" spans="1:17" s="1511" customFormat="1" ht="17.399999999999999">
      <c r="A13513" s="549"/>
      <c r="B13513" s="549"/>
      <c r="C13513" s="549"/>
      <c r="D13513" s="549"/>
      <c r="E13513" s="549"/>
      <c r="F13513" s="549"/>
      <c r="G13513" s="549"/>
      <c r="H13513" s="549"/>
      <c r="I13513" s="558"/>
      <c r="J13513" s="567"/>
      <c r="K13513" s="648"/>
      <c r="L13513" s="710"/>
      <c r="M13513" s="549"/>
      <c r="N13513" s="549"/>
      <c r="O13513" s="549"/>
      <c r="P13513" s="549"/>
    </row>
    <row r="13514" spans="1:17" ht="17.399999999999999">
      <c r="A13514" s="549"/>
      <c r="B13514" s="549"/>
      <c r="C13514" s="549"/>
      <c r="D13514" s="549"/>
      <c r="E13514" s="549"/>
      <c r="F13514" s="549"/>
      <c r="G13514" s="549"/>
      <c r="H13514" s="549"/>
      <c r="I13514" s="560"/>
      <c r="J13514" s="549"/>
      <c r="K13514" s="561"/>
      <c r="L13514" s="728"/>
      <c r="M13514" s="549"/>
      <c r="N13514" s="549"/>
      <c r="O13514" s="549"/>
      <c r="P13514" s="549"/>
    </row>
    <row r="13515" spans="1:17" ht="17.399999999999999">
      <c r="A13515" s="547" t="s">
        <v>395</v>
      </c>
      <c r="B13515" s="547" t="s">
        <v>1365</v>
      </c>
      <c r="C13515" s="547" t="s">
        <v>19</v>
      </c>
      <c r="D13515" s="813" t="s">
        <v>155</v>
      </c>
      <c r="E13515" s="547" t="s">
        <v>270</v>
      </c>
      <c r="F13515" s="550">
        <v>10</v>
      </c>
      <c r="G13515" s="549" t="s">
        <v>61</v>
      </c>
      <c r="H13515" s="599" t="s">
        <v>130</v>
      </c>
      <c r="I13515" s="558">
        <v>6.17</v>
      </c>
      <c r="J13515" s="567">
        <v>10.5</v>
      </c>
      <c r="K13515" s="648">
        <v>8</v>
      </c>
      <c r="L13515" s="725">
        <f t="shared" ref="L13515:L13516" si="2735">(I13515*J13515*K13515/1000)</f>
        <v>0.51827999999999996</v>
      </c>
      <c r="M13515" s="549">
        <f>2+4</f>
        <v>6</v>
      </c>
      <c r="N13515" s="567">
        <f>J13515*M13515*I13515/1000</f>
        <v>0.38871</v>
      </c>
      <c r="O13515" s="549"/>
      <c r="P13515" s="549"/>
      <c r="Q13515" s="1737" t="s">
        <v>1697</v>
      </c>
    </row>
    <row r="13516" spans="1:17" ht="17.399999999999999">
      <c r="A13516" s="549"/>
      <c r="B13516" s="1605" t="s">
        <v>277</v>
      </c>
      <c r="C13516" s="549"/>
      <c r="D13516" s="549"/>
      <c r="E13516" s="549"/>
      <c r="F13516" s="549"/>
      <c r="G13516" s="549" t="s">
        <v>61</v>
      </c>
      <c r="H13516" s="549" t="s">
        <v>130</v>
      </c>
      <c r="I13516" s="558">
        <v>6.17</v>
      </c>
      <c r="J13516" s="567">
        <v>11.5</v>
      </c>
      <c r="K13516" s="648">
        <v>62</v>
      </c>
      <c r="L13516" s="725">
        <f t="shared" si="2735"/>
        <v>4.3992100000000001</v>
      </c>
      <c r="M13516" s="549">
        <f>1+4</f>
        <v>5</v>
      </c>
      <c r="N13516" s="567">
        <f>J13516*M13516*I13516/1000</f>
        <v>0.35477499999999995</v>
      </c>
      <c r="O13516" s="549"/>
      <c r="P13516" s="549"/>
    </row>
    <row r="13517" spans="1:17" ht="17.399999999999999">
      <c r="A13517" s="549"/>
      <c r="B13517" s="549"/>
      <c r="C13517" s="549"/>
      <c r="D13517" s="549"/>
      <c r="E13517" s="549"/>
      <c r="F13517" s="549"/>
      <c r="G13517" s="549"/>
      <c r="H13517" s="549"/>
      <c r="I13517" s="558"/>
      <c r="J13517" s="567"/>
      <c r="K13517" s="648">
        <f t="shared" ref="K13517:M13517" si="2736">SUM(K13515:K13516)</f>
        <v>70</v>
      </c>
      <c r="L13517" s="710">
        <f t="shared" si="2736"/>
        <v>4.9174899999999999</v>
      </c>
      <c r="M13517" s="648">
        <f t="shared" si="2736"/>
        <v>11</v>
      </c>
      <c r="N13517" s="710">
        <f>SUM(N13515:N13516)</f>
        <v>0.74348499999999995</v>
      </c>
      <c r="O13517" s="549"/>
      <c r="P13517" s="549" t="s">
        <v>1627</v>
      </c>
    </row>
    <row r="13518" spans="1:17" s="1511" customFormat="1" ht="17.399999999999999">
      <c r="A13518" s="549"/>
      <c r="B13518" s="549"/>
      <c r="C13518" s="549"/>
      <c r="D13518" s="549"/>
      <c r="E13518" s="549"/>
      <c r="F13518" s="549"/>
      <c r="G13518" s="549"/>
      <c r="H13518" s="549"/>
      <c r="I13518" s="558"/>
      <c r="J13518" s="567"/>
      <c r="K13518" s="648"/>
      <c r="L13518" s="710"/>
      <c r="M13518" s="549"/>
      <c r="N13518" s="549"/>
      <c r="O13518" s="549"/>
      <c r="P13518" s="549"/>
    </row>
    <row r="13519" spans="1:17" s="1511" customFormat="1" ht="17.399999999999999">
      <c r="A13519" s="547" t="s">
        <v>83</v>
      </c>
      <c r="B13519" s="547" t="s">
        <v>1455</v>
      </c>
      <c r="C13519" s="547" t="s">
        <v>19</v>
      </c>
      <c r="D13519" s="813" t="s">
        <v>60</v>
      </c>
      <c r="E13519" s="549" t="s">
        <v>62</v>
      </c>
      <c r="F13519" s="550">
        <v>10</v>
      </c>
      <c r="G13519" s="549" t="s">
        <v>61</v>
      </c>
      <c r="H13519" s="828" t="s">
        <v>130</v>
      </c>
      <c r="I13519" s="558">
        <v>6.17</v>
      </c>
      <c r="J13519" s="567">
        <v>7.4</v>
      </c>
      <c r="K13519" s="648">
        <v>26</v>
      </c>
      <c r="L13519" s="552">
        <f>(I13519*J13519*K13519/1000)</f>
        <v>1.1871080000000001</v>
      </c>
      <c r="M13519" s="549"/>
      <c r="N13519" s="549"/>
      <c r="O13519" s="549"/>
      <c r="P13519" s="549"/>
    </row>
    <row r="13520" spans="1:17" s="1511" customFormat="1" ht="17.399999999999999">
      <c r="A13520" s="549"/>
      <c r="B13520" s="1651" t="s">
        <v>1601</v>
      </c>
      <c r="C13520" s="964"/>
      <c r="D13520" s="964"/>
      <c r="E13520" s="549"/>
      <c r="F13520" s="549"/>
      <c r="G13520" s="549"/>
      <c r="H13520" s="549"/>
      <c r="I13520" s="558"/>
      <c r="J13520" s="567"/>
      <c r="K13520" s="648">
        <f t="shared" ref="K13520:N13520" si="2737">SUM(K13519)</f>
        <v>26</v>
      </c>
      <c r="L13520" s="567">
        <f t="shared" si="2737"/>
        <v>1.1871080000000001</v>
      </c>
      <c r="M13520" s="648">
        <f t="shared" si="2737"/>
        <v>0</v>
      </c>
      <c r="N13520" s="567">
        <f t="shared" si="2737"/>
        <v>0</v>
      </c>
      <c r="O13520" s="549"/>
      <c r="P13520" s="549"/>
    </row>
    <row r="13521" spans="1:17" s="1511" customFormat="1" ht="17.399999999999999">
      <c r="A13521" s="549"/>
      <c r="B13521" s="549"/>
      <c r="C13521" s="549"/>
      <c r="D13521" s="549"/>
      <c r="E13521" s="549"/>
      <c r="F13521" s="549"/>
      <c r="G13521" s="549"/>
      <c r="H13521" s="549"/>
      <c r="I13521" s="558"/>
      <c r="J13521" s="567"/>
      <c r="K13521" s="727">
        <f>SUM(K13515:K13520)/2</f>
        <v>96</v>
      </c>
      <c r="L13521" s="710">
        <f>SUM(L13515:L13520)/2</f>
        <v>6.1045980000000002</v>
      </c>
      <c r="M13521" s="727">
        <f>SUM(M13515:M13520)/2</f>
        <v>11</v>
      </c>
      <c r="N13521" s="710">
        <f>SUM(N13515:N13520)/2</f>
        <v>0.74348499999999995</v>
      </c>
      <c r="O13521" s="549"/>
      <c r="P13521" s="549"/>
    </row>
    <row r="13522" spans="1:17" s="1511" customFormat="1" ht="17.399999999999999">
      <c r="A13522" s="549"/>
      <c r="B13522" s="549"/>
      <c r="C13522" s="549"/>
      <c r="D13522" s="549"/>
      <c r="E13522" s="549"/>
      <c r="F13522" s="549"/>
      <c r="G13522" s="549"/>
      <c r="H13522" s="549"/>
      <c r="I13522" s="558"/>
      <c r="J13522" s="567"/>
      <c r="K13522" s="648"/>
      <c r="L13522" s="710"/>
      <c r="M13522" s="549"/>
      <c r="N13522" s="549"/>
      <c r="O13522" s="549"/>
      <c r="P13522" s="549"/>
    </row>
    <row r="13523" spans="1:17" s="1511" customFormat="1" ht="17.399999999999999">
      <c r="A13523" s="549"/>
      <c r="B13523" s="549"/>
      <c r="C13523" s="549"/>
      <c r="D13523" s="549"/>
      <c r="E13523" s="549"/>
      <c r="F13523" s="549"/>
      <c r="G13523" s="549"/>
      <c r="H13523" s="549"/>
      <c r="I13523" s="558"/>
      <c r="J13523" s="567"/>
      <c r="K13523" s="648"/>
      <c r="L13523" s="710"/>
      <c r="M13523" s="549"/>
      <c r="N13523" s="549"/>
      <c r="O13523" s="549"/>
      <c r="P13523" s="549"/>
    </row>
    <row r="13524" spans="1:17" ht="17.399999999999999">
      <c r="A13524" s="549"/>
      <c r="B13524" s="549"/>
      <c r="C13524" s="549"/>
      <c r="D13524" s="549"/>
      <c r="E13524" s="549"/>
      <c r="F13524" s="549"/>
      <c r="G13524" s="549"/>
      <c r="H13524" s="549"/>
      <c r="I13524" s="560"/>
      <c r="J13524" s="549"/>
      <c r="K13524" s="561"/>
      <c r="L13524" s="728"/>
      <c r="M13524" s="549"/>
      <c r="N13524" s="549"/>
      <c r="O13524" s="549"/>
      <c r="P13524" s="549"/>
    </row>
    <row r="13525" spans="1:17" ht="17.399999999999999">
      <c r="A13525" s="547" t="s">
        <v>272</v>
      </c>
      <c r="B13525" s="547" t="s">
        <v>1594</v>
      </c>
      <c r="C13525" s="547" t="s">
        <v>19</v>
      </c>
      <c r="D13525" s="813" t="s">
        <v>60</v>
      </c>
      <c r="E13525" s="547" t="s">
        <v>270</v>
      </c>
      <c r="F13525" s="550">
        <v>8</v>
      </c>
      <c r="G13525" s="549" t="s">
        <v>61</v>
      </c>
      <c r="H13525" s="599" t="s">
        <v>322</v>
      </c>
      <c r="I13525" s="560">
        <v>9.65</v>
      </c>
      <c r="J13525" s="710">
        <v>11</v>
      </c>
      <c r="K13525" s="648">
        <v>60</v>
      </c>
      <c r="L13525" s="725">
        <f>(I13525*J13525*K13525/1000)</f>
        <v>6.3689999999999998</v>
      </c>
      <c r="M13525" s="549"/>
      <c r="N13525" s="549"/>
      <c r="O13525" s="549"/>
      <c r="P13525" s="549"/>
      <c r="Q13525" s="1737" t="s">
        <v>1697</v>
      </c>
    </row>
    <row r="13526" spans="1:17" ht="17.399999999999999">
      <c r="A13526" s="549"/>
      <c r="B13526" s="549" t="s">
        <v>271</v>
      </c>
      <c r="C13526" s="549"/>
      <c r="D13526" s="549"/>
      <c r="E13526" s="549"/>
      <c r="F13526" s="549"/>
      <c r="G13526" s="549" t="s">
        <v>61</v>
      </c>
      <c r="H13526" s="549" t="s">
        <v>322</v>
      </c>
      <c r="I13526" s="560">
        <v>9.65</v>
      </c>
      <c r="J13526" s="710">
        <v>12.5</v>
      </c>
      <c r="K13526" s="648">
        <v>68</v>
      </c>
      <c r="L13526" s="725">
        <f>(I13526*J13526*K13526/1000)</f>
        <v>8.2025000000000006</v>
      </c>
      <c r="M13526" s="549"/>
      <c r="N13526" s="549"/>
      <c r="O13526" s="549"/>
      <c r="P13526" s="549"/>
    </row>
    <row r="13527" spans="1:17" ht="17.399999999999999">
      <c r="A13527" s="549"/>
      <c r="B13527" s="549"/>
      <c r="C13527" s="549"/>
      <c r="D13527" s="549"/>
      <c r="E13527" s="549"/>
      <c r="F13527" s="549"/>
      <c r="G13527" s="549" t="s">
        <v>61</v>
      </c>
      <c r="H13527" s="549" t="s">
        <v>322</v>
      </c>
      <c r="I13527" s="560">
        <v>9.65</v>
      </c>
      <c r="J13527" s="710">
        <v>13</v>
      </c>
      <c r="K13527" s="648">
        <v>52</v>
      </c>
      <c r="L13527" s="725">
        <f>(I13527*J13527*K13527/1000)</f>
        <v>6.5234000000000005</v>
      </c>
      <c r="M13527" s="549"/>
      <c r="N13527" s="549"/>
      <c r="O13527" s="549"/>
      <c r="P13527" s="549"/>
    </row>
    <row r="13528" spans="1:17" ht="17.399999999999999">
      <c r="A13528" s="549"/>
      <c r="B13528" s="549"/>
      <c r="C13528" s="549"/>
      <c r="D13528" s="549"/>
      <c r="E13528" s="549"/>
      <c r="F13528" s="549"/>
      <c r="G13528" s="549"/>
      <c r="H13528" s="549"/>
      <c r="I13528" s="560"/>
      <c r="J13528" s="710"/>
      <c r="K13528" s="648">
        <f>SUM(K13525:K13527)</f>
        <v>180</v>
      </c>
      <c r="L13528" s="763">
        <f>SUM(L13525:L13527)</f>
        <v>21.094900000000003</v>
      </c>
      <c r="M13528" s="549"/>
      <c r="N13528" s="549"/>
      <c r="O13528" s="549"/>
      <c r="P13528" s="549" t="s">
        <v>1623</v>
      </c>
    </row>
    <row r="13529" spans="1:17" s="1511" customFormat="1" ht="17.399999999999999">
      <c r="A13529" s="549"/>
      <c r="B13529" s="549"/>
      <c r="C13529" s="549"/>
      <c r="D13529" s="549"/>
      <c r="E13529" s="549"/>
      <c r="F13529" s="549"/>
      <c r="G13529" s="549"/>
      <c r="H13529" s="549"/>
      <c r="I13529" s="560"/>
      <c r="J13529" s="710"/>
      <c r="K13529" s="648"/>
      <c r="L13529" s="763"/>
      <c r="M13529" s="549"/>
      <c r="N13529" s="549"/>
      <c r="O13529" s="549"/>
      <c r="P13529" s="549"/>
    </row>
    <row r="13530" spans="1:17" s="1511" customFormat="1" ht="17.399999999999999">
      <c r="A13530" s="549"/>
      <c r="B13530" s="549"/>
      <c r="C13530" s="549"/>
      <c r="D13530" s="549"/>
      <c r="E13530" s="549"/>
      <c r="F13530" s="549"/>
      <c r="G13530" s="549"/>
      <c r="H13530" s="549"/>
      <c r="I13530" s="560"/>
      <c r="J13530" s="710"/>
      <c r="K13530" s="648"/>
      <c r="L13530" s="763"/>
      <c r="M13530" s="549"/>
      <c r="N13530" s="549"/>
      <c r="O13530" s="549"/>
      <c r="P13530" s="549"/>
    </row>
    <row r="13531" spans="1:17" s="1511" customFormat="1" ht="17.399999999999999">
      <c r="A13531" s="549"/>
      <c r="B13531" s="549"/>
      <c r="C13531" s="549"/>
      <c r="D13531" s="549"/>
      <c r="E13531" s="549"/>
      <c r="F13531" s="549"/>
      <c r="G13531" s="549"/>
      <c r="H13531" s="549"/>
      <c r="I13531" s="560"/>
      <c r="J13531" s="710"/>
      <c r="K13531" s="648"/>
      <c r="L13531" s="763"/>
      <c r="M13531" s="549"/>
      <c r="N13531" s="549"/>
      <c r="O13531" s="549"/>
      <c r="P13531" s="549"/>
    </row>
    <row r="13532" spans="1:17" ht="17.399999999999999">
      <c r="A13532" s="547" t="s">
        <v>83</v>
      </c>
      <c r="B13532" s="547" t="s">
        <v>1559</v>
      </c>
      <c r="C13532" s="547" t="s">
        <v>19</v>
      </c>
      <c r="D13532" s="813" t="s">
        <v>155</v>
      </c>
      <c r="E13532" s="650" t="s">
        <v>471</v>
      </c>
      <c r="F13532" s="550">
        <v>10</v>
      </c>
      <c r="G13532" s="549" t="s">
        <v>61</v>
      </c>
      <c r="H13532" s="599" t="s">
        <v>131</v>
      </c>
      <c r="I13532" s="558">
        <v>7.34</v>
      </c>
      <c r="J13532" s="567">
        <v>7.1</v>
      </c>
      <c r="K13532" s="648">
        <v>8</v>
      </c>
      <c r="L13532" s="725">
        <f>(I13532*J13532*K13532/1000)</f>
        <v>0.416912</v>
      </c>
      <c r="M13532" s="549">
        <v>8</v>
      </c>
      <c r="N13532" s="567">
        <f>J13532*M13532*I13532/1000</f>
        <v>0.416912</v>
      </c>
      <c r="O13532" s="549"/>
      <c r="P13532" s="549"/>
      <c r="Q13532" s="1737" t="s">
        <v>1697</v>
      </c>
    </row>
    <row r="13533" spans="1:17" ht="17.399999999999999">
      <c r="A13533" s="549"/>
      <c r="B13533" s="549" t="s">
        <v>439</v>
      </c>
      <c r="C13533" s="549"/>
      <c r="D13533" s="549"/>
      <c r="E13533" s="549"/>
      <c r="F13533" s="549"/>
      <c r="G13533" s="549"/>
      <c r="H13533" s="549"/>
      <c r="I13533" s="558"/>
      <c r="J13533" s="567"/>
      <c r="K13533" s="648">
        <f t="shared" ref="K13533:N13533" si="2738">SUM(K13532)</f>
        <v>8</v>
      </c>
      <c r="L13533" s="710">
        <f>SUM(L13532)</f>
        <v>0.416912</v>
      </c>
      <c r="M13533" s="648">
        <f t="shared" si="2738"/>
        <v>8</v>
      </c>
      <c r="N13533" s="710">
        <f t="shared" si="2738"/>
        <v>0.416912</v>
      </c>
      <c r="O13533" s="549"/>
      <c r="P13533" s="549"/>
    </row>
    <row r="13534" spans="1:17" ht="17.399999999999999">
      <c r="A13534" s="549"/>
      <c r="B13534" s="549"/>
      <c r="C13534" s="549"/>
      <c r="D13534" s="549"/>
      <c r="E13534" s="549"/>
      <c r="F13534" s="549"/>
      <c r="G13534" s="549"/>
      <c r="H13534" s="549"/>
      <c r="I13534" s="560"/>
      <c r="J13534" s="549"/>
      <c r="K13534" s="561"/>
      <c r="L13534" s="728"/>
      <c r="M13534" s="549"/>
      <c r="N13534" s="549"/>
      <c r="O13534" s="549"/>
      <c r="P13534" s="549"/>
    </row>
    <row r="13535" spans="1:17" ht="17.399999999999999">
      <c r="A13535" s="547" t="s">
        <v>458</v>
      </c>
      <c r="B13535" s="547" t="s">
        <v>1598</v>
      </c>
      <c r="C13535" s="547" t="s">
        <v>19</v>
      </c>
      <c r="D13535" s="813" t="s">
        <v>155</v>
      </c>
      <c r="E13535" s="650" t="s">
        <v>471</v>
      </c>
      <c r="F13535" s="550">
        <v>10</v>
      </c>
      <c r="G13535" s="549" t="s">
        <v>61</v>
      </c>
      <c r="H13535" s="599" t="s">
        <v>131</v>
      </c>
      <c r="I13535" s="558">
        <v>7.34</v>
      </c>
      <c r="J13535" s="567">
        <v>10.5</v>
      </c>
      <c r="K13535" s="648">
        <v>2</v>
      </c>
      <c r="L13535" s="725">
        <f>(I13535*J13535*K13535/1000)</f>
        <v>0.15414</v>
      </c>
      <c r="M13535" s="549">
        <v>2</v>
      </c>
      <c r="N13535" s="567">
        <f>J13535*M13535*I13535/1000</f>
        <v>0.15414</v>
      </c>
      <c r="O13535" s="549"/>
      <c r="P13535" s="549"/>
      <c r="Q13535" s="1737" t="s">
        <v>1697</v>
      </c>
    </row>
    <row r="13536" spans="1:17" ht="17.399999999999999">
      <c r="A13536" s="549"/>
      <c r="B13536" s="549" t="s">
        <v>439</v>
      </c>
      <c r="C13536" s="549"/>
      <c r="D13536" s="549"/>
      <c r="E13536" s="549"/>
      <c r="F13536" s="549"/>
      <c r="G13536" s="549"/>
      <c r="H13536" s="549"/>
      <c r="I13536" s="558"/>
      <c r="J13536" s="567"/>
      <c r="K13536" s="648">
        <f t="shared" ref="K13536:N13536" si="2739">SUM(K13535)</f>
        <v>2</v>
      </c>
      <c r="L13536" s="710">
        <f>SUM(L13535)</f>
        <v>0.15414</v>
      </c>
      <c r="M13536" s="648">
        <f t="shared" si="2739"/>
        <v>2</v>
      </c>
      <c r="N13536" s="710">
        <f t="shared" si="2739"/>
        <v>0.15414</v>
      </c>
      <c r="O13536" s="549"/>
      <c r="P13536" s="549"/>
    </row>
    <row r="13537" spans="1:17" ht="17.399999999999999">
      <c r="A13537" s="549"/>
      <c r="B13537" s="549"/>
      <c r="C13537" s="549"/>
      <c r="D13537" s="549"/>
      <c r="E13537" s="549"/>
      <c r="F13537" s="549"/>
      <c r="G13537" s="549"/>
      <c r="H13537" s="549"/>
      <c r="I13537" s="560"/>
      <c r="J13537" s="549"/>
      <c r="K13537" s="561"/>
      <c r="L13537" s="728"/>
      <c r="M13537" s="549"/>
      <c r="N13537" s="549"/>
      <c r="O13537" s="549"/>
      <c r="P13537" s="549"/>
    </row>
    <row r="13538" spans="1:17" ht="17.399999999999999">
      <c r="A13538" s="547" t="s">
        <v>272</v>
      </c>
      <c r="B13538" s="547" t="s">
        <v>1561</v>
      </c>
      <c r="C13538" s="547" t="s">
        <v>19</v>
      </c>
      <c r="D13538" s="813" t="s">
        <v>155</v>
      </c>
      <c r="E13538" s="547" t="s">
        <v>270</v>
      </c>
      <c r="F13538" s="550">
        <v>8</v>
      </c>
      <c r="G13538" s="549" t="s">
        <v>61</v>
      </c>
      <c r="H13538" s="599" t="s">
        <v>131</v>
      </c>
      <c r="I13538" s="558">
        <v>7.36</v>
      </c>
      <c r="J13538" s="567">
        <v>7.1</v>
      </c>
      <c r="K13538" s="648">
        <v>1</v>
      </c>
      <c r="L13538" s="725">
        <f>(I13538*J13538*K13538/1000)</f>
        <v>5.2255999999999997E-2</v>
      </c>
      <c r="M13538" s="549">
        <v>1</v>
      </c>
      <c r="N13538" s="567">
        <f>J13538*M13538*I13538/1000</f>
        <v>5.2255999999999997E-2</v>
      </c>
      <c r="O13538" s="549"/>
      <c r="P13538" s="549"/>
      <c r="Q13538" s="1737" t="s">
        <v>1697</v>
      </c>
    </row>
    <row r="13539" spans="1:17" ht="17.399999999999999">
      <c r="A13539" s="549"/>
      <c r="B13539" s="549" t="s">
        <v>1027</v>
      </c>
      <c r="C13539" s="549"/>
      <c r="D13539" s="549"/>
      <c r="E13539" s="549"/>
      <c r="F13539" s="549"/>
      <c r="G13539" s="549"/>
      <c r="H13539" s="549"/>
      <c r="I13539" s="558"/>
      <c r="J13539" s="567"/>
      <c r="K13539" s="648">
        <f t="shared" ref="K13539:M13539" si="2740">SUM(K13538)</f>
        <v>1</v>
      </c>
      <c r="L13539" s="710">
        <f>SUM(L13538)</f>
        <v>5.2255999999999997E-2</v>
      </c>
      <c r="M13539" s="648">
        <f t="shared" si="2740"/>
        <v>1</v>
      </c>
      <c r="N13539" s="710">
        <f>SUM(N13538)</f>
        <v>5.2255999999999997E-2</v>
      </c>
      <c r="O13539" s="549"/>
      <c r="P13539" s="549"/>
    </row>
    <row r="13540" spans="1:17" s="1511" customFormat="1" ht="17.399999999999999">
      <c r="A13540" s="549"/>
      <c r="B13540" s="549"/>
      <c r="C13540" s="549"/>
      <c r="D13540" s="549"/>
      <c r="E13540" s="549"/>
      <c r="F13540" s="549"/>
      <c r="G13540" s="549"/>
      <c r="H13540" s="549"/>
      <c r="I13540" s="558"/>
      <c r="J13540" s="567"/>
      <c r="K13540" s="648">
        <f>SUM(K13532:K13539)/2</f>
        <v>11</v>
      </c>
      <c r="L13540" s="710">
        <f>SUM(L13532:L13539)/2</f>
        <v>0.62330800000000008</v>
      </c>
      <c r="M13540" s="648">
        <f>SUM(M13532:M13539)/2</f>
        <v>11</v>
      </c>
      <c r="N13540" s="710">
        <f>SUM(N13532:N13539)/2</f>
        <v>0.62330800000000008</v>
      </c>
      <c r="O13540" s="549"/>
      <c r="P13540" s="549"/>
    </row>
    <row r="13541" spans="1:17" s="1736" customFormat="1" ht="17.399999999999999">
      <c r="A13541" s="549"/>
      <c r="B13541" s="549"/>
      <c r="C13541" s="549"/>
      <c r="D13541" s="549"/>
      <c r="E13541" s="549"/>
      <c r="F13541" s="549"/>
      <c r="G13541" s="549"/>
      <c r="H13541" s="549"/>
      <c r="I13541" s="558"/>
      <c r="J13541" s="567"/>
      <c r="K13541" s="648"/>
      <c r="L13541" s="710"/>
      <c r="M13541" s="648"/>
      <c r="N13541" s="710"/>
      <c r="O13541" s="549"/>
      <c r="P13541" s="549"/>
    </row>
    <row r="13542" spans="1:17" s="1736" customFormat="1" ht="17.399999999999999">
      <c r="A13542" s="549"/>
      <c r="B13542" s="549"/>
      <c r="C13542" s="549"/>
      <c r="D13542" s="549"/>
      <c r="E13542" s="549"/>
      <c r="F13542" s="549"/>
      <c r="G13542" s="549"/>
      <c r="H13542" s="549"/>
      <c r="I13542" s="558"/>
      <c r="J13542" s="567"/>
      <c r="K13542" s="648"/>
      <c r="L13542" s="710"/>
      <c r="M13542" s="648"/>
      <c r="N13542" s="710"/>
      <c r="O13542" s="549"/>
      <c r="P13542" s="549"/>
    </row>
    <row r="13543" spans="1:17" s="1737" customFormat="1" ht="17.399999999999999">
      <c r="A13543" s="549"/>
      <c r="B13543" s="549"/>
      <c r="C13543" s="549"/>
      <c r="D13543" s="549"/>
      <c r="E13543" s="549"/>
      <c r="F13543" s="549"/>
      <c r="G13543" s="549"/>
      <c r="H13543" s="549"/>
      <c r="I13543" s="558"/>
      <c r="J13543" s="567"/>
      <c r="K13543" s="648"/>
      <c r="L13543" s="710"/>
      <c r="M13543" s="648"/>
      <c r="N13543" s="710"/>
      <c r="O13543" s="549"/>
      <c r="P13543" s="549"/>
    </row>
    <row r="13544" spans="1:17" s="1511" customFormat="1" ht="17.399999999999999">
      <c r="A13544" s="549"/>
      <c r="B13544" s="549"/>
      <c r="C13544" s="549"/>
      <c r="D13544" s="549"/>
      <c r="E13544" s="549"/>
      <c r="F13544" s="549"/>
      <c r="G13544" s="549"/>
      <c r="H13544" s="549"/>
      <c r="I13544" s="558"/>
      <c r="J13544" s="567"/>
      <c r="K13544" s="648"/>
      <c r="L13544" s="710"/>
      <c r="M13544" s="549"/>
      <c r="N13544" s="549"/>
      <c r="O13544" s="549"/>
      <c r="P13544" s="549"/>
    </row>
    <row r="13545" spans="1:17" s="1734" customFormat="1" ht="17.399999999999999">
      <c r="A13545" s="547" t="s">
        <v>272</v>
      </c>
      <c r="B13545" s="547" t="s">
        <v>1616</v>
      </c>
      <c r="C13545" s="547" t="s">
        <v>19</v>
      </c>
      <c r="D13545" s="813" t="s">
        <v>60</v>
      </c>
      <c r="E13545" s="547" t="s">
        <v>270</v>
      </c>
      <c r="F13545" s="550">
        <v>8</v>
      </c>
      <c r="G13545" s="549" t="s">
        <v>61</v>
      </c>
      <c r="H13545" s="599" t="s">
        <v>322</v>
      </c>
      <c r="I13545" s="558">
        <v>9.65</v>
      </c>
      <c r="J13545" s="756">
        <v>12</v>
      </c>
      <c r="K13545" s="757">
        <v>74</v>
      </c>
      <c r="L13545" s="725">
        <f>(I13545*J13545*K13545/1000)</f>
        <v>8.5692000000000004</v>
      </c>
      <c r="M13545" s="549"/>
      <c r="N13545" s="567"/>
      <c r="O13545" s="549"/>
      <c r="P13545" s="549"/>
      <c r="Q13545" s="1737" t="s">
        <v>1697</v>
      </c>
    </row>
    <row r="13546" spans="1:17" s="1734" customFormat="1" ht="17.399999999999999">
      <c r="A13546" s="549"/>
      <c r="B13546" s="549" t="s">
        <v>271</v>
      </c>
      <c r="C13546" s="549"/>
      <c r="D13546" s="549"/>
      <c r="E13546" s="549"/>
      <c r="F13546" s="549"/>
      <c r="G13546" s="549" t="s">
        <v>61</v>
      </c>
      <c r="H13546" s="549" t="s">
        <v>322</v>
      </c>
      <c r="I13546" s="558">
        <v>9.65</v>
      </c>
      <c r="J13546" s="756">
        <v>12.25</v>
      </c>
      <c r="K13546" s="757">
        <v>57</v>
      </c>
      <c r="L13546" s="725">
        <f>(I13546*J13546*K13546/1000)</f>
        <v>6.7381125000000006</v>
      </c>
      <c r="M13546" s="549"/>
      <c r="N13546" s="567"/>
      <c r="O13546" s="549"/>
      <c r="P13546" s="549"/>
    </row>
    <row r="13547" spans="1:17" s="1734" customFormat="1" ht="17.399999999999999">
      <c r="A13547" s="549"/>
      <c r="B13547" s="549"/>
      <c r="C13547" s="549"/>
      <c r="D13547" s="549"/>
      <c r="E13547" s="549"/>
      <c r="F13547" s="549"/>
      <c r="G13547" s="549"/>
      <c r="H13547" s="549"/>
      <c r="I13547" s="560"/>
      <c r="J13547" s="710"/>
      <c r="K13547" s="648">
        <f>SUM(K13545:K13546)</f>
        <v>131</v>
      </c>
      <c r="L13547" s="763">
        <f>SUM(L13545:L13546)</f>
        <v>15.307312500000002</v>
      </c>
      <c r="M13547" s="648">
        <f>SUM(M13545:M13546)</f>
        <v>0</v>
      </c>
      <c r="N13547" s="763">
        <f>SUM(N13545:N13546)</f>
        <v>0</v>
      </c>
      <c r="O13547" s="549"/>
      <c r="P13547" s="549" t="s">
        <v>1623</v>
      </c>
    </row>
    <row r="13548" spans="1:17" s="1736" customFormat="1" ht="17.399999999999999">
      <c r="A13548" s="549"/>
      <c r="B13548" s="549"/>
      <c r="C13548" s="549"/>
      <c r="D13548" s="549"/>
      <c r="E13548" s="549"/>
      <c r="F13548" s="549"/>
      <c r="G13548" s="549"/>
      <c r="H13548" s="549"/>
      <c r="I13548" s="560"/>
      <c r="J13548" s="710"/>
      <c r="K13548" s="648"/>
      <c r="L13548" s="763"/>
      <c r="M13548" s="648"/>
      <c r="N13548" s="763"/>
      <c r="O13548" s="549"/>
      <c r="P13548" s="549"/>
    </row>
    <row r="13549" spans="1:17" s="1734" customFormat="1" ht="17.399999999999999">
      <c r="A13549" s="549"/>
      <c r="B13549" s="549"/>
      <c r="C13549" s="549"/>
      <c r="D13549" s="549"/>
      <c r="E13549" s="549"/>
      <c r="F13549" s="549"/>
      <c r="G13549" s="549"/>
      <c r="H13549" s="549"/>
      <c r="I13549" s="558"/>
      <c r="J13549" s="567"/>
      <c r="K13549" s="648"/>
      <c r="L13549" s="710"/>
      <c r="M13549" s="549"/>
      <c r="N13549" s="549"/>
      <c r="O13549" s="549"/>
      <c r="P13549" s="549"/>
    </row>
    <row r="13550" spans="1:17" s="1734" customFormat="1" ht="17.399999999999999">
      <c r="A13550" s="549"/>
      <c r="B13550" s="549"/>
      <c r="C13550" s="549"/>
      <c r="D13550" s="549"/>
      <c r="E13550" s="549"/>
      <c r="F13550" s="549"/>
      <c r="G13550" s="549"/>
      <c r="H13550" s="549"/>
      <c r="I13550" s="558"/>
      <c r="J13550" s="567"/>
      <c r="K13550" s="648"/>
      <c r="L13550" s="710"/>
      <c r="M13550" s="549"/>
      <c r="N13550" s="549"/>
      <c r="O13550" s="549"/>
      <c r="P13550" s="549"/>
    </row>
    <row r="13551" spans="1:17" s="1511" customFormat="1" ht="17.399999999999999">
      <c r="A13551" s="547" t="s">
        <v>272</v>
      </c>
      <c r="B13551" s="547" t="s">
        <v>1615</v>
      </c>
      <c r="C13551" s="547" t="s">
        <v>446</v>
      </c>
      <c r="D13551" s="813" t="s">
        <v>447</v>
      </c>
      <c r="E13551" s="547" t="s">
        <v>359</v>
      </c>
      <c r="F13551" s="550">
        <v>10</v>
      </c>
      <c r="G13551" s="549" t="s">
        <v>21</v>
      </c>
      <c r="H13551" s="599" t="s">
        <v>131</v>
      </c>
      <c r="I13551" s="558">
        <v>7.36</v>
      </c>
      <c r="J13551" s="756">
        <v>10</v>
      </c>
      <c r="K13551" s="757">
        <v>30</v>
      </c>
      <c r="L13551" s="725">
        <f t="shared" ref="L13551:L13554" si="2741">(I13551*J13551*K13551/1000)</f>
        <v>2.2080000000000006</v>
      </c>
      <c r="M13551" s="567"/>
      <c r="N13551" s="549"/>
      <c r="O13551" s="549"/>
      <c r="P13551" s="549"/>
      <c r="Q13551" s="1737" t="s">
        <v>1697</v>
      </c>
    </row>
    <row r="13552" spans="1:17" s="1511" customFormat="1" ht="17.399999999999999">
      <c r="A13552" s="549"/>
      <c r="B13552" s="549"/>
      <c r="C13552" s="549"/>
      <c r="D13552" s="549"/>
      <c r="E13552" s="549"/>
      <c r="F13552" s="549"/>
      <c r="G13552" s="549" t="s">
        <v>21</v>
      </c>
      <c r="H13552" s="549" t="s">
        <v>131</v>
      </c>
      <c r="I13552" s="558">
        <v>7.36</v>
      </c>
      <c r="J13552" s="756">
        <v>11.1</v>
      </c>
      <c r="K13552" s="757">
        <v>4</v>
      </c>
      <c r="L13552" s="725">
        <f t="shared" si="2741"/>
        <v>0.32678400000000002</v>
      </c>
      <c r="M13552" s="567"/>
      <c r="N13552" s="549"/>
      <c r="O13552" s="549"/>
      <c r="P13552" s="549"/>
    </row>
    <row r="13553" spans="1:17" s="1511" customFormat="1" ht="17.399999999999999">
      <c r="A13553" s="549"/>
      <c r="B13553" s="549"/>
      <c r="C13553" s="549"/>
      <c r="D13553" s="549"/>
      <c r="E13553" s="549"/>
      <c r="F13553" s="549"/>
      <c r="G13553" s="549" t="s">
        <v>21</v>
      </c>
      <c r="H13553" s="549" t="s">
        <v>131</v>
      </c>
      <c r="I13553" s="558">
        <v>7.36</v>
      </c>
      <c r="J13553" s="756">
        <v>11.9</v>
      </c>
      <c r="K13553" s="757">
        <v>15</v>
      </c>
      <c r="L13553" s="725">
        <f t="shared" si="2741"/>
        <v>1.31376</v>
      </c>
      <c r="M13553" s="567"/>
      <c r="N13553" s="549"/>
      <c r="O13553" s="549"/>
      <c r="P13553" s="549"/>
    </row>
    <row r="13554" spans="1:17" s="1511" customFormat="1" ht="17.399999999999999">
      <c r="A13554" s="549"/>
      <c r="B13554" s="549"/>
      <c r="C13554" s="549"/>
      <c r="D13554" s="549"/>
      <c r="E13554" s="549"/>
      <c r="F13554" s="549"/>
      <c r="G13554" s="549" t="s">
        <v>21</v>
      </c>
      <c r="H13554" s="549" t="s">
        <v>131</v>
      </c>
      <c r="I13554" s="558">
        <v>7.36</v>
      </c>
      <c r="J13554" s="756">
        <v>12</v>
      </c>
      <c r="K13554" s="757">
        <v>25</v>
      </c>
      <c r="L13554" s="725">
        <f t="shared" si="2741"/>
        <v>2.2080000000000002</v>
      </c>
      <c r="M13554" s="567"/>
      <c r="N13554" s="549"/>
      <c r="O13554" s="549"/>
      <c r="P13554" s="549"/>
    </row>
    <row r="13555" spans="1:17" s="1511" customFormat="1" ht="17.399999999999999">
      <c r="A13555" s="549"/>
      <c r="B13555" s="549"/>
      <c r="C13555" s="549"/>
      <c r="D13555" s="549"/>
      <c r="E13555" s="549"/>
      <c r="F13555" s="549"/>
      <c r="G13555" s="549"/>
      <c r="H13555" s="869"/>
      <c r="I13555" s="1881"/>
      <c r="J13555" s="756"/>
      <c r="K13555" s="897">
        <f>SUM(K13551:K13554)</f>
        <v>74</v>
      </c>
      <c r="L13555" s="756">
        <f>SUM(L13551:L13554)</f>
        <v>6.0565440000000006</v>
      </c>
      <c r="M13555" s="549"/>
      <c r="N13555" s="549"/>
      <c r="O13555" s="549"/>
      <c r="P13555" s="549"/>
    </row>
    <row r="13556" spans="1:17" s="1734" customFormat="1" ht="17.399999999999999">
      <c r="A13556" s="549"/>
      <c r="B13556" s="549"/>
      <c r="C13556" s="549"/>
      <c r="D13556" s="549"/>
      <c r="E13556" s="549"/>
      <c r="F13556" s="549"/>
      <c r="G13556" s="549"/>
      <c r="H13556" s="869"/>
      <c r="I13556" s="1881"/>
      <c r="J13556" s="756"/>
      <c r="K13556" s="757"/>
      <c r="L13556" s="757"/>
      <c r="M13556" s="549"/>
      <c r="N13556" s="549"/>
      <c r="O13556" s="549"/>
      <c r="P13556" s="549"/>
    </row>
    <row r="13557" spans="1:17" s="1734" customFormat="1" ht="17.399999999999999">
      <c r="A13557" s="547" t="s">
        <v>272</v>
      </c>
      <c r="B13557" s="547" t="s">
        <v>1616</v>
      </c>
      <c r="C13557" s="547" t="s">
        <v>446</v>
      </c>
      <c r="D13557" s="813" t="s">
        <v>447</v>
      </c>
      <c r="E13557" s="547" t="s">
        <v>359</v>
      </c>
      <c r="F13557" s="550">
        <v>10</v>
      </c>
      <c r="G13557" s="549" t="s">
        <v>21</v>
      </c>
      <c r="H13557" s="599" t="s">
        <v>131</v>
      </c>
      <c r="I13557" s="558">
        <v>7.36</v>
      </c>
      <c r="J13557" s="756">
        <v>7.5</v>
      </c>
      <c r="K13557" s="757">
        <v>64</v>
      </c>
      <c r="L13557" s="725">
        <f>(I13557*J13557*K13557/1000)</f>
        <v>3.5328000000000004</v>
      </c>
      <c r="M13557" s="549"/>
      <c r="N13557" s="567"/>
      <c r="O13557" s="549"/>
      <c r="P13557" s="549"/>
      <c r="Q13557" s="1737" t="s">
        <v>1697</v>
      </c>
    </row>
    <row r="13558" spans="1:17" s="1735" customFormat="1" ht="17.399999999999999">
      <c r="A13558" s="549"/>
      <c r="B13558" s="549"/>
      <c r="C13558" s="549"/>
      <c r="D13558" s="549"/>
      <c r="E13558" s="549"/>
      <c r="F13558" s="549"/>
      <c r="G13558" s="549" t="s">
        <v>21</v>
      </c>
      <c r="H13558" s="549" t="s">
        <v>131</v>
      </c>
      <c r="I13558" s="558">
        <v>7.36</v>
      </c>
      <c r="J13558" s="756">
        <v>9.25</v>
      </c>
      <c r="K13558" s="757">
        <v>188</v>
      </c>
      <c r="L13558" s="725">
        <f>(I13558*J13558*K13558/1000)</f>
        <v>12.79904</v>
      </c>
      <c r="M13558" s="549"/>
      <c r="N13558" s="567"/>
      <c r="O13558" s="549"/>
      <c r="P13558" s="549"/>
    </row>
    <row r="13559" spans="1:17" s="1735" customFormat="1" ht="17.399999999999999">
      <c r="A13559" s="549"/>
      <c r="B13559" s="549"/>
      <c r="C13559" s="549"/>
      <c r="D13559" s="549"/>
      <c r="E13559" s="549"/>
      <c r="F13559" s="549"/>
      <c r="G13559" s="549" t="s">
        <v>21</v>
      </c>
      <c r="H13559" s="549" t="s">
        <v>131</v>
      </c>
      <c r="I13559" s="558">
        <v>7.36</v>
      </c>
      <c r="J13559" s="756">
        <v>10.3</v>
      </c>
      <c r="K13559" s="757">
        <v>376</v>
      </c>
      <c r="L13559" s="725">
        <f>(I13559*J13559*K13559/1000)</f>
        <v>28.503807999999999</v>
      </c>
      <c r="M13559" s="549"/>
      <c r="N13559" s="567"/>
      <c r="O13559" s="549"/>
      <c r="P13559" s="549"/>
    </row>
    <row r="13560" spans="1:17" s="1735" customFormat="1" ht="17.399999999999999">
      <c r="A13560" s="549"/>
      <c r="B13560" s="549"/>
      <c r="C13560" s="549"/>
      <c r="D13560" s="549"/>
      <c r="E13560" s="549"/>
      <c r="F13560" s="549"/>
      <c r="G13560" s="549" t="s">
        <v>21</v>
      </c>
      <c r="H13560" s="549" t="s">
        <v>131</v>
      </c>
      <c r="I13560" s="558">
        <v>7.36</v>
      </c>
      <c r="J13560" s="756">
        <v>12</v>
      </c>
      <c r="K13560" s="757">
        <v>64</v>
      </c>
      <c r="L13560" s="725">
        <f>(I13560*J13560*K13560/1000)</f>
        <v>5.6524800000000006</v>
      </c>
      <c r="M13560" s="549"/>
      <c r="N13560" s="567"/>
      <c r="O13560" s="549"/>
      <c r="P13560" s="549"/>
    </row>
    <row r="13561" spans="1:17" s="1735" customFormat="1" ht="17.399999999999999">
      <c r="A13561" s="549"/>
      <c r="B13561" s="549"/>
      <c r="C13561" s="549"/>
      <c r="D13561" s="549"/>
      <c r="E13561" s="549"/>
      <c r="F13561" s="549"/>
      <c r="G13561" s="549"/>
      <c r="H13561" s="869"/>
      <c r="I13561" s="1881"/>
      <c r="J13561" s="756"/>
      <c r="K13561" s="897">
        <f>SUM(K13557:K13560)</f>
        <v>692</v>
      </c>
      <c r="L13561" s="756">
        <f>SUM(L13557:L13560)</f>
        <v>50.488128000000003</v>
      </c>
      <c r="M13561" s="550"/>
      <c r="N13561" s="549"/>
      <c r="O13561" s="549"/>
      <c r="P13561" s="549"/>
    </row>
    <row r="13562" spans="1:17" s="1736" customFormat="1" ht="17.399999999999999">
      <c r="A13562" s="549"/>
      <c r="B13562" s="549"/>
      <c r="C13562" s="549"/>
      <c r="D13562" s="549"/>
      <c r="E13562" s="549"/>
      <c r="F13562" s="549"/>
      <c r="G13562" s="549"/>
      <c r="H13562" s="869"/>
      <c r="I13562" s="1881"/>
      <c r="J13562" s="756"/>
      <c r="K13562" s="897">
        <f>SUM(K13551:K13561)/2</f>
        <v>766</v>
      </c>
      <c r="L13562" s="756">
        <f>SUM(L13551:L13561)/2</f>
        <v>56.544671999999998</v>
      </c>
      <c r="M13562" s="549"/>
      <c r="N13562" s="549"/>
      <c r="O13562" s="549"/>
      <c r="P13562" s="549" t="s">
        <v>1624</v>
      </c>
    </row>
    <row r="13563" spans="1:17" s="1735" customFormat="1" ht="17.399999999999999">
      <c r="A13563" s="549"/>
      <c r="B13563" s="549"/>
      <c r="C13563" s="549"/>
      <c r="D13563" s="549"/>
      <c r="E13563" s="549"/>
      <c r="F13563" s="549"/>
      <c r="G13563" s="549"/>
      <c r="H13563" s="549"/>
      <c r="I13563" s="558"/>
      <c r="J13563" s="567"/>
      <c r="K13563" s="648"/>
      <c r="L13563" s="710"/>
      <c r="M13563" s="549"/>
      <c r="N13563" s="549"/>
      <c r="O13563" s="549"/>
      <c r="P13563" s="549"/>
    </row>
    <row r="13564" spans="1:17" s="1511" customFormat="1" ht="17.399999999999999">
      <c r="A13564" s="549"/>
      <c r="B13564" s="549"/>
      <c r="C13564" s="549"/>
      <c r="D13564" s="549"/>
      <c r="E13564" s="549"/>
      <c r="F13564" s="549"/>
      <c r="G13564" s="549"/>
      <c r="H13564" s="549"/>
      <c r="I13564" s="558"/>
      <c r="J13564" s="567"/>
      <c r="K13564" s="648"/>
      <c r="L13564" s="710"/>
      <c r="M13564" s="549"/>
      <c r="N13564" s="549"/>
      <c r="O13564" s="549"/>
      <c r="P13564" s="549"/>
    </row>
    <row r="13565" spans="1:17" s="1511" customFormat="1" ht="17.399999999999999">
      <c r="A13565" s="547" t="s">
        <v>272</v>
      </c>
      <c r="B13565" s="547" t="s">
        <v>1615</v>
      </c>
      <c r="C13565" s="547" t="s">
        <v>446</v>
      </c>
      <c r="D13565" s="813" t="s">
        <v>447</v>
      </c>
      <c r="E13565" s="547" t="s">
        <v>359</v>
      </c>
      <c r="F13565" s="550">
        <v>10</v>
      </c>
      <c r="G13565" s="549" t="s">
        <v>21</v>
      </c>
      <c r="H13565" s="599" t="s">
        <v>130</v>
      </c>
      <c r="I13565" s="558">
        <v>6.17</v>
      </c>
      <c r="J13565" s="756">
        <v>10</v>
      </c>
      <c r="K13565" s="757">
        <v>10</v>
      </c>
      <c r="L13565" s="725">
        <f>(I13565*J13565*K13565/1000)</f>
        <v>0.61699999999999999</v>
      </c>
      <c r="M13565" s="567"/>
      <c r="N13565" s="549"/>
      <c r="O13565" s="549"/>
      <c r="P13565" s="549"/>
      <c r="Q13565" s="1737" t="s">
        <v>1697</v>
      </c>
    </row>
    <row r="13566" spans="1:17" s="1511" customFormat="1" ht="17.399999999999999">
      <c r="A13566" s="549"/>
      <c r="B13566" s="549"/>
      <c r="C13566" s="549"/>
      <c r="D13566" s="549"/>
      <c r="E13566" s="549"/>
      <c r="F13566" s="549"/>
      <c r="G13566" s="549" t="s">
        <v>21</v>
      </c>
      <c r="H13566" s="549" t="s">
        <v>130</v>
      </c>
      <c r="I13566" s="558">
        <v>6.17</v>
      </c>
      <c r="J13566" s="756">
        <v>10.5</v>
      </c>
      <c r="K13566" s="757">
        <v>39</v>
      </c>
      <c r="L13566" s="725">
        <f>(I13566*J13566*K13566/1000)</f>
        <v>2.5266149999999996</v>
      </c>
      <c r="M13566" s="567"/>
      <c r="N13566" s="549"/>
      <c r="O13566" s="549"/>
      <c r="P13566" s="549"/>
    </row>
    <row r="13567" spans="1:17" s="1511" customFormat="1" ht="17.399999999999999">
      <c r="A13567" s="549"/>
      <c r="B13567" s="549"/>
      <c r="C13567" s="549"/>
      <c r="D13567" s="549"/>
      <c r="E13567" s="549"/>
      <c r="F13567" s="549"/>
      <c r="G13567" s="549" t="s">
        <v>21</v>
      </c>
      <c r="H13567" s="549" t="s">
        <v>130</v>
      </c>
      <c r="I13567" s="558">
        <v>6.17</v>
      </c>
      <c r="J13567" s="756">
        <v>11</v>
      </c>
      <c r="K13567" s="757">
        <v>12</v>
      </c>
      <c r="L13567" s="725">
        <f>(I13567*J13567*K13567/1000)</f>
        <v>0.81444000000000005</v>
      </c>
      <c r="M13567" s="567"/>
      <c r="N13567" s="549"/>
      <c r="O13567" s="549"/>
      <c r="P13567" s="549"/>
    </row>
    <row r="13568" spans="1:17" s="1511" customFormat="1" ht="17.399999999999999">
      <c r="A13568" s="549"/>
      <c r="B13568" s="549"/>
      <c r="C13568" s="549"/>
      <c r="D13568" s="549"/>
      <c r="E13568" s="549"/>
      <c r="F13568" s="549"/>
      <c r="G13568" s="549" t="s">
        <v>21</v>
      </c>
      <c r="H13568" s="549" t="s">
        <v>130</v>
      </c>
      <c r="I13568" s="558">
        <v>6.17</v>
      </c>
      <c r="J13568" s="756">
        <v>11.5</v>
      </c>
      <c r="K13568" s="757">
        <v>3</v>
      </c>
      <c r="L13568" s="725">
        <f>(I13568*J13568*K13568/1000)</f>
        <v>0.212865</v>
      </c>
      <c r="M13568" s="567"/>
      <c r="N13568" s="549"/>
      <c r="O13568" s="549"/>
      <c r="P13568" s="549"/>
    </row>
    <row r="13569" spans="1:17" s="1511" customFormat="1" ht="17.399999999999999">
      <c r="A13569" s="549"/>
      <c r="B13569" s="549"/>
      <c r="C13569" s="549"/>
      <c r="D13569" s="549"/>
      <c r="E13569" s="549"/>
      <c r="F13569" s="549"/>
      <c r="G13569" s="549"/>
      <c r="H13569" s="869"/>
      <c r="I13569" s="1881"/>
      <c r="J13569" s="756"/>
      <c r="K13569" s="757">
        <f>SUM(K13565:K13568)</f>
        <v>64</v>
      </c>
      <c r="L13569" s="756">
        <f>SUM(L13565:L13568)</f>
        <v>4.1709199999999997</v>
      </c>
      <c r="M13569" s="549"/>
      <c r="N13569" s="549"/>
      <c r="O13569" s="549"/>
      <c r="P13569" s="549"/>
    </row>
    <row r="13570" spans="1:17" s="1736" customFormat="1" ht="17.399999999999999">
      <c r="A13570" s="549"/>
      <c r="B13570" s="549"/>
      <c r="C13570" s="549"/>
      <c r="D13570" s="549"/>
      <c r="E13570" s="549"/>
      <c r="F13570" s="549"/>
      <c r="G13570" s="549"/>
      <c r="H13570" s="869"/>
      <c r="I13570" s="1881"/>
      <c r="J13570" s="756"/>
      <c r="K13570" s="757"/>
      <c r="L13570" s="756"/>
      <c r="M13570" s="549"/>
      <c r="N13570" s="549"/>
      <c r="O13570" s="549"/>
      <c r="P13570" s="549"/>
    </row>
    <row r="13571" spans="1:17" s="1736" customFormat="1" ht="17.399999999999999">
      <c r="A13571" s="547" t="s">
        <v>272</v>
      </c>
      <c r="B13571" s="547" t="s">
        <v>1616</v>
      </c>
      <c r="C13571" s="547" t="s">
        <v>446</v>
      </c>
      <c r="D13571" s="813" t="s">
        <v>447</v>
      </c>
      <c r="E13571" s="547" t="s">
        <v>359</v>
      </c>
      <c r="F13571" s="550">
        <v>10</v>
      </c>
      <c r="G13571" s="549" t="s">
        <v>21</v>
      </c>
      <c r="H13571" s="599" t="s">
        <v>130</v>
      </c>
      <c r="I13571" s="558">
        <v>6.17</v>
      </c>
      <c r="J13571" s="756">
        <v>10</v>
      </c>
      <c r="K13571" s="757">
        <v>33</v>
      </c>
      <c r="L13571" s="725">
        <f>(I13571*J13571*K13571/1000)</f>
        <v>2.0361000000000002</v>
      </c>
      <c r="M13571" s="567"/>
      <c r="N13571" s="567"/>
      <c r="O13571" s="549"/>
      <c r="P13571" s="549"/>
      <c r="Q13571" s="1737" t="s">
        <v>1697</v>
      </c>
    </row>
    <row r="13572" spans="1:17" s="1736" customFormat="1" ht="17.399999999999999">
      <c r="A13572" s="549"/>
      <c r="B13572" s="549"/>
      <c r="C13572" s="549"/>
      <c r="D13572" s="549"/>
      <c r="E13572" s="549"/>
      <c r="F13572" s="549"/>
      <c r="G13572" s="549" t="s">
        <v>21</v>
      </c>
      <c r="H13572" s="549" t="s">
        <v>130</v>
      </c>
      <c r="I13572" s="558">
        <v>6.17</v>
      </c>
      <c r="J13572" s="756">
        <v>10.5</v>
      </c>
      <c r="K13572" s="757">
        <v>16</v>
      </c>
      <c r="L13572" s="725">
        <f>(I13572*J13572*K13572/1000)</f>
        <v>1.0365599999999999</v>
      </c>
      <c r="M13572" s="567"/>
      <c r="N13572" s="567"/>
      <c r="O13572" s="549"/>
      <c r="P13572" s="549"/>
    </row>
    <row r="13573" spans="1:17" s="1736" customFormat="1" ht="17.399999999999999">
      <c r="A13573" s="549"/>
      <c r="B13573" s="549"/>
      <c r="C13573" s="549"/>
      <c r="D13573" s="549"/>
      <c r="E13573" s="549"/>
      <c r="F13573" s="549"/>
      <c r="G13573" s="549" t="s">
        <v>21</v>
      </c>
      <c r="H13573" s="549" t="s">
        <v>130</v>
      </c>
      <c r="I13573" s="558">
        <v>6.17</v>
      </c>
      <c r="J13573" s="756">
        <v>10.75</v>
      </c>
      <c r="K13573" s="757">
        <v>384</v>
      </c>
      <c r="L13573" s="725">
        <f>(I13573*J13573*K13573/1000)</f>
        <v>25.469760000000001</v>
      </c>
      <c r="M13573" s="567"/>
      <c r="N13573" s="567"/>
      <c r="O13573" s="549"/>
      <c r="P13573" s="549"/>
    </row>
    <row r="13574" spans="1:17" s="1736" customFormat="1" ht="17.399999999999999">
      <c r="A13574" s="549"/>
      <c r="B13574" s="549"/>
      <c r="C13574" s="549"/>
      <c r="D13574" s="549"/>
      <c r="E13574" s="549"/>
      <c r="F13574" s="549"/>
      <c r="G13574" s="549" t="s">
        <v>21</v>
      </c>
      <c r="H13574" s="549" t="s">
        <v>130</v>
      </c>
      <c r="I13574" s="558">
        <v>6.17</v>
      </c>
      <c r="J13574" s="756">
        <v>12</v>
      </c>
      <c r="K13574" s="757">
        <v>50</v>
      </c>
      <c r="L13574" s="725">
        <f>(I13574*J13574*K13574/1000)</f>
        <v>3.7019999999999995</v>
      </c>
      <c r="M13574" s="648">
        <v>11</v>
      </c>
      <c r="N13574" s="567">
        <f>J13574*M13574*I13574/1000</f>
        <v>0.81443999999999994</v>
      </c>
      <c r="O13574" s="549"/>
      <c r="P13574" s="549"/>
    </row>
    <row r="13575" spans="1:17" s="1736" customFormat="1" ht="17.399999999999999">
      <c r="A13575" s="549"/>
      <c r="B13575" s="549"/>
      <c r="C13575" s="549"/>
      <c r="D13575" s="549"/>
      <c r="E13575" s="549"/>
      <c r="F13575" s="549"/>
      <c r="G13575" s="549"/>
      <c r="H13575" s="869"/>
      <c r="I13575" s="1881"/>
      <c r="J13575" s="756"/>
      <c r="K13575" s="757">
        <f>SUM(K13571:K13574)</f>
        <v>483</v>
      </c>
      <c r="L13575" s="756">
        <f>SUM(L13571:L13574)</f>
        <v>32.244419999999998</v>
      </c>
      <c r="M13575" s="757">
        <f>SUM(M13571:M13574)</f>
        <v>11</v>
      </c>
      <c r="N13575" s="756">
        <f>SUM(N13571:N13574)</f>
        <v>0.81443999999999994</v>
      </c>
      <c r="O13575" s="549"/>
      <c r="P13575" s="549"/>
    </row>
    <row r="13576" spans="1:17" s="1736" customFormat="1" ht="17.399999999999999">
      <c r="A13576" s="549"/>
      <c r="B13576" s="549"/>
      <c r="C13576" s="549"/>
      <c r="D13576" s="549"/>
      <c r="E13576" s="549"/>
      <c r="F13576" s="549"/>
      <c r="G13576" s="549"/>
      <c r="H13576" s="869"/>
      <c r="I13576" s="1881"/>
      <c r="J13576" s="756"/>
      <c r="K13576" s="897">
        <f>+K13575+K13569</f>
        <v>547</v>
      </c>
      <c r="L13576" s="756">
        <f>+L13575+L13569</f>
        <v>36.41534</v>
      </c>
      <c r="M13576" s="897">
        <f>+M13575+M13569</f>
        <v>11</v>
      </c>
      <c r="N13576" s="756">
        <f>+N13575+N13569</f>
        <v>0.81443999999999994</v>
      </c>
      <c r="O13576" s="549"/>
      <c r="P13576" s="549" t="s">
        <v>1625</v>
      </c>
    </row>
    <row r="13577" spans="1:17" s="1736" customFormat="1" ht="17.399999999999999">
      <c r="A13577" s="549"/>
      <c r="B13577" s="549"/>
      <c r="C13577" s="549"/>
      <c r="D13577" s="549"/>
      <c r="E13577" s="549"/>
      <c r="F13577" s="549"/>
      <c r="G13577" s="549"/>
      <c r="H13577" s="869"/>
      <c r="I13577" s="1881"/>
      <c r="J13577" s="756"/>
      <c r="K13577" s="757"/>
      <c r="L13577" s="756"/>
      <c r="M13577" s="549"/>
      <c r="N13577" s="549"/>
      <c r="O13577" s="549"/>
      <c r="P13577" s="549"/>
    </row>
    <row r="13578" spans="1:17" s="1736" customFormat="1" ht="17.399999999999999">
      <c r="A13578" s="549"/>
      <c r="B13578" s="549"/>
      <c r="C13578" s="549"/>
      <c r="D13578" s="549"/>
      <c r="E13578" s="549"/>
      <c r="F13578" s="549"/>
      <c r="G13578" s="549"/>
      <c r="H13578" s="869"/>
      <c r="I13578" s="1881"/>
      <c r="J13578" s="756"/>
      <c r="K13578" s="757"/>
      <c r="L13578" s="756"/>
      <c r="M13578" s="549"/>
      <c r="N13578" s="549"/>
      <c r="O13578" s="549"/>
      <c r="P13578" s="549"/>
    </row>
    <row r="13579" spans="1:17" s="1734" customFormat="1" ht="17.399999999999999">
      <c r="A13579" s="549"/>
      <c r="B13579" s="549"/>
      <c r="C13579" s="549"/>
      <c r="D13579" s="549"/>
      <c r="E13579" s="549"/>
      <c r="F13579" s="549"/>
      <c r="G13579" s="549"/>
      <c r="H13579" s="869"/>
      <c r="I13579" s="1881"/>
      <c r="J13579" s="756"/>
      <c r="K13579" s="757"/>
      <c r="L13579" s="757"/>
      <c r="M13579" s="549"/>
      <c r="N13579" s="549"/>
      <c r="O13579" s="549"/>
      <c r="P13579" s="549"/>
    </row>
    <row r="13580" spans="1:17" s="1511" customFormat="1" ht="17.399999999999999">
      <c r="A13580" s="547" t="s">
        <v>272</v>
      </c>
      <c r="B13580" s="547" t="s">
        <v>1615</v>
      </c>
      <c r="C13580" s="547" t="s">
        <v>446</v>
      </c>
      <c r="D13580" s="813" t="s">
        <v>450</v>
      </c>
      <c r="E13580" s="547" t="s">
        <v>270</v>
      </c>
      <c r="F13580" s="550">
        <v>10</v>
      </c>
      <c r="G13580" s="549" t="s">
        <v>61</v>
      </c>
      <c r="H13580" s="599" t="s">
        <v>130</v>
      </c>
      <c r="I13580" s="558">
        <v>6.17</v>
      </c>
      <c r="J13580" s="756">
        <v>11.5</v>
      </c>
      <c r="K13580" s="757">
        <v>96</v>
      </c>
      <c r="L13580" s="725">
        <f>(I13580*J13580*K13580/1000)</f>
        <v>6.81168</v>
      </c>
      <c r="M13580" s="567"/>
      <c r="N13580" s="567">
        <f t="shared" ref="N13580:N13581" si="2742">J13580*M13580*I13580/1000</f>
        <v>0</v>
      </c>
      <c r="O13580" s="549"/>
      <c r="P13580" s="549"/>
      <c r="Q13580" s="1737" t="s">
        <v>1697</v>
      </c>
    </row>
    <row r="13581" spans="1:17" s="1511" customFormat="1" ht="17.399999999999999">
      <c r="A13581" s="549"/>
      <c r="B13581" s="549"/>
      <c r="C13581" s="549"/>
      <c r="D13581" s="549"/>
      <c r="E13581" s="549"/>
      <c r="F13581" s="549"/>
      <c r="G13581" s="549" t="s">
        <v>61</v>
      </c>
      <c r="H13581" s="549" t="s">
        <v>130</v>
      </c>
      <c r="I13581" s="558">
        <v>6.17</v>
      </c>
      <c r="J13581" s="756">
        <v>12</v>
      </c>
      <c r="K13581" s="757">
        <v>78</v>
      </c>
      <c r="L13581" s="725">
        <f>(I13581*J13581*K13581/1000)</f>
        <v>5.7751199999999994</v>
      </c>
      <c r="M13581" s="648">
        <f>24+6</f>
        <v>30</v>
      </c>
      <c r="N13581" s="567">
        <f t="shared" si="2742"/>
        <v>2.2211999999999996</v>
      </c>
      <c r="O13581" s="549"/>
      <c r="P13581" s="549"/>
    </row>
    <row r="13582" spans="1:17" s="1511" customFormat="1" ht="17.399999999999999">
      <c r="A13582" s="549"/>
      <c r="B13582" s="549"/>
      <c r="C13582" s="549"/>
      <c r="D13582" s="549"/>
      <c r="E13582" s="549"/>
      <c r="F13582" s="549"/>
      <c r="G13582" s="549"/>
      <c r="H13582" s="549"/>
      <c r="I13582" s="558"/>
      <c r="J13582" s="567"/>
      <c r="K13582" s="648">
        <f>SUM(K13580:K13581)</f>
        <v>174</v>
      </c>
      <c r="L13582" s="710">
        <f>SUM(L13580:L13581)</f>
        <v>12.5868</v>
      </c>
      <c r="M13582" s="648">
        <f>SUM(M13580:M13581)</f>
        <v>30</v>
      </c>
      <c r="N13582" s="710">
        <f>SUM(N13580:N13581)</f>
        <v>2.2211999999999996</v>
      </c>
      <c r="O13582" s="549"/>
      <c r="P13582" s="549"/>
    </row>
    <row r="13583" spans="1:17" s="1511" customFormat="1" ht="17.399999999999999">
      <c r="A13583" s="549"/>
      <c r="B13583" s="549"/>
      <c r="C13583" s="549"/>
      <c r="D13583" s="549"/>
      <c r="E13583" s="549"/>
      <c r="F13583" s="549"/>
      <c r="G13583" s="549"/>
      <c r="H13583" s="549"/>
      <c r="I13583" s="558"/>
      <c r="J13583" s="567"/>
      <c r="K13583" s="648"/>
      <c r="L13583" s="710"/>
      <c r="M13583" s="549"/>
      <c r="N13583" s="549"/>
      <c r="O13583" s="549"/>
      <c r="P13583" s="549"/>
    </row>
    <row r="13584" spans="1:17" s="1734" customFormat="1" ht="17.399999999999999">
      <c r="A13584" s="547" t="s">
        <v>272</v>
      </c>
      <c r="B13584" s="547" t="s">
        <v>1616</v>
      </c>
      <c r="C13584" s="547" t="s">
        <v>446</v>
      </c>
      <c r="D13584" s="813" t="s">
        <v>450</v>
      </c>
      <c r="E13584" s="547" t="s">
        <v>270</v>
      </c>
      <c r="F13584" s="550">
        <v>10</v>
      </c>
      <c r="G13584" s="549" t="s">
        <v>61</v>
      </c>
      <c r="H13584" s="599" t="s">
        <v>130</v>
      </c>
      <c r="I13584" s="558">
        <v>6.17</v>
      </c>
      <c r="J13584" s="756">
        <v>10.5</v>
      </c>
      <c r="K13584" s="757">
        <v>1</v>
      </c>
      <c r="L13584" s="725">
        <f>(I13584*J13584*K13584/1000)</f>
        <v>6.4784999999999995E-2</v>
      </c>
      <c r="M13584" s="549"/>
      <c r="N13584" s="549"/>
      <c r="O13584" s="549"/>
      <c r="P13584" s="549"/>
      <c r="Q13584" s="1737" t="s">
        <v>1697</v>
      </c>
    </row>
    <row r="13585" spans="1:16" s="1734" customFormat="1" ht="17.399999999999999">
      <c r="A13585" s="549"/>
      <c r="B13585" s="549"/>
      <c r="C13585" s="549"/>
      <c r="D13585" s="549"/>
      <c r="E13585" s="549"/>
      <c r="F13585" s="549"/>
      <c r="G13585" s="549"/>
      <c r="H13585" s="549"/>
      <c r="I13585" s="558"/>
      <c r="J13585" s="567"/>
      <c r="K13585" s="648">
        <f>SUM(K13584:K13584)</f>
        <v>1</v>
      </c>
      <c r="L13585" s="710">
        <f>SUM(L13584:L13584)</f>
        <v>6.4784999999999995E-2</v>
      </c>
      <c r="M13585" s="549"/>
      <c r="N13585" s="549"/>
      <c r="O13585" s="549"/>
      <c r="P13585" s="549"/>
    </row>
    <row r="13586" spans="1:16" s="1734" customFormat="1" ht="17.399999999999999">
      <c r="A13586" s="549"/>
      <c r="B13586" s="549"/>
      <c r="C13586" s="549"/>
      <c r="D13586" s="549"/>
      <c r="E13586" s="549"/>
      <c r="F13586" s="549"/>
      <c r="G13586" s="549"/>
      <c r="H13586" s="549"/>
      <c r="I13586" s="558"/>
      <c r="J13586" s="567"/>
      <c r="K13586" s="727">
        <f>SUM(K13580:K13585)/2</f>
        <v>175</v>
      </c>
      <c r="L13586" s="710">
        <f>SUM(L13580:L13585)/2</f>
        <v>12.651585000000001</v>
      </c>
      <c r="M13586" s="727">
        <f>SUM(M13580:M13585)/2</f>
        <v>30</v>
      </c>
      <c r="N13586" s="710">
        <f>SUM(N13580:N13585)/2</f>
        <v>2.2211999999999996</v>
      </c>
      <c r="O13586" s="549"/>
      <c r="P13586" s="549" t="s">
        <v>1626</v>
      </c>
    </row>
    <row r="13587" spans="1:16" s="1736" customFormat="1" ht="17.399999999999999">
      <c r="A13587" s="549"/>
      <c r="B13587" s="549"/>
      <c r="C13587" s="549"/>
      <c r="D13587" s="549"/>
      <c r="E13587" s="549"/>
      <c r="F13587" s="549"/>
      <c r="G13587" s="549"/>
      <c r="H13587" s="549"/>
      <c r="I13587" s="558"/>
      <c r="J13587" s="567"/>
      <c r="K13587" s="727"/>
      <c r="L13587" s="710"/>
      <c r="M13587" s="549"/>
      <c r="N13587" s="549"/>
      <c r="O13587" s="549"/>
      <c r="P13587" s="549"/>
    </row>
    <row r="13588" spans="1:16" s="1734" customFormat="1" ht="17.399999999999999">
      <c r="A13588" s="549"/>
      <c r="B13588" s="549"/>
      <c r="C13588" s="549"/>
      <c r="D13588" s="549"/>
      <c r="E13588" s="549"/>
      <c r="F13588" s="549"/>
      <c r="G13588" s="549"/>
      <c r="H13588" s="549"/>
      <c r="I13588" s="558"/>
      <c r="J13588" s="567"/>
      <c r="K13588" s="648"/>
      <c r="L13588" s="710">
        <f>+L13586+L13576+L13562+L13547</f>
        <v>120.91890949999998</v>
      </c>
      <c r="M13588" s="549"/>
      <c r="N13588" s="710">
        <f>+N13586+N13576+N13562+N13547</f>
        <v>3.0356399999999994</v>
      </c>
      <c r="O13588" s="549"/>
      <c r="P13588" s="549"/>
    </row>
    <row r="13589" spans="1:16" ht="18">
      <c r="A13589" s="898"/>
      <c r="B13589" s="898"/>
      <c r="C13589" s="898"/>
      <c r="D13589" s="898"/>
      <c r="E13589" s="898"/>
      <c r="F13589" s="898"/>
      <c r="G13589" s="898"/>
      <c r="H13589" s="898"/>
      <c r="I13589" s="920"/>
      <c r="J13589" s="898"/>
      <c r="K13589" s="921"/>
      <c r="L13589" s="1725"/>
      <c r="M13589" s="898"/>
      <c r="N13589" s="898"/>
      <c r="O13589" s="898"/>
      <c r="P13589" s="898"/>
    </row>
    <row r="13590" spans="1:16" ht="17.399999999999999">
      <c r="A13590" s="549"/>
      <c r="B13590" s="549"/>
      <c r="C13590" s="549"/>
      <c r="D13590" s="549"/>
      <c r="E13590" s="549"/>
      <c r="F13590" s="549"/>
      <c r="G13590" s="549"/>
      <c r="H13590" s="549"/>
      <c r="I13590" s="560"/>
      <c r="J13590" s="549"/>
      <c r="K13590" s="561"/>
      <c r="L13590" s="728"/>
      <c r="M13590" s="549"/>
      <c r="N13590" s="549"/>
      <c r="O13590" s="549"/>
      <c r="P13590" s="549"/>
    </row>
    <row r="13591" spans="1:16" ht="18">
      <c r="A13591" s="898"/>
      <c r="B13591" s="898"/>
      <c r="C13591" s="898"/>
      <c r="D13591" s="898"/>
      <c r="E13591" s="898"/>
      <c r="F13591" s="898"/>
      <c r="G13591" s="898"/>
      <c r="H13591" s="898"/>
      <c r="I13591" s="920"/>
      <c r="J13591" s="898"/>
      <c r="K13591" s="921"/>
      <c r="L13591" s="938">
        <f>+L13540+L13528+L13521+L13512+L13497+L13488+L13479+L13588</f>
        <v>372.05920449999996</v>
      </c>
      <c r="M13591" s="898"/>
      <c r="N13591" s="938">
        <f>+N13540+N13528+N13521+N13512+N13497+N13488+N13479+N13588</f>
        <v>5.189648</v>
      </c>
      <c r="O13591" s="898"/>
      <c r="P13591" s="898"/>
    </row>
    <row r="13592" spans="1:16" ht="18">
      <c r="A13592" s="653" t="s">
        <v>48</v>
      </c>
      <c r="B13592" s="653"/>
      <c r="C13592" s="654"/>
      <c r="D13592" s="654"/>
      <c r="E13592" s="654"/>
      <c r="F13592" s="1724"/>
      <c r="G13592" s="654"/>
      <c r="H13592" s="1724"/>
      <c r="I13592" s="656"/>
      <c r="J13592" s="654"/>
      <c r="K13592" s="657"/>
      <c r="L13592" s="2003" t="s">
        <v>0</v>
      </c>
      <c r="M13592" s="2003"/>
      <c r="N13592" s="2003"/>
      <c r="O13592" s="2004"/>
      <c r="P13592" s="1097"/>
    </row>
    <row r="13593" spans="1:16" ht="18">
      <c r="A13593" s="658" t="s">
        <v>1</v>
      </c>
      <c r="B13593" s="658"/>
      <c r="C13593" s="658"/>
      <c r="D13593" s="659" t="s">
        <v>2</v>
      </c>
      <c r="E13593" s="659"/>
      <c r="F13593" s="660"/>
      <c r="G13593" s="660"/>
      <c r="H13593" s="660"/>
      <c r="I13593" s="661"/>
      <c r="J13593" s="660"/>
      <c r="K13593" s="662" t="s">
        <v>3</v>
      </c>
      <c r="L13593" s="660"/>
      <c r="M13593" s="658"/>
      <c r="N13593" s="660"/>
      <c r="O13593" s="663"/>
      <c r="P13593" s="1098"/>
    </row>
    <row r="13594" spans="1:16" ht="18">
      <c r="A13594" s="1724" t="s">
        <v>22</v>
      </c>
      <c r="B13594" s="1990" t="s">
        <v>23</v>
      </c>
      <c r="C13594" s="2005"/>
      <c r="D13594" s="1989"/>
      <c r="E13594" s="1724" t="s">
        <v>24</v>
      </c>
      <c r="F13594" s="1990" t="s">
        <v>25</v>
      </c>
      <c r="G13594" s="1989"/>
      <c r="H13594" s="1990" t="s">
        <v>26</v>
      </c>
      <c r="I13594" s="2005"/>
      <c r="J13594" s="2005"/>
      <c r="K13594" s="1989"/>
      <c r="L13594" s="2006" t="s">
        <v>27</v>
      </c>
      <c r="M13594" s="2006"/>
      <c r="N13594" s="2006"/>
      <c r="O13594" s="1990"/>
      <c r="P13594" s="1098"/>
    </row>
    <row r="13595" spans="1:16" ht="18">
      <c r="A13595" s="664"/>
      <c r="B13595" s="1975"/>
      <c r="C13595" s="1976"/>
      <c r="D13595" s="1977"/>
      <c r="E13595" s="665"/>
      <c r="F13595" s="1975"/>
      <c r="G13595" s="1977"/>
      <c r="H13595" s="1975"/>
      <c r="I13595" s="1976"/>
      <c r="J13595" s="1976"/>
      <c r="K13595" s="1977"/>
      <c r="L13595" s="1975"/>
      <c r="M13595" s="1976"/>
      <c r="N13595" s="1976"/>
      <c r="O13595" s="1976"/>
      <c r="P13595" s="1098"/>
    </row>
    <row r="13596" spans="1:16" ht="18">
      <c r="A13596" s="664"/>
      <c r="B13596" s="1719"/>
      <c r="C13596" s="1720"/>
      <c r="D13596" s="1721"/>
      <c r="E13596" s="665"/>
      <c r="F13596" s="1719"/>
      <c r="G13596" s="1721"/>
      <c r="H13596" s="1719"/>
      <c r="I13596" s="1842"/>
      <c r="J13596" s="1720"/>
      <c r="K13596" s="1721"/>
      <c r="L13596" s="1720"/>
      <c r="M13596" s="1720"/>
      <c r="N13596" s="1720"/>
      <c r="O13596" s="1720"/>
      <c r="P13596" s="1098"/>
    </row>
    <row r="13597" spans="1:16" ht="18">
      <c r="A13597" s="664" t="s">
        <v>28</v>
      </c>
      <c r="B13597" s="1975" t="s">
        <v>198</v>
      </c>
      <c r="C13597" s="1976"/>
      <c r="D13597" s="1977"/>
      <c r="E13597" s="665">
        <f>+L13479+L13488-0.787</f>
        <v>152.44114000000002</v>
      </c>
      <c r="F13597" s="1973">
        <v>10</v>
      </c>
      <c r="G13597" s="1974"/>
      <c r="H13597" s="1975" t="s">
        <v>49</v>
      </c>
      <c r="I13597" s="1976"/>
      <c r="J13597" s="1976"/>
      <c r="K13597" s="1977"/>
      <c r="L13597" s="1976" t="s">
        <v>65</v>
      </c>
      <c r="M13597" s="1976"/>
      <c r="N13597" s="1976"/>
      <c r="O13597" s="1976"/>
      <c r="P13597" s="1098"/>
    </row>
    <row r="13598" spans="1:16" ht="18">
      <c r="A13598" s="664" t="s">
        <v>29</v>
      </c>
      <c r="B13598" s="1975" t="s">
        <v>199</v>
      </c>
      <c r="C13598" s="1976"/>
      <c r="D13598" s="1977"/>
      <c r="E13598" s="665">
        <f>+L13497+L13512</f>
        <v>70.089348999999984</v>
      </c>
      <c r="F13598" s="1973">
        <v>10</v>
      </c>
      <c r="G13598" s="1974"/>
      <c r="H13598" s="1975" t="s">
        <v>49</v>
      </c>
      <c r="I13598" s="1976"/>
      <c r="J13598" s="1976"/>
      <c r="K13598" s="1977"/>
      <c r="L13598" s="1976" t="s">
        <v>65</v>
      </c>
      <c r="M13598" s="1976"/>
      <c r="N13598" s="1976"/>
      <c r="O13598" s="1976"/>
      <c r="P13598" s="1098"/>
    </row>
    <row r="13599" spans="1:16" ht="18">
      <c r="A13599" s="664"/>
      <c r="B13599" s="1975"/>
      <c r="C13599" s="1976"/>
      <c r="D13599" s="1977"/>
      <c r="E13599" s="665"/>
      <c r="F13599" s="1973"/>
      <c r="G13599" s="1974"/>
      <c r="H13599" s="1975"/>
      <c r="I13599" s="1976"/>
      <c r="J13599" s="1976"/>
      <c r="K13599" s="1977"/>
      <c r="L13599" s="1976"/>
      <c r="M13599" s="1976"/>
      <c r="N13599" s="1976"/>
      <c r="O13599" s="1976"/>
      <c r="P13599" s="1098"/>
    </row>
    <row r="13600" spans="1:16" s="1736" customFormat="1" ht="18">
      <c r="A13600" s="664"/>
      <c r="B13600" s="1728"/>
      <c r="C13600" s="1729"/>
      <c r="D13600" s="1730"/>
      <c r="E13600" s="665"/>
      <c r="F13600" s="1731"/>
      <c r="G13600" s="1732"/>
      <c r="H13600" s="1729"/>
      <c r="I13600" s="1842"/>
      <c r="J13600" s="1729"/>
      <c r="K13600" s="1729"/>
      <c r="L13600" s="1729"/>
      <c r="M13600" s="1729"/>
      <c r="N13600" s="1729"/>
      <c r="O13600" s="1729"/>
      <c r="P13600" s="1098"/>
    </row>
    <row r="13601" spans="1:16" s="1511" customFormat="1" ht="18">
      <c r="A13601" s="664" t="s">
        <v>30</v>
      </c>
      <c r="B13601" s="1975" t="s">
        <v>895</v>
      </c>
      <c r="C13601" s="1976"/>
      <c r="D13601" s="1977"/>
      <c r="E13601" s="665">
        <f>+L13528+L13547</f>
        <v>36.402212500000005</v>
      </c>
      <c r="F13601" s="1975">
        <v>8</v>
      </c>
      <c r="G13601" s="1977"/>
      <c r="H13601" s="2007" t="s">
        <v>896</v>
      </c>
      <c r="I13601" s="2007"/>
      <c r="J13601" s="2007"/>
      <c r="K13601" s="2007"/>
      <c r="L13601" s="1976" t="s">
        <v>64</v>
      </c>
      <c r="M13601" s="1976"/>
      <c r="N13601" s="1976"/>
      <c r="O13601" s="1976"/>
      <c r="P13601" s="1098"/>
    </row>
    <row r="13602" spans="1:16" s="1511" customFormat="1" ht="18">
      <c r="A13602" s="664"/>
      <c r="B13602" s="1719"/>
      <c r="C13602" s="1720"/>
      <c r="D13602" s="1721"/>
      <c r="E13602" s="665"/>
      <c r="F13602" s="1722"/>
      <c r="G13602" s="1723"/>
      <c r="H13602" s="1719"/>
      <c r="I13602" s="1842"/>
      <c r="J13602" s="1720"/>
      <c r="K13602" s="1721"/>
      <c r="L13602" s="1720"/>
      <c r="M13602" s="1720"/>
      <c r="N13602" s="1720"/>
      <c r="O13602" s="1720"/>
      <c r="P13602" s="1098"/>
    </row>
    <row r="13603" spans="1:16" s="1736" customFormat="1" ht="18">
      <c r="A13603" s="664"/>
      <c r="B13603" s="1975"/>
      <c r="C13603" s="1976"/>
      <c r="D13603" s="1977"/>
      <c r="E13603" s="665"/>
      <c r="F13603" s="1973"/>
      <c r="G13603" s="1974"/>
      <c r="H13603" s="1975"/>
      <c r="I13603" s="1976"/>
      <c r="J13603" s="1976"/>
      <c r="K13603" s="1977"/>
      <c r="L13603" s="1976"/>
      <c r="M13603" s="1976"/>
      <c r="N13603" s="1976"/>
      <c r="O13603" s="1976"/>
      <c r="P13603" s="1098"/>
    </row>
    <row r="13604" spans="1:16" s="1736" customFormat="1" ht="18">
      <c r="A13604" s="664" t="s">
        <v>46</v>
      </c>
      <c r="B13604" s="1975" t="s">
        <v>198</v>
      </c>
      <c r="C13604" s="1976"/>
      <c r="D13604" s="1977"/>
      <c r="E13604" s="665">
        <f>+L13562</f>
        <v>56.544671999999998</v>
      </c>
      <c r="F13604" s="1973">
        <v>10</v>
      </c>
      <c r="G13604" s="1974"/>
      <c r="H13604" s="1975" t="s">
        <v>447</v>
      </c>
      <c r="I13604" s="1976"/>
      <c r="J13604" s="1976"/>
      <c r="K13604" s="1977"/>
      <c r="L13604" s="1976" t="s">
        <v>65</v>
      </c>
      <c r="M13604" s="1976"/>
      <c r="N13604" s="1976"/>
      <c r="O13604" s="1976"/>
      <c r="P13604" s="1098"/>
    </row>
    <row r="13605" spans="1:16" s="1736" customFormat="1" ht="18">
      <c r="A13605" s="664" t="s">
        <v>58</v>
      </c>
      <c r="B13605" s="1975" t="s">
        <v>199</v>
      </c>
      <c r="C13605" s="1976"/>
      <c r="D13605" s="1977"/>
      <c r="E13605" s="665">
        <f>+L13576-0.814</f>
        <v>35.60134</v>
      </c>
      <c r="F13605" s="1973">
        <v>10</v>
      </c>
      <c r="G13605" s="1974"/>
      <c r="H13605" s="1975" t="s">
        <v>447</v>
      </c>
      <c r="I13605" s="1976"/>
      <c r="J13605" s="1976"/>
      <c r="K13605" s="1977"/>
      <c r="L13605" s="1976" t="s">
        <v>65</v>
      </c>
      <c r="M13605" s="1976"/>
      <c r="N13605" s="1976"/>
      <c r="O13605" s="1976"/>
      <c r="P13605" s="1098"/>
    </row>
    <row r="13606" spans="1:16" s="1736" customFormat="1" ht="18">
      <c r="A13606" s="664"/>
      <c r="B13606" s="1728"/>
      <c r="C13606" s="1729"/>
      <c r="D13606" s="1730"/>
      <c r="E13606" s="665"/>
      <c r="F13606" s="1731"/>
      <c r="G13606" s="1732"/>
      <c r="H13606" s="1728"/>
      <c r="I13606" s="1842"/>
      <c r="J13606" s="1729"/>
      <c r="K13606" s="1730"/>
      <c r="L13606" s="1729"/>
      <c r="M13606" s="1729"/>
      <c r="N13606" s="1729"/>
      <c r="O13606" s="1729"/>
      <c r="P13606" s="1098"/>
    </row>
    <row r="13607" spans="1:16" s="1736" customFormat="1" ht="18">
      <c r="A13607" s="664"/>
      <c r="B13607" s="1728"/>
      <c r="C13607" s="1729"/>
      <c r="D13607" s="1730"/>
      <c r="E13607" s="665"/>
      <c r="F13607" s="1731"/>
      <c r="G13607" s="1732"/>
      <c r="H13607" s="1728"/>
      <c r="I13607" s="1842"/>
      <c r="J13607" s="1729"/>
      <c r="K13607" s="1730"/>
      <c r="L13607" s="1729"/>
      <c r="M13607" s="1729"/>
      <c r="N13607" s="1729"/>
      <c r="O13607" s="1729"/>
      <c r="P13607" s="1098"/>
    </row>
    <row r="13608" spans="1:16" s="1736" customFormat="1" ht="18">
      <c r="A13608" s="664" t="s">
        <v>163</v>
      </c>
      <c r="B13608" s="1975" t="s">
        <v>570</v>
      </c>
      <c r="C13608" s="1976"/>
      <c r="D13608" s="1977"/>
      <c r="E13608" s="665">
        <f>+L13586-2.221</f>
        <v>10.430585000000001</v>
      </c>
      <c r="F13608" s="1973">
        <v>10</v>
      </c>
      <c r="G13608" s="1974"/>
      <c r="H13608" s="1975" t="s">
        <v>450</v>
      </c>
      <c r="I13608" s="1976"/>
      <c r="J13608" s="1976"/>
      <c r="K13608" s="1977"/>
      <c r="L13608" s="1976" t="s">
        <v>64</v>
      </c>
      <c r="M13608" s="1976"/>
      <c r="N13608" s="1976"/>
      <c r="O13608" s="1976"/>
      <c r="P13608" s="1098"/>
    </row>
    <row r="13609" spans="1:16" ht="18">
      <c r="A13609" s="664" t="s">
        <v>302</v>
      </c>
      <c r="B13609" s="1975" t="s">
        <v>570</v>
      </c>
      <c r="C13609" s="1976"/>
      <c r="D13609" s="1977"/>
      <c r="E13609" s="665">
        <f>+L13521-0.743</f>
        <v>5.3615979999999999</v>
      </c>
      <c r="F13609" s="1973">
        <v>10</v>
      </c>
      <c r="G13609" s="1974"/>
      <c r="H13609" s="1975" t="s">
        <v>60</v>
      </c>
      <c r="I13609" s="1976"/>
      <c r="J13609" s="1976"/>
      <c r="K13609" s="1977"/>
      <c r="L13609" s="1976" t="s">
        <v>64</v>
      </c>
      <c r="M13609" s="1976"/>
      <c r="N13609" s="1976"/>
      <c r="O13609" s="1976"/>
      <c r="P13609" s="1098"/>
    </row>
    <row r="13610" spans="1:16" s="1736" customFormat="1" ht="18">
      <c r="A13610" s="664"/>
      <c r="B13610" s="1728"/>
      <c r="C13610" s="1729"/>
      <c r="D13610" s="1729"/>
      <c r="E13610" s="665"/>
      <c r="F13610" s="1733"/>
      <c r="G13610" s="1732"/>
      <c r="H13610" s="1728"/>
      <c r="I13610" s="1842"/>
      <c r="J13610" s="1729"/>
      <c r="K13610" s="1730"/>
      <c r="L13610" s="1729"/>
      <c r="M13610" s="1729"/>
      <c r="N13610" s="1729"/>
      <c r="O13610" s="1729"/>
      <c r="P13610" s="1098"/>
    </row>
    <row r="13611" spans="1:16" ht="18.600000000000001" thickBot="1">
      <c r="A13611" s="664"/>
      <c r="B13611" s="1719"/>
      <c r="C13611" s="1720"/>
      <c r="D13611" s="1720"/>
      <c r="E13611" s="665"/>
      <c r="F13611" s="1720"/>
      <c r="G13611" s="1721"/>
      <c r="H13611" s="1719"/>
      <c r="I13611" s="1842"/>
      <c r="J13611" s="1720"/>
      <c r="K13611" s="669"/>
      <c r="L13611" s="672"/>
      <c r="M13611" s="673"/>
      <c r="N13611" s="673"/>
      <c r="O13611" s="673"/>
      <c r="P13611" s="1098"/>
    </row>
    <row r="13612" spans="1:16" ht="18">
      <c r="A13612" s="674"/>
      <c r="B13612" s="675"/>
      <c r="C13612" s="676"/>
      <c r="D13612" s="676"/>
      <c r="E13612" s="1980">
        <f>SUM(E13595:E13611)</f>
        <v>366.87089650000001</v>
      </c>
      <c r="F13612" s="677"/>
      <c r="G13612" s="678"/>
      <c r="H13612" s="679"/>
      <c r="I13612" s="1848"/>
      <c r="J13612" s="676"/>
      <c r="K13612" s="680"/>
      <c r="L13612" s="679"/>
      <c r="M13612" s="676"/>
      <c r="N13612" s="677"/>
      <c r="O13612" s="676"/>
      <c r="P13612" s="1098"/>
    </row>
    <row r="13613" spans="1:16" ht="18.600000000000001" thickBot="1">
      <c r="A13613" s="681"/>
      <c r="B13613" s="682"/>
      <c r="C13613" s="683"/>
      <c r="D13613" s="683"/>
      <c r="E13613" s="1981"/>
      <c r="F13613" s="684"/>
      <c r="G13613" s="685"/>
      <c r="H13613" s="686"/>
      <c r="I13613" s="1850"/>
      <c r="J13613" s="683"/>
      <c r="K13613" s="687"/>
      <c r="L13613" s="686"/>
      <c r="M13613" s="683"/>
      <c r="N13613" s="684"/>
      <c r="O13613" s="683"/>
      <c r="P13613" s="1098"/>
    </row>
    <row r="13614" spans="1:16" ht="18">
      <c r="A13614" s="688" t="s">
        <v>31</v>
      </c>
      <c r="B13614" s="676"/>
      <c r="C13614" s="676"/>
      <c r="D13614" s="676"/>
      <c r="E13614" s="676"/>
      <c r="F13614" s="677"/>
      <c r="G13614" s="676"/>
      <c r="H13614" s="677"/>
      <c r="I13614" s="1848"/>
      <c r="J13614" s="676"/>
      <c r="K13614" s="689"/>
      <c r="L13614" s="677"/>
      <c r="M13614" s="676"/>
      <c r="N13614" s="677"/>
      <c r="O13614" s="676"/>
      <c r="P13614" s="1098"/>
    </row>
    <row r="13615" spans="1:16" ht="18">
      <c r="A13615" s="690"/>
      <c r="B13615" s="691"/>
      <c r="C13615" s="691"/>
      <c r="D13615" s="691"/>
      <c r="E13615" s="691"/>
      <c r="F13615" s="1716"/>
      <c r="G13615" s="691"/>
      <c r="H13615" s="1716"/>
      <c r="I13615" s="1849"/>
      <c r="J13615" s="691"/>
      <c r="K13615" s="693"/>
      <c r="L13615" s="1716"/>
      <c r="M13615" s="691"/>
      <c r="N13615" s="1716"/>
      <c r="O13615" s="691"/>
      <c r="P13615" s="1098"/>
    </row>
    <row r="13616" spans="1:16" ht="18.600000000000001" thickBot="1">
      <c r="A13616" s="1982" t="s">
        <v>32</v>
      </c>
      <c r="B13616" s="1983"/>
      <c r="C13616" s="1984" t="s">
        <v>33</v>
      </c>
      <c r="D13616" s="1985"/>
      <c r="E13616" s="694" t="s">
        <v>34</v>
      </c>
      <c r="F13616" s="694" t="s">
        <v>35</v>
      </c>
      <c r="G13616" s="1986" t="s">
        <v>36</v>
      </c>
      <c r="H13616" s="1987"/>
      <c r="I13616" s="1987"/>
      <c r="J13616" s="1987"/>
      <c r="K13616" s="1987"/>
      <c r="L13616" s="1987"/>
      <c r="M13616" s="1987"/>
      <c r="N13616" s="1987"/>
      <c r="O13616" s="1987"/>
      <c r="P13616" s="1098"/>
    </row>
    <row r="13617" spans="1:16" ht="18">
      <c r="A13617" s="1988"/>
      <c r="B13617" s="1989"/>
      <c r="C13617" s="1990"/>
      <c r="D13617" s="1989"/>
      <c r="E13617" s="1724"/>
      <c r="F13617" s="1717"/>
      <c r="G13617" s="1991"/>
      <c r="H13617" s="1992"/>
      <c r="I13617" s="1992"/>
      <c r="J13617" s="1992"/>
      <c r="K13617" s="1992"/>
      <c r="L13617" s="1992"/>
      <c r="M13617" s="1992"/>
      <c r="N13617" s="1992"/>
      <c r="O13617" s="1992"/>
      <c r="P13617" s="1098"/>
    </row>
    <row r="13618" spans="1:16" ht="18">
      <c r="A13618" s="1997" t="s">
        <v>37</v>
      </c>
      <c r="B13618" s="1998"/>
      <c r="C13618" s="1990"/>
      <c r="D13618" s="1989"/>
      <c r="E13618" s="1724"/>
      <c r="F13618" s="1717"/>
      <c r="G13618" s="1993"/>
      <c r="H13618" s="1994"/>
      <c r="I13618" s="1994"/>
      <c r="J13618" s="1994"/>
      <c r="K13618" s="1994"/>
      <c r="L13618" s="1994"/>
      <c r="M13618" s="1994"/>
      <c r="N13618" s="1994"/>
      <c r="O13618" s="1994"/>
      <c r="P13618" s="1098"/>
    </row>
    <row r="13619" spans="1:16" ht="18">
      <c r="A13619" s="1997" t="s">
        <v>38</v>
      </c>
      <c r="B13619" s="1998"/>
      <c r="C13619" s="1990"/>
      <c r="D13619" s="1989"/>
      <c r="E13619" s="1724"/>
      <c r="F13619" s="1717"/>
      <c r="G13619" s="1993"/>
      <c r="H13619" s="1994"/>
      <c r="I13619" s="1994"/>
      <c r="J13619" s="1994"/>
      <c r="K13619" s="1994"/>
      <c r="L13619" s="1994"/>
      <c r="M13619" s="1994"/>
      <c r="N13619" s="1994"/>
      <c r="O13619" s="1994"/>
      <c r="P13619" s="1098"/>
    </row>
    <row r="13620" spans="1:16" ht="18">
      <c r="A13620" s="1997" t="s">
        <v>39</v>
      </c>
      <c r="B13620" s="1998"/>
      <c r="C13620" s="1990"/>
      <c r="D13620" s="1989"/>
      <c r="E13620" s="1724"/>
      <c r="F13620" s="1717"/>
      <c r="G13620" s="1993"/>
      <c r="H13620" s="1994"/>
      <c r="I13620" s="1994"/>
      <c r="J13620" s="1994"/>
      <c r="K13620" s="1994"/>
      <c r="L13620" s="1994"/>
      <c r="M13620" s="1994"/>
      <c r="N13620" s="1994"/>
      <c r="O13620" s="1994"/>
      <c r="P13620" s="1098"/>
    </row>
    <row r="13621" spans="1:16" ht="18">
      <c r="A13621" s="1997" t="s">
        <v>40</v>
      </c>
      <c r="B13621" s="1998"/>
      <c r="C13621" s="1990"/>
      <c r="D13621" s="1989"/>
      <c r="E13621" s="1724"/>
      <c r="F13621" s="1717"/>
      <c r="G13621" s="1993"/>
      <c r="H13621" s="1994"/>
      <c r="I13621" s="1994"/>
      <c r="J13621" s="1994"/>
      <c r="K13621" s="1994"/>
      <c r="L13621" s="1994"/>
      <c r="M13621" s="1994"/>
      <c r="N13621" s="1994"/>
      <c r="O13621" s="1994"/>
      <c r="P13621" s="1098"/>
    </row>
    <row r="13622" spans="1:16" ht="18.600000000000001" thickBot="1">
      <c r="A13622" s="1999" t="s">
        <v>41</v>
      </c>
      <c r="B13622" s="2000"/>
      <c r="C13622" s="2001"/>
      <c r="D13622" s="2002"/>
      <c r="E13622" s="696"/>
      <c r="F13622" s="1718"/>
      <c r="G13622" s="1995"/>
      <c r="H13622" s="1996"/>
      <c r="I13622" s="1996"/>
      <c r="J13622" s="1996"/>
      <c r="K13622" s="1996"/>
      <c r="L13622" s="1996"/>
      <c r="M13622" s="1996"/>
      <c r="N13622" s="1996"/>
      <c r="O13622" s="1996"/>
      <c r="P13622" s="1098"/>
    </row>
    <row r="13623" spans="1:16" ht="18">
      <c r="A13623" s="690"/>
      <c r="B13623" s="691"/>
      <c r="C13623" s="691"/>
      <c r="D13623" s="691"/>
      <c r="E13623" s="691"/>
      <c r="F13623" s="1716"/>
      <c r="G13623" s="691"/>
      <c r="H13623" s="698"/>
      <c r="I13623" s="699"/>
      <c r="J13623" s="700"/>
      <c r="K13623" s="701"/>
      <c r="L13623" s="702"/>
      <c r="M13623" s="691"/>
      <c r="N13623" s="1716"/>
      <c r="O13623" s="691"/>
      <c r="P13623" s="1098"/>
    </row>
    <row r="13624" spans="1:16" ht="18">
      <c r="A13624" s="703" t="s">
        <v>42</v>
      </c>
      <c r="B13624" s="704"/>
      <c r="C13624" s="691"/>
      <c r="D13624" s="691"/>
      <c r="E13624" s="691"/>
      <c r="F13624" s="1716"/>
      <c r="G13624" s="704"/>
      <c r="H13624" s="698"/>
      <c r="I13624" s="699"/>
      <c r="J13624" s="700"/>
      <c r="K13624" s="693"/>
      <c r="L13624" s="705"/>
      <c r="M13624" s="691"/>
      <c r="N13624" s="1979" t="s">
        <v>43</v>
      </c>
      <c r="O13624" s="1979"/>
      <c r="P13624" s="1098"/>
    </row>
    <row r="13625" spans="1:16" ht="18">
      <c r="A13625" s="703"/>
      <c r="B13625" s="704"/>
      <c r="C13625" s="691"/>
      <c r="D13625" s="691"/>
      <c r="E13625" s="691"/>
      <c r="F13625" s="1716"/>
      <c r="G13625" s="691"/>
      <c r="H13625" s="1716"/>
      <c r="I13625" s="1849"/>
      <c r="J13625" s="691"/>
      <c r="K13625" s="693"/>
      <c r="L13625" s="1716"/>
      <c r="M13625" s="691"/>
      <c r="N13625" s="1716"/>
      <c r="O13625" s="704"/>
      <c r="P13625" s="1098"/>
    </row>
    <row r="13626" spans="1:16" ht="18">
      <c r="A13626" s="703" t="s">
        <v>44</v>
      </c>
      <c r="B13626" s="704"/>
      <c r="C13626" s="691"/>
      <c r="D13626" s="691"/>
      <c r="E13626" s="691"/>
      <c r="F13626" s="1716"/>
      <c r="G13626" s="691"/>
      <c r="H13626" s="1716"/>
      <c r="I13626" s="1849"/>
      <c r="J13626" s="691"/>
      <c r="K13626" s="693"/>
      <c r="L13626" s="1716"/>
      <c r="M13626" s="691"/>
      <c r="N13626" s="1979" t="s">
        <v>45</v>
      </c>
      <c r="O13626" s="1979"/>
      <c r="P13626" s="1098"/>
    </row>
    <row r="13627" spans="1:16" ht="18.600000000000001" thickBot="1">
      <c r="A13627" s="682"/>
      <c r="B13627" s="683"/>
      <c r="C13627" s="683"/>
      <c r="D13627" s="683"/>
      <c r="E13627" s="683"/>
      <c r="F13627" s="684"/>
      <c r="G13627" s="683"/>
      <c r="H13627" s="684"/>
      <c r="I13627" s="1850"/>
      <c r="J13627" s="683"/>
      <c r="K13627" s="706"/>
      <c r="L13627" s="684"/>
      <c r="M13627" s="683"/>
      <c r="N13627" s="684"/>
      <c r="O13627" s="683"/>
      <c r="P13627" s="1099"/>
    </row>
    <row r="13631" spans="1:16" ht="17.399999999999999">
      <c r="A13631" s="711" t="s">
        <v>48</v>
      </c>
      <c r="B13631" s="711"/>
      <c r="C13631" s="712"/>
      <c r="D13631" s="712"/>
      <c r="E13631" s="712"/>
      <c r="F13631" s="713"/>
      <c r="G13631" s="712"/>
      <c r="H13631" s="712"/>
      <c r="I13631" s="714"/>
      <c r="J13631" s="715"/>
      <c r="K13631" s="716"/>
      <c r="L13631" s="1978" t="s">
        <v>0</v>
      </c>
      <c r="M13631" s="1978"/>
      <c r="N13631" s="1978"/>
      <c r="O13631" s="1978"/>
      <c r="P13631" s="717"/>
    </row>
    <row r="13632" spans="1:16" ht="17.399999999999999">
      <c r="A13632" s="718" t="s">
        <v>1</v>
      </c>
      <c r="B13632" s="718"/>
      <c r="C13632" s="718"/>
      <c r="D13632" s="719" t="s">
        <v>2</v>
      </c>
      <c r="E13632" s="719"/>
      <c r="F13632" s="720"/>
      <c r="G13632" s="720"/>
      <c r="H13632" s="720"/>
      <c r="I13632" s="721"/>
      <c r="J13632" s="1727"/>
      <c r="K13632" s="723" t="s">
        <v>3</v>
      </c>
      <c r="L13632" s="1727"/>
      <c r="M13632" s="718"/>
      <c r="N13632" s="720"/>
      <c r="O13632" s="718"/>
      <c r="P13632" s="724"/>
    </row>
    <row r="13633" spans="1:19" ht="52.2">
      <c r="A13633" s="640" t="s">
        <v>4</v>
      </c>
      <c r="B13633" s="640" t="s">
        <v>5</v>
      </c>
      <c r="C13633" s="640" t="s">
        <v>6</v>
      </c>
      <c r="D13633" s="640" t="s">
        <v>7</v>
      </c>
      <c r="E13633" s="640" t="s">
        <v>8</v>
      </c>
      <c r="F13633" s="641" t="s">
        <v>9</v>
      </c>
      <c r="G13633" s="642" t="s">
        <v>10</v>
      </c>
      <c r="H13633" s="642" t="s">
        <v>11</v>
      </c>
      <c r="I13633" s="643" t="s">
        <v>12</v>
      </c>
      <c r="J13633" s="644" t="s">
        <v>13</v>
      </c>
      <c r="K13633" s="645" t="s">
        <v>14</v>
      </c>
      <c r="L13633" s="646" t="s">
        <v>15</v>
      </c>
      <c r="M13633" s="641" t="s">
        <v>16</v>
      </c>
      <c r="N13633" s="641" t="s">
        <v>17</v>
      </c>
      <c r="O13633" s="642" t="s">
        <v>18</v>
      </c>
      <c r="P13633" s="641" t="s">
        <v>192</v>
      </c>
    </row>
    <row r="13634" spans="1:19" ht="17.399999999999999">
      <c r="A13634" s="549"/>
      <c r="B13634" s="549"/>
      <c r="C13634" s="549"/>
      <c r="D13634" s="549"/>
      <c r="E13634" s="549"/>
      <c r="F13634" s="549"/>
      <c r="G13634" s="549"/>
      <c r="H13634" s="549"/>
      <c r="I13634" s="560"/>
      <c r="J13634" s="549"/>
      <c r="K13634" s="561"/>
      <c r="L13634" s="560"/>
      <c r="M13634" s="549"/>
      <c r="N13634" s="549"/>
      <c r="O13634" s="549"/>
      <c r="P13634" s="549"/>
    </row>
    <row r="13635" spans="1:19" ht="17.399999999999999">
      <c r="A13635" s="547" t="s">
        <v>83</v>
      </c>
      <c r="B13635" s="547" t="s">
        <v>1455</v>
      </c>
      <c r="C13635" s="547" t="s">
        <v>19</v>
      </c>
      <c r="D13635" s="813" t="s">
        <v>854</v>
      </c>
      <c r="E13635" s="549" t="s">
        <v>367</v>
      </c>
      <c r="F13635" s="550">
        <v>13</v>
      </c>
      <c r="G13635" s="549" t="s">
        <v>21</v>
      </c>
      <c r="H13635" s="599" t="s">
        <v>120</v>
      </c>
      <c r="I13635" s="558">
        <v>18.2</v>
      </c>
      <c r="J13635" s="567">
        <v>11.35</v>
      </c>
      <c r="K13635" s="648">
        <v>194</v>
      </c>
      <c r="L13635" s="552">
        <f>(I13635*J13635*K13635/1000)</f>
        <v>40.074580000000005</v>
      </c>
      <c r="M13635" s="549"/>
      <c r="N13635" s="549"/>
      <c r="O13635" s="549"/>
      <c r="P13635" s="549"/>
      <c r="Q13635" s="1737" t="s">
        <v>1708</v>
      </c>
      <c r="R13635" s="1737"/>
      <c r="S13635" s="1737"/>
    </row>
    <row r="13636" spans="1:19" ht="17.399999999999999">
      <c r="A13636" s="549"/>
      <c r="B13636" s="728" t="s">
        <v>52</v>
      </c>
      <c r="C13636" s="549"/>
      <c r="D13636" s="549"/>
      <c r="E13636" s="549"/>
      <c r="F13636" s="549"/>
      <c r="G13636" s="549"/>
      <c r="H13636" s="549"/>
      <c r="I13636" s="558"/>
      <c r="J13636" s="567"/>
      <c r="K13636" s="648">
        <f t="shared" ref="K13636:M13636" si="2743">SUM(K13635)</f>
        <v>194</v>
      </c>
      <c r="L13636" s="567">
        <f>SUM(L13635)</f>
        <v>40.074580000000005</v>
      </c>
      <c r="M13636" s="648">
        <f t="shared" si="2743"/>
        <v>0</v>
      </c>
      <c r="N13636" s="567">
        <f>SUM(N13635)</f>
        <v>0</v>
      </c>
      <c r="O13636" s="549"/>
      <c r="P13636" s="549" t="s">
        <v>1666</v>
      </c>
      <c r="Q13636" s="1737"/>
      <c r="R13636" s="1737"/>
      <c r="S13636" s="1737"/>
    </row>
    <row r="13637" spans="1:19" s="1737" customFormat="1" ht="17.399999999999999">
      <c r="A13637" s="549"/>
      <c r="B13637" s="728"/>
      <c r="C13637" s="549"/>
      <c r="D13637" s="549"/>
      <c r="E13637" s="549"/>
      <c r="F13637" s="549"/>
      <c r="G13637" s="549"/>
      <c r="H13637" s="549"/>
      <c r="I13637" s="558"/>
      <c r="J13637" s="567"/>
      <c r="K13637" s="648"/>
      <c r="L13637" s="567"/>
      <c r="M13637" s="549"/>
      <c r="N13637" s="549"/>
      <c r="O13637" s="549"/>
      <c r="P13637" s="549"/>
    </row>
    <row r="13638" spans="1:19" s="1737" customFormat="1" ht="17.399999999999999">
      <c r="A13638" s="549"/>
      <c r="B13638" s="728"/>
      <c r="C13638" s="549"/>
      <c r="D13638" s="549"/>
      <c r="E13638" s="549"/>
      <c r="F13638" s="549"/>
      <c r="G13638" s="549"/>
      <c r="H13638" s="549"/>
      <c r="I13638" s="558"/>
      <c r="J13638" s="567"/>
      <c r="K13638" s="648"/>
      <c r="L13638" s="567"/>
      <c r="M13638" s="549"/>
      <c r="N13638" s="549"/>
      <c r="O13638" s="549"/>
      <c r="P13638" s="549"/>
    </row>
    <row r="13639" spans="1:19" ht="17.399999999999999">
      <c r="A13639" s="547" t="s">
        <v>395</v>
      </c>
      <c r="B13639" s="547" t="s">
        <v>1560</v>
      </c>
      <c r="C13639" s="547" t="s">
        <v>19</v>
      </c>
      <c r="D13639" s="813" t="s">
        <v>854</v>
      </c>
      <c r="E13639" s="1756" t="s">
        <v>1028</v>
      </c>
      <c r="F13639" s="550">
        <v>13</v>
      </c>
      <c r="G13639" s="549" t="s">
        <v>21</v>
      </c>
      <c r="H13639" s="599" t="s">
        <v>120</v>
      </c>
      <c r="I13639" s="558">
        <v>18.149999999999999</v>
      </c>
      <c r="J13639" s="647">
        <v>7.5</v>
      </c>
      <c r="K13639" s="648">
        <v>1</v>
      </c>
      <c r="L13639" s="552">
        <f>(I13639*J13639*K13639/1000)</f>
        <v>0.136125</v>
      </c>
      <c r="M13639" s="549"/>
      <c r="N13639" s="549"/>
      <c r="O13639" s="549"/>
      <c r="P13639" s="549"/>
      <c r="Q13639" s="1737" t="s">
        <v>1708</v>
      </c>
      <c r="R13639" s="1737"/>
      <c r="S13639" s="1737"/>
    </row>
    <row r="13640" spans="1:19" ht="17.399999999999999">
      <c r="A13640" s="549"/>
      <c r="B13640" s="549" t="s">
        <v>1027</v>
      </c>
      <c r="C13640" s="549"/>
      <c r="D13640" s="549"/>
      <c r="E13640" s="549"/>
      <c r="F13640" s="549"/>
      <c r="G13640" s="549"/>
      <c r="H13640" s="549"/>
      <c r="I13640" s="558"/>
      <c r="J13640" s="647"/>
      <c r="K13640" s="648">
        <f t="shared" ref="K13640:L13640" si="2744">SUM(K13639)</f>
        <v>1</v>
      </c>
      <c r="L13640" s="567">
        <f t="shared" si="2744"/>
        <v>0.136125</v>
      </c>
      <c r="M13640" s="549"/>
      <c r="N13640" s="549"/>
      <c r="O13640" s="549"/>
      <c r="P13640" s="549" t="s">
        <v>1667</v>
      </c>
      <c r="Q13640" s="1737"/>
      <c r="R13640" s="1737"/>
      <c r="S13640" s="1737"/>
    </row>
    <row r="13641" spans="1:19" s="1737" customFormat="1" ht="17.399999999999999">
      <c r="A13641" s="549"/>
      <c r="B13641" s="549"/>
      <c r="C13641" s="549"/>
      <c r="D13641" s="549"/>
      <c r="E13641" s="549"/>
      <c r="F13641" s="549"/>
      <c r="G13641" s="549"/>
      <c r="H13641" s="549"/>
      <c r="I13641" s="558"/>
      <c r="J13641" s="647"/>
      <c r="K13641" s="648"/>
      <c r="L13641" s="567"/>
      <c r="M13641" s="549"/>
      <c r="N13641" s="549"/>
      <c r="O13641" s="549"/>
      <c r="P13641" s="549"/>
    </row>
    <row r="13642" spans="1:19" ht="17.399999999999999">
      <c r="A13642" s="547" t="s">
        <v>83</v>
      </c>
      <c r="B13642" s="547" t="s">
        <v>1628</v>
      </c>
      <c r="C13642" s="547" t="s">
        <v>19</v>
      </c>
      <c r="D13642" s="813" t="s">
        <v>854</v>
      </c>
      <c r="E13642" s="650" t="s">
        <v>464</v>
      </c>
      <c r="F13642" s="550">
        <v>13</v>
      </c>
      <c r="G13642" s="549" t="s">
        <v>21</v>
      </c>
      <c r="H13642" s="599" t="s">
        <v>120</v>
      </c>
      <c r="I13642" s="558">
        <v>18.2</v>
      </c>
      <c r="J13642" s="567">
        <v>6.7</v>
      </c>
      <c r="K13642" s="648">
        <v>48</v>
      </c>
      <c r="L13642" s="552">
        <f>(I13642*J13642*K13642/1000)</f>
        <v>5.8531199999999997</v>
      </c>
      <c r="M13642" s="549"/>
      <c r="N13642" s="549"/>
      <c r="O13642" s="549"/>
      <c r="P13642" s="549"/>
      <c r="Q13642" s="1737" t="s">
        <v>1708</v>
      </c>
      <c r="R13642" s="1737"/>
      <c r="S13642" s="1737"/>
    </row>
    <row r="13643" spans="1:19" ht="17.399999999999999">
      <c r="A13643" s="549"/>
      <c r="B13643" s="1748" t="s">
        <v>585</v>
      </c>
      <c r="C13643" s="549"/>
      <c r="D13643" s="549"/>
      <c r="E13643" s="549"/>
      <c r="F13643" s="549"/>
      <c r="G13643" s="549" t="s">
        <v>21</v>
      </c>
      <c r="H13643" s="549" t="s">
        <v>120</v>
      </c>
      <c r="I13643" s="558">
        <v>18.2</v>
      </c>
      <c r="J13643" s="567">
        <v>11.1</v>
      </c>
      <c r="K13643" s="648">
        <v>6</v>
      </c>
      <c r="L13643" s="552">
        <f>(I13643*J13643*K13643/1000)</f>
        <v>1.2121199999999999</v>
      </c>
      <c r="M13643" s="549"/>
      <c r="N13643" s="549"/>
      <c r="O13643" s="549"/>
      <c r="P13643" s="549"/>
      <c r="Q13643" s="1737"/>
      <c r="R13643" s="1737"/>
      <c r="S13643" s="1737"/>
    </row>
    <row r="13644" spans="1:19" ht="17.399999999999999">
      <c r="A13644" s="549"/>
      <c r="B13644" s="549"/>
      <c r="C13644" s="549"/>
      <c r="D13644" s="549"/>
      <c r="E13644" s="549"/>
      <c r="F13644" s="549"/>
      <c r="G13644" s="549"/>
      <c r="H13644" s="549"/>
      <c r="I13644" s="558"/>
      <c r="J13644" s="567"/>
      <c r="K13644" s="648">
        <f t="shared" ref="K13644" si="2745">SUM(K13642:K13643)</f>
        <v>54</v>
      </c>
      <c r="L13644" s="567">
        <f>SUM(L13642:L13643)</f>
        <v>7.0652399999999993</v>
      </c>
      <c r="M13644" s="549"/>
      <c r="N13644" s="549"/>
      <c r="O13644" s="549"/>
      <c r="P13644" s="549" t="s">
        <v>1668</v>
      </c>
      <c r="Q13644" s="1737"/>
      <c r="R13644" s="1737"/>
      <c r="S13644" s="1737"/>
    </row>
    <row r="13645" spans="1:19" s="1737" customFormat="1" ht="17.399999999999999">
      <c r="A13645" s="549"/>
      <c r="B13645" s="549"/>
      <c r="C13645" s="549"/>
      <c r="D13645" s="549"/>
      <c r="E13645" s="549"/>
      <c r="F13645" s="549"/>
      <c r="G13645" s="549"/>
      <c r="H13645" s="549"/>
      <c r="I13645" s="558"/>
      <c r="J13645" s="567"/>
      <c r="K13645" s="648"/>
      <c r="L13645" s="567"/>
      <c r="M13645" s="549"/>
      <c r="N13645" s="549"/>
      <c r="O13645" s="549"/>
      <c r="P13645" s="549"/>
    </row>
    <row r="13646" spans="1:19" ht="17.399999999999999">
      <c r="A13646" s="547" t="s">
        <v>83</v>
      </c>
      <c r="B13646" s="547" t="s">
        <v>1559</v>
      </c>
      <c r="C13646" s="547" t="s">
        <v>19</v>
      </c>
      <c r="D13646" s="813" t="s">
        <v>854</v>
      </c>
      <c r="E13646" s="650" t="s">
        <v>464</v>
      </c>
      <c r="F13646" s="550">
        <v>13</v>
      </c>
      <c r="G13646" s="549" t="s">
        <v>21</v>
      </c>
      <c r="H13646" s="599" t="s">
        <v>120</v>
      </c>
      <c r="I13646" s="558">
        <v>18.2</v>
      </c>
      <c r="J13646" s="567">
        <v>7.5</v>
      </c>
      <c r="K13646" s="648">
        <v>6</v>
      </c>
      <c r="L13646" s="552">
        <f>(I13646*J13646*K13646/1000)</f>
        <v>0.81899999999999995</v>
      </c>
      <c r="M13646" s="549"/>
      <c r="N13646" s="567">
        <f>J13646*M13646*I13646/1000</f>
        <v>0</v>
      </c>
      <c r="O13646" s="549"/>
      <c r="P13646" s="549"/>
      <c r="Q13646" s="1737" t="s">
        <v>1708</v>
      </c>
      <c r="R13646" s="1737"/>
      <c r="S13646" s="1737"/>
    </row>
    <row r="13647" spans="1:19" ht="17.399999999999999">
      <c r="A13647" s="549"/>
      <c r="B13647" s="549" t="s">
        <v>439</v>
      </c>
      <c r="C13647" s="549"/>
      <c r="D13647" s="549"/>
      <c r="E13647" s="549"/>
      <c r="F13647" s="549"/>
      <c r="G13647" s="549" t="s">
        <v>21</v>
      </c>
      <c r="H13647" s="549" t="s">
        <v>120</v>
      </c>
      <c r="I13647" s="558">
        <v>18.2</v>
      </c>
      <c r="J13647" s="567">
        <v>10.9</v>
      </c>
      <c r="K13647" s="648">
        <v>3</v>
      </c>
      <c r="L13647" s="552">
        <f>(I13647*J13647*K13647/1000)</f>
        <v>0.59514</v>
      </c>
      <c r="M13647" s="549">
        <v>2</v>
      </c>
      <c r="N13647" s="567">
        <f>J13647*M13647*I13647/1000</f>
        <v>0.39676</v>
      </c>
      <c r="O13647" s="549"/>
      <c r="P13647" s="549"/>
      <c r="Q13647" s="1737"/>
      <c r="R13647" s="1737"/>
      <c r="S13647" s="1737"/>
    </row>
    <row r="13648" spans="1:19" ht="17.399999999999999">
      <c r="A13648" s="549"/>
      <c r="B13648" s="549"/>
      <c r="C13648" s="549"/>
      <c r="D13648" s="549"/>
      <c r="E13648" s="549"/>
      <c r="F13648" s="549"/>
      <c r="G13648" s="549"/>
      <c r="H13648" s="549"/>
      <c r="I13648" s="558"/>
      <c r="J13648" s="567"/>
      <c r="K13648" s="648">
        <f>SUM(K13646:K13647)</f>
        <v>9</v>
      </c>
      <c r="L13648" s="567">
        <f>SUM(L13646:L13647)</f>
        <v>1.41414</v>
      </c>
      <c r="M13648" s="648">
        <f>SUM(M13646:M13647)</f>
        <v>2</v>
      </c>
      <c r="N13648" s="567">
        <f>SUM(N13646:N13647)</f>
        <v>0.39676</v>
      </c>
      <c r="O13648" s="549"/>
      <c r="P13648" s="549" t="s">
        <v>1668</v>
      </c>
      <c r="Q13648" s="1737"/>
      <c r="R13648" s="1737"/>
      <c r="S13648" s="1737"/>
    </row>
    <row r="13649" spans="1:19" s="1737" customFormat="1" ht="17.399999999999999">
      <c r="A13649" s="549"/>
      <c r="B13649" s="549"/>
      <c r="C13649" s="549"/>
      <c r="D13649" s="549"/>
      <c r="E13649" s="549"/>
      <c r="F13649" s="549"/>
      <c r="G13649" s="549"/>
      <c r="H13649" s="549"/>
      <c r="I13649" s="558"/>
      <c r="J13649" s="567"/>
      <c r="K13649" s="648">
        <f>SUM(K13639:K13648)/2</f>
        <v>64</v>
      </c>
      <c r="L13649" s="567">
        <f>SUM(L13639:L13648)/2</f>
        <v>8.6155049999999989</v>
      </c>
      <c r="M13649" s="648">
        <f>SUM(M13639:M13648)/2</f>
        <v>2</v>
      </c>
      <c r="N13649" s="567">
        <f>SUM(N13639:N13648)/2</f>
        <v>0.39676</v>
      </c>
      <c r="O13649" s="549"/>
      <c r="P13649" s="549"/>
    </row>
    <row r="13650" spans="1:19" s="1737" customFormat="1" ht="17.399999999999999">
      <c r="A13650" s="549"/>
      <c r="B13650" s="549"/>
      <c r="C13650" s="549"/>
      <c r="D13650" s="549"/>
      <c r="E13650" s="549"/>
      <c r="F13650" s="549"/>
      <c r="G13650" s="549"/>
      <c r="H13650" s="549"/>
      <c r="I13650" s="558"/>
      <c r="J13650" s="567"/>
      <c r="K13650" s="648"/>
      <c r="L13650" s="567"/>
      <c r="M13650" s="549"/>
      <c r="N13650" s="549"/>
      <c r="O13650" s="549"/>
      <c r="P13650" s="549"/>
    </row>
    <row r="13651" spans="1:19" s="1737" customFormat="1" ht="17.399999999999999">
      <c r="A13651" s="549"/>
      <c r="B13651" s="549"/>
      <c r="C13651" s="549"/>
      <c r="D13651" s="549"/>
      <c r="E13651" s="549"/>
      <c r="F13651" s="549"/>
      <c r="G13651" s="549"/>
      <c r="H13651" s="549"/>
      <c r="I13651" s="558"/>
      <c r="J13651" s="567"/>
      <c r="K13651" s="648"/>
      <c r="L13651" s="567"/>
      <c r="M13651" s="549"/>
      <c r="N13651" s="549"/>
      <c r="O13651" s="549"/>
      <c r="P13651" s="549"/>
    </row>
    <row r="13652" spans="1:19" ht="17.399999999999999">
      <c r="A13652" s="547" t="s">
        <v>481</v>
      </c>
      <c r="B13652" s="547" t="s">
        <v>1629</v>
      </c>
      <c r="C13652" s="547" t="s">
        <v>19</v>
      </c>
      <c r="D13652" s="813" t="s">
        <v>854</v>
      </c>
      <c r="E13652" s="754" t="s">
        <v>420</v>
      </c>
      <c r="F13652" s="550">
        <v>13</v>
      </c>
      <c r="G13652" s="549" t="s">
        <v>21</v>
      </c>
      <c r="H13652" s="1798" t="s">
        <v>120</v>
      </c>
      <c r="I13652" s="558">
        <v>18.2</v>
      </c>
      <c r="J13652" s="1753">
        <v>11.6</v>
      </c>
      <c r="K13652" s="1749">
        <v>22</v>
      </c>
      <c r="L13652" s="725">
        <f>(I13652*J13652*K13652/1000)</f>
        <v>4.644639999999999</v>
      </c>
      <c r="M13652" s="549"/>
      <c r="N13652" s="567"/>
      <c r="O13652" s="549"/>
      <c r="P13652" s="549"/>
      <c r="Q13652" s="1737" t="s">
        <v>1708</v>
      </c>
      <c r="R13652" s="1737"/>
      <c r="S13652" s="1737"/>
    </row>
    <row r="13653" spans="1:19" ht="17.399999999999999">
      <c r="A13653" s="549"/>
      <c r="B13653" s="832" t="s">
        <v>1246</v>
      </c>
      <c r="C13653" s="549"/>
      <c r="D13653" s="549"/>
      <c r="E13653" s="549"/>
      <c r="F13653" s="549"/>
      <c r="G13653" s="549" t="s">
        <v>21</v>
      </c>
      <c r="H13653" s="953" t="s">
        <v>120</v>
      </c>
      <c r="I13653" s="558">
        <v>18.2</v>
      </c>
      <c r="J13653" s="1753">
        <v>10</v>
      </c>
      <c r="K13653" s="1749">
        <v>22</v>
      </c>
      <c r="L13653" s="725">
        <f>(I13653*J13653*K13653/1000)</f>
        <v>4.0039999999999996</v>
      </c>
      <c r="M13653" s="560"/>
      <c r="N13653" s="567"/>
      <c r="O13653" s="549"/>
      <c r="P13653" s="549"/>
      <c r="Q13653" s="1737"/>
      <c r="R13653" s="1737"/>
      <c r="S13653" s="1737"/>
    </row>
    <row r="13654" spans="1:19" s="1737" customFormat="1" ht="17.399999999999999">
      <c r="A13654" s="549"/>
      <c r="B13654" s="549"/>
      <c r="C13654" s="549"/>
      <c r="D13654" s="549"/>
      <c r="E13654" s="549"/>
      <c r="F13654" s="549"/>
      <c r="G13654" s="549"/>
      <c r="H13654" s="953"/>
      <c r="I13654" s="746"/>
      <c r="J13654" s="1749"/>
      <c r="K13654" s="1749">
        <f>SUM(K13652:K13653)</f>
        <v>44</v>
      </c>
      <c r="L13654" s="1750">
        <f>SUM(L13652:L13653)</f>
        <v>8.6486399999999986</v>
      </c>
      <c r="M13654" s="1749"/>
      <c r="N13654" s="1750"/>
      <c r="O13654" s="549"/>
      <c r="P13654" s="549" t="s">
        <v>1669</v>
      </c>
    </row>
    <row r="13655" spans="1:19" s="1737" customFormat="1" ht="17.399999999999999">
      <c r="A13655" s="549"/>
      <c r="B13655" s="549"/>
      <c r="C13655" s="549"/>
      <c r="D13655" s="549"/>
      <c r="E13655" s="549"/>
      <c r="F13655" s="549"/>
      <c r="G13655" s="549"/>
      <c r="H13655" s="953"/>
      <c r="I13655" s="746"/>
      <c r="J13655" s="1749"/>
      <c r="K13655" s="1749"/>
      <c r="L13655" s="1750"/>
      <c r="M13655" s="1749"/>
      <c r="N13655" s="1750"/>
      <c r="O13655" s="549"/>
      <c r="P13655" s="549"/>
    </row>
    <row r="13656" spans="1:19" s="1737" customFormat="1" ht="17.399999999999999">
      <c r="A13656" s="549"/>
      <c r="B13656" s="549"/>
      <c r="C13656" s="549"/>
      <c r="D13656" s="549"/>
      <c r="E13656" s="549"/>
      <c r="F13656" s="549"/>
      <c r="G13656" s="549"/>
      <c r="H13656" s="953"/>
      <c r="I13656" s="746"/>
      <c r="J13656" s="1749"/>
      <c r="K13656" s="1749"/>
      <c r="L13656" s="1750"/>
      <c r="M13656" s="1749"/>
      <c r="N13656" s="1750"/>
      <c r="O13656" s="549"/>
      <c r="P13656" s="549"/>
    </row>
    <row r="13657" spans="1:19" ht="17.399999999999999">
      <c r="A13657" s="547" t="s">
        <v>83</v>
      </c>
      <c r="B13657" s="547" t="s">
        <v>1455</v>
      </c>
      <c r="C13657" s="547" t="s">
        <v>19</v>
      </c>
      <c r="D13657" s="813" t="s">
        <v>854</v>
      </c>
      <c r="E13657" s="549" t="s">
        <v>367</v>
      </c>
      <c r="F13657" s="550">
        <v>13</v>
      </c>
      <c r="G13657" s="549" t="s">
        <v>21</v>
      </c>
      <c r="H13657" s="599" t="s">
        <v>1454</v>
      </c>
      <c r="I13657" s="558">
        <v>19.899999999999999</v>
      </c>
      <c r="J13657" s="567">
        <v>7.3</v>
      </c>
      <c r="K13657" s="648">
        <v>16</v>
      </c>
      <c r="L13657" s="552">
        <f>(I13657*J13657*K13657/1000)</f>
        <v>2.3243199999999997</v>
      </c>
      <c r="M13657" s="549">
        <v>3</v>
      </c>
      <c r="N13657" s="567">
        <f t="shared" ref="N13657:N13659" si="2746">J13657*M13657*I13657/1000</f>
        <v>0.43580999999999992</v>
      </c>
      <c r="O13657" s="549"/>
      <c r="P13657" s="549"/>
      <c r="Q13657" s="1737">
        <v>13</v>
      </c>
      <c r="R13657" s="126">
        <f>I13657*Q13657*J13657/1000</f>
        <v>1.8885099999999997</v>
      </c>
      <c r="S13657" s="1737" t="s">
        <v>1708</v>
      </c>
    </row>
    <row r="13658" spans="1:19" ht="17.399999999999999">
      <c r="A13658" s="549"/>
      <c r="B13658" s="728" t="s">
        <v>52</v>
      </c>
      <c r="C13658" s="549"/>
      <c r="D13658" s="549"/>
      <c r="E13658" s="549"/>
      <c r="F13658" s="549"/>
      <c r="G13658" s="549" t="s">
        <v>21</v>
      </c>
      <c r="H13658" s="549" t="s">
        <v>1454</v>
      </c>
      <c r="I13658" s="558">
        <v>19.899999999999999</v>
      </c>
      <c r="J13658" s="567">
        <v>11</v>
      </c>
      <c r="K13658" s="648">
        <v>40</v>
      </c>
      <c r="L13658" s="552">
        <f>(I13658*J13658*K13658/1000)</f>
        <v>8.7560000000000002</v>
      </c>
      <c r="M13658" s="549">
        <v>2</v>
      </c>
      <c r="N13658" s="567">
        <f t="shared" si="2746"/>
        <v>0.43779999999999997</v>
      </c>
      <c r="O13658" s="549"/>
      <c r="P13658" s="549"/>
      <c r="Q13658" s="1737">
        <f>12+2</f>
        <v>14</v>
      </c>
      <c r="R13658" s="126">
        <f t="shared" ref="R13658:R13659" si="2747">I13658*Q13658*J13658/1000</f>
        <v>3.0645999999999995</v>
      </c>
      <c r="S13658" s="1737"/>
    </row>
    <row r="13659" spans="1:19" ht="17.399999999999999">
      <c r="A13659" s="549"/>
      <c r="B13659" s="549"/>
      <c r="C13659" s="549"/>
      <c r="D13659" s="549"/>
      <c r="E13659" s="549"/>
      <c r="F13659" s="549"/>
      <c r="G13659" s="549" t="s">
        <v>21</v>
      </c>
      <c r="H13659" s="549" t="s">
        <v>1454</v>
      </c>
      <c r="I13659" s="558">
        <v>19.899999999999999</v>
      </c>
      <c r="J13659" s="567">
        <v>11.6</v>
      </c>
      <c r="K13659" s="648">
        <v>11</v>
      </c>
      <c r="L13659" s="552">
        <f>(I13659*J13659*K13659/1000)</f>
        <v>2.5392399999999999</v>
      </c>
      <c r="M13659" s="549"/>
      <c r="N13659" s="567">
        <f t="shared" si="2746"/>
        <v>0</v>
      </c>
      <c r="O13659" s="549"/>
      <c r="P13659" s="549"/>
      <c r="Q13659" s="1737">
        <v>8</v>
      </c>
      <c r="R13659" s="126">
        <f t="shared" si="2747"/>
        <v>1.8467199999999997</v>
      </c>
      <c r="S13659" s="1737"/>
    </row>
    <row r="13660" spans="1:19" ht="17.399999999999999">
      <c r="A13660" s="549"/>
      <c r="B13660" s="549"/>
      <c r="C13660" s="549"/>
      <c r="D13660" s="549"/>
      <c r="E13660" s="549"/>
      <c r="F13660" s="549"/>
      <c r="G13660" s="549"/>
      <c r="H13660" s="549"/>
      <c r="I13660" s="558"/>
      <c r="J13660" s="567"/>
      <c r="K13660" s="648">
        <f>SUM(K13657:K13659)</f>
        <v>67</v>
      </c>
      <c r="L13660" s="567">
        <f>SUM(L13657:L13659)</f>
        <v>13.61956</v>
      </c>
      <c r="M13660" s="648">
        <f>SUM(M13657:M13659)</f>
        <v>5</v>
      </c>
      <c r="N13660" s="567">
        <f>SUM(N13657:N13659)</f>
        <v>0.87360999999999989</v>
      </c>
      <c r="O13660" s="549"/>
      <c r="P13660" s="549" t="s">
        <v>1670</v>
      </c>
      <c r="Q13660" s="648">
        <f>SUM(Q13657:Q13659)</f>
        <v>35</v>
      </c>
      <c r="R13660" s="567">
        <f>SUM(R13657:R13659)</f>
        <v>6.7998299999999983</v>
      </c>
      <c r="S13660" s="1737"/>
    </row>
    <row r="13661" spans="1:19" s="1737" customFormat="1" ht="17.399999999999999">
      <c r="A13661" s="549"/>
      <c r="B13661" s="549"/>
      <c r="C13661" s="549"/>
      <c r="D13661" s="549"/>
      <c r="E13661" s="549"/>
      <c r="F13661" s="549"/>
      <c r="G13661" s="549"/>
      <c r="H13661" s="549"/>
      <c r="I13661" s="558"/>
      <c r="J13661" s="567"/>
      <c r="K13661" s="648"/>
      <c r="L13661" s="567"/>
      <c r="M13661" s="549"/>
      <c r="N13661" s="549"/>
      <c r="O13661" s="549"/>
      <c r="P13661" s="549"/>
    </row>
    <row r="13662" spans="1:19" s="1737" customFormat="1" ht="17.399999999999999">
      <c r="A13662" s="549"/>
      <c r="B13662" s="549"/>
      <c r="C13662" s="549"/>
      <c r="D13662" s="549"/>
      <c r="E13662" s="549"/>
      <c r="F13662" s="549"/>
      <c r="G13662" s="549"/>
      <c r="H13662" s="953"/>
      <c r="I13662" s="746"/>
      <c r="J13662" s="1749"/>
      <c r="K13662" s="1749"/>
      <c r="L13662" s="1750"/>
      <c r="M13662" s="1749"/>
      <c r="N13662" s="1750"/>
      <c r="O13662" s="549"/>
      <c r="P13662" s="549"/>
    </row>
    <row r="13663" spans="1:19" s="1737" customFormat="1" ht="17.399999999999999">
      <c r="A13663" s="549"/>
      <c r="B13663" s="549"/>
      <c r="C13663" s="549"/>
      <c r="D13663" s="549"/>
      <c r="E13663" s="549"/>
      <c r="F13663" s="549"/>
      <c r="G13663" s="549"/>
      <c r="H13663" s="953"/>
      <c r="I13663" s="746"/>
      <c r="J13663" s="1749"/>
      <c r="K13663" s="1749"/>
      <c r="L13663" s="1754"/>
      <c r="M13663" s="549"/>
      <c r="N13663" s="549"/>
      <c r="O13663" s="549"/>
      <c r="P13663" s="549"/>
    </row>
    <row r="13664" spans="1:19" ht="17.399999999999999">
      <c r="A13664" s="547" t="s">
        <v>83</v>
      </c>
      <c r="B13664" s="547" t="s">
        <v>1455</v>
      </c>
      <c r="C13664" s="547" t="s">
        <v>19</v>
      </c>
      <c r="D13664" s="813" t="s">
        <v>854</v>
      </c>
      <c r="E13664" s="549" t="s">
        <v>367</v>
      </c>
      <c r="F13664" s="550">
        <v>13</v>
      </c>
      <c r="G13664" s="549" t="s">
        <v>21</v>
      </c>
      <c r="H13664" s="599" t="s">
        <v>123</v>
      </c>
      <c r="I13664" s="558">
        <v>16.5</v>
      </c>
      <c r="J13664" s="567">
        <v>7.4</v>
      </c>
      <c r="K13664" s="648">
        <f>1164-613</f>
        <v>551</v>
      </c>
      <c r="L13664" s="552">
        <f>(I13664*J13664*K13664/1000)</f>
        <v>67.277100000000004</v>
      </c>
      <c r="M13664" s="549">
        <v>2</v>
      </c>
      <c r="N13664" s="567">
        <f t="shared" ref="N13664:N13665" si="2748">J13664*M13664*I13664/1000</f>
        <v>0.24420000000000003</v>
      </c>
      <c r="O13664" s="549"/>
      <c r="P13664" s="549"/>
      <c r="Q13664" s="1737">
        <f>22+21+21+21+21+21+21+21+21+21+21+16+26+21+21+21+21+21+21+21+17+17+18+18+18</f>
        <v>509</v>
      </c>
      <c r="R13664" s="126">
        <f t="shared" ref="R13664:R13665" si="2749">I13664*Q13664*J13664/1000</f>
        <v>62.148900000000005</v>
      </c>
      <c r="S13664" s="1737" t="s">
        <v>1708</v>
      </c>
    </row>
    <row r="13665" spans="1:19" ht="17.399999999999999">
      <c r="A13665" s="549"/>
      <c r="B13665" s="728" t="s">
        <v>52</v>
      </c>
      <c r="C13665" s="549"/>
      <c r="D13665" s="549"/>
      <c r="E13665" s="549"/>
      <c r="F13665" s="549"/>
      <c r="G13665" s="549" t="s">
        <v>21</v>
      </c>
      <c r="H13665" s="549" t="s">
        <v>123</v>
      </c>
      <c r="I13665" s="558">
        <v>16.5</v>
      </c>
      <c r="J13665" s="567">
        <v>11.15</v>
      </c>
      <c r="K13665" s="648">
        <f>582-97</f>
        <v>485</v>
      </c>
      <c r="L13665" s="552">
        <f>(I13665*J13665*K13665/1000)</f>
        <v>89.227874999999997</v>
      </c>
      <c r="M13665" s="549"/>
      <c r="N13665" s="567">
        <f t="shared" si="2748"/>
        <v>0</v>
      </c>
      <c r="O13665" s="549"/>
      <c r="P13665" s="549"/>
      <c r="Q13665" s="1737">
        <f>17+18+18+18+18+10</f>
        <v>99</v>
      </c>
      <c r="R13665" s="126">
        <f t="shared" si="2749"/>
        <v>18.213525000000001</v>
      </c>
      <c r="S13665" s="1737"/>
    </row>
    <row r="13666" spans="1:19" ht="17.399999999999999">
      <c r="A13666" s="549"/>
      <c r="B13666" s="549"/>
      <c r="C13666" s="549"/>
      <c r="D13666" s="549"/>
      <c r="E13666" s="549"/>
      <c r="F13666" s="549"/>
      <c r="G13666" s="549"/>
      <c r="H13666" s="549"/>
      <c r="I13666" s="558"/>
      <c r="J13666" s="567"/>
      <c r="K13666" s="648">
        <f t="shared" ref="K13666:M13666" si="2750">SUM(K13664:K13665)</f>
        <v>1036</v>
      </c>
      <c r="L13666" s="567">
        <f>SUM(L13664:L13665)</f>
        <v>156.504975</v>
      </c>
      <c r="M13666" s="648">
        <f t="shared" si="2750"/>
        <v>2</v>
      </c>
      <c r="N13666" s="567">
        <f>SUM(N13664:N13665)</f>
        <v>0.24420000000000003</v>
      </c>
      <c r="O13666" s="549"/>
      <c r="P13666" s="549" t="s">
        <v>1671</v>
      </c>
      <c r="Q13666" s="648">
        <f t="shared" ref="Q13666" si="2751">SUM(Q13664:Q13665)</f>
        <v>608</v>
      </c>
      <c r="R13666" s="567">
        <f>SUM(R13664:R13665)</f>
        <v>80.362425000000002</v>
      </c>
      <c r="S13666" s="1737"/>
    </row>
    <row r="13667" spans="1:19" ht="17.399999999999999">
      <c r="A13667" s="549"/>
      <c r="B13667" s="549"/>
      <c r="C13667" s="549"/>
      <c r="D13667" s="549"/>
      <c r="E13667" s="549"/>
      <c r="F13667" s="549"/>
      <c r="G13667" s="549"/>
      <c r="H13667" s="549"/>
      <c r="I13667" s="560"/>
      <c r="J13667" s="549"/>
      <c r="K13667" s="561"/>
      <c r="L13667" s="560"/>
      <c r="M13667" s="549"/>
      <c r="N13667" s="549"/>
      <c r="O13667" s="549"/>
      <c r="P13667" s="549"/>
      <c r="Q13667" s="1737"/>
      <c r="R13667" s="1737"/>
      <c r="S13667" s="1737"/>
    </row>
    <row r="13668" spans="1:19" ht="17.399999999999999">
      <c r="A13668" s="547" t="s">
        <v>395</v>
      </c>
      <c r="B13668" s="547" t="s">
        <v>1365</v>
      </c>
      <c r="C13668" s="547" t="s">
        <v>19</v>
      </c>
      <c r="D13668" s="813" t="s">
        <v>854</v>
      </c>
      <c r="E13668" s="547" t="s">
        <v>359</v>
      </c>
      <c r="F13668" s="550">
        <v>13</v>
      </c>
      <c r="G13668" s="549" t="s">
        <v>21</v>
      </c>
      <c r="H13668" s="599" t="s">
        <v>123</v>
      </c>
      <c r="I13668" s="558">
        <v>16.5</v>
      </c>
      <c r="J13668" s="567">
        <v>10.5</v>
      </c>
      <c r="K13668" s="648">
        <v>82</v>
      </c>
      <c r="L13668" s="552">
        <f>(I13668*J13668*K13668/1000)</f>
        <v>14.2065</v>
      </c>
      <c r="M13668" s="549"/>
      <c r="N13668" s="549"/>
      <c r="O13668" s="549"/>
      <c r="P13668" s="549"/>
      <c r="Q13668" s="1737">
        <f>15+10</f>
        <v>25</v>
      </c>
      <c r="R13668" s="126">
        <f>I13668*Q13668*J13668/1000</f>
        <v>4.3312499999999998</v>
      </c>
      <c r="S13668" s="1737" t="s">
        <v>1708</v>
      </c>
    </row>
    <row r="13669" spans="1:19" ht="17.399999999999999">
      <c r="A13669" s="549"/>
      <c r="B13669" s="1605" t="s">
        <v>277</v>
      </c>
      <c r="C13669" s="549"/>
      <c r="D13669" s="549"/>
      <c r="E13669" s="549"/>
      <c r="F13669" s="549"/>
      <c r="G13669" s="549"/>
      <c r="H13669" s="549"/>
      <c r="I13669" s="558"/>
      <c r="J13669" s="567"/>
      <c r="K13669" s="648">
        <f t="shared" ref="K13669:L13669" si="2752">SUM(K13668)</f>
        <v>82</v>
      </c>
      <c r="L13669" s="765">
        <f t="shared" si="2752"/>
        <v>14.2065</v>
      </c>
      <c r="M13669" s="549"/>
      <c r="N13669" s="549"/>
      <c r="O13669" s="549"/>
      <c r="P13669" s="549" t="s">
        <v>1672</v>
      </c>
      <c r="Q13669" s="648">
        <f t="shared" ref="Q13669:R13669" si="2753">SUM(Q13668)</f>
        <v>25</v>
      </c>
      <c r="R13669" s="765">
        <f t="shared" si="2753"/>
        <v>4.3312499999999998</v>
      </c>
      <c r="S13669" s="1737"/>
    </row>
    <row r="13670" spans="1:19" s="1737" customFormat="1" ht="17.399999999999999">
      <c r="A13670" s="549"/>
      <c r="B13670" s="1605"/>
      <c r="C13670" s="549"/>
      <c r="D13670" s="549"/>
      <c r="E13670" s="549"/>
      <c r="F13670" s="549"/>
      <c r="G13670" s="549"/>
      <c r="H13670" s="549"/>
      <c r="I13670" s="558"/>
      <c r="J13670" s="567"/>
      <c r="K13670" s="766">
        <f>SUM(K13664:K13669)/2</f>
        <v>1118</v>
      </c>
      <c r="L13670" s="765">
        <f>SUM(L13664:L13669)/2</f>
        <v>170.71147500000001</v>
      </c>
      <c r="M13670" s="766">
        <f>SUM(M13664:M13669)/2</f>
        <v>2</v>
      </c>
      <c r="N13670" s="765">
        <f>SUM(N13664:N13669)/2</f>
        <v>0.24420000000000003</v>
      </c>
      <c r="O13670" s="549"/>
      <c r="P13670" s="549"/>
    </row>
    <row r="13671" spans="1:19" s="1737" customFormat="1" ht="17.399999999999999">
      <c r="A13671" s="549"/>
      <c r="B13671" s="1605"/>
      <c r="C13671" s="549"/>
      <c r="D13671" s="549"/>
      <c r="E13671" s="549"/>
      <c r="F13671" s="549"/>
      <c r="G13671" s="549"/>
      <c r="H13671" s="549"/>
      <c r="I13671" s="558"/>
      <c r="J13671" s="567"/>
      <c r="K13671" s="766"/>
      <c r="L13671" s="765"/>
      <c r="M13671" s="549"/>
      <c r="N13671" s="549"/>
      <c r="O13671" s="549"/>
      <c r="P13671" s="549"/>
    </row>
    <row r="13672" spans="1:19" ht="17.399999999999999">
      <c r="A13672" s="549"/>
      <c r="B13672" s="549"/>
      <c r="C13672" s="549"/>
      <c r="D13672" s="549"/>
      <c r="E13672" s="549"/>
      <c r="F13672" s="549"/>
      <c r="G13672" s="549"/>
      <c r="H13672" s="549"/>
      <c r="I13672" s="560"/>
      <c r="J13672" s="549"/>
      <c r="K13672" s="561"/>
      <c r="L13672" s="560"/>
      <c r="M13672" s="549"/>
      <c r="N13672" s="549"/>
      <c r="O13672" s="549"/>
      <c r="P13672" s="549"/>
      <c r="Q13672" s="1737"/>
      <c r="R13672" s="1737"/>
      <c r="S13672" s="1737"/>
    </row>
    <row r="13673" spans="1:19" ht="17.399999999999999">
      <c r="A13673" s="547" t="s">
        <v>83</v>
      </c>
      <c r="B13673" s="547" t="s">
        <v>1559</v>
      </c>
      <c r="C13673" s="547" t="s">
        <v>19</v>
      </c>
      <c r="D13673" s="813" t="s">
        <v>854</v>
      </c>
      <c r="E13673" s="650" t="s">
        <v>464</v>
      </c>
      <c r="F13673" s="550">
        <v>13</v>
      </c>
      <c r="G13673" s="549" t="s">
        <v>21</v>
      </c>
      <c r="H13673" s="599" t="s">
        <v>123</v>
      </c>
      <c r="I13673" s="558">
        <v>16.5</v>
      </c>
      <c r="J13673" s="567">
        <v>7.2</v>
      </c>
      <c r="K13673" s="648">
        <v>1</v>
      </c>
      <c r="L13673" s="552">
        <f t="shared" ref="L13673:L13676" si="2754">(I13673*J13673*K13673/1000)</f>
        <v>0.1188</v>
      </c>
      <c r="M13673" s="549">
        <v>1</v>
      </c>
      <c r="N13673" s="567">
        <f t="shared" ref="N13673:N13675" si="2755">J13673*M13673*I13673/1000</f>
        <v>0.1188</v>
      </c>
      <c r="O13673" s="549"/>
      <c r="P13673" s="549"/>
      <c r="Q13673" s="1737" t="s">
        <v>1708</v>
      </c>
      <c r="R13673" s="1737"/>
      <c r="S13673" s="1737"/>
    </row>
    <row r="13674" spans="1:19" ht="17.399999999999999">
      <c r="A13674" s="549"/>
      <c r="B13674" s="549" t="s">
        <v>439</v>
      </c>
      <c r="C13674" s="549"/>
      <c r="D13674" s="549"/>
      <c r="E13674" s="549"/>
      <c r="F13674" s="549"/>
      <c r="G13674" s="549" t="s">
        <v>21</v>
      </c>
      <c r="H13674" s="549" t="s">
        <v>123</v>
      </c>
      <c r="I13674" s="558">
        <v>16.5</v>
      </c>
      <c r="J13674" s="567">
        <v>8.3000000000000007</v>
      </c>
      <c r="K13674" s="648">
        <v>2</v>
      </c>
      <c r="L13674" s="552">
        <f t="shared" si="2754"/>
        <v>0.27390000000000003</v>
      </c>
      <c r="M13674" s="549"/>
      <c r="N13674" s="567">
        <f t="shared" si="2755"/>
        <v>0</v>
      </c>
      <c r="O13674" s="549"/>
      <c r="P13674" s="549"/>
      <c r="Q13674" s="1737"/>
      <c r="R13674" s="1737"/>
      <c r="S13674" s="1737"/>
    </row>
    <row r="13675" spans="1:19" ht="17.399999999999999">
      <c r="A13675" s="549"/>
      <c r="B13675" s="549"/>
      <c r="C13675" s="549"/>
      <c r="D13675" s="549"/>
      <c r="E13675" s="549"/>
      <c r="F13675" s="549"/>
      <c r="G13675" s="549" t="s">
        <v>21</v>
      </c>
      <c r="H13675" s="549" t="s">
        <v>123</v>
      </c>
      <c r="I13675" s="558">
        <v>16.5</v>
      </c>
      <c r="J13675" s="567">
        <v>8.5</v>
      </c>
      <c r="K13675" s="648">
        <v>2</v>
      </c>
      <c r="L13675" s="552">
        <f t="shared" si="2754"/>
        <v>0.28050000000000003</v>
      </c>
      <c r="M13675" s="549"/>
      <c r="N13675" s="567">
        <f t="shared" si="2755"/>
        <v>0</v>
      </c>
      <c r="O13675" s="549"/>
      <c r="P13675" s="549"/>
      <c r="Q13675" s="1737"/>
      <c r="R13675" s="1737"/>
      <c r="S13675" s="1737"/>
    </row>
    <row r="13676" spans="1:19" ht="17.399999999999999">
      <c r="A13676" s="549"/>
      <c r="B13676" s="549"/>
      <c r="C13676" s="549"/>
      <c r="D13676" s="549"/>
      <c r="E13676" s="549"/>
      <c r="F13676" s="549"/>
      <c r="G13676" s="549" t="s">
        <v>21</v>
      </c>
      <c r="H13676" s="549" t="s">
        <v>123</v>
      </c>
      <c r="I13676" s="558">
        <v>16.5</v>
      </c>
      <c r="J13676" s="567">
        <v>10.1</v>
      </c>
      <c r="K13676" s="648">
        <v>2</v>
      </c>
      <c r="L13676" s="552">
        <f t="shared" si="2754"/>
        <v>0.33329999999999999</v>
      </c>
      <c r="M13676" s="549">
        <f>1+1</f>
        <v>2</v>
      </c>
      <c r="N13676" s="567">
        <f>J13676*M13676*I13676/1000</f>
        <v>0.33329999999999999</v>
      </c>
      <c r="O13676" s="549"/>
      <c r="P13676" s="549"/>
      <c r="Q13676" s="1737"/>
      <c r="R13676" s="1737"/>
      <c r="S13676" s="1737"/>
    </row>
    <row r="13677" spans="1:19" ht="17.399999999999999">
      <c r="A13677" s="549"/>
      <c r="B13677" s="549"/>
      <c r="C13677" s="549"/>
      <c r="D13677" s="549"/>
      <c r="E13677" s="549"/>
      <c r="F13677" s="549"/>
      <c r="G13677" s="549" t="s">
        <v>21</v>
      </c>
      <c r="H13677" s="549" t="s">
        <v>123</v>
      </c>
      <c r="I13677" s="558">
        <v>16.5</v>
      </c>
      <c r="J13677" s="567">
        <v>10.9</v>
      </c>
      <c r="K13677" s="648">
        <v>8</v>
      </c>
      <c r="L13677" s="552">
        <f>(I13677*J13677*K13677/1000)</f>
        <v>1.4387999999999999</v>
      </c>
      <c r="M13677" s="549">
        <v>3</v>
      </c>
      <c r="N13677" s="567">
        <f>J13677*M13677*I13677/1000</f>
        <v>0.53955000000000009</v>
      </c>
      <c r="O13677" s="549"/>
      <c r="P13677" s="549"/>
      <c r="Q13677" s="1737"/>
      <c r="R13677" s="1737"/>
      <c r="S13677" s="1737"/>
    </row>
    <row r="13678" spans="1:19" ht="17.399999999999999">
      <c r="A13678" s="549"/>
      <c r="B13678" s="549"/>
      <c r="C13678" s="549"/>
      <c r="D13678" s="549"/>
      <c r="E13678" s="549"/>
      <c r="F13678" s="549"/>
      <c r="G13678" s="549" t="s">
        <v>21</v>
      </c>
      <c r="H13678" s="549" t="s">
        <v>123</v>
      </c>
      <c r="I13678" s="558">
        <v>16.5</v>
      </c>
      <c r="J13678" s="567">
        <v>11.3</v>
      </c>
      <c r="K13678" s="648">
        <v>2</v>
      </c>
      <c r="L13678" s="552">
        <f>(I13678*J13678*K13678/1000)</f>
        <v>0.37290000000000001</v>
      </c>
      <c r="M13678" s="549">
        <v>1</v>
      </c>
      <c r="N13678" s="567">
        <f>J13678*M13678*I13678/1000</f>
        <v>0.18645</v>
      </c>
      <c r="O13678" s="549"/>
      <c r="P13678" s="549"/>
      <c r="Q13678" s="1737"/>
      <c r="R13678" s="1737"/>
      <c r="S13678" s="1737"/>
    </row>
    <row r="13679" spans="1:19" ht="17.399999999999999">
      <c r="A13679" s="549"/>
      <c r="B13679" s="549"/>
      <c r="C13679" s="549"/>
      <c r="D13679" s="549"/>
      <c r="E13679" s="549"/>
      <c r="F13679" s="549"/>
      <c r="G13679" s="549"/>
      <c r="H13679" s="549"/>
      <c r="I13679" s="558"/>
      <c r="J13679" s="567"/>
      <c r="K13679" s="648">
        <f t="shared" ref="K13679" si="2756">SUM(K13673:K13678)</f>
        <v>17</v>
      </c>
      <c r="L13679" s="567">
        <f>SUM(L13673:L13678)</f>
        <v>2.8181999999999996</v>
      </c>
      <c r="M13679" s="648">
        <f>SUM(M13673:M13678)</f>
        <v>7</v>
      </c>
      <c r="N13679" s="567">
        <f>SUM(N13673:N13678)</f>
        <v>1.1781000000000001</v>
      </c>
      <c r="O13679" s="549"/>
      <c r="P13679" s="549" t="s">
        <v>1674</v>
      </c>
      <c r="Q13679" s="1737"/>
      <c r="R13679" s="1737"/>
      <c r="S13679" s="1737"/>
    </row>
    <row r="13680" spans="1:19" s="1737" customFormat="1" ht="17.399999999999999">
      <c r="A13680" s="549"/>
      <c r="B13680" s="549"/>
      <c r="C13680" s="549"/>
      <c r="D13680" s="549"/>
      <c r="E13680" s="549"/>
      <c r="F13680" s="549"/>
      <c r="G13680" s="549"/>
      <c r="H13680" s="549"/>
      <c r="I13680" s="558"/>
      <c r="J13680" s="567"/>
      <c r="K13680" s="648"/>
      <c r="L13680" s="567"/>
      <c r="M13680" s="549"/>
      <c r="N13680" s="549"/>
      <c r="O13680" s="549"/>
      <c r="P13680" s="549"/>
    </row>
    <row r="13681" spans="1:19" s="1737" customFormat="1" ht="17.399999999999999">
      <c r="A13681" s="549"/>
      <c r="B13681" s="549"/>
      <c r="C13681" s="549"/>
      <c r="D13681" s="549"/>
      <c r="E13681" s="549"/>
      <c r="F13681" s="549"/>
      <c r="G13681" s="549"/>
      <c r="H13681" s="549"/>
      <c r="I13681" s="558"/>
      <c r="J13681" s="567"/>
      <c r="K13681" s="648"/>
      <c r="L13681" s="567"/>
      <c r="M13681" s="549"/>
      <c r="N13681" s="549"/>
      <c r="O13681" s="549"/>
      <c r="P13681" s="549"/>
    </row>
    <row r="13682" spans="1:19" ht="17.399999999999999">
      <c r="A13682" s="549"/>
      <c r="B13682" s="549"/>
      <c r="C13682" s="549"/>
      <c r="D13682" s="549"/>
      <c r="E13682" s="549"/>
      <c r="F13682" s="549"/>
      <c r="G13682" s="549"/>
      <c r="H13682" s="549"/>
      <c r="I13682" s="560"/>
      <c r="J13682" s="567"/>
      <c r="K13682" s="561"/>
      <c r="L13682" s="560"/>
      <c r="M13682" s="549"/>
      <c r="N13682" s="549"/>
      <c r="O13682" s="549"/>
      <c r="P13682" s="549"/>
      <c r="Q13682" s="1737"/>
      <c r="R13682" s="1737"/>
      <c r="S13682" s="1737"/>
    </row>
    <row r="13683" spans="1:19" ht="17.399999999999999">
      <c r="A13683" s="547" t="s">
        <v>83</v>
      </c>
      <c r="B13683" s="547" t="s">
        <v>1455</v>
      </c>
      <c r="C13683" s="547" t="s">
        <v>19</v>
      </c>
      <c r="D13683" s="813" t="s">
        <v>854</v>
      </c>
      <c r="E13683" s="549" t="s">
        <v>367</v>
      </c>
      <c r="F13683" s="550">
        <v>13</v>
      </c>
      <c r="G13683" s="549" t="s">
        <v>21</v>
      </c>
      <c r="H13683" s="599" t="s">
        <v>122</v>
      </c>
      <c r="I13683" s="558">
        <v>14.7</v>
      </c>
      <c r="J13683" s="567">
        <v>8.6</v>
      </c>
      <c r="K13683" s="648">
        <v>97</v>
      </c>
      <c r="L13683" s="552">
        <f>(I13683*J13683*K13683/1000)</f>
        <v>12.262739999999997</v>
      </c>
      <c r="M13683" s="549">
        <f>2+2+1</f>
        <v>5</v>
      </c>
      <c r="N13683" s="567">
        <f t="shared" ref="N13683" si="2757">J13683*M13683*I13683/1000</f>
        <v>0.6321</v>
      </c>
      <c r="O13683" s="549"/>
      <c r="P13683" s="549"/>
      <c r="Q13683" s="1737" t="s">
        <v>1709</v>
      </c>
      <c r="R13683" s="1737"/>
      <c r="S13683" s="1737"/>
    </row>
    <row r="13684" spans="1:19" ht="17.399999999999999">
      <c r="A13684" s="549"/>
      <c r="B13684" s="728" t="s">
        <v>52</v>
      </c>
      <c r="C13684" s="549"/>
      <c r="D13684" s="549"/>
      <c r="E13684" s="549"/>
      <c r="F13684" s="549"/>
      <c r="G13684" s="549"/>
      <c r="H13684" s="549"/>
      <c r="I13684" s="558"/>
      <c r="J13684" s="567"/>
      <c r="K13684" s="648">
        <f t="shared" ref="K13684:N13684" si="2758">SUM(K13683)</f>
        <v>97</v>
      </c>
      <c r="L13684" s="567">
        <f t="shared" si="2758"/>
        <v>12.262739999999997</v>
      </c>
      <c r="M13684" s="648">
        <f t="shared" si="2758"/>
        <v>5</v>
      </c>
      <c r="N13684" s="567">
        <f t="shared" si="2758"/>
        <v>0.6321</v>
      </c>
      <c r="O13684" s="549"/>
      <c r="P13684" s="549" t="s">
        <v>1673</v>
      </c>
      <c r="Q13684" s="1737"/>
      <c r="R13684" s="1737"/>
      <c r="S13684" s="1737"/>
    </row>
    <row r="13685" spans="1:19" ht="17.399999999999999">
      <c r="A13685" s="549"/>
      <c r="B13685" s="549"/>
      <c r="C13685" s="549"/>
      <c r="D13685" s="549"/>
      <c r="E13685" s="549"/>
      <c r="F13685" s="549"/>
      <c r="G13685" s="549"/>
      <c r="H13685" s="549"/>
      <c r="I13685" s="560"/>
      <c r="J13685" s="549"/>
      <c r="K13685" s="561"/>
      <c r="L13685" s="560"/>
      <c r="M13685" s="549"/>
      <c r="N13685" s="549"/>
      <c r="O13685" s="549"/>
      <c r="P13685" s="549"/>
      <c r="Q13685" s="1737"/>
      <c r="R13685" s="1737"/>
      <c r="S13685" s="1737"/>
    </row>
    <row r="13686" spans="1:19" ht="17.399999999999999">
      <c r="A13686" s="547" t="s">
        <v>395</v>
      </c>
      <c r="B13686" s="547" t="s">
        <v>1365</v>
      </c>
      <c r="C13686" s="547" t="s">
        <v>19</v>
      </c>
      <c r="D13686" s="813" t="s">
        <v>854</v>
      </c>
      <c r="E13686" s="547" t="s">
        <v>359</v>
      </c>
      <c r="F13686" s="550">
        <v>13</v>
      </c>
      <c r="G13686" s="549" t="s">
        <v>21</v>
      </c>
      <c r="H13686" s="599" t="s">
        <v>122</v>
      </c>
      <c r="I13686" s="558">
        <v>14.66</v>
      </c>
      <c r="J13686" s="567">
        <v>6.5</v>
      </c>
      <c r="K13686" s="648">
        <v>20</v>
      </c>
      <c r="L13686" s="552">
        <f t="shared" ref="L13686:L13688" si="2759">(I13686*J13686*K13686/1000)</f>
        <v>1.9058000000000002</v>
      </c>
      <c r="M13686" s="549">
        <f>1+5+2+1+3+1+1+1+2+1+2</f>
        <v>20</v>
      </c>
      <c r="N13686" s="567">
        <f t="shared" ref="N13686:N13688" si="2760">J13686*M13686*I13686/1000</f>
        <v>1.9057999999999999</v>
      </c>
      <c r="O13686" s="549"/>
      <c r="P13686" s="549"/>
      <c r="Q13686" s="1737" t="s">
        <v>1709</v>
      </c>
      <c r="R13686" s="1737"/>
      <c r="S13686" s="1737"/>
    </row>
    <row r="13687" spans="1:19" ht="17.399999999999999">
      <c r="A13687" s="549"/>
      <c r="B13687" s="1605" t="s">
        <v>277</v>
      </c>
      <c r="C13687" s="549"/>
      <c r="D13687" s="549"/>
      <c r="E13687" s="549"/>
      <c r="F13687" s="549"/>
      <c r="G13687" s="549" t="s">
        <v>21</v>
      </c>
      <c r="H13687" s="549" t="s">
        <v>122</v>
      </c>
      <c r="I13687" s="558">
        <v>14.66</v>
      </c>
      <c r="J13687" s="567">
        <v>10.5</v>
      </c>
      <c r="K13687" s="648">
        <v>20</v>
      </c>
      <c r="L13687" s="552">
        <f t="shared" si="2759"/>
        <v>3.0786000000000002</v>
      </c>
      <c r="M13687" s="549">
        <f>1+1</f>
        <v>2</v>
      </c>
      <c r="N13687" s="567">
        <f t="shared" si="2760"/>
        <v>0.30786000000000002</v>
      </c>
      <c r="O13687" s="549"/>
      <c r="P13687" s="549"/>
      <c r="Q13687" s="1737"/>
      <c r="R13687" s="1737"/>
      <c r="S13687" s="1737"/>
    </row>
    <row r="13688" spans="1:19" ht="17.399999999999999">
      <c r="A13688" s="549"/>
      <c r="B13688" s="549"/>
      <c r="C13688" s="549"/>
      <c r="D13688" s="549"/>
      <c r="E13688" s="549"/>
      <c r="F13688" s="549"/>
      <c r="G13688" s="549" t="s">
        <v>21</v>
      </c>
      <c r="H13688" s="549" t="s">
        <v>122</v>
      </c>
      <c r="I13688" s="558">
        <v>14.66</v>
      </c>
      <c r="J13688" s="567">
        <v>12</v>
      </c>
      <c r="K13688" s="648">
        <f>600-123</f>
        <v>477</v>
      </c>
      <c r="L13688" s="552">
        <f t="shared" si="2759"/>
        <v>83.913840000000008</v>
      </c>
      <c r="M13688" s="549"/>
      <c r="N13688" s="567">
        <f t="shared" si="2760"/>
        <v>0</v>
      </c>
      <c r="O13688" s="549"/>
      <c r="P13688" s="549"/>
      <c r="Q13688" s="1737"/>
      <c r="R13688" s="1737"/>
      <c r="S13688" s="1737"/>
    </row>
    <row r="13689" spans="1:19" ht="17.399999999999999">
      <c r="A13689" s="549"/>
      <c r="B13689" s="549"/>
      <c r="C13689" s="549"/>
      <c r="D13689" s="549"/>
      <c r="E13689" s="549"/>
      <c r="F13689" s="549"/>
      <c r="G13689" s="549"/>
      <c r="H13689" s="549"/>
      <c r="I13689" s="558"/>
      <c r="J13689" s="567"/>
      <c r="K13689" s="648">
        <f t="shared" ref="K13689:M13689" si="2761">SUM(K13686:K13688)</f>
        <v>517</v>
      </c>
      <c r="L13689" s="567">
        <f>SUM(L13686:L13688)</f>
        <v>88.898240000000015</v>
      </c>
      <c r="M13689" s="648">
        <f t="shared" si="2761"/>
        <v>22</v>
      </c>
      <c r="N13689" s="567">
        <f>SUM(N13686:N13688)</f>
        <v>2.21366</v>
      </c>
      <c r="O13689" s="549"/>
      <c r="P13689" s="549" t="s">
        <v>1675</v>
      </c>
      <c r="Q13689" s="1737"/>
      <c r="R13689" s="1737"/>
      <c r="S13689" s="1737"/>
    </row>
    <row r="13690" spans="1:19" ht="17.399999999999999">
      <c r="A13690" s="549"/>
      <c r="B13690" s="549"/>
      <c r="C13690" s="549"/>
      <c r="D13690" s="549"/>
      <c r="E13690" s="549"/>
      <c r="F13690" s="549"/>
      <c r="G13690" s="549"/>
      <c r="H13690" s="549"/>
      <c r="I13690" s="560"/>
      <c r="J13690" s="549"/>
      <c r="K13690" s="564">
        <f>SUM(K13683:K13689)/2</f>
        <v>614</v>
      </c>
      <c r="L13690" s="565">
        <f>SUM(L13683:L13689)/2</f>
        <v>101.16098000000001</v>
      </c>
      <c r="M13690" s="652">
        <f>SUM(M13683:M13689)/2</f>
        <v>27</v>
      </c>
      <c r="N13690" s="565">
        <f>SUM(N13683:N13689)/2</f>
        <v>2.8457599999999998</v>
      </c>
      <c r="O13690" s="549"/>
      <c r="P13690" s="549"/>
      <c r="Q13690" s="1737"/>
      <c r="R13690" s="1737"/>
      <c r="S13690" s="1737"/>
    </row>
    <row r="13691" spans="1:19" s="1737" customFormat="1" ht="17.399999999999999">
      <c r="A13691" s="549"/>
      <c r="B13691" s="549"/>
      <c r="C13691" s="549"/>
      <c r="D13691" s="549"/>
      <c r="E13691" s="549"/>
      <c r="F13691" s="549"/>
      <c r="G13691" s="549"/>
      <c r="H13691" s="549"/>
      <c r="I13691" s="560"/>
      <c r="J13691" s="549"/>
      <c r="K13691" s="564"/>
      <c r="L13691" s="565"/>
      <c r="M13691" s="549"/>
      <c r="N13691" s="549"/>
      <c r="O13691" s="549"/>
      <c r="P13691" s="549"/>
    </row>
    <row r="13692" spans="1:19" ht="17.399999999999999">
      <c r="A13692" s="549"/>
      <c r="B13692" s="549"/>
      <c r="C13692" s="549"/>
      <c r="D13692" s="549"/>
      <c r="E13692" s="549"/>
      <c r="F13692" s="549"/>
      <c r="G13692" s="549"/>
      <c r="H13692" s="549"/>
      <c r="I13692" s="560"/>
      <c r="J13692" s="549"/>
      <c r="K13692" s="561"/>
      <c r="L13692" s="560"/>
      <c r="M13692" s="549"/>
      <c r="N13692" s="549"/>
      <c r="O13692" s="549"/>
      <c r="P13692" s="549"/>
      <c r="Q13692" s="1737"/>
      <c r="R13692" s="1737"/>
      <c r="S13692" s="1737"/>
    </row>
    <row r="13693" spans="1:19" ht="17.399999999999999">
      <c r="A13693" s="547" t="s">
        <v>83</v>
      </c>
      <c r="B13693" s="547" t="s">
        <v>1628</v>
      </c>
      <c r="C13693" s="547" t="s">
        <v>19</v>
      </c>
      <c r="D13693" s="813" t="s">
        <v>854</v>
      </c>
      <c r="E13693" s="650" t="s">
        <v>464</v>
      </c>
      <c r="F13693" s="550">
        <v>13</v>
      </c>
      <c r="G13693" s="549" t="s">
        <v>21</v>
      </c>
      <c r="H13693" s="599" t="s">
        <v>122</v>
      </c>
      <c r="I13693" s="558">
        <v>14.7</v>
      </c>
      <c r="J13693" s="567">
        <v>9</v>
      </c>
      <c r="K13693" s="648">
        <v>48</v>
      </c>
      <c r="L13693" s="552">
        <f t="shared" ref="L13693" si="2762">(I13693*J13693*K13693/1000)</f>
        <v>6.3503999999999996</v>
      </c>
      <c r="M13693" s="549"/>
      <c r="N13693" s="549"/>
      <c r="O13693" s="549"/>
      <c r="P13693" s="549"/>
      <c r="Q13693" s="1737" t="s">
        <v>1709</v>
      </c>
      <c r="R13693" s="1737"/>
      <c r="S13693" s="1737"/>
    </row>
    <row r="13694" spans="1:19" ht="17.399999999999999">
      <c r="A13694" s="549"/>
      <c r="B13694" s="1748" t="s">
        <v>585</v>
      </c>
      <c r="C13694" s="549"/>
      <c r="D13694" s="549"/>
      <c r="E13694" s="549"/>
      <c r="F13694" s="549"/>
      <c r="G13694" s="549" t="s">
        <v>21</v>
      </c>
      <c r="H13694" s="549" t="s">
        <v>122</v>
      </c>
      <c r="I13694" s="558">
        <v>14.7</v>
      </c>
      <c r="J13694" s="567">
        <v>9.3000000000000007</v>
      </c>
      <c r="K13694" s="648">
        <v>40</v>
      </c>
      <c r="L13694" s="552">
        <f>(I13694*J13694*K13694/1000)</f>
        <v>5.4684000000000008</v>
      </c>
      <c r="M13694" s="549"/>
      <c r="N13694" s="549"/>
      <c r="O13694" s="549"/>
      <c r="P13694" s="549"/>
      <c r="Q13694" s="1737"/>
      <c r="R13694" s="1737"/>
      <c r="S13694" s="1737"/>
    </row>
    <row r="13695" spans="1:19" ht="17.399999999999999">
      <c r="A13695" s="549"/>
      <c r="B13695" s="549"/>
      <c r="C13695" s="549"/>
      <c r="D13695" s="549"/>
      <c r="E13695" s="549"/>
      <c r="F13695" s="549"/>
      <c r="G13695" s="549" t="s">
        <v>21</v>
      </c>
      <c r="H13695" s="549" t="s">
        <v>122</v>
      </c>
      <c r="I13695" s="558">
        <v>14.7</v>
      </c>
      <c r="J13695" s="567">
        <v>10.3</v>
      </c>
      <c r="K13695" s="648">
        <v>20</v>
      </c>
      <c r="L13695" s="552">
        <f>(I13695*J13695*K13695/1000)</f>
        <v>3.0282</v>
      </c>
      <c r="M13695" s="549"/>
      <c r="N13695" s="549"/>
      <c r="O13695" s="549"/>
      <c r="P13695" s="549"/>
      <c r="Q13695" s="1737"/>
      <c r="R13695" s="1737"/>
      <c r="S13695" s="1737"/>
    </row>
    <row r="13696" spans="1:19" ht="17.399999999999999">
      <c r="A13696" s="549"/>
      <c r="B13696" s="549"/>
      <c r="C13696" s="549"/>
      <c r="D13696" s="549"/>
      <c r="E13696" s="549"/>
      <c r="F13696" s="549"/>
      <c r="G13696" s="549" t="s">
        <v>21</v>
      </c>
      <c r="H13696" s="549" t="s">
        <v>122</v>
      </c>
      <c r="I13696" s="558">
        <v>14.7</v>
      </c>
      <c r="J13696" s="567">
        <v>11</v>
      </c>
      <c r="K13696" s="648">
        <v>48</v>
      </c>
      <c r="L13696" s="552">
        <f>(I13696*J13696*K13696/1000)</f>
        <v>7.7615999999999996</v>
      </c>
      <c r="M13696" s="549">
        <v>1</v>
      </c>
      <c r="N13696" s="567">
        <f t="shared" ref="N13696:N13697" si="2763">J13696*M13696*I13696/1000</f>
        <v>0.16169999999999998</v>
      </c>
      <c r="O13696" s="549"/>
      <c r="P13696" s="549"/>
      <c r="Q13696" s="1737"/>
      <c r="R13696" s="1737"/>
      <c r="S13696" s="1737"/>
    </row>
    <row r="13697" spans="1:19" ht="17.399999999999999">
      <c r="A13697" s="549"/>
      <c r="B13697" s="549"/>
      <c r="C13697" s="549"/>
      <c r="D13697" s="549"/>
      <c r="E13697" s="549"/>
      <c r="F13697" s="549"/>
      <c r="G13697" s="549" t="s">
        <v>21</v>
      </c>
      <c r="H13697" s="549" t="s">
        <v>122</v>
      </c>
      <c r="I13697" s="558">
        <v>14.7</v>
      </c>
      <c r="J13697" s="567">
        <v>11.7</v>
      </c>
      <c r="K13697" s="648">
        <v>116</v>
      </c>
      <c r="L13697" s="552">
        <f>(I13697*J13697*K13697/1000)</f>
        <v>19.950839999999996</v>
      </c>
      <c r="M13697" s="549">
        <v>6</v>
      </c>
      <c r="N13697" s="567">
        <f t="shared" si="2763"/>
        <v>1.0319399999999999</v>
      </c>
      <c r="O13697" s="549"/>
      <c r="P13697" s="549"/>
      <c r="Q13697" s="1737"/>
      <c r="R13697" s="1737"/>
      <c r="S13697" s="1737"/>
    </row>
    <row r="13698" spans="1:19" ht="17.399999999999999">
      <c r="A13698" s="549"/>
      <c r="B13698" s="549"/>
      <c r="C13698" s="549"/>
      <c r="D13698" s="549"/>
      <c r="E13698" s="549"/>
      <c r="F13698" s="549"/>
      <c r="G13698" s="549"/>
      <c r="H13698" s="549"/>
      <c r="I13698" s="558"/>
      <c r="J13698" s="567"/>
      <c r="K13698" s="648">
        <f t="shared" ref="K13698:M13698" si="2764">SUM(K13693:K13697)</f>
        <v>272</v>
      </c>
      <c r="L13698" s="567">
        <f>SUM(L13693:L13697)</f>
        <v>42.559439999999995</v>
      </c>
      <c r="M13698" s="648">
        <f t="shared" si="2764"/>
        <v>7</v>
      </c>
      <c r="N13698" s="567">
        <f>SUM(N13693:N13697)</f>
        <v>1.1936399999999998</v>
      </c>
      <c r="O13698" s="549"/>
      <c r="P13698" s="549" t="s">
        <v>1676</v>
      </c>
      <c r="Q13698" s="1737"/>
      <c r="R13698" s="1737"/>
      <c r="S13698" s="1737"/>
    </row>
    <row r="13699" spans="1:19" ht="17.399999999999999">
      <c r="A13699" s="549"/>
      <c r="B13699" s="549"/>
      <c r="C13699" s="549"/>
      <c r="D13699" s="549"/>
      <c r="E13699" s="549"/>
      <c r="F13699" s="549"/>
      <c r="G13699" s="549"/>
      <c r="H13699" s="549"/>
      <c r="I13699" s="560"/>
      <c r="J13699" s="549"/>
      <c r="K13699" s="561"/>
      <c r="L13699" s="560"/>
      <c r="M13699" s="549"/>
      <c r="N13699" s="549"/>
      <c r="O13699" s="549"/>
      <c r="P13699" s="549"/>
      <c r="Q13699" s="1737"/>
      <c r="R13699" s="1737"/>
      <c r="S13699" s="1737"/>
    </row>
    <row r="13700" spans="1:19" ht="17.399999999999999">
      <c r="A13700" s="547" t="s">
        <v>83</v>
      </c>
      <c r="B13700" s="547" t="s">
        <v>1559</v>
      </c>
      <c r="C13700" s="547" t="s">
        <v>19</v>
      </c>
      <c r="D13700" s="813" t="s">
        <v>854</v>
      </c>
      <c r="E13700" s="650" t="s">
        <v>464</v>
      </c>
      <c r="F13700" s="550">
        <v>13</v>
      </c>
      <c r="G13700" s="549" t="s">
        <v>21</v>
      </c>
      <c r="H13700" s="599" t="s">
        <v>122</v>
      </c>
      <c r="I13700" s="558">
        <v>14.7</v>
      </c>
      <c r="J13700" s="567">
        <v>10.1</v>
      </c>
      <c r="K13700" s="648">
        <v>21</v>
      </c>
      <c r="L13700" s="552">
        <f>(I13700*J13700*K13700/1000)</f>
        <v>3.1178699999999999</v>
      </c>
      <c r="M13700" s="549"/>
      <c r="N13700" s="549"/>
      <c r="O13700" s="549"/>
      <c r="P13700" s="549"/>
      <c r="Q13700" s="1737" t="s">
        <v>1709</v>
      </c>
      <c r="R13700" s="1737"/>
      <c r="S13700" s="1737"/>
    </row>
    <row r="13701" spans="1:19" ht="17.399999999999999">
      <c r="A13701" s="549"/>
      <c r="B13701" s="549" t="s">
        <v>439</v>
      </c>
      <c r="C13701" s="549"/>
      <c r="D13701" s="549"/>
      <c r="E13701" s="549"/>
      <c r="F13701" s="549"/>
      <c r="G13701" s="549" t="s">
        <v>21</v>
      </c>
      <c r="H13701" s="549" t="s">
        <v>122</v>
      </c>
      <c r="I13701" s="558">
        <v>14.7</v>
      </c>
      <c r="J13701" s="567">
        <v>12</v>
      </c>
      <c r="K13701" s="648">
        <v>6</v>
      </c>
      <c r="L13701" s="552">
        <f>(I13701*J13701*K13701/1000)</f>
        <v>1.0583999999999998</v>
      </c>
      <c r="M13701" s="549"/>
      <c r="N13701" s="549"/>
      <c r="O13701" s="549"/>
      <c r="P13701" s="549"/>
      <c r="Q13701" s="1737"/>
      <c r="R13701" s="1737"/>
      <c r="S13701" s="1737"/>
    </row>
    <row r="13702" spans="1:19" ht="17.399999999999999">
      <c r="A13702" s="549"/>
      <c r="B13702" s="549"/>
      <c r="C13702" s="549"/>
      <c r="D13702" s="549"/>
      <c r="E13702" s="549"/>
      <c r="F13702" s="549"/>
      <c r="G13702" s="549"/>
      <c r="H13702" s="549"/>
      <c r="I13702" s="558"/>
      <c r="J13702" s="567"/>
      <c r="K13702" s="648">
        <f t="shared" ref="K13702:L13702" si="2765">SUM(K13700:K13701)</f>
        <v>27</v>
      </c>
      <c r="L13702" s="567">
        <f t="shared" si="2765"/>
        <v>4.1762699999999997</v>
      </c>
      <c r="M13702" s="549"/>
      <c r="N13702" s="549"/>
      <c r="O13702" s="549"/>
      <c r="P13702" s="549" t="s">
        <v>1676</v>
      </c>
      <c r="Q13702" s="1737"/>
      <c r="R13702" s="1737"/>
      <c r="S13702" s="1737"/>
    </row>
    <row r="13703" spans="1:19" ht="17.399999999999999">
      <c r="A13703" s="549"/>
      <c r="B13703" s="549"/>
      <c r="C13703" s="549"/>
      <c r="D13703" s="549"/>
      <c r="E13703" s="549"/>
      <c r="F13703" s="549"/>
      <c r="G13703" s="549"/>
      <c r="H13703" s="549"/>
      <c r="I13703" s="560"/>
      <c r="J13703" s="549"/>
      <c r="K13703" s="561"/>
      <c r="L13703" s="560"/>
      <c r="M13703" s="549"/>
      <c r="N13703" s="549"/>
      <c r="O13703" s="549"/>
      <c r="P13703" s="549"/>
      <c r="Q13703" s="1737"/>
      <c r="R13703" s="1737"/>
      <c r="S13703" s="1737"/>
    </row>
    <row r="13704" spans="1:19" ht="17.399999999999999">
      <c r="A13704" s="547" t="s">
        <v>83</v>
      </c>
      <c r="B13704" s="547" t="s">
        <v>1558</v>
      </c>
      <c r="C13704" s="547" t="s">
        <v>19</v>
      </c>
      <c r="D13704" s="813" t="s">
        <v>854</v>
      </c>
      <c r="E13704" s="650" t="s">
        <v>464</v>
      </c>
      <c r="F13704" s="550">
        <v>13</v>
      </c>
      <c r="G13704" s="549" t="s">
        <v>21</v>
      </c>
      <c r="H13704" s="599" t="s">
        <v>122</v>
      </c>
      <c r="I13704" s="558">
        <v>14.7</v>
      </c>
      <c r="J13704" s="710">
        <v>12</v>
      </c>
      <c r="K13704" s="648">
        <v>12</v>
      </c>
      <c r="L13704" s="552">
        <f>(I13704*J13704*K13704/1000)</f>
        <v>2.1167999999999996</v>
      </c>
      <c r="M13704" s="549"/>
      <c r="N13704" s="549"/>
      <c r="O13704" s="549"/>
      <c r="P13704" s="549"/>
      <c r="Q13704" s="1737" t="s">
        <v>1709</v>
      </c>
      <c r="R13704" s="1737"/>
      <c r="S13704" s="1737"/>
    </row>
    <row r="13705" spans="1:19" ht="17.399999999999999">
      <c r="A13705" s="549"/>
      <c r="B13705" s="1748" t="s">
        <v>585</v>
      </c>
      <c r="C13705" s="549"/>
      <c r="D13705" s="549"/>
      <c r="E13705" s="549"/>
      <c r="F13705" s="549"/>
      <c r="G13705" s="549"/>
      <c r="H13705" s="650"/>
      <c r="I13705" s="558"/>
      <c r="J13705" s="710"/>
      <c r="K13705" s="648">
        <f>SUM(K13704:K13704)</f>
        <v>12</v>
      </c>
      <c r="L13705" s="765">
        <f>SUM(L13704:L13704)</f>
        <v>2.1167999999999996</v>
      </c>
      <c r="M13705" s="549"/>
      <c r="N13705" s="549"/>
      <c r="O13705" s="549"/>
      <c r="P13705" s="549" t="s">
        <v>1676</v>
      </c>
      <c r="Q13705" s="1737"/>
      <c r="R13705" s="1737"/>
      <c r="S13705" s="1737"/>
    </row>
    <row r="13706" spans="1:19" ht="17.399999999999999">
      <c r="A13706" s="549"/>
      <c r="B13706" s="549"/>
      <c r="C13706" s="549"/>
      <c r="D13706" s="549"/>
      <c r="E13706" s="549"/>
      <c r="F13706" s="549"/>
      <c r="G13706" s="549"/>
      <c r="H13706" s="549"/>
      <c r="I13706" s="558"/>
      <c r="J13706" s="549"/>
      <c r="K13706" s="561"/>
      <c r="L13706" s="560"/>
      <c r="M13706" s="549"/>
      <c r="N13706" s="549"/>
      <c r="O13706" s="549"/>
      <c r="P13706" s="549"/>
      <c r="Q13706" s="1737"/>
      <c r="R13706" s="1737"/>
      <c r="S13706" s="1737"/>
    </row>
    <row r="13707" spans="1:19" ht="17.399999999999999">
      <c r="A13707" s="547" t="s">
        <v>395</v>
      </c>
      <c r="B13707" s="547" t="s">
        <v>1560</v>
      </c>
      <c r="C13707" s="547" t="s">
        <v>19</v>
      </c>
      <c r="D13707" s="813" t="s">
        <v>854</v>
      </c>
      <c r="E13707" s="547" t="s">
        <v>1028</v>
      </c>
      <c r="F13707" s="550">
        <v>13</v>
      </c>
      <c r="G13707" s="549" t="s">
        <v>21</v>
      </c>
      <c r="H13707" s="599" t="s">
        <v>122</v>
      </c>
      <c r="I13707" s="558">
        <v>14.66</v>
      </c>
      <c r="J13707" s="567">
        <v>10.1</v>
      </c>
      <c r="K13707" s="648">
        <v>1</v>
      </c>
      <c r="L13707" s="552">
        <f>(I13707*J13707*K13707/1000)</f>
        <v>0.148066</v>
      </c>
      <c r="M13707" s="549">
        <v>1</v>
      </c>
      <c r="N13707" s="567">
        <f t="shared" ref="N13707" si="2766">J13707*M13707*I13707/1000</f>
        <v>0.148066</v>
      </c>
      <c r="O13707" s="549"/>
      <c r="P13707" s="549"/>
      <c r="Q13707" s="1737" t="s">
        <v>1709</v>
      </c>
      <c r="R13707" s="1737"/>
      <c r="S13707" s="1737"/>
    </row>
    <row r="13708" spans="1:19" ht="17.399999999999999">
      <c r="A13708" s="549"/>
      <c r="B13708" s="549" t="s">
        <v>1027</v>
      </c>
      <c r="C13708" s="549"/>
      <c r="D13708" s="549"/>
      <c r="E13708" s="549"/>
      <c r="F13708" s="549"/>
      <c r="G13708" s="549"/>
      <c r="H13708" s="549"/>
      <c r="I13708" s="558"/>
      <c r="J13708" s="647"/>
      <c r="K13708" s="648">
        <f t="shared" ref="K13708:M13708" si="2767">SUM(K13707)</f>
        <v>1</v>
      </c>
      <c r="L13708" s="567">
        <f>SUM(L13707)</f>
        <v>0.148066</v>
      </c>
      <c r="M13708" s="648">
        <f t="shared" si="2767"/>
        <v>1</v>
      </c>
      <c r="N13708" s="567">
        <f>SUM(N13707)</f>
        <v>0.148066</v>
      </c>
      <c r="O13708" s="549"/>
      <c r="P13708" s="549"/>
    </row>
    <row r="13709" spans="1:19" ht="17.399999999999999">
      <c r="A13709" s="549"/>
      <c r="B13709" s="549"/>
      <c r="C13709" s="549"/>
      <c r="D13709" s="549"/>
      <c r="E13709" s="549"/>
      <c r="F13709" s="549"/>
      <c r="G13709" s="549"/>
      <c r="H13709" s="549"/>
      <c r="I13709" s="560"/>
      <c r="J13709" s="549"/>
      <c r="K13709" s="652">
        <f>SUM(K13693:K13708)/2</f>
        <v>312</v>
      </c>
      <c r="L13709" s="565">
        <f>SUM(L13693:L13708)/2</f>
        <v>49.000575999999995</v>
      </c>
      <c r="M13709" s="652">
        <f>SUM(M13693:M13708)/2</f>
        <v>8</v>
      </c>
      <c r="N13709" s="565">
        <f>SUM(N13693:N13708)/2</f>
        <v>1.3417059999999998</v>
      </c>
      <c r="O13709" s="549"/>
      <c r="P13709" s="549"/>
    </row>
    <row r="13710" spans="1:19" ht="17.399999999999999">
      <c r="A13710" s="549"/>
      <c r="B13710" s="549"/>
      <c r="C13710" s="549"/>
      <c r="D13710" s="549"/>
      <c r="E13710" s="549"/>
      <c r="F13710" s="549"/>
      <c r="G13710" s="549"/>
      <c r="H13710" s="549"/>
      <c r="I13710" s="560"/>
      <c r="J13710" s="549"/>
      <c r="K13710" s="561"/>
      <c r="L13710" s="560"/>
      <c r="M13710" s="549"/>
      <c r="N13710" s="549"/>
      <c r="O13710" s="549"/>
      <c r="P13710" s="549"/>
    </row>
    <row r="13711" spans="1:19" s="1737" customFormat="1" ht="17.399999999999999">
      <c r="A13711" s="549"/>
      <c r="B13711" s="549"/>
      <c r="C13711" s="549"/>
      <c r="D13711" s="549"/>
      <c r="E13711" s="549"/>
      <c r="F13711" s="549"/>
      <c r="G13711" s="549"/>
      <c r="H13711" s="953"/>
      <c r="I13711" s="746"/>
      <c r="J13711" s="1749"/>
      <c r="K13711" s="1749"/>
      <c r="L13711" s="1754"/>
      <c r="M13711" s="549"/>
      <c r="N13711" s="549"/>
      <c r="O13711" s="549"/>
      <c r="P13711" s="549"/>
    </row>
    <row r="13712" spans="1:19" ht="17.399999999999999">
      <c r="A13712" s="547" t="s">
        <v>481</v>
      </c>
      <c r="B13712" s="979" t="s">
        <v>1629</v>
      </c>
      <c r="C13712" s="547" t="s">
        <v>19</v>
      </c>
      <c r="D13712" s="813" t="s">
        <v>854</v>
      </c>
      <c r="E13712" s="754" t="s">
        <v>420</v>
      </c>
      <c r="F13712" s="550">
        <v>13</v>
      </c>
      <c r="G13712" s="549" t="s">
        <v>21</v>
      </c>
      <c r="H13712" s="1798" t="s">
        <v>122</v>
      </c>
      <c r="I13712" s="558">
        <v>14.7</v>
      </c>
      <c r="J13712" s="1753">
        <v>7</v>
      </c>
      <c r="K13712" s="1749">
        <v>92</v>
      </c>
      <c r="L13712" s="725">
        <f>(I13712*J13712*K13712/1000)</f>
        <v>9.4667999999999992</v>
      </c>
      <c r="M13712" s="549"/>
      <c r="N13712" s="549"/>
      <c r="O13712" s="549"/>
      <c r="P13712" s="549"/>
      <c r="Q13712" s="1737" t="s">
        <v>1796</v>
      </c>
    </row>
    <row r="13713" spans="1:17" ht="17.399999999999999">
      <c r="A13713" s="549"/>
      <c r="B13713" s="832" t="s">
        <v>1246</v>
      </c>
      <c r="C13713" s="549"/>
      <c r="D13713" s="549"/>
      <c r="E13713" s="549"/>
      <c r="F13713" s="549"/>
      <c r="G13713" s="549" t="s">
        <v>21</v>
      </c>
      <c r="H13713" s="953" t="s">
        <v>122</v>
      </c>
      <c r="I13713" s="558">
        <v>14.7</v>
      </c>
      <c r="J13713" s="1753">
        <v>7.2</v>
      </c>
      <c r="K13713" s="1749">
        <v>92</v>
      </c>
      <c r="L13713" s="725">
        <f>(I13713*J13713*K13713/1000)</f>
        <v>9.7372800000000002</v>
      </c>
      <c r="M13713" s="549"/>
      <c r="N13713" s="549"/>
      <c r="O13713" s="549"/>
      <c r="P13713" s="549"/>
    </row>
    <row r="13714" spans="1:17" ht="17.399999999999999">
      <c r="A13714" s="549"/>
      <c r="B13714" s="549"/>
      <c r="C13714" s="549"/>
      <c r="D13714" s="549"/>
      <c r="E13714" s="549"/>
      <c r="F13714" s="549"/>
      <c r="G13714" s="549" t="s">
        <v>21</v>
      </c>
      <c r="H13714" s="953" t="s">
        <v>122</v>
      </c>
      <c r="I13714" s="558">
        <v>14.7</v>
      </c>
      <c r="J13714" s="1753">
        <v>11.8</v>
      </c>
      <c r="K13714" s="1749">
        <v>12</v>
      </c>
      <c r="L13714" s="725">
        <f>(I13714*J13714*K13714/1000)</f>
        <v>2.0815199999999998</v>
      </c>
      <c r="M13714" s="549"/>
      <c r="N13714" s="549"/>
      <c r="O13714" s="549"/>
      <c r="P13714" s="549"/>
    </row>
    <row r="13715" spans="1:17" ht="17.399999999999999">
      <c r="A13715" s="549"/>
      <c r="B13715" s="549"/>
      <c r="C13715" s="549"/>
      <c r="D13715" s="549"/>
      <c r="E13715" s="549"/>
      <c r="F13715" s="549"/>
      <c r="G13715" s="549" t="s">
        <v>21</v>
      </c>
      <c r="H13715" s="953" t="s">
        <v>122</v>
      </c>
      <c r="I13715" s="558">
        <v>14.7</v>
      </c>
      <c r="J13715" s="1753">
        <v>7.3</v>
      </c>
      <c r="K13715" s="1749">
        <v>12</v>
      </c>
      <c r="L13715" s="725">
        <f>(I13715*J13715*K13715/1000)</f>
        <v>1.2877199999999998</v>
      </c>
      <c r="M13715" s="549"/>
      <c r="N13715" s="549"/>
      <c r="O13715" s="549"/>
      <c r="P13715" s="549"/>
    </row>
    <row r="13716" spans="1:17" ht="17.399999999999999">
      <c r="A13716" s="549"/>
      <c r="B13716" s="549"/>
      <c r="C13716" s="549"/>
      <c r="D13716" s="549"/>
      <c r="E13716" s="549"/>
      <c r="F13716" s="549"/>
      <c r="G13716" s="549"/>
      <c r="H13716" s="2009"/>
      <c r="I13716" s="2009"/>
      <c r="J13716" s="2009"/>
      <c r="K13716" s="1751">
        <f>SUM(K13712:K13715)</f>
        <v>208</v>
      </c>
      <c r="L13716" s="1752">
        <f>SUM(L13712:L13715)</f>
        <v>22.573319999999999</v>
      </c>
      <c r="M13716" s="1751"/>
      <c r="N13716" s="1752"/>
      <c r="O13716" s="549"/>
      <c r="P13716" s="549" t="s">
        <v>1677</v>
      </c>
    </row>
    <row r="13717" spans="1:17" ht="17.399999999999999">
      <c r="A13717" s="549"/>
      <c r="B13717" s="549"/>
      <c r="C13717" s="549"/>
      <c r="D13717" s="549"/>
      <c r="E13717" s="549"/>
      <c r="F13717" s="549"/>
      <c r="G13717" s="549"/>
      <c r="H13717" s="549"/>
      <c r="I13717" s="560"/>
      <c r="J13717" s="549"/>
      <c r="K13717" s="561"/>
      <c r="L13717" s="560"/>
      <c r="M13717" s="549"/>
      <c r="N13717" s="549"/>
      <c r="O13717" s="549"/>
      <c r="P13717" s="549"/>
    </row>
    <row r="13718" spans="1:17" s="1737" customFormat="1" ht="17.399999999999999">
      <c r="A13718" s="549"/>
      <c r="B13718" s="549"/>
      <c r="C13718" s="549"/>
      <c r="D13718" s="549"/>
      <c r="E13718" s="549"/>
      <c r="F13718" s="549"/>
      <c r="G13718" s="549"/>
      <c r="H13718" s="549"/>
      <c r="I13718" s="560"/>
      <c r="J13718" s="549"/>
      <c r="K13718" s="561"/>
      <c r="L13718" s="560"/>
      <c r="M13718" s="549"/>
      <c r="N13718" s="549"/>
      <c r="O13718" s="549"/>
      <c r="P13718" s="549"/>
    </row>
    <row r="13719" spans="1:17" ht="17.399999999999999">
      <c r="A13719" s="549"/>
      <c r="B13719" s="549"/>
      <c r="C13719" s="549"/>
      <c r="D13719" s="549"/>
      <c r="E13719" s="549"/>
      <c r="F13719" s="549"/>
      <c r="G13719" s="549"/>
      <c r="H13719" s="549"/>
      <c r="I13719" s="560"/>
      <c r="J13719" s="549"/>
      <c r="K13719" s="561"/>
      <c r="L13719" s="560"/>
      <c r="M13719" s="549"/>
      <c r="N13719" s="549"/>
      <c r="O13719" s="549"/>
      <c r="P13719" s="549"/>
    </row>
    <row r="13720" spans="1:17" ht="17.399999999999999">
      <c r="A13720" s="547" t="s">
        <v>395</v>
      </c>
      <c r="B13720" s="547" t="s">
        <v>1365</v>
      </c>
      <c r="C13720" s="547" t="s">
        <v>19</v>
      </c>
      <c r="D13720" s="813" t="s">
        <v>854</v>
      </c>
      <c r="E13720" s="547" t="s">
        <v>359</v>
      </c>
      <c r="F13720" s="550">
        <v>13</v>
      </c>
      <c r="G13720" s="549" t="s">
        <v>21</v>
      </c>
      <c r="H13720" s="599" t="s">
        <v>121</v>
      </c>
      <c r="I13720" s="558">
        <v>12.9</v>
      </c>
      <c r="J13720" s="567">
        <v>8.5</v>
      </c>
      <c r="K13720" s="648">
        <f>400-87</f>
        <v>313</v>
      </c>
      <c r="L13720" s="552">
        <f t="shared" ref="L13720:L13722" si="2768">(I13720*J13720*K13720/1000)</f>
        <v>34.320450000000001</v>
      </c>
      <c r="M13720" s="549"/>
      <c r="N13720" s="549"/>
      <c r="O13720" s="549"/>
      <c r="P13720" s="549"/>
      <c r="Q13720" s="1737" t="s">
        <v>1795</v>
      </c>
    </row>
    <row r="13721" spans="1:17" ht="17.399999999999999">
      <c r="A13721" s="549"/>
      <c r="B13721" s="1605" t="s">
        <v>277</v>
      </c>
      <c r="C13721" s="549"/>
      <c r="D13721" s="549"/>
      <c r="E13721" s="549"/>
      <c r="F13721" s="549"/>
      <c r="G13721" s="549" t="s">
        <v>21</v>
      </c>
      <c r="H13721" s="549" t="s">
        <v>121</v>
      </c>
      <c r="I13721" s="558">
        <v>12.9</v>
      </c>
      <c r="J13721" s="567">
        <v>10</v>
      </c>
      <c r="K13721" s="648">
        <f>160-35</f>
        <v>125</v>
      </c>
      <c r="L13721" s="552">
        <f t="shared" si="2768"/>
        <v>16.125</v>
      </c>
      <c r="M13721" s="549"/>
      <c r="N13721" s="549"/>
      <c r="O13721" s="549"/>
      <c r="P13721" s="549"/>
    </row>
    <row r="13722" spans="1:17" ht="17.399999999999999">
      <c r="A13722" s="549"/>
      <c r="B13722" s="549"/>
      <c r="C13722" s="549"/>
      <c r="D13722" s="549"/>
      <c r="E13722" s="549"/>
      <c r="F13722" s="549"/>
      <c r="G13722" s="549" t="s">
        <v>21</v>
      </c>
      <c r="H13722" s="549" t="s">
        <v>121</v>
      </c>
      <c r="I13722" s="558">
        <v>12.9</v>
      </c>
      <c r="J13722" s="567">
        <v>10.5</v>
      </c>
      <c r="K13722" s="648">
        <v>34</v>
      </c>
      <c r="L13722" s="552">
        <f t="shared" si="2768"/>
        <v>4.6053000000000006</v>
      </c>
      <c r="M13722" s="549"/>
      <c r="N13722" s="549"/>
      <c r="O13722" s="549"/>
      <c r="P13722" s="549"/>
    </row>
    <row r="13723" spans="1:17" ht="17.399999999999999">
      <c r="A13723" s="549"/>
      <c r="B13723" s="549"/>
      <c r="C13723" s="549"/>
      <c r="D13723" s="549"/>
      <c r="E13723" s="549"/>
      <c r="F13723" s="549"/>
      <c r="G13723" s="549"/>
      <c r="H13723" s="549"/>
      <c r="I13723" s="558"/>
      <c r="J13723" s="567"/>
      <c r="K13723" s="648">
        <f>SUM(K13720:K13722)</f>
        <v>472</v>
      </c>
      <c r="L13723" s="765">
        <f>SUM(L13720:L13722)</f>
        <v>55.050750000000001</v>
      </c>
      <c r="M13723" s="549"/>
      <c r="N13723" s="549"/>
      <c r="O13723" s="549"/>
      <c r="P13723" s="549" t="s">
        <v>1678</v>
      </c>
    </row>
    <row r="13724" spans="1:17" s="1737" customFormat="1" ht="17.399999999999999">
      <c r="A13724" s="549"/>
      <c r="B13724" s="549"/>
      <c r="C13724" s="549"/>
      <c r="D13724" s="549"/>
      <c r="E13724" s="549"/>
      <c r="F13724" s="549"/>
      <c r="G13724" s="549"/>
      <c r="H13724" s="549"/>
      <c r="I13724" s="558"/>
      <c r="J13724" s="567"/>
      <c r="K13724" s="648"/>
      <c r="L13724" s="765"/>
      <c r="M13724" s="549"/>
      <c r="N13724" s="549"/>
      <c r="O13724" s="549"/>
      <c r="P13724" s="549"/>
    </row>
    <row r="13725" spans="1:17" s="1737" customFormat="1" ht="17.399999999999999">
      <c r="A13725" s="549"/>
      <c r="B13725" s="549"/>
      <c r="C13725" s="549"/>
      <c r="D13725" s="549"/>
      <c r="E13725" s="549"/>
      <c r="F13725" s="549"/>
      <c r="G13725" s="549"/>
      <c r="H13725" s="549"/>
      <c r="I13725" s="558"/>
      <c r="J13725" s="567"/>
      <c r="K13725" s="648"/>
      <c r="L13725" s="567"/>
      <c r="M13725" s="549"/>
      <c r="N13725" s="549"/>
      <c r="O13725" s="549"/>
      <c r="P13725" s="549"/>
    </row>
    <row r="13726" spans="1:17" ht="17.399999999999999">
      <c r="A13726" s="547" t="s">
        <v>83</v>
      </c>
      <c r="B13726" s="547" t="s">
        <v>1456</v>
      </c>
      <c r="C13726" s="547" t="s">
        <v>19</v>
      </c>
      <c r="D13726" s="813" t="s">
        <v>155</v>
      </c>
      <c r="E13726" s="547" t="s">
        <v>270</v>
      </c>
      <c r="F13726" s="550">
        <v>13</v>
      </c>
      <c r="G13726" s="549" t="s">
        <v>61</v>
      </c>
      <c r="H13726" s="599" t="s">
        <v>120</v>
      </c>
      <c r="I13726" s="558">
        <v>18.149999999999999</v>
      </c>
      <c r="J13726" s="567">
        <v>12</v>
      </c>
      <c r="K13726" s="648">
        <v>2</v>
      </c>
      <c r="L13726" s="552">
        <f>(I13726*J13726*K13726/1000)</f>
        <v>0.43559999999999999</v>
      </c>
      <c r="M13726" s="549">
        <v>2</v>
      </c>
      <c r="N13726" s="567">
        <f t="shared" ref="N13726" si="2769">J13726*M13726*I13726/1000</f>
        <v>0.43559999999999999</v>
      </c>
      <c r="O13726" s="549"/>
      <c r="P13726" s="549"/>
      <c r="Q13726" s="1737" t="s">
        <v>1795</v>
      </c>
    </row>
    <row r="13727" spans="1:17" ht="17.399999999999999">
      <c r="A13727" s="549"/>
      <c r="B13727" s="549"/>
      <c r="C13727" s="549"/>
      <c r="D13727" s="549"/>
      <c r="E13727" s="549"/>
      <c r="F13727" s="549"/>
      <c r="G13727" s="549"/>
      <c r="H13727" s="549"/>
      <c r="I13727" s="558"/>
      <c r="J13727" s="567"/>
      <c r="K13727" s="648">
        <f>SUM(K13726)</f>
        <v>2</v>
      </c>
      <c r="L13727" s="567">
        <f>SUM(L13726)</f>
        <v>0.43559999999999999</v>
      </c>
      <c r="M13727" s="648">
        <f>SUM(M13726)</f>
        <v>2</v>
      </c>
      <c r="N13727" s="567">
        <f>SUM(N13726)</f>
        <v>0.43559999999999999</v>
      </c>
      <c r="O13727" s="549"/>
      <c r="P13727" s="549"/>
    </row>
    <row r="13728" spans="1:17" ht="17.399999999999999">
      <c r="A13728" s="549"/>
      <c r="B13728" s="549"/>
      <c r="C13728" s="549"/>
      <c r="D13728" s="549"/>
      <c r="E13728" s="549"/>
      <c r="F13728" s="549"/>
      <c r="G13728" s="549"/>
      <c r="H13728" s="549"/>
      <c r="I13728" s="560"/>
      <c r="J13728" s="549"/>
      <c r="K13728" s="561"/>
      <c r="L13728" s="560"/>
      <c r="M13728" s="549"/>
      <c r="N13728" s="549"/>
      <c r="O13728" s="549"/>
      <c r="P13728" s="549"/>
    </row>
    <row r="13729" spans="1:17" ht="17.399999999999999">
      <c r="A13729" s="549"/>
      <c r="B13729" s="549"/>
      <c r="C13729" s="549"/>
      <c r="D13729" s="549"/>
      <c r="E13729" s="549"/>
      <c r="F13729" s="549"/>
      <c r="G13729" s="549"/>
      <c r="H13729" s="549"/>
      <c r="I13729" s="560"/>
      <c r="J13729" s="549"/>
      <c r="K13729" s="561"/>
      <c r="L13729" s="560"/>
      <c r="M13729" s="549"/>
      <c r="N13729" s="549"/>
      <c r="O13729" s="549"/>
      <c r="P13729" s="549"/>
    </row>
    <row r="13730" spans="1:17" ht="17.399999999999999">
      <c r="A13730" s="547" t="s">
        <v>395</v>
      </c>
      <c r="B13730" s="547" t="s">
        <v>1365</v>
      </c>
      <c r="C13730" s="547" t="s">
        <v>19</v>
      </c>
      <c r="D13730" s="813" t="s">
        <v>155</v>
      </c>
      <c r="E13730" s="547" t="s">
        <v>270</v>
      </c>
      <c r="F13730" s="550">
        <v>13</v>
      </c>
      <c r="G13730" s="549" t="s">
        <v>61</v>
      </c>
      <c r="H13730" s="599" t="s">
        <v>121</v>
      </c>
      <c r="I13730" s="558">
        <v>12.9</v>
      </c>
      <c r="J13730" s="567">
        <v>6.5</v>
      </c>
      <c r="K13730" s="648">
        <f>400-90</f>
        <v>310</v>
      </c>
      <c r="L13730" s="552">
        <f>(I13730*J13730*K13730/1000)</f>
        <v>25.993500000000004</v>
      </c>
      <c r="M13730" s="549"/>
      <c r="N13730" s="549"/>
      <c r="O13730" s="549"/>
      <c r="P13730" s="549"/>
      <c r="Q13730" s="1737" t="s">
        <v>1795</v>
      </c>
    </row>
    <row r="13731" spans="1:17" ht="17.399999999999999">
      <c r="A13731" s="549"/>
      <c r="B13731" s="1605" t="s">
        <v>277</v>
      </c>
      <c r="C13731" s="549"/>
      <c r="D13731" s="549"/>
      <c r="E13731" s="549"/>
      <c r="F13731" s="549"/>
      <c r="G13731" s="549"/>
      <c r="H13731" s="549"/>
      <c r="I13731" s="558"/>
      <c r="J13731" s="567"/>
      <c r="K13731" s="648">
        <f t="shared" ref="K13731" si="2770">SUM(K13730)</f>
        <v>310</v>
      </c>
      <c r="L13731" s="567">
        <f>SUM(L13730)</f>
        <v>25.993500000000004</v>
      </c>
      <c r="M13731" s="549"/>
      <c r="N13731" s="549"/>
      <c r="O13731" s="549"/>
      <c r="P13731" s="549" t="s">
        <v>1679</v>
      </c>
    </row>
    <row r="13732" spans="1:17" ht="17.399999999999999">
      <c r="A13732" s="549"/>
      <c r="B13732" s="549"/>
      <c r="C13732" s="549"/>
      <c r="D13732" s="549"/>
      <c r="E13732" s="549"/>
      <c r="F13732" s="549"/>
      <c r="G13732" s="549"/>
      <c r="H13732" s="549"/>
      <c r="I13732" s="560"/>
      <c r="J13732" s="549"/>
      <c r="K13732" s="561"/>
      <c r="L13732" s="560"/>
      <c r="M13732" s="549"/>
      <c r="N13732" s="549"/>
      <c r="O13732" s="549"/>
      <c r="P13732" s="549"/>
    </row>
    <row r="13733" spans="1:17" ht="17.399999999999999">
      <c r="A13733" s="549"/>
      <c r="B13733" s="549"/>
      <c r="C13733" s="549"/>
      <c r="D13733" s="549"/>
      <c r="E13733" s="549"/>
      <c r="F13733" s="549"/>
      <c r="G13733" s="549"/>
      <c r="H13733" s="549"/>
      <c r="I13733" s="560"/>
      <c r="J13733" s="549"/>
      <c r="K13733" s="561"/>
      <c r="L13733" s="560"/>
      <c r="M13733" s="549"/>
      <c r="N13733" s="549"/>
      <c r="O13733" s="549"/>
      <c r="P13733" s="549"/>
    </row>
    <row r="13734" spans="1:17" ht="17.399999999999999">
      <c r="A13734" s="549"/>
      <c r="B13734" s="549"/>
      <c r="C13734" s="549"/>
      <c r="D13734" s="549"/>
      <c r="E13734" s="549"/>
      <c r="F13734" s="549"/>
      <c r="G13734" s="549"/>
      <c r="H13734" s="549"/>
      <c r="I13734" s="560"/>
      <c r="J13734" s="549"/>
      <c r="K13734" s="561"/>
      <c r="L13734" s="560"/>
      <c r="M13734" s="549"/>
      <c r="N13734" s="549"/>
      <c r="O13734" s="549"/>
      <c r="P13734" s="549"/>
    </row>
    <row r="13735" spans="1:17" ht="17.399999999999999">
      <c r="A13735" s="549"/>
      <c r="B13735" s="549"/>
      <c r="C13735" s="549"/>
      <c r="D13735" s="549"/>
      <c r="E13735" s="549"/>
      <c r="F13735" s="549"/>
      <c r="G13735" s="549"/>
      <c r="H13735" s="549"/>
      <c r="I13735" s="560"/>
      <c r="J13735" s="549"/>
      <c r="K13735" s="561"/>
      <c r="L13735" s="560"/>
      <c r="M13735" s="549"/>
      <c r="N13735" s="549"/>
      <c r="O13735" s="549"/>
      <c r="P13735" s="549"/>
    </row>
    <row r="13736" spans="1:17" ht="17.399999999999999">
      <c r="A13736" s="547" t="s">
        <v>272</v>
      </c>
      <c r="B13736" s="547" t="s">
        <v>1664</v>
      </c>
      <c r="C13736" s="547" t="s">
        <v>446</v>
      </c>
      <c r="D13736" s="813" t="s">
        <v>447</v>
      </c>
      <c r="E13736" s="547" t="s">
        <v>359</v>
      </c>
      <c r="F13736" s="550">
        <v>13</v>
      </c>
      <c r="G13736" s="549" t="s">
        <v>21</v>
      </c>
      <c r="H13736" s="900" t="s">
        <v>121</v>
      </c>
      <c r="I13736" s="558">
        <v>12.9</v>
      </c>
      <c r="J13736" s="756">
        <v>10</v>
      </c>
      <c r="K13736" s="757">
        <v>32</v>
      </c>
      <c r="L13736" s="552">
        <f t="shared" ref="L13736:L13740" si="2771">(I13736*J13736*K13736/1000)</f>
        <v>4.1280000000000001</v>
      </c>
      <c r="M13736" s="567"/>
      <c r="N13736" s="549"/>
      <c r="O13736" s="549"/>
      <c r="P13736" s="549"/>
      <c r="Q13736" s="1737" t="s">
        <v>1795</v>
      </c>
    </row>
    <row r="13737" spans="1:17" ht="17.399999999999999">
      <c r="A13737" s="549"/>
      <c r="B13737" s="549"/>
      <c r="C13737" s="549"/>
      <c r="D13737" s="549"/>
      <c r="E13737" s="549"/>
      <c r="F13737" s="549"/>
      <c r="G13737" s="549" t="s">
        <v>21</v>
      </c>
      <c r="H13737" s="869" t="s">
        <v>121</v>
      </c>
      <c r="I13737" s="558">
        <v>12.9</v>
      </c>
      <c r="J13737" s="756">
        <v>10.5</v>
      </c>
      <c r="K13737" s="757">
        <v>72</v>
      </c>
      <c r="L13737" s="552">
        <f t="shared" si="2771"/>
        <v>9.7524000000000015</v>
      </c>
      <c r="M13737" s="567"/>
      <c r="N13737" s="549"/>
      <c r="O13737" s="549"/>
      <c r="P13737" s="549"/>
    </row>
    <row r="13738" spans="1:17" ht="17.399999999999999">
      <c r="A13738" s="549"/>
      <c r="B13738" s="549"/>
      <c r="C13738" s="549"/>
      <c r="D13738" s="549"/>
      <c r="E13738" s="549"/>
      <c r="F13738" s="549"/>
      <c r="G13738" s="549" t="s">
        <v>21</v>
      </c>
      <c r="H13738" s="869" t="s">
        <v>121</v>
      </c>
      <c r="I13738" s="558">
        <v>12.9</v>
      </c>
      <c r="J13738" s="756">
        <v>11</v>
      </c>
      <c r="K13738" s="757">
        <v>24</v>
      </c>
      <c r="L13738" s="552">
        <f t="shared" si="2771"/>
        <v>3.4056000000000002</v>
      </c>
      <c r="M13738" s="567"/>
      <c r="N13738" s="549"/>
      <c r="O13738" s="549"/>
      <c r="P13738" s="549"/>
    </row>
    <row r="13739" spans="1:17" ht="17.399999999999999">
      <c r="A13739" s="549"/>
      <c r="B13739" s="549"/>
      <c r="C13739" s="549"/>
      <c r="D13739" s="549"/>
      <c r="E13739" s="549"/>
      <c r="F13739" s="549"/>
      <c r="G13739" s="549" t="s">
        <v>21</v>
      </c>
      <c r="H13739" s="869" t="s">
        <v>121</v>
      </c>
      <c r="I13739" s="558">
        <v>12.9</v>
      </c>
      <c r="J13739" s="756">
        <v>11.5</v>
      </c>
      <c r="K13739" s="757">
        <v>48</v>
      </c>
      <c r="L13739" s="552">
        <f t="shared" si="2771"/>
        <v>7.1207999999999991</v>
      </c>
      <c r="M13739" s="567"/>
      <c r="N13739" s="549"/>
      <c r="O13739" s="549"/>
      <c r="P13739" s="549"/>
    </row>
    <row r="13740" spans="1:17" ht="17.399999999999999">
      <c r="A13740" s="549"/>
      <c r="B13740" s="549"/>
      <c r="C13740" s="549"/>
      <c r="D13740" s="549"/>
      <c r="E13740" s="549"/>
      <c r="F13740" s="549"/>
      <c r="G13740" s="549" t="s">
        <v>21</v>
      </c>
      <c r="H13740" s="869" t="s">
        <v>121</v>
      </c>
      <c r="I13740" s="558">
        <v>12.9</v>
      </c>
      <c r="J13740" s="756">
        <v>12</v>
      </c>
      <c r="K13740" s="757">
        <v>84</v>
      </c>
      <c r="L13740" s="552">
        <f t="shared" si="2771"/>
        <v>13.003200000000001</v>
      </c>
      <c r="M13740" s="567"/>
      <c r="N13740" s="549"/>
      <c r="O13740" s="549"/>
      <c r="P13740" s="549"/>
    </row>
    <row r="13741" spans="1:17" ht="17.399999999999999">
      <c r="A13741" s="549"/>
      <c r="B13741" s="549"/>
      <c r="C13741" s="549"/>
      <c r="D13741" s="549"/>
      <c r="E13741" s="549"/>
      <c r="F13741" s="549"/>
      <c r="G13741" s="549"/>
      <c r="H13741" s="869"/>
      <c r="I13741" s="751"/>
      <c r="J13741" s="756"/>
      <c r="K13741" s="757">
        <f t="shared" ref="K13741" si="2772">SUM(K13736:K13740)</f>
        <v>260</v>
      </c>
      <c r="L13741" s="552">
        <f>SUM(L13736:L13740)</f>
        <v>37.410000000000004</v>
      </c>
      <c r="M13741" s="549"/>
      <c r="N13741" s="549"/>
      <c r="O13741" s="549"/>
      <c r="P13741" s="549" t="s">
        <v>1680</v>
      </c>
    </row>
    <row r="13742" spans="1:17" s="1737" customFormat="1" ht="17.399999999999999">
      <c r="A13742" s="549"/>
      <c r="B13742" s="549"/>
      <c r="C13742" s="549"/>
      <c r="D13742" s="549"/>
      <c r="E13742" s="549"/>
      <c r="F13742" s="549"/>
      <c r="G13742" s="549"/>
      <c r="H13742" s="869"/>
      <c r="I13742" s="751"/>
      <c r="J13742" s="756"/>
      <c r="K13742" s="757"/>
      <c r="L13742" s="552"/>
      <c r="M13742" s="549"/>
      <c r="N13742" s="549"/>
      <c r="O13742" s="549"/>
      <c r="P13742" s="549"/>
    </row>
    <row r="13743" spans="1:17" s="1737" customFormat="1" ht="17.399999999999999">
      <c r="A13743" s="549"/>
      <c r="B13743" s="549"/>
      <c r="C13743" s="549"/>
      <c r="D13743" s="549"/>
      <c r="E13743" s="549"/>
      <c r="F13743" s="549"/>
      <c r="G13743" s="549"/>
      <c r="H13743" s="869"/>
      <c r="I13743" s="751"/>
      <c r="J13743" s="756"/>
      <c r="K13743" s="757"/>
      <c r="L13743" s="552"/>
      <c r="M13743" s="549"/>
      <c r="N13743" s="549"/>
      <c r="O13743" s="549"/>
      <c r="P13743" s="549"/>
    </row>
    <row r="13744" spans="1:17" ht="17.399999999999999">
      <c r="A13744" s="547" t="s">
        <v>272</v>
      </c>
      <c r="B13744" s="547" t="s">
        <v>1664</v>
      </c>
      <c r="C13744" s="547" t="s">
        <v>446</v>
      </c>
      <c r="D13744" s="813" t="s">
        <v>447</v>
      </c>
      <c r="E13744" s="547" t="s">
        <v>359</v>
      </c>
      <c r="F13744" s="550">
        <v>13</v>
      </c>
      <c r="G13744" s="549" t="s">
        <v>21</v>
      </c>
      <c r="H13744" s="900" t="s">
        <v>122</v>
      </c>
      <c r="I13744" s="751">
        <v>14.66</v>
      </c>
      <c r="J13744" s="756">
        <v>7.1</v>
      </c>
      <c r="K13744" s="757">
        <v>48</v>
      </c>
      <c r="L13744" s="552">
        <f t="shared" ref="L13744:L13747" si="2773">(I13744*J13744*K13744/1000)</f>
        <v>4.9961279999999997</v>
      </c>
      <c r="M13744" s="567"/>
      <c r="N13744" s="549"/>
      <c r="O13744" s="549"/>
      <c r="P13744" s="549"/>
      <c r="Q13744" s="1737" t="s">
        <v>1795</v>
      </c>
    </row>
    <row r="13745" spans="1:17" ht="17.399999999999999">
      <c r="A13745" s="549"/>
      <c r="B13745" s="549"/>
      <c r="C13745" s="549"/>
      <c r="D13745" s="549"/>
      <c r="E13745" s="549"/>
      <c r="F13745" s="549"/>
      <c r="G13745" s="549" t="s">
        <v>21</v>
      </c>
      <c r="H13745" s="869" t="s">
        <v>122</v>
      </c>
      <c r="I13745" s="751">
        <v>14.66</v>
      </c>
      <c r="J13745" s="756">
        <v>11</v>
      </c>
      <c r="K13745" s="757">
        <v>36</v>
      </c>
      <c r="L13745" s="552">
        <f t="shared" si="2773"/>
        <v>5.8053599999999994</v>
      </c>
      <c r="M13745" s="567"/>
      <c r="N13745" s="549"/>
      <c r="O13745" s="549"/>
      <c r="P13745" s="549"/>
    </row>
    <row r="13746" spans="1:17" ht="17.399999999999999">
      <c r="A13746" s="549"/>
      <c r="B13746" s="549"/>
      <c r="C13746" s="549"/>
      <c r="D13746" s="549"/>
      <c r="E13746" s="549"/>
      <c r="F13746" s="549"/>
      <c r="G13746" s="549" t="s">
        <v>21</v>
      </c>
      <c r="H13746" s="869" t="s">
        <v>122</v>
      </c>
      <c r="I13746" s="751">
        <v>14.66</v>
      </c>
      <c r="J13746" s="756">
        <v>11.5</v>
      </c>
      <c r="K13746" s="757">
        <v>24</v>
      </c>
      <c r="L13746" s="552">
        <f t="shared" si="2773"/>
        <v>4.0461599999999995</v>
      </c>
      <c r="M13746" s="567"/>
      <c r="N13746" s="549"/>
      <c r="O13746" s="549"/>
      <c r="P13746" s="549"/>
    </row>
    <row r="13747" spans="1:17" ht="17.399999999999999">
      <c r="A13747" s="549"/>
      <c r="B13747" s="549"/>
      <c r="C13747" s="549"/>
      <c r="D13747" s="549"/>
      <c r="E13747" s="549"/>
      <c r="F13747" s="549"/>
      <c r="G13747" s="549" t="s">
        <v>21</v>
      </c>
      <c r="H13747" s="869" t="s">
        <v>122</v>
      </c>
      <c r="I13747" s="751">
        <v>14.66</v>
      </c>
      <c r="J13747" s="756">
        <v>12</v>
      </c>
      <c r="K13747" s="757">
        <v>8</v>
      </c>
      <c r="L13747" s="552">
        <f t="shared" si="2773"/>
        <v>1.4073600000000002</v>
      </c>
      <c r="M13747" s="567"/>
      <c r="N13747" s="549"/>
      <c r="O13747" s="549"/>
      <c r="P13747" s="549"/>
    </row>
    <row r="13748" spans="1:17" s="1737" customFormat="1" ht="17.399999999999999">
      <c r="A13748" s="549"/>
      <c r="B13748" s="549"/>
      <c r="C13748" s="549"/>
      <c r="D13748" s="549"/>
      <c r="E13748" s="549"/>
      <c r="F13748" s="549"/>
      <c r="G13748" s="549"/>
      <c r="H13748" s="869"/>
      <c r="I13748" s="751"/>
      <c r="J13748" s="756"/>
      <c r="K13748" s="757">
        <f t="shared" ref="K13748" si="2774">SUM(K13744:K13747)</f>
        <v>116</v>
      </c>
      <c r="L13748" s="552">
        <f>SUM(L13744:L13747)</f>
        <v>16.255008</v>
      </c>
      <c r="M13748" s="567"/>
      <c r="N13748" s="549"/>
      <c r="O13748" s="549"/>
      <c r="P13748" s="549" t="s">
        <v>1681</v>
      </c>
    </row>
    <row r="13749" spans="1:17" s="1737" customFormat="1" ht="17.399999999999999">
      <c r="A13749" s="549"/>
      <c r="B13749" s="549"/>
      <c r="C13749" s="549"/>
      <c r="D13749" s="549"/>
      <c r="E13749" s="549"/>
      <c r="F13749" s="549"/>
      <c r="G13749" s="549"/>
      <c r="H13749" s="869"/>
      <c r="I13749" s="751"/>
      <c r="J13749" s="756"/>
      <c r="K13749" s="757"/>
      <c r="L13749" s="552"/>
      <c r="M13749" s="567"/>
      <c r="N13749" s="549"/>
      <c r="O13749" s="549"/>
      <c r="P13749" s="549"/>
    </row>
    <row r="13750" spans="1:17" ht="17.399999999999999">
      <c r="A13750" s="547" t="s">
        <v>272</v>
      </c>
      <c r="B13750" s="547" t="s">
        <v>1665</v>
      </c>
      <c r="C13750" s="547" t="s">
        <v>446</v>
      </c>
      <c r="D13750" s="813" t="s">
        <v>447</v>
      </c>
      <c r="E13750" s="547" t="s">
        <v>359</v>
      </c>
      <c r="F13750" s="550">
        <v>13</v>
      </c>
      <c r="G13750" s="549" t="s">
        <v>21</v>
      </c>
      <c r="H13750" s="900" t="s">
        <v>122</v>
      </c>
      <c r="I13750" s="751">
        <v>14.66</v>
      </c>
      <c r="J13750" s="756">
        <v>7.1</v>
      </c>
      <c r="K13750" s="757">
        <v>24</v>
      </c>
      <c r="L13750" s="552">
        <f t="shared" ref="L13750:L13751" si="2775">(I13750*J13750*K13750/1000)</f>
        <v>2.4980639999999998</v>
      </c>
      <c r="M13750" s="549"/>
      <c r="N13750" s="549"/>
      <c r="O13750" s="549"/>
      <c r="P13750" s="549"/>
      <c r="Q13750" s="1737" t="s">
        <v>1795</v>
      </c>
    </row>
    <row r="13751" spans="1:17" ht="17.399999999999999">
      <c r="A13751" s="549"/>
      <c r="B13751" s="549"/>
      <c r="C13751" s="549"/>
      <c r="D13751" s="549"/>
      <c r="E13751" s="549"/>
      <c r="F13751" s="549"/>
      <c r="G13751" s="549" t="s">
        <v>21</v>
      </c>
      <c r="H13751" s="869" t="s">
        <v>122</v>
      </c>
      <c r="I13751" s="751">
        <v>14.66</v>
      </c>
      <c r="J13751" s="756">
        <v>11</v>
      </c>
      <c r="K13751" s="757">
        <v>4</v>
      </c>
      <c r="L13751" s="552">
        <f t="shared" si="2775"/>
        <v>0.64503999999999995</v>
      </c>
      <c r="M13751" s="549"/>
      <c r="N13751" s="549"/>
      <c r="O13751" s="549"/>
      <c r="P13751" s="549"/>
    </row>
    <row r="13752" spans="1:17" ht="17.399999999999999">
      <c r="A13752" s="549"/>
      <c r="B13752" s="549"/>
      <c r="C13752" s="549"/>
      <c r="D13752" s="549"/>
      <c r="E13752" s="549"/>
      <c r="F13752" s="549"/>
      <c r="G13752" s="549"/>
      <c r="H13752" s="549"/>
      <c r="I13752" s="560"/>
      <c r="J13752" s="549"/>
      <c r="K13752" s="561">
        <f t="shared" ref="K13752" si="2776">SUM(K13750:K13751)</f>
        <v>28</v>
      </c>
      <c r="L13752" s="565">
        <f>SUM(L13750:L13751)</f>
        <v>3.1431039999999997</v>
      </c>
      <c r="M13752" s="549"/>
      <c r="N13752" s="549"/>
      <c r="O13752" s="549"/>
      <c r="P13752" s="549" t="s">
        <v>1681</v>
      </c>
    </row>
    <row r="13753" spans="1:17" ht="17.399999999999999">
      <c r="A13753" s="549"/>
      <c r="B13753" s="549"/>
      <c r="C13753" s="549"/>
      <c r="D13753" s="549"/>
      <c r="E13753" s="549"/>
      <c r="F13753" s="549"/>
      <c r="G13753" s="549"/>
      <c r="H13753" s="549"/>
      <c r="I13753" s="560"/>
      <c r="J13753" s="549"/>
      <c r="K13753" s="652">
        <f>+K13752+K13748</f>
        <v>144</v>
      </c>
      <c r="L13753" s="565">
        <f>+L13752+L13748</f>
        <v>19.398112000000001</v>
      </c>
      <c r="M13753" s="549"/>
      <c r="N13753" s="549"/>
      <c r="O13753" s="549"/>
      <c r="P13753" s="549"/>
    </row>
    <row r="13754" spans="1:17" ht="17.399999999999999">
      <c r="A13754" s="549"/>
      <c r="B13754" s="549"/>
      <c r="C13754" s="549"/>
      <c r="D13754" s="549"/>
      <c r="E13754" s="549"/>
      <c r="F13754" s="549"/>
      <c r="G13754" s="549"/>
      <c r="H13754" s="869"/>
      <c r="I13754" s="751"/>
      <c r="J13754" s="756"/>
      <c r="K13754" s="757"/>
      <c r="L13754" s="1755"/>
      <c r="M13754" s="549"/>
      <c r="N13754" s="549"/>
      <c r="O13754" s="549"/>
      <c r="P13754" s="549"/>
    </row>
    <row r="13755" spans="1:17" ht="17.399999999999999">
      <c r="A13755" s="547" t="s">
        <v>272</v>
      </c>
      <c r="B13755" s="547" t="s">
        <v>1664</v>
      </c>
      <c r="C13755" s="547" t="s">
        <v>446</v>
      </c>
      <c r="D13755" s="813" t="s">
        <v>447</v>
      </c>
      <c r="E13755" s="547" t="s">
        <v>359</v>
      </c>
      <c r="F13755" s="550">
        <v>13</v>
      </c>
      <c r="G13755" s="549" t="s">
        <v>21</v>
      </c>
      <c r="H13755" s="900" t="s">
        <v>123</v>
      </c>
      <c r="I13755" s="558">
        <v>16.5</v>
      </c>
      <c r="J13755" s="756">
        <v>10.3</v>
      </c>
      <c r="K13755" s="757">
        <v>12</v>
      </c>
      <c r="L13755" s="552">
        <f t="shared" ref="L13755:L13757" si="2777">(I13755*J13755*K13755/1000)</f>
        <v>2.0394000000000001</v>
      </c>
      <c r="M13755" s="567"/>
      <c r="N13755" s="549"/>
      <c r="O13755" s="549"/>
      <c r="P13755" s="549"/>
      <c r="Q13755" s="1737" t="s">
        <v>1795</v>
      </c>
    </row>
    <row r="13756" spans="1:17" ht="17.399999999999999">
      <c r="A13756" s="549"/>
      <c r="B13756" s="549"/>
      <c r="C13756" s="549"/>
      <c r="D13756" s="549"/>
      <c r="E13756" s="549"/>
      <c r="F13756" s="549"/>
      <c r="G13756" s="549" t="s">
        <v>21</v>
      </c>
      <c r="H13756" s="869" t="s">
        <v>123</v>
      </c>
      <c r="I13756" s="558">
        <v>16.5</v>
      </c>
      <c r="J13756" s="756">
        <v>11.2</v>
      </c>
      <c r="K13756" s="757">
        <v>24</v>
      </c>
      <c r="L13756" s="552">
        <f t="shared" si="2777"/>
        <v>4.4352</v>
      </c>
      <c r="M13756" s="567"/>
      <c r="N13756" s="549"/>
      <c r="O13756" s="549"/>
      <c r="P13756" s="549"/>
    </row>
    <row r="13757" spans="1:17" ht="17.399999999999999">
      <c r="A13757" s="549"/>
      <c r="B13757" s="549"/>
      <c r="C13757" s="549"/>
      <c r="D13757" s="549"/>
      <c r="E13757" s="549"/>
      <c r="F13757" s="549"/>
      <c r="G13757" s="549" t="s">
        <v>21</v>
      </c>
      <c r="H13757" s="869" t="s">
        <v>123</v>
      </c>
      <c r="I13757" s="558">
        <v>16.5</v>
      </c>
      <c r="J13757" s="756">
        <v>11.5</v>
      </c>
      <c r="K13757" s="757">
        <v>16</v>
      </c>
      <c r="L13757" s="552">
        <f t="shared" si="2777"/>
        <v>3.036</v>
      </c>
      <c r="M13757" s="567"/>
      <c r="N13757" s="549"/>
      <c r="O13757" s="549"/>
      <c r="P13757" s="549"/>
    </row>
    <row r="13758" spans="1:17" ht="17.399999999999999">
      <c r="A13758" s="549"/>
      <c r="B13758" s="549"/>
      <c r="C13758" s="549"/>
      <c r="D13758" s="549"/>
      <c r="E13758" s="549"/>
      <c r="F13758" s="549"/>
      <c r="G13758" s="549"/>
      <c r="H13758" s="549"/>
      <c r="I13758" s="560"/>
      <c r="J13758" s="549"/>
      <c r="K13758" s="561">
        <f t="shared" ref="K13758" si="2778">SUM(K13755:K13757)</f>
        <v>52</v>
      </c>
      <c r="L13758" s="565">
        <f>SUM(L13755:L13757)</f>
        <v>9.5106000000000002</v>
      </c>
      <c r="M13758" s="549"/>
      <c r="N13758" s="549"/>
      <c r="O13758" s="549"/>
      <c r="P13758" s="549" t="s">
        <v>1682</v>
      </c>
    </row>
    <row r="13759" spans="1:17" ht="17.399999999999999">
      <c r="A13759" s="549"/>
      <c r="B13759" s="549"/>
      <c r="C13759" s="549"/>
      <c r="D13759" s="549"/>
      <c r="E13759" s="549"/>
      <c r="F13759" s="549"/>
      <c r="G13759" s="549"/>
      <c r="H13759" s="549"/>
      <c r="I13759" s="560"/>
      <c r="J13759" s="549"/>
      <c r="K13759" s="561"/>
      <c r="L13759" s="560"/>
      <c r="M13759" s="549"/>
      <c r="N13759" s="549"/>
      <c r="O13759" s="549"/>
      <c r="P13759" s="549"/>
    </row>
    <row r="13760" spans="1:17" ht="17.399999999999999">
      <c r="A13760" s="549"/>
      <c r="B13760" s="549"/>
      <c r="C13760" s="549"/>
      <c r="D13760" s="549"/>
      <c r="E13760" s="549"/>
      <c r="F13760" s="549"/>
      <c r="G13760" s="549"/>
      <c r="H13760" s="549"/>
      <c r="I13760" s="560"/>
      <c r="J13760" s="549"/>
      <c r="K13760" s="561"/>
      <c r="L13760" s="560"/>
      <c r="M13760" s="549"/>
      <c r="N13760" s="549"/>
      <c r="O13760" s="549"/>
      <c r="P13760" s="549"/>
    </row>
    <row r="13761" spans="1:17" ht="17.399999999999999">
      <c r="A13761" s="547" t="s">
        <v>272</v>
      </c>
      <c r="B13761" s="547" t="s">
        <v>1665</v>
      </c>
      <c r="C13761" s="547" t="s">
        <v>446</v>
      </c>
      <c r="D13761" s="813" t="s">
        <v>447</v>
      </c>
      <c r="E13761" s="547" t="s">
        <v>359</v>
      </c>
      <c r="F13761" s="550">
        <v>13</v>
      </c>
      <c r="G13761" s="549" t="s">
        <v>21</v>
      </c>
      <c r="H13761" s="900" t="s">
        <v>120</v>
      </c>
      <c r="I13761" s="558">
        <v>18.149999999999999</v>
      </c>
      <c r="J13761" s="756">
        <v>12</v>
      </c>
      <c r="K13761" s="757">
        <v>94</v>
      </c>
      <c r="L13761" s="552">
        <f t="shared" ref="L13761" si="2779">(I13761*J13761*K13761/1000)</f>
        <v>20.473199999999999</v>
      </c>
      <c r="M13761" s="549"/>
      <c r="N13761" s="549"/>
      <c r="O13761" s="549"/>
      <c r="P13761" s="549"/>
      <c r="Q13761" s="1737" t="s">
        <v>1795</v>
      </c>
    </row>
    <row r="13762" spans="1:17" ht="17.399999999999999">
      <c r="A13762" s="549"/>
      <c r="B13762" s="549"/>
      <c r="C13762" s="549"/>
      <c r="D13762" s="549"/>
      <c r="E13762" s="549"/>
      <c r="F13762" s="549"/>
      <c r="G13762" s="549"/>
      <c r="H13762" s="869"/>
      <c r="I13762" s="751"/>
      <c r="J13762" s="756"/>
      <c r="K13762" s="757">
        <f t="shared" ref="K13762" si="2780">SUM(K13761)</f>
        <v>94</v>
      </c>
      <c r="L13762" s="777">
        <f>SUM(L13761)</f>
        <v>20.473199999999999</v>
      </c>
      <c r="M13762" s="549"/>
      <c r="N13762" s="549"/>
      <c r="O13762" s="549"/>
      <c r="P13762" s="549" t="s">
        <v>1683</v>
      </c>
    </row>
    <row r="13763" spans="1:17" s="1737" customFormat="1" ht="17.399999999999999">
      <c r="A13763" s="549"/>
      <c r="B13763" s="549"/>
      <c r="C13763" s="549"/>
      <c r="D13763" s="549"/>
      <c r="E13763" s="549"/>
      <c r="F13763" s="549"/>
      <c r="G13763" s="549"/>
      <c r="H13763" s="869"/>
      <c r="I13763" s="751"/>
      <c r="J13763" s="756"/>
      <c r="K13763" s="757"/>
      <c r="L13763" s="778"/>
      <c r="M13763" s="549"/>
      <c r="N13763" s="549"/>
      <c r="O13763" s="549"/>
      <c r="P13763" s="549"/>
    </row>
    <row r="13764" spans="1:17" ht="17.399999999999999">
      <c r="A13764" s="549"/>
      <c r="B13764" s="549"/>
      <c r="C13764" s="549"/>
      <c r="D13764" s="549"/>
      <c r="E13764" s="549"/>
      <c r="F13764" s="549"/>
      <c r="G13764" s="549"/>
      <c r="H13764" s="549"/>
      <c r="I13764" s="560"/>
      <c r="J13764" s="549"/>
      <c r="K13764" s="561"/>
      <c r="L13764" s="560"/>
      <c r="M13764" s="549"/>
      <c r="N13764" s="549"/>
      <c r="O13764" s="549"/>
      <c r="P13764" s="549"/>
    </row>
    <row r="13765" spans="1:17" ht="17.399999999999999">
      <c r="A13765" s="549"/>
      <c r="B13765" s="549"/>
      <c r="C13765" s="549"/>
      <c r="D13765" s="549"/>
      <c r="E13765" s="549"/>
      <c r="F13765" s="549"/>
      <c r="G13765" s="549"/>
      <c r="H13765" s="549"/>
      <c r="I13765" s="560"/>
      <c r="J13765" s="549"/>
      <c r="K13765" s="652">
        <f>+K13762+K13758+K13753+K13741+K13731+K13727+K13723+K13716+K13709+K13690+K13679+K13670+K13654+K13649+K13636+K13660</f>
        <v>3972</v>
      </c>
      <c r="L13765" s="565">
        <f>+L13762+L13758+L13753+L13741+L13731+L13727+L13723+L13716+L13709+L13690+L13679+L13670+L13654+L13649+L13636+L13660</f>
        <v>585.494598</v>
      </c>
      <c r="M13765" s="652">
        <f>+M13762+M13758+M13753+M13741+M13731+M13727+M13723+M13716+M13709+M13690+M13679+M13670+M13654+M13649+M13636+M13660</f>
        <v>53</v>
      </c>
      <c r="N13765" s="565">
        <f>+N13762+N13758+N13753+N13741+N13731+N13727+N13723+N13716+N13709+N13690+N13679+N13670+N13654+N13649+N13636+N13660</f>
        <v>7.3157360000000002</v>
      </c>
      <c r="O13765" s="549"/>
      <c r="P13765" s="549"/>
    </row>
    <row r="13766" spans="1:17" ht="18">
      <c r="A13766" s="653" t="s">
        <v>48</v>
      </c>
      <c r="B13766" s="653"/>
      <c r="C13766" s="654"/>
      <c r="D13766" s="654"/>
      <c r="E13766" s="654"/>
      <c r="F13766" s="1746"/>
      <c r="G13766" s="654"/>
      <c r="H13766" s="1746"/>
      <c r="I13766" s="656"/>
      <c r="J13766" s="654"/>
      <c r="K13766" s="657"/>
      <c r="L13766" s="2003" t="s">
        <v>0</v>
      </c>
      <c r="M13766" s="2003"/>
      <c r="N13766" s="2003"/>
      <c r="O13766" s="2004"/>
      <c r="P13766" s="1097"/>
    </row>
    <row r="13767" spans="1:17" ht="18">
      <c r="A13767" s="658" t="s">
        <v>1</v>
      </c>
      <c r="B13767" s="658"/>
      <c r="C13767" s="658"/>
      <c r="D13767" s="659" t="s">
        <v>2</v>
      </c>
      <c r="E13767" s="659"/>
      <c r="F13767" s="660"/>
      <c r="G13767" s="660"/>
      <c r="H13767" s="660"/>
      <c r="I13767" s="661"/>
      <c r="J13767" s="660"/>
      <c r="K13767" s="662" t="s">
        <v>3</v>
      </c>
      <c r="L13767" s="660"/>
      <c r="M13767" s="658"/>
      <c r="N13767" s="660"/>
      <c r="O13767" s="663"/>
      <c r="P13767" s="1098"/>
    </row>
    <row r="13768" spans="1:17" ht="18">
      <c r="A13768" s="1746" t="s">
        <v>22</v>
      </c>
      <c r="B13768" s="1990" t="s">
        <v>23</v>
      </c>
      <c r="C13768" s="2005"/>
      <c r="D13768" s="1989"/>
      <c r="E13768" s="1746" t="s">
        <v>24</v>
      </c>
      <c r="F13768" s="1990" t="s">
        <v>25</v>
      </c>
      <c r="G13768" s="1989"/>
      <c r="H13768" s="1990" t="s">
        <v>26</v>
      </c>
      <c r="I13768" s="2005"/>
      <c r="J13768" s="2005"/>
      <c r="K13768" s="1989"/>
      <c r="L13768" s="2006" t="s">
        <v>27</v>
      </c>
      <c r="M13768" s="2006"/>
      <c r="N13768" s="2006"/>
      <c r="O13768" s="1990"/>
      <c r="P13768" s="1098"/>
    </row>
    <row r="13769" spans="1:17" ht="18">
      <c r="A13769" s="664"/>
      <c r="B13769" s="1975"/>
      <c r="C13769" s="1976"/>
      <c r="D13769" s="1977"/>
      <c r="E13769" s="665"/>
      <c r="F13769" s="1975"/>
      <c r="G13769" s="1977"/>
      <c r="H13769" s="1975"/>
      <c r="I13769" s="1976"/>
      <c r="J13769" s="1976"/>
      <c r="K13769" s="1977"/>
      <c r="L13769" s="1975"/>
      <c r="M13769" s="1976"/>
      <c r="N13769" s="1976"/>
      <c r="O13769" s="1976"/>
      <c r="P13769" s="1098"/>
    </row>
    <row r="13770" spans="1:17" ht="18">
      <c r="A13770" s="664"/>
      <c r="B13770" s="1738"/>
      <c r="C13770" s="1739"/>
      <c r="D13770" s="1740"/>
      <c r="E13770" s="665"/>
      <c r="F13770" s="1738"/>
      <c r="G13770" s="1740"/>
      <c r="H13770" s="1738"/>
      <c r="I13770" s="1842"/>
      <c r="J13770" s="1739"/>
      <c r="K13770" s="1740"/>
      <c r="L13770" s="1739"/>
      <c r="M13770" s="1739"/>
      <c r="N13770" s="1739"/>
      <c r="O13770" s="1739"/>
      <c r="P13770" s="1098"/>
    </row>
    <row r="13771" spans="1:17" ht="18">
      <c r="A13771" s="664" t="s">
        <v>28</v>
      </c>
      <c r="B13771" s="1975" t="s">
        <v>144</v>
      </c>
      <c r="C13771" s="1976"/>
      <c r="D13771" s="1977"/>
      <c r="E13771" s="665">
        <f>+L13636+L13649+L13654-0.397</f>
        <v>56.941725000000005</v>
      </c>
      <c r="F13771" s="1973">
        <v>13</v>
      </c>
      <c r="G13771" s="1974"/>
      <c r="H13771" s="1975" t="s">
        <v>49</v>
      </c>
      <c r="I13771" s="1976"/>
      <c r="J13771" s="1976"/>
      <c r="K13771" s="1977"/>
      <c r="L13771" s="1976" t="s">
        <v>1630</v>
      </c>
      <c r="M13771" s="1976"/>
      <c r="N13771" s="1976"/>
      <c r="O13771" s="1976"/>
      <c r="P13771" s="1098"/>
    </row>
    <row r="13772" spans="1:17" ht="18">
      <c r="A13772" s="664" t="s">
        <v>29</v>
      </c>
      <c r="B13772" s="1975" t="s">
        <v>1458</v>
      </c>
      <c r="C13772" s="1976"/>
      <c r="D13772" s="1977"/>
      <c r="E13772" s="665">
        <f>+L13660-0.874</f>
        <v>12.745559999999999</v>
      </c>
      <c r="F13772" s="1973">
        <v>13</v>
      </c>
      <c r="G13772" s="1974"/>
      <c r="H13772" s="1975" t="s">
        <v>49</v>
      </c>
      <c r="I13772" s="1976"/>
      <c r="J13772" s="1976"/>
      <c r="K13772" s="1977"/>
      <c r="L13772" s="1976" t="s">
        <v>1632</v>
      </c>
      <c r="M13772" s="1976"/>
      <c r="N13772" s="1976"/>
      <c r="O13772" s="1976"/>
      <c r="P13772" s="1098"/>
    </row>
    <row r="13773" spans="1:17" ht="18">
      <c r="A13773" s="664" t="s">
        <v>30</v>
      </c>
      <c r="B13773" s="1975" t="s">
        <v>145</v>
      </c>
      <c r="C13773" s="1976"/>
      <c r="D13773" s="1977"/>
      <c r="E13773" s="665">
        <f>+L13670+L13679-0.244-1.178</f>
        <v>172.107675</v>
      </c>
      <c r="F13773" s="1973">
        <v>13</v>
      </c>
      <c r="G13773" s="1974"/>
      <c r="H13773" s="1975" t="s">
        <v>49</v>
      </c>
      <c r="I13773" s="1976"/>
      <c r="J13773" s="1976"/>
      <c r="K13773" s="1977"/>
      <c r="L13773" s="1976" t="s">
        <v>1630</v>
      </c>
      <c r="M13773" s="1976"/>
      <c r="N13773" s="1976"/>
      <c r="O13773" s="1976"/>
      <c r="P13773" s="1098"/>
    </row>
    <row r="13774" spans="1:17" ht="18">
      <c r="A13774" s="664" t="s">
        <v>46</v>
      </c>
      <c r="B13774" s="1975" t="s">
        <v>146</v>
      </c>
      <c r="C13774" s="1976"/>
      <c r="D13774" s="1977"/>
      <c r="E13774" s="665">
        <f>+L13690+L13709+L13716-1.342-2.844</f>
        <v>168.54887600000001</v>
      </c>
      <c r="F13774" s="1973">
        <v>13</v>
      </c>
      <c r="G13774" s="1974"/>
      <c r="H13774" s="1975" t="s">
        <v>49</v>
      </c>
      <c r="I13774" s="1976"/>
      <c r="J13774" s="1976"/>
      <c r="K13774" s="1977"/>
      <c r="L13774" s="1976" t="s">
        <v>1630</v>
      </c>
      <c r="M13774" s="1976"/>
      <c r="N13774" s="1976"/>
      <c r="O13774" s="1976"/>
      <c r="P13774" s="1098"/>
    </row>
    <row r="13775" spans="1:17" ht="18">
      <c r="A13775" s="664" t="s">
        <v>58</v>
      </c>
      <c r="B13775" s="1975" t="s">
        <v>147</v>
      </c>
      <c r="C13775" s="1976"/>
      <c r="D13775" s="1977"/>
      <c r="E13775" s="665">
        <f>+L13723</f>
        <v>55.050750000000001</v>
      </c>
      <c r="F13775" s="1973">
        <v>13</v>
      </c>
      <c r="G13775" s="1974"/>
      <c r="H13775" s="1975" t="s">
        <v>49</v>
      </c>
      <c r="I13775" s="1976"/>
      <c r="J13775" s="1976"/>
      <c r="K13775" s="1977"/>
      <c r="L13775" s="1976" t="s">
        <v>1632</v>
      </c>
      <c r="M13775" s="1976"/>
      <c r="N13775" s="1976"/>
      <c r="O13775" s="1976"/>
      <c r="P13775" s="1098"/>
    </row>
    <row r="13776" spans="1:17" ht="18">
      <c r="A13776" s="664"/>
      <c r="B13776" s="1738"/>
      <c r="C13776" s="1739"/>
      <c r="D13776" s="1740"/>
      <c r="E13776" s="665"/>
      <c r="F13776" s="1741"/>
      <c r="G13776" s="1742"/>
      <c r="H13776" s="1738"/>
      <c r="I13776" s="1842"/>
      <c r="J13776" s="1739"/>
      <c r="K13776" s="1740"/>
      <c r="L13776" s="1739"/>
      <c r="M13776" s="1739"/>
      <c r="N13776" s="1739"/>
      <c r="O13776" s="1739"/>
      <c r="P13776" s="1098"/>
    </row>
    <row r="13777" spans="1:16" s="1737" customFormat="1" ht="18">
      <c r="A13777" s="664"/>
      <c r="B13777" s="1738"/>
      <c r="C13777" s="1739"/>
      <c r="D13777" s="1740"/>
      <c r="E13777" s="665"/>
      <c r="F13777" s="1741"/>
      <c r="G13777" s="1742"/>
      <c r="H13777" s="1738"/>
      <c r="I13777" s="1842"/>
      <c r="J13777" s="1739"/>
      <c r="K13777" s="1740"/>
      <c r="L13777" s="1739"/>
      <c r="M13777" s="1739"/>
      <c r="N13777" s="1739"/>
      <c r="O13777" s="1739"/>
      <c r="P13777" s="1098"/>
    </row>
    <row r="13778" spans="1:16" s="1737" customFormat="1" ht="18">
      <c r="A13778" s="664" t="s">
        <v>163</v>
      </c>
      <c r="B13778" s="1975" t="s">
        <v>586</v>
      </c>
      <c r="C13778" s="1976"/>
      <c r="D13778" s="1977"/>
      <c r="E13778" s="665">
        <f>+L13731</f>
        <v>25.993500000000004</v>
      </c>
      <c r="F13778" s="1973">
        <v>13</v>
      </c>
      <c r="G13778" s="1974"/>
      <c r="H13778" s="1975" t="s">
        <v>60</v>
      </c>
      <c r="I13778" s="1976"/>
      <c r="J13778" s="1976"/>
      <c r="K13778" s="1977"/>
      <c r="L13778" s="1976" t="s">
        <v>437</v>
      </c>
      <c r="M13778" s="1976"/>
      <c r="N13778" s="1976"/>
      <c r="O13778" s="1976"/>
      <c r="P13778" s="1098"/>
    </row>
    <row r="13779" spans="1:16" s="1737" customFormat="1" ht="18">
      <c r="A13779" s="664"/>
      <c r="B13779" s="1975"/>
      <c r="C13779" s="1976"/>
      <c r="D13779" s="1977"/>
      <c r="E13779" s="665"/>
      <c r="F13779" s="1973"/>
      <c r="G13779" s="1974"/>
      <c r="H13779" s="1975"/>
      <c r="I13779" s="1976"/>
      <c r="J13779" s="1976"/>
      <c r="K13779" s="1977"/>
      <c r="L13779" s="1976"/>
      <c r="M13779" s="1976"/>
      <c r="N13779" s="1976"/>
      <c r="O13779" s="1976"/>
      <c r="P13779" s="1098"/>
    </row>
    <row r="13780" spans="1:16" ht="18">
      <c r="A13780" s="664"/>
      <c r="B13780" s="1975"/>
      <c r="C13780" s="1976"/>
      <c r="D13780" s="1977"/>
      <c r="E13780" s="665"/>
      <c r="F13780" s="1973"/>
      <c r="G13780" s="1974"/>
      <c r="H13780" s="1975"/>
      <c r="I13780" s="1976"/>
      <c r="J13780" s="1976"/>
      <c r="K13780" s="1977"/>
      <c r="L13780" s="1976"/>
      <c r="M13780" s="1976"/>
      <c r="N13780" s="1976"/>
      <c r="O13780" s="1976"/>
      <c r="P13780" s="1098"/>
    </row>
    <row r="13781" spans="1:16" ht="18">
      <c r="A13781" s="664" t="s">
        <v>302</v>
      </c>
      <c r="B13781" s="1975" t="s">
        <v>147</v>
      </c>
      <c r="C13781" s="1976"/>
      <c r="D13781" s="1977"/>
      <c r="E13781" s="665">
        <f>+L13741</f>
        <v>37.410000000000004</v>
      </c>
      <c r="F13781" s="1973">
        <v>13</v>
      </c>
      <c r="G13781" s="1974"/>
      <c r="H13781" s="1975" t="s">
        <v>447</v>
      </c>
      <c r="I13781" s="1976"/>
      <c r="J13781" s="1976"/>
      <c r="K13781" s="1977"/>
      <c r="L13781" s="1976" t="s">
        <v>1631</v>
      </c>
      <c r="M13781" s="1976"/>
      <c r="N13781" s="1976"/>
      <c r="O13781" s="1976"/>
      <c r="P13781" s="1098"/>
    </row>
    <row r="13782" spans="1:16" ht="18">
      <c r="A13782" s="664" t="s">
        <v>380</v>
      </c>
      <c r="B13782" s="1975" t="s">
        <v>146</v>
      </c>
      <c r="C13782" s="1976"/>
      <c r="D13782" s="1977"/>
      <c r="E13782" s="665">
        <f>+L13753</f>
        <v>19.398112000000001</v>
      </c>
      <c r="F13782" s="1973">
        <v>13</v>
      </c>
      <c r="G13782" s="1974"/>
      <c r="H13782" s="1975" t="s">
        <v>447</v>
      </c>
      <c r="I13782" s="1976"/>
      <c r="J13782" s="1976"/>
      <c r="K13782" s="1977"/>
      <c r="L13782" s="1976" t="s">
        <v>1631</v>
      </c>
      <c r="M13782" s="1976"/>
      <c r="N13782" s="1976"/>
      <c r="O13782" s="1976"/>
      <c r="P13782" s="1098"/>
    </row>
    <row r="13783" spans="1:16" ht="18">
      <c r="A13783" s="664" t="s">
        <v>434</v>
      </c>
      <c r="B13783" s="1975" t="s">
        <v>145</v>
      </c>
      <c r="C13783" s="1976"/>
      <c r="D13783" s="1977"/>
      <c r="E13783" s="665">
        <f>+L13758</f>
        <v>9.5106000000000002</v>
      </c>
      <c r="F13783" s="1973">
        <v>13</v>
      </c>
      <c r="G13783" s="1974"/>
      <c r="H13783" s="1975" t="s">
        <v>447</v>
      </c>
      <c r="I13783" s="1976"/>
      <c r="J13783" s="1976"/>
      <c r="K13783" s="1977"/>
      <c r="L13783" s="1976" t="s">
        <v>1631</v>
      </c>
      <c r="M13783" s="1976"/>
      <c r="N13783" s="1976"/>
      <c r="O13783" s="1976"/>
      <c r="P13783" s="1098"/>
    </row>
    <row r="13784" spans="1:16" ht="18">
      <c r="A13784" s="664" t="s">
        <v>474</v>
      </c>
      <c r="B13784" s="1975" t="s">
        <v>144</v>
      </c>
      <c r="C13784" s="1976"/>
      <c r="D13784" s="1977"/>
      <c r="E13784" s="665">
        <f>+L13762</f>
        <v>20.473199999999999</v>
      </c>
      <c r="F13784" s="1973">
        <v>13</v>
      </c>
      <c r="G13784" s="1974"/>
      <c r="H13784" s="1975" t="s">
        <v>447</v>
      </c>
      <c r="I13784" s="1976"/>
      <c r="J13784" s="1976"/>
      <c r="K13784" s="1977"/>
      <c r="L13784" s="1976" t="s">
        <v>1631</v>
      </c>
      <c r="M13784" s="1976"/>
      <c r="N13784" s="1976"/>
      <c r="O13784" s="1976"/>
      <c r="P13784" s="1098"/>
    </row>
    <row r="13785" spans="1:16" ht="18">
      <c r="A13785" s="664"/>
      <c r="B13785" s="1975"/>
      <c r="C13785" s="1976"/>
      <c r="D13785" s="1977"/>
      <c r="E13785" s="665"/>
      <c r="F13785" s="1973"/>
      <c r="G13785" s="1974"/>
      <c r="H13785" s="1975"/>
      <c r="I13785" s="1976"/>
      <c r="J13785" s="1976"/>
      <c r="K13785" s="1977"/>
      <c r="L13785" s="1976"/>
      <c r="M13785" s="1976"/>
      <c r="N13785" s="1976"/>
      <c r="O13785" s="1976"/>
      <c r="P13785" s="1098"/>
    </row>
    <row r="13786" spans="1:16" ht="18">
      <c r="A13786" s="664"/>
      <c r="B13786" s="1738"/>
      <c r="C13786" s="1739"/>
      <c r="D13786" s="1739"/>
      <c r="E13786" s="665"/>
      <c r="F13786" s="1747"/>
      <c r="G13786" s="1742"/>
      <c r="H13786" s="1738"/>
      <c r="I13786" s="1842"/>
      <c r="J13786" s="1739"/>
      <c r="K13786" s="1740"/>
      <c r="L13786" s="1739"/>
      <c r="M13786" s="1739"/>
      <c r="N13786" s="1739"/>
      <c r="O13786" s="1739"/>
      <c r="P13786" s="1098"/>
    </row>
    <row r="13787" spans="1:16" ht="18.600000000000001" thickBot="1">
      <c r="A13787" s="664"/>
      <c r="B13787" s="1738"/>
      <c r="C13787" s="1739"/>
      <c r="D13787" s="1739"/>
      <c r="E13787" s="665"/>
      <c r="F13787" s="1739"/>
      <c r="G13787" s="1740"/>
      <c r="H13787" s="1738"/>
      <c r="I13787" s="1842"/>
      <c r="J13787" s="1739"/>
      <c r="K13787" s="669"/>
      <c r="L13787" s="672"/>
      <c r="M13787" s="673"/>
      <c r="N13787" s="673"/>
      <c r="O13787" s="673"/>
      <c r="P13787" s="1098"/>
    </row>
    <row r="13788" spans="1:16" ht="18">
      <c r="A13788" s="674"/>
      <c r="B13788" s="675"/>
      <c r="C13788" s="676"/>
      <c r="D13788" s="676"/>
      <c r="E13788" s="1980">
        <f>SUM(E13769:E13787)</f>
        <v>578.17999799999996</v>
      </c>
      <c r="F13788" s="677"/>
      <c r="G13788" s="678"/>
      <c r="H13788" s="679"/>
      <c r="I13788" s="1848"/>
      <c r="J13788" s="676"/>
      <c r="K13788" s="680"/>
      <c r="L13788" s="679"/>
      <c r="M13788" s="676"/>
      <c r="N13788" s="677"/>
      <c r="O13788" s="676"/>
      <c r="P13788" s="1098"/>
    </row>
    <row r="13789" spans="1:16" ht="18.600000000000001" thickBot="1">
      <c r="A13789" s="681"/>
      <c r="B13789" s="682"/>
      <c r="C13789" s="683"/>
      <c r="D13789" s="683"/>
      <c r="E13789" s="1981"/>
      <c r="F13789" s="684"/>
      <c r="G13789" s="685"/>
      <c r="H13789" s="686"/>
      <c r="I13789" s="1850"/>
      <c r="J13789" s="683"/>
      <c r="K13789" s="687"/>
      <c r="L13789" s="686"/>
      <c r="M13789" s="683"/>
      <c r="N13789" s="684"/>
      <c r="O13789" s="683"/>
      <c r="P13789" s="1098"/>
    </row>
    <row r="13790" spans="1:16" ht="18">
      <c r="A13790" s="688" t="s">
        <v>31</v>
      </c>
      <c r="B13790" s="676"/>
      <c r="C13790" s="676"/>
      <c r="D13790" s="676"/>
      <c r="E13790" s="676"/>
      <c r="F13790" s="677"/>
      <c r="G13790" s="676"/>
      <c r="H13790" s="677"/>
      <c r="I13790" s="1848"/>
      <c r="J13790" s="676"/>
      <c r="K13790" s="689"/>
      <c r="L13790" s="677"/>
      <c r="M13790" s="676"/>
      <c r="N13790" s="677"/>
      <c r="O13790" s="676"/>
      <c r="P13790" s="1098"/>
    </row>
    <row r="13791" spans="1:16" ht="18">
      <c r="A13791" s="690"/>
      <c r="B13791" s="691"/>
      <c r="C13791" s="691"/>
      <c r="D13791" s="691"/>
      <c r="E13791" s="691"/>
      <c r="F13791" s="1743"/>
      <c r="G13791" s="691"/>
      <c r="H13791" s="1743"/>
      <c r="I13791" s="1849"/>
      <c r="J13791" s="691"/>
      <c r="K13791" s="693"/>
      <c r="L13791" s="1743"/>
      <c r="M13791" s="691"/>
      <c r="N13791" s="1743"/>
      <c r="O13791" s="691"/>
      <c r="P13791" s="1098"/>
    </row>
    <row r="13792" spans="1:16" ht="18.600000000000001" thickBot="1">
      <c r="A13792" s="1982" t="s">
        <v>32</v>
      </c>
      <c r="B13792" s="1983"/>
      <c r="C13792" s="1984" t="s">
        <v>33</v>
      </c>
      <c r="D13792" s="1985"/>
      <c r="E13792" s="694" t="s">
        <v>34</v>
      </c>
      <c r="F13792" s="694" t="s">
        <v>35</v>
      </c>
      <c r="G13792" s="1986" t="s">
        <v>36</v>
      </c>
      <c r="H13792" s="1987"/>
      <c r="I13792" s="1987"/>
      <c r="J13792" s="1987"/>
      <c r="K13792" s="1987"/>
      <c r="L13792" s="1987"/>
      <c r="M13792" s="1987"/>
      <c r="N13792" s="1987"/>
      <c r="O13792" s="1987"/>
      <c r="P13792" s="1098"/>
    </row>
    <row r="13793" spans="1:16" ht="18">
      <c r="A13793" s="1988"/>
      <c r="B13793" s="1989"/>
      <c r="C13793" s="1990"/>
      <c r="D13793" s="1989"/>
      <c r="E13793" s="1746"/>
      <c r="F13793" s="1744"/>
      <c r="G13793" s="1991"/>
      <c r="H13793" s="1992"/>
      <c r="I13793" s="1992"/>
      <c r="J13793" s="1992"/>
      <c r="K13793" s="1992"/>
      <c r="L13793" s="1992"/>
      <c r="M13793" s="1992"/>
      <c r="N13793" s="1992"/>
      <c r="O13793" s="1992"/>
      <c r="P13793" s="1098"/>
    </row>
    <row r="13794" spans="1:16" ht="18">
      <c r="A13794" s="1997" t="s">
        <v>37</v>
      </c>
      <c r="B13794" s="1998"/>
      <c r="C13794" s="1990"/>
      <c r="D13794" s="1989"/>
      <c r="E13794" s="1746"/>
      <c r="F13794" s="1744"/>
      <c r="G13794" s="1993"/>
      <c r="H13794" s="1994"/>
      <c r="I13794" s="1994"/>
      <c r="J13794" s="1994"/>
      <c r="K13794" s="1994"/>
      <c r="L13794" s="1994"/>
      <c r="M13794" s="1994"/>
      <c r="N13794" s="1994"/>
      <c r="O13794" s="1994"/>
      <c r="P13794" s="1098"/>
    </row>
    <row r="13795" spans="1:16" ht="18">
      <c r="A13795" s="1997" t="s">
        <v>38</v>
      </c>
      <c r="B13795" s="1998"/>
      <c r="C13795" s="1990"/>
      <c r="D13795" s="1989"/>
      <c r="E13795" s="1746"/>
      <c r="F13795" s="1744"/>
      <c r="G13795" s="1993"/>
      <c r="H13795" s="1994"/>
      <c r="I13795" s="1994"/>
      <c r="J13795" s="1994"/>
      <c r="K13795" s="1994"/>
      <c r="L13795" s="1994"/>
      <c r="M13795" s="1994"/>
      <c r="N13795" s="1994"/>
      <c r="O13795" s="1994"/>
      <c r="P13795" s="1098"/>
    </row>
    <row r="13796" spans="1:16" ht="18">
      <c r="A13796" s="1997" t="s">
        <v>39</v>
      </c>
      <c r="B13796" s="1998"/>
      <c r="C13796" s="1990"/>
      <c r="D13796" s="1989"/>
      <c r="E13796" s="1746"/>
      <c r="F13796" s="1744"/>
      <c r="G13796" s="1993"/>
      <c r="H13796" s="1994"/>
      <c r="I13796" s="1994"/>
      <c r="J13796" s="1994"/>
      <c r="K13796" s="1994"/>
      <c r="L13796" s="1994"/>
      <c r="M13796" s="1994"/>
      <c r="N13796" s="1994"/>
      <c r="O13796" s="1994"/>
      <c r="P13796" s="1098"/>
    </row>
    <row r="13797" spans="1:16" ht="18">
      <c r="A13797" s="1997" t="s">
        <v>40</v>
      </c>
      <c r="B13797" s="1998"/>
      <c r="C13797" s="1990"/>
      <c r="D13797" s="1989"/>
      <c r="E13797" s="1746"/>
      <c r="F13797" s="1744"/>
      <c r="G13797" s="1993"/>
      <c r="H13797" s="1994"/>
      <c r="I13797" s="1994"/>
      <c r="J13797" s="1994"/>
      <c r="K13797" s="1994"/>
      <c r="L13797" s="1994"/>
      <c r="M13797" s="1994"/>
      <c r="N13797" s="1994"/>
      <c r="O13797" s="1994"/>
      <c r="P13797" s="1098"/>
    </row>
    <row r="13798" spans="1:16" ht="18.600000000000001" thickBot="1">
      <c r="A13798" s="1999" t="s">
        <v>41</v>
      </c>
      <c r="B13798" s="2000"/>
      <c r="C13798" s="2001"/>
      <c r="D13798" s="2002"/>
      <c r="E13798" s="696"/>
      <c r="F13798" s="1745"/>
      <c r="G13798" s="1995"/>
      <c r="H13798" s="1996"/>
      <c r="I13798" s="1996"/>
      <c r="J13798" s="1996"/>
      <c r="K13798" s="1996"/>
      <c r="L13798" s="1996"/>
      <c r="M13798" s="1996"/>
      <c r="N13798" s="1996"/>
      <c r="O13798" s="1996"/>
      <c r="P13798" s="1098"/>
    </row>
    <row r="13799" spans="1:16" ht="18">
      <c r="A13799" s="690"/>
      <c r="B13799" s="691"/>
      <c r="C13799" s="691"/>
      <c r="D13799" s="691"/>
      <c r="E13799" s="691"/>
      <c r="F13799" s="1743"/>
      <c r="G13799" s="691"/>
      <c r="H13799" s="698"/>
      <c r="I13799" s="699"/>
      <c r="J13799" s="700"/>
      <c r="K13799" s="701"/>
      <c r="L13799" s="702"/>
      <c r="M13799" s="691"/>
      <c r="N13799" s="1743"/>
      <c r="O13799" s="691"/>
      <c r="P13799" s="1098"/>
    </row>
    <row r="13800" spans="1:16" ht="18">
      <c r="A13800" s="703" t="s">
        <v>42</v>
      </c>
      <c r="B13800" s="704"/>
      <c r="C13800" s="691"/>
      <c r="D13800" s="691"/>
      <c r="E13800" s="691"/>
      <c r="F13800" s="1743"/>
      <c r="G13800" s="704"/>
      <c r="H13800" s="698"/>
      <c r="I13800" s="699"/>
      <c r="J13800" s="700"/>
      <c r="K13800" s="693"/>
      <c r="L13800" s="705"/>
      <c r="M13800" s="691"/>
      <c r="N13800" s="1979" t="s">
        <v>43</v>
      </c>
      <c r="O13800" s="1979"/>
      <c r="P13800" s="1098"/>
    </row>
    <row r="13801" spans="1:16" ht="18">
      <c r="A13801" s="703"/>
      <c r="B13801" s="704"/>
      <c r="C13801" s="691"/>
      <c r="D13801" s="691"/>
      <c r="E13801" s="691"/>
      <c r="F13801" s="1743"/>
      <c r="G13801" s="691"/>
      <c r="H13801" s="1743"/>
      <c r="I13801" s="1849"/>
      <c r="J13801" s="691"/>
      <c r="K13801" s="693"/>
      <c r="L13801" s="1743"/>
      <c r="M13801" s="691"/>
      <c r="N13801" s="1743"/>
      <c r="O13801" s="704"/>
      <c r="P13801" s="1098"/>
    </row>
    <row r="13802" spans="1:16" ht="18">
      <c r="A13802" s="703" t="s">
        <v>44</v>
      </c>
      <c r="B13802" s="704"/>
      <c r="C13802" s="691"/>
      <c r="D13802" s="691"/>
      <c r="E13802" s="691"/>
      <c r="F13802" s="1743"/>
      <c r="G13802" s="691"/>
      <c r="H13802" s="1743"/>
      <c r="I13802" s="1849"/>
      <c r="J13802" s="691"/>
      <c r="K13802" s="693"/>
      <c r="L13802" s="1743"/>
      <c r="M13802" s="691"/>
      <c r="N13802" s="1979" t="s">
        <v>45</v>
      </c>
      <c r="O13802" s="1979"/>
      <c r="P13802" s="1098"/>
    </row>
    <row r="13803" spans="1:16" ht="18.600000000000001" thickBot="1">
      <c r="A13803" s="682"/>
      <c r="B13803" s="683"/>
      <c r="C13803" s="683"/>
      <c r="D13803" s="683"/>
      <c r="E13803" s="683"/>
      <c r="F13803" s="684"/>
      <c r="G13803" s="683"/>
      <c r="H13803" s="684"/>
      <c r="I13803" s="1850"/>
      <c r="J13803" s="683"/>
      <c r="K13803" s="706"/>
      <c r="L13803" s="684"/>
      <c r="M13803" s="683"/>
      <c r="N13803" s="684"/>
      <c r="O13803" s="683"/>
      <c r="P13803" s="1099"/>
    </row>
    <row r="13807" spans="1:16" ht="17.399999999999999">
      <c r="A13807" s="711" t="s">
        <v>48</v>
      </c>
      <c r="B13807" s="711"/>
      <c r="C13807" s="712"/>
      <c r="D13807" s="712"/>
      <c r="E13807" s="712"/>
      <c r="F13807" s="713"/>
      <c r="G13807" s="712"/>
      <c r="H13807" s="712"/>
      <c r="I13807" s="714"/>
      <c r="J13807" s="715"/>
      <c r="K13807" s="716"/>
      <c r="L13807" s="1978" t="s">
        <v>0</v>
      </c>
      <c r="M13807" s="1978"/>
      <c r="N13807" s="1978"/>
      <c r="O13807" s="1978"/>
      <c r="P13807" s="717"/>
    </row>
    <row r="13808" spans="1:16" ht="17.399999999999999">
      <c r="A13808" s="718" t="s">
        <v>1</v>
      </c>
      <c r="B13808" s="718"/>
      <c r="C13808" s="718"/>
      <c r="D13808" s="719" t="s">
        <v>2</v>
      </c>
      <c r="E13808" s="719"/>
      <c r="F13808" s="720"/>
      <c r="G13808" s="720"/>
      <c r="H13808" s="720"/>
      <c r="I13808" s="721"/>
      <c r="J13808" s="1765"/>
      <c r="K13808" s="723" t="s">
        <v>3</v>
      </c>
      <c r="L13808" s="1765"/>
      <c r="M13808" s="718"/>
      <c r="N13808" s="720"/>
      <c r="O13808" s="718"/>
      <c r="P13808" s="724"/>
    </row>
    <row r="13809" spans="1:19" ht="52.2">
      <c r="A13809" s="640" t="s">
        <v>4</v>
      </c>
      <c r="B13809" s="640" t="s">
        <v>5</v>
      </c>
      <c r="C13809" s="640" t="s">
        <v>6</v>
      </c>
      <c r="D13809" s="640" t="s">
        <v>7</v>
      </c>
      <c r="E13809" s="640" t="s">
        <v>8</v>
      </c>
      <c r="F13809" s="641" t="s">
        <v>9</v>
      </c>
      <c r="G13809" s="642" t="s">
        <v>10</v>
      </c>
      <c r="H13809" s="642" t="s">
        <v>11</v>
      </c>
      <c r="I13809" s="643" t="s">
        <v>12</v>
      </c>
      <c r="J13809" s="644" t="s">
        <v>13</v>
      </c>
      <c r="K13809" s="645" t="s">
        <v>14</v>
      </c>
      <c r="L13809" s="646" t="s">
        <v>15</v>
      </c>
      <c r="M13809" s="641" t="s">
        <v>16</v>
      </c>
      <c r="N13809" s="641" t="s">
        <v>17</v>
      </c>
      <c r="O13809" s="642" t="s">
        <v>18</v>
      </c>
      <c r="P13809" s="641" t="s">
        <v>192</v>
      </c>
    </row>
    <row r="13810" spans="1:19" ht="17.399999999999999">
      <c r="A13810" s="549"/>
      <c r="B13810" s="549"/>
      <c r="C13810" s="549"/>
      <c r="D13810" s="549"/>
      <c r="E13810" s="549"/>
      <c r="F13810" s="549"/>
      <c r="G13810" s="549"/>
      <c r="H13810" s="549"/>
      <c r="I13810" s="560"/>
      <c r="J13810" s="549"/>
      <c r="K13810" s="561"/>
      <c r="L13810" s="560"/>
      <c r="M13810" s="549"/>
      <c r="N13810" s="549"/>
      <c r="O13810" s="549"/>
      <c r="P13810" s="549"/>
    </row>
    <row r="13811" spans="1:19" ht="17.399999999999999">
      <c r="A13811" s="547" t="s">
        <v>395</v>
      </c>
      <c r="B13811" s="547" t="s">
        <v>1365</v>
      </c>
      <c r="C13811" s="547" t="s">
        <v>19</v>
      </c>
      <c r="D13811" s="813" t="s">
        <v>854</v>
      </c>
      <c r="E13811" s="547" t="s">
        <v>359</v>
      </c>
      <c r="F13811" s="550">
        <v>14</v>
      </c>
      <c r="G13811" s="549" t="s">
        <v>21</v>
      </c>
      <c r="H13811" s="599" t="s">
        <v>124</v>
      </c>
      <c r="I13811" s="558">
        <v>19.72</v>
      </c>
      <c r="J13811" s="567">
        <v>12</v>
      </c>
      <c r="K13811" s="648">
        <f>199-40</f>
        <v>159</v>
      </c>
      <c r="L13811" s="552">
        <f>(I13811*J13811*K13811/1000)</f>
        <v>37.625759999999993</v>
      </c>
      <c r="M13811" s="549"/>
      <c r="N13811" s="549"/>
      <c r="O13811" s="549"/>
      <c r="P13811" s="549"/>
      <c r="Q13811" s="497">
        <f>14+8+14+14+14+14+14+6</f>
        <v>98</v>
      </c>
      <c r="R13811" s="126">
        <f>J13811*Q13811*I13811/1000</f>
        <v>23.190719999999999</v>
      </c>
      <c r="S13811" s="1737" t="s">
        <v>1755</v>
      </c>
    </row>
    <row r="13812" spans="1:19" ht="17.399999999999999">
      <c r="A13812" s="549"/>
      <c r="B13812" s="1605" t="s">
        <v>277</v>
      </c>
      <c r="C13812" s="549"/>
      <c r="D13812" s="549"/>
      <c r="E13812" s="549"/>
      <c r="F13812" s="549"/>
      <c r="G13812" s="549"/>
      <c r="H13812" s="549"/>
      <c r="I13812" s="558"/>
      <c r="J13812" s="567"/>
      <c r="K13812" s="648">
        <f>SUM(K13811:K13811)</f>
        <v>159</v>
      </c>
      <c r="L13812" s="567">
        <f>SUM(L13811:L13811)</f>
        <v>37.625759999999993</v>
      </c>
      <c r="M13812" s="549"/>
      <c r="N13812" s="549"/>
      <c r="O13812" s="549"/>
      <c r="P13812" s="549"/>
      <c r="Q13812" s="648">
        <f>SUM(Q13811:Q13811)</f>
        <v>98</v>
      </c>
      <c r="R13812" s="567">
        <f>SUM(R13811:R13811)</f>
        <v>23.190719999999999</v>
      </c>
    </row>
    <row r="13813" spans="1:19" s="1737" customFormat="1" ht="17.399999999999999">
      <c r="A13813" s="549"/>
      <c r="B13813" s="549"/>
      <c r="C13813" s="549"/>
      <c r="D13813" s="549"/>
      <c r="E13813" s="549"/>
      <c r="F13813" s="549"/>
      <c r="G13813" s="549"/>
      <c r="H13813" s="549"/>
      <c r="I13813" s="558"/>
      <c r="J13813" s="567"/>
      <c r="K13813" s="648"/>
      <c r="L13813" s="567"/>
      <c r="M13813" s="549"/>
      <c r="N13813" s="549"/>
      <c r="O13813" s="549"/>
      <c r="P13813" s="549"/>
    </row>
    <row r="13814" spans="1:19" s="1737" customFormat="1" ht="17.399999999999999">
      <c r="A13814" s="549"/>
      <c r="B13814" s="549"/>
      <c r="C13814" s="549"/>
      <c r="D13814" s="549"/>
      <c r="E13814" s="549"/>
      <c r="F13814" s="549"/>
      <c r="G13814" s="549"/>
      <c r="H13814" s="549"/>
      <c r="I13814" s="558"/>
      <c r="J13814" s="567"/>
      <c r="K13814" s="648"/>
      <c r="L13814" s="567"/>
      <c r="M13814" s="549"/>
      <c r="N13814" s="549"/>
      <c r="O13814" s="549"/>
      <c r="P13814" s="549"/>
    </row>
    <row r="13815" spans="1:19" ht="17.399999999999999">
      <c r="A13815" s="547" t="s">
        <v>395</v>
      </c>
      <c r="B13815" s="547" t="s">
        <v>1561</v>
      </c>
      <c r="C13815" s="547" t="s">
        <v>19</v>
      </c>
      <c r="D13815" s="813" t="s">
        <v>854</v>
      </c>
      <c r="E13815" s="547" t="s">
        <v>359</v>
      </c>
      <c r="F13815" s="550">
        <v>14</v>
      </c>
      <c r="G13815" s="549" t="s">
        <v>21</v>
      </c>
      <c r="H13815" s="599" t="s">
        <v>124</v>
      </c>
      <c r="I13815" s="558">
        <v>19.72</v>
      </c>
      <c r="J13815" s="567">
        <v>12</v>
      </c>
      <c r="K13815" s="648">
        <v>2</v>
      </c>
      <c r="L13815" s="552">
        <f>(I13815*J13815*K13815/1000)</f>
        <v>0.47327999999999998</v>
      </c>
      <c r="M13815" s="549"/>
      <c r="N13815" s="549"/>
      <c r="O13815" s="549"/>
      <c r="P13815" s="549"/>
      <c r="Q13815" s="1737" t="s">
        <v>1755</v>
      </c>
    </row>
    <row r="13816" spans="1:19" ht="17.399999999999999">
      <c r="A13816" s="549"/>
      <c r="B13816" s="549" t="s">
        <v>1027</v>
      </c>
      <c r="C13816" s="549"/>
      <c r="D13816" s="549"/>
      <c r="E13816" s="549"/>
      <c r="F13816" s="549"/>
      <c r="G13816" s="549"/>
      <c r="H13816" s="549"/>
      <c r="I13816" s="558"/>
      <c r="J13816" s="567"/>
      <c r="K13816" s="648">
        <f t="shared" ref="K13816:L13816" si="2781">SUM(K13815)</f>
        <v>2</v>
      </c>
      <c r="L13816" s="567">
        <f t="shared" si="2781"/>
        <v>0.47327999999999998</v>
      </c>
      <c r="M13816" s="549"/>
      <c r="N13816" s="549"/>
      <c r="O13816" s="549"/>
      <c r="P13816" s="549"/>
    </row>
    <row r="13817" spans="1:19" s="1737" customFormat="1" ht="17.399999999999999">
      <c r="A13817" s="549"/>
      <c r="B13817" s="549"/>
      <c r="C13817" s="549"/>
      <c r="D13817" s="549"/>
      <c r="E13817" s="549"/>
      <c r="F13817" s="549"/>
      <c r="G13817" s="549"/>
      <c r="H13817" s="549"/>
      <c r="I13817" s="558"/>
      <c r="J13817" s="567"/>
      <c r="K13817" s="648">
        <f>SUM(K13811:K13816)/2</f>
        <v>161</v>
      </c>
      <c r="L13817" s="567">
        <f>SUM(L13811:L13816)/2</f>
        <v>38.099039999999995</v>
      </c>
      <c r="M13817" s="549"/>
      <c r="N13817" s="549"/>
      <c r="O13817" s="549"/>
      <c r="P13817" s="549" t="s">
        <v>1685</v>
      </c>
    </row>
    <row r="13818" spans="1:19" s="1737" customFormat="1" ht="17.399999999999999">
      <c r="A13818" s="549"/>
      <c r="B13818" s="549"/>
      <c r="C13818" s="549"/>
      <c r="D13818" s="549"/>
      <c r="E13818" s="549"/>
      <c r="F13818" s="549"/>
      <c r="G13818" s="549"/>
      <c r="H13818" s="549"/>
      <c r="I13818" s="558"/>
      <c r="J13818" s="567"/>
      <c r="K13818" s="648"/>
      <c r="L13818" s="567"/>
      <c r="M13818" s="549"/>
      <c r="N13818" s="549"/>
      <c r="O13818" s="549"/>
      <c r="P13818" s="549"/>
    </row>
    <row r="13819" spans="1:19" s="1737" customFormat="1" ht="17.399999999999999">
      <c r="A13819" s="549"/>
      <c r="B13819" s="549"/>
      <c r="C13819" s="549"/>
      <c r="D13819" s="549"/>
      <c r="E13819" s="549"/>
      <c r="F13819" s="549"/>
      <c r="G13819" s="549"/>
      <c r="H13819" s="549"/>
      <c r="I13819" s="558"/>
      <c r="J13819" s="567"/>
      <c r="K13819" s="648"/>
      <c r="L13819" s="567"/>
      <c r="M13819" s="549"/>
      <c r="N13819" s="549"/>
      <c r="O13819" s="549"/>
      <c r="P13819" s="549"/>
    </row>
    <row r="13820" spans="1:19" ht="17.399999999999999">
      <c r="A13820" s="547" t="s">
        <v>83</v>
      </c>
      <c r="B13820" s="547" t="s">
        <v>1559</v>
      </c>
      <c r="C13820" s="547" t="s">
        <v>19</v>
      </c>
      <c r="D13820" s="813" t="s">
        <v>854</v>
      </c>
      <c r="E13820" s="650" t="s">
        <v>464</v>
      </c>
      <c r="F13820" s="550">
        <v>14</v>
      </c>
      <c r="G13820" s="549" t="s">
        <v>21</v>
      </c>
      <c r="H13820" s="599" t="s">
        <v>124</v>
      </c>
      <c r="I13820" s="558">
        <v>19.8</v>
      </c>
      <c r="J13820" s="567">
        <v>9.6</v>
      </c>
      <c r="K13820" s="648">
        <v>12</v>
      </c>
      <c r="L13820" s="552">
        <f t="shared" ref="L13820:L13821" si="2782">(I13820*J13820*K13820/1000)</f>
        <v>2.2809599999999999</v>
      </c>
      <c r="M13820" s="549"/>
      <c r="N13820" s="549"/>
      <c r="O13820" s="549"/>
      <c r="P13820" s="549"/>
      <c r="Q13820" s="1737" t="s">
        <v>1755</v>
      </c>
    </row>
    <row r="13821" spans="1:19" ht="17.399999999999999">
      <c r="A13821" s="549"/>
      <c r="B13821" s="549" t="s">
        <v>439</v>
      </c>
      <c r="C13821" s="549"/>
      <c r="D13821" s="549"/>
      <c r="E13821" s="549"/>
      <c r="F13821" s="549"/>
      <c r="G13821" s="549" t="s">
        <v>21</v>
      </c>
      <c r="H13821" s="549" t="s">
        <v>124</v>
      </c>
      <c r="I13821" s="558">
        <v>19.8</v>
      </c>
      <c r="J13821" s="567">
        <v>12</v>
      </c>
      <c r="K13821" s="648">
        <v>13</v>
      </c>
      <c r="L13821" s="552">
        <f t="shared" si="2782"/>
        <v>3.0888</v>
      </c>
      <c r="M13821" s="549"/>
      <c r="N13821" s="549"/>
      <c r="O13821" s="549"/>
      <c r="P13821" s="549"/>
    </row>
    <row r="13822" spans="1:19" ht="17.399999999999999">
      <c r="A13822" s="549"/>
      <c r="B13822" s="549"/>
      <c r="C13822" s="549"/>
      <c r="D13822" s="549"/>
      <c r="E13822" s="549"/>
      <c r="F13822" s="549"/>
      <c r="G13822" s="549"/>
      <c r="H13822" s="549"/>
      <c r="I13822" s="558"/>
      <c r="J13822" s="567"/>
      <c r="K13822" s="648">
        <f t="shared" ref="K13822:L13822" si="2783">SUM(K13820:K13821)</f>
        <v>25</v>
      </c>
      <c r="L13822" s="567">
        <f t="shared" si="2783"/>
        <v>5.3697599999999994</v>
      </c>
      <c r="M13822" s="549"/>
      <c r="N13822" s="549"/>
      <c r="O13822" s="549"/>
      <c r="P13822" s="549" t="s">
        <v>1686</v>
      </c>
    </row>
    <row r="13823" spans="1:19" s="1737" customFormat="1" ht="17.399999999999999">
      <c r="A13823" s="549"/>
      <c r="B13823" s="549"/>
      <c r="C13823" s="549"/>
      <c r="D13823" s="549"/>
      <c r="E13823" s="549"/>
      <c r="F13823" s="549"/>
      <c r="G13823" s="549"/>
      <c r="H13823" s="549"/>
      <c r="I13823" s="558"/>
      <c r="J13823" s="567"/>
      <c r="K13823" s="648"/>
      <c r="L13823" s="567"/>
      <c r="M13823" s="549"/>
      <c r="N13823" s="549"/>
      <c r="O13823" s="549"/>
      <c r="P13823" s="549"/>
    </row>
    <row r="13824" spans="1:19" ht="17.399999999999999">
      <c r="A13824" s="547" t="s">
        <v>395</v>
      </c>
      <c r="B13824" s="547" t="s">
        <v>1560</v>
      </c>
      <c r="C13824" s="547" t="s">
        <v>19</v>
      </c>
      <c r="D13824" s="813" t="s">
        <v>854</v>
      </c>
      <c r="E13824" s="547" t="s">
        <v>1028</v>
      </c>
      <c r="F13824" s="550">
        <v>14</v>
      </c>
      <c r="G13824" s="549" t="s">
        <v>21</v>
      </c>
      <c r="H13824" s="599" t="s">
        <v>124</v>
      </c>
      <c r="I13824" s="558">
        <v>19.72</v>
      </c>
      <c r="J13824" s="647">
        <v>12</v>
      </c>
      <c r="K13824" s="648">
        <v>1</v>
      </c>
      <c r="L13824" s="552">
        <f>(I13824*J13824*K13824/1000)</f>
        <v>0.23663999999999999</v>
      </c>
      <c r="M13824" s="549"/>
      <c r="N13824" s="549"/>
      <c r="O13824" s="549"/>
      <c r="P13824" s="549"/>
      <c r="Q13824" s="1737" t="s">
        <v>1755</v>
      </c>
    </row>
    <row r="13825" spans="1:17" ht="17.399999999999999">
      <c r="A13825" s="549"/>
      <c r="B13825" s="549" t="s">
        <v>1027</v>
      </c>
      <c r="C13825" s="549"/>
      <c r="D13825" s="549"/>
      <c r="E13825" s="549"/>
      <c r="F13825" s="549"/>
      <c r="G13825" s="549"/>
      <c r="H13825" s="549"/>
      <c r="I13825" s="558"/>
      <c r="J13825" s="647"/>
      <c r="K13825" s="648">
        <f t="shared" ref="K13825:L13825" si="2784">SUM(K13824)</f>
        <v>1</v>
      </c>
      <c r="L13825" s="567">
        <f t="shared" si="2784"/>
        <v>0.23663999999999999</v>
      </c>
      <c r="M13825" s="549"/>
      <c r="N13825" s="549"/>
      <c r="O13825" s="549"/>
      <c r="P13825" s="549" t="s">
        <v>1687</v>
      </c>
    </row>
    <row r="13826" spans="1:17" s="1737" customFormat="1" ht="17.399999999999999">
      <c r="A13826" s="549"/>
      <c r="B13826" s="549"/>
      <c r="C13826" s="549"/>
      <c r="D13826" s="549"/>
      <c r="E13826" s="549"/>
      <c r="F13826" s="549"/>
      <c r="G13826" s="549"/>
      <c r="H13826" s="549"/>
      <c r="I13826" s="558"/>
      <c r="J13826" s="647"/>
      <c r="K13826" s="648">
        <f>SUM(K13820:K13825)/2</f>
        <v>26</v>
      </c>
      <c r="L13826" s="567">
        <f>SUM(L13820:L13825)/2</f>
        <v>5.6063999999999989</v>
      </c>
      <c r="M13826" s="549"/>
      <c r="N13826" s="549"/>
      <c r="O13826" s="549"/>
      <c r="P13826" s="549"/>
    </row>
    <row r="13827" spans="1:17" s="1737" customFormat="1" ht="17.399999999999999">
      <c r="A13827" s="549"/>
      <c r="B13827" s="549"/>
      <c r="C13827" s="549"/>
      <c r="D13827" s="549"/>
      <c r="E13827" s="549"/>
      <c r="F13827" s="549"/>
      <c r="G13827" s="549"/>
      <c r="H13827" s="549"/>
      <c r="I13827" s="558"/>
      <c r="J13827" s="647"/>
      <c r="K13827" s="648"/>
      <c r="L13827" s="567"/>
      <c r="M13827" s="549"/>
      <c r="N13827" s="549"/>
      <c r="O13827" s="549"/>
      <c r="P13827" s="549"/>
    </row>
    <row r="13828" spans="1:17" ht="17.399999999999999">
      <c r="A13828" s="549"/>
      <c r="B13828" s="549"/>
      <c r="C13828" s="549"/>
      <c r="D13828" s="549"/>
      <c r="E13828" s="549"/>
      <c r="F13828" s="549"/>
      <c r="G13828" s="549"/>
      <c r="H13828" s="549"/>
      <c r="I13828" s="560"/>
      <c r="J13828" s="549"/>
      <c r="K13828" s="561"/>
      <c r="L13828" s="560"/>
      <c r="M13828" s="549"/>
      <c r="N13828" s="549"/>
      <c r="O13828" s="549"/>
      <c r="P13828" s="549"/>
    </row>
    <row r="13829" spans="1:17" ht="17.399999999999999">
      <c r="A13829" s="547" t="s">
        <v>83</v>
      </c>
      <c r="B13829" s="547" t="s">
        <v>1559</v>
      </c>
      <c r="C13829" s="547" t="s">
        <v>19</v>
      </c>
      <c r="D13829" s="813" t="s">
        <v>854</v>
      </c>
      <c r="E13829" s="650" t="s">
        <v>464</v>
      </c>
      <c r="F13829" s="550">
        <v>14</v>
      </c>
      <c r="G13829" s="549" t="s">
        <v>21</v>
      </c>
      <c r="H13829" s="599" t="s">
        <v>126</v>
      </c>
      <c r="I13829" s="558">
        <v>23.6</v>
      </c>
      <c r="J13829" s="567">
        <v>7</v>
      </c>
      <c r="K13829" s="648">
        <v>13</v>
      </c>
      <c r="L13829" s="552">
        <f t="shared" ref="L13829:L13831" si="2785">(I13829*J13829*K13829/1000)</f>
        <v>2.1476000000000002</v>
      </c>
      <c r="M13829" s="549">
        <v>12</v>
      </c>
      <c r="N13829" s="567">
        <f>J13829*M13829*I13829/1000</f>
        <v>1.9824000000000002</v>
      </c>
      <c r="O13829" s="549"/>
      <c r="P13829" s="549"/>
      <c r="Q13829" s="1737" t="s">
        <v>1755</v>
      </c>
    </row>
    <row r="13830" spans="1:17" ht="17.399999999999999">
      <c r="A13830" s="549"/>
      <c r="B13830" s="549" t="s">
        <v>439</v>
      </c>
      <c r="C13830" s="549"/>
      <c r="D13830" s="549"/>
      <c r="E13830" s="549"/>
      <c r="F13830" s="549"/>
      <c r="G13830" s="549" t="s">
        <v>21</v>
      </c>
      <c r="H13830" s="549" t="s">
        <v>126</v>
      </c>
      <c r="I13830" s="558">
        <v>23.6</v>
      </c>
      <c r="J13830" s="567">
        <v>10</v>
      </c>
      <c r="K13830" s="648">
        <v>9</v>
      </c>
      <c r="L13830" s="552">
        <f t="shared" si="2785"/>
        <v>2.1240000000000001</v>
      </c>
      <c r="M13830" s="549">
        <f>2+1</f>
        <v>3</v>
      </c>
      <c r="N13830" s="567">
        <f>J13830*M13830*I13830/1000</f>
        <v>0.70799999999999996</v>
      </c>
      <c r="O13830" s="549"/>
      <c r="P13830" s="549"/>
    </row>
    <row r="13831" spans="1:17" ht="17.399999999999999">
      <c r="A13831" s="549"/>
      <c r="B13831" s="549"/>
      <c r="C13831" s="549"/>
      <c r="D13831" s="549"/>
      <c r="E13831" s="549"/>
      <c r="F13831" s="549"/>
      <c r="G13831" s="549" t="s">
        <v>21</v>
      </c>
      <c r="H13831" s="549" t="s">
        <v>126</v>
      </c>
      <c r="I13831" s="558">
        <v>23.6</v>
      </c>
      <c r="J13831" s="567">
        <v>12</v>
      </c>
      <c r="K13831" s="648">
        <v>9</v>
      </c>
      <c r="L13831" s="552">
        <f t="shared" si="2785"/>
        <v>2.5488000000000004</v>
      </c>
      <c r="M13831" s="549"/>
      <c r="N13831" s="549"/>
      <c r="O13831" s="549"/>
      <c r="P13831" s="549"/>
    </row>
    <row r="13832" spans="1:17" ht="17.399999999999999">
      <c r="A13832" s="549"/>
      <c r="B13832" s="549"/>
      <c r="C13832" s="549"/>
      <c r="D13832" s="549"/>
      <c r="E13832" s="549"/>
      <c r="F13832" s="549"/>
      <c r="G13832" s="549"/>
      <c r="H13832" s="549"/>
      <c r="I13832" s="558"/>
      <c r="J13832" s="567"/>
      <c r="K13832" s="648">
        <f>SUM(K13829:K13831)</f>
        <v>31</v>
      </c>
      <c r="L13832" s="567">
        <f>SUM(L13829:L13831)</f>
        <v>6.8204000000000011</v>
      </c>
      <c r="M13832" s="648">
        <f>SUM(M13829:M13831)</f>
        <v>15</v>
      </c>
      <c r="N13832" s="567">
        <f>SUM(N13829:N13831)</f>
        <v>2.6904000000000003</v>
      </c>
      <c r="O13832" s="549"/>
      <c r="P13832" s="549" t="s">
        <v>1688</v>
      </c>
    </row>
    <row r="13833" spans="1:17" s="1737" customFormat="1" ht="17.399999999999999">
      <c r="A13833" s="549"/>
      <c r="B13833" s="549"/>
      <c r="C13833" s="549"/>
      <c r="D13833" s="549"/>
      <c r="E13833" s="549"/>
      <c r="F13833" s="549"/>
      <c r="G13833" s="549"/>
      <c r="H13833" s="549"/>
      <c r="I13833" s="558"/>
      <c r="J13833" s="567"/>
      <c r="K13833" s="648"/>
      <c r="L13833" s="567"/>
      <c r="M13833" s="549"/>
      <c r="N13833" s="549"/>
      <c r="O13833" s="549"/>
      <c r="P13833" s="549"/>
    </row>
    <row r="13834" spans="1:17" ht="17.399999999999999">
      <c r="A13834" s="547" t="s">
        <v>83</v>
      </c>
      <c r="B13834" s="547" t="s">
        <v>1558</v>
      </c>
      <c r="C13834" s="547" t="s">
        <v>19</v>
      </c>
      <c r="D13834" s="813" t="s">
        <v>854</v>
      </c>
      <c r="E13834" s="650" t="s">
        <v>464</v>
      </c>
      <c r="F13834" s="550">
        <v>14</v>
      </c>
      <c r="G13834" s="549" t="s">
        <v>21</v>
      </c>
      <c r="H13834" s="599" t="s">
        <v>126</v>
      </c>
      <c r="I13834" s="558">
        <v>23.6</v>
      </c>
      <c r="J13834" s="710">
        <v>12</v>
      </c>
      <c r="K13834" s="648">
        <v>5</v>
      </c>
      <c r="L13834" s="552">
        <f>(I13834*J13834*K13834/1000)</f>
        <v>1.4160000000000001</v>
      </c>
      <c r="M13834" s="549"/>
      <c r="N13834" s="549"/>
      <c r="O13834" s="549"/>
      <c r="P13834" s="549"/>
      <c r="Q13834" s="1737" t="s">
        <v>1755</v>
      </c>
    </row>
    <row r="13835" spans="1:17" ht="17.399999999999999">
      <c r="A13835" s="549"/>
      <c r="B13835" s="549" t="s">
        <v>1407</v>
      </c>
      <c r="C13835" s="549"/>
      <c r="D13835" s="549"/>
      <c r="E13835" s="549"/>
      <c r="F13835" s="549"/>
      <c r="G13835" s="549"/>
      <c r="H13835" s="650"/>
      <c r="I13835" s="560"/>
      <c r="J13835" s="710"/>
      <c r="K13835" s="648">
        <f>SUM(K13834:K13834)</f>
        <v>5</v>
      </c>
      <c r="L13835" s="765">
        <f>SUM(L13834:L13834)</f>
        <v>1.4160000000000001</v>
      </c>
      <c r="M13835" s="549"/>
      <c r="N13835" s="549"/>
      <c r="O13835" s="549"/>
      <c r="P13835" s="549" t="s">
        <v>1688</v>
      </c>
    </row>
    <row r="13836" spans="1:17" ht="17.399999999999999">
      <c r="A13836" s="549"/>
      <c r="B13836" s="549"/>
      <c r="C13836" s="549"/>
      <c r="D13836" s="549"/>
      <c r="E13836" s="549"/>
      <c r="F13836" s="549"/>
      <c r="G13836" s="549"/>
      <c r="H13836" s="549"/>
      <c r="I13836" s="560"/>
      <c r="J13836" s="549"/>
      <c r="K13836" s="561"/>
      <c r="L13836" s="560"/>
      <c r="M13836" s="549"/>
      <c r="N13836" s="549"/>
      <c r="O13836" s="549"/>
      <c r="P13836" s="549"/>
    </row>
    <row r="13837" spans="1:17" ht="17.399999999999999">
      <c r="A13837" s="547" t="s">
        <v>395</v>
      </c>
      <c r="B13837" s="547" t="s">
        <v>1560</v>
      </c>
      <c r="C13837" s="547" t="s">
        <v>19</v>
      </c>
      <c r="D13837" s="813" t="s">
        <v>854</v>
      </c>
      <c r="E13837" s="547" t="s">
        <v>1028</v>
      </c>
      <c r="F13837" s="550">
        <v>14</v>
      </c>
      <c r="G13837" s="549" t="s">
        <v>21</v>
      </c>
      <c r="H13837" s="599" t="s">
        <v>126</v>
      </c>
      <c r="I13837" s="558">
        <v>23.45</v>
      </c>
      <c r="J13837" s="647">
        <v>10</v>
      </c>
      <c r="K13837" s="648">
        <v>3</v>
      </c>
      <c r="L13837" s="552">
        <f>(I13837*J13837*K13837/1000)</f>
        <v>0.70350000000000001</v>
      </c>
      <c r="M13837" s="549"/>
      <c r="N13837" s="549"/>
      <c r="O13837" s="549"/>
      <c r="P13837" s="549"/>
      <c r="Q13837" s="1737" t="s">
        <v>1755</v>
      </c>
    </row>
    <row r="13838" spans="1:17" ht="17.399999999999999">
      <c r="A13838" s="549"/>
      <c r="B13838" s="549" t="s">
        <v>1027</v>
      </c>
      <c r="C13838" s="549"/>
      <c r="D13838" s="549"/>
      <c r="E13838" s="549"/>
      <c r="F13838" s="549"/>
      <c r="G13838" s="549"/>
      <c r="H13838" s="549"/>
      <c r="I13838" s="558"/>
      <c r="J13838" s="647"/>
      <c r="K13838" s="648">
        <f t="shared" ref="K13838" si="2786">SUM(K13837)</f>
        <v>3</v>
      </c>
      <c r="L13838" s="567">
        <f>SUM(L13837)</f>
        <v>0.70350000000000001</v>
      </c>
      <c r="M13838" s="549"/>
      <c r="N13838" s="549"/>
      <c r="O13838" s="549"/>
      <c r="P13838" s="549" t="s">
        <v>1689</v>
      </c>
    </row>
    <row r="13839" spans="1:17" s="1737" customFormat="1" ht="17.399999999999999">
      <c r="A13839" s="549"/>
      <c r="B13839" s="549"/>
      <c r="C13839" s="549"/>
      <c r="D13839" s="549"/>
      <c r="E13839" s="549"/>
      <c r="F13839" s="549"/>
      <c r="G13839" s="549"/>
      <c r="H13839" s="549"/>
      <c r="I13839" s="558"/>
      <c r="J13839" s="647"/>
      <c r="K13839" s="648">
        <f>SUM(K13829:K13838)/2</f>
        <v>39</v>
      </c>
      <c r="L13839" s="567">
        <f>SUM(L13829:L13838)/2</f>
        <v>8.9399000000000015</v>
      </c>
      <c r="M13839" s="648">
        <f>SUM(M13829:M13838)/2</f>
        <v>15</v>
      </c>
      <c r="N13839" s="567">
        <f>SUM(N13829:N13838)/2</f>
        <v>2.6904000000000003</v>
      </c>
      <c r="O13839" s="549"/>
      <c r="P13839" s="549"/>
    </row>
    <row r="13840" spans="1:17" s="1737" customFormat="1" ht="17.399999999999999">
      <c r="A13840" s="549"/>
      <c r="B13840" s="549"/>
      <c r="C13840" s="549"/>
      <c r="D13840" s="549"/>
      <c r="E13840" s="549"/>
      <c r="F13840" s="549"/>
      <c r="G13840" s="549"/>
      <c r="H13840" s="549"/>
      <c r="I13840" s="558"/>
      <c r="J13840" s="647"/>
      <c r="K13840" s="648"/>
      <c r="L13840" s="567"/>
      <c r="M13840" s="549"/>
      <c r="N13840" s="549"/>
      <c r="O13840" s="549"/>
      <c r="P13840" s="549"/>
    </row>
    <row r="13841" spans="1:19" ht="17.399999999999999">
      <c r="A13841" s="549"/>
      <c r="B13841" s="549"/>
      <c r="C13841" s="549"/>
      <c r="D13841" s="549"/>
      <c r="E13841" s="549"/>
      <c r="F13841" s="549"/>
      <c r="G13841" s="549"/>
      <c r="H13841" s="549"/>
      <c r="I13841" s="560"/>
      <c r="J13841" s="549"/>
      <c r="K13841" s="561"/>
      <c r="L13841" s="560"/>
      <c r="M13841" s="549"/>
      <c r="N13841" s="549"/>
      <c r="O13841" s="549"/>
      <c r="P13841" s="549"/>
    </row>
    <row r="13842" spans="1:19" s="1737" customFormat="1" ht="17.399999999999999">
      <c r="A13842" s="549"/>
      <c r="B13842" s="549"/>
      <c r="C13842" s="549"/>
      <c r="D13842" s="549"/>
      <c r="E13842" s="549"/>
      <c r="F13842" s="549"/>
      <c r="G13842" s="549"/>
      <c r="H13842" s="549"/>
      <c r="I13842" s="558"/>
      <c r="J13842" s="647"/>
      <c r="K13842" s="648"/>
      <c r="L13842" s="567"/>
      <c r="M13842" s="549"/>
      <c r="N13842" s="549"/>
      <c r="O13842" s="549"/>
      <c r="P13842" s="549"/>
    </row>
    <row r="13843" spans="1:19" ht="17.399999999999999">
      <c r="A13843" s="547" t="s">
        <v>395</v>
      </c>
      <c r="B13843" s="547" t="s">
        <v>1365</v>
      </c>
      <c r="C13843" s="547" t="s">
        <v>19</v>
      </c>
      <c r="D13843" s="813" t="s">
        <v>854</v>
      </c>
      <c r="E13843" s="547" t="s">
        <v>359</v>
      </c>
      <c r="F13843" s="550">
        <v>14</v>
      </c>
      <c r="G13843" s="549" t="s">
        <v>21</v>
      </c>
      <c r="H13843" s="599" t="s">
        <v>129</v>
      </c>
      <c r="I13843" s="558">
        <v>17.82</v>
      </c>
      <c r="J13843" s="567">
        <v>9.5</v>
      </c>
      <c r="K13843" s="648">
        <f>275-64</f>
        <v>211</v>
      </c>
      <c r="L13843" s="552">
        <f>(I13843*J13843*K13843/1000)</f>
        <v>35.720189999999995</v>
      </c>
      <c r="M13843" s="549"/>
      <c r="N13843" s="549"/>
      <c r="O13843" s="549"/>
      <c r="P13843" s="549"/>
      <c r="Q13843" s="497">
        <f>15+18+24+21+10+10+3+18+18+9</f>
        <v>146</v>
      </c>
      <c r="R13843" s="126">
        <f>J13843*Q13843*I13843/1000</f>
        <v>24.716339999999999</v>
      </c>
      <c r="S13843" s="1737" t="s">
        <v>1755</v>
      </c>
    </row>
    <row r="13844" spans="1:19" ht="17.399999999999999">
      <c r="A13844" s="549"/>
      <c r="B13844" s="1605" t="s">
        <v>277</v>
      </c>
      <c r="C13844" s="549"/>
      <c r="D13844" s="549"/>
      <c r="E13844" s="549"/>
      <c r="F13844" s="549"/>
      <c r="G13844" s="549" t="s">
        <v>21</v>
      </c>
      <c r="H13844" s="549" t="s">
        <v>129</v>
      </c>
      <c r="I13844" s="558">
        <v>17.82</v>
      </c>
      <c r="J13844" s="567">
        <v>11.6</v>
      </c>
      <c r="K13844" s="648">
        <f>504-94</f>
        <v>410</v>
      </c>
      <c r="L13844" s="552">
        <f>(I13844*J13844*K13844/1000)</f>
        <v>84.751919999999998</v>
      </c>
      <c r="M13844" s="549"/>
      <c r="N13844" s="549"/>
      <c r="O13844" s="549"/>
      <c r="P13844" s="549"/>
      <c r="Q13844" s="497">
        <f>14+17+14+14+14+14+15+15+15+15+15+15+15+15+15+15+15+15+15+15+11+7</f>
        <v>315</v>
      </c>
      <c r="R13844" s="126">
        <f>J13844*Q13844*I13844/1000</f>
        <v>65.114279999999994</v>
      </c>
    </row>
    <row r="13845" spans="1:19" ht="17.399999999999999">
      <c r="A13845" s="549"/>
      <c r="B13845" s="549"/>
      <c r="C13845" s="549"/>
      <c r="D13845" s="549"/>
      <c r="E13845" s="549"/>
      <c r="F13845" s="549"/>
      <c r="G13845" s="549" t="s">
        <v>21</v>
      </c>
      <c r="H13845" s="549" t="s">
        <v>129</v>
      </c>
      <c r="I13845" s="558">
        <v>17.82</v>
      </c>
      <c r="J13845" s="567">
        <v>12</v>
      </c>
      <c r="K13845" s="648">
        <v>8</v>
      </c>
      <c r="L13845" s="552">
        <f>(I13845*J13845*K13845/1000)</f>
        <v>1.71072</v>
      </c>
      <c r="M13845" s="549"/>
      <c r="N13845" s="549"/>
      <c r="O13845" s="549"/>
      <c r="P13845" s="549"/>
      <c r="Q13845" s="497">
        <v>8</v>
      </c>
      <c r="R13845" s="126">
        <f>J13845*Q13845*I13845/1000</f>
        <v>1.71072</v>
      </c>
    </row>
    <row r="13846" spans="1:19" ht="17.399999999999999">
      <c r="A13846" s="549"/>
      <c r="B13846" s="549"/>
      <c r="C13846" s="549"/>
      <c r="D13846" s="549"/>
      <c r="E13846" s="549"/>
      <c r="F13846" s="549"/>
      <c r="G13846" s="549"/>
      <c r="H13846" s="549"/>
      <c r="I13846" s="558"/>
      <c r="J13846" s="567"/>
      <c r="K13846" s="648">
        <f>SUM(K13843:K13845)</f>
        <v>629</v>
      </c>
      <c r="L13846" s="567">
        <f>SUM(L13843:L13845)</f>
        <v>122.18282999999998</v>
      </c>
      <c r="M13846" s="648">
        <f>SUM(M13843:M13845)</f>
        <v>0</v>
      </c>
      <c r="N13846" s="567">
        <f>SUM(N13843:N13845)</f>
        <v>0</v>
      </c>
      <c r="O13846" s="549"/>
      <c r="P13846" s="549" t="s">
        <v>1690</v>
      </c>
      <c r="Q13846" s="648">
        <f>SUM(Q13843:Q13845)</f>
        <v>469</v>
      </c>
      <c r="R13846" s="567">
        <f>SUM(R13843:R13845)</f>
        <v>91.541339999999991</v>
      </c>
    </row>
    <row r="13847" spans="1:19" ht="17.399999999999999">
      <c r="A13847" s="549"/>
      <c r="B13847" s="549"/>
      <c r="C13847" s="549"/>
      <c r="D13847" s="549"/>
      <c r="E13847" s="549"/>
      <c r="F13847" s="549"/>
      <c r="G13847" s="549"/>
      <c r="H13847" s="549"/>
      <c r="I13847" s="560"/>
      <c r="J13847" s="549"/>
      <c r="K13847" s="561"/>
      <c r="L13847" s="560"/>
      <c r="M13847" s="549"/>
      <c r="N13847" s="549"/>
      <c r="O13847" s="549"/>
      <c r="P13847" s="549"/>
    </row>
    <row r="13848" spans="1:19" s="1737" customFormat="1" ht="17.399999999999999">
      <c r="A13848" s="549"/>
      <c r="B13848" s="549"/>
      <c r="C13848" s="549"/>
      <c r="D13848" s="549"/>
      <c r="E13848" s="549"/>
      <c r="F13848" s="549"/>
      <c r="G13848" s="549"/>
      <c r="H13848" s="549"/>
      <c r="I13848" s="560"/>
      <c r="J13848" s="549"/>
      <c r="K13848" s="561"/>
      <c r="L13848" s="560"/>
      <c r="M13848" s="549"/>
      <c r="N13848" s="549"/>
      <c r="O13848" s="549"/>
      <c r="P13848" s="549"/>
    </row>
    <row r="13849" spans="1:19" s="1737" customFormat="1" ht="17.399999999999999">
      <c r="A13849" s="547" t="s">
        <v>272</v>
      </c>
      <c r="B13849" s="547" t="s">
        <v>1664</v>
      </c>
      <c r="C13849" s="547" t="s">
        <v>446</v>
      </c>
      <c r="D13849" s="813" t="s">
        <v>447</v>
      </c>
      <c r="E13849" s="547" t="s">
        <v>359</v>
      </c>
      <c r="F13849" s="550">
        <v>14</v>
      </c>
      <c r="G13849" s="549" t="s">
        <v>21</v>
      </c>
      <c r="H13849" s="599" t="s">
        <v>129</v>
      </c>
      <c r="I13849" s="560">
        <v>17.82</v>
      </c>
      <c r="J13849" s="567">
        <v>10.3</v>
      </c>
      <c r="K13849" s="648">
        <v>12</v>
      </c>
      <c r="L13849" s="552">
        <f>(I13849*J13849*K13849/1000)</f>
        <v>2.2025520000000003</v>
      </c>
      <c r="M13849" s="648"/>
      <c r="N13849" s="567"/>
      <c r="O13849" s="549"/>
      <c r="P13849" s="549"/>
      <c r="Q13849" s="1737" t="s">
        <v>1755</v>
      </c>
    </row>
    <row r="13850" spans="1:19" s="1737" customFormat="1" ht="17.399999999999999">
      <c r="A13850" s="549"/>
      <c r="B13850" s="549"/>
      <c r="C13850" s="549"/>
      <c r="D13850" s="549"/>
      <c r="E13850" s="549"/>
      <c r="F13850" s="549"/>
      <c r="G13850" s="549" t="s">
        <v>21</v>
      </c>
      <c r="H13850" s="549" t="s">
        <v>129</v>
      </c>
      <c r="I13850" s="560">
        <v>17.82</v>
      </c>
      <c r="J13850" s="567">
        <v>11.8</v>
      </c>
      <c r="K13850" s="648">
        <v>48</v>
      </c>
      <c r="L13850" s="552">
        <f>(I13850*J13850*K13850/1000)</f>
        <v>10.093247999999999</v>
      </c>
      <c r="M13850" s="648"/>
      <c r="N13850" s="567"/>
      <c r="O13850" s="549"/>
      <c r="P13850" s="549"/>
    </row>
    <row r="13851" spans="1:19" s="1737" customFormat="1" ht="17.399999999999999">
      <c r="A13851" s="549"/>
      <c r="B13851" s="549"/>
      <c r="C13851" s="549"/>
      <c r="D13851" s="549"/>
      <c r="E13851" s="549"/>
      <c r="F13851" s="549"/>
      <c r="G13851" s="549" t="s">
        <v>21</v>
      </c>
      <c r="H13851" s="549" t="s">
        <v>129</v>
      </c>
      <c r="I13851" s="560">
        <v>17.82</v>
      </c>
      <c r="J13851" s="567">
        <v>12</v>
      </c>
      <c r="K13851" s="648">
        <v>48</v>
      </c>
      <c r="L13851" s="552">
        <f>(I13851*J13851*K13851/1000)</f>
        <v>10.26432</v>
      </c>
      <c r="M13851" s="648"/>
      <c r="N13851" s="567"/>
      <c r="O13851" s="549"/>
      <c r="P13851" s="549"/>
    </row>
    <row r="13852" spans="1:19" s="1737" customFormat="1" ht="17.399999999999999">
      <c r="A13852" s="549"/>
      <c r="B13852" s="549"/>
      <c r="C13852" s="549"/>
      <c r="D13852" s="549"/>
      <c r="E13852" s="549"/>
      <c r="F13852" s="549"/>
      <c r="G13852" s="549"/>
      <c r="H13852" s="549"/>
      <c r="I13852" s="560"/>
      <c r="J13852" s="567"/>
      <c r="K13852" s="648">
        <f>SUM(K13849:K13851)</f>
        <v>108</v>
      </c>
      <c r="L13852" s="567">
        <f>SUM(L13849:L13851)</f>
        <v>22.560119999999998</v>
      </c>
      <c r="M13852" s="648"/>
      <c r="N13852" s="567"/>
      <c r="O13852" s="549"/>
      <c r="P13852" s="549" t="s">
        <v>1691</v>
      </c>
    </row>
    <row r="13853" spans="1:19" s="1737" customFormat="1" ht="17.399999999999999">
      <c r="A13853" s="549"/>
      <c r="B13853" s="549"/>
      <c r="C13853" s="549"/>
      <c r="D13853" s="549"/>
      <c r="E13853" s="549"/>
      <c r="F13853" s="549"/>
      <c r="G13853" s="549"/>
      <c r="H13853" s="549"/>
      <c r="I13853" s="558"/>
      <c r="J13853" s="567"/>
      <c r="K13853" s="648"/>
      <c r="L13853" s="567"/>
      <c r="M13853" s="648"/>
      <c r="N13853" s="567"/>
      <c r="O13853" s="549"/>
      <c r="P13853" s="549"/>
    </row>
    <row r="13854" spans="1:19" s="1737" customFormat="1" ht="17.399999999999999">
      <c r="A13854" s="549"/>
      <c r="B13854" s="549"/>
      <c r="C13854" s="549"/>
      <c r="D13854" s="549"/>
      <c r="E13854" s="549"/>
      <c r="F13854" s="549"/>
      <c r="G13854" s="549"/>
      <c r="H13854" s="549"/>
      <c r="I13854" s="558"/>
      <c r="J13854" s="567"/>
      <c r="K13854" s="648"/>
      <c r="L13854" s="567"/>
      <c r="M13854" s="648"/>
      <c r="N13854" s="567"/>
      <c r="O13854" s="549"/>
      <c r="P13854" s="549"/>
    </row>
    <row r="13855" spans="1:19" ht="17.399999999999999">
      <c r="A13855" s="549"/>
      <c r="B13855" s="549"/>
      <c r="C13855" s="549"/>
      <c r="D13855" s="549"/>
      <c r="E13855" s="549"/>
      <c r="F13855" s="549"/>
      <c r="G13855" s="549"/>
      <c r="H13855" s="549"/>
      <c r="I13855" s="560"/>
      <c r="J13855" s="549"/>
      <c r="K13855" s="561"/>
      <c r="L13855" s="560"/>
      <c r="M13855" s="549"/>
      <c r="N13855" s="549"/>
      <c r="O13855" s="549"/>
      <c r="P13855" s="549"/>
    </row>
    <row r="13856" spans="1:19" ht="17.399999999999999">
      <c r="A13856" s="547" t="s">
        <v>83</v>
      </c>
      <c r="B13856" s="547" t="s">
        <v>1559</v>
      </c>
      <c r="C13856" s="547" t="s">
        <v>19</v>
      </c>
      <c r="D13856" s="813" t="s">
        <v>854</v>
      </c>
      <c r="E13856" s="650" t="s">
        <v>464</v>
      </c>
      <c r="F13856" s="550">
        <v>14</v>
      </c>
      <c r="G13856" s="549" t="s">
        <v>21</v>
      </c>
      <c r="H13856" s="599" t="s">
        <v>129</v>
      </c>
      <c r="I13856" s="558">
        <v>17.899999999999999</v>
      </c>
      <c r="J13856" s="567">
        <v>10</v>
      </c>
      <c r="K13856" s="648">
        <v>1</v>
      </c>
      <c r="L13856" s="552">
        <f>(I13856*J13856*K13856/1000)</f>
        <v>0.17899999999999999</v>
      </c>
      <c r="M13856" s="549">
        <v>1</v>
      </c>
      <c r="N13856" s="567">
        <f t="shared" ref="N13856:N13858" si="2787">J13856*M13856*I13856/1000</f>
        <v>0.17899999999999999</v>
      </c>
      <c r="O13856" s="549"/>
      <c r="P13856" s="549"/>
      <c r="Q13856" s="1737" t="s">
        <v>1755</v>
      </c>
    </row>
    <row r="13857" spans="1:17" ht="17.399999999999999">
      <c r="A13857" s="549"/>
      <c r="B13857" s="549" t="s">
        <v>439</v>
      </c>
      <c r="C13857" s="549"/>
      <c r="D13857" s="549"/>
      <c r="E13857" s="549"/>
      <c r="F13857" s="549"/>
      <c r="G13857" s="549" t="s">
        <v>21</v>
      </c>
      <c r="H13857" s="549" t="s">
        <v>129</v>
      </c>
      <c r="I13857" s="558">
        <v>17.899999999999999</v>
      </c>
      <c r="J13857" s="567">
        <v>11.5</v>
      </c>
      <c r="K13857" s="648">
        <v>4</v>
      </c>
      <c r="L13857" s="552">
        <f>(I13857*J13857*K13857/1000)</f>
        <v>0.82340000000000002</v>
      </c>
      <c r="M13857" s="549">
        <v>4</v>
      </c>
      <c r="N13857" s="567">
        <f t="shared" si="2787"/>
        <v>0.82340000000000002</v>
      </c>
      <c r="O13857" s="549"/>
      <c r="P13857" s="549"/>
    </row>
    <row r="13858" spans="1:17" ht="17.399999999999999">
      <c r="A13858" s="549"/>
      <c r="B13858" s="549"/>
      <c r="C13858" s="549"/>
      <c r="D13858" s="549"/>
      <c r="E13858" s="549"/>
      <c r="F13858" s="549"/>
      <c r="G13858" s="549" t="s">
        <v>21</v>
      </c>
      <c r="H13858" s="549" t="s">
        <v>129</v>
      </c>
      <c r="I13858" s="558">
        <v>17.899999999999999</v>
      </c>
      <c r="J13858" s="567">
        <v>12</v>
      </c>
      <c r="K13858" s="648">
        <v>5</v>
      </c>
      <c r="L13858" s="552">
        <f>(I13858*J13858*K13858/1000)</f>
        <v>1.0740000000000001</v>
      </c>
      <c r="M13858" s="549">
        <v>5</v>
      </c>
      <c r="N13858" s="567">
        <f t="shared" si="2787"/>
        <v>1.0740000000000001</v>
      </c>
      <c r="O13858" s="549"/>
      <c r="P13858" s="549"/>
    </row>
    <row r="13859" spans="1:17" ht="17.399999999999999">
      <c r="A13859" s="549"/>
      <c r="B13859" s="549"/>
      <c r="C13859" s="549"/>
      <c r="D13859" s="549"/>
      <c r="E13859" s="549"/>
      <c r="F13859" s="549"/>
      <c r="G13859" s="549"/>
      <c r="H13859" s="549"/>
      <c r="I13859" s="558"/>
      <c r="J13859" s="567"/>
      <c r="K13859" s="648">
        <f>SUM(K13856:K13858)</f>
        <v>10</v>
      </c>
      <c r="L13859" s="567">
        <f>SUM(L13856:L13858)</f>
        <v>2.0764</v>
      </c>
      <c r="M13859" s="648">
        <f>SUM(M13856:M13858)</f>
        <v>10</v>
      </c>
      <c r="N13859" s="567">
        <f>SUM(N13856:N13858)</f>
        <v>2.0764</v>
      </c>
      <c r="O13859" s="549" t="s">
        <v>1643</v>
      </c>
      <c r="P13859" s="549"/>
    </row>
    <row r="13860" spans="1:17" s="1737" customFormat="1" ht="17.399999999999999">
      <c r="A13860" s="549"/>
      <c r="B13860" s="549"/>
      <c r="C13860" s="549"/>
      <c r="D13860" s="549"/>
      <c r="E13860" s="549"/>
      <c r="F13860" s="549"/>
      <c r="G13860" s="549"/>
      <c r="H13860" s="549"/>
      <c r="I13860" s="558"/>
      <c r="J13860" s="567"/>
      <c r="K13860" s="648"/>
      <c r="L13860" s="567"/>
      <c r="M13860" s="549"/>
      <c r="N13860" s="549"/>
      <c r="O13860" s="549"/>
      <c r="P13860" s="549"/>
    </row>
    <row r="13861" spans="1:17" ht="17.399999999999999">
      <c r="A13861" s="549"/>
      <c r="B13861" s="549"/>
      <c r="C13861" s="549"/>
      <c r="D13861" s="549"/>
      <c r="E13861" s="549"/>
      <c r="F13861" s="549"/>
      <c r="G13861" s="549"/>
      <c r="H13861" s="549"/>
      <c r="I13861" s="560"/>
      <c r="J13861" s="549"/>
      <c r="K13861" s="561"/>
      <c r="L13861" s="560"/>
      <c r="M13861" s="549"/>
      <c r="N13861" s="549"/>
      <c r="O13861" s="549"/>
      <c r="P13861" s="549"/>
    </row>
    <row r="13862" spans="1:17" ht="17.399999999999999">
      <c r="A13862" s="549"/>
      <c r="B13862" s="549"/>
      <c r="C13862" s="549"/>
      <c r="D13862" s="549"/>
      <c r="E13862" s="549"/>
      <c r="F13862" s="549"/>
      <c r="G13862" s="549"/>
      <c r="H13862" s="549"/>
      <c r="I13862" s="560"/>
      <c r="J13862" s="549"/>
      <c r="K13862" s="561"/>
      <c r="L13862" s="560"/>
      <c r="M13862" s="549"/>
      <c r="N13862" s="549"/>
      <c r="O13862" s="549"/>
      <c r="P13862" s="549"/>
    </row>
    <row r="13863" spans="1:17" ht="17.399999999999999">
      <c r="A13863" s="547" t="s">
        <v>83</v>
      </c>
      <c r="B13863" s="547" t="s">
        <v>1559</v>
      </c>
      <c r="C13863" s="547" t="s">
        <v>19</v>
      </c>
      <c r="D13863" s="813" t="s">
        <v>854</v>
      </c>
      <c r="E13863" s="650" t="s">
        <v>464</v>
      </c>
      <c r="F13863" s="550">
        <v>14</v>
      </c>
      <c r="G13863" s="549" t="s">
        <v>21</v>
      </c>
      <c r="H13863" s="599" t="s">
        <v>128</v>
      </c>
      <c r="I13863" s="558">
        <v>16</v>
      </c>
      <c r="J13863" s="567">
        <v>8.8000000000000007</v>
      </c>
      <c r="K13863" s="648">
        <v>5</v>
      </c>
      <c r="L13863" s="552">
        <f>(I13863*J13863*K13863/1000)</f>
        <v>0.70399999999999996</v>
      </c>
      <c r="M13863" s="549">
        <v>5</v>
      </c>
      <c r="N13863" s="567">
        <f t="shared" ref="N13863:N13864" si="2788">J13863*M13863*I13863/1000</f>
        <v>0.70399999999999996</v>
      </c>
      <c r="O13863" s="549"/>
      <c r="P13863" s="549"/>
      <c r="Q13863" s="1737" t="s">
        <v>1755</v>
      </c>
    </row>
    <row r="13864" spans="1:17" ht="17.399999999999999">
      <c r="A13864" s="549"/>
      <c r="B13864" s="549" t="s">
        <v>439</v>
      </c>
      <c r="C13864" s="549"/>
      <c r="D13864" s="549"/>
      <c r="E13864" s="549"/>
      <c r="F13864" s="549"/>
      <c r="G13864" s="549" t="s">
        <v>21</v>
      </c>
      <c r="H13864" s="549" t="s">
        <v>128</v>
      </c>
      <c r="I13864" s="558">
        <v>16</v>
      </c>
      <c r="J13864" s="567">
        <v>10.199999999999999</v>
      </c>
      <c r="K13864" s="648">
        <v>5</v>
      </c>
      <c r="L13864" s="552">
        <f>(I13864*J13864*K13864/1000)</f>
        <v>0.81599999999999995</v>
      </c>
      <c r="M13864" s="549">
        <v>5</v>
      </c>
      <c r="N13864" s="567">
        <f t="shared" si="2788"/>
        <v>0.81599999999999995</v>
      </c>
      <c r="O13864" s="549"/>
      <c r="P13864" s="549"/>
    </row>
    <row r="13865" spans="1:17" ht="17.399999999999999">
      <c r="A13865" s="549"/>
      <c r="B13865" s="549"/>
      <c r="C13865" s="549"/>
      <c r="D13865" s="549"/>
      <c r="E13865" s="549"/>
      <c r="F13865" s="549"/>
      <c r="G13865" s="549"/>
      <c r="H13865" s="549"/>
      <c r="I13865" s="558"/>
      <c r="J13865" s="567"/>
      <c r="K13865" s="648">
        <f t="shared" ref="K13865:N13865" si="2789">SUM(K13863:K13864)</f>
        <v>10</v>
      </c>
      <c r="L13865" s="567">
        <f t="shared" si="2789"/>
        <v>1.52</v>
      </c>
      <c r="M13865" s="648">
        <f t="shared" si="2789"/>
        <v>10</v>
      </c>
      <c r="N13865" s="567">
        <f t="shared" si="2789"/>
        <v>1.52</v>
      </c>
      <c r="O13865" s="549" t="s">
        <v>1643</v>
      </c>
      <c r="P13865" s="549"/>
    </row>
    <row r="13866" spans="1:17" s="1737" customFormat="1" ht="17.399999999999999">
      <c r="A13866" s="549"/>
      <c r="B13866" s="549"/>
      <c r="C13866" s="549"/>
      <c r="D13866" s="549"/>
      <c r="E13866" s="549"/>
      <c r="F13866" s="549"/>
      <c r="G13866" s="549"/>
      <c r="H13866" s="549"/>
      <c r="I13866" s="558"/>
      <c r="J13866" s="567"/>
      <c r="K13866" s="648"/>
      <c r="L13866" s="567"/>
      <c r="M13866" s="549"/>
      <c r="N13866" s="549"/>
      <c r="O13866" s="549"/>
      <c r="P13866" s="549"/>
    </row>
    <row r="13867" spans="1:17" ht="17.399999999999999">
      <c r="A13867" s="549"/>
      <c r="B13867" s="549"/>
      <c r="C13867" s="549"/>
      <c r="D13867" s="549"/>
      <c r="E13867" s="549"/>
      <c r="F13867" s="549"/>
      <c r="G13867" s="549"/>
      <c r="H13867" s="549"/>
      <c r="I13867" s="560"/>
      <c r="J13867" s="549"/>
      <c r="K13867" s="561"/>
      <c r="L13867" s="560"/>
      <c r="M13867" s="549"/>
      <c r="N13867" s="549"/>
      <c r="O13867" s="549"/>
      <c r="P13867" s="549"/>
    </row>
    <row r="13868" spans="1:17" ht="17.399999999999999">
      <c r="A13868" s="549"/>
      <c r="B13868" s="549"/>
      <c r="C13868" s="549"/>
      <c r="D13868" s="549"/>
      <c r="E13868" s="549"/>
      <c r="F13868" s="549"/>
      <c r="G13868" s="549"/>
      <c r="H13868" s="549"/>
      <c r="I13868" s="560"/>
      <c r="J13868" s="549"/>
      <c r="K13868" s="561"/>
      <c r="L13868" s="560"/>
      <c r="M13868" s="549"/>
      <c r="N13868" s="549"/>
      <c r="O13868" s="549"/>
      <c r="P13868" s="549"/>
    </row>
    <row r="13869" spans="1:17" ht="17.399999999999999">
      <c r="A13869" s="547" t="s">
        <v>83</v>
      </c>
      <c r="B13869" s="547" t="s">
        <v>1559</v>
      </c>
      <c r="C13869" s="547" t="s">
        <v>19</v>
      </c>
      <c r="D13869" s="813" t="s">
        <v>155</v>
      </c>
      <c r="E13869" s="650" t="s">
        <v>471</v>
      </c>
      <c r="F13869" s="550">
        <v>14</v>
      </c>
      <c r="G13869" s="549" t="s">
        <v>61</v>
      </c>
      <c r="H13869" s="599" t="s">
        <v>124</v>
      </c>
      <c r="I13869" s="558">
        <v>19.8</v>
      </c>
      <c r="J13869" s="567">
        <v>6</v>
      </c>
      <c r="K13869" s="648">
        <v>1</v>
      </c>
      <c r="L13869" s="552">
        <f>(I13869*J13869*K13869/1000)</f>
        <v>0.11880000000000002</v>
      </c>
      <c r="M13869" s="549">
        <v>1</v>
      </c>
      <c r="N13869" s="567">
        <f t="shared" ref="N13869" si="2790">J13869*M13869*I13869/1000</f>
        <v>0.11880000000000002</v>
      </c>
      <c r="O13869" s="549"/>
      <c r="P13869" s="549"/>
      <c r="Q13869" s="1737" t="s">
        <v>1755</v>
      </c>
    </row>
    <row r="13870" spans="1:17" ht="17.399999999999999">
      <c r="A13870" s="549"/>
      <c r="B13870" s="549" t="s">
        <v>439</v>
      </c>
      <c r="C13870" s="549"/>
      <c r="D13870" s="549"/>
      <c r="E13870" s="549"/>
      <c r="F13870" s="549"/>
      <c r="G13870" s="549"/>
      <c r="H13870" s="549"/>
      <c r="I13870" s="558"/>
      <c r="J13870" s="567"/>
      <c r="K13870" s="648">
        <f t="shared" ref="K13870:N13870" si="2791">SUM(K13869)</f>
        <v>1</v>
      </c>
      <c r="L13870" s="567">
        <f t="shared" si="2791"/>
        <v>0.11880000000000002</v>
      </c>
      <c r="M13870" s="648">
        <f t="shared" si="2791"/>
        <v>1</v>
      </c>
      <c r="N13870" s="567">
        <f t="shared" si="2791"/>
        <v>0.11880000000000002</v>
      </c>
      <c r="O13870" s="549"/>
      <c r="P13870" s="549"/>
    </row>
    <row r="13871" spans="1:17" ht="17.399999999999999">
      <c r="A13871" s="549"/>
      <c r="B13871" s="549"/>
      <c r="C13871" s="549"/>
      <c r="D13871" s="549"/>
      <c r="E13871" s="549"/>
      <c r="F13871" s="549"/>
      <c r="G13871" s="549"/>
      <c r="H13871" s="549"/>
      <c r="I13871" s="560"/>
      <c r="J13871" s="549"/>
      <c r="K13871" s="561"/>
      <c r="L13871" s="560"/>
      <c r="M13871" s="549"/>
      <c r="N13871" s="549"/>
      <c r="O13871" s="549"/>
      <c r="P13871" s="549"/>
    </row>
    <row r="13872" spans="1:17" ht="17.399999999999999">
      <c r="A13872" s="549"/>
      <c r="B13872" s="549"/>
      <c r="C13872" s="549"/>
      <c r="D13872" s="549"/>
      <c r="E13872" s="549"/>
      <c r="F13872" s="549"/>
      <c r="G13872" s="549"/>
      <c r="H13872" s="549"/>
      <c r="I13872" s="560"/>
      <c r="J13872" s="549"/>
      <c r="K13872" s="561"/>
      <c r="L13872" s="560"/>
      <c r="M13872" s="549"/>
      <c r="N13872" s="549"/>
      <c r="O13872" s="549"/>
      <c r="P13872" s="549"/>
    </row>
    <row r="13873" spans="1:17" ht="17.399999999999999">
      <c r="A13873" s="547" t="s">
        <v>395</v>
      </c>
      <c r="B13873" s="547" t="s">
        <v>1561</v>
      </c>
      <c r="C13873" s="547" t="s">
        <v>19</v>
      </c>
      <c r="D13873" s="813" t="s">
        <v>155</v>
      </c>
      <c r="E13873" s="547" t="s">
        <v>270</v>
      </c>
      <c r="F13873" s="550">
        <v>14</v>
      </c>
      <c r="G13873" s="549" t="s">
        <v>61</v>
      </c>
      <c r="H13873" s="599" t="s">
        <v>126</v>
      </c>
      <c r="I13873" s="558">
        <v>23.45</v>
      </c>
      <c r="J13873" s="567">
        <v>6.6</v>
      </c>
      <c r="K13873" s="648">
        <v>2</v>
      </c>
      <c r="L13873" s="552">
        <f>(I13873*J13873*K13873/1000)</f>
        <v>0.30953999999999998</v>
      </c>
      <c r="M13873" s="549">
        <v>2</v>
      </c>
      <c r="N13873" s="567">
        <f>J13873*M13873*I13873/1000</f>
        <v>0.30953999999999998</v>
      </c>
      <c r="O13873" s="549"/>
      <c r="P13873" s="549"/>
      <c r="Q13873" s="1737" t="s">
        <v>1755</v>
      </c>
    </row>
    <row r="13874" spans="1:17" ht="17.399999999999999">
      <c r="A13874" s="549"/>
      <c r="B13874" s="549" t="s">
        <v>1027</v>
      </c>
      <c r="C13874" s="549"/>
      <c r="D13874" s="549"/>
      <c r="E13874" s="549"/>
      <c r="F13874" s="549"/>
      <c r="G13874" s="549"/>
      <c r="H13874" s="549"/>
      <c r="I13874" s="558"/>
      <c r="J13874" s="567"/>
      <c r="K13874" s="648">
        <f t="shared" ref="K13874:M13874" si="2792">SUM(K13873)</f>
        <v>2</v>
      </c>
      <c r="L13874" s="567">
        <f t="shared" si="2792"/>
        <v>0.30953999999999998</v>
      </c>
      <c r="M13874" s="648">
        <f t="shared" si="2792"/>
        <v>2</v>
      </c>
      <c r="N13874" s="567">
        <f>SUM(N13873)</f>
        <v>0.30953999999999998</v>
      </c>
      <c r="O13874" s="549"/>
      <c r="P13874" s="549"/>
    </row>
    <row r="13875" spans="1:17" s="1737" customFormat="1" ht="17.399999999999999">
      <c r="A13875" s="549"/>
      <c r="B13875" s="549"/>
      <c r="C13875" s="549"/>
      <c r="D13875" s="549"/>
      <c r="E13875" s="549"/>
      <c r="F13875" s="549"/>
      <c r="G13875" s="549"/>
      <c r="H13875" s="549"/>
      <c r="I13875" s="558"/>
      <c r="J13875" s="567"/>
      <c r="K13875" s="648"/>
      <c r="L13875" s="567"/>
      <c r="M13875" s="648"/>
      <c r="N13875" s="567"/>
      <c r="O13875" s="549"/>
      <c r="P13875" s="549"/>
    </row>
    <row r="13876" spans="1:17" s="1737" customFormat="1" ht="17.399999999999999">
      <c r="A13876" s="549"/>
      <c r="B13876" s="549"/>
      <c r="C13876" s="549"/>
      <c r="D13876" s="549"/>
      <c r="E13876" s="549"/>
      <c r="F13876" s="549"/>
      <c r="G13876" s="549"/>
      <c r="H13876" s="549"/>
      <c r="I13876" s="558"/>
      <c r="J13876" s="567"/>
      <c r="K13876" s="648"/>
      <c r="L13876" s="567"/>
      <c r="M13876" s="648"/>
      <c r="N13876" s="567"/>
      <c r="O13876" s="549"/>
      <c r="P13876" s="549"/>
    </row>
    <row r="13877" spans="1:17" s="1737" customFormat="1" ht="17.399999999999999">
      <c r="A13877" s="549"/>
      <c r="B13877" s="549"/>
      <c r="C13877" s="549"/>
      <c r="D13877" s="549"/>
      <c r="E13877" s="549"/>
      <c r="F13877" s="549"/>
      <c r="G13877" s="549"/>
      <c r="H13877" s="549"/>
      <c r="I13877" s="558"/>
      <c r="J13877" s="567"/>
      <c r="K13877" s="648"/>
      <c r="L13877" s="567"/>
      <c r="M13877" s="648"/>
      <c r="N13877" s="567"/>
      <c r="O13877" s="549"/>
      <c r="P13877" s="549"/>
    </row>
    <row r="13878" spans="1:17" s="1737" customFormat="1" ht="17.399999999999999">
      <c r="A13878" s="549"/>
      <c r="B13878" s="549"/>
      <c r="C13878" s="549"/>
      <c r="D13878" s="549"/>
      <c r="E13878" s="549"/>
      <c r="F13878" s="549"/>
      <c r="G13878" s="549"/>
      <c r="H13878" s="549"/>
      <c r="I13878" s="558"/>
      <c r="J13878" s="567"/>
      <c r="K13878" s="648"/>
      <c r="L13878" s="567"/>
      <c r="M13878" s="648"/>
      <c r="N13878" s="567"/>
      <c r="O13878" s="549"/>
      <c r="P13878" s="549"/>
    </row>
    <row r="13879" spans="1:17" ht="17.399999999999999">
      <c r="A13879" s="549"/>
      <c r="B13879" s="549"/>
      <c r="C13879" s="549"/>
      <c r="D13879" s="549"/>
      <c r="E13879" s="549"/>
      <c r="F13879" s="549"/>
      <c r="G13879" s="549"/>
      <c r="H13879" s="549"/>
      <c r="I13879" s="560"/>
      <c r="J13879" s="549"/>
      <c r="K13879" s="561"/>
      <c r="L13879" s="560"/>
      <c r="M13879" s="549"/>
      <c r="N13879" s="549"/>
      <c r="O13879" s="549"/>
      <c r="P13879" s="549"/>
    </row>
    <row r="13880" spans="1:17" ht="17.399999999999999">
      <c r="A13880" s="549"/>
      <c r="B13880" s="549"/>
      <c r="C13880" s="549"/>
      <c r="D13880" s="549"/>
      <c r="E13880" s="549"/>
      <c r="F13880" s="549"/>
      <c r="G13880" s="549"/>
      <c r="H13880" s="549"/>
      <c r="I13880" s="560"/>
      <c r="J13880" s="549"/>
      <c r="K13880" s="652">
        <f>+K13874+K13870+K13839+K13865+K13859+K13846+K13826+K13817+K13852</f>
        <v>986</v>
      </c>
      <c r="L13880" s="565">
        <f>+L13874+L13870+L13839+L13865+L13859+L13846+L13826+L13817+L13852</f>
        <v>201.41302999999999</v>
      </c>
      <c r="M13880" s="652">
        <f>+M13874+M13870+M13839+M13865+M13859+M13846+M13826+M13817+M13852</f>
        <v>38</v>
      </c>
      <c r="N13880" s="565">
        <f>+N13874+N13870+N13839+N13865+N13859+N13846+N13826+N13817+N13852</f>
        <v>6.7151399999999999</v>
      </c>
      <c r="O13880" s="549"/>
      <c r="P13880" s="549"/>
    </row>
    <row r="13881" spans="1:17" ht="18">
      <c r="A13881" s="653" t="s">
        <v>48</v>
      </c>
      <c r="B13881" s="653"/>
      <c r="C13881" s="654"/>
      <c r="D13881" s="654"/>
      <c r="E13881" s="654"/>
      <c r="F13881" s="1764"/>
      <c r="G13881" s="654"/>
      <c r="H13881" s="1764"/>
      <c r="I13881" s="656"/>
      <c r="J13881" s="654"/>
      <c r="K13881" s="657"/>
      <c r="L13881" s="2003" t="s">
        <v>0</v>
      </c>
      <c r="M13881" s="2003"/>
      <c r="N13881" s="2003"/>
      <c r="O13881" s="2004"/>
      <c r="P13881" s="1097"/>
    </row>
    <row r="13882" spans="1:17" ht="18">
      <c r="A13882" s="658" t="s">
        <v>1</v>
      </c>
      <c r="B13882" s="658"/>
      <c r="C13882" s="658"/>
      <c r="D13882" s="659" t="s">
        <v>2</v>
      </c>
      <c r="E13882" s="659"/>
      <c r="F13882" s="660"/>
      <c r="G13882" s="660"/>
      <c r="H13882" s="660"/>
      <c r="I13882" s="661"/>
      <c r="J13882" s="660"/>
      <c r="K13882" s="662" t="s">
        <v>3</v>
      </c>
      <c r="L13882" s="660"/>
      <c r="M13882" s="658"/>
      <c r="N13882" s="660"/>
      <c r="O13882" s="663"/>
      <c r="P13882" s="1098"/>
    </row>
    <row r="13883" spans="1:17" ht="18">
      <c r="A13883" s="1764" t="s">
        <v>22</v>
      </c>
      <c r="B13883" s="1990" t="s">
        <v>23</v>
      </c>
      <c r="C13883" s="2005"/>
      <c r="D13883" s="1989"/>
      <c r="E13883" s="1764" t="s">
        <v>24</v>
      </c>
      <c r="F13883" s="1990" t="s">
        <v>25</v>
      </c>
      <c r="G13883" s="1989"/>
      <c r="H13883" s="1990" t="s">
        <v>26</v>
      </c>
      <c r="I13883" s="2005"/>
      <c r="J13883" s="2005"/>
      <c r="K13883" s="1989"/>
      <c r="L13883" s="2006" t="s">
        <v>27</v>
      </c>
      <c r="M13883" s="2006"/>
      <c r="N13883" s="2006"/>
      <c r="O13883" s="1990"/>
      <c r="P13883" s="1098"/>
    </row>
    <row r="13884" spans="1:17" ht="18">
      <c r="A13884" s="664"/>
      <c r="B13884" s="1975"/>
      <c r="C13884" s="1976"/>
      <c r="D13884" s="1977"/>
      <c r="E13884" s="665"/>
      <c r="F13884" s="1975"/>
      <c r="G13884" s="1977"/>
      <c r="H13884" s="1975"/>
      <c r="I13884" s="1976"/>
      <c r="J13884" s="1976"/>
      <c r="K13884" s="1977"/>
      <c r="L13884" s="1975"/>
      <c r="M13884" s="1976"/>
      <c r="N13884" s="1976"/>
      <c r="O13884" s="1976"/>
      <c r="P13884" s="1098"/>
    </row>
    <row r="13885" spans="1:17" ht="18">
      <c r="A13885" s="664"/>
      <c r="B13885" s="1759"/>
      <c r="C13885" s="1760"/>
      <c r="D13885" s="1761"/>
      <c r="E13885" s="665"/>
      <c r="F13885" s="1759"/>
      <c r="G13885" s="1761"/>
      <c r="H13885" s="1759"/>
      <c r="I13885" s="1842"/>
      <c r="J13885" s="1760"/>
      <c r="K13885" s="1761"/>
      <c r="L13885" s="1760"/>
      <c r="M13885" s="1760"/>
      <c r="N13885" s="1760"/>
      <c r="O13885" s="1760"/>
      <c r="P13885" s="1098"/>
    </row>
    <row r="13886" spans="1:17" ht="18">
      <c r="A13886" s="664" t="s">
        <v>28</v>
      </c>
      <c r="B13886" s="1975" t="s">
        <v>141</v>
      </c>
      <c r="C13886" s="1976"/>
      <c r="D13886" s="1977"/>
      <c r="E13886" s="665">
        <f>+L13817+L13826</f>
        <v>43.705439999999996</v>
      </c>
      <c r="F13886" s="1973">
        <v>14</v>
      </c>
      <c r="G13886" s="1974"/>
      <c r="H13886" s="1975" t="s">
        <v>49</v>
      </c>
      <c r="I13886" s="1976"/>
      <c r="J13886" s="1976"/>
      <c r="K13886" s="1977"/>
      <c r="L13886" s="1976" t="s">
        <v>1630</v>
      </c>
      <c r="M13886" s="1976"/>
      <c r="N13886" s="1976"/>
      <c r="O13886" s="1976"/>
      <c r="P13886" s="1098"/>
    </row>
    <row r="13887" spans="1:17" ht="18">
      <c r="A13887" s="664" t="s">
        <v>29</v>
      </c>
      <c r="B13887" s="1975" t="s">
        <v>139</v>
      </c>
      <c r="C13887" s="1976"/>
      <c r="D13887" s="1977"/>
      <c r="E13887" s="665">
        <f>+L13839-2.69</f>
        <v>6.249900000000002</v>
      </c>
      <c r="F13887" s="1973">
        <v>14</v>
      </c>
      <c r="G13887" s="1974"/>
      <c r="H13887" s="1975" t="s">
        <v>49</v>
      </c>
      <c r="I13887" s="1976"/>
      <c r="J13887" s="1976"/>
      <c r="K13887" s="1977"/>
      <c r="L13887" s="1976" t="s">
        <v>436</v>
      </c>
      <c r="M13887" s="1976"/>
      <c r="N13887" s="1976"/>
      <c r="O13887" s="1976"/>
      <c r="P13887" s="1098"/>
    </row>
    <row r="13888" spans="1:17" ht="18">
      <c r="A13888" s="664" t="s">
        <v>30</v>
      </c>
      <c r="B13888" s="1975" t="s">
        <v>142</v>
      </c>
      <c r="C13888" s="1976"/>
      <c r="D13888" s="1977"/>
      <c r="E13888" s="665">
        <f>+L13846+L13859-2.076</f>
        <v>122.18322999999999</v>
      </c>
      <c r="F13888" s="1973">
        <v>14</v>
      </c>
      <c r="G13888" s="1974"/>
      <c r="H13888" s="1975" t="s">
        <v>49</v>
      </c>
      <c r="I13888" s="1976"/>
      <c r="J13888" s="1976"/>
      <c r="K13888" s="1977"/>
      <c r="L13888" s="1976" t="s">
        <v>1631</v>
      </c>
      <c r="M13888" s="1976"/>
      <c r="N13888" s="1976"/>
      <c r="O13888" s="1976"/>
      <c r="P13888" s="1098"/>
    </row>
    <row r="13889" spans="1:16" s="1737" customFormat="1" ht="18">
      <c r="A13889" s="664"/>
      <c r="B13889" s="1778"/>
      <c r="C13889" s="1779"/>
      <c r="D13889" s="1780"/>
      <c r="E13889" s="665"/>
      <c r="F13889" s="1781"/>
      <c r="G13889" s="1782"/>
      <c r="H13889" s="1778"/>
      <c r="I13889" s="1842"/>
      <c r="J13889" s="1779"/>
      <c r="K13889" s="1780"/>
      <c r="L13889" s="1779"/>
      <c r="M13889" s="1779"/>
      <c r="N13889" s="1779"/>
      <c r="O13889" s="1779"/>
      <c r="P13889" s="1098"/>
    </row>
    <row r="13890" spans="1:16" s="1737" customFormat="1" ht="18">
      <c r="A13890" s="664"/>
      <c r="B13890" s="1778"/>
      <c r="C13890" s="1779"/>
      <c r="D13890" s="1780"/>
      <c r="E13890" s="665"/>
      <c r="F13890" s="1781"/>
      <c r="G13890" s="1782"/>
      <c r="H13890" s="1778"/>
      <c r="I13890" s="1842"/>
      <c r="J13890" s="1779"/>
      <c r="K13890" s="1780"/>
      <c r="L13890" s="1779"/>
      <c r="M13890" s="1779"/>
      <c r="N13890" s="1779"/>
      <c r="O13890" s="1779"/>
      <c r="P13890" s="1098"/>
    </row>
    <row r="13891" spans="1:16" s="1737" customFormat="1" ht="18">
      <c r="A13891" s="664" t="s">
        <v>46</v>
      </c>
      <c r="B13891" s="1975" t="s">
        <v>142</v>
      </c>
      <c r="C13891" s="1976"/>
      <c r="D13891" s="1977"/>
      <c r="E13891" s="665">
        <v>22.56</v>
      </c>
      <c r="F13891" s="1973">
        <v>14</v>
      </c>
      <c r="G13891" s="1974"/>
      <c r="H13891" s="1975" t="s">
        <v>447</v>
      </c>
      <c r="I13891" s="1976"/>
      <c r="J13891" s="1976"/>
      <c r="K13891" s="1977"/>
      <c r="L13891" s="1976" t="s">
        <v>1631</v>
      </c>
      <c r="M13891" s="1976"/>
      <c r="N13891" s="1976"/>
      <c r="O13891" s="1976"/>
      <c r="P13891" s="1098"/>
    </row>
    <row r="13892" spans="1:16" s="1737" customFormat="1" ht="18">
      <c r="A13892" s="664"/>
      <c r="B13892" s="1778"/>
      <c r="C13892" s="1779"/>
      <c r="D13892" s="1780"/>
      <c r="E13892" s="665"/>
      <c r="F13892" s="1781"/>
      <c r="G13892" s="1782"/>
      <c r="H13892" s="1778"/>
      <c r="I13892" s="1842"/>
      <c r="J13892" s="1779"/>
      <c r="K13892" s="1780"/>
      <c r="L13892" s="1779"/>
      <c r="M13892" s="1779"/>
      <c r="N13892" s="1779"/>
      <c r="O13892" s="1779"/>
      <c r="P13892" s="1098"/>
    </row>
    <row r="13893" spans="1:16" ht="18">
      <c r="A13893" s="664"/>
      <c r="B13893" s="1975"/>
      <c r="C13893" s="1976"/>
      <c r="D13893" s="1977"/>
      <c r="E13893" s="665"/>
      <c r="F13893" s="1973"/>
      <c r="G13893" s="1974"/>
      <c r="H13893" s="1975"/>
      <c r="I13893" s="1976"/>
      <c r="J13893" s="1976"/>
      <c r="K13893" s="1977"/>
      <c r="L13893" s="1976"/>
      <c r="M13893" s="1976"/>
      <c r="N13893" s="1976"/>
      <c r="O13893" s="1976"/>
      <c r="P13893" s="1098"/>
    </row>
    <row r="13894" spans="1:16" ht="18.600000000000001" thickBot="1">
      <c r="A13894" s="664"/>
      <c r="B13894" s="1759"/>
      <c r="C13894" s="1760"/>
      <c r="D13894" s="1760"/>
      <c r="E13894" s="665"/>
      <c r="F13894" s="1760"/>
      <c r="G13894" s="1761"/>
      <c r="H13894" s="1759"/>
      <c r="I13894" s="1842"/>
      <c r="J13894" s="1760"/>
      <c r="K13894" s="669"/>
      <c r="L13894" s="672"/>
      <c r="M13894" s="673"/>
      <c r="N13894" s="673"/>
      <c r="O13894" s="673"/>
      <c r="P13894" s="1098"/>
    </row>
    <row r="13895" spans="1:16" ht="18">
      <c r="A13895" s="674"/>
      <c r="B13895" s="675"/>
      <c r="C13895" s="676"/>
      <c r="D13895" s="676"/>
      <c r="E13895" s="1980">
        <f>SUM(E13884:E13894)</f>
        <v>194.69856999999999</v>
      </c>
      <c r="F13895" s="677"/>
      <c r="G13895" s="678"/>
      <c r="H13895" s="679"/>
      <c r="I13895" s="1848"/>
      <c r="J13895" s="676"/>
      <c r="K13895" s="680"/>
      <c r="L13895" s="679"/>
      <c r="M13895" s="676"/>
      <c r="N13895" s="677"/>
      <c r="O13895" s="676"/>
      <c r="P13895" s="1098"/>
    </row>
    <row r="13896" spans="1:16" ht="18.600000000000001" thickBot="1">
      <c r="A13896" s="681"/>
      <c r="B13896" s="682"/>
      <c r="C13896" s="683"/>
      <c r="D13896" s="683"/>
      <c r="E13896" s="1981"/>
      <c r="F13896" s="684"/>
      <c r="G13896" s="685"/>
      <c r="H13896" s="686"/>
      <c r="I13896" s="1850"/>
      <c r="J13896" s="683"/>
      <c r="K13896" s="687"/>
      <c r="L13896" s="686"/>
      <c r="M13896" s="683"/>
      <c r="N13896" s="684"/>
      <c r="O13896" s="683"/>
      <c r="P13896" s="1098"/>
    </row>
    <row r="13897" spans="1:16" ht="18">
      <c r="A13897" s="688" t="s">
        <v>31</v>
      </c>
      <c r="B13897" s="676"/>
      <c r="C13897" s="676"/>
      <c r="D13897" s="676"/>
      <c r="E13897" s="676"/>
      <c r="F13897" s="677"/>
      <c r="G13897" s="676"/>
      <c r="H13897" s="677"/>
      <c r="I13897" s="1848"/>
      <c r="J13897" s="676"/>
      <c r="K13897" s="689"/>
      <c r="L13897" s="677"/>
      <c r="M13897" s="676"/>
      <c r="N13897" s="677"/>
      <c r="O13897" s="676"/>
      <c r="P13897" s="1098"/>
    </row>
    <row r="13898" spans="1:16" ht="18">
      <c r="A13898" s="690"/>
      <c r="B13898" s="691"/>
      <c r="C13898" s="691"/>
      <c r="D13898" s="691"/>
      <c r="E13898" s="691"/>
      <c r="F13898" s="1758"/>
      <c r="G13898" s="691"/>
      <c r="H13898" s="1758"/>
      <c r="I13898" s="1849"/>
      <c r="J13898" s="691"/>
      <c r="K13898" s="693"/>
      <c r="L13898" s="1758"/>
      <c r="M13898" s="691"/>
      <c r="N13898" s="1758"/>
      <c r="O13898" s="691"/>
      <c r="P13898" s="1098"/>
    </row>
    <row r="13899" spans="1:16" ht="18.600000000000001" thickBot="1">
      <c r="A13899" s="1982" t="s">
        <v>32</v>
      </c>
      <c r="B13899" s="1983"/>
      <c r="C13899" s="1984" t="s">
        <v>33</v>
      </c>
      <c r="D13899" s="1985"/>
      <c r="E13899" s="694" t="s">
        <v>34</v>
      </c>
      <c r="F13899" s="694" t="s">
        <v>35</v>
      </c>
      <c r="G13899" s="1986" t="s">
        <v>36</v>
      </c>
      <c r="H13899" s="1987"/>
      <c r="I13899" s="1987"/>
      <c r="J13899" s="1987"/>
      <c r="K13899" s="1987"/>
      <c r="L13899" s="1987"/>
      <c r="M13899" s="1987"/>
      <c r="N13899" s="1987"/>
      <c r="O13899" s="1987"/>
      <c r="P13899" s="1098"/>
    </row>
    <row r="13900" spans="1:16" ht="18">
      <c r="A13900" s="1988"/>
      <c r="B13900" s="1989"/>
      <c r="C13900" s="1990"/>
      <c r="D13900" s="1989"/>
      <c r="E13900" s="1764"/>
      <c r="F13900" s="1762"/>
      <c r="G13900" s="1991"/>
      <c r="H13900" s="1992"/>
      <c r="I13900" s="1992"/>
      <c r="J13900" s="1992"/>
      <c r="K13900" s="1992"/>
      <c r="L13900" s="1992"/>
      <c r="M13900" s="1992"/>
      <c r="N13900" s="1992"/>
      <c r="O13900" s="1992"/>
      <c r="P13900" s="1098"/>
    </row>
    <row r="13901" spans="1:16" ht="18">
      <c r="A13901" s="1997" t="s">
        <v>37</v>
      </c>
      <c r="B13901" s="1998"/>
      <c r="C13901" s="1990"/>
      <c r="D13901" s="1989"/>
      <c r="E13901" s="1764"/>
      <c r="F13901" s="1762"/>
      <c r="G13901" s="1993"/>
      <c r="H13901" s="1994"/>
      <c r="I13901" s="1994"/>
      <c r="J13901" s="1994"/>
      <c r="K13901" s="1994"/>
      <c r="L13901" s="1994"/>
      <c r="M13901" s="1994"/>
      <c r="N13901" s="1994"/>
      <c r="O13901" s="1994"/>
      <c r="P13901" s="1098"/>
    </row>
    <row r="13902" spans="1:16" ht="18">
      <c r="A13902" s="1997" t="s">
        <v>38</v>
      </c>
      <c r="B13902" s="1998"/>
      <c r="C13902" s="1990"/>
      <c r="D13902" s="1989"/>
      <c r="E13902" s="1764"/>
      <c r="F13902" s="1762"/>
      <c r="G13902" s="1993"/>
      <c r="H13902" s="1994"/>
      <c r="I13902" s="1994"/>
      <c r="J13902" s="1994"/>
      <c r="K13902" s="1994"/>
      <c r="L13902" s="1994"/>
      <c r="M13902" s="1994"/>
      <c r="N13902" s="1994"/>
      <c r="O13902" s="1994"/>
      <c r="P13902" s="1098"/>
    </row>
    <row r="13903" spans="1:16" ht="18">
      <c r="A13903" s="1997" t="s">
        <v>39</v>
      </c>
      <c r="B13903" s="1998"/>
      <c r="C13903" s="1990"/>
      <c r="D13903" s="1989"/>
      <c r="E13903" s="1764"/>
      <c r="F13903" s="1762"/>
      <c r="G13903" s="1993"/>
      <c r="H13903" s="1994"/>
      <c r="I13903" s="1994"/>
      <c r="J13903" s="1994"/>
      <c r="K13903" s="1994"/>
      <c r="L13903" s="1994"/>
      <c r="M13903" s="1994"/>
      <c r="N13903" s="1994"/>
      <c r="O13903" s="1994"/>
      <c r="P13903" s="1098"/>
    </row>
    <row r="13904" spans="1:16" ht="18">
      <c r="A13904" s="1997" t="s">
        <v>40</v>
      </c>
      <c r="B13904" s="1998"/>
      <c r="C13904" s="1990"/>
      <c r="D13904" s="1989"/>
      <c r="E13904" s="1764"/>
      <c r="F13904" s="1762"/>
      <c r="G13904" s="1993"/>
      <c r="H13904" s="1994"/>
      <c r="I13904" s="1994"/>
      <c r="J13904" s="1994"/>
      <c r="K13904" s="1994"/>
      <c r="L13904" s="1994"/>
      <c r="M13904" s="1994"/>
      <c r="N13904" s="1994"/>
      <c r="O13904" s="1994"/>
      <c r="P13904" s="1098"/>
    </row>
    <row r="13905" spans="1:17" ht="18.600000000000001" thickBot="1">
      <c r="A13905" s="1999" t="s">
        <v>41</v>
      </c>
      <c r="B13905" s="2000"/>
      <c r="C13905" s="2001"/>
      <c r="D13905" s="2002"/>
      <c r="E13905" s="696"/>
      <c r="F13905" s="1763"/>
      <c r="G13905" s="1995"/>
      <c r="H13905" s="1996"/>
      <c r="I13905" s="1996"/>
      <c r="J13905" s="1996"/>
      <c r="K13905" s="1996"/>
      <c r="L13905" s="1996"/>
      <c r="M13905" s="1996"/>
      <c r="N13905" s="1996"/>
      <c r="O13905" s="1996"/>
      <c r="P13905" s="1098"/>
    </row>
    <row r="13906" spans="1:17" ht="18">
      <c r="A13906" s="690"/>
      <c r="B13906" s="691"/>
      <c r="C13906" s="691"/>
      <c r="D13906" s="691"/>
      <c r="E13906" s="691"/>
      <c r="F13906" s="1758"/>
      <c r="G13906" s="691"/>
      <c r="H13906" s="698"/>
      <c r="I13906" s="699"/>
      <c r="J13906" s="700"/>
      <c r="K13906" s="701"/>
      <c r="L13906" s="702"/>
      <c r="M13906" s="691"/>
      <c r="N13906" s="1758"/>
      <c r="O13906" s="691"/>
      <c r="P13906" s="1098"/>
    </row>
    <row r="13907" spans="1:17" ht="18">
      <c r="A13907" s="703" t="s">
        <v>42</v>
      </c>
      <c r="B13907" s="704"/>
      <c r="C13907" s="691"/>
      <c r="D13907" s="691"/>
      <c r="E13907" s="691"/>
      <c r="F13907" s="1758"/>
      <c r="G13907" s="704"/>
      <c r="H13907" s="698"/>
      <c r="I13907" s="699"/>
      <c r="J13907" s="700"/>
      <c r="K13907" s="693"/>
      <c r="L13907" s="705"/>
      <c r="M13907" s="691"/>
      <c r="N13907" s="1979" t="s">
        <v>43</v>
      </c>
      <c r="O13907" s="1979"/>
      <c r="P13907" s="1098"/>
    </row>
    <row r="13908" spans="1:17" ht="18">
      <c r="A13908" s="703"/>
      <c r="B13908" s="704"/>
      <c r="C13908" s="691"/>
      <c r="D13908" s="691"/>
      <c r="E13908" s="691"/>
      <c r="F13908" s="1758"/>
      <c r="G13908" s="691"/>
      <c r="H13908" s="1758"/>
      <c r="I13908" s="1849"/>
      <c r="J13908" s="691"/>
      <c r="K13908" s="693"/>
      <c r="L13908" s="1758"/>
      <c r="M13908" s="691"/>
      <c r="N13908" s="1758"/>
      <c r="O13908" s="704"/>
      <c r="P13908" s="1098"/>
    </row>
    <row r="13909" spans="1:17" ht="18">
      <c r="A13909" s="703" t="s">
        <v>44</v>
      </c>
      <c r="B13909" s="704"/>
      <c r="C13909" s="691"/>
      <c r="D13909" s="691"/>
      <c r="E13909" s="691"/>
      <c r="F13909" s="1758"/>
      <c r="G13909" s="691"/>
      <c r="H13909" s="1758"/>
      <c r="I13909" s="1849"/>
      <c r="J13909" s="691"/>
      <c r="K13909" s="693"/>
      <c r="L13909" s="1758"/>
      <c r="M13909" s="691"/>
      <c r="N13909" s="1979" t="s">
        <v>45</v>
      </c>
      <c r="O13909" s="1979"/>
      <c r="P13909" s="1098"/>
    </row>
    <row r="13910" spans="1:17" ht="18.600000000000001" thickBot="1">
      <c r="A13910" s="682"/>
      <c r="B13910" s="683"/>
      <c r="C13910" s="683"/>
      <c r="D13910" s="683"/>
      <c r="E13910" s="683"/>
      <c r="F13910" s="684"/>
      <c r="G13910" s="683"/>
      <c r="H13910" s="684"/>
      <c r="I13910" s="1850"/>
      <c r="J13910" s="683"/>
      <c r="K13910" s="706"/>
      <c r="L13910" s="684"/>
      <c r="M13910" s="683"/>
      <c r="N13910" s="684"/>
      <c r="O13910" s="683"/>
      <c r="P13910" s="1099"/>
    </row>
    <row r="13913" spans="1:17" ht="17.399999999999999">
      <c r="A13913" s="711" t="s">
        <v>48</v>
      </c>
      <c r="B13913" s="711"/>
      <c r="C13913" s="712"/>
      <c r="D13913" s="712"/>
      <c r="E13913" s="712"/>
      <c r="F13913" s="713"/>
      <c r="G13913" s="712"/>
      <c r="H13913" s="712"/>
      <c r="I13913" s="714"/>
      <c r="J13913" s="715"/>
      <c r="K13913" s="716"/>
      <c r="L13913" s="1978" t="s">
        <v>0</v>
      </c>
      <c r="M13913" s="1978"/>
      <c r="N13913" s="1978"/>
      <c r="O13913" s="1978"/>
      <c r="P13913" s="717"/>
    </row>
    <row r="13914" spans="1:17" ht="17.399999999999999">
      <c r="A13914" s="718" t="s">
        <v>1</v>
      </c>
      <c r="B13914" s="718"/>
      <c r="C13914" s="718"/>
      <c r="D13914" s="719" t="s">
        <v>2</v>
      </c>
      <c r="E13914" s="719"/>
      <c r="F13914" s="720"/>
      <c r="G13914" s="720"/>
      <c r="H13914" s="720"/>
      <c r="I13914" s="721"/>
      <c r="J13914" s="1765"/>
      <c r="K13914" s="723" t="s">
        <v>3</v>
      </c>
      <c r="L13914" s="1765"/>
      <c r="M13914" s="718"/>
      <c r="N13914" s="720"/>
      <c r="O13914" s="718"/>
      <c r="P13914" s="724"/>
    </row>
    <row r="13915" spans="1:17" ht="52.2">
      <c r="A13915" s="640" t="s">
        <v>4</v>
      </c>
      <c r="B13915" s="640" t="s">
        <v>5</v>
      </c>
      <c r="C13915" s="640" t="s">
        <v>6</v>
      </c>
      <c r="D13915" s="640" t="s">
        <v>7</v>
      </c>
      <c r="E13915" s="640" t="s">
        <v>8</v>
      </c>
      <c r="F13915" s="641" t="s">
        <v>9</v>
      </c>
      <c r="G13915" s="642" t="s">
        <v>10</v>
      </c>
      <c r="H13915" s="642" t="s">
        <v>11</v>
      </c>
      <c r="I13915" s="643" t="s">
        <v>12</v>
      </c>
      <c r="J13915" s="644" t="s">
        <v>13</v>
      </c>
      <c r="K13915" s="645" t="s">
        <v>14</v>
      </c>
      <c r="L13915" s="646" t="s">
        <v>15</v>
      </c>
      <c r="M13915" s="641" t="s">
        <v>16</v>
      </c>
      <c r="N13915" s="641" t="s">
        <v>17</v>
      </c>
      <c r="O13915" s="642" t="s">
        <v>18</v>
      </c>
      <c r="P13915" s="641" t="s">
        <v>192</v>
      </c>
    </row>
    <row r="13916" spans="1:17" s="1737" customFormat="1" ht="17.399999999999999">
      <c r="A13916" s="549"/>
      <c r="B13916" s="549"/>
      <c r="C13916" s="549"/>
      <c r="D13916" s="549"/>
      <c r="E13916" s="549"/>
      <c r="F13916" s="549"/>
      <c r="G13916" s="549"/>
      <c r="H13916" s="549"/>
      <c r="I13916" s="560"/>
      <c r="J13916" s="710"/>
      <c r="K13916" s="648"/>
      <c r="L13916" s="765"/>
      <c r="M13916" s="549"/>
      <c r="N13916" s="549"/>
      <c r="O13916" s="549"/>
      <c r="P13916" s="549"/>
    </row>
    <row r="13917" spans="1:17" ht="17.399999999999999">
      <c r="A13917" s="547" t="s">
        <v>272</v>
      </c>
      <c r="B13917" s="547" t="s">
        <v>1594</v>
      </c>
      <c r="C13917" s="547" t="s">
        <v>19</v>
      </c>
      <c r="D13917" s="813" t="s">
        <v>60</v>
      </c>
      <c r="E13917" s="547" t="s">
        <v>270</v>
      </c>
      <c r="F13917" s="550">
        <v>7</v>
      </c>
      <c r="G13917" s="549" t="s">
        <v>61</v>
      </c>
      <c r="H13917" s="599" t="s">
        <v>274</v>
      </c>
      <c r="I13917" s="558">
        <v>9</v>
      </c>
      <c r="J13917" s="710">
        <v>11</v>
      </c>
      <c r="K13917" s="648">
        <v>32</v>
      </c>
      <c r="L13917" s="552">
        <f>(I13917*J13917*K13917/1000)</f>
        <v>3.1680000000000001</v>
      </c>
      <c r="M13917" s="549"/>
      <c r="N13917" s="549"/>
      <c r="O13917" s="549"/>
      <c r="P13917" s="549"/>
      <c r="Q13917" s="1737" t="s">
        <v>1698</v>
      </c>
    </row>
    <row r="13918" spans="1:17" ht="17.399999999999999">
      <c r="A13918" s="549"/>
      <c r="B13918" s="549" t="s">
        <v>271</v>
      </c>
      <c r="C13918" s="549"/>
      <c r="D13918" s="549"/>
      <c r="E13918" s="549"/>
      <c r="F13918" s="549"/>
      <c r="G13918" s="549" t="s">
        <v>61</v>
      </c>
      <c r="H13918" s="549" t="s">
        <v>274</v>
      </c>
      <c r="I13918" s="558">
        <v>9</v>
      </c>
      <c r="J13918" s="710">
        <v>11.5</v>
      </c>
      <c r="K13918" s="648">
        <v>101</v>
      </c>
      <c r="L13918" s="552">
        <f>(I13918*J13918*K13918/1000)</f>
        <v>10.4535</v>
      </c>
      <c r="M13918" s="549"/>
      <c r="N13918" s="549"/>
      <c r="O13918" s="549"/>
      <c r="P13918" s="549"/>
    </row>
    <row r="13919" spans="1:17" ht="17.399999999999999">
      <c r="A13919" s="549"/>
      <c r="B13919" s="549"/>
      <c r="C13919" s="549"/>
      <c r="D13919" s="549"/>
      <c r="E13919" s="549"/>
      <c r="F13919" s="549"/>
      <c r="G13919" s="549" t="s">
        <v>61</v>
      </c>
      <c r="H13919" s="549" t="s">
        <v>274</v>
      </c>
      <c r="I13919" s="558">
        <v>9</v>
      </c>
      <c r="J13919" s="710">
        <v>13</v>
      </c>
      <c r="K13919" s="648">
        <v>48</v>
      </c>
      <c r="L13919" s="552">
        <f>(I13919*J13919*K13919/1000)</f>
        <v>5.6159999999999997</v>
      </c>
      <c r="M13919" s="549"/>
      <c r="N13919" s="549"/>
      <c r="O13919" s="549"/>
      <c r="P13919" s="549"/>
    </row>
    <row r="13920" spans="1:17" ht="17.399999999999999">
      <c r="A13920" s="549"/>
      <c r="B13920" s="549"/>
      <c r="C13920" s="549"/>
      <c r="D13920" s="549"/>
      <c r="E13920" s="549"/>
      <c r="F13920" s="549"/>
      <c r="G13920" s="549"/>
      <c r="H13920" s="549"/>
      <c r="I13920" s="560"/>
      <c r="J13920" s="710"/>
      <c r="K13920" s="648">
        <f>SUM(K13917:K13919)</f>
        <v>181</v>
      </c>
      <c r="L13920" s="765">
        <f>SUM(L13917:L13919)</f>
        <v>19.237500000000001</v>
      </c>
      <c r="M13920" s="549"/>
      <c r="N13920" s="549"/>
      <c r="O13920" s="549"/>
      <c r="P13920" s="549"/>
    </row>
    <row r="13921" spans="1:17" ht="17.399999999999999">
      <c r="A13921" s="549"/>
      <c r="B13921" s="549"/>
      <c r="C13921" s="549"/>
      <c r="D13921" s="549"/>
      <c r="E13921" s="549"/>
      <c r="F13921" s="549"/>
      <c r="G13921" s="549"/>
      <c r="H13921" s="549"/>
      <c r="I13921" s="560"/>
      <c r="J13921" s="549"/>
      <c r="K13921" s="561"/>
      <c r="L13921" s="560"/>
      <c r="M13921" s="549"/>
      <c r="N13921" s="549"/>
      <c r="O13921" s="549"/>
      <c r="P13921" s="549"/>
    </row>
    <row r="13922" spans="1:17" s="1737" customFormat="1" ht="17.399999999999999">
      <c r="A13922" s="547" t="s">
        <v>272</v>
      </c>
      <c r="B13922" s="547" t="s">
        <v>1648</v>
      </c>
      <c r="C13922" s="547" t="s">
        <v>19</v>
      </c>
      <c r="D13922" s="813" t="s">
        <v>60</v>
      </c>
      <c r="E13922" s="547" t="s">
        <v>270</v>
      </c>
      <c r="F13922" s="550">
        <v>7</v>
      </c>
      <c r="G13922" s="549" t="s">
        <v>61</v>
      </c>
      <c r="H13922" s="599" t="s">
        <v>274</v>
      </c>
      <c r="I13922" s="558">
        <v>9</v>
      </c>
      <c r="J13922" s="567">
        <v>12</v>
      </c>
      <c r="K13922" s="648">
        <v>14</v>
      </c>
      <c r="L13922" s="552">
        <f t="shared" ref="L13922:L13925" si="2793">(I13922*J13922*K13922/1000)</f>
        <v>1.512</v>
      </c>
      <c r="M13922" s="549"/>
      <c r="N13922" s="549"/>
      <c r="O13922" s="549"/>
      <c r="P13922" s="549"/>
      <c r="Q13922" s="1737" t="s">
        <v>1698</v>
      </c>
    </row>
    <row r="13923" spans="1:17" s="1737" customFormat="1" ht="17.399999999999999">
      <c r="A13923" s="549"/>
      <c r="B13923" s="549" t="s">
        <v>271</v>
      </c>
      <c r="C13923" s="549"/>
      <c r="D13923" s="549"/>
      <c r="E13923" s="549"/>
      <c r="F13923" s="549"/>
      <c r="G13923" s="549" t="s">
        <v>61</v>
      </c>
      <c r="H13923" s="549" t="s">
        <v>274</v>
      </c>
      <c r="I13923" s="558">
        <v>9</v>
      </c>
      <c r="J13923" s="567">
        <v>11.5</v>
      </c>
      <c r="K13923" s="648">
        <v>60</v>
      </c>
      <c r="L13923" s="552">
        <f t="shared" si="2793"/>
        <v>6.21</v>
      </c>
      <c r="M13923" s="549"/>
      <c r="N13923" s="549"/>
      <c r="O13923" s="549"/>
      <c r="P13923" s="549"/>
    </row>
    <row r="13924" spans="1:17" s="1737" customFormat="1" ht="17.399999999999999">
      <c r="A13924" s="549"/>
      <c r="B13924" s="549"/>
      <c r="C13924" s="549"/>
      <c r="D13924" s="549"/>
      <c r="E13924" s="549"/>
      <c r="F13924" s="549"/>
      <c r="G13924" s="549" t="s">
        <v>61</v>
      </c>
      <c r="H13924" s="549" t="s">
        <v>274</v>
      </c>
      <c r="I13924" s="558">
        <v>9</v>
      </c>
      <c r="J13924" s="567">
        <v>11</v>
      </c>
      <c r="K13924" s="648">
        <v>52</v>
      </c>
      <c r="L13924" s="552">
        <f t="shared" si="2793"/>
        <v>5.1479999999999997</v>
      </c>
      <c r="M13924" s="549"/>
      <c r="N13924" s="549"/>
      <c r="O13924" s="549"/>
      <c r="P13924" s="549"/>
    </row>
    <row r="13925" spans="1:17" s="1737" customFormat="1" ht="17.399999999999999">
      <c r="A13925" s="549"/>
      <c r="B13925" s="549"/>
      <c r="C13925" s="549"/>
      <c r="D13925" s="549"/>
      <c r="E13925" s="549"/>
      <c r="F13925" s="549"/>
      <c r="G13925" s="549" t="s">
        <v>61</v>
      </c>
      <c r="H13925" s="549" t="s">
        <v>274</v>
      </c>
      <c r="I13925" s="558">
        <v>9</v>
      </c>
      <c r="J13925" s="567">
        <v>12.7</v>
      </c>
      <c r="K13925" s="648">
        <v>146</v>
      </c>
      <c r="L13925" s="552">
        <f t="shared" si="2793"/>
        <v>16.687799999999999</v>
      </c>
      <c r="M13925" s="549"/>
      <c r="N13925" s="549"/>
      <c r="O13925" s="549"/>
      <c r="P13925" s="549"/>
    </row>
    <row r="13926" spans="1:17" s="1737" customFormat="1" ht="17.399999999999999">
      <c r="A13926" s="549"/>
      <c r="B13926" s="549"/>
      <c r="C13926" s="549"/>
      <c r="D13926" s="549"/>
      <c r="E13926" s="549"/>
      <c r="F13926" s="549"/>
      <c r="G13926" s="549"/>
      <c r="H13926" s="549"/>
      <c r="I13926" s="560"/>
      <c r="J13926" s="648"/>
      <c r="K13926" s="648">
        <f>SUM(K13922:K13925)</f>
        <v>272</v>
      </c>
      <c r="L13926" s="567">
        <f>SUM(L13922:L13925)</f>
        <v>29.5578</v>
      </c>
      <c r="M13926" s="549"/>
      <c r="N13926" s="549"/>
      <c r="O13926" s="549"/>
      <c r="P13926" s="549"/>
    </row>
    <row r="13927" spans="1:17" s="1737" customFormat="1" ht="17.399999999999999">
      <c r="A13927" s="549"/>
      <c r="B13927" s="549"/>
      <c r="C13927" s="549"/>
      <c r="D13927" s="549"/>
      <c r="E13927" s="549"/>
      <c r="F13927" s="549"/>
      <c r="G13927" s="549"/>
      <c r="H13927" s="549"/>
      <c r="I13927" s="560"/>
      <c r="J13927" s="648"/>
      <c r="K13927" s="648"/>
      <c r="L13927" s="567"/>
      <c r="M13927" s="549"/>
      <c r="N13927" s="549"/>
      <c r="O13927" s="549"/>
      <c r="P13927" s="549"/>
    </row>
    <row r="13928" spans="1:17" s="1737" customFormat="1" ht="17.399999999999999">
      <c r="A13928" s="547" t="s">
        <v>272</v>
      </c>
      <c r="B13928" s="547" t="s">
        <v>1649</v>
      </c>
      <c r="C13928" s="547" t="s">
        <v>19</v>
      </c>
      <c r="D13928" s="813" t="s">
        <v>60</v>
      </c>
      <c r="E13928" s="547" t="s">
        <v>270</v>
      </c>
      <c r="F13928" s="550">
        <v>7</v>
      </c>
      <c r="G13928" s="549" t="s">
        <v>61</v>
      </c>
      <c r="H13928" s="599" t="s">
        <v>274</v>
      </c>
      <c r="I13928" s="558">
        <v>9</v>
      </c>
      <c r="J13928" s="647">
        <v>12</v>
      </c>
      <c r="K13928" s="648">
        <v>8</v>
      </c>
      <c r="L13928" s="552">
        <f>(I13928*J13928*K13928/1000)</f>
        <v>0.86399999999999999</v>
      </c>
      <c r="M13928" s="549"/>
      <c r="N13928" s="549"/>
      <c r="O13928" s="549"/>
      <c r="P13928" s="549"/>
      <c r="Q13928" s="1737" t="s">
        <v>1698</v>
      </c>
    </row>
    <row r="13929" spans="1:17" s="1737" customFormat="1" ht="17.399999999999999">
      <c r="A13929" s="549"/>
      <c r="B13929" s="549" t="s">
        <v>271</v>
      </c>
      <c r="C13929" s="549"/>
      <c r="D13929" s="549"/>
      <c r="E13929" s="549"/>
      <c r="F13929" s="549"/>
      <c r="G13929" s="549" t="s">
        <v>61</v>
      </c>
      <c r="H13929" s="549" t="s">
        <v>274</v>
      </c>
      <c r="I13929" s="558">
        <v>9</v>
      </c>
      <c r="J13929" s="647">
        <v>10</v>
      </c>
      <c r="K13929" s="648">
        <v>2</v>
      </c>
      <c r="L13929" s="552">
        <f>(I13929*J13929*K13929/1000)</f>
        <v>0.18</v>
      </c>
      <c r="M13929" s="549"/>
      <c r="N13929" s="549"/>
      <c r="O13929" s="549"/>
      <c r="P13929" s="549"/>
    </row>
    <row r="13930" spans="1:17" s="1737" customFormat="1" ht="17.399999999999999">
      <c r="A13930" s="549"/>
      <c r="B13930" s="549"/>
      <c r="C13930" s="549"/>
      <c r="D13930" s="549"/>
      <c r="E13930" s="549"/>
      <c r="F13930" s="549"/>
      <c r="G13930" s="549"/>
      <c r="H13930" s="549"/>
      <c r="I13930" s="558"/>
      <c r="J13930" s="648"/>
      <c r="K13930" s="648">
        <f>SUM(K13928:K13929)</f>
        <v>10</v>
      </c>
      <c r="L13930" s="567">
        <f>SUM(L13928:L13929)</f>
        <v>1.044</v>
      </c>
      <c r="M13930" s="549"/>
      <c r="N13930" s="549"/>
      <c r="O13930" s="549"/>
      <c r="P13930" s="549"/>
    </row>
    <row r="13931" spans="1:17" s="1737" customFormat="1" ht="17.399999999999999">
      <c r="A13931" s="549"/>
      <c r="B13931" s="549"/>
      <c r="C13931" s="549"/>
      <c r="D13931" s="549"/>
      <c r="E13931" s="549"/>
      <c r="F13931" s="549"/>
      <c r="G13931" s="549"/>
      <c r="H13931" s="549"/>
      <c r="I13931" s="560"/>
      <c r="J13931" s="549"/>
      <c r="K13931" s="561"/>
      <c r="L13931" s="560"/>
      <c r="M13931" s="549"/>
      <c r="N13931" s="549"/>
      <c r="O13931" s="549"/>
      <c r="P13931" s="549"/>
    </row>
    <row r="13932" spans="1:17" s="1737" customFormat="1" ht="17.399999999999999">
      <c r="A13932" s="547" t="s">
        <v>272</v>
      </c>
      <c r="B13932" s="547" t="s">
        <v>1650</v>
      </c>
      <c r="C13932" s="547" t="s">
        <v>19</v>
      </c>
      <c r="D13932" s="813" t="s">
        <v>60</v>
      </c>
      <c r="E13932" s="547" t="s">
        <v>270</v>
      </c>
      <c r="F13932" s="550">
        <v>7</v>
      </c>
      <c r="G13932" s="549" t="s">
        <v>61</v>
      </c>
      <c r="H13932" s="599" t="s">
        <v>274</v>
      </c>
      <c r="I13932" s="558">
        <v>9</v>
      </c>
      <c r="J13932" s="647">
        <v>12</v>
      </c>
      <c r="K13932" s="648">
        <v>70</v>
      </c>
      <c r="L13932" s="552">
        <f>(I13932*J13932*K13932/1000)</f>
        <v>7.56</v>
      </c>
      <c r="M13932" s="549"/>
      <c r="N13932" s="549"/>
      <c r="O13932" s="549"/>
      <c r="P13932" s="549"/>
      <c r="Q13932" s="1737" t="s">
        <v>1698</v>
      </c>
    </row>
    <row r="13933" spans="1:17" s="1737" customFormat="1" ht="17.399999999999999">
      <c r="A13933" s="549"/>
      <c r="B13933" s="549" t="s">
        <v>271</v>
      </c>
      <c r="C13933" s="549"/>
      <c r="D13933" s="549"/>
      <c r="E13933" s="549"/>
      <c r="F13933" s="549"/>
      <c r="G13933" s="549" t="s">
        <v>61</v>
      </c>
      <c r="H13933" s="549" t="s">
        <v>274</v>
      </c>
      <c r="I13933" s="558">
        <v>9</v>
      </c>
      <c r="J13933" s="647">
        <v>11.5</v>
      </c>
      <c r="K13933" s="648">
        <v>284</v>
      </c>
      <c r="L13933" s="552">
        <f>(I13933*J13933*K13933/1000)</f>
        <v>29.393999999999998</v>
      </c>
      <c r="M13933" s="549"/>
      <c r="N13933" s="549"/>
      <c r="O13933" s="549"/>
      <c r="P13933" s="549"/>
    </row>
    <row r="13934" spans="1:17" s="1737" customFormat="1" ht="17.399999999999999">
      <c r="A13934" s="549"/>
      <c r="B13934" s="549"/>
      <c r="C13934" s="549"/>
      <c r="D13934" s="549"/>
      <c r="E13934" s="549"/>
      <c r="F13934" s="549"/>
      <c r="G13934" s="549" t="s">
        <v>61</v>
      </c>
      <c r="H13934" s="549" t="s">
        <v>274</v>
      </c>
      <c r="I13934" s="558">
        <v>9</v>
      </c>
      <c r="J13934" s="647">
        <v>11</v>
      </c>
      <c r="K13934" s="648">
        <v>243</v>
      </c>
      <c r="L13934" s="552">
        <f>(I13934*J13934*K13934/1000)</f>
        <v>24.056999999999999</v>
      </c>
      <c r="M13934" s="549"/>
      <c r="N13934" s="549"/>
      <c r="O13934" s="549"/>
      <c r="P13934" s="549"/>
    </row>
    <row r="13935" spans="1:17" s="1737" customFormat="1" ht="17.399999999999999">
      <c r="A13935" s="549"/>
      <c r="B13935" s="549"/>
      <c r="C13935" s="549"/>
      <c r="D13935" s="549"/>
      <c r="E13935" s="549"/>
      <c r="F13935" s="549"/>
      <c r="G13935" s="549" t="s">
        <v>61</v>
      </c>
      <c r="H13935" s="549" t="s">
        <v>274</v>
      </c>
      <c r="I13935" s="558">
        <v>9</v>
      </c>
      <c r="J13935" s="647">
        <v>10</v>
      </c>
      <c r="K13935" s="648">
        <v>42</v>
      </c>
      <c r="L13935" s="552">
        <f>(I13935*J13935*K13935/1000)</f>
        <v>3.78</v>
      </c>
      <c r="M13935" s="549"/>
      <c r="N13935" s="549"/>
      <c r="O13935" s="549"/>
      <c r="P13935" s="549"/>
    </row>
    <row r="13936" spans="1:17" s="1737" customFormat="1" ht="17.399999999999999">
      <c r="A13936" s="549"/>
      <c r="B13936" s="549"/>
      <c r="C13936" s="549"/>
      <c r="D13936" s="549"/>
      <c r="E13936" s="549"/>
      <c r="F13936" s="549"/>
      <c r="G13936" s="549"/>
      <c r="H13936" s="549"/>
      <c r="I13936" s="558"/>
      <c r="J13936" s="648"/>
      <c r="K13936" s="648">
        <f>SUM(K13932:K13935)</f>
        <v>639</v>
      </c>
      <c r="L13936" s="567">
        <f>SUM(L13932:L13935)</f>
        <v>64.790999999999997</v>
      </c>
      <c r="M13936" s="549"/>
      <c r="N13936" s="549"/>
      <c r="O13936" s="549"/>
      <c r="P13936" s="549"/>
    </row>
    <row r="13937" spans="1:17" s="1737" customFormat="1" ht="17.399999999999999">
      <c r="A13937" s="549"/>
      <c r="B13937" s="549"/>
      <c r="C13937" s="549"/>
      <c r="D13937" s="549"/>
      <c r="E13937" s="549"/>
      <c r="F13937" s="549"/>
      <c r="G13937" s="549"/>
      <c r="H13937" s="549"/>
      <c r="I13937" s="560"/>
      <c r="J13937" s="549"/>
      <c r="K13937" s="652">
        <f>SUM(K13917:K13936)/2</f>
        <v>1102</v>
      </c>
      <c r="L13937" s="565">
        <f>SUM(L13917:L13936)/2</f>
        <v>114.63029999999999</v>
      </c>
      <c r="M13937" s="549"/>
      <c r="N13937" s="549"/>
      <c r="O13937" s="549"/>
      <c r="P13937" s="549" t="s">
        <v>1652</v>
      </c>
    </row>
    <row r="13938" spans="1:17" s="1737" customFormat="1" ht="17.399999999999999">
      <c r="A13938" s="549"/>
      <c r="B13938" s="549"/>
      <c r="C13938" s="549"/>
      <c r="D13938" s="549"/>
      <c r="E13938" s="549"/>
      <c r="F13938" s="549"/>
      <c r="G13938" s="549"/>
      <c r="H13938" s="549"/>
      <c r="I13938" s="560"/>
      <c r="J13938" s="549"/>
      <c r="K13938" s="652"/>
      <c r="L13938" s="565"/>
      <c r="M13938" s="549"/>
      <c r="N13938" s="549"/>
      <c r="O13938" s="549"/>
      <c r="P13938" s="549"/>
    </row>
    <row r="13939" spans="1:17" s="1737" customFormat="1" ht="17.399999999999999">
      <c r="A13939" s="549"/>
      <c r="B13939" s="549"/>
      <c r="C13939" s="549"/>
      <c r="D13939" s="549"/>
      <c r="E13939" s="549"/>
      <c r="F13939" s="549"/>
      <c r="G13939" s="549"/>
      <c r="H13939" s="549"/>
      <c r="I13939" s="560"/>
      <c r="J13939" s="549"/>
      <c r="K13939" s="652"/>
      <c r="L13939" s="565"/>
      <c r="M13939" s="549"/>
      <c r="N13939" s="549"/>
      <c r="O13939" s="549"/>
      <c r="P13939" s="549"/>
    </row>
    <row r="13940" spans="1:17" ht="17.399999999999999">
      <c r="A13940" s="549"/>
      <c r="B13940" s="549"/>
      <c r="C13940" s="549"/>
      <c r="D13940" s="549"/>
      <c r="E13940" s="549"/>
      <c r="F13940" s="549"/>
      <c r="G13940" s="549"/>
      <c r="H13940" s="549"/>
      <c r="I13940" s="560"/>
      <c r="J13940" s="549"/>
      <c r="K13940" s="561"/>
      <c r="L13940" s="560"/>
      <c r="M13940" s="549"/>
      <c r="N13940" s="549"/>
      <c r="O13940" s="549"/>
      <c r="P13940" s="549"/>
    </row>
    <row r="13941" spans="1:17" ht="17.399999999999999">
      <c r="A13941" s="547" t="s">
        <v>272</v>
      </c>
      <c r="B13941" s="547" t="s">
        <v>1594</v>
      </c>
      <c r="C13941" s="547" t="s">
        <v>19</v>
      </c>
      <c r="D13941" s="813" t="s">
        <v>60</v>
      </c>
      <c r="E13941" s="547" t="s">
        <v>270</v>
      </c>
      <c r="F13941" s="550">
        <v>7</v>
      </c>
      <c r="G13941" s="549" t="s">
        <v>61</v>
      </c>
      <c r="H13941" s="599" t="s">
        <v>69</v>
      </c>
      <c r="I13941" s="560">
        <v>6.86</v>
      </c>
      <c r="J13941" s="710">
        <v>10</v>
      </c>
      <c r="K13941" s="648">
        <v>51</v>
      </c>
      <c r="L13941" s="552">
        <f>(I13941*J13941*K13941/1000)</f>
        <v>3.4986000000000002</v>
      </c>
      <c r="M13941" s="549"/>
      <c r="N13941" s="549"/>
      <c r="O13941" s="549"/>
      <c r="P13941" s="549"/>
      <c r="Q13941" s="1737" t="s">
        <v>1698</v>
      </c>
    </row>
    <row r="13942" spans="1:17" ht="17.399999999999999">
      <c r="A13942" s="549"/>
      <c r="B13942" s="549" t="s">
        <v>271</v>
      </c>
      <c r="C13942" s="549"/>
      <c r="D13942" s="549"/>
      <c r="E13942" s="549"/>
      <c r="F13942" s="549"/>
      <c r="G13942" s="549"/>
      <c r="H13942" s="549"/>
      <c r="I13942" s="560"/>
      <c r="J13942" s="710"/>
      <c r="K13942" s="648">
        <f>SUM(K13941:K13941)</f>
        <v>51</v>
      </c>
      <c r="L13942" s="765">
        <f>SUM(L13941:L13941)</f>
        <v>3.4986000000000002</v>
      </c>
      <c r="M13942" s="549"/>
      <c r="N13942" s="549"/>
      <c r="O13942" s="549"/>
      <c r="P13942" s="549"/>
    </row>
    <row r="13943" spans="1:17" s="1737" customFormat="1" ht="17.399999999999999">
      <c r="A13943" s="549"/>
      <c r="B13943" s="549"/>
      <c r="C13943" s="549"/>
      <c r="D13943" s="549"/>
      <c r="E13943" s="549"/>
      <c r="F13943" s="549"/>
      <c r="G13943" s="549"/>
      <c r="H13943" s="549"/>
      <c r="I13943" s="560"/>
      <c r="J13943" s="710"/>
      <c r="K13943" s="648"/>
      <c r="L13943" s="765"/>
      <c r="M13943" s="549"/>
      <c r="N13943" s="549"/>
      <c r="O13943" s="549"/>
      <c r="P13943" s="549"/>
    </row>
    <row r="13944" spans="1:17" s="1737" customFormat="1" ht="17.399999999999999">
      <c r="A13944" s="547" t="s">
        <v>272</v>
      </c>
      <c r="B13944" s="547" t="s">
        <v>1648</v>
      </c>
      <c r="C13944" s="547" t="s">
        <v>19</v>
      </c>
      <c r="D13944" s="813" t="s">
        <v>60</v>
      </c>
      <c r="E13944" s="547" t="s">
        <v>270</v>
      </c>
      <c r="F13944" s="550">
        <v>7</v>
      </c>
      <c r="G13944" s="549" t="s">
        <v>61</v>
      </c>
      <c r="H13944" s="599" t="s">
        <v>69</v>
      </c>
      <c r="I13944" s="560">
        <v>6.86</v>
      </c>
      <c r="J13944" s="567">
        <v>6.1</v>
      </c>
      <c r="K13944" s="648">
        <v>4</v>
      </c>
      <c r="L13944" s="552">
        <f>(I13944*J13944*K13944/1000)</f>
        <v>0.16738399999999998</v>
      </c>
      <c r="M13944" s="549"/>
      <c r="N13944" s="549"/>
      <c r="O13944" s="549"/>
      <c r="P13944" s="549"/>
      <c r="Q13944" s="1737" t="s">
        <v>1698</v>
      </c>
    </row>
    <row r="13945" spans="1:17" s="1737" customFormat="1" ht="17.399999999999999">
      <c r="A13945" s="549"/>
      <c r="B13945" s="549" t="s">
        <v>271</v>
      </c>
      <c r="C13945" s="549"/>
      <c r="D13945" s="549"/>
      <c r="E13945" s="549"/>
      <c r="F13945" s="549"/>
      <c r="G13945" s="549"/>
      <c r="H13945" s="549"/>
      <c r="I13945" s="560"/>
      <c r="J13945" s="710"/>
      <c r="K13945" s="648">
        <f>SUM(K13944:K13944)</f>
        <v>4</v>
      </c>
      <c r="L13945" s="765">
        <f>SUM(L13944:L13944)</f>
        <v>0.16738399999999998</v>
      </c>
      <c r="M13945" s="549"/>
      <c r="N13945" s="549"/>
      <c r="O13945" s="549"/>
      <c r="P13945" s="549"/>
    </row>
    <row r="13946" spans="1:17" s="1737" customFormat="1" ht="17.399999999999999">
      <c r="A13946" s="549"/>
      <c r="B13946" s="549"/>
      <c r="C13946" s="549"/>
      <c r="D13946" s="549"/>
      <c r="E13946" s="549"/>
      <c r="F13946" s="549"/>
      <c r="G13946" s="549"/>
      <c r="H13946" s="549"/>
      <c r="I13946" s="560"/>
      <c r="J13946" s="549"/>
      <c r="K13946" s="561"/>
      <c r="L13946" s="560"/>
      <c r="M13946" s="549"/>
      <c r="N13946" s="549"/>
      <c r="O13946" s="549"/>
      <c r="P13946" s="549"/>
    </row>
    <row r="13947" spans="1:17" s="1737" customFormat="1" ht="17.399999999999999">
      <c r="A13947" s="547" t="s">
        <v>272</v>
      </c>
      <c r="B13947" s="547" t="s">
        <v>1649</v>
      </c>
      <c r="C13947" s="547" t="s">
        <v>19</v>
      </c>
      <c r="D13947" s="813" t="s">
        <v>60</v>
      </c>
      <c r="E13947" s="547" t="s">
        <v>270</v>
      </c>
      <c r="F13947" s="550">
        <v>7</v>
      </c>
      <c r="G13947" s="549" t="s">
        <v>61</v>
      </c>
      <c r="H13947" s="599" t="s">
        <v>69</v>
      </c>
      <c r="I13947" s="560">
        <v>6.86</v>
      </c>
      <c r="J13947" s="567">
        <v>11.5</v>
      </c>
      <c r="K13947" s="648">
        <v>50</v>
      </c>
      <c r="L13947" s="552">
        <f>(I13947*J13947*K13947/1000)</f>
        <v>3.9445000000000001</v>
      </c>
      <c r="M13947" s="549"/>
      <c r="N13947" s="549"/>
      <c r="O13947" s="549"/>
      <c r="P13947" s="549"/>
      <c r="Q13947" s="1737" t="s">
        <v>1698</v>
      </c>
    </row>
    <row r="13948" spans="1:17" s="1737" customFormat="1" ht="17.399999999999999">
      <c r="A13948" s="549"/>
      <c r="B13948" s="549" t="s">
        <v>271</v>
      </c>
      <c r="C13948" s="549"/>
      <c r="D13948" s="549"/>
      <c r="E13948" s="549"/>
      <c r="F13948" s="549"/>
      <c r="G13948" s="549"/>
      <c r="H13948" s="549"/>
      <c r="I13948" s="560"/>
      <c r="J13948" s="710"/>
      <c r="K13948" s="648">
        <f>SUM(K13947:K13947)</f>
        <v>50</v>
      </c>
      <c r="L13948" s="765">
        <f>SUM(L13947:L13947)</f>
        <v>3.9445000000000001</v>
      </c>
      <c r="M13948" s="549"/>
      <c r="N13948" s="549"/>
      <c r="O13948" s="549"/>
      <c r="P13948" s="549"/>
    </row>
    <row r="13949" spans="1:17" s="1737" customFormat="1" ht="17.399999999999999">
      <c r="A13949" s="549"/>
      <c r="B13949" s="549"/>
      <c r="C13949" s="549"/>
      <c r="D13949" s="549"/>
      <c r="E13949" s="549"/>
      <c r="F13949" s="549"/>
      <c r="G13949" s="549"/>
      <c r="H13949" s="549"/>
      <c r="I13949" s="560"/>
      <c r="J13949" s="549"/>
      <c r="K13949" s="561"/>
      <c r="L13949" s="560"/>
      <c r="M13949" s="549"/>
      <c r="N13949" s="549"/>
      <c r="O13949" s="549"/>
      <c r="P13949" s="549"/>
    </row>
    <row r="13950" spans="1:17" s="1737" customFormat="1" ht="17.399999999999999">
      <c r="A13950" s="547" t="s">
        <v>272</v>
      </c>
      <c r="B13950" s="547" t="s">
        <v>1650</v>
      </c>
      <c r="C13950" s="547" t="s">
        <v>19</v>
      </c>
      <c r="D13950" s="813" t="s">
        <v>60</v>
      </c>
      <c r="E13950" s="547" t="s">
        <v>270</v>
      </c>
      <c r="F13950" s="550">
        <v>7</v>
      </c>
      <c r="G13950" s="549" t="s">
        <v>61</v>
      </c>
      <c r="H13950" s="599" t="s">
        <v>69</v>
      </c>
      <c r="I13950" s="560">
        <v>6.86</v>
      </c>
      <c r="J13950" s="647">
        <v>11.5</v>
      </c>
      <c r="K13950" s="648">
        <v>5</v>
      </c>
      <c r="L13950" s="552">
        <f>(I13950*J13950*K13950/1000)</f>
        <v>0.39444999999999997</v>
      </c>
      <c r="M13950" s="549"/>
      <c r="N13950" s="549"/>
      <c r="O13950" s="549"/>
      <c r="P13950" s="549"/>
      <c r="Q13950" s="1737" t="s">
        <v>1698</v>
      </c>
    </row>
    <row r="13951" spans="1:17" s="1737" customFormat="1" ht="17.399999999999999">
      <c r="A13951" s="549"/>
      <c r="B13951" s="549" t="s">
        <v>271</v>
      </c>
      <c r="C13951" s="549"/>
      <c r="D13951" s="549"/>
      <c r="E13951" s="549"/>
      <c r="F13951" s="549"/>
      <c r="G13951" s="549"/>
      <c r="H13951" s="549"/>
      <c r="I13951" s="560"/>
      <c r="J13951" s="710"/>
      <c r="K13951" s="648">
        <f>SUM(K13950:K13950)</f>
        <v>5</v>
      </c>
      <c r="L13951" s="765">
        <f>SUM(L13950:L13950)</f>
        <v>0.39444999999999997</v>
      </c>
      <c r="M13951" s="549"/>
      <c r="N13951" s="549"/>
      <c r="O13951" s="549"/>
      <c r="P13951" s="549"/>
    </row>
    <row r="13952" spans="1:17" s="1737" customFormat="1" ht="17.399999999999999">
      <c r="A13952" s="549"/>
      <c r="B13952" s="549"/>
      <c r="C13952" s="549"/>
      <c r="D13952" s="549"/>
      <c r="E13952" s="549"/>
      <c r="F13952" s="549"/>
      <c r="G13952" s="549"/>
      <c r="H13952" s="549"/>
      <c r="I13952" s="560"/>
      <c r="J13952" s="710"/>
      <c r="K13952" s="766">
        <f>SUM(K13941:K13951)/2</f>
        <v>110</v>
      </c>
      <c r="L13952" s="765">
        <f>SUM(L13941:L13951)/2</f>
        <v>8.0049340000000004</v>
      </c>
      <c r="M13952" s="549"/>
      <c r="N13952" s="549"/>
      <c r="O13952" s="549"/>
      <c r="P13952" s="549" t="s">
        <v>1653</v>
      </c>
    </row>
    <row r="13953" spans="1:17" s="1737" customFormat="1" ht="17.399999999999999">
      <c r="A13953" s="549"/>
      <c r="B13953" s="549"/>
      <c r="C13953" s="549"/>
      <c r="D13953" s="549"/>
      <c r="E13953" s="549"/>
      <c r="F13953" s="549"/>
      <c r="G13953" s="549"/>
      <c r="H13953" s="549"/>
      <c r="I13953" s="560"/>
      <c r="J13953" s="710"/>
      <c r="K13953" s="766"/>
      <c r="L13953" s="765"/>
      <c r="M13953" s="549"/>
      <c r="N13953" s="549"/>
      <c r="O13953" s="549"/>
      <c r="P13953" s="549"/>
    </row>
    <row r="13954" spans="1:17" s="1737" customFormat="1" ht="17.399999999999999">
      <c r="A13954" s="549"/>
      <c r="B13954" s="549"/>
      <c r="C13954" s="549"/>
      <c r="D13954" s="549"/>
      <c r="E13954" s="549"/>
      <c r="F13954" s="549"/>
      <c r="G13954" s="549"/>
      <c r="H13954" s="549"/>
      <c r="I13954" s="560"/>
      <c r="J13954" s="549"/>
      <c r="K13954" s="652"/>
      <c r="L13954" s="565"/>
      <c r="M13954" s="549"/>
      <c r="N13954" s="549"/>
      <c r="O13954" s="549"/>
      <c r="P13954" s="549"/>
    </row>
    <row r="13955" spans="1:17" s="1737" customFormat="1" ht="17.399999999999999">
      <c r="A13955" s="549"/>
      <c r="B13955" s="549"/>
      <c r="C13955" s="549"/>
      <c r="D13955" s="549"/>
      <c r="E13955" s="549"/>
      <c r="F13955" s="549"/>
      <c r="G13955" s="549"/>
      <c r="H13955" s="549"/>
      <c r="I13955" s="560"/>
      <c r="J13955" s="549"/>
      <c r="K13955" s="561"/>
      <c r="L13955" s="560"/>
      <c r="M13955" s="549"/>
      <c r="N13955" s="549"/>
      <c r="O13955" s="549"/>
      <c r="P13955" s="549"/>
    </row>
    <row r="13956" spans="1:17" ht="17.399999999999999">
      <c r="A13956" s="547" t="s">
        <v>395</v>
      </c>
      <c r="B13956" s="547" t="s">
        <v>1365</v>
      </c>
      <c r="C13956" s="547" t="s">
        <v>19</v>
      </c>
      <c r="D13956" s="813" t="s">
        <v>854</v>
      </c>
      <c r="E13956" s="547" t="s">
        <v>359</v>
      </c>
      <c r="F13956" s="550">
        <v>9</v>
      </c>
      <c r="G13956" s="549" t="s">
        <v>21</v>
      </c>
      <c r="H13956" s="599" t="s">
        <v>69</v>
      </c>
      <c r="I13956" s="558">
        <v>6.86</v>
      </c>
      <c r="J13956" s="567">
        <v>9</v>
      </c>
      <c r="K13956" s="648">
        <f>200-40</f>
        <v>160</v>
      </c>
      <c r="L13956" s="552">
        <f t="shared" ref="L13956:L13958" si="2794">(I13956*J13956*K13956/1000)</f>
        <v>9.8783999999999992</v>
      </c>
      <c r="M13956" s="549"/>
      <c r="N13956" s="549"/>
      <c r="O13956" s="549"/>
      <c r="P13956" s="549"/>
      <c r="Q13956" s="1737" t="s">
        <v>1698</v>
      </c>
    </row>
    <row r="13957" spans="1:17" ht="17.399999999999999">
      <c r="A13957" s="549"/>
      <c r="B13957" s="1605" t="s">
        <v>277</v>
      </c>
      <c r="C13957" s="549"/>
      <c r="D13957" s="549"/>
      <c r="E13957" s="549"/>
      <c r="F13957" s="549"/>
      <c r="G13957" s="549" t="s">
        <v>21</v>
      </c>
      <c r="H13957" s="549" t="s">
        <v>69</v>
      </c>
      <c r="I13957" s="558">
        <v>6.86</v>
      </c>
      <c r="J13957" s="567">
        <v>10</v>
      </c>
      <c r="K13957" s="648">
        <v>28</v>
      </c>
      <c r="L13957" s="552">
        <f t="shared" si="2794"/>
        <v>1.9208000000000003</v>
      </c>
      <c r="M13957" s="549">
        <f>15+7</f>
        <v>22</v>
      </c>
      <c r="N13957" s="567">
        <f t="shared" ref="N13957" si="2795">J13957*M13957*I13957/1000</f>
        <v>1.5092000000000001</v>
      </c>
      <c r="O13957" s="549"/>
      <c r="P13957" s="549"/>
    </row>
    <row r="13958" spans="1:17" ht="17.399999999999999">
      <c r="A13958" s="549"/>
      <c r="B13958" s="549"/>
      <c r="C13958" s="549"/>
      <c r="D13958" s="549"/>
      <c r="E13958" s="549"/>
      <c r="F13958" s="549"/>
      <c r="G13958" s="549" t="s">
        <v>21</v>
      </c>
      <c r="H13958" s="549" t="s">
        <v>69</v>
      </c>
      <c r="I13958" s="558">
        <v>6.86</v>
      </c>
      <c r="J13958" s="567">
        <v>11.5</v>
      </c>
      <c r="K13958" s="648">
        <f>800-160</f>
        <v>640</v>
      </c>
      <c r="L13958" s="552">
        <f t="shared" si="2794"/>
        <v>50.489599999999996</v>
      </c>
      <c r="M13958" s="549"/>
      <c r="N13958" s="549"/>
      <c r="O13958" s="549"/>
      <c r="P13958" s="549"/>
    </row>
    <row r="13959" spans="1:17" ht="17.399999999999999">
      <c r="A13959" s="549"/>
      <c r="B13959" s="549"/>
      <c r="C13959" s="549"/>
      <c r="D13959" s="549"/>
      <c r="E13959" s="549"/>
      <c r="F13959" s="549"/>
      <c r="G13959" s="549"/>
      <c r="H13959" s="549"/>
      <c r="I13959" s="558"/>
      <c r="J13959" s="567"/>
      <c r="K13959" s="648">
        <f t="shared" ref="K13959:M13959" si="2796">SUM(K13956:K13958)</f>
        <v>828</v>
      </c>
      <c r="L13959" s="567">
        <f>SUM(L13956:L13958)</f>
        <v>62.288799999999995</v>
      </c>
      <c r="M13959" s="648">
        <f t="shared" si="2796"/>
        <v>22</v>
      </c>
      <c r="N13959" s="567">
        <f>SUM(N13956:N13958)</f>
        <v>1.5092000000000001</v>
      </c>
      <c r="O13959" s="549"/>
      <c r="P13959" s="549" t="s">
        <v>1654</v>
      </c>
    </row>
    <row r="13960" spans="1:17" ht="17.399999999999999">
      <c r="A13960" s="549"/>
      <c r="B13960" s="549"/>
      <c r="C13960" s="549"/>
      <c r="D13960" s="549"/>
      <c r="E13960" s="549"/>
      <c r="F13960" s="549"/>
      <c r="G13960" s="549"/>
      <c r="H13960" s="549"/>
      <c r="I13960" s="560"/>
      <c r="J13960" s="549"/>
      <c r="K13960" s="561"/>
      <c r="L13960" s="560"/>
      <c r="M13960" s="549"/>
      <c r="N13960" s="549"/>
      <c r="O13960" s="549"/>
      <c r="P13960" s="549"/>
    </row>
    <row r="13961" spans="1:17" ht="17.399999999999999">
      <c r="A13961" s="549"/>
      <c r="B13961" s="549"/>
      <c r="C13961" s="549"/>
      <c r="D13961" s="549"/>
      <c r="E13961" s="549"/>
      <c r="F13961" s="549"/>
      <c r="G13961" s="549"/>
      <c r="H13961" s="549"/>
      <c r="I13961" s="560"/>
      <c r="J13961" s="549"/>
      <c r="K13961" s="561"/>
      <c r="L13961" s="560"/>
      <c r="M13961" s="549"/>
      <c r="N13961" s="549"/>
      <c r="O13961" s="549"/>
      <c r="P13961" s="549"/>
    </row>
    <row r="13962" spans="1:17" ht="17.399999999999999">
      <c r="A13962" s="547" t="s">
        <v>395</v>
      </c>
      <c r="B13962" s="547" t="s">
        <v>1560</v>
      </c>
      <c r="C13962" s="547" t="s">
        <v>19</v>
      </c>
      <c r="D13962" s="813" t="s">
        <v>854</v>
      </c>
      <c r="E13962" s="547" t="s">
        <v>1028</v>
      </c>
      <c r="F13962" s="550">
        <v>9</v>
      </c>
      <c r="G13962" s="549" t="s">
        <v>21</v>
      </c>
      <c r="H13962" s="599" t="s">
        <v>69</v>
      </c>
      <c r="I13962" s="558">
        <v>6.86</v>
      </c>
      <c r="J13962" s="647">
        <v>7.6</v>
      </c>
      <c r="K13962" s="648">
        <v>1</v>
      </c>
      <c r="L13962" s="552">
        <f>(I13962*J13962*K13962/1000)</f>
        <v>5.2136000000000002E-2</v>
      </c>
      <c r="M13962" s="549"/>
      <c r="N13962" s="549"/>
      <c r="O13962" s="549"/>
      <c r="P13962" s="549"/>
      <c r="Q13962" s="1737" t="s">
        <v>1699</v>
      </c>
    </row>
    <row r="13963" spans="1:17" ht="17.399999999999999">
      <c r="A13963" s="549"/>
      <c r="B13963" s="549" t="s">
        <v>1027</v>
      </c>
      <c r="C13963" s="549"/>
      <c r="D13963" s="549"/>
      <c r="E13963" s="549"/>
      <c r="F13963" s="549"/>
      <c r="G13963" s="549"/>
      <c r="H13963" s="549"/>
      <c r="I13963" s="558"/>
      <c r="J13963" s="647"/>
      <c r="K13963" s="648">
        <f t="shared" ref="K13963:N13963" si="2797">SUM(K13962)</f>
        <v>1</v>
      </c>
      <c r="L13963" s="567">
        <f t="shared" si="2797"/>
        <v>5.2136000000000002E-2</v>
      </c>
      <c r="M13963" s="648">
        <f t="shared" si="2797"/>
        <v>0</v>
      </c>
      <c r="N13963" s="567">
        <f t="shared" si="2797"/>
        <v>0</v>
      </c>
      <c r="O13963" s="549"/>
      <c r="P13963" s="549" t="s">
        <v>1655</v>
      </c>
    </row>
    <row r="13964" spans="1:17" ht="17.399999999999999">
      <c r="A13964" s="549"/>
      <c r="B13964" s="549"/>
      <c r="C13964" s="549"/>
      <c r="D13964" s="549"/>
      <c r="E13964" s="549"/>
      <c r="F13964" s="549"/>
      <c r="G13964" s="549"/>
      <c r="H13964" s="549"/>
      <c r="I13964" s="560"/>
      <c r="J13964" s="549"/>
      <c r="K13964" s="561"/>
      <c r="L13964" s="560"/>
      <c r="M13964" s="549"/>
      <c r="N13964" s="549"/>
      <c r="O13964" s="549"/>
      <c r="P13964" s="549"/>
    </row>
    <row r="13965" spans="1:17" ht="17.399999999999999">
      <c r="A13965" s="547" t="s">
        <v>83</v>
      </c>
      <c r="B13965" s="547" t="s">
        <v>1559</v>
      </c>
      <c r="C13965" s="547" t="s">
        <v>19</v>
      </c>
      <c r="D13965" s="813" t="s">
        <v>854</v>
      </c>
      <c r="E13965" s="650" t="s">
        <v>464</v>
      </c>
      <c r="F13965" s="550">
        <v>9</v>
      </c>
      <c r="G13965" s="549" t="s">
        <v>21</v>
      </c>
      <c r="H13965" s="599" t="s">
        <v>69</v>
      </c>
      <c r="I13965" s="558">
        <v>6.85</v>
      </c>
      <c r="J13965" s="567">
        <v>7.6</v>
      </c>
      <c r="K13965" s="648">
        <v>169</v>
      </c>
      <c r="L13965" s="552">
        <f>(I13965*J13965*K13965/1000)</f>
        <v>8.7981400000000001</v>
      </c>
      <c r="M13965" s="549">
        <v>25</v>
      </c>
      <c r="N13965" s="567">
        <f t="shared" ref="N13965" si="2798">J13965*M13965*I13965/1000</f>
        <v>1.3015000000000001</v>
      </c>
      <c r="O13965" s="549"/>
      <c r="P13965" s="549"/>
      <c r="Q13965" s="1737" t="s">
        <v>1699</v>
      </c>
    </row>
    <row r="13966" spans="1:17" ht="17.399999999999999">
      <c r="A13966" s="549"/>
      <c r="B13966" s="549" t="s">
        <v>439</v>
      </c>
      <c r="C13966" s="549"/>
      <c r="D13966" s="549"/>
      <c r="E13966" s="549"/>
      <c r="F13966" s="549"/>
      <c r="G13966" s="549" t="s">
        <v>21</v>
      </c>
      <c r="H13966" s="549" t="s">
        <v>69</v>
      </c>
      <c r="I13966" s="558">
        <v>6.85</v>
      </c>
      <c r="J13966" s="567">
        <v>10</v>
      </c>
      <c r="K13966" s="648">
        <v>13</v>
      </c>
      <c r="L13966" s="552">
        <f>(I13966*J13966*K13966/1000)</f>
        <v>0.89049999999999996</v>
      </c>
      <c r="M13966" s="549"/>
      <c r="N13966" s="549"/>
      <c r="O13966" s="549"/>
      <c r="P13966" s="549"/>
    </row>
    <row r="13967" spans="1:17" ht="17.399999999999999">
      <c r="A13967" s="549"/>
      <c r="B13967" s="549"/>
      <c r="C13967" s="549"/>
      <c r="D13967" s="549"/>
      <c r="E13967" s="549"/>
      <c r="F13967" s="549"/>
      <c r="G13967" s="549" t="s">
        <v>21</v>
      </c>
      <c r="H13967" s="549" t="s">
        <v>69</v>
      </c>
      <c r="I13967" s="558">
        <v>6.85</v>
      </c>
      <c r="J13967" s="567">
        <v>12</v>
      </c>
      <c r="K13967" s="648">
        <v>16</v>
      </c>
      <c r="L13967" s="552">
        <f>(I13967*J13967*K13967/1000)</f>
        <v>1.3151999999999999</v>
      </c>
      <c r="M13967" s="549"/>
      <c r="N13967" s="549"/>
      <c r="O13967" s="549"/>
      <c r="P13967" s="549"/>
    </row>
    <row r="13968" spans="1:17" ht="17.399999999999999">
      <c r="A13968" s="549"/>
      <c r="B13968" s="549"/>
      <c r="C13968" s="549"/>
      <c r="D13968" s="549"/>
      <c r="E13968" s="549"/>
      <c r="F13968" s="549"/>
      <c r="G13968" s="549"/>
      <c r="H13968" s="549"/>
      <c r="I13968" s="558"/>
      <c r="J13968" s="567"/>
      <c r="K13968" s="648">
        <f t="shared" ref="K13968:N13968" si="2799">SUM(K13965:K13967)</f>
        <v>198</v>
      </c>
      <c r="L13968" s="567">
        <f t="shared" si="2799"/>
        <v>11.00384</v>
      </c>
      <c r="M13968" s="648">
        <f t="shared" si="2799"/>
        <v>25</v>
      </c>
      <c r="N13968" s="567">
        <f t="shared" si="2799"/>
        <v>1.3015000000000001</v>
      </c>
      <c r="O13968" s="549"/>
      <c r="P13968" s="549" t="s">
        <v>1656</v>
      </c>
    </row>
    <row r="13969" spans="1:17" ht="17.399999999999999">
      <c r="A13969" s="549"/>
      <c r="B13969" s="549"/>
      <c r="C13969" s="549"/>
      <c r="D13969" s="549"/>
      <c r="E13969" s="549"/>
      <c r="F13969" s="549"/>
      <c r="G13969" s="549"/>
      <c r="H13969" s="549"/>
      <c r="I13969" s="560"/>
      <c r="J13969" s="549"/>
      <c r="K13969" s="561"/>
      <c r="L13969" s="560"/>
      <c r="M13969" s="549"/>
      <c r="N13969" s="549"/>
      <c r="O13969" s="549"/>
      <c r="P13969" s="549"/>
    </row>
    <row r="13970" spans="1:17" ht="17.399999999999999">
      <c r="A13970" s="547" t="s">
        <v>458</v>
      </c>
      <c r="B13970" s="547" t="s">
        <v>1598</v>
      </c>
      <c r="C13970" s="547" t="s">
        <v>19</v>
      </c>
      <c r="D13970" s="813" t="s">
        <v>854</v>
      </c>
      <c r="E13970" s="650" t="s">
        <v>464</v>
      </c>
      <c r="F13970" s="550">
        <v>9</v>
      </c>
      <c r="G13970" s="549" t="s">
        <v>21</v>
      </c>
      <c r="H13970" s="599" t="s">
        <v>69</v>
      </c>
      <c r="I13970" s="558">
        <v>6.85</v>
      </c>
      <c r="J13970" s="567">
        <v>12</v>
      </c>
      <c r="K13970" s="648">
        <v>33</v>
      </c>
      <c r="L13970" s="552">
        <f>(I13970*J13970*K13970/1000)</f>
        <v>2.7125999999999992</v>
      </c>
      <c r="M13970" s="549"/>
      <c r="N13970" s="549"/>
      <c r="O13970" s="549"/>
      <c r="P13970" s="549"/>
      <c r="Q13970" s="1737" t="s">
        <v>1699</v>
      </c>
    </row>
    <row r="13971" spans="1:17" ht="17.399999999999999">
      <c r="A13971" s="549"/>
      <c r="B13971" s="549" t="s">
        <v>439</v>
      </c>
      <c r="C13971" s="549"/>
      <c r="D13971" s="549"/>
      <c r="E13971" s="549"/>
      <c r="F13971" s="549"/>
      <c r="G13971" s="549"/>
      <c r="H13971" s="549"/>
      <c r="I13971" s="558"/>
      <c r="J13971" s="567"/>
      <c r="K13971" s="648">
        <f t="shared" ref="K13971" si="2800">SUM(K13970)</f>
        <v>33</v>
      </c>
      <c r="L13971" s="567">
        <f>SUM(L13970)</f>
        <v>2.7125999999999992</v>
      </c>
      <c r="M13971" s="549"/>
      <c r="N13971" s="549"/>
      <c r="O13971" s="549"/>
      <c r="P13971" s="549" t="s">
        <v>1656</v>
      </c>
    </row>
    <row r="13972" spans="1:17" s="1737" customFormat="1" ht="17.399999999999999">
      <c r="A13972" s="549"/>
      <c r="B13972" s="549"/>
      <c r="C13972" s="549"/>
      <c r="D13972" s="549"/>
      <c r="E13972" s="549"/>
      <c r="F13972" s="549"/>
      <c r="G13972" s="549"/>
      <c r="H13972" s="549"/>
      <c r="I13972" s="558"/>
      <c r="J13972" s="567"/>
      <c r="K13972" s="648">
        <f>SUM(K13962:K13971)/2</f>
        <v>232</v>
      </c>
      <c r="L13972" s="567">
        <f>SUM(L13962:L13971)/2</f>
        <v>13.768575999999998</v>
      </c>
      <c r="M13972" s="648">
        <f>SUM(M13962:M13971)/2</f>
        <v>25</v>
      </c>
      <c r="N13972" s="567">
        <f>SUM(N13962:N13971)/2</f>
        <v>1.3015000000000001</v>
      </c>
      <c r="O13972" s="549"/>
      <c r="P13972" s="549"/>
    </row>
    <row r="13973" spans="1:17" s="1737" customFormat="1" ht="17.399999999999999">
      <c r="A13973" s="549"/>
      <c r="B13973" s="549"/>
      <c r="C13973" s="549"/>
      <c r="D13973" s="549"/>
      <c r="E13973" s="549"/>
      <c r="F13973" s="549"/>
      <c r="G13973" s="549"/>
      <c r="H13973" s="549"/>
      <c r="I13973" s="558"/>
      <c r="J13973" s="567"/>
      <c r="K13973" s="648"/>
      <c r="L13973" s="567"/>
      <c r="M13973" s="549"/>
      <c r="N13973" s="549"/>
      <c r="O13973" s="549"/>
      <c r="P13973" s="549"/>
    </row>
    <row r="13974" spans="1:17" s="1737" customFormat="1" ht="17.399999999999999">
      <c r="A13974" s="549"/>
      <c r="B13974" s="549"/>
      <c r="C13974" s="549"/>
      <c r="D13974" s="549"/>
      <c r="E13974" s="549"/>
      <c r="F13974" s="549"/>
      <c r="G13974" s="549"/>
      <c r="H13974" s="549"/>
      <c r="I13974" s="558"/>
      <c r="J13974" s="567"/>
      <c r="K13974" s="648"/>
      <c r="L13974" s="567"/>
      <c r="M13974" s="549"/>
      <c r="N13974" s="549"/>
      <c r="O13974" s="549"/>
      <c r="P13974" s="549"/>
    </row>
    <row r="13975" spans="1:17" ht="17.399999999999999">
      <c r="A13975" s="547" t="s">
        <v>395</v>
      </c>
      <c r="B13975" s="547" t="s">
        <v>1365</v>
      </c>
      <c r="C13975" s="547" t="s">
        <v>19</v>
      </c>
      <c r="D13975" s="813" t="s">
        <v>854</v>
      </c>
      <c r="E13975" s="547" t="s">
        <v>359</v>
      </c>
      <c r="F13975" s="550">
        <v>9</v>
      </c>
      <c r="G13975" s="549" t="s">
        <v>21</v>
      </c>
      <c r="H13975" s="599" t="s">
        <v>70</v>
      </c>
      <c r="I13975" s="558">
        <v>5.77</v>
      </c>
      <c r="J13975" s="567">
        <v>10</v>
      </c>
      <c r="K13975" s="648">
        <v>42</v>
      </c>
      <c r="L13975" s="552">
        <f t="shared" ref="L13975:L13977" si="2801">(I13975*J13975*K13975/1000)</f>
        <v>2.4233999999999996</v>
      </c>
      <c r="M13975" s="549"/>
      <c r="N13975" s="567">
        <f t="shared" ref="N13975" si="2802">J13975*M13975*I13975/1000</f>
        <v>0</v>
      </c>
      <c r="O13975" s="549"/>
      <c r="P13975" s="549"/>
      <c r="Q13975" s="1737" t="s">
        <v>1699</v>
      </c>
    </row>
    <row r="13976" spans="1:17" ht="17.399999999999999">
      <c r="A13976" s="549"/>
      <c r="B13976" s="1605" t="s">
        <v>277</v>
      </c>
      <c r="C13976" s="549"/>
      <c r="D13976" s="549"/>
      <c r="E13976" s="549"/>
      <c r="F13976" s="549"/>
      <c r="G13976" s="549" t="s">
        <v>21</v>
      </c>
      <c r="H13976" s="549" t="s">
        <v>70</v>
      </c>
      <c r="I13976" s="558">
        <v>5.77</v>
      </c>
      <c r="J13976" s="567">
        <v>11</v>
      </c>
      <c r="K13976" s="648">
        <f>1500-300</f>
        <v>1200</v>
      </c>
      <c r="L13976" s="552">
        <f t="shared" si="2801"/>
        <v>76.164000000000001</v>
      </c>
      <c r="M13976" s="549"/>
      <c r="N13976" s="549"/>
      <c r="O13976" s="549"/>
      <c r="P13976" s="549"/>
    </row>
    <row r="13977" spans="1:17" ht="17.399999999999999">
      <c r="A13977" s="549"/>
      <c r="B13977" s="549"/>
      <c r="C13977" s="549"/>
      <c r="D13977" s="549"/>
      <c r="E13977" s="549"/>
      <c r="F13977" s="549"/>
      <c r="G13977" s="549" t="s">
        <v>21</v>
      </c>
      <c r="H13977" s="549" t="s">
        <v>70</v>
      </c>
      <c r="I13977" s="558">
        <v>5.77</v>
      </c>
      <c r="J13977" s="567">
        <v>12</v>
      </c>
      <c r="K13977" s="648">
        <f>511-98</f>
        <v>413</v>
      </c>
      <c r="L13977" s="552">
        <f t="shared" si="2801"/>
        <v>28.596119999999999</v>
      </c>
      <c r="M13977" s="549"/>
      <c r="N13977" s="549"/>
      <c r="O13977" s="549"/>
      <c r="P13977" s="549"/>
    </row>
    <row r="13978" spans="1:17" ht="17.399999999999999">
      <c r="A13978" s="549"/>
      <c r="B13978" s="549"/>
      <c r="C13978" s="549"/>
      <c r="D13978" s="549"/>
      <c r="E13978" s="549"/>
      <c r="F13978" s="549"/>
      <c r="G13978" s="549"/>
      <c r="H13978" s="549"/>
      <c r="I13978" s="558"/>
      <c r="J13978" s="567"/>
      <c r="K13978" s="648">
        <f t="shared" ref="K13978:N13978" si="2803">SUM(K13975:K13977)</f>
        <v>1655</v>
      </c>
      <c r="L13978" s="567">
        <f t="shared" si="2803"/>
        <v>107.18352</v>
      </c>
      <c r="M13978" s="648">
        <f t="shared" si="2803"/>
        <v>0</v>
      </c>
      <c r="N13978" s="567">
        <f t="shared" si="2803"/>
        <v>0</v>
      </c>
      <c r="O13978" s="549"/>
      <c r="P13978" s="549" t="s">
        <v>1657</v>
      </c>
    </row>
    <row r="13979" spans="1:17" s="1737" customFormat="1" ht="17.399999999999999">
      <c r="A13979" s="549"/>
      <c r="B13979" s="549"/>
      <c r="C13979" s="549"/>
      <c r="D13979" s="549"/>
      <c r="E13979" s="549"/>
      <c r="F13979" s="549"/>
      <c r="G13979" s="549"/>
      <c r="H13979" s="549"/>
      <c r="I13979" s="558"/>
      <c r="J13979" s="567"/>
      <c r="K13979" s="648"/>
      <c r="L13979" s="567"/>
      <c r="M13979" s="549"/>
      <c r="N13979" s="549"/>
      <c r="O13979" s="549"/>
      <c r="P13979" s="549"/>
    </row>
    <row r="13980" spans="1:17" ht="17.399999999999999">
      <c r="A13980" s="547" t="s">
        <v>395</v>
      </c>
      <c r="B13980" s="547" t="s">
        <v>1561</v>
      </c>
      <c r="C13980" s="547" t="s">
        <v>19</v>
      </c>
      <c r="D13980" s="813" t="s">
        <v>854</v>
      </c>
      <c r="E13980" s="547" t="s">
        <v>359</v>
      </c>
      <c r="F13980" s="550">
        <v>9</v>
      </c>
      <c r="G13980" s="549" t="s">
        <v>21</v>
      </c>
      <c r="H13980" s="599" t="s">
        <v>70</v>
      </c>
      <c r="I13980" s="558">
        <v>5.77</v>
      </c>
      <c r="J13980" s="567">
        <v>12</v>
      </c>
      <c r="K13980" s="648">
        <v>2</v>
      </c>
      <c r="L13980" s="552">
        <f>(I13980*J13980*K13980/1000)</f>
        <v>0.13847999999999999</v>
      </c>
      <c r="M13980" s="549"/>
      <c r="N13980" s="549"/>
      <c r="O13980" s="549"/>
      <c r="P13980" s="549"/>
      <c r="Q13980" s="1737" t="s">
        <v>1699</v>
      </c>
    </row>
    <row r="13981" spans="1:17" ht="17.399999999999999">
      <c r="A13981" s="549"/>
      <c r="B13981" s="549" t="s">
        <v>1595</v>
      </c>
      <c r="C13981" s="549"/>
      <c r="D13981" s="549"/>
      <c r="E13981" s="549"/>
      <c r="F13981" s="549"/>
      <c r="G13981" s="549"/>
      <c r="H13981" s="549"/>
      <c r="I13981" s="558"/>
      <c r="J13981" s="567"/>
      <c r="K13981" s="648">
        <f t="shared" ref="K13981:L13981" si="2804">SUM(K13980)</f>
        <v>2</v>
      </c>
      <c r="L13981" s="567">
        <f t="shared" si="2804"/>
        <v>0.13847999999999999</v>
      </c>
      <c r="M13981" s="549"/>
      <c r="N13981" s="549"/>
      <c r="O13981" s="549"/>
      <c r="P13981" s="549" t="s">
        <v>1657</v>
      </c>
    </row>
    <row r="13982" spans="1:17" ht="17.399999999999999">
      <c r="A13982" s="549"/>
      <c r="B13982" s="549"/>
      <c r="C13982" s="549"/>
      <c r="D13982" s="549"/>
      <c r="E13982" s="549"/>
      <c r="F13982" s="549"/>
      <c r="G13982" s="549"/>
      <c r="H13982" s="549"/>
      <c r="I13982" s="560"/>
      <c r="J13982" s="549"/>
      <c r="K13982" s="561"/>
      <c r="L13982" s="560"/>
      <c r="M13982" s="549"/>
      <c r="N13982" s="549"/>
      <c r="O13982" s="549"/>
      <c r="P13982" s="549"/>
    </row>
    <row r="13983" spans="1:17" ht="17.399999999999999">
      <c r="A13983" s="547" t="s">
        <v>395</v>
      </c>
      <c r="B13983" s="547" t="s">
        <v>1560</v>
      </c>
      <c r="C13983" s="547" t="s">
        <v>19</v>
      </c>
      <c r="D13983" s="813" t="s">
        <v>854</v>
      </c>
      <c r="E13983" s="547" t="s">
        <v>1028</v>
      </c>
      <c r="F13983" s="550">
        <v>9</v>
      </c>
      <c r="G13983" s="549" t="s">
        <v>21</v>
      </c>
      <c r="H13983" s="599" t="s">
        <v>70</v>
      </c>
      <c r="I13983" s="558">
        <v>5.77</v>
      </c>
      <c r="J13983" s="567">
        <v>6</v>
      </c>
      <c r="K13983" s="648">
        <v>1</v>
      </c>
      <c r="L13983" s="552">
        <f>(I13983*J13983*K13983/1000)</f>
        <v>3.4619999999999998E-2</v>
      </c>
      <c r="M13983" s="549"/>
      <c r="N13983" s="549"/>
      <c r="O13983" s="549"/>
      <c r="P13983" s="549"/>
      <c r="Q13983" s="1737" t="s">
        <v>1699</v>
      </c>
    </row>
    <row r="13984" spans="1:17" ht="17.399999999999999">
      <c r="A13984" s="549"/>
      <c r="B13984" s="549" t="s">
        <v>1027</v>
      </c>
      <c r="C13984" s="549"/>
      <c r="D13984" s="549"/>
      <c r="E13984" s="549"/>
      <c r="F13984" s="549"/>
      <c r="G13984" s="549"/>
      <c r="H13984" s="549"/>
      <c r="I13984" s="558"/>
      <c r="J13984" s="647"/>
      <c r="K13984" s="648">
        <f t="shared" ref="K13984:L13984" si="2805">SUM(K13983)</f>
        <v>1</v>
      </c>
      <c r="L13984" s="567">
        <f t="shared" si="2805"/>
        <v>3.4619999999999998E-2</v>
      </c>
      <c r="M13984" s="549"/>
      <c r="N13984" s="549"/>
      <c r="O13984" s="549"/>
      <c r="P13984" s="549" t="s">
        <v>1658</v>
      </c>
    </row>
    <row r="13985" spans="1:17" s="1737" customFormat="1" ht="17.399999999999999">
      <c r="A13985" s="549"/>
      <c r="B13985" s="549"/>
      <c r="C13985" s="549"/>
      <c r="D13985" s="549"/>
      <c r="E13985" s="549"/>
      <c r="F13985" s="549"/>
      <c r="G13985" s="549"/>
      <c r="H13985" s="549"/>
      <c r="I13985" s="558"/>
      <c r="J13985" s="647"/>
      <c r="K13985" s="648"/>
      <c r="L13985" s="567"/>
      <c r="M13985" s="549"/>
      <c r="N13985" s="549"/>
      <c r="O13985" s="549"/>
      <c r="P13985" s="549"/>
    </row>
    <row r="13986" spans="1:17" ht="17.399999999999999">
      <c r="A13986" s="547" t="s">
        <v>83</v>
      </c>
      <c r="B13986" s="547" t="s">
        <v>1559</v>
      </c>
      <c r="C13986" s="547" t="s">
        <v>19</v>
      </c>
      <c r="D13986" s="813" t="s">
        <v>854</v>
      </c>
      <c r="E13986" s="650" t="s">
        <v>464</v>
      </c>
      <c r="F13986" s="550">
        <v>9</v>
      </c>
      <c r="G13986" s="549" t="s">
        <v>21</v>
      </c>
      <c r="H13986" s="599" t="s">
        <v>70</v>
      </c>
      <c r="I13986" s="558">
        <v>5.76</v>
      </c>
      <c r="J13986" s="567">
        <v>12</v>
      </c>
      <c r="K13986" s="648">
        <v>20</v>
      </c>
      <c r="L13986" s="552">
        <f>(I13986*J13986*K13986/1000)</f>
        <v>1.3824000000000001</v>
      </c>
      <c r="M13986" s="549"/>
      <c r="N13986" s="549"/>
      <c r="O13986" s="549"/>
      <c r="P13986" s="549"/>
      <c r="Q13986" s="1737" t="s">
        <v>1699</v>
      </c>
    </row>
    <row r="13987" spans="1:17" ht="17.399999999999999">
      <c r="A13987" s="549"/>
      <c r="B13987" s="549" t="s">
        <v>439</v>
      </c>
      <c r="C13987" s="549"/>
      <c r="D13987" s="549"/>
      <c r="E13987" s="549"/>
      <c r="F13987" s="549"/>
      <c r="G13987" s="549"/>
      <c r="H13987" s="549"/>
      <c r="I13987" s="558"/>
      <c r="J13987" s="567"/>
      <c r="K13987" s="648">
        <f t="shared" ref="K13987:L13987" si="2806">SUM(K13986)</f>
        <v>20</v>
      </c>
      <c r="L13987" s="567">
        <f t="shared" si="2806"/>
        <v>1.3824000000000001</v>
      </c>
      <c r="M13987" s="549"/>
      <c r="N13987" s="549"/>
      <c r="O13987" s="549"/>
      <c r="P13987" s="549" t="s">
        <v>1659</v>
      </c>
    </row>
    <row r="13988" spans="1:17" s="1737" customFormat="1" ht="17.399999999999999">
      <c r="A13988" s="549"/>
      <c r="B13988" s="549"/>
      <c r="C13988" s="549"/>
      <c r="D13988" s="549"/>
      <c r="E13988" s="549"/>
      <c r="F13988" s="549"/>
      <c r="G13988" s="549"/>
      <c r="H13988" s="549"/>
      <c r="I13988" s="558"/>
      <c r="J13988" s="567"/>
      <c r="K13988" s="648"/>
      <c r="L13988" s="567"/>
      <c r="M13988" s="549"/>
      <c r="N13988" s="549"/>
      <c r="O13988" s="549"/>
      <c r="P13988" s="549"/>
    </row>
    <row r="13989" spans="1:17" ht="17.399999999999999">
      <c r="A13989" s="547" t="s">
        <v>458</v>
      </c>
      <c r="B13989" s="547" t="s">
        <v>1598</v>
      </c>
      <c r="C13989" s="547" t="s">
        <v>19</v>
      </c>
      <c r="D13989" s="813" t="s">
        <v>854</v>
      </c>
      <c r="E13989" s="650" t="s">
        <v>464</v>
      </c>
      <c r="F13989" s="550">
        <v>9</v>
      </c>
      <c r="G13989" s="549" t="s">
        <v>21</v>
      </c>
      <c r="H13989" s="599" t="s">
        <v>70</v>
      </c>
      <c r="I13989" s="558">
        <v>5.76</v>
      </c>
      <c r="J13989" s="567">
        <v>12</v>
      </c>
      <c r="K13989" s="648">
        <v>20</v>
      </c>
      <c r="L13989" s="552">
        <f>(I13989*J13989*K13989/1000)</f>
        <v>1.3824000000000001</v>
      </c>
      <c r="M13989" s="549"/>
      <c r="N13989" s="549"/>
      <c r="O13989" s="549"/>
      <c r="P13989" s="549"/>
      <c r="Q13989" s="1737" t="s">
        <v>1699</v>
      </c>
    </row>
    <row r="13990" spans="1:17" ht="17.399999999999999">
      <c r="A13990" s="549"/>
      <c r="B13990" s="549" t="s">
        <v>439</v>
      </c>
      <c r="C13990" s="549"/>
      <c r="D13990" s="549"/>
      <c r="E13990" s="549"/>
      <c r="F13990" s="549"/>
      <c r="G13990" s="549"/>
      <c r="H13990" s="549"/>
      <c r="I13990" s="558"/>
      <c r="J13990" s="567"/>
      <c r="K13990" s="648">
        <f>SUM(K13989)</f>
        <v>20</v>
      </c>
      <c r="L13990" s="567">
        <f>SUM(L13989)</f>
        <v>1.3824000000000001</v>
      </c>
      <c r="M13990" s="549"/>
      <c r="N13990" s="549"/>
      <c r="O13990" s="549"/>
      <c r="P13990" s="549" t="s">
        <v>1659</v>
      </c>
    </row>
    <row r="13991" spans="1:17" s="1737" customFormat="1" ht="17.399999999999999">
      <c r="A13991" s="549"/>
      <c r="B13991" s="549"/>
      <c r="C13991" s="549"/>
      <c r="D13991" s="549"/>
      <c r="E13991" s="549"/>
      <c r="F13991" s="549"/>
      <c r="G13991" s="549"/>
      <c r="H13991" s="549"/>
      <c r="I13991" s="558"/>
      <c r="J13991" s="567"/>
      <c r="K13991" s="648">
        <f>SUM(K13975:K13990)/2</f>
        <v>1698</v>
      </c>
      <c r="L13991" s="567">
        <f>SUM(L13975:L13990)/2</f>
        <v>110.12141999999996</v>
      </c>
      <c r="M13991" s="648">
        <f>SUM(M13975:M13990)/2</f>
        <v>0</v>
      </c>
      <c r="N13991" s="567">
        <f>SUM(N13975:N13990)/2</f>
        <v>0</v>
      </c>
      <c r="O13991" s="549"/>
      <c r="P13991" s="549"/>
    </row>
    <row r="13992" spans="1:17" s="1737" customFormat="1" ht="17.399999999999999">
      <c r="A13992" s="549"/>
      <c r="B13992" s="549"/>
      <c r="C13992" s="549"/>
      <c r="D13992" s="549"/>
      <c r="E13992" s="549"/>
      <c r="F13992" s="549"/>
      <c r="G13992" s="549"/>
      <c r="H13992" s="549"/>
      <c r="I13992" s="558"/>
      <c r="J13992" s="567"/>
      <c r="K13992" s="648"/>
      <c r="L13992" s="567"/>
      <c r="M13992" s="549"/>
      <c r="N13992" s="549"/>
      <c r="O13992" s="549"/>
      <c r="P13992" s="549"/>
    </row>
    <row r="13993" spans="1:17" s="1737" customFormat="1" ht="17.399999999999999">
      <c r="A13993" s="549"/>
      <c r="B13993" s="549"/>
      <c r="C13993" s="549"/>
      <c r="D13993" s="549"/>
      <c r="E13993" s="549"/>
      <c r="F13993" s="549"/>
      <c r="G13993" s="549"/>
      <c r="H13993" s="549"/>
      <c r="I13993" s="558"/>
      <c r="J13993" s="567"/>
      <c r="K13993" s="648"/>
      <c r="L13993" s="567"/>
      <c r="M13993" s="549"/>
      <c r="N13993" s="549"/>
      <c r="O13993" s="549"/>
      <c r="P13993" s="549"/>
    </row>
    <row r="13994" spans="1:17" ht="17.399999999999999">
      <c r="A13994" s="549"/>
      <c r="B13994" s="549"/>
      <c r="C13994" s="549"/>
      <c r="D13994" s="549"/>
      <c r="E13994" s="549"/>
      <c r="F13994" s="549"/>
      <c r="G13994" s="549"/>
      <c r="H13994" s="549"/>
      <c r="I13994" s="560"/>
      <c r="J13994" s="549"/>
      <c r="K13994" s="561"/>
      <c r="L13994" s="560"/>
      <c r="M13994" s="549"/>
      <c r="N13994" s="549"/>
      <c r="O13994" s="549"/>
      <c r="P13994" s="549"/>
    </row>
    <row r="13995" spans="1:17" s="1737" customFormat="1" ht="17.399999999999999">
      <c r="A13995" s="549"/>
      <c r="B13995" s="549"/>
      <c r="C13995" s="549"/>
      <c r="D13995" s="549"/>
      <c r="E13995" s="549"/>
      <c r="F13995" s="549"/>
      <c r="G13995" s="549"/>
      <c r="H13995" s="549"/>
      <c r="I13995" s="558"/>
      <c r="J13995" s="567"/>
      <c r="K13995" s="648"/>
      <c r="L13995" s="567"/>
      <c r="M13995" s="549"/>
      <c r="N13995" s="549"/>
      <c r="O13995" s="549"/>
      <c r="P13995" s="549"/>
    </row>
    <row r="13996" spans="1:17" ht="17.399999999999999">
      <c r="A13996" s="549"/>
      <c r="B13996" s="549"/>
      <c r="C13996" s="549"/>
      <c r="D13996" s="549"/>
      <c r="E13996" s="549"/>
      <c r="F13996" s="549"/>
      <c r="G13996" s="549"/>
      <c r="H13996" s="549"/>
      <c r="I13996" s="560"/>
      <c r="J13996" s="549"/>
      <c r="K13996" s="561"/>
      <c r="L13996" s="560"/>
      <c r="M13996" s="549"/>
      <c r="N13996" s="549"/>
      <c r="O13996" s="549"/>
      <c r="P13996" s="549"/>
    </row>
    <row r="13997" spans="1:17" ht="17.399999999999999">
      <c r="A13997" s="547" t="s">
        <v>395</v>
      </c>
      <c r="B13997" s="547" t="s">
        <v>1365</v>
      </c>
      <c r="C13997" s="547" t="s">
        <v>19</v>
      </c>
      <c r="D13997" s="813" t="s">
        <v>155</v>
      </c>
      <c r="E13997" s="547" t="s">
        <v>270</v>
      </c>
      <c r="F13997" s="550">
        <v>7</v>
      </c>
      <c r="G13997" s="549" t="s">
        <v>61</v>
      </c>
      <c r="H13997" s="599" t="s">
        <v>70</v>
      </c>
      <c r="I13997" s="558">
        <v>5.77</v>
      </c>
      <c r="J13997" s="567">
        <v>10</v>
      </c>
      <c r="K13997" s="648">
        <v>20</v>
      </c>
      <c r="L13997" s="552">
        <f t="shared" ref="L13997:L13998" si="2807">(I13997*J13997*K13997/1000)</f>
        <v>1.1539999999999999</v>
      </c>
      <c r="M13997" s="549">
        <f>3+1-1</f>
        <v>3</v>
      </c>
      <c r="N13997" s="567">
        <f t="shared" ref="N13997:N13998" si="2808">J13997*M13997*I13997/1000</f>
        <v>0.1731</v>
      </c>
      <c r="O13997" s="549"/>
      <c r="P13997" s="549"/>
      <c r="Q13997" s="1737" t="s">
        <v>1699</v>
      </c>
    </row>
    <row r="13998" spans="1:17" ht="17.399999999999999">
      <c r="A13998" s="549"/>
      <c r="B13998" s="1605" t="s">
        <v>277</v>
      </c>
      <c r="C13998" s="549"/>
      <c r="D13998" s="549"/>
      <c r="E13998" s="549"/>
      <c r="F13998" s="549"/>
      <c r="G13998" s="549" t="s">
        <v>61</v>
      </c>
      <c r="H13998" s="549" t="s">
        <v>70</v>
      </c>
      <c r="I13998" s="558">
        <v>5.77</v>
      </c>
      <c r="J13998" s="567">
        <v>11.5</v>
      </c>
      <c r="K13998" s="648">
        <v>8</v>
      </c>
      <c r="L13998" s="552">
        <f t="shared" si="2807"/>
        <v>0.53083999999999987</v>
      </c>
      <c r="M13998" s="549">
        <f>2+1-1</f>
        <v>2</v>
      </c>
      <c r="N13998" s="567">
        <f t="shared" si="2808"/>
        <v>0.13270999999999997</v>
      </c>
      <c r="O13998" s="549"/>
      <c r="P13998" s="549"/>
    </row>
    <row r="13999" spans="1:17" ht="17.399999999999999">
      <c r="A13999" s="549"/>
      <c r="B13999" s="549"/>
      <c r="C13999" s="549"/>
      <c r="D13999" s="549"/>
      <c r="E13999" s="549"/>
      <c r="F13999" s="549"/>
      <c r="G13999" s="549"/>
      <c r="H13999" s="549"/>
      <c r="I13999" s="558"/>
      <c r="J13999" s="567"/>
      <c r="K13999" s="648">
        <f t="shared" ref="K13999:N13999" si="2809">SUM(K13997:K13998)</f>
        <v>28</v>
      </c>
      <c r="L13999" s="567">
        <f t="shared" si="2809"/>
        <v>1.6848399999999999</v>
      </c>
      <c r="M13999" s="648">
        <f t="shared" si="2809"/>
        <v>5</v>
      </c>
      <c r="N13999" s="567">
        <f t="shared" si="2809"/>
        <v>0.30580999999999997</v>
      </c>
      <c r="O13999" s="549"/>
      <c r="P13999" s="549" t="s">
        <v>1660</v>
      </c>
    </row>
    <row r="14000" spans="1:17" s="1737" customFormat="1" ht="17.399999999999999">
      <c r="A14000" s="549"/>
      <c r="B14000" s="549"/>
      <c r="C14000" s="549"/>
      <c r="D14000" s="549"/>
      <c r="E14000" s="549"/>
      <c r="F14000" s="549"/>
      <c r="G14000" s="549"/>
      <c r="H14000" s="549"/>
      <c r="I14000" s="558"/>
      <c r="J14000" s="567"/>
      <c r="K14000" s="648"/>
      <c r="L14000" s="567"/>
      <c r="M14000" s="549"/>
      <c r="N14000" s="549"/>
      <c r="O14000" s="549"/>
      <c r="P14000" s="549"/>
    </row>
    <row r="14001" spans="1:17" ht="17.399999999999999">
      <c r="A14001" s="547" t="s">
        <v>395</v>
      </c>
      <c r="B14001" s="547" t="s">
        <v>1561</v>
      </c>
      <c r="C14001" s="547" t="s">
        <v>19</v>
      </c>
      <c r="D14001" s="813" t="s">
        <v>155</v>
      </c>
      <c r="E14001" s="547" t="s">
        <v>270</v>
      </c>
      <c r="F14001" s="550">
        <v>7</v>
      </c>
      <c r="G14001" s="549" t="s">
        <v>61</v>
      </c>
      <c r="H14001" s="599" t="s">
        <v>70</v>
      </c>
      <c r="I14001" s="558">
        <v>5.77</v>
      </c>
      <c r="J14001" s="567">
        <v>12</v>
      </c>
      <c r="K14001" s="648">
        <v>2</v>
      </c>
      <c r="L14001" s="552">
        <f>(I14001*J14001*K14001/1000)</f>
        <v>0.13847999999999999</v>
      </c>
      <c r="M14001" s="549"/>
      <c r="N14001" s="549"/>
      <c r="O14001" s="549"/>
      <c r="P14001" s="549"/>
      <c r="Q14001" s="1737" t="s">
        <v>1699</v>
      </c>
    </row>
    <row r="14002" spans="1:17" s="1737" customFormat="1" ht="17.399999999999999">
      <c r="A14002" s="549"/>
      <c r="B14002" s="549" t="s">
        <v>1595</v>
      </c>
      <c r="C14002" s="549"/>
      <c r="D14002" s="549"/>
      <c r="E14002" s="549"/>
      <c r="F14002" s="549"/>
      <c r="G14002" s="549" t="s">
        <v>61</v>
      </c>
      <c r="H14002" s="549" t="s">
        <v>70</v>
      </c>
      <c r="I14002" s="558">
        <v>5.77</v>
      </c>
      <c r="J14002" s="567">
        <v>12</v>
      </c>
      <c r="K14002" s="648">
        <v>1</v>
      </c>
      <c r="L14002" s="552">
        <f>(I14002*J14002*K14002/1000)</f>
        <v>6.9239999999999996E-2</v>
      </c>
      <c r="M14002" s="549"/>
      <c r="N14002" s="549"/>
      <c r="O14002" s="549"/>
      <c r="P14002" s="549"/>
    </row>
    <row r="14003" spans="1:17" ht="17.399999999999999">
      <c r="A14003" s="549"/>
      <c r="B14003" s="549"/>
      <c r="C14003" s="549"/>
      <c r="D14003" s="549"/>
      <c r="E14003" s="549"/>
      <c r="F14003" s="549"/>
      <c r="G14003" s="549"/>
      <c r="H14003" s="549"/>
      <c r="I14003" s="558"/>
      <c r="J14003" s="567"/>
      <c r="K14003" s="648">
        <f>SUM(K14001:K14002)</f>
        <v>3</v>
      </c>
      <c r="L14003" s="567">
        <f>SUM(L14001:L14002)</f>
        <v>0.20771999999999999</v>
      </c>
      <c r="M14003" s="549"/>
      <c r="N14003" s="549"/>
      <c r="O14003" s="549"/>
      <c r="P14003" s="549" t="s">
        <v>1660</v>
      </c>
    </row>
    <row r="14004" spans="1:17" s="1737" customFormat="1" ht="17.399999999999999">
      <c r="A14004" s="549"/>
      <c r="B14004" s="549"/>
      <c r="C14004" s="549"/>
      <c r="D14004" s="549"/>
      <c r="E14004" s="549"/>
      <c r="F14004" s="549"/>
      <c r="G14004" s="549"/>
      <c r="H14004" s="549"/>
      <c r="I14004" s="558"/>
      <c r="J14004" s="567"/>
      <c r="K14004" s="648"/>
      <c r="L14004" s="567"/>
      <c r="M14004" s="549"/>
      <c r="N14004" s="549"/>
      <c r="O14004" s="549"/>
      <c r="P14004" s="549"/>
    </row>
    <row r="14005" spans="1:17" ht="17.399999999999999">
      <c r="A14005" s="547" t="s">
        <v>458</v>
      </c>
      <c r="B14005" s="547" t="s">
        <v>1598</v>
      </c>
      <c r="C14005" s="547" t="s">
        <v>19</v>
      </c>
      <c r="D14005" s="813" t="s">
        <v>155</v>
      </c>
      <c r="E14005" s="650" t="s">
        <v>471</v>
      </c>
      <c r="F14005" s="550">
        <v>9</v>
      </c>
      <c r="G14005" s="549" t="s">
        <v>61</v>
      </c>
      <c r="H14005" s="599" t="s">
        <v>70</v>
      </c>
      <c r="I14005" s="558">
        <v>5.76</v>
      </c>
      <c r="J14005" s="567">
        <v>6.5</v>
      </c>
      <c r="K14005" s="648">
        <v>14</v>
      </c>
      <c r="L14005" s="552">
        <f>(I14005*J14005*K14005/1000)</f>
        <v>0.52415999999999996</v>
      </c>
      <c r="M14005" s="549">
        <f>4+5+2-2</f>
        <v>9</v>
      </c>
      <c r="N14005" s="567">
        <f t="shared" ref="N14005" si="2810">J14005*M14005*I14005/1000</f>
        <v>0.33695999999999998</v>
      </c>
      <c r="O14005" s="549"/>
      <c r="P14005" s="549"/>
      <c r="Q14005" s="1737" t="s">
        <v>1699</v>
      </c>
    </row>
    <row r="14006" spans="1:17" ht="17.399999999999999">
      <c r="A14006" s="549"/>
      <c r="B14006" s="549" t="s">
        <v>439</v>
      </c>
      <c r="C14006" s="549"/>
      <c r="D14006" s="549"/>
      <c r="E14006" s="549"/>
      <c r="F14006" s="549"/>
      <c r="G14006" s="549"/>
      <c r="H14006" s="549"/>
      <c r="I14006" s="558"/>
      <c r="J14006" s="567"/>
      <c r="K14006" s="648">
        <f t="shared" ref="K14006:M14006" si="2811">SUM(K14005)</f>
        <v>14</v>
      </c>
      <c r="L14006" s="567">
        <f>SUM(L14005)</f>
        <v>0.52415999999999996</v>
      </c>
      <c r="M14006" s="648">
        <f t="shared" si="2811"/>
        <v>9</v>
      </c>
      <c r="N14006" s="567">
        <f>SUM(N14005)</f>
        <v>0.33695999999999998</v>
      </c>
      <c r="O14006" s="549"/>
      <c r="P14006" s="549" t="s">
        <v>1661</v>
      </c>
    </row>
    <row r="14007" spans="1:17" s="1737" customFormat="1" ht="17.399999999999999">
      <c r="A14007" s="549"/>
      <c r="B14007" s="549"/>
      <c r="C14007" s="549"/>
      <c r="D14007" s="549"/>
      <c r="E14007" s="549"/>
      <c r="F14007" s="549"/>
      <c r="G14007" s="549"/>
      <c r="H14007" s="549"/>
      <c r="I14007" s="558"/>
      <c r="J14007" s="567"/>
      <c r="K14007" s="648">
        <f>SUM(K13997:K14006)/2</f>
        <v>45</v>
      </c>
      <c r="L14007" s="567">
        <f>SUM(L13997:L14006)/2</f>
        <v>2.4167200000000002</v>
      </c>
      <c r="M14007" s="648">
        <f>SUM(M13997:M14006)/2</f>
        <v>14</v>
      </c>
      <c r="N14007" s="567">
        <f>SUM(N13997:N14006)/2</f>
        <v>0.64276999999999995</v>
      </c>
      <c r="O14007" s="549"/>
      <c r="P14007" s="549"/>
    </row>
    <row r="14008" spans="1:17" s="1737" customFormat="1" ht="17.399999999999999">
      <c r="A14008" s="549"/>
      <c r="B14008" s="549"/>
      <c r="C14008" s="549"/>
      <c r="D14008" s="549"/>
      <c r="E14008" s="549"/>
      <c r="F14008" s="549"/>
      <c r="G14008" s="549"/>
      <c r="H14008" s="549"/>
      <c r="I14008" s="558"/>
      <c r="J14008" s="567"/>
      <c r="K14008" s="648"/>
      <c r="L14008" s="567"/>
      <c r="M14008" s="549"/>
      <c r="N14008" s="549"/>
      <c r="O14008" s="549"/>
      <c r="P14008" s="549"/>
    </row>
    <row r="14009" spans="1:17" s="1737" customFormat="1" ht="17.399999999999999">
      <c r="A14009" s="549"/>
      <c r="B14009" s="549"/>
      <c r="C14009" s="549"/>
      <c r="D14009" s="549"/>
      <c r="E14009" s="549"/>
      <c r="F14009" s="549"/>
      <c r="G14009" s="549"/>
      <c r="H14009" s="549"/>
      <c r="I14009" s="558"/>
      <c r="J14009" s="567"/>
      <c r="K14009" s="648"/>
      <c r="L14009" s="567"/>
      <c r="M14009" s="549"/>
      <c r="N14009" s="549"/>
      <c r="O14009" s="549"/>
      <c r="P14009" s="549"/>
    </row>
    <row r="14010" spans="1:17" ht="17.399999999999999">
      <c r="A14010" s="549"/>
      <c r="B14010" s="549"/>
      <c r="C14010" s="549"/>
      <c r="D14010" s="549"/>
      <c r="E14010" s="549"/>
      <c r="F14010" s="549"/>
      <c r="G14010" s="549"/>
      <c r="H14010" s="549"/>
      <c r="I14010" s="560"/>
      <c r="J14010" s="549"/>
      <c r="K14010" s="561"/>
      <c r="L14010" s="560"/>
      <c r="M14010" s="549"/>
      <c r="N14010" s="549"/>
      <c r="O14010" s="549"/>
      <c r="P14010" s="549"/>
    </row>
    <row r="14011" spans="1:17" ht="17.399999999999999">
      <c r="A14011" s="547" t="s">
        <v>395</v>
      </c>
      <c r="B14011" s="547" t="s">
        <v>1365</v>
      </c>
      <c r="C14011" s="547" t="s">
        <v>19</v>
      </c>
      <c r="D14011" s="813" t="s">
        <v>155</v>
      </c>
      <c r="E14011" s="547" t="s">
        <v>270</v>
      </c>
      <c r="F14011" s="550">
        <v>7</v>
      </c>
      <c r="G14011" s="549" t="s">
        <v>61</v>
      </c>
      <c r="H14011" s="599" t="s">
        <v>69</v>
      </c>
      <c r="I14011" s="558">
        <v>6.86</v>
      </c>
      <c r="J14011" s="567">
        <v>8</v>
      </c>
      <c r="K14011" s="648">
        <f>190-30</f>
        <v>160</v>
      </c>
      <c r="L14011" s="552">
        <f>(I14011*J14011*K14011/1000)</f>
        <v>8.780800000000001</v>
      </c>
      <c r="M14011" s="549">
        <v>13</v>
      </c>
      <c r="N14011" s="567">
        <f t="shared" ref="N14011" si="2812">J14011*M14011*I14011/1000</f>
        <v>0.71344000000000007</v>
      </c>
      <c r="O14011" s="549"/>
      <c r="P14011" s="549"/>
      <c r="Q14011" s="1737" t="s">
        <v>1699</v>
      </c>
    </row>
    <row r="14012" spans="1:17" ht="17.399999999999999">
      <c r="A14012" s="549"/>
      <c r="B14012" s="1605" t="s">
        <v>277</v>
      </c>
      <c r="C14012" s="549"/>
      <c r="D14012" s="549"/>
      <c r="E14012" s="549"/>
      <c r="F14012" s="549"/>
      <c r="G14012" s="549"/>
      <c r="H14012" s="549"/>
      <c r="I14012" s="558"/>
      <c r="J14012" s="567"/>
      <c r="K14012" s="648">
        <f t="shared" ref="K14012:N14012" si="2813">SUM(K14011)</f>
        <v>160</v>
      </c>
      <c r="L14012" s="567">
        <f t="shared" si="2813"/>
        <v>8.780800000000001</v>
      </c>
      <c r="M14012" s="648">
        <f t="shared" si="2813"/>
        <v>13</v>
      </c>
      <c r="N14012" s="567">
        <f t="shared" si="2813"/>
        <v>0.71344000000000007</v>
      </c>
      <c r="O14012" s="549"/>
      <c r="P14012" s="549" t="s">
        <v>1662</v>
      </c>
    </row>
    <row r="14013" spans="1:17" ht="17.399999999999999">
      <c r="A14013" s="549"/>
      <c r="B14013" s="549"/>
      <c r="C14013" s="549"/>
      <c r="D14013" s="549"/>
      <c r="E14013" s="549"/>
      <c r="F14013" s="549"/>
      <c r="G14013" s="549"/>
      <c r="H14013" s="549"/>
      <c r="I14013" s="560"/>
      <c r="J14013" s="549"/>
      <c r="K14013" s="561"/>
      <c r="L14013" s="560"/>
      <c r="M14013" s="549"/>
      <c r="N14013" s="549"/>
      <c r="O14013" s="549"/>
      <c r="P14013" s="549"/>
    </row>
    <row r="14014" spans="1:17" ht="17.399999999999999">
      <c r="A14014" s="547" t="s">
        <v>395</v>
      </c>
      <c r="B14014" s="547" t="s">
        <v>1561</v>
      </c>
      <c r="C14014" s="547" t="s">
        <v>19</v>
      </c>
      <c r="D14014" s="813" t="s">
        <v>155</v>
      </c>
      <c r="E14014" s="547" t="s">
        <v>270</v>
      </c>
      <c r="F14014" s="550">
        <v>7</v>
      </c>
      <c r="G14014" s="549" t="s">
        <v>61</v>
      </c>
      <c r="H14014" s="599" t="s">
        <v>69</v>
      </c>
      <c r="I14014" s="558">
        <v>6.86</v>
      </c>
      <c r="J14014" s="567">
        <v>6</v>
      </c>
      <c r="K14014" s="648">
        <v>1</v>
      </c>
      <c r="L14014" s="552">
        <f>(I14014*J14014*K14014/1000)</f>
        <v>4.1160000000000002E-2</v>
      </c>
      <c r="M14014" s="549">
        <v>1</v>
      </c>
      <c r="N14014" s="567">
        <f t="shared" ref="N14014:N14015" si="2814">J14014*M14014*I14014/1000</f>
        <v>4.1160000000000002E-2</v>
      </c>
      <c r="O14014" s="549"/>
      <c r="P14014" s="549"/>
      <c r="Q14014" s="1737" t="s">
        <v>1699</v>
      </c>
    </row>
    <row r="14015" spans="1:17" ht="17.399999999999999">
      <c r="A14015" s="549"/>
      <c r="B14015" s="549" t="s">
        <v>1595</v>
      </c>
      <c r="C14015" s="549"/>
      <c r="D14015" s="549"/>
      <c r="E14015" s="549"/>
      <c r="F14015" s="549"/>
      <c r="G14015" s="549" t="s">
        <v>61</v>
      </c>
      <c r="H14015" s="549" t="s">
        <v>69</v>
      </c>
      <c r="I14015" s="558">
        <v>6.86</v>
      </c>
      <c r="J14015" s="567">
        <v>6</v>
      </c>
      <c r="K14015" s="648">
        <v>2</v>
      </c>
      <c r="L14015" s="552">
        <f>(I14015*J14015*K14015/1000)</f>
        <v>8.2320000000000004E-2</v>
      </c>
      <c r="M14015" s="549">
        <v>2</v>
      </c>
      <c r="N14015" s="567">
        <f t="shared" si="2814"/>
        <v>8.2320000000000004E-2</v>
      </c>
      <c r="O14015" s="549"/>
      <c r="P14015" s="549"/>
    </row>
    <row r="14016" spans="1:17" ht="17.399999999999999">
      <c r="A14016" s="549"/>
      <c r="B14016" s="549"/>
      <c r="C14016" s="549"/>
      <c r="D14016" s="549"/>
      <c r="E14016" s="549"/>
      <c r="F14016" s="549"/>
      <c r="G14016" s="549"/>
      <c r="H14016" s="549"/>
      <c r="I14016" s="558"/>
      <c r="J14016" s="567"/>
      <c r="K14016" s="648">
        <f>SUM(K14014:K14015)</f>
        <v>3</v>
      </c>
      <c r="L14016" s="567">
        <f>SUM(L14014:L14015)</f>
        <v>0.12348000000000001</v>
      </c>
      <c r="M14016" s="648">
        <f>SUM(M14014:M14015)</f>
        <v>3</v>
      </c>
      <c r="N14016" s="567">
        <f>SUM(N14014:N14015)</f>
        <v>0.12348000000000001</v>
      </c>
      <c r="O14016" s="549"/>
      <c r="P14016" s="549"/>
    </row>
    <row r="14017" spans="1:17" ht="17.399999999999999">
      <c r="A14017" s="549"/>
      <c r="B14017" s="549"/>
      <c r="C14017" s="549"/>
      <c r="D14017" s="549"/>
      <c r="E14017" s="549"/>
      <c r="F14017" s="549"/>
      <c r="G14017" s="549"/>
      <c r="H14017" s="549"/>
      <c r="I14017" s="560"/>
      <c r="J14017" s="549"/>
      <c r="K14017" s="652">
        <f>SUM(K14011:K14016)/2</f>
        <v>163</v>
      </c>
      <c r="L14017" s="565">
        <f>SUM(L14011:L14016)/2</f>
        <v>8.9042800000000017</v>
      </c>
      <c r="M14017" s="652">
        <f>SUM(M14011:M14016)/2</f>
        <v>16</v>
      </c>
      <c r="N14017" s="565">
        <f>SUM(N14011:N14016)/2</f>
        <v>0.83692000000000011</v>
      </c>
      <c r="O14017" s="549"/>
      <c r="P14017" s="549"/>
    </row>
    <row r="14018" spans="1:17" ht="17.399999999999999">
      <c r="A14018" s="549"/>
      <c r="B14018" s="549"/>
      <c r="C14018" s="549"/>
      <c r="D14018" s="549"/>
      <c r="E14018" s="549"/>
      <c r="F14018" s="549"/>
      <c r="G14018" s="549"/>
      <c r="H14018" s="549"/>
      <c r="I14018" s="560"/>
      <c r="J14018" s="549"/>
      <c r="K14018" s="561"/>
      <c r="L14018" s="560"/>
      <c r="M14018" s="549"/>
      <c r="N14018" s="549"/>
      <c r="O14018" s="549"/>
      <c r="P14018" s="549"/>
    </row>
    <row r="14019" spans="1:17" ht="17.399999999999999">
      <c r="A14019" s="549"/>
      <c r="B14019" s="549"/>
      <c r="C14019" s="549"/>
      <c r="D14019" s="549"/>
      <c r="E14019" s="549"/>
      <c r="F14019" s="549"/>
      <c r="G14019" s="549"/>
      <c r="H14019" s="549"/>
      <c r="I14019" s="560"/>
      <c r="J14019" s="549"/>
      <c r="K14019" s="561"/>
      <c r="L14019" s="560"/>
      <c r="M14019" s="549"/>
      <c r="N14019" s="549"/>
      <c r="O14019" s="549"/>
      <c r="P14019" s="549"/>
    </row>
    <row r="14020" spans="1:17" ht="17.399999999999999">
      <c r="A14020" s="547" t="s">
        <v>395</v>
      </c>
      <c r="B14020" s="547" t="s">
        <v>1560</v>
      </c>
      <c r="C14020" s="547" t="s">
        <v>19</v>
      </c>
      <c r="D14020" s="813" t="s">
        <v>155</v>
      </c>
      <c r="E14020" s="547" t="s">
        <v>1104</v>
      </c>
      <c r="F14020" s="550">
        <v>7</v>
      </c>
      <c r="G14020" s="549" t="s">
        <v>61</v>
      </c>
      <c r="H14020" s="599" t="s">
        <v>69</v>
      </c>
      <c r="I14020" s="558">
        <v>6.86</v>
      </c>
      <c r="J14020" s="647">
        <v>6</v>
      </c>
      <c r="K14020" s="648">
        <v>1</v>
      </c>
      <c r="L14020" s="552">
        <f>(I14020*J14020*K14020/1000)</f>
        <v>4.1160000000000002E-2</v>
      </c>
      <c r="M14020" s="549">
        <v>1</v>
      </c>
      <c r="N14020" s="567">
        <f t="shared" ref="N14020" si="2815">J14020*M14020*I14020/1000</f>
        <v>4.1160000000000002E-2</v>
      </c>
      <c r="O14020" s="549"/>
      <c r="P14020" s="549"/>
      <c r="Q14020" s="1737" t="s">
        <v>1699</v>
      </c>
    </row>
    <row r="14021" spans="1:17" ht="17.399999999999999">
      <c r="A14021" s="549"/>
      <c r="B14021" s="549" t="s">
        <v>1027</v>
      </c>
      <c r="C14021" s="549"/>
      <c r="D14021" s="549"/>
      <c r="E14021" s="549"/>
      <c r="F14021" s="549"/>
      <c r="G14021" s="549"/>
      <c r="H14021" s="549"/>
      <c r="I14021" s="558"/>
      <c r="J14021" s="647"/>
      <c r="K14021" s="648">
        <f t="shared" ref="K14021:N14021" si="2816">SUM(K14020)</f>
        <v>1</v>
      </c>
      <c r="L14021" s="567">
        <f t="shared" si="2816"/>
        <v>4.1160000000000002E-2</v>
      </c>
      <c r="M14021" s="648">
        <f t="shared" si="2816"/>
        <v>1</v>
      </c>
      <c r="N14021" s="567">
        <f t="shared" si="2816"/>
        <v>4.1160000000000002E-2</v>
      </c>
      <c r="O14021" s="549"/>
      <c r="P14021" s="549"/>
    </row>
    <row r="14022" spans="1:17" ht="17.399999999999999">
      <c r="A14022" s="549"/>
      <c r="B14022" s="549"/>
      <c r="C14022" s="549"/>
      <c r="D14022" s="549"/>
      <c r="E14022" s="549"/>
      <c r="F14022" s="549"/>
      <c r="G14022" s="549"/>
      <c r="H14022" s="549"/>
      <c r="I14022" s="560"/>
      <c r="J14022" s="549"/>
      <c r="K14022" s="561"/>
      <c r="L14022" s="560"/>
      <c r="M14022" s="549"/>
      <c r="N14022" s="549"/>
      <c r="O14022" s="549"/>
      <c r="P14022" s="549"/>
    </row>
    <row r="14023" spans="1:17" ht="17.399999999999999">
      <c r="A14023" s="547" t="s">
        <v>83</v>
      </c>
      <c r="B14023" s="547" t="s">
        <v>1559</v>
      </c>
      <c r="C14023" s="547" t="s">
        <v>19</v>
      </c>
      <c r="D14023" s="813" t="s">
        <v>155</v>
      </c>
      <c r="E14023" s="650" t="s">
        <v>471</v>
      </c>
      <c r="F14023" s="550">
        <v>9</v>
      </c>
      <c r="G14023" s="549" t="s">
        <v>61</v>
      </c>
      <c r="H14023" s="599" t="s">
        <v>69</v>
      </c>
      <c r="I14023" s="558">
        <v>6.85</v>
      </c>
      <c r="J14023" s="567">
        <v>12</v>
      </c>
      <c r="K14023" s="648">
        <v>8</v>
      </c>
      <c r="L14023" s="552">
        <f>(I14023*J14023*K14023/1000)</f>
        <v>0.65759999999999996</v>
      </c>
      <c r="M14023" s="549">
        <v>8</v>
      </c>
      <c r="N14023" s="567">
        <f>J14023*M14023*I14023/1000</f>
        <v>0.65759999999999996</v>
      </c>
      <c r="O14023" s="549"/>
      <c r="P14023" s="549"/>
      <c r="Q14023" s="1737" t="s">
        <v>1699</v>
      </c>
    </row>
    <row r="14024" spans="1:17" ht="17.399999999999999">
      <c r="A14024" s="549"/>
      <c r="B14024" s="549" t="s">
        <v>439</v>
      </c>
      <c r="C14024" s="549"/>
      <c r="D14024" s="549"/>
      <c r="E14024" s="549"/>
      <c r="F14024" s="549"/>
      <c r="G14024" s="549"/>
      <c r="H14024" s="549"/>
      <c r="I14024" s="558"/>
      <c r="J14024" s="567"/>
      <c r="K14024" s="648">
        <f t="shared" ref="K14024:M14024" si="2817">SUM(K14023)</f>
        <v>8</v>
      </c>
      <c r="L14024" s="567">
        <f>SUM(L14023)</f>
        <v>0.65759999999999996</v>
      </c>
      <c r="M14024" s="648">
        <f t="shared" si="2817"/>
        <v>8</v>
      </c>
      <c r="N14024" s="567">
        <f>SUM(N14023)</f>
        <v>0.65759999999999996</v>
      </c>
      <c r="O14024" s="549"/>
      <c r="P14024" s="549"/>
    </row>
    <row r="14025" spans="1:17" ht="17.399999999999999">
      <c r="A14025" s="549"/>
      <c r="B14025" s="549"/>
      <c r="C14025" s="549"/>
      <c r="D14025" s="549"/>
      <c r="E14025" s="549"/>
      <c r="F14025" s="549"/>
      <c r="G14025" s="549"/>
      <c r="H14025" s="549"/>
      <c r="I14025" s="560"/>
      <c r="J14025" s="549"/>
      <c r="K14025" s="652">
        <f>SUM(K14020:K14024)/2</f>
        <v>9</v>
      </c>
      <c r="L14025" s="565">
        <f>SUM(L14020:L14024)/2</f>
        <v>0.69875999999999994</v>
      </c>
      <c r="M14025" s="652">
        <f>SUM(M14020:M14024)/2</f>
        <v>9</v>
      </c>
      <c r="N14025" s="565">
        <f>SUM(N14020:N14024)/2</f>
        <v>0.69875999999999994</v>
      </c>
      <c r="O14025" s="549"/>
      <c r="P14025" s="549"/>
    </row>
    <row r="14026" spans="1:17" ht="17.399999999999999">
      <c r="A14026" s="549"/>
      <c r="B14026" s="549"/>
      <c r="C14026" s="549"/>
      <c r="D14026" s="549"/>
      <c r="E14026" s="549"/>
      <c r="F14026" s="549"/>
      <c r="G14026" s="549"/>
      <c r="H14026" s="549"/>
      <c r="I14026" s="560"/>
      <c r="J14026" s="549"/>
      <c r="K14026" s="561"/>
      <c r="L14026" s="560"/>
      <c r="M14026" s="549"/>
      <c r="N14026" s="549"/>
      <c r="O14026" s="549"/>
      <c r="P14026" s="549"/>
    </row>
    <row r="14027" spans="1:17" s="1737" customFormat="1" ht="17.399999999999999">
      <c r="A14027" s="549"/>
      <c r="B14027" s="549"/>
      <c r="C14027" s="549"/>
      <c r="D14027" s="549"/>
      <c r="E14027" s="549"/>
      <c r="F14027" s="549"/>
      <c r="G14027" s="549"/>
      <c r="H14027" s="549"/>
      <c r="I14027" s="560"/>
      <c r="J14027" s="549"/>
      <c r="K14027" s="561"/>
      <c r="L14027" s="560"/>
      <c r="M14027" s="549"/>
      <c r="N14027" s="549"/>
      <c r="O14027" s="549"/>
      <c r="P14027" s="549"/>
    </row>
    <row r="14028" spans="1:17" s="1737" customFormat="1" ht="18">
      <c r="A14028" s="547" t="s">
        <v>272</v>
      </c>
      <c r="B14028" s="547" t="s">
        <v>1664</v>
      </c>
      <c r="C14028" s="547" t="s">
        <v>446</v>
      </c>
      <c r="D14028" s="813" t="s">
        <v>450</v>
      </c>
      <c r="E14028" s="547" t="s">
        <v>270</v>
      </c>
      <c r="F14028" s="550">
        <v>9</v>
      </c>
      <c r="G14028" s="549" t="s">
        <v>61</v>
      </c>
      <c r="H14028" s="1162" t="s">
        <v>70</v>
      </c>
      <c r="I14028" s="558">
        <v>5.77</v>
      </c>
      <c r="J14028" s="914">
        <v>12</v>
      </c>
      <c r="K14028" s="915">
        <v>24</v>
      </c>
      <c r="L14028" s="552">
        <f>(I14028*J14028*K14028/1000)</f>
        <v>1.6617599999999997</v>
      </c>
      <c r="M14028" s="913"/>
      <c r="N14028" s="549"/>
      <c r="O14028" s="549"/>
      <c r="P14028" s="549"/>
      <c r="Q14028" s="1737" t="s">
        <v>1699</v>
      </c>
    </row>
    <row r="14029" spans="1:17" s="1737" customFormat="1" ht="18">
      <c r="A14029" s="549"/>
      <c r="B14029" s="549"/>
      <c r="C14029" s="549"/>
      <c r="D14029" s="549"/>
      <c r="E14029" s="549"/>
      <c r="F14029" s="549"/>
      <c r="G14029" s="549" t="s">
        <v>61</v>
      </c>
      <c r="H14029" s="898" t="s">
        <v>70</v>
      </c>
      <c r="I14029" s="558">
        <v>5.77</v>
      </c>
      <c r="J14029" s="914">
        <v>10.5</v>
      </c>
      <c r="K14029" s="915">
        <v>96</v>
      </c>
      <c r="L14029" s="552">
        <f>(I14029*J14029*K14029/1000)</f>
        <v>5.81616</v>
      </c>
      <c r="M14029" s="913"/>
      <c r="N14029" s="549"/>
      <c r="O14029" s="549"/>
      <c r="P14029" s="549"/>
    </row>
    <row r="14030" spans="1:17" s="1737" customFormat="1" ht="18">
      <c r="A14030" s="549"/>
      <c r="B14030" s="549"/>
      <c r="C14030" s="549"/>
      <c r="D14030" s="549"/>
      <c r="E14030" s="549"/>
      <c r="F14030" s="549"/>
      <c r="G14030" s="549" t="s">
        <v>61</v>
      </c>
      <c r="H14030" s="898" t="s">
        <v>70</v>
      </c>
      <c r="I14030" s="558">
        <v>5.77</v>
      </c>
      <c r="J14030" s="914">
        <v>11</v>
      </c>
      <c r="K14030" s="915">
        <v>24</v>
      </c>
      <c r="L14030" s="552">
        <f>(I14030*J14030*K14030/1000)</f>
        <v>1.52328</v>
      </c>
      <c r="M14030" s="913"/>
      <c r="N14030" s="549"/>
      <c r="O14030" s="549"/>
      <c r="P14030" s="549"/>
    </row>
    <row r="14031" spans="1:17" s="1737" customFormat="1" ht="18">
      <c r="A14031" s="549"/>
      <c r="B14031" s="549"/>
      <c r="C14031" s="549"/>
      <c r="D14031" s="549"/>
      <c r="E14031" s="549"/>
      <c r="F14031" s="549"/>
      <c r="G14031" s="549"/>
      <c r="H14031" s="898"/>
      <c r="I14031" s="558"/>
      <c r="J14031" s="915"/>
      <c r="K14031" s="915">
        <f>SUM(K14028:K14030)</f>
        <v>144</v>
      </c>
      <c r="L14031" s="914">
        <f>SUM(L14028:L14030)</f>
        <v>9.001199999999999</v>
      </c>
      <c r="M14031" s="913"/>
      <c r="N14031" s="549"/>
      <c r="O14031" s="549"/>
      <c r="P14031" s="549"/>
    </row>
    <row r="14032" spans="1:17" s="1737" customFormat="1" ht="17.399999999999999">
      <c r="A14032" s="549"/>
      <c r="B14032" s="549"/>
      <c r="C14032" s="549"/>
      <c r="D14032" s="549"/>
      <c r="E14032" s="549"/>
      <c r="F14032" s="549"/>
      <c r="G14032" s="549"/>
      <c r="H14032" s="549"/>
      <c r="I14032" s="560"/>
      <c r="J14032" s="549"/>
      <c r="K14032" s="561"/>
      <c r="L14032" s="568"/>
      <c r="M14032" s="549"/>
      <c r="N14032" s="549"/>
      <c r="O14032" s="549"/>
      <c r="P14032" s="549"/>
    </row>
    <row r="14033" spans="1:17" s="1737" customFormat="1" ht="18">
      <c r="A14033" s="547" t="s">
        <v>272</v>
      </c>
      <c r="B14033" s="547" t="s">
        <v>1665</v>
      </c>
      <c r="C14033" s="547" t="s">
        <v>446</v>
      </c>
      <c r="D14033" s="813" t="s">
        <v>450</v>
      </c>
      <c r="E14033" s="547" t="s">
        <v>270</v>
      </c>
      <c r="F14033" s="550">
        <v>9</v>
      </c>
      <c r="G14033" s="549" t="s">
        <v>61</v>
      </c>
      <c r="H14033" s="1162" t="s">
        <v>70</v>
      </c>
      <c r="I14033" s="558">
        <v>5.77</v>
      </c>
      <c r="J14033" s="914">
        <v>12</v>
      </c>
      <c r="K14033" s="915">
        <v>115</v>
      </c>
      <c r="L14033" s="552">
        <f>(I14033*J14033*K14033/1000)</f>
        <v>7.9625999999999992</v>
      </c>
      <c r="M14033" s="913"/>
      <c r="N14033" s="549"/>
      <c r="O14033" s="549"/>
      <c r="P14033" s="549"/>
      <c r="Q14033" s="1737" t="s">
        <v>1699</v>
      </c>
    </row>
    <row r="14034" spans="1:17" s="1737" customFormat="1" ht="18">
      <c r="A14034" s="549"/>
      <c r="B14034" s="549"/>
      <c r="C14034" s="549"/>
      <c r="D14034" s="549"/>
      <c r="E14034" s="549"/>
      <c r="F14034" s="549"/>
      <c r="G14034" s="549" t="s">
        <v>61</v>
      </c>
      <c r="H14034" s="898" t="s">
        <v>70</v>
      </c>
      <c r="I14034" s="558">
        <v>5.77</v>
      </c>
      <c r="J14034" s="914">
        <v>10.5</v>
      </c>
      <c r="K14034" s="915">
        <v>10</v>
      </c>
      <c r="L14034" s="552">
        <f>(I14034*J14034*K14034/1000)</f>
        <v>0.60584999999999989</v>
      </c>
      <c r="M14034" s="913"/>
      <c r="N14034" s="549"/>
      <c r="O14034" s="549"/>
      <c r="P14034" s="549"/>
    </row>
    <row r="14035" spans="1:17" s="1737" customFormat="1" ht="18">
      <c r="A14035" s="549"/>
      <c r="B14035" s="549"/>
      <c r="C14035" s="549"/>
      <c r="D14035" s="549"/>
      <c r="E14035" s="549"/>
      <c r="F14035" s="549"/>
      <c r="G14035" s="549" t="s">
        <v>61</v>
      </c>
      <c r="H14035" s="898" t="s">
        <v>70</v>
      </c>
      <c r="I14035" s="558">
        <v>5.77</v>
      </c>
      <c r="J14035" s="914">
        <v>11</v>
      </c>
      <c r="K14035" s="915">
        <v>56</v>
      </c>
      <c r="L14035" s="552">
        <f>(I14035*J14035*K14035/1000)</f>
        <v>3.5543199999999997</v>
      </c>
      <c r="M14035" s="913"/>
      <c r="N14035" s="549"/>
      <c r="O14035" s="549"/>
      <c r="P14035" s="549"/>
    </row>
    <row r="14036" spans="1:17" s="1737" customFormat="1" ht="18">
      <c r="A14036" s="549"/>
      <c r="B14036" s="549"/>
      <c r="C14036" s="549"/>
      <c r="D14036" s="549"/>
      <c r="E14036" s="549"/>
      <c r="F14036" s="549"/>
      <c r="G14036" s="549" t="s">
        <v>61</v>
      </c>
      <c r="H14036" s="898" t="s">
        <v>70</v>
      </c>
      <c r="I14036" s="558">
        <v>5.77</v>
      </c>
      <c r="J14036" s="914">
        <v>8.0500000000000007</v>
      </c>
      <c r="K14036" s="915">
        <v>32</v>
      </c>
      <c r="L14036" s="552">
        <f>(I14036*J14036*K14036/1000)</f>
        <v>1.4863520000000001</v>
      </c>
      <c r="M14036" s="913"/>
      <c r="N14036" s="549"/>
      <c r="O14036" s="549"/>
      <c r="P14036" s="549"/>
    </row>
    <row r="14037" spans="1:17" s="1737" customFormat="1" ht="18">
      <c r="A14037" s="549"/>
      <c r="B14037" s="549"/>
      <c r="C14037" s="549"/>
      <c r="D14037" s="549"/>
      <c r="E14037" s="549"/>
      <c r="F14037" s="549"/>
      <c r="G14037" s="549" t="s">
        <v>61</v>
      </c>
      <c r="H14037" s="898" t="s">
        <v>70</v>
      </c>
      <c r="I14037" s="558">
        <v>5.77</v>
      </c>
      <c r="J14037" s="914">
        <v>7.4</v>
      </c>
      <c r="K14037" s="915">
        <v>85</v>
      </c>
      <c r="L14037" s="552">
        <f>(I14037*J14037*K14037/1000)</f>
        <v>3.6293299999999999</v>
      </c>
      <c r="M14037" s="913"/>
      <c r="N14037" s="549"/>
      <c r="O14037" s="549"/>
      <c r="P14037" s="549"/>
    </row>
    <row r="14038" spans="1:17" s="1737" customFormat="1" ht="18">
      <c r="A14038" s="549"/>
      <c r="B14038" s="549"/>
      <c r="C14038" s="549"/>
      <c r="D14038" s="549"/>
      <c r="E14038" s="549"/>
      <c r="F14038" s="549"/>
      <c r="G14038" s="549"/>
      <c r="H14038" s="898"/>
      <c r="I14038" s="920"/>
      <c r="J14038" s="915"/>
      <c r="K14038" s="915">
        <f>SUM(K14033:K14037)</f>
        <v>298</v>
      </c>
      <c r="L14038" s="914">
        <f>SUM(L14033:L14037)</f>
        <v>17.238451999999999</v>
      </c>
      <c r="M14038" s="913"/>
      <c r="N14038" s="549"/>
      <c r="O14038" s="549"/>
      <c r="P14038" s="549"/>
    </row>
    <row r="14039" spans="1:17" s="1737" customFormat="1" ht="17.399999999999999">
      <c r="A14039" s="549"/>
      <c r="B14039" s="549"/>
      <c r="C14039" s="549"/>
      <c r="D14039" s="549"/>
      <c r="E14039" s="549"/>
      <c r="F14039" s="549"/>
      <c r="G14039" s="549"/>
      <c r="H14039" s="549"/>
      <c r="I14039" s="560"/>
      <c r="J14039" s="549"/>
      <c r="K14039" s="652">
        <f>+K14038+K14031</f>
        <v>442</v>
      </c>
      <c r="L14039" s="565">
        <f>+L14038+L14031</f>
        <v>26.239652</v>
      </c>
      <c r="M14039" s="549"/>
      <c r="N14039" s="549"/>
      <c r="O14039" s="549"/>
      <c r="P14039" s="549" t="s">
        <v>1684</v>
      </c>
    </row>
    <row r="14040" spans="1:17" s="1737" customFormat="1" ht="17.399999999999999">
      <c r="A14040" s="549"/>
      <c r="B14040" s="549"/>
      <c r="C14040" s="549"/>
      <c r="D14040" s="549"/>
      <c r="E14040" s="549"/>
      <c r="F14040" s="549"/>
      <c r="G14040" s="549"/>
      <c r="H14040" s="549"/>
      <c r="I14040" s="560"/>
      <c r="J14040" s="549"/>
      <c r="K14040" s="561"/>
      <c r="L14040" s="560"/>
      <c r="M14040" s="549"/>
      <c r="N14040" s="549"/>
      <c r="O14040" s="549"/>
      <c r="P14040" s="549"/>
    </row>
    <row r="14041" spans="1:17" s="1737" customFormat="1" ht="17.399999999999999">
      <c r="A14041" s="549"/>
      <c r="B14041" s="549"/>
      <c r="C14041" s="549"/>
      <c r="D14041" s="549"/>
      <c r="E14041" s="549"/>
      <c r="F14041" s="549"/>
      <c r="G14041" s="549"/>
      <c r="H14041" s="549"/>
      <c r="I14041" s="560"/>
      <c r="J14041" s="549"/>
      <c r="K14041" s="561"/>
      <c r="L14041" s="560"/>
      <c r="M14041" s="549"/>
      <c r="N14041" s="549"/>
      <c r="O14041" s="549"/>
      <c r="P14041" s="549"/>
    </row>
    <row r="14042" spans="1:17" ht="17.399999999999999">
      <c r="A14042" s="549"/>
      <c r="B14042" s="549"/>
      <c r="C14042" s="549"/>
      <c r="D14042" s="549"/>
      <c r="E14042" s="549"/>
      <c r="F14042" s="549"/>
      <c r="G14042" s="549"/>
      <c r="H14042" s="549"/>
      <c r="I14042" s="560"/>
      <c r="J14042" s="549"/>
      <c r="K14042" s="561"/>
      <c r="L14042" s="560"/>
      <c r="M14042" s="549"/>
      <c r="N14042" s="549"/>
      <c r="O14042" s="549"/>
      <c r="P14042" s="549"/>
    </row>
    <row r="14043" spans="1:17" ht="17.399999999999999">
      <c r="A14043" s="549"/>
      <c r="B14043" s="549"/>
      <c r="C14043" s="549"/>
      <c r="D14043" s="549"/>
      <c r="E14043" s="549"/>
      <c r="F14043" s="549"/>
      <c r="G14043" s="549"/>
      <c r="H14043" s="549"/>
      <c r="I14043" s="560"/>
      <c r="J14043" s="549"/>
      <c r="K14043" s="652">
        <f>+K14025+K14017+K14007+K13991+K13972+K13959+K13952+K13937</f>
        <v>4187</v>
      </c>
      <c r="L14043" s="565">
        <f>+L14025+L14017+L14007+L13991+L13972+L13959+L13952+L13937+L14039</f>
        <v>347.07344199999989</v>
      </c>
      <c r="M14043" s="652">
        <f>+M14025+M14017+M14007+M13991+M13972+M13959+M13952+M13937</f>
        <v>86</v>
      </c>
      <c r="N14043" s="565">
        <f>+N14025+N14017+N14007+N13991+N13972+N13959+N13952+N13937+N14039</f>
        <v>4.9891500000000004</v>
      </c>
      <c r="O14043" s="549"/>
      <c r="P14043" s="549"/>
    </row>
    <row r="14044" spans="1:17" ht="18">
      <c r="A14044" s="653" t="s">
        <v>48</v>
      </c>
      <c r="B14044" s="653"/>
      <c r="C14044" s="654"/>
      <c r="D14044" s="654"/>
      <c r="E14044" s="654"/>
      <c r="F14044" s="1764"/>
      <c r="G14044" s="654"/>
      <c r="H14044" s="1764"/>
      <c r="I14044" s="656"/>
      <c r="J14044" s="654"/>
      <c r="K14044" s="657"/>
      <c r="L14044" s="2003" t="s">
        <v>0</v>
      </c>
      <c r="M14044" s="2003"/>
      <c r="N14044" s="2003"/>
      <c r="O14044" s="2004"/>
      <c r="P14044" s="1097"/>
    </row>
    <row r="14045" spans="1:17" ht="18">
      <c r="A14045" s="658" t="s">
        <v>1</v>
      </c>
      <c r="B14045" s="658"/>
      <c r="C14045" s="658"/>
      <c r="D14045" s="659" t="s">
        <v>2</v>
      </c>
      <c r="E14045" s="659"/>
      <c r="F14045" s="660"/>
      <c r="G14045" s="660"/>
      <c r="H14045" s="660"/>
      <c r="I14045" s="661"/>
      <c r="J14045" s="660"/>
      <c r="K14045" s="662" t="s">
        <v>3</v>
      </c>
      <c r="L14045" s="660"/>
      <c r="M14045" s="658"/>
      <c r="N14045" s="660"/>
      <c r="O14045" s="663"/>
      <c r="P14045" s="1098"/>
    </row>
    <row r="14046" spans="1:17" ht="18">
      <c r="A14046" s="1764" t="s">
        <v>22</v>
      </c>
      <c r="B14046" s="1990" t="s">
        <v>23</v>
      </c>
      <c r="C14046" s="2005"/>
      <c r="D14046" s="1989"/>
      <c r="E14046" s="1764" t="s">
        <v>24</v>
      </c>
      <c r="F14046" s="1990" t="s">
        <v>25</v>
      </c>
      <c r="G14046" s="1989"/>
      <c r="H14046" s="1990" t="s">
        <v>26</v>
      </c>
      <c r="I14046" s="2005"/>
      <c r="J14046" s="2005"/>
      <c r="K14046" s="1989"/>
      <c r="L14046" s="2006" t="s">
        <v>27</v>
      </c>
      <c r="M14046" s="2006"/>
      <c r="N14046" s="2006"/>
      <c r="O14046" s="1990"/>
      <c r="P14046" s="1098"/>
    </row>
    <row r="14047" spans="1:17" ht="18">
      <c r="A14047" s="664"/>
      <c r="B14047" s="1975"/>
      <c r="C14047" s="1976"/>
      <c r="D14047" s="1977"/>
      <c r="E14047" s="665"/>
      <c r="F14047" s="1975"/>
      <c r="G14047" s="1977"/>
      <c r="H14047" s="1975"/>
      <c r="I14047" s="1976"/>
      <c r="J14047" s="1976"/>
      <c r="K14047" s="1977"/>
      <c r="L14047" s="1975"/>
      <c r="M14047" s="1976"/>
      <c r="N14047" s="1976"/>
      <c r="O14047" s="1976"/>
      <c r="P14047" s="1098"/>
    </row>
    <row r="14048" spans="1:17" s="1737" customFormat="1" ht="18">
      <c r="A14048" s="664"/>
      <c r="B14048" s="1766"/>
      <c r="C14048" s="1767"/>
      <c r="D14048" s="1768"/>
      <c r="E14048" s="665"/>
      <c r="F14048" s="1766"/>
      <c r="G14048" s="1768"/>
      <c r="H14048" s="1767"/>
      <c r="I14048" s="1842"/>
      <c r="J14048" s="1767"/>
      <c r="K14048" s="1767"/>
      <c r="L14048" s="1767"/>
      <c r="M14048" s="1767"/>
      <c r="N14048" s="1767"/>
      <c r="O14048" s="1767"/>
      <c r="P14048" s="1098"/>
    </row>
    <row r="14049" spans="1:16" ht="18">
      <c r="A14049" s="664" t="s">
        <v>28</v>
      </c>
      <c r="B14049" s="1975" t="s">
        <v>574</v>
      </c>
      <c r="C14049" s="1976"/>
      <c r="D14049" s="1977"/>
      <c r="E14049" s="665">
        <f>+L13937</f>
        <v>114.63029999999999</v>
      </c>
      <c r="F14049" s="1975">
        <v>7</v>
      </c>
      <c r="G14049" s="1977"/>
      <c r="H14049" s="2007" t="s">
        <v>592</v>
      </c>
      <c r="I14049" s="2007"/>
      <c r="J14049" s="2007"/>
      <c r="K14049" s="2007"/>
      <c r="L14049" s="1976" t="s">
        <v>1138</v>
      </c>
      <c r="M14049" s="1976"/>
      <c r="N14049" s="1976"/>
      <c r="O14049" s="1976"/>
      <c r="P14049" s="1098"/>
    </row>
    <row r="14050" spans="1:16" s="1737" customFormat="1" ht="18">
      <c r="A14050" s="664" t="s">
        <v>29</v>
      </c>
      <c r="B14050" s="1975" t="s">
        <v>623</v>
      </c>
      <c r="C14050" s="1976"/>
      <c r="D14050" s="1977"/>
      <c r="E14050" s="665">
        <f>+L13952</f>
        <v>8.0049340000000004</v>
      </c>
      <c r="F14050" s="1975">
        <v>7</v>
      </c>
      <c r="G14050" s="1977"/>
      <c r="H14050" s="2007" t="s">
        <v>592</v>
      </c>
      <c r="I14050" s="2007"/>
      <c r="J14050" s="2007"/>
      <c r="K14050" s="2007"/>
      <c r="L14050" s="1976" t="s">
        <v>1138</v>
      </c>
      <c r="M14050" s="1976"/>
      <c r="N14050" s="1976"/>
      <c r="O14050" s="1976"/>
      <c r="P14050" s="1098"/>
    </row>
    <row r="14051" spans="1:16" s="1737" customFormat="1" ht="18">
      <c r="A14051" s="664"/>
      <c r="B14051" s="1766"/>
      <c r="C14051" s="1767"/>
      <c r="D14051" s="1768"/>
      <c r="E14051" s="665"/>
      <c r="F14051" s="1766"/>
      <c r="G14051" s="1768"/>
      <c r="H14051" s="1766"/>
      <c r="I14051" s="1842"/>
      <c r="J14051" s="1767"/>
      <c r="K14051" s="1768"/>
      <c r="L14051" s="1767"/>
      <c r="M14051" s="1767"/>
      <c r="N14051" s="1767"/>
      <c r="O14051" s="1767"/>
      <c r="P14051" s="1098"/>
    </row>
    <row r="14052" spans="1:16" s="1737" customFormat="1" ht="18">
      <c r="A14052" s="664"/>
      <c r="B14052" s="1766"/>
      <c r="C14052" s="1767"/>
      <c r="D14052" s="1768"/>
      <c r="E14052" s="665"/>
      <c r="F14052" s="1766"/>
      <c r="G14052" s="1768"/>
      <c r="H14052" s="1766"/>
      <c r="I14052" s="1842"/>
      <c r="J14052" s="1767"/>
      <c r="K14052" s="1768"/>
      <c r="L14052" s="1767"/>
      <c r="M14052" s="1767"/>
      <c r="N14052" s="1767"/>
      <c r="O14052" s="1767"/>
      <c r="P14052" s="1098"/>
    </row>
    <row r="14053" spans="1:16" ht="18">
      <c r="A14053" s="664" t="s">
        <v>30</v>
      </c>
      <c r="B14053" s="1975" t="s">
        <v>71</v>
      </c>
      <c r="C14053" s="1976"/>
      <c r="D14053" s="1977"/>
      <c r="E14053" s="665">
        <f>+L13959+L13972-1.509-1.302</f>
        <v>73.246375999999984</v>
      </c>
      <c r="F14053" s="1973">
        <v>9</v>
      </c>
      <c r="G14053" s="1974"/>
      <c r="H14053" s="1975" t="s">
        <v>49</v>
      </c>
      <c r="I14053" s="1976"/>
      <c r="J14053" s="1976"/>
      <c r="K14053" s="1977"/>
      <c r="L14053" s="1976" t="s">
        <v>1651</v>
      </c>
      <c r="M14053" s="1976"/>
      <c r="N14053" s="1976"/>
      <c r="O14053" s="1976"/>
      <c r="P14053" s="1098"/>
    </row>
    <row r="14054" spans="1:16" ht="18">
      <c r="A14054" s="664" t="s">
        <v>46</v>
      </c>
      <c r="B14054" s="1975" t="s">
        <v>78</v>
      </c>
      <c r="C14054" s="1976"/>
      <c r="D14054" s="1977"/>
      <c r="E14054" s="665">
        <f>+L13991-0.231</f>
        <v>109.89041999999996</v>
      </c>
      <c r="F14054" s="1973">
        <v>9</v>
      </c>
      <c r="G14054" s="1974"/>
      <c r="H14054" s="1975" t="s">
        <v>49</v>
      </c>
      <c r="I14054" s="1976"/>
      <c r="J14054" s="1976"/>
      <c r="K14054" s="1977"/>
      <c r="L14054" s="1976" t="s">
        <v>65</v>
      </c>
      <c r="M14054" s="1976"/>
      <c r="N14054" s="1976"/>
      <c r="O14054" s="1976"/>
      <c r="P14054" s="1098"/>
    </row>
    <row r="14055" spans="1:16" ht="18">
      <c r="A14055" s="664"/>
      <c r="B14055" s="1975"/>
      <c r="C14055" s="1976"/>
      <c r="D14055" s="1977"/>
      <c r="E14055" s="665"/>
      <c r="F14055" s="1973"/>
      <c r="G14055" s="1974"/>
      <c r="H14055" s="1975"/>
      <c r="I14055" s="1976"/>
      <c r="J14055" s="1976"/>
      <c r="K14055" s="1977"/>
      <c r="L14055" s="1976"/>
      <c r="M14055" s="1976"/>
      <c r="N14055" s="1976"/>
      <c r="O14055" s="1976"/>
      <c r="P14055" s="1098"/>
    </row>
    <row r="14056" spans="1:16" s="1737" customFormat="1" ht="18">
      <c r="A14056" s="664"/>
      <c r="B14056" s="1766"/>
      <c r="C14056" s="1767"/>
      <c r="D14056" s="1768"/>
      <c r="E14056" s="665"/>
      <c r="F14056" s="1769"/>
      <c r="G14056" s="1770"/>
      <c r="H14056" s="1767"/>
      <c r="I14056" s="1842"/>
      <c r="J14056" s="1767"/>
      <c r="K14056" s="1767"/>
      <c r="L14056" s="1767"/>
      <c r="M14056" s="1767"/>
      <c r="N14056" s="1767"/>
      <c r="O14056" s="1767"/>
      <c r="P14056" s="1098"/>
    </row>
    <row r="14057" spans="1:16" s="1737" customFormat="1" ht="18">
      <c r="A14057" s="664" t="s">
        <v>58</v>
      </c>
      <c r="B14057" s="1975" t="s">
        <v>573</v>
      </c>
      <c r="C14057" s="1976"/>
      <c r="D14057" s="1977"/>
      <c r="E14057" s="665">
        <v>3</v>
      </c>
      <c r="F14057" s="1973">
        <v>9</v>
      </c>
      <c r="G14057" s="1974"/>
      <c r="H14057" s="1975" t="s">
        <v>60</v>
      </c>
      <c r="I14057" s="1976"/>
      <c r="J14057" s="1976"/>
      <c r="K14057" s="1977"/>
      <c r="L14057" s="1976" t="s">
        <v>64</v>
      </c>
      <c r="M14057" s="1976"/>
      <c r="N14057" s="1976"/>
      <c r="O14057" s="1976"/>
      <c r="P14057" s="1098"/>
    </row>
    <row r="14058" spans="1:16" s="1737" customFormat="1" ht="18">
      <c r="A14058" s="664" t="s">
        <v>163</v>
      </c>
      <c r="B14058" s="1975" t="s">
        <v>623</v>
      </c>
      <c r="C14058" s="1976"/>
      <c r="D14058" s="1977"/>
      <c r="E14058" s="665">
        <f>+L14017+L14025-0.837-0.699</f>
        <v>8.0670400000000022</v>
      </c>
      <c r="F14058" s="1973">
        <v>9</v>
      </c>
      <c r="G14058" s="1974"/>
      <c r="H14058" s="1975" t="s">
        <v>60</v>
      </c>
      <c r="I14058" s="1976"/>
      <c r="J14058" s="1976"/>
      <c r="K14058" s="1977"/>
      <c r="L14058" s="1976" t="s">
        <v>64</v>
      </c>
      <c r="M14058" s="1976"/>
      <c r="N14058" s="1976"/>
      <c r="O14058" s="1976"/>
      <c r="P14058" s="1098"/>
    </row>
    <row r="14059" spans="1:16" s="1737" customFormat="1" ht="18">
      <c r="A14059" s="664"/>
      <c r="B14059" s="1772"/>
      <c r="C14059" s="1773"/>
      <c r="D14059" s="1774"/>
      <c r="E14059" s="665"/>
      <c r="F14059" s="1775"/>
      <c r="G14059" s="1776"/>
      <c r="H14059" s="1773"/>
      <c r="I14059" s="1842"/>
      <c r="J14059" s="1773"/>
      <c r="K14059" s="1773"/>
      <c r="L14059" s="1773"/>
      <c r="M14059" s="1773"/>
      <c r="N14059" s="1773"/>
      <c r="O14059" s="1773"/>
      <c r="P14059" s="1098"/>
    </row>
    <row r="14060" spans="1:16" s="1737" customFormat="1" ht="18">
      <c r="A14060" s="664" t="s">
        <v>302</v>
      </c>
      <c r="B14060" s="1975" t="s">
        <v>573</v>
      </c>
      <c r="C14060" s="1976"/>
      <c r="D14060" s="1977"/>
      <c r="E14060" s="665">
        <f>+L14039</f>
        <v>26.239652</v>
      </c>
      <c r="F14060" s="1973">
        <v>9</v>
      </c>
      <c r="G14060" s="1974"/>
      <c r="H14060" s="1975" t="s">
        <v>450</v>
      </c>
      <c r="I14060" s="1976"/>
      <c r="J14060" s="1976"/>
      <c r="K14060" s="1977"/>
      <c r="L14060" s="1976" t="s">
        <v>64</v>
      </c>
      <c r="M14060" s="1976"/>
      <c r="N14060" s="1976"/>
      <c r="O14060" s="1976"/>
      <c r="P14060" s="1098"/>
    </row>
    <row r="14061" spans="1:16" s="1737" customFormat="1" ht="18">
      <c r="A14061" s="664"/>
      <c r="B14061" s="1772"/>
      <c r="C14061" s="1773"/>
      <c r="D14061" s="1774"/>
      <c r="E14061" s="665"/>
      <c r="F14061" s="1775"/>
      <c r="G14061" s="1776"/>
      <c r="H14061" s="1773"/>
      <c r="I14061" s="1842"/>
      <c r="J14061" s="1773"/>
      <c r="K14061" s="1773"/>
      <c r="L14061" s="1773"/>
      <c r="M14061" s="1773"/>
      <c r="N14061" s="1773"/>
      <c r="O14061" s="1773"/>
      <c r="P14061" s="1098"/>
    </row>
    <row r="14062" spans="1:16" ht="18.600000000000001" thickBot="1">
      <c r="A14062" s="664"/>
      <c r="B14062" s="1759"/>
      <c r="C14062" s="1760"/>
      <c r="D14062" s="1760"/>
      <c r="E14062" s="665"/>
      <c r="F14062" s="1760"/>
      <c r="G14062" s="1761"/>
      <c r="H14062" s="1759"/>
      <c r="I14062" s="1842"/>
      <c r="J14062" s="1760"/>
      <c r="K14062" s="669"/>
      <c r="L14062" s="672"/>
      <c r="M14062" s="673"/>
      <c r="N14062" s="673"/>
      <c r="O14062" s="673"/>
      <c r="P14062" s="1098"/>
    </row>
    <row r="14063" spans="1:16" ht="18">
      <c r="A14063" s="674"/>
      <c r="B14063" s="675"/>
      <c r="C14063" s="676"/>
      <c r="D14063" s="676"/>
      <c r="E14063" s="1980">
        <f>SUM(E14047:E14062)</f>
        <v>343.07872199999991</v>
      </c>
      <c r="F14063" s="677"/>
      <c r="G14063" s="678"/>
      <c r="H14063" s="679"/>
      <c r="I14063" s="1848"/>
      <c r="J14063" s="676"/>
      <c r="K14063" s="680"/>
      <c r="L14063" s="679"/>
      <c r="M14063" s="676"/>
      <c r="N14063" s="677"/>
      <c r="O14063" s="676"/>
      <c r="P14063" s="1098"/>
    </row>
    <row r="14064" spans="1:16" ht="18.600000000000001" thickBot="1">
      <c r="A14064" s="681"/>
      <c r="B14064" s="682"/>
      <c r="C14064" s="683"/>
      <c r="D14064" s="683"/>
      <c r="E14064" s="1981"/>
      <c r="F14064" s="684"/>
      <c r="G14064" s="685"/>
      <c r="H14064" s="686"/>
      <c r="I14064" s="1850"/>
      <c r="J14064" s="683"/>
      <c r="K14064" s="687"/>
      <c r="L14064" s="686"/>
      <c r="M14064" s="683"/>
      <c r="N14064" s="684"/>
      <c r="O14064" s="683"/>
      <c r="P14064" s="1098"/>
    </row>
    <row r="14065" spans="1:16" ht="18">
      <c r="A14065" s="688" t="s">
        <v>31</v>
      </c>
      <c r="B14065" s="676"/>
      <c r="C14065" s="676"/>
      <c r="D14065" s="676"/>
      <c r="E14065" s="676"/>
      <c r="F14065" s="677"/>
      <c r="G14065" s="676"/>
      <c r="H14065" s="677"/>
      <c r="I14065" s="1848"/>
      <c r="J14065" s="676"/>
      <c r="K14065" s="689"/>
      <c r="L14065" s="677"/>
      <c r="M14065" s="676"/>
      <c r="N14065" s="677"/>
      <c r="O14065" s="676"/>
      <c r="P14065" s="1098"/>
    </row>
    <row r="14066" spans="1:16" ht="18">
      <c r="A14066" s="690"/>
      <c r="B14066" s="691"/>
      <c r="C14066" s="691"/>
      <c r="D14066" s="691"/>
      <c r="E14066" s="691"/>
      <c r="F14066" s="1758"/>
      <c r="G14066" s="691"/>
      <c r="H14066" s="1758"/>
      <c r="I14066" s="1849"/>
      <c r="J14066" s="691"/>
      <c r="K14066" s="693"/>
      <c r="L14066" s="1758"/>
      <c r="M14066" s="691"/>
      <c r="N14066" s="1758"/>
      <c r="O14066" s="691"/>
      <c r="P14066" s="1098"/>
    </row>
    <row r="14067" spans="1:16" ht="18.600000000000001" thickBot="1">
      <c r="A14067" s="1982" t="s">
        <v>32</v>
      </c>
      <c r="B14067" s="1983"/>
      <c r="C14067" s="1984" t="s">
        <v>33</v>
      </c>
      <c r="D14067" s="1985"/>
      <c r="E14067" s="694" t="s">
        <v>34</v>
      </c>
      <c r="F14067" s="694" t="s">
        <v>35</v>
      </c>
      <c r="G14067" s="1986" t="s">
        <v>36</v>
      </c>
      <c r="H14067" s="1987"/>
      <c r="I14067" s="1987"/>
      <c r="J14067" s="1987"/>
      <c r="K14067" s="1987"/>
      <c r="L14067" s="1987"/>
      <c r="M14067" s="1987"/>
      <c r="N14067" s="1987"/>
      <c r="O14067" s="1987"/>
      <c r="P14067" s="1098"/>
    </row>
    <row r="14068" spans="1:16" ht="18">
      <c r="A14068" s="1988"/>
      <c r="B14068" s="1989"/>
      <c r="C14068" s="1990"/>
      <c r="D14068" s="1989"/>
      <c r="E14068" s="1764"/>
      <c r="F14068" s="1762"/>
      <c r="G14068" s="1991"/>
      <c r="H14068" s="1992"/>
      <c r="I14068" s="1992"/>
      <c r="J14068" s="1992"/>
      <c r="K14068" s="1992"/>
      <c r="L14068" s="1992"/>
      <c r="M14068" s="1992"/>
      <c r="N14068" s="1992"/>
      <c r="O14068" s="1992"/>
      <c r="P14068" s="1098"/>
    </row>
    <row r="14069" spans="1:16" ht="18">
      <c r="A14069" s="1997" t="s">
        <v>37</v>
      </c>
      <c r="B14069" s="1998"/>
      <c r="C14069" s="1990"/>
      <c r="D14069" s="1989"/>
      <c r="E14069" s="1764"/>
      <c r="F14069" s="1762"/>
      <c r="G14069" s="1993"/>
      <c r="H14069" s="1994"/>
      <c r="I14069" s="1994"/>
      <c r="J14069" s="1994"/>
      <c r="K14069" s="1994"/>
      <c r="L14069" s="1994"/>
      <c r="M14069" s="1994"/>
      <c r="N14069" s="1994"/>
      <c r="O14069" s="1994"/>
      <c r="P14069" s="1098"/>
    </row>
    <row r="14070" spans="1:16" ht="18">
      <c r="A14070" s="1997" t="s">
        <v>38</v>
      </c>
      <c r="B14070" s="1998"/>
      <c r="C14070" s="1990"/>
      <c r="D14070" s="1989"/>
      <c r="E14070" s="1764"/>
      <c r="F14070" s="1762"/>
      <c r="G14070" s="1993"/>
      <c r="H14070" s="1994"/>
      <c r="I14070" s="1994"/>
      <c r="J14070" s="1994"/>
      <c r="K14070" s="1994"/>
      <c r="L14070" s="1994"/>
      <c r="M14070" s="1994"/>
      <c r="N14070" s="1994"/>
      <c r="O14070" s="1994"/>
      <c r="P14070" s="1098"/>
    </row>
    <row r="14071" spans="1:16" ht="18">
      <c r="A14071" s="1997" t="s">
        <v>39</v>
      </c>
      <c r="B14071" s="1998"/>
      <c r="C14071" s="1990"/>
      <c r="D14071" s="1989"/>
      <c r="E14071" s="1764"/>
      <c r="F14071" s="1762"/>
      <c r="G14071" s="1993"/>
      <c r="H14071" s="1994"/>
      <c r="I14071" s="1994"/>
      <c r="J14071" s="1994"/>
      <c r="K14071" s="1994"/>
      <c r="L14071" s="1994"/>
      <c r="M14071" s="1994"/>
      <c r="N14071" s="1994"/>
      <c r="O14071" s="1994"/>
      <c r="P14071" s="1098"/>
    </row>
    <row r="14072" spans="1:16" ht="18">
      <c r="A14072" s="1997" t="s">
        <v>40</v>
      </c>
      <c r="B14072" s="1998"/>
      <c r="C14072" s="1990"/>
      <c r="D14072" s="1989"/>
      <c r="E14072" s="1764"/>
      <c r="F14072" s="1762"/>
      <c r="G14072" s="1993"/>
      <c r="H14072" s="1994"/>
      <c r="I14072" s="1994"/>
      <c r="J14072" s="1994"/>
      <c r="K14072" s="1994"/>
      <c r="L14072" s="1994"/>
      <c r="M14072" s="1994"/>
      <c r="N14072" s="1994"/>
      <c r="O14072" s="1994"/>
      <c r="P14072" s="1098"/>
    </row>
    <row r="14073" spans="1:16" ht="18.600000000000001" thickBot="1">
      <c r="A14073" s="1999" t="s">
        <v>41</v>
      </c>
      <c r="B14073" s="2000"/>
      <c r="C14073" s="2001"/>
      <c r="D14073" s="2002"/>
      <c r="E14073" s="696"/>
      <c r="F14073" s="1763"/>
      <c r="G14073" s="1995"/>
      <c r="H14073" s="1996"/>
      <c r="I14073" s="1996"/>
      <c r="J14073" s="1996"/>
      <c r="K14073" s="1996"/>
      <c r="L14073" s="1996"/>
      <c r="M14073" s="1996"/>
      <c r="N14073" s="1996"/>
      <c r="O14073" s="1996"/>
      <c r="P14073" s="1098"/>
    </row>
    <row r="14074" spans="1:16" ht="18">
      <c r="A14074" s="690"/>
      <c r="B14074" s="691"/>
      <c r="C14074" s="691"/>
      <c r="D14074" s="691"/>
      <c r="E14074" s="691"/>
      <c r="F14074" s="1758"/>
      <c r="G14074" s="691"/>
      <c r="H14074" s="698"/>
      <c r="I14074" s="699"/>
      <c r="J14074" s="700"/>
      <c r="K14074" s="701"/>
      <c r="L14074" s="702"/>
      <c r="M14074" s="691"/>
      <c r="N14074" s="1758"/>
      <c r="O14074" s="691"/>
      <c r="P14074" s="1098"/>
    </row>
    <row r="14075" spans="1:16" ht="18">
      <c r="A14075" s="703" t="s">
        <v>42</v>
      </c>
      <c r="B14075" s="704"/>
      <c r="C14075" s="691"/>
      <c r="D14075" s="691"/>
      <c r="E14075" s="691"/>
      <c r="F14075" s="1758"/>
      <c r="G14075" s="704"/>
      <c r="H14075" s="698"/>
      <c r="I14075" s="699"/>
      <c r="J14075" s="700"/>
      <c r="K14075" s="693"/>
      <c r="L14075" s="705"/>
      <c r="M14075" s="691"/>
      <c r="N14075" s="1979" t="s">
        <v>43</v>
      </c>
      <c r="O14075" s="1979"/>
      <c r="P14075" s="1098"/>
    </row>
    <row r="14076" spans="1:16" ht="18">
      <c r="A14076" s="703"/>
      <c r="B14076" s="704"/>
      <c r="C14076" s="691"/>
      <c r="D14076" s="691"/>
      <c r="E14076" s="691"/>
      <c r="F14076" s="1758"/>
      <c r="G14076" s="691"/>
      <c r="H14076" s="1758"/>
      <c r="I14076" s="1849"/>
      <c r="J14076" s="691"/>
      <c r="K14076" s="693"/>
      <c r="L14076" s="1758"/>
      <c r="M14076" s="691"/>
      <c r="N14076" s="1758"/>
      <c r="O14076" s="704"/>
      <c r="P14076" s="1098"/>
    </row>
    <row r="14077" spans="1:16" ht="18">
      <c r="A14077" s="703" t="s">
        <v>44</v>
      </c>
      <c r="B14077" s="704"/>
      <c r="C14077" s="691"/>
      <c r="D14077" s="691"/>
      <c r="E14077" s="691"/>
      <c r="F14077" s="1758"/>
      <c r="G14077" s="691"/>
      <c r="H14077" s="1758"/>
      <c r="I14077" s="1849"/>
      <c r="J14077" s="691"/>
      <c r="K14077" s="693"/>
      <c r="L14077" s="1758"/>
      <c r="M14077" s="691"/>
      <c r="N14077" s="1979" t="s">
        <v>45</v>
      </c>
      <c r="O14077" s="1979"/>
      <c r="P14077" s="1098"/>
    </row>
    <row r="14078" spans="1:16" ht="18.600000000000001" thickBot="1">
      <c r="A14078" s="682"/>
      <c r="B14078" s="683"/>
      <c r="C14078" s="683"/>
      <c r="D14078" s="683"/>
      <c r="E14078" s="683"/>
      <c r="F14078" s="684"/>
      <c r="G14078" s="683"/>
      <c r="H14078" s="684"/>
      <c r="I14078" s="1850"/>
      <c r="J14078" s="683"/>
      <c r="K14078" s="706"/>
      <c r="L14078" s="684"/>
      <c r="M14078" s="683"/>
      <c r="N14078" s="684"/>
      <c r="O14078" s="683"/>
      <c r="P14078" s="1099"/>
    </row>
    <row r="14082" spans="1:16" ht="17.399999999999999">
      <c r="A14082" s="711" t="s">
        <v>48</v>
      </c>
      <c r="B14082" s="711"/>
      <c r="C14082" s="712"/>
      <c r="D14082" s="712"/>
      <c r="E14082" s="712"/>
      <c r="F14082" s="713"/>
      <c r="G14082" s="712"/>
      <c r="H14082" s="712"/>
      <c r="I14082" s="714"/>
      <c r="J14082" s="715"/>
      <c r="K14082" s="716"/>
      <c r="L14082" s="1978" t="s">
        <v>0</v>
      </c>
      <c r="M14082" s="1978"/>
      <c r="N14082" s="1978"/>
      <c r="O14082" s="1978"/>
      <c r="P14082" s="717"/>
    </row>
    <row r="14083" spans="1:16" ht="17.399999999999999">
      <c r="A14083" s="718" t="s">
        <v>1</v>
      </c>
      <c r="B14083" s="718"/>
      <c r="C14083" s="718"/>
      <c r="D14083" s="719" t="s">
        <v>2</v>
      </c>
      <c r="E14083" s="719"/>
      <c r="F14083" s="720"/>
      <c r="G14083" s="720"/>
      <c r="H14083" s="720"/>
      <c r="I14083" s="721"/>
      <c r="J14083" s="1771"/>
      <c r="K14083" s="723" t="s">
        <v>3</v>
      </c>
      <c r="L14083" s="1771"/>
      <c r="M14083" s="718"/>
      <c r="N14083" s="720"/>
      <c r="O14083" s="718"/>
      <c r="P14083" s="724"/>
    </row>
    <row r="14084" spans="1:16" ht="52.2">
      <c r="A14084" s="640" t="s">
        <v>4</v>
      </c>
      <c r="B14084" s="640" t="s">
        <v>5</v>
      </c>
      <c r="C14084" s="640" t="s">
        <v>6</v>
      </c>
      <c r="D14084" s="640" t="s">
        <v>7</v>
      </c>
      <c r="E14084" s="640" t="s">
        <v>8</v>
      </c>
      <c r="F14084" s="641" t="s">
        <v>9</v>
      </c>
      <c r="G14084" s="642" t="s">
        <v>10</v>
      </c>
      <c r="H14084" s="642" t="s">
        <v>11</v>
      </c>
      <c r="I14084" s="643" t="s">
        <v>12</v>
      </c>
      <c r="J14084" s="644" t="s">
        <v>13</v>
      </c>
      <c r="K14084" s="645" t="s">
        <v>14</v>
      </c>
      <c r="L14084" s="646" t="s">
        <v>15</v>
      </c>
      <c r="M14084" s="641" t="s">
        <v>16</v>
      </c>
      <c r="N14084" s="641" t="s">
        <v>17</v>
      </c>
      <c r="O14084" s="642" t="s">
        <v>18</v>
      </c>
      <c r="P14084" s="641" t="s">
        <v>192</v>
      </c>
    </row>
    <row r="14085" spans="1:16" ht="17.399999999999999">
      <c r="A14085" s="549"/>
      <c r="B14085" s="549"/>
      <c r="C14085" s="549"/>
      <c r="D14085" s="549"/>
      <c r="E14085" s="549"/>
      <c r="F14085" s="549"/>
      <c r="G14085" s="549"/>
      <c r="H14085" s="549"/>
      <c r="I14085" s="560"/>
      <c r="J14085" s="549"/>
      <c r="K14085" s="561"/>
      <c r="L14085" s="560"/>
      <c r="M14085" s="549"/>
      <c r="N14085" s="549"/>
      <c r="O14085" s="549"/>
      <c r="P14085" s="549"/>
    </row>
    <row r="14086" spans="1:16" ht="17.399999999999999">
      <c r="A14086" s="547" t="s">
        <v>272</v>
      </c>
      <c r="B14086" s="547" t="s">
        <v>1664</v>
      </c>
      <c r="C14086" s="547" t="s">
        <v>446</v>
      </c>
      <c r="D14086" s="813" t="s">
        <v>447</v>
      </c>
      <c r="E14086" s="547" t="s">
        <v>359</v>
      </c>
      <c r="F14086" s="550">
        <v>9</v>
      </c>
      <c r="G14086" s="549" t="s">
        <v>21</v>
      </c>
      <c r="H14086" s="549" t="s">
        <v>262</v>
      </c>
      <c r="I14086" s="558">
        <v>5.38</v>
      </c>
      <c r="J14086" s="567">
        <v>10.5</v>
      </c>
      <c r="K14086" s="648">
        <v>37</v>
      </c>
      <c r="L14086" s="552">
        <f t="shared" ref="L14086:L14087" si="2818">(I14086*J14086*K14086/1000)</f>
        <v>2.0901300000000003</v>
      </c>
      <c r="M14086" s="647"/>
      <c r="N14086" s="549"/>
      <c r="O14086" s="549"/>
      <c r="P14086" s="549"/>
    </row>
    <row r="14087" spans="1:16" ht="17.399999999999999">
      <c r="A14087" s="549"/>
      <c r="B14087" s="549"/>
      <c r="C14087" s="549"/>
      <c r="D14087" s="549"/>
      <c r="E14087" s="549"/>
      <c r="F14087" s="549"/>
      <c r="G14087" s="549" t="s">
        <v>21</v>
      </c>
      <c r="H14087" s="549" t="s">
        <v>262</v>
      </c>
      <c r="I14087" s="558">
        <v>5.38</v>
      </c>
      <c r="J14087" s="567">
        <v>11</v>
      </c>
      <c r="K14087" s="648">
        <v>12</v>
      </c>
      <c r="L14087" s="552">
        <f t="shared" si="2818"/>
        <v>0.71016000000000001</v>
      </c>
      <c r="M14087" s="647"/>
      <c r="N14087" s="549"/>
      <c r="O14087" s="549"/>
      <c r="P14087" s="549"/>
    </row>
    <row r="14088" spans="1:16" ht="17.399999999999999">
      <c r="A14088" s="549"/>
      <c r="B14088" s="549"/>
      <c r="C14088" s="549"/>
      <c r="D14088" s="549"/>
      <c r="E14088" s="549"/>
      <c r="F14088" s="549"/>
      <c r="G14088" s="549"/>
      <c r="H14088" s="549"/>
      <c r="I14088" s="560"/>
      <c r="J14088" s="648"/>
      <c r="K14088" s="648">
        <f>SUM(K14086:K14087)</f>
        <v>49</v>
      </c>
      <c r="L14088" s="567">
        <f>SUM(L14086:L14087)</f>
        <v>2.8002900000000004</v>
      </c>
      <c r="M14088" s="647"/>
      <c r="N14088" s="549"/>
      <c r="O14088" s="549"/>
      <c r="P14088" s="549"/>
    </row>
    <row r="14089" spans="1:16" ht="17.399999999999999">
      <c r="A14089" s="549"/>
      <c r="B14089" s="549"/>
      <c r="C14089" s="549"/>
      <c r="D14089" s="549"/>
      <c r="E14089" s="549"/>
      <c r="F14089" s="549"/>
      <c r="G14089" s="549"/>
      <c r="H14089" s="549"/>
      <c r="I14089" s="560"/>
      <c r="J14089" s="549"/>
      <c r="K14089" s="561"/>
      <c r="L14089" s="568"/>
      <c r="M14089" s="549"/>
      <c r="N14089" s="549"/>
      <c r="O14089" s="549"/>
      <c r="P14089" s="549"/>
    </row>
    <row r="14090" spans="1:16" ht="17.399999999999999">
      <c r="A14090" s="547" t="s">
        <v>272</v>
      </c>
      <c r="B14090" s="547" t="s">
        <v>1664</v>
      </c>
      <c r="C14090" s="547" t="s">
        <v>446</v>
      </c>
      <c r="D14090" s="813" t="s">
        <v>447</v>
      </c>
      <c r="E14090" s="547" t="s">
        <v>359</v>
      </c>
      <c r="F14090" s="550">
        <v>9</v>
      </c>
      <c r="G14090" s="549" t="s">
        <v>21</v>
      </c>
      <c r="H14090" s="549" t="s">
        <v>262</v>
      </c>
      <c r="I14090" s="558">
        <v>5.38</v>
      </c>
      <c r="J14090" s="647">
        <v>12</v>
      </c>
      <c r="K14090" s="648">
        <v>111</v>
      </c>
      <c r="L14090" s="552">
        <f>(I14090*J14090*K14090/1000)</f>
        <v>7.1661599999999996</v>
      </c>
      <c r="M14090" s="549"/>
      <c r="N14090" s="549"/>
      <c r="O14090" s="549"/>
      <c r="P14090" s="549"/>
    </row>
    <row r="14091" spans="1:16" ht="17.399999999999999">
      <c r="A14091" s="549"/>
      <c r="B14091" s="549"/>
      <c r="C14091" s="549"/>
      <c r="D14091" s="549"/>
      <c r="E14091" s="549"/>
      <c r="F14091" s="549"/>
      <c r="G14091" s="549" t="s">
        <v>21</v>
      </c>
      <c r="H14091" s="549" t="s">
        <v>262</v>
      </c>
      <c r="I14091" s="558">
        <v>5.38</v>
      </c>
      <c r="J14091" s="647">
        <v>10.5</v>
      </c>
      <c r="K14091" s="648">
        <v>200</v>
      </c>
      <c r="L14091" s="552">
        <f>(I14091*J14091*K14091/1000)</f>
        <v>11.298</v>
      </c>
      <c r="M14091" s="549"/>
      <c r="N14091" s="549"/>
      <c r="O14091" s="549"/>
      <c r="P14091" s="549"/>
    </row>
    <row r="14092" spans="1:16" ht="17.399999999999999">
      <c r="A14092" s="549"/>
      <c r="B14092" s="549"/>
      <c r="C14092" s="549"/>
      <c r="D14092" s="549"/>
      <c r="E14092" s="549"/>
      <c r="F14092" s="549"/>
      <c r="G14092" s="549" t="s">
        <v>21</v>
      </c>
      <c r="H14092" s="549" t="s">
        <v>262</v>
      </c>
      <c r="I14092" s="558">
        <v>5.38</v>
      </c>
      <c r="J14092" s="647">
        <v>11</v>
      </c>
      <c r="K14092" s="648">
        <v>90</v>
      </c>
      <c r="L14092" s="552">
        <f>(I14092*J14092*K14092/1000)</f>
        <v>5.3262</v>
      </c>
      <c r="M14092" s="549"/>
      <c r="N14092" s="549"/>
      <c r="O14092" s="549"/>
      <c r="P14092" s="549"/>
    </row>
    <row r="14093" spans="1:16" ht="17.399999999999999">
      <c r="A14093" s="549"/>
      <c r="B14093" s="549"/>
      <c r="C14093" s="549"/>
      <c r="D14093" s="549"/>
      <c r="E14093" s="549"/>
      <c r="F14093" s="549"/>
      <c r="G14093" s="549"/>
      <c r="H14093" s="549"/>
      <c r="I14093" s="560"/>
      <c r="J14093" s="648"/>
      <c r="K14093" s="648">
        <f>SUM(K14090:K14092)</f>
        <v>401</v>
      </c>
      <c r="L14093" s="567">
        <f>SUM(L14090:L14092)</f>
        <v>23.79036</v>
      </c>
      <c r="M14093" s="549"/>
      <c r="N14093" s="549"/>
      <c r="O14093" s="549"/>
      <c r="P14093" s="549"/>
    </row>
    <row r="14094" spans="1:16" ht="17.399999999999999">
      <c r="A14094" s="549"/>
      <c r="B14094" s="549"/>
      <c r="C14094" s="549"/>
      <c r="D14094" s="549"/>
      <c r="E14094" s="549"/>
      <c r="F14094" s="549"/>
      <c r="G14094" s="549"/>
      <c r="H14094" s="549"/>
      <c r="I14094" s="560"/>
      <c r="J14094" s="549"/>
      <c r="K14094" s="561"/>
      <c r="L14094" s="565">
        <f>+L14093+L14088</f>
        <v>26.59065</v>
      </c>
      <c r="M14094" s="549"/>
      <c r="N14094" s="549"/>
      <c r="O14094" s="549"/>
      <c r="P14094" s="549"/>
    </row>
    <row r="14095" spans="1:16" ht="17.399999999999999">
      <c r="A14095" s="549"/>
      <c r="B14095" s="549"/>
      <c r="C14095" s="549"/>
      <c r="D14095" s="549"/>
      <c r="E14095" s="549"/>
      <c r="F14095" s="549"/>
      <c r="G14095" s="549"/>
      <c r="H14095" s="549"/>
      <c r="I14095" s="560"/>
      <c r="J14095" s="549"/>
      <c r="K14095" s="561"/>
      <c r="L14095" s="560"/>
      <c r="M14095" s="549"/>
      <c r="N14095" s="549"/>
      <c r="O14095" s="549"/>
      <c r="P14095" s="549"/>
    </row>
    <row r="14096" spans="1:16" ht="17.399999999999999">
      <c r="A14096" s="549"/>
      <c r="B14096" s="549"/>
      <c r="C14096" s="549"/>
      <c r="D14096" s="549"/>
      <c r="E14096" s="549"/>
      <c r="F14096" s="549"/>
      <c r="G14096" s="549"/>
      <c r="H14096" s="549"/>
      <c r="I14096" s="560"/>
      <c r="J14096" s="549"/>
      <c r="K14096" s="561"/>
      <c r="L14096" s="560"/>
      <c r="M14096" s="549"/>
      <c r="N14096" s="549"/>
      <c r="O14096" s="549"/>
      <c r="P14096" s="549"/>
    </row>
    <row r="14097" spans="1:16" ht="17.399999999999999">
      <c r="A14097" s="547" t="s">
        <v>83</v>
      </c>
      <c r="B14097" s="547" t="s">
        <v>1559</v>
      </c>
      <c r="C14097" s="547" t="s">
        <v>19</v>
      </c>
      <c r="D14097" s="813" t="s">
        <v>854</v>
      </c>
      <c r="E14097" s="650" t="s">
        <v>464</v>
      </c>
      <c r="F14097" s="550">
        <v>9</v>
      </c>
      <c r="G14097" s="549" t="s">
        <v>21</v>
      </c>
      <c r="H14097" s="549" t="s">
        <v>262</v>
      </c>
      <c r="I14097" s="560">
        <v>5.37</v>
      </c>
      <c r="J14097" s="710">
        <v>12</v>
      </c>
      <c r="K14097" s="648">
        <v>30</v>
      </c>
      <c r="L14097" s="552">
        <f>(I14097*J14097*K14097/1000)</f>
        <v>1.9331999999999998</v>
      </c>
      <c r="M14097" s="549"/>
      <c r="N14097" s="549"/>
      <c r="O14097" s="549"/>
      <c r="P14097" s="549"/>
    </row>
    <row r="14098" spans="1:16" ht="17.399999999999999">
      <c r="A14098" s="549"/>
      <c r="B14098" s="549" t="s">
        <v>439</v>
      </c>
      <c r="C14098" s="549"/>
      <c r="D14098" s="549"/>
      <c r="E14098" s="549"/>
      <c r="F14098" s="549"/>
      <c r="G14098" s="549"/>
      <c r="H14098" s="650"/>
      <c r="I14098" s="560"/>
      <c r="J14098" s="710"/>
      <c r="K14098" s="648">
        <f>SUM(K14097:K14097)</f>
        <v>30</v>
      </c>
      <c r="L14098" s="765">
        <f>SUM(L14097:L14097)</f>
        <v>1.9331999999999998</v>
      </c>
      <c r="M14098" s="549"/>
      <c r="N14098" s="549"/>
      <c r="O14098" s="549"/>
      <c r="P14098" s="549"/>
    </row>
    <row r="14099" spans="1:16" ht="17.399999999999999">
      <c r="A14099" s="547"/>
      <c r="B14099" s="547"/>
      <c r="C14099" s="547"/>
      <c r="D14099" s="813"/>
      <c r="E14099" s="650"/>
      <c r="F14099" s="550"/>
      <c r="G14099" s="549"/>
      <c r="H14099" s="549"/>
      <c r="I14099" s="560"/>
      <c r="J14099" s="710"/>
      <c r="K14099" s="648"/>
      <c r="L14099" s="552"/>
      <c r="M14099" s="549"/>
      <c r="N14099" s="549"/>
      <c r="O14099" s="549"/>
      <c r="P14099" s="549"/>
    </row>
    <row r="14100" spans="1:16" ht="17.399999999999999">
      <c r="A14100" s="547" t="s">
        <v>1400</v>
      </c>
      <c r="B14100" s="547" t="s">
        <v>1663</v>
      </c>
      <c r="C14100" s="547" t="s">
        <v>19</v>
      </c>
      <c r="D14100" s="813" t="s">
        <v>854</v>
      </c>
      <c r="E14100" s="650" t="s">
        <v>464</v>
      </c>
      <c r="F14100" s="550">
        <v>9</v>
      </c>
      <c r="G14100" s="549" t="s">
        <v>21</v>
      </c>
      <c r="H14100" s="549" t="s">
        <v>262</v>
      </c>
      <c r="I14100" s="558">
        <v>5.37</v>
      </c>
      <c r="J14100" s="567">
        <v>8</v>
      </c>
      <c r="K14100" s="648">
        <v>28</v>
      </c>
      <c r="L14100" s="552">
        <f>(I14100*J14100*K14100/1000)</f>
        <v>1.2028800000000002</v>
      </c>
      <c r="M14100" s="549">
        <v>2</v>
      </c>
      <c r="N14100" s="567">
        <f>J14100*M14100*I14100/1000</f>
        <v>8.5919999999999996E-2</v>
      </c>
      <c r="O14100" s="549"/>
      <c r="P14100" s="549"/>
    </row>
    <row r="14101" spans="1:16" ht="17.399999999999999">
      <c r="A14101" s="549"/>
      <c r="B14101" s="549" t="s">
        <v>439</v>
      </c>
      <c r="C14101" s="549"/>
      <c r="D14101" s="549"/>
      <c r="E14101" s="549"/>
      <c r="F14101" s="549"/>
      <c r="G14101" s="549" t="s">
        <v>21</v>
      </c>
      <c r="H14101" s="549" t="s">
        <v>262</v>
      </c>
      <c r="I14101" s="558">
        <v>5.37</v>
      </c>
      <c r="J14101" s="567">
        <v>9.5</v>
      </c>
      <c r="K14101" s="648">
        <v>12</v>
      </c>
      <c r="L14101" s="552">
        <f>(I14101*J14101*K14101/1000)</f>
        <v>0.61218000000000006</v>
      </c>
      <c r="M14101" s="549"/>
      <c r="N14101" s="549">
        <f t="shared" ref="N14101:N14102" si="2819">J14101*M14101*I14101/1000</f>
        <v>0</v>
      </c>
      <c r="O14101" s="549"/>
      <c r="P14101" s="549"/>
    </row>
    <row r="14102" spans="1:16" ht="17.399999999999999">
      <c r="A14102" s="549"/>
      <c r="B14102" s="549"/>
      <c r="C14102" s="549"/>
      <c r="D14102" s="549"/>
      <c r="E14102" s="549"/>
      <c r="F14102" s="549"/>
      <c r="G14102" s="549" t="s">
        <v>21</v>
      </c>
      <c r="H14102" s="549" t="s">
        <v>262</v>
      </c>
      <c r="I14102" s="558">
        <v>5.37</v>
      </c>
      <c r="J14102" s="567">
        <v>12</v>
      </c>
      <c r="K14102" s="648">
        <v>13</v>
      </c>
      <c r="L14102" s="552">
        <f>(I14102*J14102*K14102/1000)</f>
        <v>0.83772000000000002</v>
      </c>
      <c r="M14102" s="549">
        <v>8</v>
      </c>
      <c r="N14102" s="567">
        <f t="shared" si="2819"/>
        <v>0.51551999999999998</v>
      </c>
      <c r="O14102" s="549"/>
      <c r="P14102" s="549"/>
    </row>
    <row r="14103" spans="1:16" ht="17.399999999999999">
      <c r="A14103" s="549"/>
      <c r="B14103" s="549"/>
      <c r="C14103" s="549"/>
      <c r="D14103" s="549"/>
      <c r="E14103" s="549"/>
      <c r="F14103" s="549"/>
      <c r="G14103" s="549"/>
      <c r="H14103" s="549"/>
      <c r="I14103" s="558"/>
      <c r="J14103" s="567"/>
      <c r="K14103" s="648">
        <f t="shared" ref="K14103:M14103" si="2820">SUM(K14100:K14102)</f>
        <v>53</v>
      </c>
      <c r="L14103" s="567">
        <f>SUM(L14100:L14102)</f>
        <v>2.6527800000000004</v>
      </c>
      <c r="M14103" s="648">
        <f t="shared" si="2820"/>
        <v>10</v>
      </c>
      <c r="N14103" s="567">
        <f>SUM(N14100:N14102)</f>
        <v>0.60143999999999997</v>
      </c>
      <c r="O14103" s="549"/>
      <c r="P14103" s="549"/>
    </row>
    <row r="14104" spans="1:16" s="1737" customFormat="1" ht="17.399999999999999">
      <c r="A14104" s="549"/>
      <c r="B14104" s="549"/>
      <c r="C14104" s="549"/>
      <c r="D14104" s="549"/>
      <c r="E14104" s="549"/>
      <c r="F14104" s="549"/>
      <c r="G14104" s="549"/>
      <c r="H14104" s="549"/>
      <c r="I14104" s="558"/>
      <c r="J14104" s="567"/>
      <c r="K14104" s="648"/>
      <c r="L14104" s="567"/>
      <c r="M14104" s="648"/>
      <c r="N14104" s="567"/>
      <c r="O14104" s="549"/>
      <c r="P14104" s="549"/>
    </row>
    <row r="14105" spans="1:16" s="1737" customFormat="1" ht="17.399999999999999">
      <c r="A14105" s="547" t="s">
        <v>395</v>
      </c>
      <c r="B14105" s="547" t="s">
        <v>1725</v>
      </c>
      <c r="C14105" s="547" t="s">
        <v>19</v>
      </c>
      <c r="D14105" s="813" t="s">
        <v>854</v>
      </c>
      <c r="E14105" s="547" t="s">
        <v>359</v>
      </c>
      <c r="F14105" s="550">
        <v>9</v>
      </c>
      <c r="G14105" s="549" t="s">
        <v>21</v>
      </c>
      <c r="H14105" s="549" t="s">
        <v>262</v>
      </c>
      <c r="I14105" s="558">
        <v>5.38</v>
      </c>
      <c r="J14105" s="567">
        <v>10</v>
      </c>
      <c r="K14105" s="648">
        <v>4</v>
      </c>
      <c r="L14105" s="552">
        <f t="shared" ref="L14105:L14108" si="2821">(I14105*J14105*K14105/1000)</f>
        <v>0.2152</v>
      </c>
      <c r="M14105" s="549"/>
      <c r="N14105" s="549"/>
      <c r="O14105" s="549"/>
      <c r="P14105" s="549"/>
    </row>
    <row r="14106" spans="1:16" s="1737" customFormat="1" ht="17.399999999999999">
      <c r="A14106" s="549"/>
      <c r="B14106" s="1605" t="s">
        <v>1780</v>
      </c>
      <c r="C14106" s="549"/>
      <c r="D14106" s="549"/>
      <c r="E14106" s="549"/>
      <c r="F14106" s="549"/>
      <c r="G14106" s="549" t="s">
        <v>21</v>
      </c>
      <c r="H14106" s="549" t="s">
        <v>262</v>
      </c>
      <c r="I14106" s="558">
        <v>5.38</v>
      </c>
      <c r="J14106" s="567">
        <v>10.5</v>
      </c>
      <c r="K14106" s="648">
        <v>7</v>
      </c>
      <c r="L14106" s="552">
        <f t="shared" si="2821"/>
        <v>0.39543</v>
      </c>
      <c r="M14106" s="549"/>
      <c r="N14106" s="549"/>
      <c r="O14106" s="549"/>
      <c r="P14106" s="549"/>
    </row>
    <row r="14107" spans="1:16" s="1737" customFormat="1" ht="17.399999999999999">
      <c r="A14107" s="549"/>
      <c r="B14107" s="549"/>
      <c r="C14107" s="549"/>
      <c r="D14107" s="549"/>
      <c r="E14107" s="549"/>
      <c r="F14107" s="549"/>
      <c r="G14107" s="549" t="s">
        <v>21</v>
      </c>
      <c r="H14107" s="549" t="s">
        <v>262</v>
      </c>
      <c r="I14107" s="558">
        <v>5.38</v>
      </c>
      <c r="J14107" s="567">
        <v>11.5</v>
      </c>
      <c r="K14107" s="648">
        <v>6</v>
      </c>
      <c r="L14107" s="552">
        <f t="shared" si="2821"/>
        <v>0.37121999999999999</v>
      </c>
      <c r="M14107" s="549"/>
      <c r="N14107" s="549"/>
      <c r="O14107" s="549"/>
      <c r="P14107" s="549"/>
    </row>
    <row r="14108" spans="1:16" s="1737" customFormat="1" ht="17.399999999999999">
      <c r="A14108" s="549"/>
      <c r="B14108" s="549"/>
      <c r="C14108" s="549"/>
      <c r="D14108" s="549"/>
      <c r="E14108" s="549"/>
      <c r="F14108" s="549"/>
      <c r="G14108" s="549" t="s">
        <v>21</v>
      </c>
      <c r="H14108" s="549" t="s">
        <v>262</v>
      </c>
      <c r="I14108" s="558">
        <v>5.38</v>
      </c>
      <c r="J14108" s="567">
        <v>12</v>
      </c>
      <c r="K14108" s="648">
        <v>2</v>
      </c>
      <c r="L14108" s="552">
        <f t="shared" si="2821"/>
        <v>0.12912000000000001</v>
      </c>
      <c r="M14108" s="549"/>
      <c r="N14108" s="549"/>
      <c r="O14108" s="549"/>
      <c r="P14108" s="549"/>
    </row>
    <row r="14109" spans="1:16" s="1737" customFormat="1" ht="17.399999999999999">
      <c r="A14109" s="549"/>
      <c r="B14109" s="549"/>
      <c r="C14109" s="549"/>
      <c r="D14109" s="549"/>
      <c r="E14109" s="549"/>
      <c r="F14109" s="549"/>
      <c r="G14109" s="549"/>
      <c r="H14109" s="549"/>
      <c r="I14109" s="558"/>
      <c r="J14109" s="567"/>
      <c r="K14109" s="648">
        <f t="shared" ref="K14109:L14109" si="2822">SUM(K14105:K14108)</f>
        <v>19</v>
      </c>
      <c r="L14109" s="567">
        <f t="shared" si="2822"/>
        <v>1.11097</v>
      </c>
      <c r="M14109" s="549"/>
      <c r="N14109" s="549"/>
      <c r="O14109" s="549"/>
      <c r="P14109" s="549"/>
    </row>
    <row r="14110" spans="1:16" s="1737" customFormat="1" ht="17.399999999999999">
      <c r="A14110" s="549"/>
      <c r="B14110" s="549"/>
      <c r="C14110" s="549"/>
      <c r="D14110" s="549"/>
      <c r="E14110" s="549"/>
      <c r="F14110" s="549"/>
      <c r="G14110" s="549"/>
      <c r="H14110" s="549"/>
      <c r="I14110" s="558"/>
      <c r="J14110" s="567"/>
      <c r="K14110" s="648"/>
      <c r="L14110" s="552"/>
      <c r="M14110" s="549"/>
      <c r="N14110" s="549"/>
      <c r="O14110" s="549"/>
      <c r="P14110" s="549"/>
    </row>
    <row r="14111" spans="1:16" s="1737" customFormat="1" ht="17.399999999999999">
      <c r="A14111" s="547" t="s">
        <v>395</v>
      </c>
      <c r="B14111" s="547" t="s">
        <v>1778</v>
      </c>
      <c r="C14111" s="547" t="s">
        <v>19</v>
      </c>
      <c r="D14111" s="813" t="s">
        <v>854</v>
      </c>
      <c r="E14111" s="547" t="s">
        <v>359</v>
      </c>
      <c r="F14111" s="550">
        <v>9</v>
      </c>
      <c r="G14111" s="549" t="s">
        <v>21</v>
      </c>
      <c r="H14111" s="549" t="s">
        <v>262</v>
      </c>
      <c r="I14111" s="558">
        <v>5.38</v>
      </c>
      <c r="J14111" s="567">
        <v>6</v>
      </c>
      <c r="K14111" s="648">
        <v>1</v>
      </c>
      <c r="L14111" s="552">
        <f>(I14111*J14111*K14111/1000)</f>
        <v>3.2280000000000003E-2</v>
      </c>
      <c r="M14111" s="549"/>
      <c r="N14111" s="549"/>
      <c r="O14111" s="549"/>
      <c r="P14111" s="549"/>
    </row>
    <row r="14112" spans="1:16" s="1737" customFormat="1" ht="17.399999999999999">
      <c r="A14112" s="549"/>
      <c r="B14112" s="549" t="s">
        <v>1711</v>
      </c>
      <c r="C14112" s="549"/>
      <c r="D14112" s="549"/>
      <c r="E14112" s="549"/>
      <c r="F14112" s="549"/>
      <c r="G14112" s="549"/>
      <c r="H14112" s="549"/>
      <c r="I14112" s="558"/>
      <c r="J14112" s="567"/>
      <c r="K14112" s="648">
        <f t="shared" ref="K14112:L14112" si="2823">SUM(K14111)</f>
        <v>1</v>
      </c>
      <c r="L14112" s="567">
        <f t="shared" si="2823"/>
        <v>3.2280000000000003E-2</v>
      </c>
      <c r="M14112" s="549"/>
      <c r="N14112" s="549"/>
      <c r="O14112" s="549"/>
      <c r="P14112" s="549"/>
    </row>
    <row r="14113" spans="1:16" s="1737" customFormat="1" ht="17.399999999999999">
      <c r="A14113" s="549"/>
      <c r="B14113" s="549"/>
      <c r="C14113" s="549"/>
      <c r="D14113" s="549"/>
      <c r="E14113" s="549"/>
      <c r="F14113" s="549"/>
      <c r="G14113" s="549"/>
      <c r="H14113" s="549"/>
      <c r="I14113" s="558"/>
      <c r="J14113" s="567"/>
      <c r="K14113" s="648"/>
      <c r="L14113" s="552"/>
      <c r="M14113" s="549"/>
      <c r="N14113" s="549"/>
      <c r="O14113" s="549"/>
      <c r="P14113" s="549"/>
    </row>
    <row r="14114" spans="1:16" s="1737" customFormat="1" ht="17.399999999999999">
      <c r="A14114" s="547" t="s">
        <v>395</v>
      </c>
      <c r="B14114" s="547" t="s">
        <v>1759</v>
      </c>
      <c r="C14114" s="547" t="s">
        <v>19</v>
      </c>
      <c r="D14114" s="813" t="s">
        <v>854</v>
      </c>
      <c r="E14114" s="547" t="s">
        <v>1028</v>
      </c>
      <c r="F14114" s="550">
        <v>9</v>
      </c>
      <c r="G14114" s="549" t="s">
        <v>21</v>
      </c>
      <c r="H14114" s="549" t="s">
        <v>262</v>
      </c>
      <c r="I14114" s="558">
        <v>5.38</v>
      </c>
      <c r="J14114" s="567">
        <v>11.25</v>
      </c>
      <c r="K14114" s="648">
        <v>2</v>
      </c>
      <c r="L14114" s="552">
        <f>(I14114*J14114*K14114/1000)</f>
        <v>0.12104999999999999</v>
      </c>
      <c r="M14114" s="549"/>
      <c r="N14114" s="549"/>
      <c r="O14114" s="549"/>
      <c r="P14114" s="549"/>
    </row>
    <row r="14115" spans="1:16" s="1737" customFormat="1" ht="18">
      <c r="A14115" s="549"/>
      <c r="B14115" s="898" t="s">
        <v>1027</v>
      </c>
      <c r="C14115" s="549"/>
      <c r="D14115" s="549"/>
      <c r="E14115" s="549"/>
      <c r="F14115" s="549"/>
      <c r="G14115" s="898"/>
      <c r="H14115" s="898"/>
      <c r="I14115" s="1586"/>
      <c r="J14115" s="914"/>
      <c r="K14115" s="915">
        <f t="shared" ref="K14115:L14115" si="2824">SUM(K14114)</f>
        <v>2</v>
      </c>
      <c r="L14115" s="914">
        <f t="shared" si="2824"/>
        <v>0.12104999999999999</v>
      </c>
      <c r="M14115" s="549"/>
      <c r="N14115" s="549"/>
      <c r="O14115" s="549"/>
      <c r="P14115" s="549"/>
    </row>
    <row r="14116" spans="1:16" s="1737" customFormat="1" ht="18">
      <c r="A14116" s="549"/>
      <c r="B14116" s="898"/>
      <c r="C14116" s="549"/>
      <c r="D14116" s="549"/>
      <c r="E14116" s="549"/>
      <c r="F14116" s="549"/>
      <c r="G14116" s="898"/>
      <c r="H14116" s="898"/>
      <c r="I14116" s="1586"/>
      <c r="J14116" s="914"/>
      <c r="K14116" s="915"/>
      <c r="L14116" s="914"/>
      <c r="M14116" s="549"/>
      <c r="N14116" s="549"/>
      <c r="O14116" s="549"/>
      <c r="P14116" s="549"/>
    </row>
    <row r="14117" spans="1:16" s="1737" customFormat="1" ht="18">
      <c r="A14117" s="547" t="s">
        <v>83</v>
      </c>
      <c r="B14117" s="547" t="s">
        <v>1746</v>
      </c>
      <c r="C14117" s="547" t="s">
        <v>19</v>
      </c>
      <c r="D14117" s="813" t="s">
        <v>854</v>
      </c>
      <c r="E14117" s="1837" t="s">
        <v>878</v>
      </c>
      <c r="F14117" s="550">
        <v>9</v>
      </c>
      <c r="G14117" s="898" t="s">
        <v>21</v>
      </c>
      <c r="H14117" s="898" t="s">
        <v>262</v>
      </c>
      <c r="I14117" s="1586">
        <v>5.37</v>
      </c>
      <c r="J14117" s="914">
        <v>6.6</v>
      </c>
      <c r="K14117" s="915">
        <v>12</v>
      </c>
      <c r="L14117" s="552">
        <f t="shared" ref="L14117:L14119" si="2825">(I14117*J14117*K14117/1000)</f>
        <v>0.42530399999999996</v>
      </c>
      <c r="M14117" s="549"/>
      <c r="N14117" s="549"/>
      <c r="O14117" s="549"/>
      <c r="P14117" s="549"/>
    </row>
    <row r="14118" spans="1:16" s="1737" customFormat="1" ht="18">
      <c r="A14118" s="549"/>
      <c r="B14118" s="549" t="s">
        <v>1135</v>
      </c>
      <c r="C14118" s="549"/>
      <c r="D14118" s="549"/>
      <c r="E14118" s="549"/>
      <c r="F14118" s="549"/>
      <c r="G14118" s="898" t="s">
        <v>21</v>
      </c>
      <c r="H14118" s="898" t="s">
        <v>262</v>
      </c>
      <c r="I14118" s="1586">
        <v>5.37</v>
      </c>
      <c r="J14118" s="914">
        <v>10</v>
      </c>
      <c r="K14118" s="915">
        <v>34</v>
      </c>
      <c r="L14118" s="552">
        <f t="shared" si="2825"/>
        <v>1.8258000000000001</v>
      </c>
      <c r="M14118" s="549"/>
      <c r="N14118" s="549"/>
      <c r="O14118" s="549"/>
      <c r="P14118" s="549"/>
    </row>
    <row r="14119" spans="1:16" s="1737" customFormat="1" ht="18">
      <c r="A14119" s="549"/>
      <c r="B14119" s="549"/>
      <c r="C14119" s="549"/>
      <c r="D14119" s="549"/>
      <c r="E14119" s="549"/>
      <c r="F14119" s="549"/>
      <c r="G14119" s="898" t="s">
        <v>21</v>
      </c>
      <c r="H14119" s="898" t="s">
        <v>262</v>
      </c>
      <c r="I14119" s="1586">
        <v>5.37</v>
      </c>
      <c r="J14119" s="914">
        <v>11.5</v>
      </c>
      <c r="K14119" s="915">
        <v>43</v>
      </c>
      <c r="L14119" s="552">
        <f t="shared" si="2825"/>
        <v>2.655465</v>
      </c>
      <c r="M14119" s="549"/>
      <c r="N14119" s="549"/>
      <c r="O14119" s="549"/>
      <c r="P14119" s="549"/>
    </row>
    <row r="14120" spans="1:16" s="1737" customFormat="1" ht="18">
      <c r="A14120" s="549"/>
      <c r="B14120" s="549"/>
      <c r="C14120" s="549"/>
      <c r="D14120" s="549"/>
      <c r="E14120" s="549"/>
      <c r="F14120" s="549"/>
      <c r="G14120" s="898"/>
      <c r="H14120" s="898"/>
      <c r="I14120" s="1586"/>
      <c r="J14120" s="914"/>
      <c r="K14120" s="915">
        <f t="shared" ref="K14120:L14120" si="2826">SUM(K14117:K14119)</f>
        <v>89</v>
      </c>
      <c r="L14120" s="914">
        <f t="shared" si="2826"/>
        <v>4.9065690000000002</v>
      </c>
      <c r="M14120" s="549"/>
      <c r="N14120" s="549"/>
      <c r="O14120" s="549"/>
      <c r="P14120" s="549"/>
    </row>
    <row r="14121" spans="1:16" s="1737" customFormat="1" ht="18">
      <c r="A14121" s="549"/>
      <c r="B14121" s="549"/>
      <c r="C14121" s="549"/>
      <c r="D14121" s="549"/>
      <c r="E14121" s="549"/>
      <c r="F14121" s="549"/>
      <c r="G14121" s="898"/>
      <c r="H14121" s="898"/>
      <c r="I14121" s="1586"/>
      <c r="J14121" s="914"/>
      <c r="K14121" s="915"/>
      <c r="L14121" s="914"/>
      <c r="M14121" s="549"/>
      <c r="N14121" s="549"/>
      <c r="O14121" s="549"/>
      <c r="P14121" s="549"/>
    </row>
    <row r="14122" spans="1:16" s="1737" customFormat="1" ht="18">
      <c r="A14122" s="547" t="s">
        <v>395</v>
      </c>
      <c r="B14122" s="547" t="s">
        <v>1765</v>
      </c>
      <c r="C14122" s="547" t="s">
        <v>19</v>
      </c>
      <c r="D14122" s="813" t="s">
        <v>854</v>
      </c>
      <c r="E14122" s="547" t="s">
        <v>359</v>
      </c>
      <c r="F14122" s="550">
        <v>9</v>
      </c>
      <c r="G14122" s="898" t="s">
        <v>21</v>
      </c>
      <c r="H14122" s="898" t="s">
        <v>262</v>
      </c>
      <c r="I14122" s="1586">
        <v>5.38</v>
      </c>
      <c r="J14122" s="914">
        <v>10</v>
      </c>
      <c r="K14122" s="915">
        <v>8</v>
      </c>
      <c r="L14122" s="552">
        <f t="shared" ref="L14122:L14124" si="2827">(I14122*J14122*K14122/1000)</f>
        <v>0.4304</v>
      </c>
      <c r="M14122" s="549"/>
      <c r="N14122" s="549"/>
      <c r="O14122" s="549"/>
      <c r="P14122" s="549"/>
    </row>
    <row r="14123" spans="1:16" s="1737" customFormat="1" ht="18">
      <c r="A14123" s="549"/>
      <c r="B14123" s="549" t="s">
        <v>1027</v>
      </c>
      <c r="C14123" s="549"/>
      <c r="D14123" s="549"/>
      <c r="E14123" s="549"/>
      <c r="F14123" s="549"/>
      <c r="G14123" s="898" t="s">
        <v>21</v>
      </c>
      <c r="H14123" s="898" t="s">
        <v>262</v>
      </c>
      <c r="I14123" s="1586">
        <v>5.38</v>
      </c>
      <c r="J14123" s="914">
        <v>11</v>
      </c>
      <c r="K14123" s="915">
        <v>5</v>
      </c>
      <c r="L14123" s="552">
        <f t="shared" si="2827"/>
        <v>0.2959</v>
      </c>
      <c r="M14123" s="549"/>
      <c r="N14123" s="549"/>
      <c r="O14123" s="549"/>
      <c r="P14123" s="549"/>
    </row>
    <row r="14124" spans="1:16" s="1737" customFormat="1" ht="18">
      <c r="A14124" s="549"/>
      <c r="B14124" s="549"/>
      <c r="C14124" s="549"/>
      <c r="D14124" s="549"/>
      <c r="E14124" s="549"/>
      <c r="F14124" s="549"/>
      <c r="G14124" s="898" t="s">
        <v>21</v>
      </c>
      <c r="H14124" s="898" t="s">
        <v>262</v>
      </c>
      <c r="I14124" s="1586">
        <v>5.38</v>
      </c>
      <c r="J14124" s="914">
        <v>11.5</v>
      </c>
      <c r="K14124" s="915">
        <v>6</v>
      </c>
      <c r="L14124" s="552">
        <f t="shared" si="2827"/>
        <v>0.37121999999999999</v>
      </c>
      <c r="M14124" s="549"/>
      <c r="N14124" s="549"/>
      <c r="O14124" s="549"/>
      <c r="P14124" s="549"/>
    </row>
    <row r="14125" spans="1:16" s="1737" customFormat="1" ht="18">
      <c r="A14125" s="549"/>
      <c r="B14125" s="549"/>
      <c r="C14125" s="549"/>
      <c r="D14125" s="549"/>
      <c r="E14125" s="549"/>
      <c r="F14125" s="549"/>
      <c r="G14125" s="898"/>
      <c r="H14125" s="898"/>
      <c r="I14125" s="1586"/>
      <c r="J14125" s="914"/>
      <c r="K14125" s="915">
        <f t="shared" ref="K14125:L14125" si="2828">SUM(K14122:K14124)</f>
        <v>19</v>
      </c>
      <c r="L14125" s="914">
        <f t="shared" si="2828"/>
        <v>1.0975199999999998</v>
      </c>
      <c r="M14125" s="549"/>
      <c r="N14125" s="549"/>
      <c r="O14125" s="549"/>
      <c r="P14125" s="549"/>
    </row>
    <row r="14126" spans="1:16" ht="17.399999999999999">
      <c r="A14126" s="547"/>
      <c r="B14126" s="547"/>
      <c r="C14126" s="547"/>
      <c r="D14126" s="813"/>
      <c r="E14126" s="650"/>
      <c r="F14126" s="550"/>
      <c r="G14126" s="549"/>
      <c r="H14126" s="549"/>
      <c r="I14126" s="558"/>
      <c r="J14126" s="567"/>
      <c r="K14126" s="848">
        <f>SUM(K14097:K14125)/2</f>
        <v>213</v>
      </c>
      <c r="L14126" s="552">
        <f>SUM(L14097:L14125)/2</f>
        <v>11.854369</v>
      </c>
      <c r="M14126" s="848">
        <f>SUM(M14097:M14125)/2</f>
        <v>10</v>
      </c>
      <c r="N14126" s="552">
        <f>SUM(N14097:N14125)/2</f>
        <v>0.60143999999999997</v>
      </c>
      <c r="O14126" s="549"/>
      <c r="P14126" s="549"/>
    </row>
    <row r="14127" spans="1:16" ht="17.399999999999999">
      <c r="A14127" s="549"/>
      <c r="B14127" s="549"/>
      <c r="C14127" s="549"/>
      <c r="D14127" s="549"/>
      <c r="E14127" s="549"/>
      <c r="F14127" s="549"/>
      <c r="G14127" s="549"/>
      <c r="H14127" s="549"/>
      <c r="I14127" s="558"/>
      <c r="J14127" s="567"/>
      <c r="K14127" s="648"/>
      <c r="L14127" s="552"/>
      <c r="M14127" s="549"/>
      <c r="N14127" s="549"/>
      <c r="O14127" s="549"/>
      <c r="P14127" s="549"/>
    </row>
    <row r="14128" spans="1:16" s="1737" customFormat="1" ht="17.399999999999999">
      <c r="A14128" s="549"/>
      <c r="B14128" s="549"/>
      <c r="C14128" s="549"/>
      <c r="D14128" s="549"/>
      <c r="E14128" s="549"/>
      <c r="F14128" s="549"/>
      <c r="G14128" s="549"/>
      <c r="H14128" s="549"/>
      <c r="I14128" s="558"/>
      <c r="J14128" s="567"/>
      <c r="K14128" s="648"/>
      <c r="L14128" s="552"/>
      <c r="M14128" s="549"/>
      <c r="N14128" s="549"/>
      <c r="O14128" s="549"/>
      <c r="P14128" s="549"/>
    </row>
    <row r="14129" spans="1:16" s="1737" customFormat="1" ht="18">
      <c r="A14129" s="547" t="s">
        <v>83</v>
      </c>
      <c r="B14129" s="547" t="s">
        <v>1783</v>
      </c>
      <c r="C14129" s="547" t="s">
        <v>19</v>
      </c>
      <c r="D14129" s="813" t="s">
        <v>854</v>
      </c>
      <c r="E14129" s="547" t="s">
        <v>359</v>
      </c>
      <c r="F14129" s="550">
        <v>9</v>
      </c>
      <c r="G14129" s="898" t="s">
        <v>21</v>
      </c>
      <c r="H14129" s="898" t="s">
        <v>263</v>
      </c>
      <c r="I14129" s="1586">
        <v>6.39</v>
      </c>
      <c r="J14129" s="914">
        <v>5</v>
      </c>
      <c r="K14129" s="915">
        <v>2</v>
      </c>
      <c r="L14129" s="552">
        <f>(I14129*J14129*K14129/1000)</f>
        <v>6.3899999999999998E-2</v>
      </c>
      <c r="M14129" s="549"/>
      <c r="N14129" s="549"/>
      <c r="O14129" s="549"/>
      <c r="P14129" s="549"/>
    </row>
    <row r="14130" spans="1:16" s="1737" customFormat="1" ht="18">
      <c r="A14130" s="549"/>
      <c r="B14130" s="549" t="s">
        <v>1325</v>
      </c>
      <c r="C14130" s="549"/>
      <c r="D14130" s="549"/>
      <c r="E14130" s="549"/>
      <c r="F14130" s="549"/>
      <c r="G14130" s="898" t="s">
        <v>21</v>
      </c>
      <c r="H14130" s="898" t="s">
        <v>263</v>
      </c>
      <c r="I14130" s="1586">
        <v>6.39</v>
      </c>
      <c r="J14130" s="914">
        <v>10</v>
      </c>
      <c r="K14130" s="915">
        <v>12</v>
      </c>
      <c r="L14130" s="552">
        <f>(I14130*J14130*K14130/1000)</f>
        <v>0.76679999999999993</v>
      </c>
      <c r="M14130" s="549">
        <v>4</v>
      </c>
      <c r="N14130" s="567">
        <f>J14130*M14130*I14130/1000</f>
        <v>0.25559999999999999</v>
      </c>
      <c r="O14130" s="549"/>
      <c r="P14130" s="549"/>
    </row>
    <row r="14131" spans="1:16" s="1737" customFormat="1" ht="18">
      <c r="A14131" s="549"/>
      <c r="B14131" s="549"/>
      <c r="C14131" s="549"/>
      <c r="D14131" s="549"/>
      <c r="E14131" s="549"/>
      <c r="F14131" s="549"/>
      <c r="G14131" s="898"/>
      <c r="H14131" s="898"/>
      <c r="I14131" s="1586"/>
      <c r="J14131" s="914"/>
      <c r="K14131" s="915">
        <f t="shared" ref="K14131:N14131" si="2829">SUM(K14129:K14130)</f>
        <v>14</v>
      </c>
      <c r="L14131" s="914">
        <f t="shared" si="2829"/>
        <v>0.83069999999999988</v>
      </c>
      <c r="M14131" s="915">
        <f t="shared" si="2829"/>
        <v>4</v>
      </c>
      <c r="N14131" s="914">
        <f t="shared" si="2829"/>
        <v>0.25559999999999999</v>
      </c>
      <c r="O14131" s="549"/>
      <c r="P14131" s="549"/>
    </row>
    <row r="14132" spans="1:16" s="1737" customFormat="1" ht="18">
      <c r="A14132" s="549"/>
      <c r="B14132" s="549"/>
      <c r="C14132" s="549"/>
      <c r="D14132" s="549"/>
      <c r="E14132" s="549"/>
      <c r="F14132" s="549"/>
      <c r="G14132" s="898"/>
      <c r="H14132" s="898"/>
      <c r="I14132" s="1586"/>
      <c r="J14132" s="914"/>
      <c r="K14132" s="915"/>
      <c r="L14132" s="914"/>
      <c r="M14132" s="549"/>
      <c r="N14132" s="549"/>
      <c r="O14132" s="549"/>
      <c r="P14132" s="549"/>
    </row>
    <row r="14133" spans="1:16" s="1737" customFormat="1" ht="18">
      <c r="A14133" s="547" t="s">
        <v>83</v>
      </c>
      <c r="B14133" s="547" t="s">
        <v>1746</v>
      </c>
      <c r="C14133" s="547" t="s">
        <v>19</v>
      </c>
      <c r="D14133" s="813" t="s">
        <v>854</v>
      </c>
      <c r="E14133" s="1837" t="s">
        <v>878</v>
      </c>
      <c r="F14133" s="550">
        <v>9</v>
      </c>
      <c r="G14133" s="898" t="s">
        <v>21</v>
      </c>
      <c r="H14133" s="898" t="s">
        <v>263</v>
      </c>
      <c r="I14133" s="1586">
        <v>6.38</v>
      </c>
      <c r="J14133" s="914">
        <v>6.15</v>
      </c>
      <c r="K14133" s="915">
        <v>20</v>
      </c>
      <c r="L14133" s="552">
        <f t="shared" ref="L14133:L14136" si="2830">(I14133*J14133*K14133/1000)</f>
        <v>0.78473999999999999</v>
      </c>
      <c r="M14133" s="549"/>
      <c r="N14133" s="549"/>
      <c r="O14133" s="549"/>
      <c r="P14133" s="549"/>
    </row>
    <row r="14134" spans="1:16" s="1737" customFormat="1" ht="18">
      <c r="A14134" s="549"/>
      <c r="B14134" s="549" t="s">
        <v>1135</v>
      </c>
      <c r="C14134" s="549"/>
      <c r="D14134" s="549"/>
      <c r="E14134" s="549"/>
      <c r="F14134" s="549"/>
      <c r="G14134" s="898" t="s">
        <v>21</v>
      </c>
      <c r="H14134" s="898" t="s">
        <v>263</v>
      </c>
      <c r="I14134" s="1586">
        <v>6.38</v>
      </c>
      <c r="J14134" s="914">
        <v>8.6</v>
      </c>
      <c r="K14134" s="915">
        <v>28</v>
      </c>
      <c r="L14134" s="552">
        <f t="shared" si="2830"/>
        <v>1.5363039999999999</v>
      </c>
      <c r="M14134" s="549"/>
      <c r="N14134" s="549"/>
      <c r="O14134" s="549"/>
      <c r="P14134" s="549"/>
    </row>
    <row r="14135" spans="1:16" s="1737" customFormat="1" ht="18">
      <c r="A14135" s="549"/>
      <c r="B14135" s="549"/>
      <c r="C14135" s="549"/>
      <c r="D14135" s="549"/>
      <c r="E14135" s="549"/>
      <c r="F14135" s="549"/>
      <c r="G14135" s="898" t="s">
        <v>21</v>
      </c>
      <c r="H14135" s="898" t="s">
        <v>263</v>
      </c>
      <c r="I14135" s="1586">
        <v>6.38</v>
      </c>
      <c r="J14135" s="914">
        <v>11</v>
      </c>
      <c r="K14135" s="915">
        <v>10</v>
      </c>
      <c r="L14135" s="552">
        <f t="shared" si="2830"/>
        <v>0.70179999999999998</v>
      </c>
      <c r="M14135" s="549"/>
      <c r="N14135" s="549"/>
      <c r="O14135" s="549"/>
      <c r="P14135" s="549"/>
    </row>
    <row r="14136" spans="1:16" s="1737" customFormat="1" ht="18">
      <c r="A14136" s="549"/>
      <c r="B14136" s="549"/>
      <c r="C14136" s="549"/>
      <c r="D14136" s="549"/>
      <c r="E14136" s="549"/>
      <c r="F14136" s="549"/>
      <c r="G14136" s="898" t="s">
        <v>21</v>
      </c>
      <c r="H14136" s="898" t="s">
        <v>263</v>
      </c>
      <c r="I14136" s="1586">
        <v>6.38</v>
      </c>
      <c r="J14136" s="914">
        <v>12</v>
      </c>
      <c r="K14136" s="915">
        <v>28</v>
      </c>
      <c r="L14136" s="552">
        <f t="shared" si="2830"/>
        <v>2.1436800000000003</v>
      </c>
      <c r="M14136" s="549"/>
      <c r="N14136" s="549"/>
      <c r="O14136" s="549"/>
      <c r="P14136" s="549"/>
    </row>
    <row r="14137" spans="1:16" s="1737" customFormat="1" ht="18">
      <c r="A14137" s="549"/>
      <c r="B14137" s="549"/>
      <c r="C14137" s="549"/>
      <c r="D14137" s="549"/>
      <c r="E14137" s="549"/>
      <c r="F14137" s="549"/>
      <c r="G14137" s="898"/>
      <c r="H14137" s="898"/>
      <c r="I14137" s="1586"/>
      <c r="J14137" s="914"/>
      <c r="K14137" s="915">
        <f t="shared" ref="K14137:L14137" si="2831">SUM(K14133:K14136)</f>
        <v>86</v>
      </c>
      <c r="L14137" s="914">
        <f t="shared" si="2831"/>
        <v>5.1665239999999999</v>
      </c>
      <c r="M14137" s="549"/>
      <c r="N14137" s="549"/>
      <c r="O14137" s="549"/>
      <c r="P14137" s="549"/>
    </row>
    <row r="14138" spans="1:16" s="1737" customFormat="1" ht="18">
      <c r="A14138" s="549"/>
      <c r="B14138" s="549"/>
      <c r="C14138" s="549"/>
      <c r="D14138" s="549"/>
      <c r="E14138" s="549"/>
      <c r="F14138" s="549"/>
      <c r="G14138" s="898"/>
      <c r="H14138" s="898"/>
      <c r="I14138" s="1586"/>
      <c r="J14138" s="914"/>
      <c r="K14138" s="915"/>
      <c r="L14138" s="914"/>
      <c r="M14138" s="549"/>
      <c r="N14138" s="549"/>
      <c r="O14138" s="549"/>
      <c r="P14138" s="549"/>
    </row>
    <row r="14139" spans="1:16" s="1737" customFormat="1" ht="18">
      <c r="A14139" s="547" t="s">
        <v>395</v>
      </c>
      <c r="B14139" s="547" t="s">
        <v>1765</v>
      </c>
      <c r="C14139" s="547" t="s">
        <v>19</v>
      </c>
      <c r="D14139" s="813" t="s">
        <v>854</v>
      </c>
      <c r="E14139" s="547" t="s">
        <v>359</v>
      </c>
      <c r="F14139" s="550">
        <v>9</v>
      </c>
      <c r="G14139" s="898" t="s">
        <v>21</v>
      </c>
      <c r="H14139" s="898" t="s">
        <v>263</v>
      </c>
      <c r="I14139" s="1586">
        <v>6.39</v>
      </c>
      <c r="J14139" s="914">
        <v>10</v>
      </c>
      <c r="K14139" s="915">
        <v>3</v>
      </c>
      <c r="L14139" s="552">
        <f t="shared" ref="L14139:L14140" si="2832">(I14139*J14139*K14139/1000)</f>
        <v>0.19169999999999998</v>
      </c>
      <c r="M14139" s="549"/>
      <c r="N14139" s="549"/>
      <c r="O14139" s="549"/>
      <c r="P14139" s="549"/>
    </row>
    <row r="14140" spans="1:16" s="1737" customFormat="1" ht="18">
      <c r="A14140" s="549"/>
      <c r="B14140" s="549" t="s">
        <v>1027</v>
      </c>
      <c r="C14140" s="549"/>
      <c r="D14140" s="549"/>
      <c r="E14140" s="549"/>
      <c r="F14140" s="549"/>
      <c r="G14140" s="898" t="s">
        <v>21</v>
      </c>
      <c r="H14140" s="898" t="s">
        <v>263</v>
      </c>
      <c r="I14140" s="1586">
        <v>6.39</v>
      </c>
      <c r="J14140" s="914">
        <v>12</v>
      </c>
      <c r="K14140" s="915">
        <v>9</v>
      </c>
      <c r="L14140" s="552">
        <f t="shared" si="2832"/>
        <v>0.69011999999999984</v>
      </c>
      <c r="M14140" s="549"/>
      <c r="N14140" s="549"/>
      <c r="O14140" s="549"/>
      <c r="P14140" s="549"/>
    </row>
    <row r="14141" spans="1:16" s="1737" customFormat="1" ht="18">
      <c r="A14141" s="549"/>
      <c r="B14141" s="549"/>
      <c r="C14141" s="549"/>
      <c r="D14141" s="549"/>
      <c r="E14141" s="549"/>
      <c r="F14141" s="549"/>
      <c r="G14141" s="898"/>
      <c r="H14141" s="898"/>
      <c r="I14141" s="1586"/>
      <c r="J14141" s="914"/>
      <c r="K14141" s="915">
        <f t="shared" ref="K14141:L14141" si="2833">SUM(K14139:K14140)</f>
        <v>12</v>
      </c>
      <c r="L14141" s="914">
        <f t="shared" si="2833"/>
        <v>0.88181999999999983</v>
      </c>
      <c r="M14141" s="549"/>
      <c r="N14141" s="549"/>
      <c r="O14141" s="549"/>
      <c r="P14141" s="549"/>
    </row>
    <row r="14142" spans="1:16" s="1737" customFormat="1" ht="18">
      <c r="A14142" s="549"/>
      <c r="B14142" s="549"/>
      <c r="C14142" s="549"/>
      <c r="D14142" s="549"/>
      <c r="E14142" s="549"/>
      <c r="F14142" s="549"/>
      <c r="G14142" s="898"/>
      <c r="H14142" s="898"/>
      <c r="I14142" s="1586"/>
      <c r="J14142" s="914"/>
      <c r="K14142" s="915"/>
      <c r="L14142" s="914"/>
      <c r="M14142" s="549"/>
      <c r="N14142" s="549"/>
      <c r="O14142" s="549"/>
      <c r="P14142" s="549"/>
    </row>
    <row r="14143" spans="1:16" s="1737" customFormat="1" ht="18">
      <c r="A14143" s="547" t="s">
        <v>83</v>
      </c>
      <c r="B14143" s="547" t="s">
        <v>1785</v>
      </c>
      <c r="C14143" s="547" t="s">
        <v>19</v>
      </c>
      <c r="D14143" s="813" t="s">
        <v>854</v>
      </c>
      <c r="E14143" s="1837" t="s">
        <v>464</v>
      </c>
      <c r="F14143" s="550">
        <v>9</v>
      </c>
      <c r="G14143" s="898" t="s">
        <v>21</v>
      </c>
      <c r="H14143" s="898" t="s">
        <v>263</v>
      </c>
      <c r="I14143" s="920">
        <v>6.38</v>
      </c>
      <c r="J14143" s="938">
        <v>12</v>
      </c>
      <c r="K14143" s="915">
        <v>3</v>
      </c>
      <c r="L14143" s="552">
        <f>(I14143*J14143*K14143/1000)</f>
        <v>0.22968</v>
      </c>
      <c r="M14143" s="549">
        <v>3</v>
      </c>
      <c r="N14143" s="567">
        <f>J14143*M14143*I14143/1000</f>
        <v>0.22968</v>
      </c>
      <c r="O14143" s="549"/>
      <c r="P14143" s="549"/>
    </row>
    <row r="14144" spans="1:16" s="1737" customFormat="1" ht="18">
      <c r="A14144" s="549"/>
      <c r="B14144" s="898" t="s">
        <v>439</v>
      </c>
      <c r="C14144" s="549"/>
      <c r="D14144" s="549"/>
      <c r="E14144" s="549"/>
      <c r="F14144" s="549"/>
      <c r="G14144" s="898"/>
      <c r="H14144" s="1837"/>
      <c r="I14144" s="920"/>
      <c r="J14144" s="938"/>
      <c r="K14144" s="915">
        <f>SUM(K14143:K14143)</f>
        <v>3</v>
      </c>
      <c r="L14144" s="996">
        <f>SUM(L14143:L14143)</f>
        <v>0.22968</v>
      </c>
      <c r="M14144" s="915">
        <f>SUM(M14143:M14143)</f>
        <v>3</v>
      </c>
      <c r="N14144" s="996">
        <f>SUM(N14143:N14143)</f>
        <v>0.22968</v>
      </c>
      <c r="O14144" s="549"/>
      <c r="P14144" s="549"/>
    </row>
    <row r="14145" spans="1:20" s="1737" customFormat="1" ht="18">
      <c r="A14145" s="549"/>
      <c r="B14145" s="549"/>
      <c r="C14145" s="549"/>
      <c r="D14145" s="549"/>
      <c r="E14145" s="549"/>
      <c r="F14145" s="549"/>
      <c r="G14145" s="898"/>
      <c r="H14145" s="898"/>
      <c r="I14145" s="1586"/>
      <c r="J14145" s="914"/>
      <c r="K14145" s="915">
        <f>SUM(K14129:K14144)/2</f>
        <v>115</v>
      </c>
      <c r="L14145" s="914">
        <f>SUM(L14129:L14144)/2</f>
        <v>7.1087239999999996</v>
      </c>
      <c r="M14145" s="915">
        <f>SUM(M14129:M14144)/2</f>
        <v>7</v>
      </c>
      <c r="N14145" s="914">
        <f>SUM(N14129:N14144)/2</f>
        <v>0.48527999999999999</v>
      </c>
      <c r="O14145" s="549"/>
      <c r="P14145" s="549"/>
    </row>
    <row r="14146" spans="1:20" s="1737" customFormat="1" ht="18">
      <c r="A14146" s="549"/>
      <c r="B14146" s="549"/>
      <c r="C14146" s="549"/>
      <c r="D14146" s="549"/>
      <c r="E14146" s="549"/>
      <c r="F14146" s="549"/>
      <c r="G14146" s="898"/>
      <c r="H14146" s="898"/>
      <c r="I14146" s="1586"/>
      <c r="J14146" s="914"/>
      <c r="K14146" s="915"/>
      <c r="L14146" s="914"/>
      <c r="M14146" s="549"/>
      <c r="N14146" s="549"/>
      <c r="O14146" s="549"/>
      <c r="P14146" s="549"/>
    </row>
    <row r="14147" spans="1:20" s="1737" customFormat="1" ht="18">
      <c r="A14147" s="549"/>
      <c r="B14147" s="549"/>
      <c r="C14147" s="549"/>
      <c r="D14147" s="549"/>
      <c r="E14147" s="549"/>
      <c r="F14147" s="549"/>
      <c r="G14147" s="898"/>
      <c r="H14147" s="898"/>
      <c r="I14147" s="1586"/>
      <c r="J14147" s="914"/>
      <c r="K14147" s="915"/>
      <c r="L14147" s="914"/>
      <c r="M14147" s="549"/>
      <c r="N14147" s="549"/>
      <c r="O14147" s="549"/>
      <c r="P14147" s="549"/>
    </row>
    <row r="14148" spans="1:20" ht="17.399999999999999">
      <c r="A14148" s="549"/>
      <c r="B14148" s="549"/>
      <c r="C14148" s="549"/>
      <c r="D14148" s="549"/>
      <c r="E14148" s="549"/>
      <c r="F14148" s="549"/>
      <c r="G14148" s="549"/>
      <c r="H14148" s="549"/>
      <c r="I14148" s="560"/>
      <c r="J14148" s="549"/>
      <c r="K14148" s="652">
        <f>+K14094+K14126+K14145</f>
        <v>328</v>
      </c>
      <c r="L14148" s="565">
        <f>+L14094+L14126+L14145</f>
        <v>45.553743000000004</v>
      </c>
      <c r="M14148" s="652">
        <f>+M14094+M14126+M14145</f>
        <v>17</v>
      </c>
      <c r="N14148" s="565">
        <f>+N14094+N14126+N14145</f>
        <v>1.0867199999999999</v>
      </c>
      <c r="O14148" s="549"/>
      <c r="P14148" s="549"/>
    </row>
    <row r="14153" spans="1:20" ht="17.399999999999999">
      <c r="A14153" s="711" t="s">
        <v>48</v>
      </c>
      <c r="B14153" s="711"/>
      <c r="C14153" s="712"/>
      <c r="D14153" s="712"/>
      <c r="E14153" s="712"/>
      <c r="F14153" s="713"/>
      <c r="G14153" s="712"/>
      <c r="H14153" s="712"/>
      <c r="I14153" s="714"/>
      <c r="J14153" s="715"/>
      <c r="K14153" s="716"/>
      <c r="L14153" s="1978" t="s">
        <v>0</v>
      </c>
      <c r="M14153" s="1978"/>
      <c r="N14153" s="1978"/>
      <c r="O14153" s="1978"/>
      <c r="P14153" s="717"/>
    </row>
    <row r="14154" spans="1:20" ht="17.399999999999999">
      <c r="A14154" s="718" t="s">
        <v>1</v>
      </c>
      <c r="B14154" s="718"/>
      <c r="C14154" s="718"/>
      <c r="D14154" s="719" t="s">
        <v>2</v>
      </c>
      <c r="E14154" s="719"/>
      <c r="F14154" s="720"/>
      <c r="G14154" s="720"/>
      <c r="H14154" s="720"/>
      <c r="I14154" s="721"/>
      <c r="J14154" s="1777"/>
      <c r="K14154" s="723" t="s">
        <v>3</v>
      </c>
      <c r="L14154" s="1777"/>
      <c r="M14154" s="718"/>
      <c r="N14154" s="720"/>
      <c r="O14154" s="718"/>
      <c r="P14154" s="724"/>
    </row>
    <row r="14155" spans="1:20" ht="52.2">
      <c r="A14155" s="640" t="s">
        <v>4</v>
      </c>
      <c r="B14155" s="640" t="s">
        <v>5</v>
      </c>
      <c r="C14155" s="640" t="s">
        <v>6</v>
      </c>
      <c r="D14155" s="640" t="s">
        <v>7</v>
      </c>
      <c r="E14155" s="640" t="s">
        <v>8</v>
      </c>
      <c r="F14155" s="641" t="s">
        <v>9</v>
      </c>
      <c r="G14155" s="642" t="s">
        <v>10</v>
      </c>
      <c r="H14155" s="642" t="s">
        <v>11</v>
      </c>
      <c r="I14155" s="643" t="s">
        <v>12</v>
      </c>
      <c r="J14155" s="644" t="s">
        <v>13</v>
      </c>
      <c r="K14155" s="645" t="s">
        <v>14</v>
      </c>
      <c r="L14155" s="646" t="s">
        <v>15</v>
      </c>
      <c r="M14155" s="641" t="s">
        <v>16</v>
      </c>
      <c r="N14155" s="641" t="s">
        <v>17</v>
      </c>
      <c r="O14155" s="642" t="s">
        <v>18</v>
      </c>
      <c r="P14155" s="641" t="s">
        <v>192</v>
      </c>
    </row>
    <row r="14156" spans="1:20" ht="17.399999999999999">
      <c r="A14156" s="547" t="s">
        <v>395</v>
      </c>
      <c r="B14156" s="547" t="s">
        <v>1365</v>
      </c>
      <c r="C14156" s="547" t="s">
        <v>19</v>
      </c>
      <c r="D14156" s="813" t="s">
        <v>155</v>
      </c>
      <c r="E14156" s="547" t="s">
        <v>270</v>
      </c>
      <c r="F14156" s="550">
        <v>12</v>
      </c>
      <c r="G14156" s="549" t="s">
        <v>61</v>
      </c>
      <c r="H14156" s="599" t="s">
        <v>98</v>
      </c>
      <c r="I14156" s="558">
        <v>11.8</v>
      </c>
      <c r="J14156" s="567">
        <v>11.5</v>
      </c>
      <c r="K14156" s="648">
        <v>400</v>
      </c>
      <c r="L14156" s="552">
        <f>(I14156*J14156*K14156/1000)</f>
        <v>54.280000000000008</v>
      </c>
      <c r="M14156" s="549"/>
      <c r="N14156" s="549"/>
      <c r="O14156" s="549"/>
      <c r="P14156" s="549"/>
      <c r="R14156" s="497">
        <v>294</v>
      </c>
      <c r="S14156" s="126">
        <f>J14156*R14156*I14156/1000</f>
        <v>39.895800000000001</v>
      </c>
      <c r="T14156" s="1737" t="s">
        <v>1756</v>
      </c>
    </row>
    <row r="14157" spans="1:20" ht="17.399999999999999">
      <c r="A14157" s="549"/>
      <c r="B14157" s="1605" t="s">
        <v>277</v>
      </c>
      <c r="C14157" s="549"/>
      <c r="D14157" s="549"/>
      <c r="E14157" s="549"/>
      <c r="F14157" s="549"/>
      <c r="G14157" s="549"/>
      <c r="H14157" s="549"/>
      <c r="I14157" s="558"/>
      <c r="J14157" s="567"/>
      <c r="K14157" s="648">
        <f t="shared" ref="K14157:N14157" si="2834">SUM(K14156)</f>
        <v>400</v>
      </c>
      <c r="L14157" s="567">
        <f t="shared" si="2834"/>
        <v>54.280000000000008</v>
      </c>
      <c r="M14157" s="648">
        <f t="shared" si="2834"/>
        <v>0</v>
      </c>
      <c r="N14157" s="567">
        <f t="shared" si="2834"/>
        <v>0</v>
      </c>
      <c r="O14157" s="549"/>
      <c r="P14157" s="549" t="s">
        <v>1700</v>
      </c>
      <c r="R14157" s="648">
        <f t="shared" ref="R14157" si="2835">SUM(R14156)</f>
        <v>294</v>
      </c>
      <c r="S14157" s="567">
        <f>SUM(S14156)</f>
        <v>39.895800000000001</v>
      </c>
    </row>
    <row r="14158" spans="1:20" ht="17.399999999999999">
      <c r="A14158" s="549"/>
      <c r="B14158" s="549"/>
      <c r="C14158" s="549"/>
      <c r="D14158" s="549"/>
      <c r="E14158" s="549"/>
      <c r="F14158" s="549"/>
      <c r="G14158" s="549"/>
      <c r="H14158" s="549"/>
      <c r="I14158" s="560"/>
      <c r="J14158" s="549"/>
      <c r="K14158" s="561"/>
      <c r="L14158" s="560"/>
      <c r="M14158" s="549"/>
      <c r="N14158" s="549"/>
      <c r="O14158" s="549"/>
      <c r="P14158" s="549"/>
      <c r="S14158" s="126"/>
    </row>
    <row r="14159" spans="1:20" ht="17.399999999999999">
      <c r="A14159" s="547" t="s">
        <v>83</v>
      </c>
      <c r="B14159" s="547" t="s">
        <v>1559</v>
      </c>
      <c r="C14159" s="547" t="s">
        <v>19</v>
      </c>
      <c r="D14159" s="813" t="s">
        <v>155</v>
      </c>
      <c r="E14159" s="650" t="s">
        <v>471</v>
      </c>
      <c r="F14159" s="550">
        <v>12</v>
      </c>
      <c r="G14159" s="549" t="s">
        <v>61</v>
      </c>
      <c r="H14159" s="599" t="s">
        <v>98</v>
      </c>
      <c r="I14159" s="558">
        <v>11.8</v>
      </c>
      <c r="J14159" s="567">
        <v>9.3000000000000007</v>
      </c>
      <c r="K14159" s="648">
        <v>4</v>
      </c>
      <c r="L14159" s="552">
        <f>(I14159*J14159*K14159/1000)</f>
        <v>0.43896000000000002</v>
      </c>
      <c r="M14159" s="549"/>
      <c r="N14159" s="549"/>
      <c r="O14159" s="549"/>
      <c r="P14159" s="549"/>
      <c r="R14159" s="497">
        <v>2</v>
      </c>
      <c r="S14159" s="126">
        <f>J14159*R14159*I14159/1000</f>
        <v>0.21948000000000001</v>
      </c>
      <c r="T14159" s="1737" t="s">
        <v>1756</v>
      </c>
    </row>
    <row r="14160" spans="1:20" ht="17.399999999999999">
      <c r="A14160" s="549"/>
      <c r="B14160" s="549" t="s">
        <v>439</v>
      </c>
      <c r="C14160" s="549"/>
      <c r="D14160" s="549"/>
      <c r="E14160" s="549"/>
      <c r="F14160" s="549"/>
      <c r="G14160" s="549"/>
      <c r="H14160" s="549"/>
      <c r="I14160" s="558"/>
      <c r="J14160" s="567"/>
      <c r="K14160" s="648">
        <f t="shared" ref="K14160:M14160" si="2836">SUM(K14159)</f>
        <v>4</v>
      </c>
      <c r="L14160" s="567">
        <f>SUM(L14159)</f>
        <v>0.43896000000000002</v>
      </c>
      <c r="M14160" s="648">
        <f t="shared" si="2836"/>
        <v>0</v>
      </c>
      <c r="N14160" s="567">
        <f>SUM(N14159)</f>
        <v>0</v>
      </c>
      <c r="O14160" s="549"/>
      <c r="P14160" s="549" t="s">
        <v>1701</v>
      </c>
      <c r="R14160" s="648">
        <f t="shared" ref="R14160" si="2837">SUM(R14159)</f>
        <v>2</v>
      </c>
      <c r="S14160" s="567">
        <f>SUM(S14159)</f>
        <v>0.21948000000000001</v>
      </c>
    </row>
    <row r="14161" spans="1:19" ht="17.399999999999999">
      <c r="A14161" s="549"/>
      <c r="B14161" s="549"/>
      <c r="C14161" s="549"/>
      <c r="D14161" s="549"/>
      <c r="E14161" s="549"/>
      <c r="F14161" s="549"/>
      <c r="G14161" s="549"/>
      <c r="H14161" s="549"/>
      <c r="I14161" s="560"/>
      <c r="J14161" s="549"/>
      <c r="K14161" s="652">
        <f>SUM(K14156:K14160)/2</f>
        <v>404</v>
      </c>
      <c r="L14161" s="565">
        <f>SUM(L14156:L14160)/2</f>
        <v>54.718960000000003</v>
      </c>
      <c r="M14161" s="652">
        <f>SUM(M14156:M14160)/2</f>
        <v>0</v>
      </c>
      <c r="N14161" s="565">
        <f>SUM(N14156:N14160)/2</f>
        <v>0</v>
      </c>
      <c r="O14161" s="549"/>
      <c r="P14161" s="549"/>
      <c r="R14161" s="652">
        <f>SUM(R14156:R14160)/2</f>
        <v>296</v>
      </c>
      <c r="S14161" s="565">
        <f>SUM(S14156:S14160)/2</f>
        <v>40.115280000000006</v>
      </c>
    </row>
    <row r="14162" spans="1:19" s="1737" customFormat="1" ht="17.399999999999999">
      <c r="A14162" s="549"/>
      <c r="B14162" s="549"/>
      <c r="C14162" s="549"/>
      <c r="D14162" s="549"/>
      <c r="E14162" s="549"/>
      <c r="F14162" s="549"/>
      <c r="G14162" s="549"/>
      <c r="H14162" s="549"/>
      <c r="I14162" s="560"/>
      <c r="J14162" s="549"/>
      <c r="K14162" s="652"/>
      <c r="L14162" s="565"/>
      <c r="M14162" s="549"/>
      <c r="N14162" s="549"/>
      <c r="O14162" s="549"/>
      <c r="P14162" s="549"/>
    </row>
    <row r="14163" spans="1:19" s="1737" customFormat="1" ht="17.399999999999999">
      <c r="A14163" s="549"/>
      <c r="B14163" s="549"/>
      <c r="C14163" s="549"/>
      <c r="D14163" s="549"/>
      <c r="E14163" s="549"/>
      <c r="F14163" s="549"/>
      <c r="G14163" s="549"/>
      <c r="H14163" s="549"/>
      <c r="I14163" s="560"/>
      <c r="J14163" s="549"/>
      <c r="K14163" s="561"/>
      <c r="L14163" s="565"/>
      <c r="M14163" s="549"/>
      <c r="N14163" s="549"/>
      <c r="O14163" s="549"/>
      <c r="P14163" s="549"/>
    </row>
    <row r="14164" spans="1:19" ht="17.399999999999999">
      <c r="A14164" s="547" t="s">
        <v>395</v>
      </c>
      <c r="B14164" s="547" t="s">
        <v>1365</v>
      </c>
      <c r="C14164" s="547" t="s">
        <v>19</v>
      </c>
      <c r="D14164" s="813" t="s">
        <v>155</v>
      </c>
      <c r="E14164" s="547" t="s">
        <v>270</v>
      </c>
      <c r="F14164" s="550">
        <v>12</v>
      </c>
      <c r="G14164" s="549" t="s">
        <v>61</v>
      </c>
      <c r="H14164" s="599" t="s">
        <v>97</v>
      </c>
      <c r="I14164" s="558">
        <v>10.199999999999999</v>
      </c>
      <c r="J14164" s="567">
        <v>11.5</v>
      </c>
      <c r="K14164" s="648">
        <v>400</v>
      </c>
      <c r="L14164" s="552">
        <f>(I14164*J14164*K14164/1000)</f>
        <v>46.92</v>
      </c>
      <c r="M14164" s="549">
        <v>42</v>
      </c>
      <c r="N14164" s="567">
        <f>J14164*M14164*I14164/1000</f>
        <v>4.9265999999999996</v>
      </c>
      <c r="O14164" s="549" t="s">
        <v>1693</v>
      </c>
      <c r="P14164" s="549"/>
      <c r="Q14164" s="1737" t="s">
        <v>1756</v>
      </c>
    </row>
    <row r="14165" spans="1:19" ht="17.399999999999999">
      <c r="A14165" s="549"/>
      <c r="B14165" s="1605" t="s">
        <v>277</v>
      </c>
      <c r="C14165" s="549"/>
      <c r="D14165" s="549"/>
      <c r="E14165" s="549"/>
      <c r="F14165" s="549"/>
      <c r="G14165" s="549"/>
      <c r="H14165" s="549"/>
      <c r="I14165" s="558"/>
      <c r="J14165" s="567"/>
      <c r="K14165" s="648">
        <f t="shared" ref="K14165:M14165" si="2838">SUM(K14164)</f>
        <v>400</v>
      </c>
      <c r="L14165" s="567">
        <f>SUM(L14164)</f>
        <v>46.92</v>
      </c>
      <c r="M14165" s="648">
        <f t="shared" si="2838"/>
        <v>42</v>
      </c>
      <c r="N14165" s="567">
        <f>SUM(N14164)</f>
        <v>4.9265999999999996</v>
      </c>
      <c r="O14165" s="549"/>
      <c r="P14165" s="549" t="s">
        <v>1702</v>
      </c>
    </row>
    <row r="14166" spans="1:19" s="1737" customFormat="1" ht="17.399999999999999">
      <c r="A14166" s="549"/>
      <c r="B14166" s="1605"/>
      <c r="C14166" s="549"/>
      <c r="D14166" s="549"/>
      <c r="E14166" s="549"/>
      <c r="F14166" s="549"/>
      <c r="G14166" s="549"/>
      <c r="H14166" s="549"/>
      <c r="I14166" s="558"/>
      <c r="J14166" s="567"/>
      <c r="K14166" s="648"/>
      <c r="L14166" s="567"/>
      <c r="M14166" s="648"/>
      <c r="N14166" s="567"/>
      <c r="O14166" s="549"/>
      <c r="P14166" s="549"/>
    </row>
    <row r="14167" spans="1:19" ht="17.399999999999999">
      <c r="A14167" s="549"/>
      <c r="B14167" s="549"/>
      <c r="C14167" s="549"/>
      <c r="D14167" s="549"/>
      <c r="E14167" s="549"/>
      <c r="F14167" s="549"/>
      <c r="G14167" s="549"/>
      <c r="H14167" s="549"/>
      <c r="I14167" s="560"/>
      <c r="J14167" s="549"/>
      <c r="K14167" s="561"/>
      <c r="L14167" s="560"/>
      <c r="M14167" s="549"/>
      <c r="N14167" s="549"/>
      <c r="O14167" s="549"/>
      <c r="P14167" s="549"/>
    </row>
    <row r="14168" spans="1:19" ht="17.399999999999999">
      <c r="A14168" s="549"/>
      <c r="B14168" s="549"/>
      <c r="C14168" s="549"/>
      <c r="D14168" s="549"/>
      <c r="E14168" s="549"/>
      <c r="F14168" s="549"/>
      <c r="G14168" s="549"/>
      <c r="H14168" s="549"/>
      <c r="I14168" s="560"/>
      <c r="J14168" s="549"/>
      <c r="K14168" s="561"/>
      <c r="L14168" s="560"/>
      <c r="M14168" s="549"/>
      <c r="N14168" s="549"/>
      <c r="O14168" s="549"/>
      <c r="P14168" s="549"/>
    </row>
    <row r="14169" spans="1:19" ht="17.399999999999999">
      <c r="A14169" s="547" t="s">
        <v>395</v>
      </c>
      <c r="B14169" s="547" t="s">
        <v>1365</v>
      </c>
      <c r="C14169" s="547" t="s">
        <v>19</v>
      </c>
      <c r="D14169" s="813" t="s">
        <v>854</v>
      </c>
      <c r="E14169" s="547" t="s">
        <v>359</v>
      </c>
      <c r="F14169" s="550">
        <v>12</v>
      </c>
      <c r="G14169" s="549" t="s">
        <v>21</v>
      </c>
      <c r="H14169" s="599" t="s">
        <v>98</v>
      </c>
      <c r="I14169" s="558">
        <v>11.8</v>
      </c>
      <c r="J14169" s="567">
        <v>10</v>
      </c>
      <c r="K14169" s="648">
        <v>74</v>
      </c>
      <c r="L14169" s="552">
        <f>(I14169*J14169*K14169/1000)</f>
        <v>8.7319999999999993</v>
      </c>
      <c r="M14169" s="549"/>
      <c r="N14169" s="549"/>
      <c r="O14169" s="549"/>
      <c r="P14169" s="549"/>
      <c r="Q14169" s="1737" t="s">
        <v>1756</v>
      </c>
    </row>
    <row r="14170" spans="1:19" ht="17.399999999999999">
      <c r="A14170" s="549"/>
      <c r="B14170" s="1605" t="s">
        <v>277</v>
      </c>
      <c r="C14170" s="549"/>
      <c r="D14170" s="549"/>
      <c r="E14170" s="549"/>
      <c r="F14170" s="549"/>
      <c r="G14170" s="549" t="s">
        <v>21</v>
      </c>
      <c r="H14170" s="549" t="s">
        <v>98</v>
      </c>
      <c r="I14170" s="558">
        <v>11.8</v>
      </c>
      <c r="J14170" s="567">
        <v>11</v>
      </c>
      <c r="K14170" s="648">
        <v>11</v>
      </c>
      <c r="L14170" s="552">
        <f>(I14170*J14170*K14170/1000)</f>
        <v>1.4278000000000002</v>
      </c>
      <c r="M14170" s="549"/>
      <c r="N14170" s="549"/>
      <c r="O14170" s="549"/>
      <c r="P14170" s="549"/>
    </row>
    <row r="14171" spans="1:19" ht="17.399999999999999">
      <c r="A14171" s="549"/>
      <c r="B14171" s="549"/>
      <c r="C14171" s="549"/>
      <c r="D14171" s="549"/>
      <c r="E14171" s="549"/>
      <c r="F14171" s="549"/>
      <c r="G14171" s="549" t="s">
        <v>21</v>
      </c>
      <c r="H14171" s="549" t="s">
        <v>98</v>
      </c>
      <c r="I14171" s="558">
        <v>11.8</v>
      </c>
      <c r="J14171" s="567">
        <v>12</v>
      </c>
      <c r="K14171" s="648">
        <v>1</v>
      </c>
      <c r="L14171" s="552">
        <f>(I14171*J14171*K14171/1000)</f>
        <v>0.14160000000000003</v>
      </c>
      <c r="M14171" s="549"/>
      <c r="N14171" s="549"/>
      <c r="O14171" s="549"/>
      <c r="P14171" s="549"/>
    </row>
    <row r="14172" spans="1:19" ht="17.399999999999999">
      <c r="A14172" s="549"/>
      <c r="B14172" s="549"/>
      <c r="C14172" s="549"/>
      <c r="D14172" s="549"/>
      <c r="E14172" s="549"/>
      <c r="F14172" s="549"/>
      <c r="G14172" s="549"/>
      <c r="H14172" s="549"/>
      <c r="I14172" s="558"/>
      <c r="J14172" s="567"/>
      <c r="K14172" s="648">
        <f t="shared" ref="K14172" si="2839">SUM(K14169:K14171)</f>
        <v>86</v>
      </c>
      <c r="L14172" s="567">
        <f>SUM(L14169:L14171)</f>
        <v>10.301399999999999</v>
      </c>
      <c r="M14172" s="549"/>
      <c r="N14172" s="549"/>
      <c r="O14172" s="549"/>
      <c r="P14172" s="549" t="s">
        <v>1703</v>
      </c>
    </row>
    <row r="14173" spans="1:19" ht="17.399999999999999">
      <c r="A14173" s="549"/>
      <c r="B14173" s="549"/>
      <c r="C14173" s="549"/>
      <c r="D14173" s="549"/>
      <c r="E14173" s="549"/>
      <c r="F14173" s="549"/>
      <c r="G14173" s="549"/>
      <c r="H14173" s="549"/>
      <c r="I14173" s="560"/>
      <c r="J14173" s="549"/>
      <c r="K14173" s="561"/>
      <c r="L14173" s="560"/>
      <c r="M14173" s="549"/>
      <c r="N14173" s="549"/>
      <c r="O14173" s="549"/>
      <c r="P14173" s="549"/>
    </row>
    <row r="14174" spans="1:19" ht="17.399999999999999">
      <c r="A14174" s="547" t="s">
        <v>83</v>
      </c>
      <c r="B14174" s="547" t="s">
        <v>1559</v>
      </c>
      <c r="C14174" s="547" t="s">
        <v>19</v>
      </c>
      <c r="D14174" s="813" t="s">
        <v>854</v>
      </c>
      <c r="E14174" s="650" t="s">
        <v>464</v>
      </c>
      <c r="F14174" s="550">
        <v>12</v>
      </c>
      <c r="G14174" s="549" t="s">
        <v>21</v>
      </c>
      <c r="H14174" s="599" t="s">
        <v>98</v>
      </c>
      <c r="I14174" s="558">
        <v>11.8</v>
      </c>
      <c r="J14174" s="567">
        <v>10.5</v>
      </c>
      <c r="K14174" s="648">
        <v>17</v>
      </c>
      <c r="L14174" s="552">
        <f>(I14174*J14174*K14174/1000)</f>
        <v>2.1063000000000001</v>
      </c>
      <c r="M14174" s="549"/>
      <c r="N14174" s="549"/>
      <c r="O14174" s="549"/>
      <c r="P14174" s="549"/>
      <c r="Q14174" s="1737" t="s">
        <v>1756</v>
      </c>
    </row>
    <row r="14175" spans="1:19" ht="17.399999999999999">
      <c r="A14175" s="549"/>
      <c r="B14175" s="549" t="s">
        <v>439</v>
      </c>
      <c r="C14175" s="549"/>
      <c r="D14175" s="549"/>
      <c r="E14175" s="549"/>
      <c r="F14175" s="549"/>
      <c r="G14175" s="549" t="s">
        <v>21</v>
      </c>
      <c r="H14175" s="549" t="s">
        <v>98</v>
      </c>
      <c r="I14175" s="558">
        <v>11.8</v>
      </c>
      <c r="J14175" s="567">
        <v>12</v>
      </c>
      <c r="K14175" s="648">
        <v>10</v>
      </c>
      <c r="L14175" s="552">
        <f>(I14175*J14175*K14175/1000)</f>
        <v>1.4160000000000001</v>
      </c>
      <c r="M14175" s="549"/>
      <c r="N14175" s="549"/>
      <c r="O14175" s="549"/>
      <c r="P14175" s="549"/>
    </row>
    <row r="14176" spans="1:19" ht="17.399999999999999">
      <c r="A14176" s="549"/>
      <c r="B14176" s="549"/>
      <c r="C14176" s="549"/>
      <c r="D14176" s="549"/>
      <c r="E14176" s="549"/>
      <c r="F14176" s="549"/>
      <c r="G14176" s="549"/>
      <c r="H14176" s="549"/>
      <c r="I14176" s="558"/>
      <c r="J14176" s="567"/>
      <c r="K14176" s="648">
        <f>SUM(K14174:K14175)</f>
        <v>27</v>
      </c>
      <c r="L14176" s="567">
        <f>SUM(L14174:L14175)</f>
        <v>3.5223000000000004</v>
      </c>
      <c r="M14176" s="549"/>
      <c r="N14176" s="549"/>
      <c r="O14176" s="549"/>
      <c r="P14176" s="549" t="s">
        <v>1704</v>
      </c>
    </row>
    <row r="14177" spans="1:17" s="1737" customFormat="1" ht="17.399999999999999">
      <c r="A14177" s="549"/>
      <c r="B14177" s="549"/>
      <c r="C14177" s="549"/>
      <c r="D14177" s="549"/>
      <c r="E14177" s="549"/>
      <c r="F14177" s="549"/>
      <c r="G14177" s="549"/>
      <c r="H14177" s="549"/>
      <c r="I14177" s="558"/>
      <c r="J14177" s="567"/>
      <c r="K14177" s="648">
        <f>SUM(K14169:K14176)/2</f>
        <v>113</v>
      </c>
      <c r="L14177" s="567">
        <f>SUM(L14169:L14176)/2</f>
        <v>13.823700000000001</v>
      </c>
      <c r="M14177" s="549"/>
      <c r="N14177" s="549"/>
      <c r="O14177" s="549"/>
      <c r="P14177" s="549"/>
    </row>
    <row r="14178" spans="1:17" s="1737" customFormat="1" ht="17.399999999999999">
      <c r="A14178" s="549"/>
      <c r="B14178" s="549"/>
      <c r="C14178" s="549"/>
      <c r="D14178" s="549"/>
      <c r="E14178" s="549"/>
      <c r="F14178" s="549"/>
      <c r="G14178" s="549"/>
      <c r="H14178" s="549"/>
      <c r="I14178" s="558"/>
      <c r="J14178" s="567"/>
      <c r="K14178" s="648"/>
      <c r="L14178" s="567"/>
      <c r="M14178" s="549"/>
      <c r="N14178" s="549"/>
      <c r="O14178" s="549"/>
      <c r="P14178" s="549"/>
    </row>
    <row r="14179" spans="1:17" s="1737" customFormat="1" ht="17.399999999999999">
      <c r="A14179" s="549"/>
      <c r="B14179" s="549"/>
      <c r="C14179" s="549"/>
      <c r="D14179" s="549"/>
      <c r="E14179" s="549"/>
      <c r="F14179" s="549"/>
      <c r="G14179" s="549"/>
      <c r="H14179" s="549"/>
      <c r="I14179" s="558"/>
      <c r="J14179" s="567"/>
      <c r="K14179" s="648"/>
      <c r="L14179" s="567"/>
      <c r="M14179" s="549"/>
      <c r="N14179" s="549"/>
      <c r="O14179" s="549"/>
      <c r="P14179" s="549"/>
    </row>
    <row r="14180" spans="1:17" s="1737" customFormat="1" ht="17.399999999999999">
      <c r="A14180" s="549"/>
      <c r="B14180" s="549"/>
      <c r="C14180" s="549"/>
      <c r="D14180" s="549"/>
      <c r="E14180" s="549"/>
      <c r="F14180" s="549"/>
      <c r="G14180" s="549"/>
      <c r="H14180" s="549"/>
      <c r="I14180" s="558"/>
      <c r="J14180" s="567"/>
      <c r="K14180" s="648"/>
      <c r="L14180" s="567"/>
      <c r="M14180" s="549"/>
      <c r="N14180" s="549"/>
      <c r="O14180" s="549"/>
      <c r="P14180" s="549"/>
    </row>
    <row r="14181" spans="1:17" ht="17.399999999999999">
      <c r="A14181" s="547" t="s">
        <v>272</v>
      </c>
      <c r="B14181" s="547" t="s">
        <v>1664</v>
      </c>
      <c r="C14181" s="547" t="s">
        <v>446</v>
      </c>
      <c r="D14181" s="813" t="s">
        <v>447</v>
      </c>
      <c r="E14181" s="547" t="s">
        <v>359</v>
      </c>
      <c r="F14181" s="550">
        <v>12</v>
      </c>
      <c r="G14181" s="549" t="s">
        <v>21</v>
      </c>
      <c r="H14181" s="599" t="s">
        <v>95</v>
      </c>
      <c r="I14181" s="558">
        <v>13.4</v>
      </c>
      <c r="J14181" s="567">
        <v>10</v>
      </c>
      <c r="K14181" s="648">
        <v>25</v>
      </c>
      <c r="L14181" s="552">
        <f t="shared" ref="L14181:L14184" si="2840">(I14181*J14181*K14181/1000)</f>
        <v>3.35</v>
      </c>
      <c r="M14181" s="549"/>
      <c r="N14181" s="549"/>
      <c r="O14181" s="549"/>
      <c r="P14181" s="549"/>
      <c r="Q14181" s="1737" t="s">
        <v>1756</v>
      </c>
    </row>
    <row r="14182" spans="1:17" ht="17.399999999999999">
      <c r="A14182" s="549"/>
      <c r="B14182" s="549"/>
      <c r="C14182" s="549"/>
      <c r="D14182" s="549"/>
      <c r="E14182" s="549"/>
      <c r="F14182" s="549"/>
      <c r="G14182" s="549" t="s">
        <v>21</v>
      </c>
      <c r="H14182" s="549" t="s">
        <v>95</v>
      </c>
      <c r="I14182" s="558">
        <v>13.4</v>
      </c>
      <c r="J14182" s="567">
        <v>10.5</v>
      </c>
      <c r="K14182" s="648">
        <v>48</v>
      </c>
      <c r="L14182" s="552">
        <f t="shared" si="2840"/>
        <v>6.7536000000000005</v>
      </c>
      <c r="M14182" s="549"/>
      <c r="N14182" s="549"/>
      <c r="O14182" s="549"/>
      <c r="P14182" s="549"/>
    </row>
    <row r="14183" spans="1:17" ht="17.399999999999999">
      <c r="A14183" s="549"/>
      <c r="B14183" s="549"/>
      <c r="C14183" s="549"/>
      <c r="D14183" s="549"/>
      <c r="E14183" s="549"/>
      <c r="F14183" s="549"/>
      <c r="G14183" s="549" t="s">
        <v>21</v>
      </c>
      <c r="H14183" s="549" t="s">
        <v>95</v>
      </c>
      <c r="I14183" s="558">
        <v>13.4</v>
      </c>
      <c r="J14183" s="567">
        <v>11.5</v>
      </c>
      <c r="K14183" s="648">
        <v>88</v>
      </c>
      <c r="L14183" s="552">
        <f t="shared" si="2840"/>
        <v>13.560799999999999</v>
      </c>
      <c r="M14183" s="549"/>
      <c r="N14183" s="549"/>
      <c r="O14183" s="549"/>
      <c r="P14183" s="549"/>
    </row>
    <row r="14184" spans="1:17" ht="17.399999999999999">
      <c r="A14184" s="549"/>
      <c r="B14184" s="549"/>
      <c r="C14184" s="549"/>
      <c r="D14184" s="549"/>
      <c r="E14184" s="549"/>
      <c r="F14184" s="549"/>
      <c r="G14184" s="549" t="s">
        <v>21</v>
      </c>
      <c r="H14184" s="549" t="s">
        <v>95</v>
      </c>
      <c r="I14184" s="558">
        <v>13.4</v>
      </c>
      <c r="J14184" s="567">
        <v>12</v>
      </c>
      <c r="K14184" s="648">
        <v>72</v>
      </c>
      <c r="L14184" s="552">
        <f t="shared" si="2840"/>
        <v>11.5776</v>
      </c>
      <c r="M14184" s="549"/>
      <c r="N14184" s="549"/>
      <c r="O14184" s="549"/>
      <c r="P14184" s="549"/>
    </row>
    <row r="14185" spans="1:17" ht="17.399999999999999">
      <c r="A14185" s="549"/>
      <c r="B14185" s="549"/>
      <c r="C14185" s="549"/>
      <c r="D14185" s="549"/>
      <c r="E14185" s="549"/>
      <c r="F14185" s="549"/>
      <c r="G14185" s="549"/>
      <c r="H14185" s="549"/>
      <c r="I14185" s="558"/>
      <c r="J14185" s="567"/>
      <c r="K14185" s="648">
        <f t="shared" ref="K14185:L14185" si="2841">SUM(K14181:K14184)</f>
        <v>233</v>
      </c>
      <c r="L14185" s="567">
        <f t="shared" si="2841"/>
        <v>35.242000000000004</v>
      </c>
      <c r="M14185" s="549"/>
      <c r="N14185" s="549"/>
      <c r="O14185" s="549"/>
      <c r="P14185" s="549" t="s">
        <v>1705</v>
      </c>
    </row>
    <row r="14186" spans="1:17" ht="17.399999999999999">
      <c r="A14186" s="549"/>
      <c r="B14186" s="549"/>
      <c r="C14186" s="549"/>
      <c r="D14186" s="549"/>
      <c r="E14186" s="549"/>
      <c r="F14186" s="549"/>
      <c r="G14186" s="549"/>
      <c r="H14186" s="549"/>
      <c r="I14186" s="558"/>
      <c r="J14186" s="549"/>
      <c r="K14186" s="561"/>
      <c r="L14186" s="560"/>
      <c r="M14186" s="549"/>
      <c r="N14186" s="549"/>
      <c r="O14186" s="549"/>
      <c r="P14186" s="549"/>
    </row>
    <row r="14187" spans="1:17" ht="17.399999999999999">
      <c r="A14187" s="549"/>
      <c r="B14187" s="549"/>
      <c r="C14187" s="549"/>
      <c r="D14187" s="549"/>
      <c r="E14187" s="549"/>
      <c r="F14187" s="549"/>
      <c r="G14187" s="549"/>
      <c r="H14187" s="549"/>
      <c r="I14187" s="558"/>
      <c r="J14187" s="549"/>
      <c r="K14187" s="561"/>
      <c r="L14187" s="560"/>
      <c r="M14187" s="549"/>
      <c r="N14187" s="549"/>
      <c r="O14187" s="549"/>
      <c r="P14187" s="549"/>
    </row>
    <row r="14188" spans="1:17" ht="17.399999999999999">
      <c r="A14188" s="547" t="s">
        <v>272</v>
      </c>
      <c r="B14188" s="547" t="s">
        <v>1664</v>
      </c>
      <c r="C14188" s="547" t="s">
        <v>446</v>
      </c>
      <c r="D14188" s="813" t="s">
        <v>447</v>
      </c>
      <c r="E14188" s="547" t="s">
        <v>359</v>
      </c>
      <c r="F14188" s="550">
        <v>12</v>
      </c>
      <c r="G14188" s="549" t="s">
        <v>21</v>
      </c>
      <c r="H14188" s="599" t="s">
        <v>98</v>
      </c>
      <c r="I14188" s="558">
        <v>11.8</v>
      </c>
      <c r="J14188" s="567">
        <v>8.1999999999999993</v>
      </c>
      <c r="K14188" s="648">
        <v>27</v>
      </c>
      <c r="L14188" s="552">
        <f t="shared" ref="L14188:L14191" si="2842">(I14188*J14188*K14188/1000)</f>
        <v>2.6125199999999995</v>
      </c>
      <c r="M14188" s="549"/>
      <c r="N14188" s="549"/>
      <c r="O14188" s="549"/>
      <c r="P14188" s="549"/>
      <c r="Q14188" s="1737" t="s">
        <v>1756</v>
      </c>
    </row>
    <row r="14189" spans="1:17" ht="17.399999999999999">
      <c r="A14189" s="549"/>
      <c r="B14189" s="549"/>
      <c r="C14189" s="549"/>
      <c r="D14189" s="549"/>
      <c r="E14189" s="549"/>
      <c r="F14189" s="549"/>
      <c r="G14189" s="549" t="s">
        <v>21</v>
      </c>
      <c r="H14189" s="549" t="s">
        <v>98</v>
      </c>
      <c r="I14189" s="558">
        <v>11.8</v>
      </c>
      <c r="J14189" s="567">
        <v>10.5</v>
      </c>
      <c r="K14189" s="648">
        <v>116</v>
      </c>
      <c r="L14189" s="552">
        <f t="shared" si="2842"/>
        <v>14.372400000000001</v>
      </c>
      <c r="M14189" s="549"/>
      <c r="N14189" s="549"/>
      <c r="O14189" s="549"/>
      <c r="P14189" s="549"/>
    </row>
    <row r="14190" spans="1:17" ht="17.399999999999999">
      <c r="A14190" s="549"/>
      <c r="B14190" s="549"/>
      <c r="C14190" s="549"/>
      <c r="D14190" s="549"/>
      <c r="E14190" s="549"/>
      <c r="F14190" s="549"/>
      <c r="G14190" s="549" t="s">
        <v>21</v>
      </c>
      <c r="H14190" s="549" t="s">
        <v>98</v>
      </c>
      <c r="I14190" s="558">
        <v>11.8</v>
      </c>
      <c r="J14190" s="567">
        <v>10.8</v>
      </c>
      <c r="K14190" s="648">
        <v>84</v>
      </c>
      <c r="L14190" s="552">
        <f t="shared" si="2842"/>
        <v>10.704960000000002</v>
      </c>
      <c r="M14190" s="549"/>
      <c r="N14190" s="549"/>
      <c r="O14190" s="549"/>
      <c r="P14190" s="549"/>
    </row>
    <row r="14191" spans="1:17" ht="17.399999999999999">
      <c r="A14191" s="549"/>
      <c r="B14191" s="549"/>
      <c r="C14191" s="549"/>
      <c r="D14191" s="549"/>
      <c r="E14191" s="549"/>
      <c r="F14191" s="549"/>
      <c r="G14191" s="549" t="s">
        <v>21</v>
      </c>
      <c r="H14191" s="549" t="s">
        <v>98</v>
      </c>
      <c r="I14191" s="558">
        <v>11.8</v>
      </c>
      <c r="J14191" s="567">
        <v>11.7</v>
      </c>
      <c r="K14191" s="648">
        <v>80</v>
      </c>
      <c r="L14191" s="552">
        <f t="shared" si="2842"/>
        <v>11.044799999999999</v>
      </c>
      <c r="M14191" s="549"/>
      <c r="N14191" s="549"/>
      <c r="O14191" s="549"/>
      <c r="P14191" s="549"/>
    </row>
    <row r="14192" spans="1:17" ht="17.399999999999999">
      <c r="A14192" s="549"/>
      <c r="B14192" s="549"/>
      <c r="C14192" s="549"/>
      <c r="D14192" s="549"/>
      <c r="E14192" s="549"/>
      <c r="F14192" s="549"/>
      <c r="G14192" s="549"/>
      <c r="H14192" s="549"/>
      <c r="I14192" s="560"/>
      <c r="J14192" s="567"/>
      <c r="K14192" s="648">
        <f t="shared" ref="K14192:L14192" si="2843">SUM(K14188:K14191)</f>
        <v>307</v>
      </c>
      <c r="L14192" s="567">
        <f t="shared" si="2843"/>
        <v>38.734679999999997</v>
      </c>
      <c r="M14192" s="549"/>
      <c r="N14192" s="549"/>
      <c r="O14192" s="549"/>
      <c r="P14192" s="549" t="s">
        <v>1706</v>
      </c>
    </row>
    <row r="14193" spans="1:17" s="1737" customFormat="1" ht="17.399999999999999">
      <c r="A14193" s="549"/>
      <c r="B14193" s="549"/>
      <c r="C14193" s="549"/>
      <c r="D14193" s="549"/>
      <c r="E14193" s="549"/>
      <c r="F14193" s="549"/>
      <c r="G14193" s="549"/>
      <c r="H14193" s="549"/>
      <c r="I14193" s="560"/>
      <c r="J14193" s="567"/>
      <c r="K14193" s="648"/>
      <c r="L14193" s="567"/>
      <c r="M14193" s="549"/>
      <c r="N14193" s="549"/>
      <c r="O14193" s="549"/>
      <c r="P14193" s="549"/>
    </row>
    <row r="14194" spans="1:17" ht="17.399999999999999">
      <c r="A14194" s="549"/>
      <c r="B14194" s="549"/>
      <c r="C14194" s="549"/>
      <c r="D14194" s="549"/>
      <c r="E14194" s="549"/>
      <c r="F14194" s="549"/>
      <c r="G14194" s="549"/>
      <c r="H14194" s="549"/>
      <c r="I14194" s="560"/>
      <c r="J14194" s="549"/>
      <c r="K14194" s="561"/>
      <c r="L14194" s="560"/>
      <c r="M14194" s="549"/>
      <c r="N14194" s="549"/>
      <c r="O14194" s="549"/>
      <c r="P14194" s="549"/>
    </row>
    <row r="14195" spans="1:17" ht="17.399999999999999">
      <c r="A14195" s="547" t="s">
        <v>272</v>
      </c>
      <c r="B14195" s="547" t="s">
        <v>1664</v>
      </c>
      <c r="C14195" s="547" t="s">
        <v>446</v>
      </c>
      <c r="D14195" s="813" t="s">
        <v>447</v>
      </c>
      <c r="E14195" s="547" t="s">
        <v>359</v>
      </c>
      <c r="F14195" s="550">
        <v>12</v>
      </c>
      <c r="G14195" s="549" t="s">
        <v>21</v>
      </c>
      <c r="H14195" s="599" t="s">
        <v>97</v>
      </c>
      <c r="I14195" s="558">
        <v>10.199999999999999</v>
      </c>
      <c r="J14195" s="567">
        <v>8.3000000000000007</v>
      </c>
      <c r="K14195" s="648">
        <v>26</v>
      </c>
      <c r="L14195" s="552">
        <f t="shared" ref="L14195:L14199" si="2844">(I14195*J14195*K14195/1000)</f>
        <v>2.2011599999999998</v>
      </c>
      <c r="M14195" s="549"/>
      <c r="N14195" s="549"/>
      <c r="O14195" s="549"/>
      <c r="P14195" s="549"/>
      <c r="Q14195" s="1737" t="s">
        <v>1756</v>
      </c>
    </row>
    <row r="14196" spans="1:17" ht="17.399999999999999">
      <c r="A14196" s="549"/>
      <c r="B14196" s="549"/>
      <c r="C14196" s="549"/>
      <c r="D14196" s="549"/>
      <c r="E14196" s="549"/>
      <c r="F14196" s="549"/>
      <c r="G14196" s="549" t="s">
        <v>21</v>
      </c>
      <c r="H14196" s="549" t="s">
        <v>97</v>
      </c>
      <c r="I14196" s="558">
        <v>10.199999999999999</v>
      </c>
      <c r="J14196" s="567">
        <v>9.1999999999999993</v>
      </c>
      <c r="K14196" s="648">
        <v>24</v>
      </c>
      <c r="L14196" s="552">
        <f t="shared" si="2844"/>
        <v>2.2521599999999999</v>
      </c>
      <c r="M14196" s="549"/>
      <c r="N14196" s="549"/>
      <c r="O14196" s="549"/>
      <c r="P14196" s="549"/>
    </row>
    <row r="14197" spans="1:17" ht="17.399999999999999">
      <c r="A14197" s="549"/>
      <c r="B14197" s="549"/>
      <c r="C14197" s="549"/>
      <c r="D14197" s="549"/>
      <c r="E14197" s="549"/>
      <c r="F14197" s="549"/>
      <c r="G14197" s="549" t="s">
        <v>21</v>
      </c>
      <c r="H14197" s="549" t="s">
        <v>97</v>
      </c>
      <c r="I14197" s="558">
        <v>10.199999999999999</v>
      </c>
      <c r="J14197" s="567">
        <v>9.8000000000000007</v>
      </c>
      <c r="K14197" s="648">
        <v>25</v>
      </c>
      <c r="L14197" s="552">
        <f t="shared" si="2844"/>
        <v>2.4990000000000001</v>
      </c>
      <c r="M14197" s="549"/>
      <c r="N14197" s="549"/>
      <c r="O14197" s="549"/>
      <c r="P14197" s="549"/>
    </row>
    <row r="14198" spans="1:17" ht="17.399999999999999">
      <c r="A14198" s="549"/>
      <c r="B14198" s="549"/>
      <c r="C14198" s="549"/>
      <c r="D14198" s="549"/>
      <c r="E14198" s="549"/>
      <c r="F14198" s="549"/>
      <c r="G14198" s="549" t="s">
        <v>21</v>
      </c>
      <c r="H14198" s="549" t="s">
        <v>97</v>
      </c>
      <c r="I14198" s="558">
        <v>10.199999999999999</v>
      </c>
      <c r="J14198" s="567">
        <v>11</v>
      </c>
      <c r="K14198" s="648">
        <v>24</v>
      </c>
      <c r="L14198" s="552">
        <f t="shared" si="2844"/>
        <v>2.6927999999999996</v>
      </c>
      <c r="M14198" s="549"/>
      <c r="N14198" s="549"/>
      <c r="O14198" s="549"/>
      <c r="P14198" s="549"/>
    </row>
    <row r="14199" spans="1:17" ht="17.399999999999999">
      <c r="A14199" s="549"/>
      <c r="B14199" s="549"/>
      <c r="C14199" s="549"/>
      <c r="D14199" s="549"/>
      <c r="E14199" s="549"/>
      <c r="F14199" s="549"/>
      <c r="G14199" s="549" t="s">
        <v>21</v>
      </c>
      <c r="H14199" s="549" t="s">
        <v>97</v>
      </c>
      <c r="I14199" s="558">
        <v>10.199999999999999</v>
      </c>
      <c r="J14199" s="567">
        <v>11.7</v>
      </c>
      <c r="K14199" s="648">
        <v>96</v>
      </c>
      <c r="L14199" s="552">
        <f t="shared" si="2844"/>
        <v>11.45664</v>
      </c>
      <c r="M14199" s="549"/>
      <c r="N14199" s="549"/>
      <c r="O14199" s="549"/>
      <c r="P14199" s="549"/>
    </row>
    <row r="14200" spans="1:17" ht="17.399999999999999">
      <c r="A14200" s="549"/>
      <c r="B14200" s="549"/>
      <c r="C14200" s="549"/>
      <c r="D14200" s="549"/>
      <c r="E14200" s="549"/>
      <c r="F14200" s="549"/>
      <c r="G14200" s="549"/>
      <c r="H14200" s="549"/>
      <c r="I14200" s="560"/>
      <c r="J14200" s="567"/>
      <c r="K14200" s="648">
        <f t="shared" ref="K14200:L14200" si="2845">SUM(K14195:K14199)</f>
        <v>195</v>
      </c>
      <c r="L14200" s="567">
        <f t="shared" si="2845"/>
        <v>21.101759999999999</v>
      </c>
      <c r="M14200" s="549"/>
      <c r="N14200" s="549"/>
      <c r="O14200" s="549"/>
      <c r="P14200" s="549" t="s">
        <v>1707</v>
      </c>
    </row>
    <row r="14201" spans="1:17" s="1737" customFormat="1" ht="17.399999999999999">
      <c r="A14201" s="549"/>
      <c r="B14201" s="549"/>
      <c r="C14201" s="549"/>
      <c r="D14201" s="549"/>
      <c r="E14201" s="549"/>
      <c r="F14201" s="549"/>
      <c r="G14201" s="549"/>
      <c r="H14201" s="549"/>
      <c r="I14201" s="560"/>
      <c r="J14201" s="567"/>
      <c r="K14201" s="648"/>
      <c r="L14201" s="567"/>
      <c r="M14201" s="549"/>
      <c r="N14201" s="549"/>
      <c r="O14201" s="549"/>
      <c r="P14201" s="549"/>
    </row>
    <row r="14202" spans="1:17" s="1737" customFormat="1" ht="17.399999999999999">
      <c r="A14202" s="547"/>
      <c r="B14202" s="547"/>
      <c r="C14202" s="547"/>
      <c r="D14202" s="813"/>
      <c r="E14202" s="547"/>
      <c r="F14202" s="550"/>
      <c r="G14202" s="549"/>
      <c r="H14202" s="549"/>
      <c r="I14202" s="558"/>
      <c r="J14202" s="1801"/>
      <c r="K14202" s="1800"/>
      <c r="L14202" s="552"/>
      <c r="M14202" s="549"/>
      <c r="N14202" s="549"/>
      <c r="O14202" s="549"/>
      <c r="P14202" s="549"/>
    </row>
    <row r="14203" spans="1:17" s="1737" customFormat="1" ht="17.399999999999999">
      <c r="A14203" s="549"/>
      <c r="B14203" s="549"/>
      <c r="C14203" s="549"/>
      <c r="D14203" s="549"/>
      <c r="E14203" s="549"/>
      <c r="F14203" s="549"/>
      <c r="G14203" s="549"/>
      <c r="H14203" s="549"/>
      <c r="I14203" s="560"/>
      <c r="J14203" s="549"/>
      <c r="K14203" s="561"/>
      <c r="L14203" s="560"/>
      <c r="M14203" s="549"/>
      <c r="N14203" s="549"/>
      <c r="O14203" s="549"/>
      <c r="P14203" s="549"/>
    </row>
    <row r="14204" spans="1:17" ht="17.399999999999999">
      <c r="A14204" s="547" t="s">
        <v>83</v>
      </c>
      <c r="B14204" s="547" t="s">
        <v>1559</v>
      </c>
      <c r="C14204" s="547" t="s">
        <v>19</v>
      </c>
      <c r="D14204" s="813" t="s">
        <v>854</v>
      </c>
      <c r="E14204" s="650" t="s">
        <v>464</v>
      </c>
      <c r="F14204" s="550">
        <v>13</v>
      </c>
      <c r="G14204" s="549" t="s">
        <v>21</v>
      </c>
      <c r="H14204" s="599" t="s">
        <v>92</v>
      </c>
      <c r="I14204" s="558">
        <v>16.600000000000001</v>
      </c>
      <c r="J14204" s="567">
        <v>10.5</v>
      </c>
      <c r="K14204" s="648">
        <v>13</v>
      </c>
      <c r="L14204" s="552">
        <f>(I14204*J14204*K14204/1000)</f>
        <v>2.2659000000000002</v>
      </c>
      <c r="M14204" s="549">
        <v>13</v>
      </c>
      <c r="N14204" s="567">
        <f>J14204*M14204*I14204/1000</f>
        <v>2.2659000000000002</v>
      </c>
      <c r="O14204" s="549"/>
      <c r="P14204" s="549"/>
      <c r="Q14204" s="1737" t="s">
        <v>1756</v>
      </c>
    </row>
    <row r="14205" spans="1:17" ht="17.399999999999999">
      <c r="A14205" s="549"/>
      <c r="B14205" s="549" t="s">
        <v>439</v>
      </c>
      <c r="C14205" s="549"/>
      <c r="D14205" s="549"/>
      <c r="E14205" s="549"/>
      <c r="F14205" s="549"/>
      <c r="G14205" s="549"/>
      <c r="H14205" s="549"/>
      <c r="I14205" s="558"/>
      <c r="J14205" s="567"/>
      <c r="K14205" s="648">
        <f t="shared" ref="K14205:N14205" si="2846">SUM(K14204)</f>
        <v>13</v>
      </c>
      <c r="L14205" s="567">
        <f t="shared" si="2846"/>
        <v>2.2659000000000002</v>
      </c>
      <c r="M14205" s="648">
        <f t="shared" si="2846"/>
        <v>13</v>
      </c>
      <c r="N14205" s="567">
        <f t="shared" si="2846"/>
        <v>2.2659000000000002</v>
      </c>
      <c r="O14205" s="549" t="s">
        <v>1643</v>
      </c>
      <c r="P14205" s="549"/>
    </row>
    <row r="14206" spans="1:17" s="1737" customFormat="1" ht="17.399999999999999">
      <c r="A14206" s="549"/>
      <c r="B14206" s="549"/>
      <c r="C14206" s="549"/>
      <c r="D14206" s="549"/>
      <c r="E14206" s="549"/>
      <c r="F14206" s="549"/>
      <c r="G14206" s="549"/>
      <c r="H14206" s="549"/>
      <c r="I14206" s="558"/>
      <c r="J14206" s="567"/>
      <c r="K14206" s="648"/>
      <c r="L14206" s="567"/>
      <c r="M14206" s="549"/>
      <c r="N14206" s="549"/>
      <c r="O14206" s="549"/>
      <c r="P14206" s="549"/>
    </row>
    <row r="14207" spans="1:17" ht="17.399999999999999">
      <c r="A14207" s="547" t="s">
        <v>395</v>
      </c>
      <c r="B14207" s="547" t="s">
        <v>1561</v>
      </c>
      <c r="C14207" s="547" t="s">
        <v>19</v>
      </c>
      <c r="D14207" s="813" t="s">
        <v>854</v>
      </c>
      <c r="E14207" s="547" t="s">
        <v>359</v>
      </c>
      <c r="F14207" s="550">
        <v>13</v>
      </c>
      <c r="G14207" s="549" t="s">
        <v>21</v>
      </c>
      <c r="H14207" s="599" t="s">
        <v>92</v>
      </c>
      <c r="I14207" s="558">
        <v>16.579999999999998</v>
      </c>
      <c r="J14207" s="567">
        <v>12</v>
      </c>
      <c r="K14207" s="648">
        <v>2</v>
      </c>
      <c r="L14207" s="552">
        <f>(I14207*J14207*K14207/1000)</f>
        <v>0.39791999999999994</v>
      </c>
      <c r="M14207" s="549">
        <v>2</v>
      </c>
      <c r="N14207" s="567">
        <f>J14207*M14207*I14207/1000</f>
        <v>0.39791999999999994</v>
      </c>
      <c r="O14207" s="549"/>
      <c r="P14207" s="549"/>
      <c r="Q14207" s="1737" t="s">
        <v>1756</v>
      </c>
    </row>
    <row r="14208" spans="1:17" ht="17.399999999999999">
      <c r="A14208" s="549"/>
      <c r="B14208" s="832" t="s">
        <v>1027</v>
      </c>
      <c r="C14208" s="549"/>
      <c r="D14208" s="549"/>
      <c r="E14208" s="549"/>
      <c r="F14208" s="549"/>
      <c r="G14208" s="549"/>
      <c r="H14208" s="549"/>
      <c r="I14208" s="558"/>
      <c r="J14208" s="567"/>
      <c r="K14208" s="648">
        <f t="shared" ref="K14208:M14208" si="2847">SUM(K14207)</f>
        <v>2</v>
      </c>
      <c r="L14208" s="567">
        <f>SUM(L14207)</f>
        <v>0.39791999999999994</v>
      </c>
      <c r="M14208" s="648">
        <f t="shared" si="2847"/>
        <v>2</v>
      </c>
      <c r="N14208" s="567">
        <f>SUM(N14207)</f>
        <v>0.39791999999999994</v>
      </c>
      <c r="O14208" s="549"/>
      <c r="P14208" s="549"/>
    </row>
    <row r="14209" spans="1:17" s="1737" customFormat="1" ht="17.399999999999999">
      <c r="A14209" s="549"/>
      <c r="B14209" s="832"/>
      <c r="C14209" s="549"/>
      <c r="D14209" s="549"/>
      <c r="E14209" s="549"/>
      <c r="F14209" s="549"/>
      <c r="G14209" s="549"/>
      <c r="H14209" s="549"/>
      <c r="I14209" s="558"/>
      <c r="J14209" s="567"/>
      <c r="K14209" s="648"/>
      <c r="L14209" s="567"/>
      <c r="M14209" s="549"/>
      <c r="N14209" s="549"/>
      <c r="O14209" s="549"/>
      <c r="P14209" s="549"/>
    </row>
    <row r="14210" spans="1:17" s="1737" customFormat="1" ht="17.399999999999999">
      <c r="A14210" s="549"/>
      <c r="B14210" s="832"/>
      <c r="C14210" s="549"/>
      <c r="D14210" s="549"/>
      <c r="E14210" s="549"/>
      <c r="F14210" s="549"/>
      <c r="G14210" s="549"/>
      <c r="H14210" s="549"/>
      <c r="I14210" s="558"/>
      <c r="J14210" s="567"/>
      <c r="K14210" s="648"/>
      <c r="L14210" s="567"/>
      <c r="M14210" s="549"/>
      <c r="N14210" s="549"/>
      <c r="O14210" s="549"/>
      <c r="P14210" s="549"/>
    </row>
    <row r="14211" spans="1:17" ht="17.399999999999999">
      <c r="A14211" s="549"/>
      <c r="B14211" s="549"/>
      <c r="C14211" s="549"/>
      <c r="D14211" s="549"/>
      <c r="E14211" s="549"/>
      <c r="F14211" s="549"/>
      <c r="G14211" s="549"/>
      <c r="H14211" s="549"/>
      <c r="I14211" s="560"/>
      <c r="J14211" s="549"/>
      <c r="K14211" s="561"/>
      <c r="L14211" s="560"/>
      <c r="M14211" s="549"/>
      <c r="N14211" s="549"/>
      <c r="O14211" s="549"/>
      <c r="P14211" s="549"/>
    </row>
    <row r="14212" spans="1:17" ht="17.399999999999999">
      <c r="A14212" s="547" t="s">
        <v>83</v>
      </c>
      <c r="B14212" s="547" t="s">
        <v>1559</v>
      </c>
      <c r="C14212" s="547" t="s">
        <v>19</v>
      </c>
      <c r="D14212" s="813" t="s">
        <v>854</v>
      </c>
      <c r="E14212" s="650" t="s">
        <v>464</v>
      </c>
      <c r="F14212" s="550">
        <v>12</v>
      </c>
      <c r="G14212" s="549" t="s">
        <v>21</v>
      </c>
      <c r="H14212" s="599" t="s">
        <v>97</v>
      </c>
      <c r="I14212" s="558">
        <v>10.199999999999999</v>
      </c>
      <c r="J14212" s="567">
        <v>6</v>
      </c>
      <c r="K14212" s="648">
        <v>1</v>
      </c>
      <c r="L14212" s="552">
        <f>(I14212*J14212*K14212/1000)</f>
        <v>6.1199999999999997E-2</v>
      </c>
      <c r="M14212" s="549">
        <v>1</v>
      </c>
      <c r="N14212" s="567">
        <f>J14212*M14212*I14212/1000</f>
        <v>6.1199999999999997E-2</v>
      </c>
      <c r="O14212" s="549"/>
      <c r="P14212" s="549"/>
      <c r="Q14212" s="1737" t="s">
        <v>1756</v>
      </c>
    </row>
    <row r="14213" spans="1:17" ht="17.399999999999999">
      <c r="A14213" s="549"/>
      <c r="B14213" s="549" t="s">
        <v>439</v>
      </c>
      <c r="C14213" s="549"/>
      <c r="D14213" s="549"/>
      <c r="E14213" s="549"/>
      <c r="F14213" s="549"/>
      <c r="G14213" s="549"/>
      <c r="H14213" s="549"/>
      <c r="I14213" s="558"/>
      <c r="J14213" s="567"/>
      <c r="K14213" s="648">
        <f t="shared" ref="K14213:N14213" si="2848">SUM(K14212)</f>
        <v>1</v>
      </c>
      <c r="L14213" s="567">
        <f t="shared" si="2848"/>
        <v>6.1199999999999997E-2</v>
      </c>
      <c r="M14213" s="648">
        <f t="shared" si="2848"/>
        <v>1</v>
      </c>
      <c r="N14213" s="567">
        <f t="shared" si="2848"/>
        <v>6.1199999999999997E-2</v>
      </c>
      <c r="O14213" s="549"/>
      <c r="P14213" s="549"/>
    </row>
    <row r="14214" spans="1:17" s="1737" customFormat="1" ht="17.399999999999999">
      <c r="A14214" s="549"/>
      <c r="B14214" s="549"/>
      <c r="C14214" s="549"/>
      <c r="D14214" s="549"/>
      <c r="E14214" s="549"/>
      <c r="F14214" s="549"/>
      <c r="G14214" s="549"/>
      <c r="H14214" s="549"/>
      <c r="I14214" s="558"/>
      <c r="J14214" s="567"/>
      <c r="K14214" s="648"/>
      <c r="L14214" s="567"/>
      <c r="M14214" s="549"/>
      <c r="N14214" s="549"/>
      <c r="O14214" s="549"/>
      <c r="P14214" s="549"/>
    </row>
    <row r="14215" spans="1:17" ht="17.399999999999999">
      <c r="A14215" s="547" t="s">
        <v>395</v>
      </c>
      <c r="B14215" s="547" t="s">
        <v>1365</v>
      </c>
      <c r="C14215" s="547" t="s">
        <v>19</v>
      </c>
      <c r="D14215" s="813" t="s">
        <v>854</v>
      </c>
      <c r="E14215" s="547" t="s">
        <v>359</v>
      </c>
      <c r="F14215" s="550">
        <v>12</v>
      </c>
      <c r="G14215" s="549" t="s">
        <v>21</v>
      </c>
      <c r="H14215" s="599" t="s">
        <v>97</v>
      </c>
      <c r="I14215" s="558">
        <v>10.199999999999999</v>
      </c>
      <c r="J14215" s="567">
        <v>9.75</v>
      </c>
      <c r="K14215" s="648">
        <v>16</v>
      </c>
      <c r="L14215" s="552">
        <f>(I14215*J14215*K14215/1000)</f>
        <v>1.5911999999999997</v>
      </c>
      <c r="M14215" s="549">
        <v>16</v>
      </c>
      <c r="N14215" s="567">
        <f>J14215*M14215*I14215/1000</f>
        <v>1.5911999999999997</v>
      </c>
      <c r="O14215" s="549"/>
      <c r="P14215" s="549"/>
      <c r="Q14215" s="1737" t="s">
        <v>1756</v>
      </c>
    </row>
    <row r="14216" spans="1:17" ht="17.399999999999999">
      <c r="A14216" s="549"/>
      <c r="B14216" s="1605" t="s">
        <v>277</v>
      </c>
      <c r="C14216" s="549"/>
      <c r="D14216" s="549"/>
      <c r="E14216" s="549"/>
      <c r="F14216" s="549"/>
      <c r="G14216" s="549"/>
      <c r="H14216" s="549"/>
      <c r="I14216" s="558"/>
      <c r="J14216" s="567"/>
      <c r="K14216" s="648">
        <f t="shared" ref="K14216:M14216" si="2849">SUM(K14215)</f>
        <v>16</v>
      </c>
      <c r="L14216" s="567">
        <f t="shared" si="2849"/>
        <v>1.5911999999999997</v>
      </c>
      <c r="M14216" s="648">
        <f t="shared" si="2849"/>
        <v>16</v>
      </c>
      <c r="N14216" s="567">
        <f>SUM(N14215)</f>
        <v>1.5911999999999997</v>
      </c>
      <c r="O14216" s="549"/>
      <c r="P14216" s="549"/>
    </row>
    <row r="14217" spans="1:17" s="1737" customFormat="1" ht="17.399999999999999">
      <c r="A14217" s="549"/>
      <c r="B14217" s="1605"/>
      <c r="C14217" s="549"/>
      <c r="D14217" s="549"/>
      <c r="E14217" s="549"/>
      <c r="F14217" s="549"/>
      <c r="G14217" s="549"/>
      <c r="H14217" s="549"/>
      <c r="I14217" s="558"/>
      <c r="J14217" s="567"/>
      <c r="K14217" s="648"/>
      <c r="L14217" s="567"/>
      <c r="M14217" s="549"/>
      <c r="N14217" s="549"/>
      <c r="O14217" s="549"/>
      <c r="P14217" s="549"/>
    </row>
    <row r="14218" spans="1:17" s="1737" customFormat="1" ht="17.399999999999999">
      <c r="A14218" s="549"/>
      <c r="B14218" s="1605"/>
      <c r="C14218" s="549"/>
      <c r="D14218" s="549"/>
      <c r="E14218" s="549"/>
      <c r="F14218" s="549"/>
      <c r="G14218" s="549"/>
      <c r="H14218" s="549"/>
      <c r="I14218" s="558"/>
      <c r="J14218" s="567"/>
      <c r="K14218" s="648"/>
      <c r="L14218" s="567"/>
      <c r="M14218" s="549"/>
      <c r="N14218" s="549"/>
      <c r="O14218" s="549"/>
      <c r="P14218" s="549"/>
    </row>
    <row r="14219" spans="1:17" ht="17.399999999999999">
      <c r="A14219" s="549"/>
      <c r="B14219" s="549"/>
      <c r="C14219" s="549"/>
      <c r="D14219" s="549"/>
      <c r="E14219" s="549"/>
      <c r="F14219" s="549"/>
      <c r="G14219" s="549"/>
      <c r="H14219" s="549"/>
      <c r="I14219" s="560"/>
      <c r="J14219" s="549"/>
      <c r="K14219" s="561"/>
      <c r="L14219" s="560"/>
      <c r="M14219" s="549"/>
      <c r="N14219" s="549"/>
      <c r="O14219" s="549"/>
      <c r="P14219" s="549"/>
    </row>
    <row r="14220" spans="1:17" ht="17.399999999999999">
      <c r="A14220" s="547" t="s">
        <v>83</v>
      </c>
      <c r="B14220" s="547" t="s">
        <v>1559</v>
      </c>
      <c r="C14220" s="547" t="s">
        <v>19</v>
      </c>
      <c r="D14220" s="813" t="s">
        <v>854</v>
      </c>
      <c r="E14220" s="650" t="s">
        <v>464</v>
      </c>
      <c r="F14220" s="550">
        <v>12</v>
      </c>
      <c r="G14220" s="549" t="s">
        <v>21</v>
      </c>
      <c r="H14220" s="599" t="s">
        <v>95</v>
      </c>
      <c r="I14220" s="558">
        <v>13.4</v>
      </c>
      <c r="J14220" s="567">
        <v>8.1</v>
      </c>
      <c r="K14220" s="648">
        <v>13</v>
      </c>
      <c r="L14220" s="552">
        <f>(I14220*J14220*K14220/1000)</f>
        <v>1.4110199999999999</v>
      </c>
      <c r="M14220" s="549">
        <v>13</v>
      </c>
      <c r="N14220" s="567">
        <f>J14220*M14220*I14220/1000</f>
        <v>1.4110199999999999</v>
      </c>
      <c r="O14220" s="549"/>
      <c r="P14220" s="549"/>
      <c r="Q14220" s="1737" t="s">
        <v>1756</v>
      </c>
    </row>
    <row r="14221" spans="1:17" ht="17.399999999999999">
      <c r="A14221" s="549"/>
      <c r="B14221" s="549" t="s">
        <v>439</v>
      </c>
      <c r="C14221" s="549"/>
      <c r="D14221" s="549"/>
      <c r="E14221" s="549"/>
      <c r="F14221" s="549"/>
      <c r="G14221" s="549" t="s">
        <v>21</v>
      </c>
      <c r="H14221" s="549" t="s">
        <v>95</v>
      </c>
      <c r="I14221" s="558">
        <v>13.4</v>
      </c>
      <c r="J14221" s="567">
        <v>11</v>
      </c>
      <c r="K14221" s="648">
        <v>8</v>
      </c>
      <c r="L14221" s="552">
        <f>(I14221*J14221*K14221/1000)</f>
        <v>1.1792</v>
      </c>
      <c r="M14221" s="549">
        <f>3+5</f>
        <v>8</v>
      </c>
      <c r="N14221" s="567">
        <f>J14221*M14221*I14221/1000</f>
        <v>1.1792</v>
      </c>
      <c r="O14221" s="549" t="s">
        <v>1694</v>
      </c>
      <c r="P14221" s="549"/>
    </row>
    <row r="14222" spans="1:17" ht="17.399999999999999">
      <c r="A14222" s="549"/>
      <c r="B14222" s="549"/>
      <c r="C14222" s="549"/>
      <c r="D14222" s="549"/>
      <c r="E14222" s="549"/>
      <c r="F14222" s="549"/>
      <c r="G14222" s="549"/>
      <c r="H14222" s="549"/>
      <c r="I14222" s="558"/>
      <c r="J14222" s="567"/>
      <c r="K14222" s="648">
        <f t="shared" ref="K14222" si="2850">SUM(K14220:K14221)</f>
        <v>21</v>
      </c>
      <c r="L14222" s="567">
        <f>SUM(L14220:L14221)</f>
        <v>2.59022</v>
      </c>
      <c r="M14222" s="648">
        <f>SUM(M14220:M14221)</f>
        <v>21</v>
      </c>
      <c r="N14222" s="567">
        <f>SUM(N14220:N14221)</f>
        <v>2.59022</v>
      </c>
      <c r="O14222" s="549"/>
      <c r="P14222" s="549"/>
    </row>
    <row r="14223" spans="1:17" s="1737" customFormat="1" ht="17.399999999999999">
      <c r="A14223" s="549"/>
      <c r="B14223" s="549"/>
      <c r="C14223" s="549"/>
      <c r="D14223" s="549"/>
      <c r="E14223" s="549"/>
      <c r="F14223" s="549"/>
      <c r="G14223" s="549"/>
      <c r="H14223" s="549"/>
      <c r="I14223" s="558"/>
      <c r="J14223" s="567"/>
      <c r="K14223" s="648"/>
      <c r="L14223" s="567"/>
      <c r="M14223" s="549"/>
      <c r="N14223" s="549"/>
      <c r="O14223" s="549"/>
      <c r="P14223" s="549"/>
    </row>
    <row r="14224" spans="1:17" s="1737" customFormat="1" ht="17.399999999999999">
      <c r="A14224" s="549"/>
      <c r="B14224" s="549"/>
      <c r="C14224" s="549"/>
      <c r="D14224" s="549"/>
      <c r="E14224" s="549"/>
      <c r="F14224" s="549"/>
      <c r="G14224" s="549"/>
      <c r="H14224" s="549"/>
      <c r="I14224" s="558"/>
      <c r="J14224" s="567"/>
      <c r="K14224" s="648"/>
      <c r="L14224" s="567"/>
      <c r="M14224" s="549"/>
      <c r="N14224" s="549"/>
      <c r="O14224" s="549"/>
      <c r="P14224" s="549"/>
    </row>
    <row r="14225" spans="1:17" ht="17.399999999999999">
      <c r="A14225" s="547" t="s">
        <v>83</v>
      </c>
      <c r="B14225" s="547" t="s">
        <v>1559</v>
      </c>
      <c r="C14225" s="547" t="s">
        <v>19</v>
      </c>
      <c r="D14225" s="813" t="s">
        <v>854</v>
      </c>
      <c r="E14225" s="650" t="s">
        <v>464</v>
      </c>
      <c r="F14225" s="550">
        <v>12</v>
      </c>
      <c r="G14225" s="549" t="s">
        <v>21</v>
      </c>
      <c r="H14225" s="599" t="s">
        <v>99</v>
      </c>
      <c r="I14225" s="558">
        <v>15</v>
      </c>
      <c r="J14225" s="567">
        <v>7</v>
      </c>
      <c r="K14225" s="648">
        <v>2</v>
      </c>
      <c r="L14225" s="552">
        <f>(I14225*J14225*K14225/1000)</f>
        <v>0.21</v>
      </c>
      <c r="M14225" s="549">
        <v>2</v>
      </c>
      <c r="N14225" s="567">
        <f>J14225*M14225*I14225/1000</f>
        <v>0.21</v>
      </c>
      <c r="O14225" s="549"/>
      <c r="P14225" s="549"/>
      <c r="Q14225" s="1737" t="s">
        <v>1756</v>
      </c>
    </row>
    <row r="14226" spans="1:17" ht="17.399999999999999">
      <c r="A14226" s="549"/>
      <c r="B14226" s="549" t="s">
        <v>439</v>
      </c>
      <c r="C14226" s="549"/>
      <c r="D14226" s="549"/>
      <c r="E14226" s="549"/>
      <c r="F14226" s="549"/>
      <c r="G14226" s="549"/>
      <c r="H14226" s="549"/>
      <c r="I14226" s="558"/>
      <c r="J14226" s="567"/>
      <c r="K14226" s="648">
        <f t="shared" ref="K14226:N14226" si="2851">SUM(K14225)</f>
        <v>2</v>
      </c>
      <c r="L14226" s="567">
        <f t="shared" si="2851"/>
        <v>0.21</v>
      </c>
      <c r="M14226" s="648">
        <f t="shared" si="2851"/>
        <v>2</v>
      </c>
      <c r="N14226" s="567">
        <f t="shared" si="2851"/>
        <v>0.21</v>
      </c>
      <c r="O14226" s="549"/>
      <c r="P14226" s="549"/>
    </row>
    <row r="14227" spans="1:17" ht="17.399999999999999">
      <c r="A14227" s="549"/>
      <c r="B14227" s="549"/>
      <c r="C14227" s="549"/>
      <c r="D14227" s="549"/>
      <c r="E14227" s="549"/>
      <c r="F14227" s="549"/>
      <c r="G14227" s="549"/>
      <c r="H14227" s="549"/>
      <c r="I14227" s="560"/>
      <c r="J14227" s="549"/>
      <c r="K14227" s="561"/>
      <c r="L14227" s="560"/>
      <c r="M14227" s="549"/>
      <c r="N14227" s="549"/>
      <c r="O14227" s="549"/>
      <c r="P14227" s="549"/>
    </row>
    <row r="14228" spans="1:17" ht="17.399999999999999">
      <c r="A14228" s="549"/>
      <c r="B14228" s="549"/>
      <c r="C14228" s="549"/>
      <c r="D14228" s="549"/>
      <c r="E14228" s="549"/>
      <c r="F14228" s="549"/>
      <c r="G14228" s="549"/>
      <c r="H14228" s="549"/>
      <c r="I14228" s="560"/>
      <c r="J14228" s="549"/>
      <c r="K14228" s="561"/>
      <c r="L14228" s="560"/>
      <c r="M14228" s="549"/>
      <c r="N14228" s="549"/>
      <c r="O14228" s="549"/>
      <c r="P14228" s="549"/>
    </row>
    <row r="14229" spans="1:17" ht="17.399999999999999">
      <c r="A14229" s="547" t="s">
        <v>83</v>
      </c>
      <c r="B14229" s="547" t="s">
        <v>1692</v>
      </c>
      <c r="C14229" s="547" t="s">
        <v>19</v>
      </c>
      <c r="D14229" s="813" t="s">
        <v>854</v>
      </c>
      <c r="E14229" s="1283" t="s">
        <v>420</v>
      </c>
      <c r="F14229" s="550">
        <v>12</v>
      </c>
      <c r="G14229" s="549" t="s">
        <v>21</v>
      </c>
      <c r="H14229" s="599" t="s">
        <v>98</v>
      </c>
      <c r="I14229" s="558">
        <v>11.8</v>
      </c>
      <c r="J14229" s="567">
        <v>12</v>
      </c>
      <c r="K14229" s="648">
        <v>2</v>
      </c>
      <c r="L14229" s="552">
        <f>(I14229*J14229*K14229/1000)</f>
        <v>0.28320000000000006</v>
      </c>
      <c r="M14229" s="549">
        <v>2</v>
      </c>
      <c r="N14229" s="567">
        <f>J14229*M14229*I14229/1000</f>
        <v>0.28320000000000006</v>
      </c>
      <c r="O14229" s="549"/>
      <c r="P14229" s="549"/>
      <c r="Q14229" s="1737" t="s">
        <v>1756</v>
      </c>
    </row>
    <row r="14230" spans="1:17" ht="17.399999999999999">
      <c r="A14230" s="549"/>
      <c r="B14230" s="832" t="s">
        <v>84</v>
      </c>
      <c r="C14230" s="549"/>
      <c r="D14230" s="549"/>
      <c r="E14230" s="549"/>
      <c r="F14230" s="549"/>
      <c r="G14230" s="549"/>
      <c r="H14230" s="549"/>
      <c r="I14230" s="558"/>
      <c r="J14230" s="567"/>
      <c r="K14230" s="648">
        <f t="shared" ref="K14230:N14230" si="2852">SUM(K14229)</f>
        <v>2</v>
      </c>
      <c r="L14230" s="567">
        <f t="shared" si="2852"/>
        <v>0.28320000000000006</v>
      </c>
      <c r="M14230" s="648">
        <f t="shared" si="2852"/>
        <v>2</v>
      </c>
      <c r="N14230" s="567">
        <f t="shared" si="2852"/>
        <v>0.28320000000000006</v>
      </c>
      <c r="O14230" s="549"/>
      <c r="P14230" s="549"/>
    </row>
    <row r="14231" spans="1:17" ht="17.399999999999999">
      <c r="A14231" s="549"/>
      <c r="B14231" s="549"/>
      <c r="C14231" s="549"/>
      <c r="D14231" s="549"/>
      <c r="E14231" s="549"/>
      <c r="F14231" s="549"/>
      <c r="G14231" s="549"/>
      <c r="H14231" s="549"/>
      <c r="I14231" s="560"/>
      <c r="J14231" s="549"/>
      <c r="K14231" s="561"/>
      <c r="L14231" s="560"/>
      <c r="M14231" s="549"/>
      <c r="N14231" s="549"/>
      <c r="O14231" s="549"/>
      <c r="P14231" s="549"/>
    </row>
    <row r="14232" spans="1:17" ht="17.399999999999999">
      <c r="A14232" s="547" t="s">
        <v>395</v>
      </c>
      <c r="B14232" s="547" t="s">
        <v>1561</v>
      </c>
      <c r="C14232" s="547" t="s">
        <v>19</v>
      </c>
      <c r="D14232" s="813" t="s">
        <v>155</v>
      </c>
      <c r="E14232" s="547" t="s">
        <v>270</v>
      </c>
      <c r="F14232" s="550">
        <v>12</v>
      </c>
      <c r="G14232" s="549" t="s">
        <v>61</v>
      </c>
      <c r="H14232" s="599" t="s">
        <v>95</v>
      </c>
      <c r="I14232" s="558">
        <v>13.4</v>
      </c>
      <c r="J14232" s="567">
        <v>6.5</v>
      </c>
      <c r="K14232" s="648">
        <v>4</v>
      </c>
      <c r="L14232" s="552">
        <f>(I14232*J14232*K14232/1000)</f>
        <v>0.34840000000000004</v>
      </c>
      <c r="M14232" s="549">
        <v>4</v>
      </c>
      <c r="N14232" s="567">
        <f>J14232*M14232*I14232/1000</f>
        <v>0.34840000000000004</v>
      </c>
      <c r="O14232" s="549"/>
      <c r="P14232" s="549"/>
    </row>
    <row r="14233" spans="1:17" ht="17.399999999999999">
      <c r="A14233" s="549"/>
      <c r="B14233" s="832" t="s">
        <v>1027</v>
      </c>
      <c r="C14233" s="549"/>
      <c r="D14233" s="549"/>
      <c r="E14233" s="549"/>
      <c r="F14233" s="549"/>
      <c r="G14233" s="549"/>
      <c r="H14233" s="549"/>
      <c r="I14233" s="558"/>
      <c r="J14233" s="567"/>
      <c r="K14233" s="648">
        <f t="shared" ref="K14233:M14233" si="2853">SUM(K14232)</f>
        <v>4</v>
      </c>
      <c r="L14233" s="567">
        <f>SUM(L14232)</f>
        <v>0.34840000000000004</v>
      </c>
      <c r="M14233" s="648">
        <f t="shared" si="2853"/>
        <v>4</v>
      </c>
      <c r="N14233" s="567">
        <f>SUM(N14232)</f>
        <v>0.34840000000000004</v>
      </c>
      <c r="O14233" s="549"/>
      <c r="P14233" s="549"/>
    </row>
    <row r="14234" spans="1:17" ht="17.399999999999999">
      <c r="A14234" s="549"/>
      <c r="B14234" s="549"/>
      <c r="C14234" s="549"/>
      <c r="D14234" s="549"/>
      <c r="E14234" s="549"/>
      <c r="F14234" s="549"/>
      <c r="G14234" s="549"/>
      <c r="H14234" s="549"/>
      <c r="I14234" s="560"/>
      <c r="J14234" s="549"/>
      <c r="K14234" s="561"/>
      <c r="L14234" s="560"/>
      <c r="M14234" s="549"/>
      <c r="N14234" s="549"/>
      <c r="O14234" s="549"/>
      <c r="P14234" s="549"/>
    </row>
    <row r="14235" spans="1:17" ht="17.399999999999999">
      <c r="A14235" s="549"/>
      <c r="B14235" s="549"/>
      <c r="C14235" s="549"/>
      <c r="D14235" s="549"/>
      <c r="E14235" s="549"/>
      <c r="F14235" s="549"/>
      <c r="G14235" s="549"/>
      <c r="H14235" s="549"/>
      <c r="I14235" s="560"/>
      <c r="J14235" s="549"/>
      <c r="K14235" s="561"/>
      <c r="L14235" s="565">
        <f>+L14233+L14230+L14226+L14222+L14216+L14213+L14208+L14205+L14185+L14192+L14200+L14176+L14172+L14165+L14161</f>
        <v>218.28914</v>
      </c>
      <c r="M14235" s="549"/>
      <c r="N14235" s="565">
        <f>+N14233+N14230+N14226+N14222+N14216+N14213+N14208+N14205+N14185+N14192+N14200+N14176+N14172+N14165+N14161</f>
        <v>12.67464</v>
      </c>
      <c r="O14235" s="549"/>
      <c r="P14235" s="549"/>
    </row>
    <row r="14236" spans="1:17" ht="18">
      <c r="A14236" s="653" t="s">
        <v>48</v>
      </c>
      <c r="B14236" s="653"/>
      <c r="C14236" s="654"/>
      <c r="D14236" s="654"/>
      <c r="E14236" s="654"/>
      <c r="F14236" s="1786"/>
      <c r="G14236" s="654"/>
      <c r="H14236" s="1786"/>
      <c r="I14236" s="656"/>
      <c r="J14236" s="654"/>
      <c r="K14236" s="657"/>
      <c r="L14236" s="2003" t="s">
        <v>0</v>
      </c>
      <c r="M14236" s="2003"/>
      <c r="N14236" s="2003"/>
      <c r="O14236" s="2004"/>
      <c r="P14236" s="1097"/>
    </row>
    <row r="14237" spans="1:17" ht="18">
      <c r="A14237" s="658" t="s">
        <v>1</v>
      </c>
      <c r="B14237" s="658"/>
      <c r="C14237" s="658"/>
      <c r="D14237" s="659" t="s">
        <v>2</v>
      </c>
      <c r="E14237" s="659"/>
      <c r="F14237" s="660"/>
      <c r="G14237" s="660"/>
      <c r="H14237" s="660"/>
      <c r="I14237" s="661"/>
      <c r="J14237" s="660"/>
      <c r="K14237" s="662" t="s">
        <v>3</v>
      </c>
      <c r="L14237" s="660"/>
      <c r="M14237" s="658"/>
      <c r="N14237" s="660"/>
      <c r="O14237" s="663"/>
      <c r="P14237" s="1098"/>
    </row>
    <row r="14238" spans="1:17" ht="18">
      <c r="A14238" s="1786" t="s">
        <v>22</v>
      </c>
      <c r="B14238" s="1990" t="s">
        <v>23</v>
      </c>
      <c r="C14238" s="2005"/>
      <c r="D14238" s="1989"/>
      <c r="E14238" s="1786" t="s">
        <v>24</v>
      </c>
      <c r="F14238" s="1990" t="s">
        <v>25</v>
      </c>
      <c r="G14238" s="1989"/>
      <c r="H14238" s="1990" t="s">
        <v>26</v>
      </c>
      <c r="I14238" s="2005"/>
      <c r="J14238" s="2005"/>
      <c r="K14238" s="1989"/>
      <c r="L14238" s="2006" t="s">
        <v>27</v>
      </c>
      <c r="M14238" s="2006"/>
      <c r="N14238" s="2006"/>
      <c r="O14238" s="1990"/>
      <c r="P14238" s="1098"/>
    </row>
    <row r="14239" spans="1:17" ht="18">
      <c r="A14239" s="664"/>
      <c r="B14239" s="1975"/>
      <c r="C14239" s="1976"/>
      <c r="D14239" s="1977"/>
      <c r="E14239" s="665"/>
      <c r="F14239" s="1975"/>
      <c r="G14239" s="1977"/>
      <c r="H14239" s="1975"/>
      <c r="I14239" s="1976"/>
      <c r="J14239" s="1976"/>
      <c r="K14239" s="1977"/>
      <c r="L14239" s="1975"/>
      <c r="M14239" s="1976"/>
      <c r="N14239" s="1976"/>
      <c r="O14239" s="1976"/>
      <c r="P14239" s="1098"/>
    </row>
    <row r="14240" spans="1:17" ht="18">
      <c r="A14240" s="664"/>
      <c r="B14240" s="1778"/>
      <c r="C14240" s="1779"/>
      <c r="D14240" s="1780"/>
      <c r="E14240" s="665"/>
      <c r="F14240" s="1778"/>
      <c r="G14240" s="1780"/>
      <c r="H14240" s="1778"/>
      <c r="I14240" s="1842"/>
      <c r="J14240" s="1779"/>
      <c r="K14240" s="1780"/>
      <c r="L14240" s="1779"/>
      <c r="M14240" s="1779"/>
      <c r="N14240" s="1779"/>
      <c r="O14240" s="1779"/>
      <c r="P14240" s="1098"/>
    </row>
    <row r="14241" spans="1:16" ht="18">
      <c r="A14241" s="664" t="s">
        <v>28</v>
      </c>
      <c r="B14241" s="1975" t="s">
        <v>1347</v>
      </c>
      <c r="C14241" s="1976"/>
      <c r="D14241" s="1977"/>
      <c r="E14241" s="665">
        <f>+L14161</f>
        <v>54.718960000000003</v>
      </c>
      <c r="F14241" s="1973">
        <v>12</v>
      </c>
      <c r="G14241" s="1974"/>
      <c r="H14241" s="1975" t="s">
        <v>60</v>
      </c>
      <c r="I14241" s="1976"/>
      <c r="J14241" s="1976"/>
      <c r="K14241" s="1977"/>
      <c r="L14241" s="1976" t="s">
        <v>1138</v>
      </c>
      <c r="M14241" s="1976"/>
      <c r="N14241" s="1976"/>
      <c r="O14241" s="1976"/>
      <c r="P14241" s="1098"/>
    </row>
    <row r="14242" spans="1:16" ht="18">
      <c r="A14242" s="664" t="s">
        <v>29</v>
      </c>
      <c r="B14242" s="1975" t="s">
        <v>1139</v>
      </c>
      <c r="C14242" s="1976"/>
      <c r="D14242" s="1977"/>
      <c r="E14242" s="665">
        <f>+L14165-4.927</f>
        <v>41.993000000000002</v>
      </c>
      <c r="F14242" s="1973">
        <v>12</v>
      </c>
      <c r="G14242" s="1974"/>
      <c r="H14242" s="1975" t="s">
        <v>60</v>
      </c>
      <c r="I14242" s="1976"/>
      <c r="J14242" s="1976"/>
      <c r="K14242" s="1977"/>
      <c r="L14242" s="1976" t="s">
        <v>1138</v>
      </c>
      <c r="M14242" s="1976"/>
      <c r="N14242" s="1976"/>
      <c r="O14242" s="1976"/>
      <c r="P14242" s="1098"/>
    </row>
    <row r="14243" spans="1:16" s="1737" customFormat="1" ht="18">
      <c r="A14243" s="664"/>
      <c r="B14243" s="1778"/>
      <c r="C14243" s="1779"/>
      <c r="D14243" s="1780"/>
      <c r="E14243" s="665"/>
      <c r="F14243" s="1781"/>
      <c r="G14243" s="1782"/>
      <c r="H14243" s="1778"/>
      <c r="I14243" s="1842"/>
      <c r="J14243" s="1779"/>
      <c r="K14243" s="1780"/>
      <c r="L14243" s="1779"/>
      <c r="M14243" s="1779"/>
      <c r="N14243" s="1779"/>
      <c r="O14243" s="1779"/>
      <c r="P14243" s="1098"/>
    </row>
    <row r="14244" spans="1:16" ht="18">
      <c r="A14244" s="664" t="s">
        <v>30</v>
      </c>
      <c r="B14244" s="1975" t="s">
        <v>101</v>
      </c>
      <c r="C14244" s="1976"/>
      <c r="D14244" s="1977"/>
      <c r="E14244" s="665">
        <f>+L14177</f>
        <v>13.823700000000001</v>
      </c>
      <c r="F14244" s="1973">
        <v>12</v>
      </c>
      <c r="G14244" s="1974"/>
      <c r="H14244" s="1975" t="s">
        <v>49</v>
      </c>
      <c r="I14244" s="1976"/>
      <c r="J14244" s="1976"/>
      <c r="K14244" s="1977"/>
      <c r="L14244" s="1976" t="s">
        <v>1695</v>
      </c>
      <c r="M14244" s="1976"/>
      <c r="N14244" s="1976"/>
      <c r="O14244" s="1976"/>
      <c r="P14244" s="1098"/>
    </row>
    <row r="14245" spans="1:16" ht="18">
      <c r="A14245" s="664"/>
      <c r="B14245" s="1778"/>
      <c r="C14245" s="1779"/>
      <c r="D14245" s="1780"/>
      <c r="E14245" s="665"/>
      <c r="F14245" s="1781"/>
      <c r="G14245" s="1782"/>
      <c r="H14245" s="1778"/>
      <c r="I14245" s="1842"/>
      <c r="J14245" s="1779"/>
      <c r="K14245" s="1780"/>
      <c r="L14245" s="1779"/>
      <c r="M14245" s="1779"/>
      <c r="N14245" s="1779"/>
      <c r="O14245" s="1779"/>
      <c r="P14245" s="1098"/>
    </row>
    <row r="14246" spans="1:16" ht="18">
      <c r="A14246" s="664"/>
      <c r="B14246" s="1778"/>
      <c r="C14246" s="1779"/>
      <c r="D14246" s="1780"/>
      <c r="E14246" s="665"/>
      <c r="F14246" s="1781"/>
      <c r="G14246" s="1782"/>
      <c r="H14246" s="1778"/>
      <c r="I14246" s="1842"/>
      <c r="J14246" s="1779"/>
      <c r="K14246" s="1780"/>
      <c r="L14246" s="1779"/>
      <c r="M14246" s="1779"/>
      <c r="N14246" s="1779"/>
      <c r="O14246" s="1779"/>
      <c r="P14246" s="1098"/>
    </row>
    <row r="14247" spans="1:16" ht="18">
      <c r="A14247" s="664" t="s">
        <v>46</v>
      </c>
      <c r="B14247" s="1975" t="s">
        <v>102</v>
      </c>
      <c r="C14247" s="1976"/>
      <c r="D14247" s="1977"/>
      <c r="E14247" s="665">
        <f>+L14185</f>
        <v>35.242000000000004</v>
      </c>
      <c r="F14247" s="1973">
        <v>12</v>
      </c>
      <c r="G14247" s="1974"/>
      <c r="H14247" s="1975" t="s">
        <v>447</v>
      </c>
      <c r="I14247" s="1976"/>
      <c r="J14247" s="1976"/>
      <c r="K14247" s="1977"/>
      <c r="L14247" s="1976" t="s">
        <v>1631</v>
      </c>
      <c r="M14247" s="1976"/>
      <c r="N14247" s="1976"/>
      <c r="O14247" s="1976"/>
      <c r="P14247" s="1098"/>
    </row>
    <row r="14248" spans="1:16" ht="18">
      <c r="A14248" s="664" t="s">
        <v>58</v>
      </c>
      <c r="B14248" s="1975" t="s">
        <v>101</v>
      </c>
      <c r="C14248" s="1976"/>
      <c r="D14248" s="1977"/>
      <c r="E14248" s="665">
        <f>+L14192</f>
        <v>38.734679999999997</v>
      </c>
      <c r="F14248" s="1973">
        <v>12</v>
      </c>
      <c r="G14248" s="1974"/>
      <c r="H14248" s="1975" t="s">
        <v>447</v>
      </c>
      <c r="I14248" s="1976"/>
      <c r="J14248" s="1976"/>
      <c r="K14248" s="1977"/>
      <c r="L14248" s="1976" t="s">
        <v>1631</v>
      </c>
      <c r="M14248" s="1976"/>
      <c r="N14248" s="1976"/>
      <c r="O14248" s="1976"/>
      <c r="P14248" s="1098"/>
    </row>
    <row r="14249" spans="1:16" ht="18">
      <c r="A14249" s="664" t="s">
        <v>163</v>
      </c>
      <c r="B14249" s="1975" t="s">
        <v>100</v>
      </c>
      <c r="C14249" s="1976"/>
      <c r="D14249" s="1977"/>
      <c r="E14249" s="665">
        <f>+L14200</f>
        <v>21.101759999999999</v>
      </c>
      <c r="F14249" s="1973">
        <v>12</v>
      </c>
      <c r="G14249" s="1974"/>
      <c r="H14249" s="1975" t="s">
        <v>447</v>
      </c>
      <c r="I14249" s="1976"/>
      <c r="J14249" s="1976"/>
      <c r="K14249" s="1977"/>
      <c r="L14249" s="1976" t="s">
        <v>1631</v>
      </c>
      <c r="M14249" s="1976"/>
      <c r="N14249" s="1976"/>
      <c r="O14249" s="1976"/>
      <c r="P14249" s="1098"/>
    </row>
    <row r="14250" spans="1:16" s="1737" customFormat="1" ht="18">
      <c r="A14250" s="664"/>
      <c r="B14250" s="1778"/>
      <c r="C14250" s="1779"/>
      <c r="D14250" s="1780"/>
      <c r="E14250" s="665"/>
      <c r="F14250" s="1781"/>
      <c r="G14250" s="1782"/>
      <c r="H14250" s="1778"/>
      <c r="I14250" s="1842"/>
      <c r="J14250" s="1779"/>
      <c r="K14250" s="1780"/>
      <c r="L14250" s="1779"/>
      <c r="M14250" s="1779"/>
      <c r="N14250" s="1779"/>
      <c r="O14250" s="1779"/>
      <c r="P14250" s="1098"/>
    </row>
    <row r="14251" spans="1:16" ht="18">
      <c r="A14251" s="664"/>
      <c r="B14251" s="1975"/>
      <c r="C14251" s="1976"/>
      <c r="D14251" s="1977"/>
      <c r="E14251" s="665"/>
      <c r="F14251" s="1973"/>
      <c r="G14251" s="1974"/>
      <c r="H14251" s="1975"/>
      <c r="I14251" s="1976"/>
      <c r="J14251" s="1976"/>
      <c r="K14251" s="1977"/>
      <c r="L14251" s="1976"/>
      <c r="M14251" s="1976"/>
      <c r="N14251" s="1976"/>
      <c r="O14251" s="1976"/>
      <c r="P14251" s="1098"/>
    </row>
    <row r="14252" spans="1:16" ht="18.600000000000001" thickBot="1">
      <c r="A14252" s="664"/>
      <c r="B14252" s="1778"/>
      <c r="C14252" s="1779"/>
      <c r="D14252" s="1779"/>
      <c r="E14252" s="665"/>
      <c r="F14252" s="1779"/>
      <c r="G14252" s="1780"/>
      <c r="H14252" s="1778"/>
      <c r="I14252" s="1842"/>
      <c r="J14252" s="1779"/>
      <c r="K14252" s="669"/>
      <c r="L14252" s="672"/>
      <c r="M14252" s="673"/>
      <c r="N14252" s="673"/>
      <c r="O14252" s="673"/>
      <c r="P14252" s="1098"/>
    </row>
    <row r="14253" spans="1:16" ht="18">
      <c r="A14253" s="674"/>
      <c r="B14253" s="675"/>
      <c r="C14253" s="676"/>
      <c r="D14253" s="676"/>
      <c r="E14253" s="1980">
        <f>SUM(E14239:E14252)</f>
        <v>205.61410000000001</v>
      </c>
      <c r="F14253" s="677"/>
      <c r="G14253" s="678"/>
      <c r="H14253" s="679"/>
      <c r="I14253" s="1848"/>
      <c r="J14253" s="676"/>
      <c r="K14253" s="680"/>
      <c r="L14253" s="679"/>
      <c r="M14253" s="676"/>
      <c r="N14253" s="677"/>
      <c r="O14253" s="676"/>
      <c r="P14253" s="1098"/>
    </row>
    <row r="14254" spans="1:16" ht="18.600000000000001" thickBot="1">
      <c r="A14254" s="681"/>
      <c r="B14254" s="682"/>
      <c r="C14254" s="683"/>
      <c r="D14254" s="683"/>
      <c r="E14254" s="1981"/>
      <c r="F14254" s="684"/>
      <c r="G14254" s="685"/>
      <c r="H14254" s="686"/>
      <c r="I14254" s="1850"/>
      <c r="J14254" s="683"/>
      <c r="K14254" s="687"/>
      <c r="L14254" s="686"/>
      <c r="M14254" s="683"/>
      <c r="N14254" s="684"/>
      <c r="O14254" s="683"/>
      <c r="P14254" s="1098"/>
    </row>
    <row r="14255" spans="1:16" ht="18">
      <c r="A14255" s="688" t="s">
        <v>31</v>
      </c>
      <c r="B14255" s="676"/>
      <c r="C14255" s="676"/>
      <c r="D14255" s="676"/>
      <c r="E14255" s="676"/>
      <c r="F14255" s="677"/>
      <c r="G14255" s="676"/>
      <c r="H14255" s="677"/>
      <c r="I14255" s="1848"/>
      <c r="J14255" s="676"/>
      <c r="K14255" s="689"/>
      <c r="L14255" s="677"/>
      <c r="M14255" s="676"/>
      <c r="N14255" s="677"/>
      <c r="O14255" s="676"/>
      <c r="P14255" s="1098"/>
    </row>
    <row r="14256" spans="1:16" ht="18">
      <c r="A14256" s="690"/>
      <c r="B14256" s="691"/>
      <c r="C14256" s="691"/>
      <c r="D14256" s="691"/>
      <c r="E14256" s="691"/>
      <c r="F14256" s="1783"/>
      <c r="G14256" s="691"/>
      <c r="H14256" s="1783"/>
      <c r="I14256" s="1849"/>
      <c r="J14256" s="691"/>
      <c r="K14256" s="693"/>
      <c r="L14256" s="1783"/>
      <c r="M14256" s="691"/>
      <c r="N14256" s="1783"/>
      <c r="O14256" s="691"/>
      <c r="P14256" s="1098"/>
    </row>
    <row r="14257" spans="1:16" ht="18.600000000000001" thickBot="1">
      <c r="A14257" s="1982" t="s">
        <v>32</v>
      </c>
      <c r="B14257" s="1983"/>
      <c r="C14257" s="1984" t="s">
        <v>33</v>
      </c>
      <c r="D14257" s="1985"/>
      <c r="E14257" s="694" t="s">
        <v>34</v>
      </c>
      <c r="F14257" s="694" t="s">
        <v>35</v>
      </c>
      <c r="G14257" s="1986" t="s">
        <v>36</v>
      </c>
      <c r="H14257" s="1987"/>
      <c r="I14257" s="1987"/>
      <c r="J14257" s="1987"/>
      <c r="K14257" s="1987"/>
      <c r="L14257" s="1987"/>
      <c r="M14257" s="1987"/>
      <c r="N14257" s="1987"/>
      <c r="O14257" s="1987"/>
      <c r="P14257" s="1098"/>
    </row>
    <row r="14258" spans="1:16" ht="18">
      <c r="A14258" s="1988"/>
      <c r="B14258" s="1989"/>
      <c r="C14258" s="1990"/>
      <c r="D14258" s="1989"/>
      <c r="E14258" s="1786"/>
      <c r="F14258" s="1784"/>
      <c r="G14258" s="1991"/>
      <c r="H14258" s="1992"/>
      <c r="I14258" s="1992"/>
      <c r="J14258" s="1992"/>
      <c r="K14258" s="1992"/>
      <c r="L14258" s="1992"/>
      <c r="M14258" s="1992"/>
      <c r="N14258" s="1992"/>
      <c r="O14258" s="1992"/>
      <c r="P14258" s="1098"/>
    </row>
    <row r="14259" spans="1:16" ht="18">
      <c r="A14259" s="1997" t="s">
        <v>37</v>
      </c>
      <c r="B14259" s="1998"/>
      <c r="C14259" s="1990"/>
      <c r="D14259" s="1989"/>
      <c r="E14259" s="1786"/>
      <c r="F14259" s="1784"/>
      <c r="G14259" s="1993"/>
      <c r="H14259" s="1994"/>
      <c r="I14259" s="1994"/>
      <c r="J14259" s="1994"/>
      <c r="K14259" s="1994"/>
      <c r="L14259" s="1994"/>
      <c r="M14259" s="1994"/>
      <c r="N14259" s="1994"/>
      <c r="O14259" s="1994"/>
      <c r="P14259" s="1098"/>
    </row>
    <row r="14260" spans="1:16" ht="18">
      <c r="A14260" s="1997" t="s">
        <v>38</v>
      </c>
      <c r="B14260" s="1998"/>
      <c r="C14260" s="1990"/>
      <c r="D14260" s="1989"/>
      <c r="E14260" s="1786"/>
      <c r="F14260" s="1784"/>
      <c r="G14260" s="1993"/>
      <c r="H14260" s="1994"/>
      <c r="I14260" s="1994"/>
      <c r="J14260" s="1994"/>
      <c r="K14260" s="1994"/>
      <c r="L14260" s="1994"/>
      <c r="M14260" s="1994"/>
      <c r="N14260" s="1994"/>
      <c r="O14260" s="1994"/>
      <c r="P14260" s="1098"/>
    </row>
    <row r="14261" spans="1:16" ht="18">
      <c r="A14261" s="1997" t="s">
        <v>39</v>
      </c>
      <c r="B14261" s="1998"/>
      <c r="C14261" s="1990"/>
      <c r="D14261" s="1989"/>
      <c r="E14261" s="1786"/>
      <c r="F14261" s="1784"/>
      <c r="G14261" s="1993"/>
      <c r="H14261" s="1994"/>
      <c r="I14261" s="1994"/>
      <c r="J14261" s="1994"/>
      <c r="K14261" s="1994"/>
      <c r="L14261" s="1994"/>
      <c r="M14261" s="1994"/>
      <c r="N14261" s="1994"/>
      <c r="O14261" s="1994"/>
      <c r="P14261" s="1098"/>
    </row>
    <row r="14262" spans="1:16" ht="18">
      <c r="A14262" s="1997" t="s">
        <v>40</v>
      </c>
      <c r="B14262" s="1998"/>
      <c r="C14262" s="1990"/>
      <c r="D14262" s="1989"/>
      <c r="E14262" s="1786"/>
      <c r="F14262" s="1784"/>
      <c r="G14262" s="1993"/>
      <c r="H14262" s="1994"/>
      <c r="I14262" s="1994"/>
      <c r="J14262" s="1994"/>
      <c r="K14262" s="1994"/>
      <c r="L14262" s="1994"/>
      <c r="M14262" s="1994"/>
      <c r="N14262" s="1994"/>
      <c r="O14262" s="1994"/>
      <c r="P14262" s="1098"/>
    </row>
    <row r="14263" spans="1:16" ht="18.600000000000001" thickBot="1">
      <c r="A14263" s="1999" t="s">
        <v>41</v>
      </c>
      <c r="B14263" s="2000"/>
      <c r="C14263" s="2001"/>
      <c r="D14263" s="2002"/>
      <c r="E14263" s="696"/>
      <c r="F14263" s="1785"/>
      <c r="G14263" s="1995"/>
      <c r="H14263" s="1996"/>
      <c r="I14263" s="1996"/>
      <c r="J14263" s="1996"/>
      <c r="K14263" s="1996"/>
      <c r="L14263" s="1996"/>
      <c r="M14263" s="1996"/>
      <c r="N14263" s="1996"/>
      <c r="O14263" s="1996"/>
      <c r="P14263" s="1098"/>
    </row>
    <row r="14264" spans="1:16" ht="18">
      <c r="A14264" s="690"/>
      <c r="B14264" s="691"/>
      <c r="C14264" s="691"/>
      <c r="D14264" s="691"/>
      <c r="E14264" s="691"/>
      <c r="F14264" s="1783"/>
      <c r="G14264" s="691"/>
      <c r="H14264" s="698"/>
      <c r="I14264" s="699"/>
      <c r="J14264" s="700"/>
      <c r="K14264" s="701"/>
      <c r="L14264" s="702"/>
      <c r="M14264" s="691"/>
      <c r="N14264" s="1783"/>
      <c r="O14264" s="691"/>
      <c r="P14264" s="1098"/>
    </row>
    <row r="14265" spans="1:16" ht="18">
      <c r="A14265" s="703" t="s">
        <v>42</v>
      </c>
      <c r="B14265" s="704"/>
      <c r="C14265" s="691"/>
      <c r="D14265" s="691"/>
      <c r="E14265" s="691"/>
      <c r="F14265" s="1783"/>
      <c r="G14265" s="704"/>
      <c r="H14265" s="698"/>
      <c r="I14265" s="699"/>
      <c r="J14265" s="700"/>
      <c r="K14265" s="693"/>
      <c r="L14265" s="705"/>
      <c r="M14265" s="691"/>
      <c r="N14265" s="1979" t="s">
        <v>43</v>
      </c>
      <c r="O14265" s="1979"/>
      <c r="P14265" s="1098"/>
    </row>
    <row r="14266" spans="1:16" ht="18">
      <c r="A14266" s="703"/>
      <c r="B14266" s="704"/>
      <c r="C14266" s="691"/>
      <c r="D14266" s="691"/>
      <c r="E14266" s="691"/>
      <c r="F14266" s="1783"/>
      <c r="G14266" s="691"/>
      <c r="H14266" s="1783"/>
      <c r="I14266" s="1849"/>
      <c r="J14266" s="691"/>
      <c r="K14266" s="693"/>
      <c r="L14266" s="1783"/>
      <c r="M14266" s="691"/>
      <c r="N14266" s="1783"/>
      <c r="O14266" s="704"/>
      <c r="P14266" s="1098"/>
    </row>
    <row r="14267" spans="1:16" ht="18">
      <c r="A14267" s="703" t="s">
        <v>44</v>
      </c>
      <c r="B14267" s="704"/>
      <c r="C14267" s="691"/>
      <c r="D14267" s="691"/>
      <c r="E14267" s="691"/>
      <c r="F14267" s="1783"/>
      <c r="G14267" s="691"/>
      <c r="H14267" s="1783"/>
      <c r="I14267" s="1849"/>
      <c r="J14267" s="691"/>
      <c r="K14267" s="693"/>
      <c r="L14267" s="1783"/>
      <c r="M14267" s="691"/>
      <c r="N14267" s="1979" t="s">
        <v>45</v>
      </c>
      <c r="O14267" s="1979"/>
      <c r="P14267" s="1098"/>
    </row>
    <row r="14268" spans="1:16" ht="18.600000000000001" thickBot="1">
      <c r="A14268" s="682"/>
      <c r="B14268" s="683"/>
      <c r="C14268" s="683"/>
      <c r="D14268" s="683"/>
      <c r="E14268" s="683"/>
      <c r="F14268" s="684"/>
      <c r="G14268" s="683"/>
      <c r="H14268" s="684"/>
      <c r="I14268" s="1850"/>
      <c r="J14268" s="683"/>
      <c r="K14268" s="706"/>
      <c r="L14268" s="684"/>
      <c r="M14268" s="683"/>
      <c r="N14268" s="684"/>
      <c r="O14268" s="683"/>
      <c r="P14268" s="1099"/>
    </row>
    <row r="14272" spans="1:16" ht="17.399999999999999">
      <c r="A14272" s="711" t="s">
        <v>48</v>
      </c>
      <c r="B14272" s="711"/>
      <c r="C14272" s="712"/>
      <c r="D14272" s="712"/>
      <c r="E14272" s="712"/>
      <c r="F14272" s="713"/>
      <c r="G14272" s="712"/>
      <c r="H14272" s="712"/>
      <c r="I14272" s="714"/>
      <c r="J14272" s="715"/>
      <c r="K14272" s="716"/>
      <c r="L14272" s="1978" t="s">
        <v>0</v>
      </c>
      <c r="M14272" s="1978"/>
      <c r="N14272" s="1978"/>
      <c r="O14272" s="1978"/>
      <c r="P14272" s="717"/>
    </row>
    <row r="14273" spans="1:17" ht="17.399999999999999">
      <c r="A14273" s="718" t="s">
        <v>1</v>
      </c>
      <c r="B14273" s="718"/>
      <c r="C14273" s="718"/>
      <c r="D14273" s="719" t="s">
        <v>2</v>
      </c>
      <c r="E14273" s="719"/>
      <c r="F14273" s="720"/>
      <c r="G14273" s="720"/>
      <c r="H14273" s="720"/>
      <c r="I14273" s="721"/>
      <c r="J14273" s="1796"/>
      <c r="K14273" s="723" t="s">
        <v>3</v>
      </c>
      <c r="L14273" s="1796"/>
      <c r="M14273" s="718"/>
      <c r="N14273" s="720"/>
      <c r="O14273" s="718"/>
      <c r="P14273" s="724"/>
    </row>
    <row r="14274" spans="1:17" ht="52.2">
      <c r="A14274" s="640" t="s">
        <v>4</v>
      </c>
      <c r="B14274" s="640" t="s">
        <v>5</v>
      </c>
      <c r="C14274" s="640" t="s">
        <v>6</v>
      </c>
      <c r="D14274" s="640" t="s">
        <v>7</v>
      </c>
      <c r="E14274" s="640" t="s">
        <v>8</v>
      </c>
      <c r="F14274" s="641" t="s">
        <v>9</v>
      </c>
      <c r="G14274" s="642" t="s">
        <v>10</v>
      </c>
      <c r="H14274" s="642" t="s">
        <v>11</v>
      </c>
      <c r="I14274" s="643" t="s">
        <v>12</v>
      </c>
      <c r="J14274" s="644" t="s">
        <v>13</v>
      </c>
      <c r="K14274" s="645" t="s">
        <v>14</v>
      </c>
      <c r="L14274" s="646" t="s">
        <v>15</v>
      </c>
      <c r="M14274" s="641" t="s">
        <v>16</v>
      </c>
      <c r="N14274" s="641" t="s">
        <v>17</v>
      </c>
      <c r="O14274" s="642" t="s">
        <v>18</v>
      </c>
      <c r="P14274" s="641" t="s">
        <v>192</v>
      </c>
    </row>
    <row r="14275" spans="1:17" ht="17.399999999999999">
      <c r="A14275" s="549"/>
      <c r="B14275" s="549"/>
      <c r="C14275" s="549"/>
      <c r="D14275" s="549"/>
      <c r="E14275" s="549"/>
      <c r="F14275" s="549"/>
      <c r="G14275" s="549"/>
      <c r="H14275" s="549"/>
      <c r="I14275" s="558"/>
      <c r="J14275" s="549"/>
      <c r="K14275" s="561"/>
      <c r="L14275" s="565"/>
      <c r="M14275" s="549"/>
      <c r="N14275" s="549"/>
      <c r="O14275" s="549"/>
      <c r="P14275" s="549"/>
    </row>
    <row r="14276" spans="1:17" ht="17.399999999999999">
      <c r="A14276" s="547" t="s">
        <v>395</v>
      </c>
      <c r="B14276" s="547" t="s">
        <v>1365</v>
      </c>
      <c r="C14276" s="547" t="s">
        <v>19</v>
      </c>
      <c r="D14276" s="813" t="s">
        <v>155</v>
      </c>
      <c r="E14276" s="547" t="s">
        <v>270</v>
      </c>
      <c r="F14276" s="550">
        <v>8.5</v>
      </c>
      <c r="G14276" s="549" t="s">
        <v>61</v>
      </c>
      <c r="H14276" s="599" t="s">
        <v>118</v>
      </c>
      <c r="I14276" s="558">
        <v>9.26</v>
      </c>
      <c r="J14276" s="567">
        <v>10.5</v>
      </c>
      <c r="K14276" s="648">
        <v>32</v>
      </c>
      <c r="L14276" s="552">
        <f t="shared" ref="L14276:L14278" si="2854">(I14276*J14276*K14276/1000)</f>
        <v>3.1113600000000003</v>
      </c>
      <c r="M14276" s="549"/>
      <c r="N14276" s="549"/>
      <c r="O14276" s="549"/>
      <c r="P14276" s="549"/>
      <c r="Q14276" s="1737" t="s">
        <v>1757</v>
      </c>
    </row>
    <row r="14277" spans="1:17" ht="17.399999999999999">
      <c r="A14277" s="549"/>
      <c r="B14277" s="1605" t="s">
        <v>277</v>
      </c>
      <c r="C14277" s="549"/>
      <c r="D14277" s="549"/>
      <c r="E14277" s="549"/>
      <c r="F14277" s="549"/>
      <c r="G14277" s="549" t="s">
        <v>61</v>
      </c>
      <c r="H14277" s="549" t="s">
        <v>118</v>
      </c>
      <c r="I14277" s="558">
        <v>9.26</v>
      </c>
      <c r="J14277" s="567">
        <v>11</v>
      </c>
      <c r="K14277" s="648">
        <v>600</v>
      </c>
      <c r="L14277" s="552">
        <f t="shared" si="2854"/>
        <v>61.116</v>
      </c>
      <c r="M14277" s="549"/>
      <c r="N14277" s="549"/>
      <c r="O14277" s="549"/>
      <c r="P14277" s="549"/>
    </row>
    <row r="14278" spans="1:17" ht="17.399999999999999">
      <c r="A14278" s="549"/>
      <c r="B14278" s="549"/>
      <c r="C14278" s="549"/>
      <c r="D14278" s="549"/>
      <c r="E14278" s="549"/>
      <c r="F14278" s="549"/>
      <c r="G14278" s="549" t="s">
        <v>61</v>
      </c>
      <c r="H14278" s="549" t="s">
        <v>118</v>
      </c>
      <c r="I14278" s="558">
        <v>9.26</v>
      </c>
      <c r="J14278" s="567">
        <v>11.6</v>
      </c>
      <c r="K14278" s="648">
        <v>61</v>
      </c>
      <c r="L14278" s="552">
        <f t="shared" si="2854"/>
        <v>6.5523760000000006</v>
      </c>
      <c r="M14278" s="549"/>
      <c r="N14278" s="549"/>
      <c r="O14278" s="549"/>
      <c r="P14278" s="549"/>
    </row>
    <row r="14279" spans="1:17" ht="17.399999999999999">
      <c r="A14279" s="549"/>
      <c r="B14279" s="549"/>
      <c r="C14279" s="549"/>
      <c r="D14279" s="549"/>
      <c r="E14279" s="549"/>
      <c r="F14279" s="549"/>
      <c r="G14279" s="549"/>
      <c r="H14279" s="549"/>
      <c r="I14279" s="558"/>
      <c r="J14279" s="567"/>
      <c r="K14279" s="648">
        <v>693</v>
      </c>
      <c r="L14279" s="565">
        <f t="shared" ref="L14279" si="2855">SUM(L14276:L14278)</f>
        <v>70.779736</v>
      </c>
      <c r="M14279" s="549"/>
      <c r="N14279" s="549"/>
      <c r="O14279" s="549"/>
      <c r="P14279" s="549" t="s">
        <v>1716</v>
      </c>
    </row>
    <row r="14280" spans="1:17" s="1737" customFormat="1" ht="17.399999999999999">
      <c r="A14280" s="549"/>
      <c r="B14280" s="549"/>
      <c r="C14280" s="549"/>
      <c r="D14280" s="549"/>
      <c r="E14280" s="549"/>
      <c r="F14280" s="549"/>
      <c r="G14280" s="549"/>
      <c r="H14280" s="549"/>
      <c r="I14280" s="558"/>
      <c r="J14280" s="567"/>
      <c r="K14280" s="648"/>
      <c r="L14280" s="565"/>
      <c r="M14280" s="549"/>
      <c r="N14280" s="549"/>
      <c r="O14280" s="549"/>
      <c r="P14280" s="549"/>
    </row>
    <row r="14281" spans="1:17" ht="17.399999999999999">
      <c r="A14281" s="547" t="s">
        <v>395</v>
      </c>
      <c r="B14281" s="547" t="s">
        <v>1710</v>
      </c>
      <c r="C14281" s="547" t="s">
        <v>19</v>
      </c>
      <c r="D14281" s="813" t="s">
        <v>155</v>
      </c>
      <c r="E14281" s="547" t="s">
        <v>270</v>
      </c>
      <c r="F14281" s="550">
        <v>8.5</v>
      </c>
      <c r="G14281" s="549" t="s">
        <v>61</v>
      </c>
      <c r="H14281" s="599" t="s">
        <v>118</v>
      </c>
      <c r="I14281" s="558">
        <v>9.26</v>
      </c>
      <c r="J14281" s="567">
        <v>6</v>
      </c>
      <c r="K14281" s="648">
        <v>1</v>
      </c>
      <c r="L14281" s="552">
        <f t="shared" ref="L14281" si="2856">(I14281*J14281*K14281/1000)</f>
        <v>5.5560000000000005E-2</v>
      </c>
      <c r="M14281" s="549"/>
      <c r="N14281" s="549"/>
      <c r="O14281" s="549"/>
      <c r="P14281" s="549"/>
      <c r="Q14281" s="1737" t="s">
        <v>1757</v>
      </c>
    </row>
    <row r="14282" spans="1:17" ht="17.399999999999999">
      <c r="A14282" s="549"/>
      <c r="B14282" s="832" t="s">
        <v>333</v>
      </c>
      <c r="C14282" s="549"/>
      <c r="D14282" s="549"/>
      <c r="E14282" s="549"/>
      <c r="F14282" s="549"/>
      <c r="G14282" s="549"/>
      <c r="H14282" s="549"/>
      <c r="I14282" s="558"/>
      <c r="J14282" s="567"/>
      <c r="K14282" s="648">
        <f t="shared" ref="K14282:L14282" si="2857">SUM(K14281)</f>
        <v>1</v>
      </c>
      <c r="L14282" s="565">
        <f t="shared" si="2857"/>
        <v>5.5560000000000005E-2</v>
      </c>
      <c r="M14282" s="549"/>
      <c r="N14282" s="549"/>
      <c r="O14282" s="549"/>
      <c r="P14282" s="549" t="s">
        <v>1716</v>
      </c>
    </row>
    <row r="14283" spans="1:17" ht="17.399999999999999">
      <c r="A14283" s="549"/>
      <c r="B14283" s="549"/>
      <c r="C14283" s="549"/>
      <c r="D14283" s="549"/>
      <c r="E14283" s="549"/>
      <c r="F14283" s="549"/>
      <c r="G14283" s="549"/>
      <c r="H14283" s="549"/>
      <c r="I14283" s="558"/>
      <c r="J14283" s="549"/>
      <c r="K14283" s="561"/>
      <c r="L14283" s="565"/>
      <c r="M14283" s="549"/>
      <c r="N14283" s="549"/>
      <c r="O14283" s="549"/>
      <c r="P14283" s="549"/>
    </row>
    <row r="14284" spans="1:17" s="1737" customFormat="1" ht="17.399999999999999">
      <c r="A14284" s="547" t="s">
        <v>395</v>
      </c>
      <c r="B14284" s="547" t="s">
        <v>1616</v>
      </c>
      <c r="C14284" s="547" t="s">
        <v>19</v>
      </c>
      <c r="D14284" s="813" t="s">
        <v>155</v>
      </c>
      <c r="E14284" s="547" t="s">
        <v>270</v>
      </c>
      <c r="F14284" s="550">
        <v>8.5</v>
      </c>
      <c r="G14284" s="549" t="s">
        <v>61</v>
      </c>
      <c r="H14284" s="599" t="s">
        <v>118</v>
      </c>
      <c r="I14284" s="558">
        <v>9.26</v>
      </c>
      <c r="J14284" s="567">
        <v>6</v>
      </c>
      <c r="K14284" s="648">
        <v>1</v>
      </c>
      <c r="L14284" s="552">
        <f t="shared" ref="L14284" si="2858">(I14284*J14284*K14284/1000)</f>
        <v>5.5560000000000005E-2</v>
      </c>
      <c r="M14284" s="549"/>
      <c r="N14284" s="549"/>
      <c r="O14284" s="549"/>
      <c r="P14284" s="549"/>
      <c r="Q14284" s="1737" t="s">
        <v>1757</v>
      </c>
    </row>
    <row r="14285" spans="1:17" s="1737" customFormat="1" ht="17.399999999999999">
      <c r="A14285" s="549"/>
      <c r="B14285" s="559" t="s">
        <v>1711</v>
      </c>
      <c r="C14285" s="549"/>
      <c r="D14285" s="549"/>
      <c r="E14285" s="549"/>
      <c r="F14285" s="549"/>
      <c r="G14285" s="549"/>
      <c r="H14285" s="549"/>
      <c r="I14285" s="558"/>
      <c r="J14285" s="567"/>
      <c r="K14285" s="648">
        <f t="shared" ref="K14285:L14285" si="2859">SUM(K14284)</f>
        <v>1</v>
      </c>
      <c r="L14285" s="565">
        <f t="shared" si="2859"/>
        <v>5.5560000000000005E-2</v>
      </c>
      <c r="M14285" s="549"/>
      <c r="N14285" s="549"/>
      <c r="O14285" s="549"/>
      <c r="P14285" s="549" t="s">
        <v>1716</v>
      </c>
    </row>
    <row r="14286" spans="1:17" s="1737" customFormat="1" ht="17.399999999999999">
      <c r="A14286" s="549"/>
      <c r="B14286" s="549"/>
      <c r="C14286" s="549"/>
      <c r="D14286" s="549"/>
      <c r="E14286" s="549"/>
      <c r="F14286" s="549"/>
      <c r="G14286" s="549"/>
      <c r="H14286" s="549"/>
      <c r="I14286" s="558"/>
      <c r="J14286" s="549"/>
      <c r="K14286" s="561"/>
      <c r="L14286" s="565"/>
      <c r="M14286" s="549"/>
      <c r="N14286" s="549"/>
      <c r="O14286" s="549"/>
      <c r="P14286" s="549"/>
    </row>
    <row r="14287" spans="1:17" s="1737" customFormat="1" ht="17.399999999999999">
      <c r="A14287" s="547" t="s">
        <v>332</v>
      </c>
      <c r="B14287" s="547" t="s">
        <v>1616</v>
      </c>
      <c r="C14287" s="547" t="s">
        <v>19</v>
      </c>
      <c r="D14287" s="813" t="s">
        <v>155</v>
      </c>
      <c r="E14287" s="559" t="s">
        <v>285</v>
      </c>
      <c r="F14287" s="550">
        <v>12</v>
      </c>
      <c r="G14287" s="549" t="s">
        <v>61</v>
      </c>
      <c r="H14287" s="599" t="s">
        <v>118</v>
      </c>
      <c r="I14287" s="558">
        <v>9.26</v>
      </c>
      <c r="J14287" s="1547">
        <v>6</v>
      </c>
      <c r="K14287" s="726">
        <v>1</v>
      </c>
      <c r="L14287" s="552">
        <f>(I14287*J14287*K14287/1000)</f>
        <v>5.5560000000000005E-2</v>
      </c>
      <c r="M14287" s="549"/>
      <c r="N14287" s="549"/>
      <c r="O14287" s="549"/>
      <c r="P14287" s="549"/>
      <c r="Q14287" s="1737" t="s">
        <v>1757</v>
      </c>
    </row>
    <row r="14288" spans="1:17" s="1737" customFormat="1" ht="17.399999999999999">
      <c r="A14288" s="549"/>
      <c r="B14288" s="559" t="s">
        <v>52</v>
      </c>
      <c r="C14288" s="549"/>
      <c r="D14288" s="549"/>
      <c r="E14288" s="549"/>
      <c r="F14288" s="549"/>
      <c r="G14288" s="549" t="s">
        <v>61</v>
      </c>
      <c r="H14288" s="549" t="s">
        <v>118</v>
      </c>
      <c r="I14288" s="558">
        <v>9.26</v>
      </c>
      <c r="J14288" s="1547">
        <v>6</v>
      </c>
      <c r="K14288" s="726">
        <v>1</v>
      </c>
      <c r="L14288" s="552">
        <f>(I14288*J14288*K14288/1000)</f>
        <v>5.5560000000000005E-2</v>
      </c>
      <c r="M14288" s="549"/>
      <c r="N14288" s="549"/>
      <c r="O14288" s="549"/>
      <c r="P14288" s="549"/>
    </row>
    <row r="14289" spans="1:17" s="1737" customFormat="1" ht="17.399999999999999">
      <c r="A14289" s="549"/>
      <c r="B14289" s="549"/>
      <c r="C14289" s="549"/>
      <c r="D14289" s="549"/>
      <c r="E14289" s="549"/>
      <c r="F14289" s="549"/>
      <c r="G14289" s="549" t="s">
        <v>61</v>
      </c>
      <c r="H14289" s="549" t="s">
        <v>118</v>
      </c>
      <c r="I14289" s="558">
        <v>9.26</v>
      </c>
      <c r="J14289" s="1547">
        <v>7.1</v>
      </c>
      <c r="K14289" s="726">
        <v>1</v>
      </c>
      <c r="L14289" s="552">
        <f>(I14289*J14289*K14289/1000)</f>
        <v>6.5745999999999999E-2</v>
      </c>
      <c r="M14289" s="549"/>
      <c r="N14289" s="549"/>
      <c r="O14289" s="549"/>
      <c r="P14289" s="549"/>
    </row>
    <row r="14290" spans="1:17" s="1737" customFormat="1" ht="17.399999999999999">
      <c r="A14290" s="549"/>
      <c r="B14290" s="549"/>
      <c r="C14290" s="549"/>
      <c r="D14290" s="549"/>
      <c r="E14290" s="549"/>
      <c r="F14290" s="549"/>
      <c r="G14290" s="549"/>
      <c r="H14290" s="549"/>
      <c r="I14290" s="558"/>
      <c r="J14290" s="567"/>
      <c r="K14290" s="652">
        <f>SUM(K14287:K14289)</f>
        <v>3</v>
      </c>
      <c r="L14290" s="565">
        <f>SUM(L14287:L14289)</f>
        <v>0.17686600000000002</v>
      </c>
      <c r="M14290" s="549"/>
      <c r="N14290" s="549"/>
      <c r="O14290" s="549"/>
      <c r="P14290" s="549" t="s">
        <v>1717</v>
      </c>
    </row>
    <row r="14291" spans="1:17" s="1737" customFormat="1" ht="17.399999999999999">
      <c r="A14291" s="549"/>
      <c r="B14291" s="549"/>
      <c r="C14291" s="549"/>
      <c r="D14291" s="549"/>
      <c r="E14291" s="549"/>
      <c r="F14291" s="549"/>
      <c r="G14291" s="549"/>
      <c r="H14291" s="549"/>
      <c r="I14291" s="558"/>
      <c r="J14291" s="567"/>
      <c r="K14291" s="652">
        <f>SUM(K14276:K14290)/2</f>
        <v>698</v>
      </c>
      <c r="L14291" s="565">
        <f>SUM(L14276:L14290)/2</f>
        <v>71.067722000000032</v>
      </c>
      <c r="M14291" s="549"/>
      <c r="N14291" s="549"/>
      <c r="O14291" s="549"/>
      <c r="P14291" s="549"/>
    </row>
    <row r="14292" spans="1:17" s="1737" customFormat="1" ht="17.399999999999999">
      <c r="A14292" s="549"/>
      <c r="B14292" s="549"/>
      <c r="C14292" s="549"/>
      <c r="D14292" s="549"/>
      <c r="E14292" s="549"/>
      <c r="F14292" s="549"/>
      <c r="G14292" s="549"/>
      <c r="H14292" s="549"/>
      <c r="I14292" s="558"/>
      <c r="J14292" s="567"/>
      <c r="K14292" s="652"/>
      <c r="L14292" s="565"/>
      <c r="M14292" s="549"/>
      <c r="N14292" s="549"/>
      <c r="O14292" s="549"/>
      <c r="P14292" s="549"/>
    </row>
    <row r="14293" spans="1:17" s="1737" customFormat="1" ht="17.399999999999999">
      <c r="A14293" s="549"/>
      <c r="B14293" s="549"/>
      <c r="C14293" s="549"/>
      <c r="D14293" s="549"/>
      <c r="E14293" s="549"/>
      <c r="F14293" s="549"/>
      <c r="G14293" s="549"/>
      <c r="H14293" s="549"/>
      <c r="I14293" s="558"/>
      <c r="J14293" s="549"/>
      <c r="K14293" s="561"/>
      <c r="L14293" s="565"/>
      <c r="M14293" s="549"/>
      <c r="N14293" s="549"/>
      <c r="O14293" s="549"/>
      <c r="P14293" s="549"/>
    </row>
    <row r="14294" spans="1:17" ht="17.399999999999999">
      <c r="A14294" s="547" t="s">
        <v>395</v>
      </c>
      <c r="B14294" s="547" t="s">
        <v>1365</v>
      </c>
      <c r="C14294" s="547" t="s">
        <v>19</v>
      </c>
      <c r="D14294" s="813" t="s">
        <v>155</v>
      </c>
      <c r="E14294" s="547" t="s">
        <v>270</v>
      </c>
      <c r="F14294" s="550">
        <v>8.5</v>
      </c>
      <c r="G14294" s="549" t="s">
        <v>61</v>
      </c>
      <c r="H14294" s="828" t="s">
        <v>119</v>
      </c>
      <c r="I14294" s="558">
        <v>10.73</v>
      </c>
      <c r="J14294" s="567">
        <v>8.75</v>
      </c>
      <c r="K14294" s="648">
        <v>20</v>
      </c>
      <c r="L14294" s="552">
        <f>(I14294*J14294*K14294/1000)</f>
        <v>1.87775</v>
      </c>
      <c r="M14294" s="549"/>
      <c r="N14294" s="549"/>
      <c r="O14294" s="549"/>
      <c r="P14294" s="549"/>
    </row>
    <row r="14295" spans="1:17" ht="17.399999999999999">
      <c r="A14295" s="549"/>
      <c r="B14295" s="1652" t="s">
        <v>1712</v>
      </c>
      <c r="C14295" s="549"/>
      <c r="D14295" s="549"/>
      <c r="E14295" s="549"/>
      <c r="F14295" s="549"/>
      <c r="G14295" s="549"/>
      <c r="H14295" s="549"/>
      <c r="I14295" s="558"/>
      <c r="J14295" s="567"/>
      <c r="K14295" s="648">
        <f>SUM(K14294:K14294)</f>
        <v>20</v>
      </c>
      <c r="L14295" s="565">
        <f>SUM(L14294:L14294)</f>
        <v>1.87775</v>
      </c>
      <c r="M14295" s="549"/>
      <c r="N14295" s="549"/>
      <c r="O14295" s="549"/>
      <c r="P14295" s="549"/>
    </row>
    <row r="14296" spans="1:17" ht="17.399999999999999">
      <c r="A14296" s="549"/>
      <c r="B14296" s="549"/>
      <c r="C14296" s="549"/>
      <c r="D14296" s="549"/>
      <c r="E14296" s="549"/>
      <c r="F14296" s="549"/>
      <c r="G14296" s="549"/>
      <c r="H14296" s="549"/>
      <c r="I14296" s="558"/>
      <c r="J14296" s="549"/>
      <c r="K14296" s="561"/>
      <c r="L14296" s="565"/>
      <c r="M14296" s="549"/>
      <c r="N14296" s="549"/>
      <c r="O14296" s="549"/>
      <c r="P14296" s="549"/>
    </row>
    <row r="14297" spans="1:17" s="1737" customFormat="1" ht="17.399999999999999">
      <c r="A14297" s="549"/>
      <c r="B14297" s="549"/>
      <c r="C14297" s="549"/>
      <c r="D14297" s="549"/>
      <c r="E14297" s="549"/>
      <c r="F14297" s="549"/>
      <c r="G14297" s="549"/>
      <c r="H14297" s="549"/>
      <c r="I14297" s="558"/>
      <c r="J14297" s="549"/>
      <c r="K14297" s="561"/>
      <c r="L14297" s="565"/>
      <c r="M14297" s="549"/>
      <c r="N14297" s="549"/>
      <c r="O14297" s="549"/>
      <c r="P14297" s="549"/>
    </row>
    <row r="14298" spans="1:17" s="1737" customFormat="1" ht="17.399999999999999">
      <c r="A14298" s="549"/>
      <c r="B14298" s="549"/>
      <c r="C14298" s="549"/>
      <c r="D14298" s="549"/>
      <c r="E14298" s="549"/>
      <c r="F14298" s="549"/>
      <c r="G14298" s="549"/>
      <c r="H14298" s="549"/>
      <c r="I14298" s="558"/>
      <c r="J14298" s="549"/>
      <c r="K14298" s="561"/>
      <c r="L14298" s="565"/>
      <c r="M14298" s="549"/>
      <c r="N14298" s="549"/>
      <c r="O14298" s="549"/>
      <c r="P14298" s="549"/>
    </row>
    <row r="14299" spans="1:17" ht="17.399999999999999">
      <c r="A14299" s="547" t="s">
        <v>272</v>
      </c>
      <c r="B14299" s="547" t="s">
        <v>1664</v>
      </c>
      <c r="C14299" s="547" t="s">
        <v>446</v>
      </c>
      <c r="D14299" s="813" t="s">
        <v>450</v>
      </c>
      <c r="E14299" s="547" t="s">
        <v>270</v>
      </c>
      <c r="F14299" s="550">
        <v>8.5</v>
      </c>
      <c r="G14299" s="549" t="s">
        <v>61</v>
      </c>
      <c r="H14299" s="599" t="s">
        <v>118</v>
      </c>
      <c r="I14299" s="558">
        <v>9.26</v>
      </c>
      <c r="J14299" s="567">
        <v>8.1999999999999993</v>
      </c>
      <c r="K14299" s="648">
        <v>24</v>
      </c>
      <c r="L14299" s="552">
        <f t="shared" ref="L14299:L14302" si="2860">(I14299*J14299*K14299/1000)</f>
        <v>1.8223679999999998</v>
      </c>
      <c r="M14299" s="549"/>
      <c r="N14299" s="549"/>
      <c r="O14299" s="549"/>
      <c r="P14299" s="549"/>
      <c r="Q14299" s="1737" t="s">
        <v>1757</v>
      </c>
    </row>
    <row r="14300" spans="1:17" ht="17.399999999999999">
      <c r="A14300" s="549"/>
      <c r="B14300" s="549"/>
      <c r="C14300" s="549"/>
      <c r="D14300" s="549"/>
      <c r="E14300" s="549"/>
      <c r="F14300" s="549"/>
      <c r="G14300" s="549" t="s">
        <v>61</v>
      </c>
      <c r="H14300" s="549" t="s">
        <v>118</v>
      </c>
      <c r="I14300" s="558">
        <v>9.26</v>
      </c>
      <c r="J14300" s="567">
        <v>10.050000000000001</v>
      </c>
      <c r="K14300" s="648">
        <v>12</v>
      </c>
      <c r="L14300" s="552">
        <f t="shared" si="2860"/>
        <v>1.1167560000000001</v>
      </c>
      <c r="M14300" s="549"/>
      <c r="N14300" s="549"/>
      <c r="O14300" s="549"/>
      <c r="P14300" s="549"/>
    </row>
    <row r="14301" spans="1:17" ht="17.399999999999999">
      <c r="A14301" s="549"/>
      <c r="B14301" s="549"/>
      <c r="C14301" s="549"/>
      <c r="D14301" s="549"/>
      <c r="E14301" s="549"/>
      <c r="F14301" s="549"/>
      <c r="G14301" s="549" t="s">
        <v>61</v>
      </c>
      <c r="H14301" s="549" t="s">
        <v>118</v>
      </c>
      <c r="I14301" s="558">
        <v>9.26</v>
      </c>
      <c r="J14301" s="567">
        <v>10.199999999999999</v>
      </c>
      <c r="K14301" s="648">
        <v>12</v>
      </c>
      <c r="L14301" s="552">
        <f t="shared" si="2860"/>
        <v>1.133424</v>
      </c>
      <c r="M14301" s="549"/>
      <c r="N14301" s="549"/>
      <c r="O14301" s="549"/>
      <c r="P14301" s="549"/>
    </row>
    <row r="14302" spans="1:17" ht="17.399999999999999">
      <c r="A14302" s="549"/>
      <c r="B14302" s="549"/>
      <c r="C14302" s="549"/>
      <c r="D14302" s="549"/>
      <c r="E14302" s="549"/>
      <c r="F14302" s="549"/>
      <c r="G14302" s="549" t="s">
        <v>61</v>
      </c>
      <c r="H14302" s="549" t="s">
        <v>118</v>
      </c>
      <c r="I14302" s="558">
        <v>9.26</v>
      </c>
      <c r="J14302" s="567">
        <v>10.5</v>
      </c>
      <c r="K14302" s="648">
        <v>24</v>
      </c>
      <c r="L14302" s="552">
        <f t="shared" si="2860"/>
        <v>2.33352</v>
      </c>
      <c r="M14302" s="549"/>
      <c r="N14302" s="549"/>
      <c r="O14302" s="549"/>
      <c r="P14302" s="549"/>
    </row>
    <row r="14303" spans="1:17" ht="17.399999999999999">
      <c r="A14303" s="549"/>
      <c r="B14303" s="549"/>
      <c r="C14303" s="549"/>
      <c r="D14303" s="549"/>
      <c r="E14303" s="549"/>
      <c r="F14303" s="549"/>
      <c r="G14303" s="549"/>
      <c r="H14303" s="549"/>
      <c r="I14303" s="558"/>
      <c r="J14303" s="567"/>
      <c r="K14303" s="648">
        <f t="shared" ref="K14303:L14303" si="2861">SUM(K14299:K14302)</f>
        <v>72</v>
      </c>
      <c r="L14303" s="565">
        <f t="shared" si="2861"/>
        <v>6.4060679999999994</v>
      </c>
      <c r="M14303" s="549"/>
      <c r="N14303" s="549"/>
      <c r="O14303" s="549"/>
      <c r="P14303" s="549" t="s">
        <v>1718</v>
      </c>
    </row>
    <row r="14304" spans="1:17" ht="17.399999999999999">
      <c r="A14304" s="549"/>
      <c r="B14304" s="549"/>
      <c r="C14304" s="549"/>
      <c r="D14304" s="549"/>
      <c r="E14304" s="549"/>
      <c r="F14304" s="549"/>
      <c r="G14304" s="549"/>
      <c r="H14304" s="549"/>
      <c r="I14304" s="558"/>
      <c r="J14304" s="549"/>
      <c r="K14304" s="561"/>
      <c r="L14304" s="565"/>
      <c r="M14304" s="549"/>
      <c r="N14304" s="549"/>
      <c r="O14304" s="549"/>
      <c r="P14304" s="549"/>
    </row>
    <row r="14305" spans="1:17" ht="17.399999999999999">
      <c r="A14305" s="547" t="s">
        <v>272</v>
      </c>
      <c r="B14305" s="547" t="s">
        <v>1665</v>
      </c>
      <c r="C14305" s="547" t="s">
        <v>446</v>
      </c>
      <c r="D14305" s="813" t="s">
        <v>450</v>
      </c>
      <c r="E14305" s="547" t="s">
        <v>270</v>
      </c>
      <c r="F14305" s="550">
        <v>8.5</v>
      </c>
      <c r="G14305" s="549" t="s">
        <v>61</v>
      </c>
      <c r="H14305" s="599" t="s">
        <v>118</v>
      </c>
      <c r="I14305" s="558">
        <v>9.26</v>
      </c>
      <c r="J14305" s="567">
        <v>10.050000000000001</v>
      </c>
      <c r="K14305" s="648">
        <v>272</v>
      </c>
      <c r="L14305" s="552">
        <f t="shared" ref="L14305" si="2862">(I14305*J14305*K14305/1000)</f>
        <v>25.313136000000004</v>
      </c>
      <c r="M14305" s="549"/>
      <c r="N14305" s="549"/>
      <c r="O14305" s="549"/>
      <c r="P14305" s="549"/>
      <c r="Q14305" s="1737" t="s">
        <v>1757</v>
      </c>
    </row>
    <row r="14306" spans="1:17" ht="17.399999999999999">
      <c r="A14306" s="549"/>
      <c r="B14306" s="549"/>
      <c r="C14306" s="549"/>
      <c r="D14306" s="549"/>
      <c r="E14306" s="549"/>
      <c r="F14306" s="549"/>
      <c r="G14306" s="549" t="s">
        <v>61</v>
      </c>
      <c r="H14306" s="549" t="s">
        <v>118</v>
      </c>
      <c r="I14306" s="558">
        <v>9.26</v>
      </c>
      <c r="J14306" s="567">
        <v>10.5</v>
      </c>
      <c r="K14306" s="648">
        <v>42</v>
      </c>
      <c r="L14306" s="552">
        <f>(I14306*J14306*K14306/1000)</f>
        <v>4.0836600000000001</v>
      </c>
      <c r="M14306" s="549"/>
      <c r="N14306" s="549"/>
      <c r="O14306" s="549"/>
      <c r="P14306" s="549"/>
    </row>
    <row r="14307" spans="1:17" ht="17.399999999999999">
      <c r="A14307" s="549"/>
      <c r="B14307" s="549"/>
      <c r="C14307" s="549"/>
      <c r="D14307" s="549"/>
      <c r="E14307" s="549"/>
      <c r="F14307" s="549"/>
      <c r="G14307" s="549" t="s">
        <v>61</v>
      </c>
      <c r="H14307" s="549" t="s">
        <v>118</v>
      </c>
      <c r="I14307" s="558">
        <v>9.26</v>
      </c>
      <c r="J14307" s="567">
        <v>11</v>
      </c>
      <c r="K14307" s="648">
        <v>33</v>
      </c>
      <c r="L14307" s="552">
        <f>(I14307*J14307*K14307/1000)</f>
        <v>3.36138</v>
      </c>
      <c r="M14307" s="549"/>
      <c r="N14307" s="549"/>
      <c r="O14307" s="549"/>
      <c r="P14307" s="549"/>
    </row>
    <row r="14308" spans="1:17" ht="17.399999999999999">
      <c r="A14308" s="549"/>
      <c r="B14308" s="549"/>
      <c r="C14308" s="549"/>
      <c r="D14308" s="549"/>
      <c r="E14308" s="549"/>
      <c r="F14308" s="549"/>
      <c r="G14308" s="549" t="s">
        <v>61</v>
      </c>
      <c r="H14308" s="549" t="s">
        <v>118</v>
      </c>
      <c r="I14308" s="558">
        <v>9.26</v>
      </c>
      <c r="J14308" s="567">
        <v>12</v>
      </c>
      <c r="K14308" s="648">
        <v>10</v>
      </c>
      <c r="L14308" s="552">
        <f>(I14308*J14308*K14308/1000)</f>
        <v>1.1112</v>
      </c>
      <c r="M14308" s="549"/>
      <c r="N14308" s="549"/>
      <c r="O14308" s="549"/>
      <c r="P14308" s="549"/>
    </row>
    <row r="14309" spans="1:17" ht="17.399999999999999">
      <c r="A14309" s="549"/>
      <c r="B14309" s="549"/>
      <c r="C14309" s="549"/>
      <c r="D14309" s="549"/>
      <c r="E14309" s="549"/>
      <c r="F14309" s="549"/>
      <c r="G14309" s="549"/>
      <c r="H14309" s="549"/>
      <c r="I14309" s="558"/>
      <c r="J14309" s="567"/>
      <c r="K14309" s="648">
        <f>SUM(K14305:K14308)</f>
        <v>357</v>
      </c>
      <c r="L14309" s="565">
        <f>SUM(L14305:L14308)</f>
        <v>33.869375999999995</v>
      </c>
      <c r="M14309" s="549"/>
      <c r="N14309" s="549"/>
      <c r="O14309" s="549"/>
      <c r="P14309" s="549" t="s">
        <v>1718</v>
      </c>
    </row>
    <row r="14310" spans="1:17" s="1737" customFormat="1" ht="17.399999999999999">
      <c r="A14310" s="549"/>
      <c r="B14310" s="549"/>
      <c r="C14310" s="549"/>
      <c r="D14310" s="549"/>
      <c r="E14310" s="549"/>
      <c r="F14310" s="549"/>
      <c r="G14310" s="549"/>
      <c r="H14310" s="549"/>
      <c r="I14310" s="558"/>
      <c r="J14310" s="567"/>
      <c r="K14310" s="648"/>
      <c r="L14310" s="565"/>
      <c r="M14310" s="549"/>
      <c r="N14310" s="549"/>
      <c r="O14310" s="549"/>
      <c r="P14310" s="549"/>
    </row>
    <row r="14311" spans="1:17" s="1737" customFormat="1" ht="17.399999999999999">
      <c r="A14311" s="547" t="s">
        <v>272</v>
      </c>
      <c r="B14311" s="547" t="s">
        <v>1713</v>
      </c>
      <c r="C14311" s="547" t="s">
        <v>446</v>
      </c>
      <c r="D14311" s="813" t="s">
        <v>450</v>
      </c>
      <c r="E14311" s="547" t="s">
        <v>270</v>
      </c>
      <c r="F14311" s="550">
        <v>8.5</v>
      </c>
      <c r="G14311" s="549" t="s">
        <v>61</v>
      </c>
      <c r="H14311" s="599" t="s">
        <v>118</v>
      </c>
      <c r="I14311" s="558">
        <v>9.26</v>
      </c>
      <c r="J14311" s="567">
        <v>9</v>
      </c>
      <c r="K14311" s="648">
        <v>2</v>
      </c>
      <c r="L14311" s="552">
        <f t="shared" ref="L14311:L14312" si="2863">(I14311*J14311*K14311/1000)</f>
        <v>0.16667999999999999</v>
      </c>
      <c r="M14311" s="549"/>
      <c r="N14311" s="549"/>
      <c r="O14311" s="549"/>
      <c r="P14311" s="549"/>
      <c r="Q14311" s="1737" t="s">
        <v>1757</v>
      </c>
    </row>
    <row r="14312" spans="1:17" s="1737" customFormat="1" ht="17.399999999999999">
      <c r="A14312" s="549"/>
      <c r="B14312" s="549"/>
      <c r="C14312" s="549"/>
      <c r="D14312" s="549"/>
      <c r="E14312" s="549"/>
      <c r="F14312" s="549"/>
      <c r="G14312" s="549" t="s">
        <v>61</v>
      </c>
      <c r="H14312" s="549" t="s">
        <v>118</v>
      </c>
      <c r="I14312" s="558">
        <v>9.26</v>
      </c>
      <c r="J14312" s="567">
        <v>12</v>
      </c>
      <c r="K14312" s="648">
        <v>22</v>
      </c>
      <c r="L14312" s="552">
        <f t="shared" si="2863"/>
        <v>2.4446400000000001</v>
      </c>
      <c r="M14312" s="549"/>
      <c r="N14312" s="549"/>
      <c r="O14312" s="549"/>
      <c r="P14312" s="549"/>
    </row>
    <row r="14313" spans="1:17" s="1737" customFormat="1" ht="17.399999999999999">
      <c r="A14313" s="549"/>
      <c r="B14313" s="549"/>
      <c r="C14313" s="549"/>
      <c r="D14313" s="549"/>
      <c r="E14313" s="549"/>
      <c r="F14313" s="549"/>
      <c r="G14313" s="549"/>
      <c r="H14313" s="549"/>
      <c r="I14313" s="558"/>
      <c r="J14313" s="567"/>
      <c r="K14313" s="648">
        <f>SUM(K14311:K14312)</f>
        <v>24</v>
      </c>
      <c r="L14313" s="567">
        <f>SUM(L14311:L14312)</f>
        <v>2.6113200000000001</v>
      </c>
      <c r="M14313" s="549"/>
      <c r="N14313" s="549"/>
      <c r="O14313" s="549"/>
      <c r="P14313" s="549" t="s">
        <v>1718</v>
      </c>
    </row>
    <row r="14314" spans="1:17" s="1737" customFormat="1" ht="17.399999999999999">
      <c r="A14314" s="549"/>
      <c r="B14314" s="549"/>
      <c r="C14314" s="549"/>
      <c r="D14314" s="549"/>
      <c r="E14314" s="549"/>
      <c r="F14314" s="549"/>
      <c r="G14314" s="549"/>
      <c r="H14314" s="549"/>
      <c r="I14314" s="558"/>
      <c r="J14314" s="549"/>
      <c r="K14314" s="652">
        <f>SUM(K14299:K14313)/2</f>
        <v>453</v>
      </c>
      <c r="L14314" s="565">
        <f>SUM(L14299:L14313)/2</f>
        <v>42.886763999999999</v>
      </c>
      <c r="M14314" s="549"/>
      <c r="N14314" s="549"/>
      <c r="O14314" s="549"/>
      <c r="P14314" s="549"/>
    </row>
    <row r="14315" spans="1:17" s="1737" customFormat="1" ht="17.399999999999999">
      <c r="A14315" s="549"/>
      <c r="B14315" s="549"/>
      <c r="C14315" s="549"/>
      <c r="D14315" s="549"/>
      <c r="E14315" s="549"/>
      <c r="F14315" s="549"/>
      <c r="G14315" s="549"/>
      <c r="H14315" s="549"/>
      <c r="I14315" s="558"/>
      <c r="J14315" s="549"/>
      <c r="K14315" s="561"/>
      <c r="L14315" s="565"/>
      <c r="M14315" s="549"/>
      <c r="N14315" s="549"/>
      <c r="O14315" s="549"/>
      <c r="P14315" s="549"/>
    </row>
    <row r="14316" spans="1:17" ht="17.399999999999999">
      <c r="A14316" s="549"/>
      <c r="B14316" s="549"/>
      <c r="C14316" s="549"/>
      <c r="D14316" s="549"/>
      <c r="E14316" s="549"/>
      <c r="F14316" s="549"/>
      <c r="G14316" s="549"/>
      <c r="H14316" s="549"/>
      <c r="I14316" s="560"/>
      <c r="J14316" s="549"/>
      <c r="K14316" s="561"/>
      <c r="L14316" s="560"/>
      <c r="M14316" s="549"/>
      <c r="N14316" s="549"/>
      <c r="O14316" s="549"/>
      <c r="P14316" s="549"/>
    </row>
    <row r="14317" spans="1:17" ht="17.399999999999999">
      <c r="A14317" s="547" t="s">
        <v>395</v>
      </c>
      <c r="B14317" s="547" t="s">
        <v>1365</v>
      </c>
      <c r="C14317" s="547" t="s">
        <v>19</v>
      </c>
      <c r="D14317" s="813" t="s">
        <v>854</v>
      </c>
      <c r="E14317" s="547" t="s">
        <v>359</v>
      </c>
      <c r="F14317" s="550">
        <v>12</v>
      </c>
      <c r="G14317" s="549" t="s">
        <v>21</v>
      </c>
      <c r="H14317" s="599" t="s">
        <v>118</v>
      </c>
      <c r="I14317" s="558">
        <v>9.26</v>
      </c>
      <c r="J14317" s="567">
        <v>10</v>
      </c>
      <c r="K14317" s="648">
        <v>122</v>
      </c>
      <c r="L14317" s="552">
        <f>(I14317*J14317*K14317/1000)</f>
        <v>11.297199999999998</v>
      </c>
      <c r="M14317" s="549"/>
      <c r="N14317" s="549"/>
      <c r="O14317" s="549"/>
      <c r="P14317" s="549"/>
      <c r="Q14317" s="1737" t="s">
        <v>1757</v>
      </c>
    </row>
    <row r="14318" spans="1:17" ht="17.399999999999999">
      <c r="A14318" s="549"/>
      <c r="B14318" s="1605" t="s">
        <v>277</v>
      </c>
      <c r="C14318" s="549"/>
      <c r="D14318" s="549"/>
      <c r="E14318" s="549"/>
      <c r="F14318" s="549"/>
      <c r="G14318" s="549" t="s">
        <v>21</v>
      </c>
      <c r="H14318" s="549" t="s">
        <v>118</v>
      </c>
      <c r="I14318" s="558">
        <v>9.26</v>
      </c>
      <c r="J14318" s="567">
        <v>10.5</v>
      </c>
      <c r="K14318" s="648">
        <v>425</v>
      </c>
      <c r="L14318" s="552">
        <f>(I14318*J14318*K14318/1000)</f>
        <v>41.322749999999999</v>
      </c>
      <c r="M14318" s="549"/>
      <c r="N14318" s="549"/>
      <c r="O14318" s="549"/>
      <c r="P14318" s="549"/>
    </row>
    <row r="14319" spans="1:17" ht="17.399999999999999">
      <c r="A14319" s="549"/>
      <c r="B14319" s="549"/>
      <c r="C14319" s="549"/>
      <c r="D14319" s="549"/>
      <c r="E14319" s="549"/>
      <c r="F14319" s="549"/>
      <c r="G14319" s="549" t="s">
        <v>21</v>
      </c>
      <c r="H14319" s="549" t="s">
        <v>118</v>
      </c>
      <c r="I14319" s="558">
        <v>9.26</v>
      </c>
      <c r="J14319" s="567">
        <v>12</v>
      </c>
      <c r="K14319" s="648">
        <v>60</v>
      </c>
      <c r="L14319" s="552">
        <f>(I14319*J14319*K14319/1000)</f>
        <v>6.6672000000000011</v>
      </c>
      <c r="M14319" s="549"/>
      <c r="N14319" s="549"/>
      <c r="O14319" s="549"/>
      <c r="P14319" s="549"/>
    </row>
    <row r="14320" spans="1:17" ht="17.399999999999999">
      <c r="A14320" s="549"/>
      <c r="B14320" s="549"/>
      <c r="C14320" s="549"/>
      <c r="D14320" s="549"/>
      <c r="E14320" s="549"/>
      <c r="F14320" s="549"/>
      <c r="G14320" s="549"/>
      <c r="H14320" s="549"/>
      <c r="I14320" s="558"/>
      <c r="J14320" s="567"/>
      <c r="K14320" s="648">
        <f>SUM(K14317:K14319)</f>
        <v>607</v>
      </c>
      <c r="L14320" s="565">
        <f>SUM(L14317:L14319)</f>
        <v>59.287149999999997</v>
      </c>
      <c r="M14320" s="549"/>
      <c r="N14320" s="549"/>
      <c r="O14320" s="549"/>
      <c r="P14320" s="549" t="s">
        <v>1719</v>
      </c>
    </row>
    <row r="14321" spans="1:17" s="1737" customFormat="1" ht="17.399999999999999">
      <c r="A14321" s="549"/>
      <c r="B14321" s="549"/>
      <c r="C14321" s="549"/>
      <c r="D14321" s="549"/>
      <c r="E14321" s="549"/>
      <c r="F14321" s="549"/>
      <c r="G14321" s="549"/>
      <c r="H14321" s="549"/>
      <c r="I14321" s="558"/>
      <c r="J14321" s="567"/>
      <c r="K14321" s="648"/>
      <c r="L14321" s="565"/>
      <c r="M14321" s="549"/>
      <c r="N14321" s="549"/>
      <c r="O14321" s="549"/>
      <c r="P14321" s="549"/>
    </row>
    <row r="14322" spans="1:17" s="1737" customFormat="1" ht="17.399999999999999">
      <c r="A14322" s="549"/>
      <c r="B14322" s="549"/>
      <c r="C14322" s="549"/>
      <c r="D14322" s="549"/>
      <c r="E14322" s="549"/>
      <c r="F14322" s="549"/>
      <c r="G14322" s="549"/>
      <c r="H14322" s="549"/>
      <c r="I14322" s="558"/>
      <c r="J14322" s="567"/>
      <c r="K14322" s="648"/>
      <c r="L14322" s="565"/>
      <c r="M14322" s="549"/>
      <c r="N14322" s="549"/>
      <c r="O14322" s="549"/>
      <c r="P14322" s="549"/>
    </row>
    <row r="14323" spans="1:17" ht="17.399999999999999">
      <c r="A14323" s="547" t="s">
        <v>395</v>
      </c>
      <c r="B14323" s="547" t="s">
        <v>1365</v>
      </c>
      <c r="C14323" s="547" t="s">
        <v>19</v>
      </c>
      <c r="D14323" s="813" t="s">
        <v>854</v>
      </c>
      <c r="E14323" s="547" t="s">
        <v>359</v>
      </c>
      <c r="F14323" s="550">
        <v>12</v>
      </c>
      <c r="G14323" s="549" t="s">
        <v>21</v>
      </c>
      <c r="H14323" s="599" t="s">
        <v>119</v>
      </c>
      <c r="I14323" s="558">
        <v>10.73</v>
      </c>
      <c r="J14323" s="567">
        <v>10.5</v>
      </c>
      <c r="K14323" s="648">
        <v>97</v>
      </c>
      <c r="L14323" s="552">
        <f>(I14323*J14323*K14323/1000)</f>
        <v>10.928505000000001</v>
      </c>
      <c r="M14323" s="549"/>
      <c r="N14323" s="549"/>
      <c r="O14323" s="549"/>
      <c r="P14323" s="549"/>
      <c r="Q14323" s="1737" t="s">
        <v>1757</v>
      </c>
    </row>
    <row r="14324" spans="1:17" ht="17.399999999999999">
      <c r="A14324" s="549"/>
      <c r="B14324" s="1605" t="s">
        <v>277</v>
      </c>
      <c r="C14324" s="549"/>
      <c r="D14324" s="549"/>
      <c r="E14324" s="549"/>
      <c r="F14324" s="549"/>
      <c r="G14324" s="549" t="s">
        <v>21</v>
      </c>
      <c r="H14324" s="549" t="s">
        <v>119</v>
      </c>
      <c r="I14324" s="558">
        <v>10.73</v>
      </c>
      <c r="J14324" s="567">
        <v>12</v>
      </c>
      <c r="K14324" s="648">
        <v>29</v>
      </c>
      <c r="L14324" s="552">
        <f>(I14324*J14324*K14324/1000)</f>
        <v>3.7340399999999998</v>
      </c>
      <c r="M14324" s="549"/>
      <c r="N14324" s="549"/>
      <c r="O14324" s="549"/>
      <c r="P14324" s="549"/>
    </row>
    <row r="14325" spans="1:17" ht="17.399999999999999">
      <c r="A14325" s="549"/>
      <c r="B14325" s="549"/>
      <c r="C14325" s="549"/>
      <c r="D14325" s="549"/>
      <c r="E14325" s="549"/>
      <c r="F14325" s="549"/>
      <c r="G14325" s="549"/>
      <c r="H14325" s="549"/>
      <c r="I14325" s="558"/>
      <c r="J14325" s="567"/>
      <c r="K14325" s="648">
        <f t="shared" ref="K14325" si="2864">SUM(K14323:K14324)</f>
        <v>126</v>
      </c>
      <c r="L14325" s="565">
        <f>SUM(L14323:L14324)</f>
        <v>14.662545000000001</v>
      </c>
      <c r="M14325" s="549"/>
      <c r="N14325" s="549"/>
      <c r="O14325" s="549"/>
      <c r="P14325" s="549" t="s">
        <v>1720</v>
      </c>
    </row>
    <row r="14326" spans="1:17" s="1737" customFormat="1" ht="17.399999999999999">
      <c r="A14326" s="549"/>
      <c r="B14326" s="549"/>
      <c r="C14326" s="549"/>
      <c r="D14326" s="549"/>
      <c r="E14326" s="549"/>
      <c r="F14326" s="549"/>
      <c r="G14326" s="549"/>
      <c r="H14326" s="549"/>
      <c r="I14326" s="558"/>
      <c r="J14326" s="567"/>
      <c r="K14326" s="648"/>
      <c r="L14326" s="565"/>
      <c r="M14326" s="549"/>
      <c r="N14326" s="549"/>
      <c r="O14326" s="549"/>
      <c r="P14326" s="549"/>
    </row>
    <row r="14327" spans="1:17" s="1737" customFormat="1" ht="17.399999999999999">
      <c r="A14327" s="549"/>
      <c r="B14327" s="549"/>
      <c r="C14327" s="549"/>
      <c r="D14327" s="549"/>
      <c r="E14327" s="549"/>
      <c r="F14327" s="549"/>
      <c r="G14327" s="549"/>
      <c r="H14327" s="549"/>
      <c r="I14327" s="558"/>
      <c r="J14327" s="567"/>
      <c r="K14327" s="648"/>
      <c r="L14327" s="565"/>
      <c r="M14327" s="549"/>
      <c r="N14327" s="549"/>
      <c r="O14327" s="549"/>
      <c r="P14327" s="549"/>
    </row>
    <row r="14328" spans="1:17" ht="17.399999999999999">
      <c r="A14328" s="547" t="s">
        <v>395</v>
      </c>
      <c r="B14328" s="547" t="s">
        <v>1365</v>
      </c>
      <c r="C14328" s="547" t="s">
        <v>19</v>
      </c>
      <c r="D14328" s="813" t="s">
        <v>854</v>
      </c>
      <c r="E14328" s="547" t="s">
        <v>359</v>
      </c>
      <c r="F14328" s="550">
        <v>12</v>
      </c>
      <c r="G14328" s="549" t="s">
        <v>21</v>
      </c>
      <c r="H14328" s="599" t="s">
        <v>134</v>
      </c>
      <c r="I14328" s="558">
        <v>12.18</v>
      </c>
      <c r="J14328" s="567">
        <v>10.25</v>
      </c>
      <c r="K14328" s="648">
        <v>39</v>
      </c>
      <c r="L14328" s="552">
        <f>(I14328*J14328*K14328/1000)</f>
        <v>4.8689549999999997</v>
      </c>
      <c r="M14328" s="549"/>
      <c r="N14328" s="549"/>
      <c r="O14328" s="549"/>
      <c r="P14328" s="549"/>
      <c r="Q14328" s="1737" t="s">
        <v>1757</v>
      </c>
    </row>
    <row r="14329" spans="1:17" ht="17.399999999999999">
      <c r="A14329" s="549"/>
      <c r="B14329" s="1605" t="s">
        <v>277</v>
      </c>
      <c r="C14329" s="549"/>
      <c r="D14329" s="549"/>
      <c r="E14329" s="549"/>
      <c r="F14329" s="549"/>
      <c r="G14329" s="549"/>
      <c r="H14329" s="549"/>
      <c r="I14329" s="558"/>
      <c r="J14329" s="567"/>
      <c r="K14329" s="648">
        <f t="shared" ref="K14329" si="2865">SUM(K14328)</f>
        <v>39</v>
      </c>
      <c r="L14329" s="565">
        <f>SUM(L14328)</f>
        <v>4.8689549999999997</v>
      </c>
      <c r="M14329" s="549"/>
      <c r="N14329" s="549"/>
      <c r="O14329" s="549"/>
      <c r="P14329" s="549" t="s">
        <v>1721</v>
      </c>
    </row>
    <row r="14330" spans="1:17" ht="17.399999999999999">
      <c r="A14330" s="549"/>
      <c r="B14330" s="549"/>
      <c r="C14330" s="549"/>
      <c r="D14330" s="549"/>
      <c r="E14330" s="549"/>
      <c r="F14330" s="549"/>
      <c r="G14330" s="549"/>
      <c r="H14330" s="549"/>
      <c r="I14330" s="558"/>
      <c r="J14330" s="549"/>
      <c r="K14330" s="561"/>
      <c r="L14330" s="565"/>
      <c r="M14330" s="549"/>
      <c r="N14330" s="549"/>
      <c r="O14330" s="549"/>
      <c r="P14330" s="549"/>
    </row>
    <row r="14331" spans="1:17" s="1737" customFormat="1" ht="17.399999999999999">
      <c r="A14331" s="549"/>
      <c r="B14331" s="549"/>
      <c r="C14331" s="549"/>
      <c r="D14331" s="549"/>
      <c r="E14331" s="549"/>
      <c r="F14331" s="549"/>
      <c r="G14331" s="549"/>
      <c r="H14331" s="549"/>
      <c r="I14331" s="558"/>
      <c r="J14331" s="549"/>
      <c r="K14331" s="561"/>
      <c r="L14331" s="565"/>
      <c r="M14331" s="549"/>
      <c r="N14331" s="549"/>
      <c r="O14331" s="549"/>
      <c r="P14331" s="549"/>
    </row>
    <row r="14332" spans="1:17" ht="17.399999999999999">
      <c r="A14332" s="549"/>
      <c r="B14332" s="549"/>
      <c r="C14332" s="549"/>
      <c r="D14332" s="549"/>
      <c r="E14332" s="549"/>
      <c r="F14332" s="549"/>
      <c r="G14332" s="549"/>
      <c r="H14332" s="549"/>
      <c r="I14332" s="558"/>
      <c r="J14332" s="549"/>
      <c r="K14332" s="561"/>
      <c r="L14332" s="565"/>
      <c r="M14332" s="549"/>
      <c r="N14332" s="549"/>
      <c r="O14332" s="549"/>
      <c r="P14332" s="549"/>
    </row>
    <row r="14333" spans="1:17" ht="17.399999999999999">
      <c r="A14333" s="547" t="s">
        <v>272</v>
      </c>
      <c r="B14333" s="547" t="s">
        <v>1665</v>
      </c>
      <c r="C14333" s="547" t="s">
        <v>446</v>
      </c>
      <c r="D14333" s="813" t="s">
        <v>447</v>
      </c>
      <c r="E14333" s="547" t="s">
        <v>359</v>
      </c>
      <c r="F14333" s="550">
        <v>12</v>
      </c>
      <c r="G14333" s="549" t="s">
        <v>21</v>
      </c>
      <c r="H14333" s="599" t="s">
        <v>134</v>
      </c>
      <c r="I14333" s="558">
        <v>12.18</v>
      </c>
      <c r="J14333" s="567">
        <v>7.25</v>
      </c>
      <c r="K14333" s="648">
        <v>178</v>
      </c>
      <c r="L14333" s="552">
        <f t="shared" ref="L14333:L14336" si="2866">(I14333*J14333*K14333/1000)</f>
        <v>15.71829</v>
      </c>
      <c r="M14333" s="549"/>
      <c r="N14333" s="549"/>
      <c r="O14333" s="549"/>
      <c r="P14333" s="549"/>
      <c r="Q14333" s="1737" t="s">
        <v>1784</v>
      </c>
    </row>
    <row r="14334" spans="1:17" ht="17.399999999999999">
      <c r="A14334" s="549"/>
      <c r="B14334" s="549"/>
      <c r="C14334" s="549"/>
      <c r="D14334" s="549"/>
      <c r="E14334" s="549"/>
      <c r="F14334" s="549"/>
      <c r="G14334" s="549" t="s">
        <v>21</v>
      </c>
      <c r="H14334" s="549" t="s">
        <v>134</v>
      </c>
      <c r="I14334" s="558">
        <v>12.18</v>
      </c>
      <c r="J14334" s="567">
        <v>7.7</v>
      </c>
      <c r="K14334" s="648">
        <v>40</v>
      </c>
      <c r="L14334" s="552">
        <f t="shared" si="2866"/>
        <v>3.7514400000000001</v>
      </c>
      <c r="M14334" s="549"/>
      <c r="N14334" s="549"/>
      <c r="O14334" s="549"/>
      <c r="P14334" s="549"/>
    </row>
    <row r="14335" spans="1:17" ht="17.399999999999999">
      <c r="A14335" s="549"/>
      <c r="B14335" s="549"/>
      <c r="C14335" s="549"/>
      <c r="D14335" s="549"/>
      <c r="E14335" s="549"/>
      <c r="F14335" s="549"/>
      <c r="G14335" s="549" t="s">
        <v>21</v>
      </c>
      <c r="H14335" s="549" t="s">
        <v>134</v>
      </c>
      <c r="I14335" s="558">
        <v>12.18</v>
      </c>
      <c r="J14335" s="567">
        <v>9.4499999999999993</v>
      </c>
      <c r="K14335" s="648">
        <v>86</v>
      </c>
      <c r="L14335" s="552">
        <f t="shared" si="2866"/>
        <v>9.8986859999999979</v>
      </c>
      <c r="M14335" s="549"/>
      <c r="N14335" s="549"/>
      <c r="O14335" s="549"/>
      <c r="P14335" s="549"/>
    </row>
    <row r="14336" spans="1:17" ht="17.399999999999999">
      <c r="A14336" s="549"/>
      <c r="B14336" s="549"/>
      <c r="C14336" s="549"/>
      <c r="D14336" s="549"/>
      <c r="E14336" s="549"/>
      <c r="F14336" s="549"/>
      <c r="G14336" s="549" t="s">
        <v>21</v>
      </c>
      <c r="H14336" s="549" t="s">
        <v>134</v>
      </c>
      <c r="I14336" s="558">
        <v>12.18</v>
      </c>
      <c r="J14336" s="567">
        <v>11.5</v>
      </c>
      <c r="K14336" s="648">
        <v>42</v>
      </c>
      <c r="L14336" s="552">
        <f t="shared" si="2866"/>
        <v>5.8829399999999996</v>
      </c>
      <c r="M14336" s="549"/>
      <c r="N14336" s="549"/>
      <c r="O14336" s="549"/>
      <c r="P14336" s="549"/>
    </row>
    <row r="14337" spans="1:17" ht="17.399999999999999">
      <c r="A14337" s="549"/>
      <c r="B14337" s="549"/>
      <c r="C14337" s="549"/>
      <c r="D14337" s="549"/>
      <c r="E14337" s="549"/>
      <c r="F14337" s="549"/>
      <c r="G14337" s="549"/>
      <c r="H14337" s="549"/>
      <c r="I14337" s="558"/>
      <c r="J14337" s="567"/>
      <c r="K14337" s="648">
        <f t="shared" ref="K14337:L14337" si="2867">SUM(K14333:K14336)</f>
        <v>346</v>
      </c>
      <c r="L14337" s="565">
        <f t="shared" si="2867"/>
        <v>35.251355999999994</v>
      </c>
      <c r="M14337" s="549"/>
      <c r="N14337" s="549"/>
      <c r="O14337" s="549"/>
      <c r="P14337" s="549" t="s">
        <v>1722</v>
      </c>
    </row>
    <row r="14338" spans="1:17" ht="17.399999999999999">
      <c r="A14338" s="549"/>
      <c r="B14338" s="549"/>
      <c r="C14338" s="549"/>
      <c r="D14338" s="549"/>
      <c r="E14338" s="549"/>
      <c r="F14338" s="549"/>
      <c r="G14338" s="549"/>
      <c r="H14338" s="549"/>
      <c r="I14338" s="558"/>
      <c r="J14338" s="549"/>
      <c r="K14338" s="561"/>
      <c r="L14338" s="565"/>
      <c r="M14338" s="549"/>
      <c r="N14338" s="549"/>
      <c r="O14338" s="549"/>
      <c r="P14338" s="549"/>
    </row>
    <row r="14339" spans="1:17" ht="17.399999999999999">
      <c r="A14339" s="549"/>
      <c r="B14339" s="549"/>
      <c r="C14339" s="549"/>
      <c r="D14339" s="549"/>
      <c r="E14339" s="549"/>
      <c r="F14339" s="549"/>
      <c r="G14339" s="549"/>
      <c r="H14339" s="549"/>
      <c r="I14339" s="558"/>
      <c r="J14339" s="549"/>
      <c r="K14339" s="561"/>
      <c r="L14339" s="565"/>
      <c r="M14339" s="549"/>
      <c r="N14339" s="549"/>
      <c r="O14339" s="549"/>
      <c r="P14339" s="549"/>
    </row>
    <row r="14340" spans="1:17" ht="17.399999999999999">
      <c r="A14340" s="547" t="s">
        <v>272</v>
      </c>
      <c r="B14340" s="547" t="s">
        <v>1664</v>
      </c>
      <c r="C14340" s="547" t="s">
        <v>446</v>
      </c>
      <c r="D14340" s="813" t="s">
        <v>447</v>
      </c>
      <c r="E14340" s="547" t="s">
        <v>359</v>
      </c>
      <c r="F14340" s="550">
        <v>12</v>
      </c>
      <c r="G14340" s="549" t="s">
        <v>21</v>
      </c>
      <c r="H14340" s="599" t="s">
        <v>119</v>
      </c>
      <c r="I14340" s="558">
        <v>10.73</v>
      </c>
      <c r="J14340" s="567">
        <v>10.5</v>
      </c>
      <c r="K14340" s="648">
        <v>38</v>
      </c>
      <c r="L14340" s="552">
        <f t="shared" ref="L14340:L14342" si="2868">(I14340*J14340*K14340/1000)</f>
        <v>4.2812700000000001</v>
      </c>
      <c r="M14340" s="549"/>
      <c r="N14340" s="549"/>
      <c r="O14340" s="549"/>
      <c r="P14340" s="549"/>
      <c r="Q14340" s="1737" t="s">
        <v>1784</v>
      </c>
    </row>
    <row r="14341" spans="1:17" ht="17.399999999999999">
      <c r="A14341" s="549"/>
      <c r="B14341" s="549"/>
      <c r="C14341" s="549"/>
      <c r="D14341" s="549"/>
      <c r="E14341" s="549"/>
      <c r="F14341" s="549"/>
      <c r="G14341" s="549" t="s">
        <v>21</v>
      </c>
      <c r="H14341" s="549" t="s">
        <v>119</v>
      </c>
      <c r="I14341" s="558">
        <v>10.73</v>
      </c>
      <c r="J14341" s="567">
        <v>11</v>
      </c>
      <c r="K14341" s="648">
        <v>62</v>
      </c>
      <c r="L14341" s="552">
        <f t="shared" si="2868"/>
        <v>7.3178599999999996</v>
      </c>
      <c r="M14341" s="549"/>
      <c r="N14341" s="549"/>
      <c r="O14341" s="549"/>
      <c r="P14341" s="549"/>
    </row>
    <row r="14342" spans="1:17" ht="17.399999999999999">
      <c r="A14342" s="549"/>
      <c r="B14342" s="549"/>
      <c r="C14342" s="549"/>
      <c r="D14342" s="549"/>
      <c r="E14342" s="549"/>
      <c r="F14342" s="549"/>
      <c r="G14342" s="549" t="s">
        <v>21</v>
      </c>
      <c r="H14342" s="549" t="s">
        <v>119</v>
      </c>
      <c r="I14342" s="558">
        <v>10.73</v>
      </c>
      <c r="J14342" s="567">
        <v>12</v>
      </c>
      <c r="K14342" s="648">
        <v>116</v>
      </c>
      <c r="L14342" s="552">
        <f t="shared" si="2868"/>
        <v>14.936159999999999</v>
      </c>
      <c r="M14342" s="549"/>
      <c r="N14342" s="549"/>
      <c r="O14342" s="549"/>
      <c r="P14342" s="549"/>
    </row>
    <row r="14343" spans="1:17" ht="17.399999999999999">
      <c r="A14343" s="549"/>
      <c r="B14343" s="549"/>
      <c r="C14343" s="549"/>
      <c r="D14343" s="549"/>
      <c r="E14343" s="549"/>
      <c r="F14343" s="549"/>
      <c r="G14343" s="549"/>
      <c r="H14343" s="549"/>
      <c r="I14343" s="558"/>
      <c r="J14343" s="567"/>
      <c r="K14343" s="648">
        <f t="shared" ref="K14343:L14343" si="2869">SUM(K14340:K14342)</f>
        <v>216</v>
      </c>
      <c r="L14343" s="565">
        <f t="shared" si="2869"/>
        <v>26.535289999999996</v>
      </c>
      <c r="M14343" s="549"/>
      <c r="N14343" s="549"/>
      <c r="O14343" s="549"/>
      <c r="P14343" s="549"/>
    </row>
    <row r="14344" spans="1:17" ht="17.399999999999999">
      <c r="A14344" s="549"/>
      <c r="B14344" s="549"/>
      <c r="C14344" s="549"/>
      <c r="D14344" s="549"/>
      <c r="E14344" s="549"/>
      <c r="F14344" s="549"/>
      <c r="G14344" s="549"/>
      <c r="H14344" s="549"/>
      <c r="I14344" s="558"/>
      <c r="J14344" s="549"/>
      <c r="K14344" s="561"/>
      <c r="L14344" s="565"/>
      <c r="M14344" s="549"/>
      <c r="N14344" s="549"/>
      <c r="O14344" s="549"/>
      <c r="P14344" s="549"/>
    </row>
    <row r="14345" spans="1:17" ht="17.399999999999999">
      <c r="A14345" s="547" t="s">
        <v>272</v>
      </c>
      <c r="B14345" s="547" t="s">
        <v>1665</v>
      </c>
      <c r="C14345" s="547" t="s">
        <v>446</v>
      </c>
      <c r="D14345" s="813" t="s">
        <v>447</v>
      </c>
      <c r="E14345" s="547" t="s">
        <v>359</v>
      </c>
      <c r="F14345" s="550">
        <v>12</v>
      </c>
      <c r="G14345" s="549" t="s">
        <v>21</v>
      </c>
      <c r="H14345" s="599" t="s">
        <v>119</v>
      </c>
      <c r="I14345" s="558">
        <v>10.73</v>
      </c>
      <c r="J14345" s="567">
        <v>9</v>
      </c>
      <c r="K14345" s="648">
        <v>114</v>
      </c>
      <c r="L14345" s="552">
        <f t="shared" ref="L14345:L14351" si="2870">(I14345*J14345*K14345/1000)</f>
        <v>11.008980000000001</v>
      </c>
      <c r="M14345" s="549"/>
      <c r="N14345" s="549"/>
      <c r="O14345" s="549"/>
      <c r="P14345" s="549"/>
      <c r="Q14345" s="1737" t="s">
        <v>1784</v>
      </c>
    </row>
    <row r="14346" spans="1:17" ht="17.399999999999999">
      <c r="A14346" s="549"/>
      <c r="B14346" s="549"/>
      <c r="C14346" s="549"/>
      <c r="D14346" s="549"/>
      <c r="E14346" s="549"/>
      <c r="F14346" s="549"/>
      <c r="G14346" s="549" t="s">
        <v>21</v>
      </c>
      <c r="H14346" s="549" t="s">
        <v>119</v>
      </c>
      <c r="I14346" s="558">
        <v>10.73</v>
      </c>
      <c r="J14346" s="567">
        <v>9.8000000000000007</v>
      </c>
      <c r="K14346" s="648">
        <v>74</v>
      </c>
      <c r="L14346" s="552">
        <f t="shared" si="2870"/>
        <v>7.7813960000000009</v>
      </c>
      <c r="M14346" s="549"/>
      <c r="N14346" s="549"/>
      <c r="O14346" s="549"/>
      <c r="P14346" s="549"/>
    </row>
    <row r="14347" spans="1:17" ht="17.399999999999999">
      <c r="A14347" s="549"/>
      <c r="B14347" s="549"/>
      <c r="C14347" s="549"/>
      <c r="D14347" s="549"/>
      <c r="E14347" s="549"/>
      <c r="F14347" s="549"/>
      <c r="G14347" s="549" t="s">
        <v>21</v>
      </c>
      <c r="H14347" s="549" t="s">
        <v>119</v>
      </c>
      <c r="I14347" s="558">
        <v>10.73</v>
      </c>
      <c r="J14347" s="567">
        <v>10.8</v>
      </c>
      <c r="K14347" s="648">
        <v>202</v>
      </c>
      <c r="L14347" s="552">
        <f t="shared" si="2870"/>
        <v>23.408568000000002</v>
      </c>
      <c r="M14347" s="549"/>
      <c r="N14347" s="549"/>
      <c r="O14347" s="549"/>
      <c r="P14347" s="549"/>
    </row>
    <row r="14348" spans="1:17" ht="17.399999999999999">
      <c r="A14348" s="549"/>
      <c r="B14348" s="549"/>
      <c r="C14348" s="549"/>
      <c r="D14348" s="549"/>
      <c r="E14348" s="549"/>
      <c r="F14348" s="549"/>
      <c r="G14348" s="549" t="s">
        <v>21</v>
      </c>
      <c r="H14348" s="549" t="s">
        <v>119</v>
      </c>
      <c r="I14348" s="558">
        <v>10.73</v>
      </c>
      <c r="J14348" s="567">
        <v>11</v>
      </c>
      <c r="K14348" s="648">
        <v>67</v>
      </c>
      <c r="L14348" s="552">
        <f t="shared" si="2870"/>
        <v>7.90801</v>
      </c>
      <c r="M14348" s="549"/>
      <c r="N14348" s="549"/>
      <c r="O14348" s="549"/>
      <c r="P14348" s="549"/>
    </row>
    <row r="14349" spans="1:17" ht="17.399999999999999">
      <c r="A14349" s="549"/>
      <c r="B14349" s="549"/>
      <c r="C14349" s="549"/>
      <c r="D14349" s="549"/>
      <c r="E14349" s="549"/>
      <c r="F14349" s="549"/>
      <c r="G14349" s="549" t="s">
        <v>21</v>
      </c>
      <c r="H14349" s="549" t="s">
        <v>119</v>
      </c>
      <c r="I14349" s="558">
        <v>10.73</v>
      </c>
      <c r="J14349" s="567">
        <v>11.2</v>
      </c>
      <c r="K14349" s="648">
        <v>105</v>
      </c>
      <c r="L14349" s="552">
        <f t="shared" si="2870"/>
        <v>12.61848</v>
      </c>
      <c r="M14349" s="549"/>
      <c r="N14349" s="549"/>
      <c r="O14349" s="549"/>
      <c r="P14349" s="549"/>
    </row>
    <row r="14350" spans="1:17" ht="17.399999999999999">
      <c r="A14350" s="549"/>
      <c r="B14350" s="549"/>
      <c r="C14350" s="549"/>
      <c r="D14350" s="549"/>
      <c r="E14350" s="549"/>
      <c r="F14350" s="549"/>
      <c r="G14350" s="549" t="s">
        <v>21</v>
      </c>
      <c r="H14350" s="549" t="s">
        <v>119</v>
      </c>
      <c r="I14350" s="558">
        <v>10.73</v>
      </c>
      <c r="J14350" s="567">
        <v>11.5</v>
      </c>
      <c r="K14350" s="648">
        <v>30</v>
      </c>
      <c r="L14350" s="552">
        <f t="shared" si="2870"/>
        <v>3.7018500000000003</v>
      </c>
      <c r="M14350" s="549"/>
      <c r="N14350" s="549"/>
      <c r="O14350" s="549"/>
      <c r="P14350" s="549"/>
    </row>
    <row r="14351" spans="1:17" ht="17.399999999999999">
      <c r="A14351" s="549"/>
      <c r="B14351" s="549"/>
      <c r="C14351" s="549"/>
      <c r="D14351" s="549"/>
      <c r="E14351" s="549"/>
      <c r="F14351" s="549"/>
      <c r="G14351" s="549" t="s">
        <v>21</v>
      </c>
      <c r="H14351" s="549" t="s">
        <v>119</v>
      </c>
      <c r="I14351" s="558">
        <v>10.73</v>
      </c>
      <c r="J14351" s="567">
        <v>11.8</v>
      </c>
      <c r="K14351" s="648">
        <v>167</v>
      </c>
      <c r="L14351" s="552">
        <f t="shared" si="2870"/>
        <v>21.144538000000004</v>
      </c>
      <c r="M14351" s="549"/>
      <c r="N14351" s="549"/>
      <c r="O14351" s="549"/>
      <c r="P14351" s="549"/>
    </row>
    <row r="14352" spans="1:17" ht="17.399999999999999">
      <c r="A14352" s="549"/>
      <c r="B14352" s="549"/>
      <c r="C14352" s="549"/>
      <c r="D14352" s="549"/>
      <c r="E14352" s="549"/>
      <c r="F14352" s="549"/>
      <c r="G14352" s="549" t="s">
        <v>21</v>
      </c>
      <c r="H14352" s="549" t="s">
        <v>119</v>
      </c>
      <c r="I14352" s="558">
        <v>10.73</v>
      </c>
      <c r="J14352" s="567">
        <v>12</v>
      </c>
      <c r="K14352" s="648">
        <v>191</v>
      </c>
      <c r="L14352" s="552">
        <f>(I14352*J14352*K14352/1000)</f>
        <v>24.593160000000001</v>
      </c>
      <c r="M14352" s="549"/>
      <c r="N14352" s="549"/>
      <c r="O14352" s="549"/>
      <c r="P14352" s="549"/>
    </row>
    <row r="14353" spans="1:17" ht="17.399999999999999">
      <c r="A14353" s="549"/>
      <c r="B14353" s="549"/>
      <c r="C14353" s="549"/>
      <c r="D14353" s="549"/>
      <c r="E14353" s="549"/>
      <c r="F14353" s="549"/>
      <c r="G14353" s="549"/>
      <c r="H14353" s="549"/>
      <c r="I14353" s="558"/>
      <c r="J14353" s="567"/>
      <c r="K14353" s="648">
        <f>SUM(K14345:K14352)</f>
        <v>950</v>
      </c>
      <c r="L14353" s="565">
        <f>SUM(L14345:L14352)</f>
        <v>112.16498199999999</v>
      </c>
      <c r="M14353" s="549"/>
      <c r="N14353" s="549"/>
      <c r="O14353" s="549"/>
      <c r="P14353" s="549"/>
    </row>
    <row r="14354" spans="1:17" s="1737" customFormat="1" ht="17.399999999999999">
      <c r="A14354" s="549"/>
      <c r="B14354" s="549"/>
      <c r="C14354" s="549"/>
      <c r="D14354" s="549"/>
      <c r="E14354" s="549"/>
      <c r="F14354" s="549"/>
      <c r="G14354" s="549"/>
      <c r="H14354" s="549"/>
      <c r="I14354" s="558"/>
      <c r="J14354" s="567"/>
      <c r="K14354" s="727">
        <f>SUM(K14340:K14353)/2</f>
        <v>1166</v>
      </c>
      <c r="L14354" s="565">
        <f>SUM(L14340:L14353)/2</f>
        <v>138.70027200000001</v>
      </c>
      <c r="M14354" s="549"/>
      <c r="N14354" s="549"/>
      <c r="O14354" s="549"/>
      <c r="P14354" s="549" t="s">
        <v>1723</v>
      </c>
    </row>
    <row r="14355" spans="1:17" s="1737" customFormat="1" ht="17.399999999999999">
      <c r="A14355" s="549"/>
      <c r="B14355" s="549"/>
      <c r="C14355" s="549"/>
      <c r="D14355" s="549"/>
      <c r="E14355" s="549"/>
      <c r="F14355" s="549"/>
      <c r="G14355" s="549"/>
      <c r="H14355" s="549"/>
      <c r="I14355" s="558"/>
      <c r="J14355" s="567"/>
      <c r="K14355" s="727"/>
      <c r="L14355" s="565"/>
      <c r="M14355" s="549"/>
      <c r="N14355" s="549"/>
      <c r="O14355" s="549"/>
      <c r="P14355" s="549"/>
    </row>
    <row r="14356" spans="1:17" s="1737" customFormat="1" ht="17.399999999999999">
      <c r="A14356" s="549"/>
      <c r="B14356" s="549"/>
      <c r="C14356" s="549"/>
      <c r="D14356" s="549"/>
      <c r="E14356" s="549"/>
      <c r="F14356" s="549"/>
      <c r="G14356" s="549"/>
      <c r="H14356" s="549"/>
      <c r="I14356" s="558"/>
      <c r="J14356" s="567"/>
      <c r="K14356" s="648"/>
      <c r="L14356" s="565"/>
      <c r="M14356" s="549"/>
      <c r="N14356" s="549"/>
      <c r="O14356" s="549"/>
      <c r="P14356" s="549"/>
    </row>
    <row r="14357" spans="1:17" ht="17.399999999999999">
      <c r="A14357" s="547" t="s">
        <v>272</v>
      </c>
      <c r="B14357" s="547" t="s">
        <v>1664</v>
      </c>
      <c r="C14357" s="547" t="s">
        <v>446</v>
      </c>
      <c r="D14357" s="813" t="s">
        <v>447</v>
      </c>
      <c r="E14357" s="547" t="s">
        <v>359</v>
      </c>
      <c r="F14357" s="550">
        <v>12</v>
      </c>
      <c r="G14357" s="549" t="s">
        <v>21</v>
      </c>
      <c r="H14357" s="599" t="s">
        <v>118</v>
      </c>
      <c r="I14357" s="558">
        <v>9.26</v>
      </c>
      <c r="J14357" s="567">
        <v>6.25</v>
      </c>
      <c r="K14357" s="648">
        <v>193</v>
      </c>
      <c r="L14357" s="552">
        <f t="shared" ref="L14357:L14360" si="2871">(I14357*J14357*K14357/1000)</f>
        <v>11.169874999999999</v>
      </c>
      <c r="M14357" s="549">
        <v>68</v>
      </c>
      <c r="N14357" s="565">
        <f>J14357*M14357*I14357/1000</f>
        <v>3.9355000000000002</v>
      </c>
      <c r="O14357" s="549"/>
      <c r="P14357" s="549"/>
      <c r="Q14357" s="1737" t="s">
        <v>1784</v>
      </c>
    </row>
    <row r="14358" spans="1:17" ht="17.399999999999999">
      <c r="A14358" s="549"/>
      <c r="B14358" s="549"/>
      <c r="C14358" s="549"/>
      <c r="D14358" s="549"/>
      <c r="E14358" s="549"/>
      <c r="F14358" s="549"/>
      <c r="G14358" s="549" t="s">
        <v>21</v>
      </c>
      <c r="H14358" s="549" t="s">
        <v>118</v>
      </c>
      <c r="I14358" s="558">
        <v>9.26</v>
      </c>
      <c r="J14358" s="567">
        <v>10</v>
      </c>
      <c r="K14358" s="648">
        <v>98</v>
      </c>
      <c r="L14358" s="552">
        <f t="shared" si="2871"/>
        <v>9.0747999999999998</v>
      </c>
      <c r="M14358" s="549"/>
      <c r="N14358" s="549"/>
      <c r="O14358" s="549"/>
      <c r="P14358" s="549"/>
    </row>
    <row r="14359" spans="1:17" ht="17.399999999999999">
      <c r="A14359" s="549"/>
      <c r="B14359" s="549"/>
      <c r="C14359" s="549"/>
      <c r="D14359" s="549"/>
      <c r="E14359" s="549"/>
      <c r="F14359" s="549"/>
      <c r="G14359" s="549" t="s">
        <v>21</v>
      </c>
      <c r="H14359" s="549" t="s">
        <v>118</v>
      </c>
      <c r="I14359" s="558">
        <v>9.26</v>
      </c>
      <c r="J14359" s="567">
        <v>11</v>
      </c>
      <c r="K14359" s="648">
        <v>245</v>
      </c>
      <c r="L14359" s="552">
        <f t="shared" si="2871"/>
        <v>24.9557</v>
      </c>
      <c r="M14359" s="549"/>
      <c r="N14359" s="549"/>
      <c r="O14359" s="549"/>
      <c r="P14359" s="549"/>
    </row>
    <row r="14360" spans="1:17" ht="17.399999999999999">
      <c r="A14360" s="549"/>
      <c r="B14360" s="549"/>
      <c r="C14360" s="549"/>
      <c r="D14360" s="549"/>
      <c r="E14360" s="549"/>
      <c r="F14360" s="549"/>
      <c r="G14360" s="549" t="s">
        <v>21</v>
      </c>
      <c r="H14360" s="549" t="s">
        <v>118</v>
      </c>
      <c r="I14360" s="558">
        <v>9.26</v>
      </c>
      <c r="J14360" s="567">
        <v>11.5</v>
      </c>
      <c r="K14360" s="648">
        <v>151</v>
      </c>
      <c r="L14360" s="552">
        <f t="shared" si="2871"/>
        <v>16.079989999999999</v>
      </c>
      <c r="M14360" s="549"/>
      <c r="N14360" s="549"/>
      <c r="O14360" s="549"/>
      <c r="P14360" s="549"/>
    </row>
    <row r="14361" spans="1:17" ht="17.399999999999999">
      <c r="A14361" s="549"/>
      <c r="B14361" s="549"/>
      <c r="C14361" s="549"/>
      <c r="D14361" s="549"/>
      <c r="E14361" s="549"/>
      <c r="F14361" s="549"/>
      <c r="G14361" s="549" t="s">
        <v>21</v>
      </c>
      <c r="H14361" s="549" t="s">
        <v>118</v>
      </c>
      <c r="I14361" s="558">
        <v>9.26</v>
      </c>
      <c r="J14361" s="567">
        <v>12</v>
      </c>
      <c r="K14361" s="648">
        <v>195</v>
      </c>
      <c r="L14361" s="552">
        <f>(I14361*J14361*K14361/1000)</f>
        <v>21.668400000000002</v>
      </c>
      <c r="M14361" s="549"/>
      <c r="N14361" s="549"/>
      <c r="O14361" s="549"/>
      <c r="P14361" s="549"/>
    </row>
    <row r="14362" spans="1:17" ht="17.399999999999999">
      <c r="A14362" s="549"/>
      <c r="B14362" s="549"/>
      <c r="C14362" s="549"/>
      <c r="D14362" s="549"/>
      <c r="E14362" s="549"/>
      <c r="F14362" s="549"/>
      <c r="G14362" s="549"/>
      <c r="H14362" s="549"/>
      <c r="I14362" s="558"/>
      <c r="J14362" s="567"/>
      <c r="K14362" s="648">
        <f t="shared" ref="K14362:N14362" si="2872">SUM(K14357:K14361)</f>
        <v>882</v>
      </c>
      <c r="L14362" s="565">
        <f>SUM(L14357:L14361)</f>
        <v>82.948765000000009</v>
      </c>
      <c r="M14362" s="648">
        <f t="shared" si="2872"/>
        <v>68</v>
      </c>
      <c r="N14362" s="565">
        <f t="shared" si="2872"/>
        <v>3.9355000000000002</v>
      </c>
      <c r="O14362" s="549"/>
      <c r="P14362" s="549"/>
    </row>
    <row r="14363" spans="1:17" s="1737" customFormat="1" ht="17.399999999999999">
      <c r="A14363" s="549"/>
      <c r="B14363" s="549"/>
      <c r="C14363" s="549"/>
      <c r="D14363" s="549"/>
      <c r="E14363" s="549"/>
      <c r="F14363" s="549"/>
      <c r="G14363" s="549"/>
      <c r="H14363" s="549"/>
      <c r="I14363" s="558"/>
      <c r="J14363" s="567"/>
      <c r="K14363" s="648"/>
      <c r="L14363" s="565"/>
      <c r="M14363" s="549"/>
      <c r="N14363" s="549"/>
      <c r="O14363" s="549"/>
      <c r="P14363" s="549"/>
    </row>
    <row r="14364" spans="1:17" ht="17.399999999999999">
      <c r="A14364" s="547" t="s">
        <v>272</v>
      </c>
      <c r="B14364" s="547" t="s">
        <v>1665</v>
      </c>
      <c r="C14364" s="547" t="s">
        <v>446</v>
      </c>
      <c r="D14364" s="813" t="s">
        <v>447</v>
      </c>
      <c r="E14364" s="547" t="s">
        <v>359</v>
      </c>
      <c r="F14364" s="550">
        <v>12</v>
      </c>
      <c r="G14364" s="549" t="s">
        <v>21</v>
      </c>
      <c r="H14364" s="599" t="s">
        <v>118</v>
      </c>
      <c r="I14364" s="558">
        <v>9.26</v>
      </c>
      <c r="J14364" s="567">
        <v>7.1</v>
      </c>
      <c r="K14364" s="648">
        <v>64</v>
      </c>
      <c r="L14364" s="552">
        <f t="shared" ref="L14364:L14370" si="2873">(I14364*J14364*K14364/1000)</f>
        <v>4.2077439999999999</v>
      </c>
      <c r="M14364" s="549"/>
      <c r="N14364" s="549"/>
      <c r="O14364" s="549"/>
      <c r="P14364" s="549"/>
      <c r="Q14364" s="1737" t="s">
        <v>1784</v>
      </c>
    </row>
    <row r="14365" spans="1:17" ht="17.399999999999999">
      <c r="A14365" s="549"/>
      <c r="B14365" s="549"/>
      <c r="C14365" s="549"/>
      <c r="D14365" s="549"/>
      <c r="E14365" s="549"/>
      <c r="F14365" s="549"/>
      <c r="G14365" s="549" t="s">
        <v>21</v>
      </c>
      <c r="H14365" s="549" t="s">
        <v>118</v>
      </c>
      <c r="I14365" s="558">
        <v>9.26</v>
      </c>
      <c r="J14365" s="567">
        <v>7.3</v>
      </c>
      <c r="K14365" s="648">
        <v>215</v>
      </c>
      <c r="L14365" s="552">
        <f t="shared" si="2873"/>
        <v>14.533569999999999</v>
      </c>
      <c r="M14365" s="549"/>
      <c r="N14365" s="549"/>
      <c r="O14365" s="549"/>
      <c r="P14365" s="549"/>
    </row>
    <row r="14366" spans="1:17" ht="17.399999999999999">
      <c r="A14366" s="549"/>
      <c r="B14366" s="549"/>
      <c r="C14366" s="549"/>
      <c r="D14366" s="549"/>
      <c r="E14366" s="549"/>
      <c r="F14366" s="549"/>
      <c r="G14366" s="549" t="s">
        <v>21</v>
      </c>
      <c r="H14366" s="549" t="s">
        <v>118</v>
      </c>
      <c r="I14366" s="558">
        <v>9.26</v>
      </c>
      <c r="J14366" s="567">
        <v>9.5</v>
      </c>
      <c r="K14366" s="648">
        <v>137</v>
      </c>
      <c r="L14366" s="552">
        <f t="shared" si="2873"/>
        <v>12.05189</v>
      </c>
      <c r="M14366" s="549"/>
      <c r="N14366" s="549"/>
      <c r="O14366" s="549"/>
      <c r="P14366" s="549"/>
    </row>
    <row r="14367" spans="1:17" ht="17.399999999999999">
      <c r="A14367" s="549"/>
      <c r="B14367" s="549"/>
      <c r="C14367" s="549"/>
      <c r="D14367" s="549"/>
      <c r="E14367" s="549"/>
      <c r="F14367" s="549"/>
      <c r="G14367" s="549" t="s">
        <v>21</v>
      </c>
      <c r="H14367" s="549" t="s">
        <v>118</v>
      </c>
      <c r="I14367" s="558">
        <v>9.26</v>
      </c>
      <c r="J14367" s="567">
        <v>10</v>
      </c>
      <c r="K14367" s="648">
        <v>23</v>
      </c>
      <c r="L14367" s="552">
        <f t="shared" si="2873"/>
        <v>2.1297999999999999</v>
      </c>
      <c r="M14367" s="549"/>
      <c r="N14367" s="549"/>
      <c r="O14367" s="549"/>
      <c r="P14367" s="549"/>
    </row>
    <row r="14368" spans="1:17" ht="17.399999999999999">
      <c r="A14368" s="549"/>
      <c r="B14368" s="549"/>
      <c r="C14368" s="549"/>
      <c r="D14368" s="549"/>
      <c r="E14368" s="549"/>
      <c r="F14368" s="549"/>
      <c r="G14368" s="549" t="s">
        <v>21</v>
      </c>
      <c r="H14368" s="549" t="s">
        <v>118</v>
      </c>
      <c r="I14368" s="558">
        <v>9.26</v>
      </c>
      <c r="J14368" s="567">
        <v>10.5</v>
      </c>
      <c r="K14368" s="648">
        <v>45</v>
      </c>
      <c r="L14368" s="552">
        <f t="shared" si="2873"/>
        <v>4.3753500000000001</v>
      </c>
      <c r="M14368" s="549"/>
      <c r="N14368" s="549"/>
      <c r="O14368" s="549"/>
      <c r="P14368" s="549"/>
    </row>
    <row r="14369" spans="1:17" ht="17.399999999999999">
      <c r="A14369" s="549"/>
      <c r="B14369" s="549"/>
      <c r="C14369" s="549"/>
      <c r="D14369" s="549"/>
      <c r="E14369" s="549"/>
      <c r="F14369" s="549"/>
      <c r="G14369" s="549" t="s">
        <v>21</v>
      </c>
      <c r="H14369" s="549" t="s">
        <v>118</v>
      </c>
      <c r="I14369" s="558">
        <v>9.26</v>
      </c>
      <c r="J14369" s="567">
        <v>11</v>
      </c>
      <c r="K14369" s="648">
        <v>259</v>
      </c>
      <c r="L14369" s="552">
        <f t="shared" si="2873"/>
        <v>26.381740000000001</v>
      </c>
      <c r="M14369" s="549"/>
      <c r="N14369" s="549"/>
      <c r="O14369" s="549"/>
      <c r="P14369" s="549"/>
    </row>
    <row r="14370" spans="1:17" ht="17.399999999999999">
      <c r="A14370" s="549"/>
      <c r="B14370" s="549"/>
      <c r="C14370" s="549"/>
      <c r="D14370" s="549"/>
      <c r="E14370" s="549"/>
      <c r="F14370" s="549"/>
      <c r="G14370" s="549" t="s">
        <v>21</v>
      </c>
      <c r="H14370" s="549" t="s">
        <v>118</v>
      </c>
      <c r="I14370" s="558">
        <v>9.26</v>
      </c>
      <c r="J14370" s="567">
        <v>11.3</v>
      </c>
      <c r="K14370" s="648">
        <v>50</v>
      </c>
      <c r="L14370" s="552">
        <f t="shared" si="2873"/>
        <v>5.2319000000000004</v>
      </c>
      <c r="M14370" s="549"/>
      <c r="N14370" s="549"/>
      <c r="O14370" s="549"/>
      <c r="P14370" s="549"/>
    </row>
    <row r="14371" spans="1:17" ht="17.399999999999999">
      <c r="A14371" s="549"/>
      <c r="B14371" s="549"/>
      <c r="C14371" s="549"/>
      <c r="D14371" s="549"/>
      <c r="E14371" s="549"/>
      <c r="F14371" s="549"/>
      <c r="G14371" s="549" t="s">
        <v>21</v>
      </c>
      <c r="H14371" s="549" t="s">
        <v>118</v>
      </c>
      <c r="I14371" s="558">
        <v>9.26</v>
      </c>
      <c r="J14371" s="567">
        <v>11.5</v>
      </c>
      <c r="K14371" s="648">
        <v>202</v>
      </c>
      <c r="L14371" s="552">
        <f>(I14371*J14371*K14371/1000)</f>
        <v>21.51098</v>
      </c>
      <c r="M14371" s="549"/>
      <c r="N14371" s="549"/>
      <c r="O14371" s="549"/>
      <c r="P14371" s="549"/>
    </row>
    <row r="14372" spans="1:17" ht="17.399999999999999">
      <c r="A14372" s="549"/>
      <c r="B14372" s="549"/>
      <c r="C14372" s="549"/>
      <c r="D14372" s="549"/>
      <c r="E14372" s="549"/>
      <c r="F14372" s="549"/>
      <c r="G14372" s="549" t="s">
        <v>21</v>
      </c>
      <c r="H14372" s="549" t="s">
        <v>118</v>
      </c>
      <c r="I14372" s="558">
        <v>9.26</v>
      </c>
      <c r="J14372" s="567">
        <v>12</v>
      </c>
      <c r="K14372" s="648">
        <v>382</v>
      </c>
      <c r="L14372" s="552">
        <f>(I14372*J14372*K14372/1000)</f>
        <v>42.447840000000006</v>
      </c>
      <c r="M14372" s="549"/>
      <c r="N14372" s="549"/>
      <c r="O14372" s="549"/>
      <c r="P14372" s="549"/>
    </row>
    <row r="14373" spans="1:17" ht="17.399999999999999">
      <c r="A14373" s="549"/>
      <c r="B14373" s="549"/>
      <c r="C14373" s="549"/>
      <c r="D14373" s="549"/>
      <c r="E14373" s="549"/>
      <c r="F14373" s="549"/>
      <c r="G14373" s="549"/>
      <c r="H14373" s="549"/>
      <c r="I14373" s="558"/>
      <c r="J14373" s="567"/>
      <c r="K14373" s="648">
        <f>SUM(K14364:K14372)</f>
        <v>1377</v>
      </c>
      <c r="L14373" s="565">
        <f>SUM(L14364:L14372)</f>
        <v>132.870814</v>
      </c>
      <c r="M14373" s="549"/>
      <c r="N14373" s="549"/>
      <c r="O14373" s="549"/>
      <c r="P14373" s="549"/>
    </row>
    <row r="14374" spans="1:17" s="1737" customFormat="1" ht="17.399999999999999">
      <c r="A14374" s="549"/>
      <c r="B14374" s="549"/>
      <c r="C14374" s="549"/>
      <c r="D14374" s="549"/>
      <c r="E14374" s="549"/>
      <c r="F14374" s="549"/>
      <c r="G14374" s="549"/>
      <c r="H14374" s="549"/>
      <c r="I14374" s="558"/>
      <c r="J14374" s="567"/>
      <c r="K14374" s="727">
        <f>SUM(K14357:K14373)/2</f>
        <v>2259</v>
      </c>
      <c r="L14374" s="565">
        <f>SUM(L14357:L14373)/2</f>
        <v>215.819579</v>
      </c>
      <c r="M14374" s="727">
        <f>SUM(M14357:M14373)/2</f>
        <v>68</v>
      </c>
      <c r="N14374" s="565">
        <f>SUM(N14357:N14373)/2</f>
        <v>3.9355000000000002</v>
      </c>
      <c r="O14374" s="549"/>
      <c r="P14374" s="549" t="s">
        <v>1724</v>
      </c>
    </row>
    <row r="14375" spans="1:17" s="1737" customFormat="1" ht="17.399999999999999">
      <c r="A14375" s="549"/>
      <c r="B14375" s="549"/>
      <c r="C14375" s="549"/>
      <c r="D14375" s="549"/>
      <c r="E14375" s="549"/>
      <c r="F14375" s="549"/>
      <c r="G14375" s="549"/>
      <c r="H14375" s="549"/>
      <c r="I14375" s="558"/>
      <c r="J14375" s="567"/>
      <c r="K14375" s="727"/>
      <c r="L14375" s="565"/>
      <c r="M14375" s="549"/>
      <c r="N14375" s="549"/>
      <c r="O14375" s="549"/>
      <c r="P14375" s="549"/>
    </row>
    <row r="14376" spans="1:17" s="1737" customFormat="1" ht="17.399999999999999">
      <c r="A14376" s="549"/>
      <c r="B14376" s="549"/>
      <c r="C14376" s="549"/>
      <c r="D14376" s="549"/>
      <c r="E14376" s="549"/>
      <c r="F14376" s="549"/>
      <c r="G14376" s="549"/>
      <c r="H14376" s="549"/>
      <c r="I14376" s="558"/>
      <c r="J14376" s="567"/>
      <c r="K14376" s="648"/>
      <c r="L14376" s="565"/>
      <c r="M14376" s="549"/>
      <c r="N14376" s="549"/>
      <c r="O14376" s="549"/>
      <c r="P14376" s="549"/>
    </row>
    <row r="14377" spans="1:17" ht="17.399999999999999">
      <c r="A14377" s="549"/>
      <c r="B14377" s="549"/>
      <c r="C14377" s="549"/>
      <c r="D14377" s="549"/>
      <c r="E14377" s="549"/>
      <c r="F14377" s="549"/>
      <c r="G14377" s="549"/>
      <c r="H14377" s="549"/>
      <c r="I14377" s="558"/>
      <c r="J14377" s="549"/>
      <c r="K14377" s="561"/>
      <c r="L14377" s="565"/>
      <c r="M14377" s="549"/>
      <c r="N14377" s="549"/>
      <c r="O14377" s="549"/>
      <c r="P14377" s="549"/>
    </row>
    <row r="14378" spans="1:17" ht="17.399999999999999">
      <c r="A14378" s="549"/>
      <c r="B14378" s="549"/>
      <c r="C14378" s="549"/>
      <c r="D14378" s="549"/>
      <c r="E14378" s="549"/>
      <c r="F14378" s="549"/>
      <c r="G14378" s="549"/>
      <c r="H14378" s="549"/>
      <c r="I14378" s="558"/>
      <c r="J14378" s="549"/>
      <c r="K14378" s="561"/>
      <c r="L14378" s="565"/>
      <c r="M14378" s="549"/>
      <c r="N14378" s="549"/>
      <c r="O14378" s="549"/>
      <c r="P14378" s="549"/>
    </row>
    <row r="14379" spans="1:17" ht="17.399999999999999">
      <c r="A14379" s="547" t="s">
        <v>395</v>
      </c>
      <c r="B14379" s="547" t="s">
        <v>1616</v>
      </c>
      <c r="C14379" s="547" t="s">
        <v>19</v>
      </c>
      <c r="D14379" s="813" t="s">
        <v>854</v>
      </c>
      <c r="E14379" s="780" t="s">
        <v>1028</v>
      </c>
      <c r="F14379" s="550">
        <v>12</v>
      </c>
      <c r="G14379" s="549" t="s">
        <v>21</v>
      </c>
      <c r="H14379" s="599" t="s">
        <v>118</v>
      </c>
      <c r="I14379" s="558">
        <v>9.26</v>
      </c>
      <c r="J14379" s="562">
        <v>6.5</v>
      </c>
      <c r="K14379" s="726">
        <v>2</v>
      </c>
      <c r="L14379" s="552">
        <f>(I14379*J14379*K14379/1000)</f>
        <v>0.12038</v>
      </c>
      <c r="M14379" s="560">
        <v>2</v>
      </c>
      <c r="N14379" s="565">
        <f>J14379*M14379*I14379/1000</f>
        <v>0.12038</v>
      </c>
      <c r="O14379" s="549"/>
      <c r="P14379" s="549"/>
      <c r="Q14379" s="1737" t="s">
        <v>1784</v>
      </c>
    </row>
    <row r="14380" spans="1:17" s="1737" customFormat="1" ht="17.399999999999999">
      <c r="A14380" s="549"/>
      <c r="B14380" s="559" t="s">
        <v>1027</v>
      </c>
      <c r="C14380" s="549"/>
      <c r="D14380" s="549"/>
      <c r="E14380" s="549"/>
      <c r="F14380" s="549"/>
      <c r="G14380" s="549"/>
      <c r="H14380" s="549"/>
      <c r="I14380" s="558"/>
      <c r="J14380" s="562"/>
      <c r="K14380" s="726">
        <f>SUM(K14379)</f>
        <v>2</v>
      </c>
      <c r="L14380" s="803">
        <f>SUM(L14379)</f>
        <v>0.12038</v>
      </c>
      <c r="M14380" s="563">
        <f>SUM(M14379)</f>
        <v>2</v>
      </c>
      <c r="N14380" s="803">
        <f>SUM(N14379)</f>
        <v>0.12038</v>
      </c>
      <c r="O14380" s="549"/>
      <c r="P14380" s="549"/>
    </row>
    <row r="14381" spans="1:17" s="1737" customFormat="1" ht="17.399999999999999">
      <c r="A14381" s="549"/>
      <c r="B14381" s="549"/>
      <c r="C14381" s="549"/>
      <c r="D14381" s="549"/>
      <c r="E14381" s="559"/>
      <c r="F14381" s="549"/>
      <c r="G14381" s="549"/>
      <c r="H14381" s="549"/>
      <c r="I14381" s="558"/>
      <c r="J14381" s="562"/>
      <c r="K14381" s="726"/>
      <c r="L14381" s="803"/>
      <c r="M14381" s="560"/>
      <c r="N14381" s="565"/>
      <c r="O14381" s="549"/>
      <c r="P14381" s="549"/>
    </row>
    <row r="14382" spans="1:17" ht="17.399999999999999">
      <c r="A14382" s="547" t="s">
        <v>395</v>
      </c>
      <c r="B14382" s="547" t="s">
        <v>1616</v>
      </c>
      <c r="C14382" s="547" t="s">
        <v>19</v>
      </c>
      <c r="D14382" s="813" t="s">
        <v>854</v>
      </c>
      <c r="E14382" s="547" t="s">
        <v>359</v>
      </c>
      <c r="F14382" s="550">
        <v>12</v>
      </c>
      <c r="G14382" s="549" t="s">
        <v>21</v>
      </c>
      <c r="H14382" s="599" t="s">
        <v>118</v>
      </c>
      <c r="I14382" s="558">
        <v>9.26</v>
      </c>
      <c r="J14382" s="562">
        <v>1</v>
      </c>
      <c r="K14382" s="726">
        <v>1</v>
      </c>
      <c r="L14382" s="552">
        <f>(I14382*J14382*K14382/1000)</f>
        <v>9.2599999999999991E-3</v>
      </c>
      <c r="M14382" s="560">
        <v>1</v>
      </c>
      <c r="N14382" s="565">
        <f>J14382*M14382*I14382/1000</f>
        <v>9.2599999999999991E-3</v>
      </c>
      <c r="O14382" s="549"/>
      <c r="P14382" s="549"/>
      <c r="Q14382" s="1737" t="s">
        <v>1784</v>
      </c>
    </row>
    <row r="14383" spans="1:17" ht="17.399999999999999">
      <c r="A14383" s="549"/>
      <c r="B14383" s="559" t="s">
        <v>1711</v>
      </c>
      <c r="C14383" s="549"/>
      <c r="D14383" s="549"/>
      <c r="E14383" s="549"/>
      <c r="F14383" s="549"/>
      <c r="G14383" s="549"/>
      <c r="H14383" s="549"/>
      <c r="I14383" s="558"/>
      <c r="J14383" s="647"/>
      <c r="K14383" s="652">
        <f t="shared" ref="K14383" si="2874">SUM(K14382)</f>
        <v>1</v>
      </c>
      <c r="L14383" s="565">
        <f>SUM(L14382)</f>
        <v>9.2599999999999991E-3</v>
      </c>
      <c r="M14383" s="564">
        <f t="shared" ref="M14383" si="2875">SUM(M14382)</f>
        <v>1</v>
      </c>
      <c r="N14383" s="565">
        <f>SUM(N14382)</f>
        <v>9.2599999999999991E-3</v>
      </c>
      <c r="O14383" s="549"/>
      <c r="P14383" s="549"/>
    </row>
    <row r="14384" spans="1:17" ht="17.399999999999999">
      <c r="A14384" s="549"/>
      <c r="B14384" s="549"/>
      <c r="C14384" s="549"/>
      <c r="D14384" s="549"/>
      <c r="E14384" s="549"/>
      <c r="F14384" s="549"/>
      <c r="G14384" s="549"/>
      <c r="H14384" s="549"/>
      <c r="I14384" s="558"/>
      <c r="J14384" s="647"/>
      <c r="K14384" s="652">
        <f>SUM(K14379:K14383)/2</f>
        <v>3</v>
      </c>
      <c r="L14384" s="827">
        <f>SUM(L14379:L14383)/2</f>
        <v>0.12964000000000001</v>
      </c>
      <c r="M14384" s="564">
        <f>SUM(M14379:M14383)/2</f>
        <v>3</v>
      </c>
      <c r="N14384" s="565">
        <f>SUM(N14379:N14383)/2</f>
        <v>0.12964000000000001</v>
      </c>
      <c r="O14384" s="549"/>
      <c r="P14384" s="549"/>
    </row>
    <row r="14385" spans="1:17" ht="17.399999999999999">
      <c r="A14385" s="549"/>
      <c r="B14385" s="549"/>
      <c r="C14385" s="549"/>
      <c r="D14385" s="549"/>
      <c r="E14385" s="549"/>
      <c r="F14385" s="549"/>
      <c r="G14385" s="549"/>
      <c r="H14385" s="549"/>
      <c r="I14385" s="558"/>
      <c r="J14385" s="647"/>
      <c r="K14385" s="561"/>
      <c r="L14385" s="565"/>
      <c r="M14385" s="560"/>
      <c r="N14385" s="565"/>
      <c r="O14385" s="549"/>
      <c r="P14385" s="549"/>
    </row>
    <row r="14386" spans="1:17" ht="17.399999999999999">
      <c r="A14386" s="549"/>
      <c r="B14386" s="549"/>
      <c r="C14386" s="549"/>
      <c r="D14386" s="549"/>
      <c r="E14386" s="549"/>
      <c r="F14386" s="549"/>
      <c r="G14386" s="549"/>
      <c r="H14386" s="549"/>
      <c r="I14386" s="558"/>
      <c r="J14386" s="647"/>
      <c r="K14386" s="561"/>
      <c r="L14386" s="565"/>
      <c r="M14386" s="560"/>
      <c r="N14386" s="565"/>
      <c r="O14386" s="549"/>
      <c r="P14386" s="549"/>
    </row>
    <row r="14387" spans="1:17" ht="17.399999999999999">
      <c r="A14387" s="547" t="s">
        <v>395</v>
      </c>
      <c r="B14387" s="547" t="s">
        <v>1616</v>
      </c>
      <c r="C14387" s="547" t="s">
        <v>19</v>
      </c>
      <c r="D14387" s="813" t="s">
        <v>854</v>
      </c>
      <c r="E14387" s="780" t="s">
        <v>1028</v>
      </c>
      <c r="F14387" s="550">
        <v>12</v>
      </c>
      <c r="G14387" s="549" t="s">
        <v>21</v>
      </c>
      <c r="H14387" s="599" t="s">
        <v>119</v>
      </c>
      <c r="I14387" s="558">
        <v>10.73</v>
      </c>
      <c r="J14387" s="562">
        <v>10.25</v>
      </c>
      <c r="K14387" s="726">
        <v>7</v>
      </c>
      <c r="L14387" s="552">
        <f>(I14387*J14387*K14387/1000)</f>
        <v>0.7698775000000001</v>
      </c>
      <c r="M14387" s="560">
        <v>7</v>
      </c>
      <c r="N14387" s="565">
        <f>J14387*M14387*I14387/1000</f>
        <v>0.7698775000000001</v>
      </c>
      <c r="O14387" s="549"/>
      <c r="P14387" s="549"/>
      <c r="Q14387" s="1737" t="s">
        <v>1784</v>
      </c>
    </row>
    <row r="14388" spans="1:17" ht="17.399999999999999">
      <c r="A14388" s="549"/>
      <c r="B14388" s="559" t="s">
        <v>1027</v>
      </c>
      <c r="C14388" s="549"/>
      <c r="D14388" s="549"/>
      <c r="E14388" s="549"/>
      <c r="F14388" s="549"/>
      <c r="G14388" s="549"/>
      <c r="H14388" s="549"/>
      <c r="I14388" s="558"/>
      <c r="J14388" s="647"/>
      <c r="K14388" s="652">
        <f>SUM(K14387:K14387)</f>
        <v>7</v>
      </c>
      <c r="L14388" s="827">
        <f>SUM(L14387:L14387)</f>
        <v>0.7698775000000001</v>
      </c>
      <c r="M14388" s="564">
        <f>SUM(M14387:M14387)</f>
        <v>7</v>
      </c>
      <c r="N14388" s="565">
        <f>SUM(N14387:N14387)</f>
        <v>0.7698775000000001</v>
      </c>
      <c r="O14388" s="549"/>
      <c r="P14388" s="549"/>
    </row>
    <row r="14389" spans="1:17" ht="17.399999999999999">
      <c r="A14389" s="549"/>
      <c r="B14389" s="549"/>
      <c r="C14389" s="549"/>
      <c r="D14389" s="549"/>
      <c r="E14389" s="549"/>
      <c r="F14389" s="549"/>
      <c r="G14389" s="549"/>
      <c r="H14389" s="549"/>
      <c r="I14389" s="558"/>
      <c r="J14389" s="647"/>
      <c r="K14389" s="561"/>
      <c r="L14389" s="565"/>
      <c r="M14389" s="560"/>
      <c r="N14389" s="565"/>
      <c r="O14389" s="549"/>
      <c r="P14389" s="549"/>
    </row>
    <row r="14390" spans="1:17" ht="17.399999999999999">
      <c r="A14390" s="549"/>
      <c r="B14390" s="549"/>
      <c r="C14390" s="549"/>
      <c r="D14390" s="549"/>
      <c r="E14390" s="549"/>
      <c r="F14390" s="549"/>
      <c r="G14390" s="549"/>
      <c r="H14390" s="549"/>
      <c r="I14390" s="558"/>
      <c r="J14390" s="647"/>
      <c r="K14390" s="561"/>
      <c r="L14390" s="565"/>
      <c r="M14390" s="560"/>
      <c r="N14390" s="565"/>
      <c r="O14390" s="549"/>
      <c r="P14390" s="549"/>
    </row>
    <row r="14391" spans="1:17" ht="17.399999999999999">
      <c r="A14391" s="549"/>
      <c r="B14391" s="549"/>
      <c r="C14391" s="549"/>
      <c r="D14391" s="549"/>
      <c r="E14391" s="549"/>
      <c r="F14391" s="549"/>
      <c r="G14391" s="549"/>
      <c r="H14391" s="549"/>
      <c r="I14391" s="558"/>
      <c r="J14391" s="647"/>
      <c r="K14391" s="561"/>
      <c r="L14391" s="565"/>
      <c r="M14391" s="560"/>
      <c r="N14391" s="565"/>
      <c r="O14391" s="549"/>
      <c r="P14391" s="549"/>
    </row>
    <row r="14392" spans="1:17" ht="17.399999999999999">
      <c r="A14392" s="547" t="s">
        <v>332</v>
      </c>
      <c r="B14392" s="547" t="s">
        <v>1616</v>
      </c>
      <c r="C14392" s="547" t="s">
        <v>19</v>
      </c>
      <c r="D14392" s="813" t="s">
        <v>854</v>
      </c>
      <c r="E14392" s="559" t="s">
        <v>464</v>
      </c>
      <c r="F14392" s="550">
        <v>12</v>
      </c>
      <c r="G14392" s="549" t="s">
        <v>21</v>
      </c>
      <c r="H14392" s="599" t="s">
        <v>134</v>
      </c>
      <c r="I14392" s="558">
        <v>12.2</v>
      </c>
      <c r="J14392" s="562">
        <v>10.4</v>
      </c>
      <c r="K14392" s="726">
        <v>2</v>
      </c>
      <c r="L14392" s="552">
        <f t="shared" ref="L14392:L14393" si="2876">(I14392*J14392*K14392/1000)</f>
        <v>0.25375999999999999</v>
      </c>
      <c r="M14392" s="563">
        <v>2</v>
      </c>
      <c r="N14392" s="565">
        <f t="shared" ref="N14392:N14393" si="2877">J14392*M14392*I14392/1000</f>
        <v>0.25375999999999999</v>
      </c>
      <c r="O14392" s="549"/>
      <c r="P14392" s="549"/>
      <c r="Q14392" s="1737" t="s">
        <v>1784</v>
      </c>
    </row>
    <row r="14393" spans="1:17" ht="17.399999999999999">
      <c r="A14393" s="549"/>
      <c r="B14393" s="559" t="s">
        <v>1407</v>
      </c>
      <c r="C14393" s="549"/>
      <c r="D14393" s="549"/>
      <c r="E14393" s="549"/>
      <c r="F14393" s="549"/>
      <c r="G14393" s="549" t="s">
        <v>21</v>
      </c>
      <c r="H14393" s="549" t="s">
        <v>134</v>
      </c>
      <c r="I14393" s="558">
        <v>12.2</v>
      </c>
      <c r="J14393" s="562">
        <v>7.6</v>
      </c>
      <c r="K14393" s="726">
        <v>5</v>
      </c>
      <c r="L14393" s="552">
        <f t="shared" si="2876"/>
        <v>0.4635999999999999</v>
      </c>
      <c r="M14393" s="563">
        <v>5</v>
      </c>
      <c r="N14393" s="565">
        <f t="shared" si="2877"/>
        <v>0.46359999999999996</v>
      </c>
      <c r="O14393" s="549"/>
      <c r="P14393" s="549"/>
    </row>
    <row r="14394" spans="1:17" ht="17.399999999999999">
      <c r="A14394" s="549"/>
      <c r="B14394" s="549"/>
      <c r="C14394" s="549"/>
      <c r="D14394" s="549"/>
      <c r="E14394" s="549"/>
      <c r="F14394" s="549"/>
      <c r="G14394" s="549"/>
      <c r="H14394" s="549"/>
      <c r="I14394" s="558"/>
      <c r="J14394" s="647"/>
      <c r="K14394" s="652">
        <f t="shared" ref="K14394:L14394" si="2878">SUM(K14392:K14393)</f>
        <v>7</v>
      </c>
      <c r="L14394" s="565">
        <f t="shared" si="2878"/>
        <v>0.71735999999999989</v>
      </c>
      <c r="M14394" s="564">
        <f t="shared" ref="M14394" si="2879">SUM(M14392:M14393)</f>
        <v>7</v>
      </c>
      <c r="N14394" s="565">
        <f t="shared" ref="N14394" si="2880">SUM(N14392:N14393)</f>
        <v>0.71736</v>
      </c>
      <c r="O14394" s="549"/>
      <c r="P14394" s="549"/>
    </row>
    <row r="14395" spans="1:17" ht="17.399999999999999">
      <c r="A14395" s="549"/>
      <c r="B14395" s="549"/>
      <c r="C14395" s="549"/>
      <c r="D14395" s="549"/>
      <c r="E14395" s="549"/>
      <c r="F14395" s="549"/>
      <c r="G14395" s="549"/>
      <c r="H14395" s="549"/>
      <c r="I14395" s="558"/>
      <c r="J14395" s="647"/>
      <c r="K14395" s="561"/>
      <c r="L14395" s="565"/>
      <c r="M14395" s="560"/>
      <c r="N14395" s="565"/>
      <c r="O14395" s="549"/>
      <c r="P14395" s="549"/>
    </row>
    <row r="14396" spans="1:17" ht="17.399999999999999">
      <c r="A14396" s="547" t="s">
        <v>395</v>
      </c>
      <c r="B14396" s="547" t="s">
        <v>1616</v>
      </c>
      <c r="C14396" s="547" t="s">
        <v>19</v>
      </c>
      <c r="D14396" s="813" t="s">
        <v>854</v>
      </c>
      <c r="E14396" s="780" t="s">
        <v>1028</v>
      </c>
      <c r="F14396" s="550">
        <v>12</v>
      </c>
      <c r="G14396" s="549" t="s">
        <v>21</v>
      </c>
      <c r="H14396" s="599" t="s">
        <v>134</v>
      </c>
      <c r="I14396" s="558">
        <v>12.18</v>
      </c>
      <c r="J14396" s="562">
        <v>12</v>
      </c>
      <c r="K14396" s="726">
        <v>1</v>
      </c>
      <c r="L14396" s="552">
        <f>(I14396*J14396*K14396/1000)</f>
        <v>0.14615999999999998</v>
      </c>
      <c r="M14396" s="563">
        <v>1</v>
      </c>
      <c r="N14396" s="565">
        <f t="shared" ref="N14396:N14397" si="2881">J14396*M14396*I14396/1000</f>
        <v>0.14615999999999998</v>
      </c>
      <c r="O14396" s="549"/>
      <c r="P14396" s="549"/>
      <c r="Q14396" s="1737" t="s">
        <v>1784</v>
      </c>
    </row>
    <row r="14397" spans="1:17" ht="17.399999999999999">
      <c r="A14397" s="549"/>
      <c r="B14397" s="559" t="s">
        <v>1027</v>
      </c>
      <c r="C14397" s="549"/>
      <c r="D14397" s="549"/>
      <c r="E14397" s="549"/>
      <c r="F14397" s="549"/>
      <c r="G14397" s="549" t="s">
        <v>21</v>
      </c>
      <c r="H14397" s="549" t="s">
        <v>134</v>
      </c>
      <c r="I14397" s="558">
        <v>12.18</v>
      </c>
      <c r="J14397" s="562">
        <v>6.35</v>
      </c>
      <c r="K14397" s="726">
        <v>2</v>
      </c>
      <c r="L14397" s="552">
        <f>(I14397*J14397*K14397/1000)</f>
        <v>0.15468599999999999</v>
      </c>
      <c r="M14397" s="563">
        <v>2</v>
      </c>
      <c r="N14397" s="565">
        <f t="shared" si="2881"/>
        <v>0.15468599999999999</v>
      </c>
      <c r="O14397" s="549"/>
      <c r="P14397" s="549"/>
    </row>
    <row r="14398" spans="1:17" ht="17.399999999999999">
      <c r="A14398" s="549"/>
      <c r="B14398" s="549"/>
      <c r="C14398" s="549"/>
      <c r="D14398" s="549"/>
      <c r="E14398" s="549"/>
      <c r="F14398" s="549"/>
      <c r="G14398" s="549"/>
      <c r="H14398" s="549"/>
      <c r="I14398" s="558"/>
      <c r="J14398" s="549"/>
      <c r="K14398" s="652">
        <f t="shared" ref="K14398" si="2882">SUM(K14396:K14397)</f>
        <v>3</v>
      </c>
      <c r="L14398" s="565">
        <f>SUM(L14396:L14397)</f>
        <v>0.30084599999999995</v>
      </c>
      <c r="M14398" s="564">
        <f t="shared" ref="M14398" si="2883">SUM(M14396:M14397)</f>
        <v>3</v>
      </c>
      <c r="N14398" s="565">
        <f>SUM(N14396:N14397)</f>
        <v>0.30084599999999995</v>
      </c>
      <c r="O14398" s="549"/>
      <c r="P14398" s="549"/>
    </row>
    <row r="14399" spans="1:17" ht="17.399999999999999">
      <c r="A14399" s="549"/>
      <c r="B14399" s="549"/>
      <c r="C14399" s="549"/>
      <c r="D14399" s="549"/>
      <c r="E14399" s="549"/>
      <c r="F14399" s="549"/>
      <c r="G14399" s="549"/>
      <c r="H14399" s="549"/>
      <c r="I14399" s="558"/>
      <c r="J14399" s="549"/>
      <c r="K14399" s="652">
        <f>SUM(K14392:K14398)/2</f>
        <v>10</v>
      </c>
      <c r="L14399" s="827">
        <f>SUM(L14392:L14398)/2</f>
        <v>1.0182059999999999</v>
      </c>
      <c r="M14399" s="652">
        <f>SUM(M14392:M14398)/2</f>
        <v>10</v>
      </c>
      <c r="N14399" s="565">
        <f>SUM(N14392:N14398)/2</f>
        <v>1.0182059999999999</v>
      </c>
      <c r="O14399" s="549"/>
      <c r="P14399" s="549"/>
    </row>
    <row r="14400" spans="1:17" s="1737" customFormat="1" ht="17.399999999999999">
      <c r="A14400" s="549"/>
      <c r="B14400" s="549"/>
      <c r="C14400" s="549"/>
      <c r="D14400" s="549"/>
      <c r="E14400" s="549"/>
      <c r="F14400" s="549"/>
      <c r="G14400" s="549"/>
      <c r="H14400" s="549"/>
      <c r="I14400" s="558"/>
      <c r="J14400" s="549"/>
      <c r="K14400" s="652"/>
      <c r="L14400" s="565"/>
      <c r="M14400" s="560"/>
      <c r="N14400" s="565"/>
      <c r="O14400" s="549"/>
      <c r="P14400" s="549"/>
    </row>
    <row r="14401" spans="1:17" ht="17.399999999999999">
      <c r="A14401" s="549"/>
      <c r="B14401" s="549"/>
      <c r="C14401" s="549"/>
      <c r="D14401" s="549"/>
      <c r="E14401" s="549"/>
      <c r="F14401" s="549"/>
      <c r="G14401" s="549"/>
      <c r="H14401" s="549"/>
      <c r="I14401" s="558"/>
      <c r="J14401" s="549"/>
      <c r="K14401" s="561"/>
      <c r="L14401" s="565"/>
      <c r="M14401" s="560"/>
      <c r="N14401" s="565"/>
      <c r="O14401" s="549"/>
      <c r="P14401" s="549"/>
    </row>
    <row r="14402" spans="1:17" ht="17.399999999999999">
      <c r="A14402" s="547" t="s">
        <v>332</v>
      </c>
      <c r="B14402" s="547" t="s">
        <v>1616</v>
      </c>
      <c r="C14402" s="547" t="s">
        <v>19</v>
      </c>
      <c r="D14402" s="813" t="s">
        <v>854</v>
      </c>
      <c r="E14402" s="559" t="s">
        <v>464</v>
      </c>
      <c r="F14402" s="550">
        <v>12</v>
      </c>
      <c r="G14402" s="549" t="s">
        <v>21</v>
      </c>
      <c r="H14402" s="599" t="s">
        <v>205</v>
      </c>
      <c r="I14402" s="558">
        <v>13.6</v>
      </c>
      <c r="J14402" s="562">
        <v>7.6</v>
      </c>
      <c r="K14402" s="726">
        <v>1</v>
      </c>
      <c r="L14402" s="552">
        <f>(I14402*J14402*K14402/1000)</f>
        <v>0.10335999999999999</v>
      </c>
      <c r="M14402" s="563">
        <v>1</v>
      </c>
      <c r="N14402" s="565">
        <f t="shared" ref="N14402" si="2884">J14402*M14402*I14402/1000</f>
        <v>0.10335999999999999</v>
      </c>
      <c r="O14402" s="549"/>
      <c r="P14402" s="549"/>
      <c r="Q14402" s="1737" t="s">
        <v>1784</v>
      </c>
    </row>
    <row r="14403" spans="1:17" ht="17.399999999999999">
      <c r="A14403" s="549"/>
      <c r="B14403" s="559" t="s">
        <v>1407</v>
      </c>
      <c r="C14403" s="549"/>
      <c r="D14403" s="549"/>
      <c r="E14403" s="549"/>
      <c r="F14403" s="549"/>
      <c r="G14403" s="549"/>
      <c r="H14403" s="549"/>
      <c r="I14403" s="560"/>
      <c r="J14403" s="549"/>
      <c r="K14403" s="652">
        <f>SUM(K14402:K14402)</f>
        <v>1</v>
      </c>
      <c r="L14403" s="827">
        <f>SUM(L14402:L14402)</f>
        <v>0.10335999999999999</v>
      </c>
      <c r="M14403" s="564">
        <f>SUM(M14402:M14402)</f>
        <v>1</v>
      </c>
      <c r="N14403" s="565">
        <f>SUM(N14402:N14402)</f>
        <v>0.10335999999999999</v>
      </c>
      <c r="O14403" s="549"/>
      <c r="P14403" s="549"/>
    </row>
    <row r="14404" spans="1:17" s="1737" customFormat="1" ht="17.399999999999999">
      <c r="A14404" s="549"/>
      <c r="B14404" s="559"/>
      <c r="C14404" s="549"/>
      <c r="D14404" s="549"/>
      <c r="E14404" s="549"/>
      <c r="F14404" s="549"/>
      <c r="G14404" s="549"/>
      <c r="H14404" s="549"/>
      <c r="I14404" s="560"/>
      <c r="J14404" s="549"/>
      <c r="K14404" s="652"/>
      <c r="L14404" s="709"/>
      <c r="M14404" s="564"/>
      <c r="N14404" s="565"/>
      <c r="O14404" s="549"/>
      <c r="P14404" s="549"/>
    </row>
    <row r="14405" spans="1:17" s="1737" customFormat="1" ht="17.399999999999999">
      <c r="A14405" s="549"/>
      <c r="B14405" s="559"/>
      <c r="C14405" s="549"/>
      <c r="D14405" s="549"/>
      <c r="E14405" s="549"/>
      <c r="F14405" s="549"/>
      <c r="G14405" s="549"/>
      <c r="H14405" s="549"/>
      <c r="I14405" s="560"/>
      <c r="J14405" s="549"/>
      <c r="K14405" s="652"/>
      <c r="L14405" s="709"/>
      <c r="M14405" s="564"/>
      <c r="N14405" s="565"/>
      <c r="O14405" s="549"/>
      <c r="P14405" s="549"/>
    </row>
    <row r="14406" spans="1:17" s="1737" customFormat="1" ht="17.399999999999999">
      <c r="A14406" s="549"/>
      <c r="B14406" s="559"/>
      <c r="C14406" s="549"/>
      <c r="D14406" s="549"/>
      <c r="E14406" s="549"/>
      <c r="F14406" s="549"/>
      <c r="G14406" s="549"/>
      <c r="H14406" s="549"/>
      <c r="I14406" s="560"/>
      <c r="J14406" s="549"/>
      <c r="K14406" s="652"/>
      <c r="L14406" s="709"/>
      <c r="M14406" s="564"/>
      <c r="N14406" s="565"/>
      <c r="O14406" s="549"/>
      <c r="P14406" s="549"/>
    </row>
    <row r="14407" spans="1:17" s="1737" customFormat="1" ht="17.399999999999999">
      <c r="A14407" s="549"/>
      <c r="B14407" s="559"/>
      <c r="C14407" s="549"/>
      <c r="D14407" s="549"/>
      <c r="E14407" s="549"/>
      <c r="F14407" s="549"/>
      <c r="G14407" s="549"/>
      <c r="H14407" s="549"/>
      <c r="I14407" s="560"/>
      <c r="J14407" s="549"/>
      <c r="K14407" s="652"/>
      <c r="L14407" s="709"/>
      <c r="M14407" s="564"/>
      <c r="N14407" s="565"/>
      <c r="O14407" s="549"/>
      <c r="P14407" s="549"/>
    </row>
    <row r="14408" spans="1:17" s="1737" customFormat="1" ht="18">
      <c r="A14408" s="547" t="s">
        <v>395</v>
      </c>
      <c r="B14408" s="547" t="s">
        <v>1725</v>
      </c>
      <c r="C14408" s="547" t="s">
        <v>19</v>
      </c>
      <c r="D14408" s="813" t="s">
        <v>155</v>
      </c>
      <c r="E14408" s="547" t="s">
        <v>270</v>
      </c>
      <c r="F14408" s="550">
        <v>8.5</v>
      </c>
      <c r="G14408" s="549" t="s">
        <v>61</v>
      </c>
      <c r="H14408" s="599" t="s">
        <v>119</v>
      </c>
      <c r="I14408" s="558">
        <v>10.73</v>
      </c>
      <c r="J14408" s="913">
        <v>11.5</v>
      </c>
      <c r="K14408" s="915">
        <v>19</v>
      </c>
      <c r="L14408" s="552">
        <f t="shared" ref="L14408:L14410" si="2885">(I14408*J14408*K14408/1000)</f>
        <v>2.3445050000000003</v>
      </c>
      <c r="M14408" s="549"/>
      <c r="N14408" s="549"/>
      <c r="O14408" s="549"/>
      <c r="P14408" s="549"/>
      <c r="Q14408" s="1737" t="s">
        <v>1784</v>
      </c>
    </row>
    <row r="14409" spans="1:17" s="1737" customFormat="1" ht="18">
      <c r="A14409" s="549"/>
      <c r="B14409" s="1605" t="s">
        <v>1726</v>
      </c>
      <c r="C14409" s="549"/>
      <c r="D14409" s="549"/>
      <c r="E14409" s="549"/>
      <c r="F14409" s="549"/>
      <c r="G14409" s="549" t="s">
        <v>61</v>
      </c>
      <c r="H14409" s="549" t="s">
        <v>119</v>
      </c>
      <c r="I14409" s="558">
        <v>10.73</v>
      </c>
      <c r="J14409" s="913">
        <v>10</v>
      </c>
      <c r="K14409" s="915">
        <v>2</v>
      </c>
      <c r="L14409" s="552">
        <f t="shared" si="2885"/>
        <v>0.21460000000000001</v>
      </c>
      <c r="M14409" s="549"/>
      <c r="N14409" s="549"/>
      <c r="O14409" s="549"/>
      <c r="P14409" s="549"/>
    </row>
    <row r="14410" spans="1:17" s="1737" customFormat="1" ht="18">
      <c r="A14410" s="549"/>
      <c r="B14410" s="549"/>
      <c r="C14410" s="549"/>
      <c r="D14410" s="549"/>
      <c r="E14410" s="549"/>
      <c r="F14410" s="549"/>
      <c r="G14410" s="549" t="s">
        <v>61</v>
      </c>
      <c r="H14410" s="549" t="s">
        <v>119</v>
      </c>
      <c r="I14410" s="558">
        <v>10.73</v>
      </c>
      <c r="J14410" s="913">
        <v>7.6</v>
      </c>
      <c r="K14410" s="915">
        <v>18</v>
      </c>
      <c r="L14410" s="552">
        <f t="shared" si="2885"/>
        <v>1.4678640000000001</v>
      </c>
      <c r="M14410" s="549"/>
      <c r="N14410" s="549"/>
      <c r="O14410" s="549"/>
      <c r="P14410" s="549"/>
    </row>
    <row r="14411" spans="1:17" s="1737" customFormat="1" ht="18">
      <c r="A14411" s="549"/>
      <c r="B14411" s="549"/>
      <c r="C14411" s="549"/>
      <c r="D14411" s="549"/>
      <c r="E14411" s="549"/>
      <c r="F14411" s="549"/>
      <c r="G14411" s="549"/>
      <c r="H14411" s="549"/>
      <c r="I14411" s="558"/>
      <c r="J14411" s="915"/>
      <c r="K14411" s="915">
        <f>SUM(K14408:K14410)</f>
        <v>39</v>
      </c>
      <c r="L14411" s="914">
        <f>SUM(L14408:L14410)</f>
        <v>4.0269690000000002</v>
      </c>
      <c r="M14411" s="549"/>
      <c r="N14411" s="549"/>
      <c r="O14411" s="549"/>
      <c r="P14411" s="549" t="s">
        <v>1727</v>
      </c>
    </row>
    <row r="14412" spans="1:17" s="1737" customFormat="1" ht="17.399999999999999">
      <c r="A14412" s="549"/>
      <c r="B14412" s="559"/>
      <c r="C14412" s="549"/>
      <c r="D14412" s="549"/>
      <c r="E14412" s="549"/>
      <c r="F14412" s="549"/>
      <c r="G14412" s="549"/>
      <c r="H14412" s="549"/>
      <c r="I14412" s="558"/>
      <c r="J14412" s="549"/>
      <c r="K14412" s="652"/>
      <c r="L14412" s="709"/>
      <c r="M14412" s="564"/>
      <c r="N14412" s="565"/>
      <c r="O14412" s="549"/>
      <c r="P14412" s="549"/>
    </row>
    <row r="14413" spans="1:17" s="1737" customFormat="1" ht="17.399999999999999">
      <c r="A14413" s="549"/>
      <c r="B14413" s="559"/>
      <c r="C14413" s="549"/>
      <c r="D14413" s="549"/>
      <c r="E14413" s="549"/>
      <c r="F14413" s="549"/>
      <c r="G14413" s="549"/>
      <c r="H14413" s="549"/>
      <c r="I14413" s="558"/>
      <c r="J14413" s="549"/>
      <c r="K14413" s="652"/>
      <c r="L14413" s="709"/>
      <c r="M14413" s="564"/>
      <c r="N14413" s="565"/>
      <c r="O14413" s="549"/>
      <c r="P14413" s="549"/>
    </row>
    <row r="14414" spans="1:17" s="1737" customFormat="1" ht="18">
      <c r="A14414" s="547" t="s">
        <v>395</v>
      </c>
      <c r="B14414" s="547" t="s">
        <v>1725</v>
      </c>
      <c r="C14414" s="547" t="s">
        <v>19</v>
      </c>
      <c r="D14414" s="813" t="s">
        <v>854</v>
      </c>
      <c r="E14414" s="547" t="s">
        <v>359</v>
      </c>
      <c r="F14414" s="550">
        <v>12</v>
      </c>
      <c r="G14414" s="549" t="s">
        <v>21</v>
      </c>
      <c r="H14414" s="599" t="s">
        <v>134</v>
      </c>
      <c r="I14414" s="558">
        <v>12.18</v>
      </c>
      <c r="J14414" s="913">
        <v>12</v>
      </c>
      <c r="K14414" s="915">
        <v>35</v>
      </c>
      <c r="L14414" s="552">
        <f>(I14414*J14414*K14414/1000)</f>
        <v>5.1155999999999997</v>
      </c>
      <c r="M14414" s="564"/>
      <c r="N14414" s="565"/>
      <c r="O14414" s="549"/>
      <c r="P14414" s="549"/>
      <c r="Q14414" s="1737" t="s">
        <v>1784</v>
      </c>
    </row>
    <row r="14415" spans="1:17" s="1737" customFormat="1" ht="17.399999999999999">
      <c r="A14415" s="549"/>
      <c r="B14415" s="1605" t="s">
        <v>1726</v>
      </c>
      <c r="C14415" s="549"/>
      <c r="D14415" s="549"/>
      <c r="E14415" s="549"/>
      <c r="F14415" s="549"/>
      <c r="G14415" s="549"/>
      <c r="H14415" s="549"/>
      <c r="I14415" s="558"/>
      <c r="J14415" s="567"/>
      <c r="K14415" s="648">
        <f t="shared" ref="K14415" si="2886">SUM(K14414)</f>
        <v>35</v>
      </c>
      <c r="L14415" s="565">
        <f>SUM(L14414)</f>
        <v>5.1155999999999997</v>
      </c>
      <c r="M14415" s="564"/>
      <c r="N14415" s="565"/>
      <c r="O14415" s="549"/>
      <c r="P14415" s="549" t="s">
        <v>1721</v>
      </c>
    </row>
    <row r="14416" spans="1:17" s="1737" customFormat="1" ht="17.399999999999999">
      <c r="A14416" s="549"/>
      <c r="B14416" s="559"/>
      <c r="C14416" s="549"/>
      <c r="D14416" s="549"/>
      <c r="E14416" s="549"/>
      <c r="F14416" s="549"/>
      <c r="G14416" s="549"/>
      <c r="H14416" s="549"/>
      <c r="I14416" s="558"/>
      <c r="J14416" s="549"/>
      <c r="K14416" s="652"/>
      <c r="L14416" s="709"/>
      <c r="M14416" s="564"/>
      <c r="N14416" s="565"/>
      <c r="O14416" s="549"/>
      <c r="P14416" s="549"/>
    </row>
    <row r="14417" spans="1:17" s="1737" customFormat="1" ht="17.399999999999999">
      <c r="A14417" s="549"/>
      <c r="B14417" s="559"/>
      <c r="C14417" s="549"/>
      <c r="D14417" s="549"/>
      <c r="E14417" s="549"/>
      <c r="F14417" s="549"/>
      <c r="G14417" s="549"/>
      <c r="H14417" s="549"/>
      <c r="I14417" s="558"/>
      <c r="J14417" s="549"/>
      <c r="K14417" s="652"/>
      <c r="L14417" s="709"/>
      <c r="M14417" s="564"/>
      <c r="N14417" s="565"/>
      <c r="O14417" s="549"/>
      <c r="P14417" s="549"/>
    </row>
    <row r="14418" spans="1:17" s="1737" customFormat="1" ht="18">
      <c r="A14418" s="547" t="s">
        <v>395</v>
      </c>
      <c r="B14418" s="547" t="s">
        <v>1725</v>
      </c>
      <c r="C14418" s="547" t="s">
        <v>19</v>
      </c>
      <c r="D14418" s="813" t="s">
        <v>854</v>
      </c>
      <c r="E14418" s="547" t="s">
        <v>359</v>
      </c>
      <c r="F14418" s="550">
        <v>12</v>
      </c>
      <c r="G14418" s="549" t="s">
        <v>21</v>
      </c>
      <c r="H14418" s="599" t="s">
        <v>119</v>
      </c>
      <c r="I14418" s="558">
        <v>10.73</v>
      </c>
      <c r="J14418" s="914">
        <v>10.5</v>
      </c>
      <c r="K14418" s="915">
        <v>11</v>
      </c>
      <c r="L14418" s="552">
        <f t="shared" ref="L14418:L14419" si="2887">(I14418*J14418*K14418/1000)</f>
        <v>1.2393149999999999</v>
      </c>
      <c r="M14418" s="564"/>
      <c r="N14418" s="565"/>
      <c r="O14418" s="549"/>
      <c r="P14418" s="549"/>
      <c r="Q14418" s="1737" t="s">
        <v>1784</v>
      </c>
    </row>
    <row r="14419" spans="1:17" s="1737" customFormat="1" ht="18">
      <c r="A14419" s="549"/>
      <c r="B14419" s="1605" t="s">
        <v>1726</v>
      </c>
      <c r="C14419" s="549"/>
      <c r="D14419" s="549"/>
      <c r="E14419" s="549"/>
      <c r="F14419" s="549"/>
      <c r="G14419" s="549" t="s">
        <v>21</v>
      </c>
      <c r="H14419" s="549" t="s">
        <v>119</v>
      </c>
      <c r="I14419" s="558">
        <v>10.73</v>
      </c>
      <c r="J14419" s="914">
        <v>8.5</v>
      </c>
      <c r="K14419" s="915">
        <v>14</v>
      </c>
      <c r="L14419" s="552">
        <f t="shared" si="2887"/>
        <v>1.2768699999999999</v>
      </c>
      <c r="M14419" s="564"/>
      <c r="N14419" s="565"/>
      <c r="O14419" s="549"/>
      <c r="P14419" s="549"/>
    </row>
    <row r="14420" spans="1:17" s="1737" customFormat="1" ht="18">
      <c r="A14420" s="549"/>
      <c r="B14420" s="549"/>
      <c r="C14420" s="549"/>
      <c r="D14420" s="549"/>
      <c r="E14420" s="549"/>
      <c r="F14420" s="549"/>
      <c r="G14420" s="549"/>
      <c r="H14420" s="549"/>
      <c r="I14420" s="558"/>
      <c r="J14420" s="915"/>
      <c r="K14420" s="915">
        <f>SUM(K14418:K14419)</f>
        <v>25</v>
      </c>
      <c r="L14420" s="914">
        <f>SUM(L14418:L14419)</f>
        <v>2.5161850000000001</v>
      </c>
      <c r="M14420" s="564"/>
      <c r="N14420" s="565"/>
      <c r="O14420" s="549"/>
      <c r="P14420" s="549" t="s">
        <v>1720</v>
      </c>
    </row>
    <row r="14421" spans="1:17" s="1737" customFormat="1" ht="17.399999999999999">
      <c r="A14421" s="549"/>
      <c r="B14421" s="559"/>
      <c r="C14421" s="549"/>
      <c r="D14421" s="549"/>
      <c r="E14421" s="549"/>
      <c r="F14421" s="549"/>
      <c r="G14421" s="549"/>
      <c r="H14421" s="549"/>
      <c r="I14421" s="558"/>
      <c r="J14421" s="549"/>
      <c r="K14421" s="652"/>
      <c r="L14421" s="709"/>
      <c r="M14421" s="564"/>
      <c r="N14421" s="565"/>
      <c r="O14421" s="549"/>
      <c r="P14421" s="549"/>
    </row>
    <row r="14422" spans="1:17" s="1737" customFormat="1" ht="17.399999999999999">
      <c r="A14422" s="549"/>
      <c r="B14422" s="559"/>
      <c r="C14422" s="549"/>
      <c r="D14422" s="549"/>
      <c r="E14422" s="549"/>
      <c r="F14422" s="549"/>
      <c r="G14422" s="549"/>
      <c r="H14422" s="549"/>
      <c r="I14422" s="558"/>
      <c r="J14422" s="549"/>
      <c r="K14422" s="652"/>
      <c r="L14422" s="709"/>
      <c r="M14422" s="564"/>
      <c r="N14422" s="565"/>
      <c r="O14422" s="549"/>
      <c r="P14422" s="549"/>
    </row>
    <row r="14423" spans="1:17" s="1737" customFormat="1" ht="17.399999999999999">
      <c r="A14423" s="549"/>
      <c r="B14423" s="559"/>
      <c r="C14423" s="549"/>
      <c r="D14423" s="549"/>
      <c r="E14423" s="549"/>
      <c r="F14423" s="549"/>
      <c r="G14423" s="549"/>
      <c r="H14423" s="549"/>
      <c r="I14423" s="558"/>
      <c r="J14423" s="549"/>
      <c r="K14423" s="652"/>
      <c r="L14423" s="709"/>
      <c r="M14423" s="564"/>
      <c r="N14423" s="565"/>
      <c r="O14423" s="549"/>
      <c r="P14423" s="549"/>
    </row>
    <row r="14424" spans="1:17" s="1737" customFormat="1" ht="17.399999999999999">
      <c r="A14424" s="549"/>
      <c r="B14424" s="559"/>
      <c r="C14424" s="549"/>
      <c r="D14424" s="549"/>
      <c r="E14424" s="549"/>
      <c r="F14424" s="549"/>
      <c r="G14424" s="549"/>
      <c r="H14424" s="549"/>
      <c r="I14424" s="558"/>
      <c r="J14424" s="549"/>
      <c r="K14424" s="652"/>
      <c r="L14424" s="709"/>
      <c r="M14424" s="564"/>
      <c r="N14424" s="565"/>
      <c r="O14424" s="549"/>
      <c r="P14424" s="549"/>
    </row>
    <row r="14425" spans="1:17" s="1737" customFormat="1" ht="18">
      <c r="A14425" s="547" t="s">
        <v>395</v>
      </c>
      <c r="B14425" s="547" t="s">
        <v>1725</v>
      </c>
      <c r="C14425" s="547" t="s">
        <v>19</v>
      </c>
      <c r="D14425" s="813" t="s">
        <v>155</v>
      </c>
      <c r="E14425" s="547" t="s">
        <v>270</v>
      </c>
      <c r="F14425" s="550">
        <v>8.5</v>
      </c>
      <c r="G14425" s="549" t="s">
        <v>61</v>
      </c>
      <c r="H14425" s="599" t="s">
        <v>134</v>
      </c>
      <c r="I14425" s="558">
        <v>12.18</v>
      </c>
      <c r="J14425" s="914">
        <v>12</v>
      </c>
      <c r="K14425" s="915">
        <v>7</v>
      </c>
      <c r="L14425" s="552">
        <f>(I14425*J14425*K14425/1000)</f>
        <v>1.02312</v>
      </c>
      <c r="M14425" s="564">
        <v>7</v>
      </c>
      <c r="N14425" s="565">
        <f>J14425*M14425*I14425/1000</f>
        <v>1.02312</v>
      </c>
      <c r="O14425" s="549"/>
      <c r="P14425" s="549"/>
      <c r="Q14425" s="1737" t="s">
        <v>1784</v>
      </c>
    </row>
    <row r="14426" spans="1:17" s="1737" customFormat="1" ht="18">
      <c r="A14426" s="549"/>
      <c r="B14426" s="1605" t="s">
        <v>1726</v>
      </c>
      <c r="C14426" s="549"/>
      <c r="D14426" s="549"/>
      <c r="E14426" s="549"/>
      <c r="F14426" s="549"/>
      <c r="G14426" s="549" t="s">
        <v>61</v>
      </c>
      <c r="H14426" s="549" t="s">
        <v>134</v>
      </c>
      <c r="I14426" s="558">
        <v>12.18</v>
      </c>
      <c r="J14426" s="914">
        <v>10.5</v>
      </c>
      <c r="K14426" s="915">
        <v>11</v>
      </c>
      <c r="L14426" s="552">
        <f>(I14426*J14426*K14426/1000)</f>
        <v>1.40679</v>
      </c>
      <c r="M14426" s="564">
        <v>11</v>
      </c>
      <c r="N14426" s="565">
        <f>J14426*M14426*I14426/1000</f>
        <v>1.40679</v>
      </c>
      <c r="O14426" s="549"/>
      <c r="P14426" s="549"/>
    </row>
    <row r="14427" spans="1:17" s="1737" customFormat="1" ht="18">
      <c r="A14427" s="549"/>
      <c r="B14427" s="559"/>
      <c r="C14427" s="549"/>
      <c r="D14427" s="549"/>
      <c r="E14427" s="549"/>
      <c r="F14427" s="549"/>
      <c r="G14427" s="549"/>
      <c r="H14427" s="549"/>
      <c r="I14427" s="558"/>
      <c r="J14427" s="915"/>
      <c r="K14427" s="915">
        <f>SUM(K14425:K14426)</f>
        <v>18</v>
      </c>
      <c r="L14427" s="914">
        <f>SUM(L14425:L14426)</f>
        <v>2.42991</v>
      </c>
      <c r="M14427" s="1474">
        <f>SUM(M14425:M14426)</f>
        <v>18</v>
      </c>
      <c r="N14427" s="914">
        <f>SUM(N14425:N14426)</f>
        <v>2.42991</v>
      </c>
      <c r="O14427" s="549"/>
      <c r="P14427" s="549"/>
    </row>
    <row r="14428" spans="1:17" s="1737" customFormat="1" ht="18">
      <c r="A14428" s="549"/>
      <c r="B14428" s="559"/>
      <c r="C14428" s="549"/>
      <c r="D14428" s="549"/>
      <c r="E14428" s="549"/>
      <c r="F14428" s="549"/>
      <c r="G14428" s="549"/>
      <c r="H14428" s="549"/>
      <c r="I14428" s="558"/>
      <c r="J14428" s="915"/>
      <c r="K14428" s="915"/>
      <c r="L14428" s="914">
        <f>+L14427+L14420+L14415+L14411+L14403+L14399+L14388+L14384</f>
        <v>16.109747500000001</v>
      </c>
      <c r="M14428" s="564"/>
      <c r="N14428" s="914">
        <f>+N14427+N14420+N14415+N14411+N14403+N14399+N14388+N14384</f>
        <v>4.4509935</v>
      </c>
      <c r="O14428" s="549"/>
      <c r="P14428" s="549"/>
    </row>
    <row r="14429" spans="1:17" s="1737" customFormat="1" ht="17.399999999999999">
      <c r="A14429" s="549"/>
      <c r="B14429" s="559"/>
      <c r="C14429" s="549"/>
      <c r="D14429" s="549"/>
      <c r="E14429" s="549"/>
      <c r="F14429" s="549"/>
      <c r="G14429" s="549"/>
      <c r="H14429" s="549"/>
      <c r="I14429" s="560"/>
      <c r="J14429" s="549"/>
      <c r="K14429" s="652"/>
      <c r="L14429" s="709"/>
      <c r="M14429" s="564"/>
      <c r="N14429" s="565"/>
      <c r="O14429" s="549"/>
      <c r="P14429" s="549"/>
    </row>
    <row r="14430" spans="1:17" ht="17.399999999999999">
      <c r="A14430" s="549"/>
      <c r="B14430" s="549"/>
      <c r="C14430" s="549"/>
      <c r="D14430" s="549"/>
      <c r="E14430" s="549"/>
      <c r="F14430" s="549"/>
      <c r="G14430" s="549"/>
      <c r="H14430" s="549"/>
      <c r="I14430" s="560"/>
      <c r="J14430" s="549"/>
      <c r="K14430" s="652">
        <f>+K14403+K14399+K14388+K14384+K14337+K14354+K14374+K14314+K14295+K14291+K14329+K14325+K14320+K14427+K14420+K14415+K14411</f>
        <v>5852</v>
      </c>
      <c r="L14430" s="565">
        <f>+L14403+L14399+L14388+L14384+L14337+L14354+L14374+L14314+L14295+L14291+L14329+L14325+L14320+L14427+L14420+L14415+L14411</f>
        <v>600.53184049999993</v>
      </c>
      <c r="M14430" s="652">
        <f>+M14403+M14399+M14388+M14384+M14337+M14354+M14374+M14314+M14295+M14291+M14329+M14325+M14320+M14427+M14420+M14415+M14411</f>
        <v>107</v>
      </c>
      <c r="N14430" s="565">
        <f>+N14403+N14399+N14388+N14384+N14337+N14354+N14374+N14314+N14295+N14291+N14329+N14325+N14320+N14427+N14420+N14415+N14411</f>
        <v>8.3864935000000003</v>
      </c>
      <c r="O14430" s="549"/>
      <c r="P14430" s="549"/>
    </row>
    <row r="14431" spans="1:17" ht="18">
      <c r="A14431" s="653" t="s">
        <v>48</v>
      </c>
      <c r="B14431" s="653"/>
      <c r="C14431" s="654"/>
      <c r="D14431" s="654"/>
      <c r="E14431" s="654"/>
      <c r="F14431" s="1797"/>
      <c r="G14431" s="654"/>
      <c r="H14431" s="1797"/>
      <c r="I14431" s="656"/>
      <c r="J14431" s="654"/>
      <c r="K14431" s="657"/>
      <c r="L14431" s="2003" t="s">
        <v>0</v>
      </c>
      <c r="M14431" s="2003"/>
      <c r="N14431" s="2003"/>
      <c r="O14431" s="2004"/>
      <c r="P14431" s="1097"/>
    </row>
    <row r="14432" spans="1:17" ht="18">
      <c r="A14432" s="658" t="s">
        <v>1</v>
      </c>
      <c r="B14432" s="658"/>
      <c r="C14432" s="658"/>
      <c r="D14432" s="659" t="s">
        <v>2</v>
      </c>
      <c r="E14432" s="659"/>
      <c r="F14432" s="660"/>
      <c r="G14432" s="660"/>
      <c r="H14432" s="660"/>
      <c r="I14432" s="661"/>
      <c r="J14432" s="660"/>
      <c r="K14432" s="662" t="s">
        <v>3</v>
      </c>
      <c r="L14432" s="660"/>
      <c r="M14432" s="658"/>
      <c r="N14432" s="660"/>
      <c r="O14432" s="663"/>
      <c r="P14432" s="1098"/>
    </row>
    <row r="14433" spans="1:16" ht="18">
      <c r="A14433" s="1797" t="s">
        <v>22</v>
      </c>
      <c r="B14433" s="1990" t="s">
        <v>23</v>
      </c>
      <c r="C14433" s="2005"/>
      <c r="D14433" s="1989"/>
      <c r="E14433" s="1797" t="s">
        <v>24</v>
      </c>
      <c r="F14433" s="1990" t="s">
        <v>25</v>
      </c>
      <c r="G14433" s="1989"/>
      <c r="H14433" s="1990" t="s">
        <v>26</v>
      </c>
      <c r="I14433" s="2005"/>
      <c r="J14433" s="2005"/>
      <c r="K14433" s="1989"/>
      <c r="L14433" s="2006" t="s">
        <v>27</v>
      </c>
      <c r="M14433" s="2006"/>
      <c r="N14433" s="2006"/>
      <c r="O14433" s="1990"/>
      <c r="P14433" s="1098"/>
    </row>
    <row r="14434" spans="1:16" ht="18">
      <c r="A14434" s="664"/>
      <c r="B14434" s="1975"/>
      <c r="C14434" s="1976"/>
      <c r="D14434" s="1977"/>
      <c r="E14434" s="665"/>
      <c r="F14434" s="1975"/>
      <c r="G14434" s="1977"/>
      <c r="H14434" s="1975"/>
      <c r="I14434" s="1976"/>
      <c r="J14434" s="1976"/>
      <c r="K14434" s="1977"/>
      <c r="L14434" s="1975"/>
      <c r="M14434" s="1976"/>
      <c r="N14434" s="1976"/>
      <c r="O14434" s="1976"/>
      <c r="P14434" s="1098"/>
    </row>
    <row r="14435" spans="1:16" ht="18">
      <c r="A14435" s="664"/>
      <c r="B14435" s="1789"/>
      <c r="C14435" s="1790"/>
      <c r="D14435" s="1791"/>
      <c r="E14435" s="665"/>
      <c r="F14435" s="1789"/>
      <c r="G14435" s="1791"/>
      <c r="H14435" s="1789"/>
      <c r="I14435" s="1842"/>
      <c r="J14435" s="1790"/>
      <c r="K14435" s="1791"/>
      <c r="L14435" s="1790"/>
      <c r="M14435" s="1790"/>
      <c r="N14435" s="1790"/>
      <c r="O14435" s="1790"/>
      <c r="P14435" s="1098"/>
    </row>
    <row r="14436" spans="1:16" ht="18">
      <c r="A14436" s="664" t="s">
        <v>28</v>
      </c>
      <c r="B14436" s="1975" t="s">
        <v>154</v>
      </c>
      <c r="C14436" s="1976"/>
      <c r="D14436" s="1977"/>
      <c r="E14436" s="665">
        <f>+L14291</f>
        <v>71.067722000000032</v>
      </c>
      <c r="F14436" s="1973">
        <v>8.5</v>
      </c>
      <c r="G14436" s="1974"/>
      <c r="H14436" s="1975" t="s">
        <v>60</v>
      </c>
      <c r="I14436" s="1976"/>
      <c r="J14436" s="1976"/>
      <c r="K14436" s="1977"/>
      <c r="L14436" s="1976" t="s">
        <v>64</v>
      </c>
      <c r="M14436" s="1976"/>
      <c r="N14436" s="1976"/>
      <c r="O14436" s="1976"/>
      <c r="P14436" s="1098"/>
    </row>
    <row r="14437" spans="1:16" ht="18">
      <c r="A14437" s="664" t="s">
        <v>29</v>
      </c>
      <c r="B14437" s="1975" t="s">
        <v>1182</v>
      </c>
      <c r="C14437" s="1976"/>
      <c r="D14437" s="1977"/>
      <c r="E14437" s="665">
        <f>3+L14411</f>
        <v>7.0269690000000002</v>
      </c>
      <c r="F14437" s="1973">
        <v>8.5</v>
      </c>
      <c r="G14437" s="1974"/>
      <c r="H14437" s="1975" t="s">
        <v>60</v>
      </c>
      <c r="I14437" s="1976"/>
      <c r="J14437" s="1976"/>
      <c r="K14437" s="1977"/>
      <c r="L14437" s="1976" t="s">
        <v>64</v>
      </c>
      <c r="M14437" s="1976"/>
      <c r="N14437" s="1976"/>
      <c r="O14437" s="1976"/>
      <c r="P14437" s="1098"/>
    </row>
    <row r="14438" spans="1:16" s="1737" customFormat="1" ht="18">
      <c r="A14438" s="664"/>
      <c r="B14438" s="1789"/>
      <c r="C14438" s="1790"/>
      <c r="D14438" s="1791"/>
      <c r="E14438" s="665"/>
      <c r="F14438" s="1792"/>
      <c r="G14438" s="1793"/>
      <c r="H14438" s="1789"/>
      <c r="I14438" s="1842"/>
      <c r="J14438" s="1790"/>
      <c r="K14438" s="1791"/>
      <c r="L14438" s="1790"/>
      <c r="M14438" s="1790"/>
      <c r="N14438" s="1790"/>
      <c r="O14438" s="1790"/>
      <c r="P14438" s="1098"/>
    </row>
    <row r="14439" spans="1:16" s="1737" customFormat="1" ht="18">
      <c r="A14439" s="664" t="s">
        <v>30</v>
      </c>
      <c r="B14439" s="1975" t="s">
        <v>154</v>
      </c>
      <c r="C14439" s="1976"/>
      <c r="D14439" s="1977"/>
      <c r="E14439" s="665">
        <f>+L14314</f>
        <v>42.886763999999999</v>
      </c>
      <c r="F14439" s="1973">
        <v>8.5</v>
      </c>
      <c r="G14439" s="1974"/>
      <c r="H14439" s="1975" t="s">
        <v>450</v>
      </c>
      <c r="I14439" s="1976"/>
      <c r="J14439" s="1976"/>
      <c r="K14439" s="1977"/>
      <c r="L14439" s="1976" t="s">
        <v>64</v>
      </c>
      <c r="M14439" s="1976"/>
      <c r="N14439" s="1976"/>
      <c r="O14439" s="1976"/>
      <c r="P14439" s="1098"/>
    </row>
    <row r="14440" spans="1:16" s="1737" customFormat="1" ht="18">
      <c r="A14440" s="664"/>
      <c r="B14440" s="1789"/>
      <c r="C14440" s="1790"/>
      <c r="D14440" s="1791"/>
      <c r="E14440" s="665"/>
      <c r="F14440" s="1792"/>
      <c r="G14440" s="1793"/>
      <c r="H14440" s="1789"/>
      <c r="I14440" s="1842"/>
      <c r="J14440" s="1790"/>
      <c r="K14440" s="1791"/>
      <c r="L14440" s="1790"/>
      <c r="M14440" s="1790"/>
      <c r="N14440" s="1790"/>
      <c r="O14440" s="1790"/>
      <c r="P14440" s="1098"/>
    </row>
    <row r="14441" spans="1:16" ht="18">
      <c r="A14441" s="664"/>
      <c r="B14441" s="1789"/>
      <c r="C14441" s="1790"/>
      <c r="D14441" s="1791"/>
      <c r="E14441" s="665"/>
      <c r="F14441" s="1792"/>
      <c r="G14441" s="1793"/>
      <c r="H14441" s="1789"/>
      <c r="I14441" s="1842"/>
      <c r="J14441" s="1790"/>
      <c r="K14441" s="1791"/>
      <c r="L14441" s="1790"/>
      <c r="M14441" s="1790"/>
      <c r="N14441" s="1790"/>
      <c r="O14441" s="1790"/>
      <c r="P14441" s="1098"/>
    </row>
    <row r="14442" spans="1:16" s="1737" customFormat="1" ht="18">
      <c r="A14442" s="664" t="s">
        <v>46</v>
      </c>
      <c r="B14442" s="1975" t="s">
        <v>136</v>
      </c>
      <c r="C14442" s="1976"/>
      <c r="D14442" s="1977"/>
      <c r="E14442" s="665">
        <f>+L14320</f>
        <v>59.287149999999997</v>
      </c>
      <c r="F14442" s="1973">
        <v>12</v>
      </c>
      <c r="G14442" s="1974"/>
      <c r="H14442" s="1975" t="s">
        <v>49</v>
      </c>
      <c r="I14442" s="1976"/>
      <c r="J14442" s="1976"/>
      <c r="K14442" s="1977"/>
      <c r="L14442" s="1976" t="s">
        <v>1631</v>
      </c>
      <c r="M14442" s="1976"/>
      <c r="N14442" s="1976"/>
      <c r="O14442" s="1976"/>
      <c r="P14442" s="1098"/>
    </row>
    <row r="14443" spans="1:16" s="1737" customFormat="1" ht="18">
      <c r="A14443" s="664" t="s">
        <v>58</v>
      </c>
      <c r="B14443" s="1975" t="s">
        <v>137</v>
      </c>
      <c r="C14443" s="1976"/>
      <c r="D14443" s="1977"/>
      <c r="E14443" s="665">
        <f>+L14325+L14420</f>
        <v>17.178730000000002</v>
      </c>
      <c r="F14443" s="1973">
        <v>12</v>
      </c>
      <c r="G14443" s="1974"/>
      <c r="H14443" s="1975" t="s">
        <v>49</v>
      </c>
      <c r="I14443" s="1976"/>
      <c r="J14443" s="1976"/>
      <c r="K14443" s="1977"/>
      <c r="L14443" s="1976" t="s">
        <v>1631</v>
      </c>
      <c r="M14443" s="1976"/>
      <c r="N14443" s="1976"/>
      <c r="O14443" s="1976"/>
      <c r="P14443" s="1098"/>
    </row>
    <row r="14444" spans="1:16" s="1737" customFormat="1" ht="18">
      <c r="A14444" s="664" t="s">
        <v>163</v>
      </c>
      <c r="B14444" s="1975" t="s">
        <v>138</v>
      </c>
      <c r="C14444" s="1976"/>
      <c r="D14444" s="1977"/>
      <c r="E14444" s="665">
        <f>+L14415+L14329</f>
        <v>9.9845550000000003</v>
      </c>
      <c r="F14444" s="1973">
        <v>12</v>
      </c>
      <c r="G14444" s="1974"/>
      <c r="H14444" s="1975" t="s">
        <v>49</v>
      </c>
      <c r="I14444" s="1976"/>
      <c r="J14444" s="1976"/>
      <c r="K14444" s="1977"/>
      <c r="L14444" s="1976" t="s">
        <v>1631</v>
      </c>
      <c r="M14444" s="1976"/>
      <c r="N14444" s="1976"/>
      <c r="O14444" s="1976"/>
      <c r="P14444" s="1098"/>
    </row>
    <row r="14445" spans="1:16" s="1737" customFormat="1" ht="18">
      <c r="A14445" s="664"/>
      <c r="B14445" s="1789"/>
      <c r="C14445" s="1790"/>
      <c r="D14445" s="1791"/>
      <c r="E14445" s="665"/>
      <c r="F14445" s="1792"/>
      <c r="G14445" s="1793"/>
      <c r="H14445" s="1789"/>
      <c r="I14445" s="1842"/>
      <c r="J14445" s="1790"/>
      <c r="K14445" s="1791"/>
      <c r="L14445" s="1790"/>
      <c r="M14445" s="1790"/>
      <c r="N14445" s="1790"/>
      <c r="O14445" s="1790"/>
      <c r="P14445" s="1098"/>
    </row>
    <row r="14446" spans="1:16" s="1737" customFormat="1" ht="18">
      <c r="A14446" s="664"/>
      <c r="B14446" s="1789"/>
      <c r="C14446" s="1790"/>
      <c r="D14446" s="1791"/>
      <c r="E14446" s="665"/>
      <c r="F14446" s="1792"/>
      <c r="G14446" s="1793"/>
      <c r="H14446" s="1789"/>
      <c r="I14446" s="1842"/>
      <c r="J14446" s="1790"/>
      <c r="K14446" s="1791"/>
      <c r="L14446" s="1790"/>
      <c r="M14446" s="1790"/>
      <c r="N14446" s="1790"/>
      <c r="O14446" s="1790"/>
      <c r="P14446" s="1098"/>
    </row>
    <row r="14447" spans="1:16" ht="18">
      <c r="A14447" s="664" t="s">
        <v>302</v>
      </c>
      <c r="B14447" s="1975" t="s">
        <v>138</v>
      </c>
      <c r="C14447" s="1976"/>
      <c r="D14447" s="1977"/>
      <c r="E14447" s="665">
        <f>+L14337</f>
        <v>35.251355999999994</v>
      </c>
      <c r="F14447" s="1973">
        <v>12</v>
      </c>
      <c r="G14447" s="1974"/>
      <c r="H14447" s="1975" t="s">
        <v>447</v>
      </c>
      <c r="I14447" s="1976"/>
      <c r="J14447" s="1976"/>
      <c r="K14447" s="1977"/>
      <c r="L14447" s="1976" t="s">
        <v>1631</v>
      </c>
      <c r="M14447" s="1976"/>
      <c r="N14447" s="1976"/>
      <c r="O14447" s="1976"/>
      <c r="P14447" s="1098"/>
    </row>
    <row r="14448" spans="1:16" ht="18">
      <c r="A14448" s="664" t="s">
        <v>380</v>
      </c>
      <c r="B14448" s="1975" t="s">
        <v>137</v>
      </c>
      <c r="C14448" s="1976"/>
      <c r="D14448" s="1977"/>
      <c r="E14448" s="665">
        <f>+L14354</f>
        <v>138.70027200000001</v>
      </c>
      <c r="F14448" s="1973">
        <v>12</v>
      </c>
      <c r="G14448" s="1974"/>
      <c r="H14448" s="1975" t="s">
        <v>447</v>
      </c>
      <c r="I14448" s="1976"/>
      <c r="J14448" s="1976"/>
      <c r="K14448" s="1977"/>
      <c r="L14448" s="1976" t="s">
        <v>1631</v>
      </c>
      <c r="M14448" s="1976"/>
      <c r="N14448" s="1976"/>
      <c r="O14448" s="1976"/>
      <c r="P14448" s="1098"/>
    </row>
    <row r="14449" spans="1:16" ht="18">
      <c r="A14449" s="664" t="s">
        <v>434</v>
      </c>
      <c r="B14449" s="1975" t="s">
        <v>136</v>
      </c>
      <c r="C14449" s="1976"/>
      <c r="D14449" s="1977"/>
      <c r="E14449" s="665">
        <f>+L14374-3.936</f>
        <v>211.883579</v>
      </c>
      <c r="F14449" s="1973">
        <v>12</v>
      </c>
      <c r="G14449" s="1974"/>
      <c r="H14449" s="1975" t="s">
        <v>447</v>
      </c>
      <c r="I14449" s="1976"/>
      <c r="J14449" s="1976"/>
      <c r="K14449" s="1977"/>
      <c r="L14449" s="1976" t="s">
        <v>1631</v>
      </c>
      <c r="M14449" s="1976"/>
      <c r="N14449" s="1976"/>
      <c r="O14449" s="1976"/>
      <c r="P14449" s="1098"/>
    </row>
    <row r="14450" spans="1:16" ht="18">
      <c r="A14450" s="664"/>
      <c r="B14450" s="1789"/>
      <c r="C14450" s="1790"/>
      <c r="D14450" s="1791"/>
      <c r="E14450" s="665"/>
      <c r="F14450" s="1792"/>
      <c r="G14450" s="1793"/>
      <c r="H14450" s="1789"/>
      <c r="I14450" s="1842"/>
      <c r="J14450" s="1790"/>
      <c r="K14450" s="1791"/>
      <c r="L14450" s="1790"/>
      <c r="M14450" s="1790"/>
      <c r="N14450" s="1790"/>
      <c r="O14450" s="1790"/>
      <c r="P14450" s="1098"/>
    </row>
    <row r="14451" spans="1:16" ht="18">
      <c r="A14451" s="664"/>
      <c r="B14451" s="1975"/>
      <c r="C14451" s="1976"/>
      <c r="D14451" s="1977"/>
      <c r="E14451" s="665"/>
      <c r="F14451" s="1973"/>
      <c r="G14451" s="1974"/>
      <c r="H14451" s="1975"/>
      <c r="I14451" s="1976"/>
      <c r="J14451" s="1976"/>
      <c r="K14451" s="1977"/>
      <c r="L14451" s="1976"/>
      <c r="M14451" s="1976"/>
      <c r="N14451" s="1976"/>
      <c r="O14451" s="1976"/>
      <c r="P14451" s="1098"/>
    </row>
    <row r="14452" spans="1:16" ht="18.600000000000001" thickBot="1">
      <c r="A14452" s="664"/>
      <c r="B14452" s="1789"/>
      <c r="C14452" s="1790"/>
      <c r="D14452" s="1790"/>
      <c r="E14452" s="665"/>
      <c r="F14452" s="1790"/>
      <c r="G14452" s="1791"/>
      <c r="H14452" s="1789"/>
      <c r="I14452" s="1842"/>
      <c r="J14452" s="1790"/>
      <c r="K14452" s="669"/>
      <c r="L14452" s="672"/>
      <c r="M14452" s="673"/>
      <c r="N14452" s="673"/>
      <c r="O14452" s="673"/>
      <c r="P14452" s="1098"/>
    </row>
    <row r="14453" spans="1:16" ht="18">
      <c r="A14453" s="674"/>
      <c r="B14453" s="675"/>
      <c r="C14453" s="676"/>
      <c r="D14453" s="676"/>
      <c r="E14453" s="1980">
        <f>SUM(E14434:E14452)</f>
        <v>593.26709700000004</v>
      </c>
      <c r="F14453" s="677"/>
      <c r="G14453" s="678"/>
      <c r="H14453" s="679"/>
      <c r="I14453" s="1848"/>
      <c r="J14453" s="676"/>
      <c r="K14453" s="680"/>
      <c r="L14453" s="679"/>
      <c r="M14453" s="676"/>
      <c r="N14453" s="677"/>
      <c r="O14453" s="676"/>
      <c r="P14453" s="1098"/>
    </row>
    <row r="14454" spans="1:16" ht="18.600000000000001" thickBot="1">
      <c r="A14454" s="681"/>
      <c r="B14454" s="682"/>
      <c r="C14454" s="683"/>
      <c r="D14454" s="683"/>
      <c r="E14454" s="1981"/>
      <c r="F14454" s="684"/>
      <c r="G14454" s="685"/>
      <c r="H14454" s="686"/>
      <c r="I14454" s="1850"/>
      <c r="J14454" s="683"/>
      <c r="K14454" s="687"/>
      <c r="L14454" s="686"/>
      <c r="M14454" s="683"/>
      <c r="N14454" s="684"/>
      <c r="O14454" s="683"/>
      <c r="P14454" s="1098"/>
    </row>
    <row r="14455" spans="1:16" ht="18">
      <c r="A14455" s="688" t="s">
        <v>31</v>
      </c>
      <c r="B14455" s="676"/>
      <c r="C14455" s="676"/>
      <c r="D14455" s="676"/>
      <c r="E14455" s="676"/>
      <c r="F14455" s="677"/>
      <c r="G14455" s="676"/>
      <c r="H14455" s="677"/>
      <c r="I14455" s="1848"/>
      <c r="J14455" s="676"/>
      <c r="K14455" s="689"/>
      <c r="L14455" s="677"/>
      <c r="M14455" s="676"/>
      <c r="N14455" s="677"/>
      <c r="O14455" s="676"/>
      <c r="P14455" s="1098"/>
    </row>
    <row r="14456" spans="1:16" ht="18">
      <c r="A14456" s="690"/>
      <c r="B14456" s="691"/>
      <c r="C14456" s="691"/>
      <c r="D14456" s="691"/>
      <c r="E14456" s="691"/>
      <c r="F14456" s="1788"/>
      <c r="G14456" s="691"/>
      <c r="H14456" s="1788"/>
      <c r="I14456" s="1849"/>
      <c r="J14456" s="691"/>
      <c r="K14456" s="693"/>
      <c r="L14456" s="1788"/>
      <c r="M14456" s="691"/>
      <c r="N14456" s="1788"/>
      <c r="O14456" s="691"/>
      <c r="P14456" s="1098"/>
    </row>
    <row r="14457" spans="1:16" ht="18.600000000000001" thickBot="1">
      <c r="A14457" s="1982" t="s">
        <v>32</v>
      </c>
      <c r="B14457" s="1983"/>
      <c r="C14457" s="1984" t="s">
        <v>33</v>
      </c>
      <c r="D14457" s="1985"/>
      <c r="E14457" s="694" t="s">
        <v>34</v>
      </c>
      <c r="F14457" s="694" t="s">
        <v>35</v>
      </c>
      <c r="G14457" s="1986" t="s">
        <v>36</v>
      </c>
      <c r="H14457" s="1987"/>
      <c r="I14457" s="1987"/>
      <c r="J14457" s="1987"/>
      <c r="K14457" s="1987"/>
      <c r="L14457" s="1987"/>
      <c r="M14457" s="1987"/>
      <c r="N14457" s="1987"/>
      <c r="O14457" s="1987"/>
      <c r="P14457" s="1098"/>
    </row>
    <row r="14458" spans="1:16" ht="18">
      <c r="A14458" s="1988"/>
      <c r="B14458" s="1989"/>
      <c r="C14458" s="1990"/>
      <c r="D14458" s="1989"/>
      <c r="E14458" s="1797"/>
      <c r="F14458" s="1794"/>
      <c r="G14458" s="1991"/>
      <c r="H14458" s="1992"/>
      <c r="I14458" s="1992"/>
      <c r="J14458" s="1992"/>
      <c r="K14458" s="1992"/>
      <c r="L14458" s="1992"/>
      <c r="M14458" s="1992"/>
      <c r="N14458" s="1992"/>
      <c r="O14458" s="1992"/>
      <c r="P14458" s="1098"/>
    </row>
    <row r="14459" spans="1:16" ht="18">
      <c r="A14459" s="1997" t="s">
        <v>37</v>
      </c>
      <c r="B14459" s="1998"/>
      <c r="C14459" s="1990"/>
      <c r="D14459" s="1989"/>
      <c r="E14459" s="1797"/>
      <c r="F14459" s="1794"/>
      <c r="G14459" s="1993"/>
      <c r="H14459" s="1994"/>
      <c r="I14459" s="1994"/>
      <c r="J14459" s="1994"/>
      <c r="K14459" s="1994"/>
      <c r="L14459" s="1994"/>
      <c r="M14459" s="1994"/>
      <c r="N14459" s="1994"/>
      <c r="O14459" s="1994"/>
      <c r="P14459" s="1098"/>
    </row>
    <row r="14460" spans="1:16" ht="18">
      <c r="A14460" s="1997" t="s">
        <v>38</v>
      </c>
      <c r="B14460" s="1998"/>
      <c r="C14460" s="1990"/>
      <c r="D14460" s="1989"/>
      <c r="E14460" s="1797"/>
      <c r="F14460" s="1794"/>
      <c r="G14460" s="1993"/>
      <c r="H14460" s="1994"/>
      <c r="I14460" s="1994"/>
      <c r="J14460" s="1994"/>
      <c r="K14460" s="1994"/>
      <c r="L14460" s="1994"/>
      <c r="M14460" s="1994"/>
      <c r="N14460" s="1994"/>
      <c r="O14460" s="1994"/>
      <c r="P14460" s="1098"/>
    </row>
    <row r="14461" spans="1:16" ht="18">
      <c r="A14461" s="1997" t="s">
        <v>39</v>
      </c>
      <c r="B14461" s="1998"/>
      <c r="C14461" s="1990"/>
      <c r="D14461" s="1989"/>
      <c r="E14461" s="1797"/>
      <c r="F14461" s="1794"/>
      <c r="G14461" s="1993"/>
      <c r="H14461" s="1994"/>
      <c r="I14461" s="1994"/>
      <c r="J14461" s="1994"/>
      <c r="K14461" s="1994"/>
      <c r="L14461" s="1994"/>
      <c r="M14461" s="1994"/>
      <c r="N14461" s="1994"/>
      <c r="O14461" s="1994"/>
      <c r="P14461" s="1098"/>
    </row>
    <row r="14462" spans="1:16" ht="18">
      <c r="A14462" s="1997" t="s">
        <v>40</v>
      </c>
      <c r="B14462" s="1998"/>
      <c r="C14462" s="1990"/>
      <c r="D14462" s="1989"/>
      <c r="E14462" s="1797"/>
      <c r="F14462" s="1794"/>
      <c r="G14462" s="1993"/>
      <c r="H14462" s="1994"/>
      <c r="I14462" s="1994"/>
      <c r="J14462" s="1994"/>
      <c r="K14462" s="1994"/>
      <c r="L14462" s="1994"/>
      <c r="M14462" s="1994"/>
      <c r="N14462" s="1994"/>
      <c r="O14462" s="1994"/>
      <c r="P14462" s="1098"/>
    </row>
    <row r="14463" spans="1:16" ht="18.600000000000001" thickBot="1">
      <c r="A14463" s="1999" t="s">
        <v>41</v>
      </c>
      <c r="B14463" s="2000"/>
      <c r="C14463" s="2001"/>
      <c r="D14463" s="2002"/>
      <c r="E14463" s="696"/>
      <c r="F14463" s="1795"/>
      <c r="G14463" s="1995"/>
      <c r="H14463" s="1996"/>
      <c r="I14463" s="1996"/>
      <c r="J14463" s="1996"/>
      <c r="K14463" s="1996"/>
      <c r="L14463" s="1996"/>
      <c r="M14463" s="1996"/>
      <c r="N14463" s="1996"/>
      <c r="O14463" s="1996"/>
      <c r="P14463" s="1098"/>
    </row>
    <row r="14464" spans="1:16" ht="18">
      <c r="A14464" s="690"/>
      <c r="B14464" s="691"/>
      <c r="C14464" s="691"/>
      <c r="D14464" s="691"/>
      <c r="E14464" s="691"/>
      <c r="F14464" s="1788"/>
      <c r="G14464" s="691"/>
      <c r="H14464" s="698"/>
      <c r="I14464" s="699"/>
      <c r="J14464" s="700"/>
      <c r="K14464" s="701"/>
      <c r="L14464" s="702"/>
      <c r="M14464" s="691"/>
      <c r="N14464" s="1788"/>
      <c r="O14464" s="691"/>
      <c r="P14464" s="1098"/>
    </row>
    <row r="14465" spans="1:17" ht="18">
      <c r="A14465" s="703" t="s">
        <v>42</v>
      </c>
      <c r="B14465" s="704"/>
      <c r="C14465" s="691"/>
      <c r="D14465" s="691"/>
      <c r="E14465" s="691"/>
      <c r="F14465" s="1788"/>
      <c r="G14465" s="704"/>
      <c r="H14465" s="698"/>
      <c r="I14465" s="699"/>
      <c r="J14465" s="700"/>
      <c r="K14465" s="693"/>
      <c r="L14465" s="705"/>
      <c r="M14465" s="691"/>
      <c r="N14465" s="1979" t="s">
        <v>43</v>
      </c>
      <c r="O14465" s="1979"/>
      <c r="P14465" s="1098"/>
    </row>
    <row r="14466" spans="1:17" ht="18">
      <c r="A14466" s="703"/>
      <c r="B14466" s="704"/>
      <c r="C14466" s="691"/>
      <c r="D14466" s="691"/>
      <c r="E14466" s="691"/>
      <c r="F14466" s="1788"/>
      <c r="G14466" s="691"/>
      <c r="H14466" s="1788"/>
      <c r="I14466" s="1849"/>
      <c r="J14466" s="691"/>
      <c r="K14466" s="693"/>
      <c r="L14466" s="1788"/>
      <c r="M14466" s="691"/>
      <c r="N14466" s="1788"/>
      <c r="O14466" s="704"/>
      <c r="P14466" s="1098"/>
    </row>
    <row r="14467" spans="1:17" ht="18">
      <c r="A14467" s="703" t="s">
        <v>44</v>
      </c>
      <c r="B14467" s="704"/>
      <c r="C14467" s="691"/>
      <c r="D14467" s="691"/>
      <c r="E14467" s="691"/>
      <c r="F14467" s="1788"/>
      <c r="G14467" s="691"/>
      <c r="H14467" s="1788"/>
      <c r="I14467" s="1849"/>
      <c r="J14467" s="691"/>
      <c r="K14467" s="693"/>
      <c r="L14467" s="1788"/>
      <c r="M14467" s="691"/>
      <c r="N14467" s="1979" t="s">
        <v>45</v>
      </c>
      <c r="O14467" s="1979"/>
      <c r="P14467" s="1098"/>
    </row>
    <row r="14468" spans="1:17" ht="18.600000000000001" thickBot="1">
      <c r="A14468" s="682"/>
      <c r="B14468" s="683"/>
      <c r="C14468" s="683"/>
      <c r="D14468" s="683"/>
      <c r="E14468" s="683"/>
      <c r="F14468" s="684"/>
      <c r="G14468" s="683"/>
      <c r="H14468" s="684"/>
      <c r="I14468" s="1850"/>
      <c r="J14468" s="683"/>
      <c r="K14468" s="706"/>
      <c r="L14468" s="684"/>
      <c r="M14468" s="683"/>
      <c r="N14468" s="684"/>
      <c r="O14468" s="683"/>
      <c r="P14468" s="1099"/>
    </row>
    <row r="14472" spans="1:17" ht="17.399999999999999">
      <c r="A14472" s="711" t="s">
        <v>48</v>
      </c>
      <c r="B14472" s="711"/>
      <c r="C14472" s="712"/>
      <c r="D14472" s="712"/>
      <c r="E14472" s="712"/>
      <c r="F14472" s="713"/>
      <c r="G14472" s="712"/>
      <c r="H14472" s="712"/>
      <c r="I14472" s="714"/>
      <c r="J14472" s="715"/>
      <c r="K14472" s="716"/>
      <c r="L14472" s="1978" t="s">
        <v>0</v>
      </c>
      <c r="M14472" s="1978"/>
      <c r="N14472" s="1978"/>
      <c r="O14472" s="1978"/>
      <c r="P14472" s="717"/>
    </row>
    <row r="14473" spans="1:17" ht="17.399999999999999">
      <c r="A14473" s="718" t="s">
        <v>1</v>
      </c>
      <c r="B14473" s="718"/>
      <c r="C14473" s="718"/>
      <c r="D14473" s="719" t="s">
        <v>2</v>
      </c>
      <c r="E14473" s="719"/>
      <c r="F14473" s="720"/>
      <c r="G14473" s="720"/>
      <c r="H14473" s="720"/>
      <c r="I14473" s="721"/>
      <c r="J14473" s="1799"/>
      <c r="K14473" s="723" t="s">
        <v>3</v>
      </c>
      <c r="L14473" s="1799"/>
      <c r="M14473" s="718"/>
      <c r="N14473" s="720"/>
      <c r="O14473" s="718"/>
      <c r="P14473" s="724"/>
    </row>
    <row r="14474" spans="1:17" ht="52.2">
      <c r="A14474" s="640" t="s">
        <v>4</v>
      </c>
      <c r="B14474" s="640" t="s">
        <v>5</v>
      </c>
      <c r="C14474" s="640" t="s">
        <v>6</v>
      </c>
      <c r="D14474" s="640" t="s">
        <v>7</v>
      </c>
      <c r="E14474" s="640" t="s">
        <v>8</v>
      </c>
      <c r="F14474" s="641" t="s">
        <v>9</v>
      </c>
      <c r="G14474" s="642" t="s">
        <v>10</v>
      </c>
      <c r="H14474" s="642" t="s">
        <v>11</v>
      </c>
      <c r="I14474" s="643" t="s">
        <v>12</v>
      </c>
      <c r="J14474" s="644" t="s">
        <v>13</v>
      </c>
      <c r="K14474" s="645" t="s">
        <v>14</v>
      </c>
      <c r="L14474" s="646" t="s">
        <v>15</v>
      </c>
      <c r="M14474" s="641" t="s">
        <v>16</v>
      </c>
      <c r="N14474" s="641" t="s">
        <v>17</v>
      </c>
      <c r="O14474" s="642" t="s">
        <v>18</v>
      </c>
      <c r="P14474" s="641" t="s">
        <v>192</v>
      </c>
    </row>
    <row r="14475" spans="1:17" ht="17.399999999999999">
      <c r="A14475" s="547" t="s">
        <v>481</v>
      </c>
      <c r="B14475" s="979" t="s">
        <v>1714</v>
      </c>
      <c r="C14475" s="547" t="s">
        <v>19</v>
      </c>
      <c r="D14475" s="813" t="s">
        <v>854</v>
      </c>
      <c r="E14475" s="754" t="s">
        <v>420</v>
      </c>
      <c r="F14475" s="550">
        <v>14</v>
      </c>
      <c r="G14475" s="549" t="s">
        <v>21</v>
      </c>
      <c r="H14475" s="599" t="s">
        <v>124</v>
      </c>
      <c r="I14475" s="558">
        <v>19.8</v>
      </c>
      <c r="J14475" s="710">
        <v>11.1</v>
      </c>
      <c r="K14475" s="648">
        <v>237</v>
      </c>
      <c r="L14475" s="552">
        <f>(I14475*J14475*K14475/1000)</f>
        <v>52.087859999999999</v>
      </c>
      <c r="M14475" s="549"/>
      <c r="N14475" s="549"/>
      <c r="O14475" s="549"/>
      <c r="P14475" s="549"/>
      <c r="Q14475" s="1737" t="s">
        <v>1786</v>
      </c>
    </row>
    <row r="14476" spans="1:17" ht="17.399999999999999">
      <c r="A14476" s="549"/>
      <c r="B14476" s="1802" t="s">
        <v>1715</v>
      </c>
      <c r="C14476" s="549"/>
      <c r="D14476" s="549"/>
      <c r="E14476" s="549"/>
      <c r="F14476" s="549"/>
      <c r="G14476" s="549"/>
      <c r="H14476" s="549"/>
      <c r="I14476" s="558"/>
      <c r="J14476" s="648"/>
      <c r="K14476" s="648">
        <f>SUM(K14475:K14475)</f>
        <v>237</v>
      </c>
      <c r="L14476" s="567">
        <f>SUM(L14475:L14475)</f>
        <v>52.087859999999999</v>
      </c>
      <c r="M14476" s="549"/>
      <c r="N14476" s="549"/>
      <c r="O14476" s="549"/>
      <c r="P14476" s="549" t="s">
        <v>1735</v>
      </c>
    </row>
    <row r="14477" spans="1:17" s="1737" customFormat="1" ht="17.399999999999999">
      <c r="A14477" s="549"/>
      <c r="B14477" s="1802"/>
      <c r="C14477" s="549"/>
      <c r="D14477" s="549"/>
      <c r="E14477" s="549"/>
      <c r="F14477" s="549"/>
      <c r="G14477" s="549"/>
      <c r="H14477" s="549"/>
      <c r="I14477" s="558"/>
      <c r="J14477" s="648"/>
      <c r="K14477" s="648"/>
      <c r="L14477" s="567"/>
      <c r="M14477" s="549"/>
      <c r="N14477" s="549"/>
      <c r="O14477" s="549"/>
      <c r="P14477" s="549"/>
    </row>
    <row r="14478" spans="1:17" ht="17.399999999999999">
      <c r="A14478" s="549"/>
      <c r="B14478" s="549"/>
      <c r="C14478" s="549"/>
      <c r="D14478" s="549"/>
      <c r="E14478" s="549"/>
      <c r="F14478" s="549"/>
      <c r="G14478" s="549"/>
      <c r="H14478" s="549"/>
      <c r="I14478" s="560"/>
      <c r="J14478" s="549"/>
      <c r="K14478" s="561"/>
      <c r="L14478" s="560"/>
      <c r="M14478" s="549"/>
      <c r="N14478" s="549"/>
      <c r="O14478" s="549"/>
      <c r="P14478" s="549"/>
    </row>
    <row r="14479" spans="1:17" ht="17.399999999999999">
      <c r="A14479" s="547" t="s">
        <v>481</v>
      </c>
      <c r="B14479" s="979" t="s">
        <v>1714</v>
      </c>
      <c r="C14479" s="547" t="s">
        <v>19</v>
      </c>
      <c r="D14479" s="813" t="s">
        <v>854</v>
      </c>
      <c r="E14479" s="754" t="s">
        <v>420</v>
      </c>
      <c r="F14479" s="550">
        <v>14</v>
      </c>
      <c r="G14479" s="549" t="s">
        <v>21</v>
      </c>
      <c r="H14479" s="599" t="s">
        <v>126</v>
      </c>
      <c r="I14479" s="558">
        <v>23.6</v>
      </c>
      <c r="J14479" s="710">
        <v>12.6</v>
      </c>
      <c r="K14479" s="648">
        <v>560</v>
      </c>
      <c r="L14479" s="552">
        <f>(I14479*J14479*K14479/1000)</f>
        <v>166.52160000000001</v>
      </c>
      <c r="M14479" s="549"/>
      <c r="N14479" s="549"/>
      <c r="O14479" s="549"/>
      <c r="P14479" s="549"/>
      <c r="Q14479" s="1737" t="s">
        <v>1786</v>
      </c>
    </row>
    <row r="14480" spans="1:17" ht="17.399999999999999">
      <c r="A14480" s="549"/>
      <c r="B14480" s="1802" t="s">
        <v>1715</v>
      </c>
      <c r="C14480" s="549"/>
      <c r="D14480" s="549"/>
      <c r="E14480" s="549"/>
      <c r="F14480" s="549"/>
      <c r="G14480" s="549"/>
      <c r="H14480" s="549"/>
      <c r="I14480" s="558"/>
      <c r="J14480" s="648"/>
      <c r="K14480" s="648">
        <f>SUM(K14479:K14479)</f>
        <v>560</v>
      </c>
      <c r="L14480" s="567">
        <f>SUM(L14479:L14479)</f>
        <v>166.52160000000001</v>
      </c>
      <c r="M14480" s="549"/>
      <c r="N14480" s="549"/>
      <c r="O14480" s="549"/>
      <c r="P14480" s="549"/>
    </row>
    <row r="14481" spans="1:17" ht="17.399999999999999">
      <c r="A14481" s="549"/>
      <c r="B14481" s="549"/>
      <c r="C14481" s="549"/>
      <c r="D14481" s="549"/>
      <c r="E14481" s="549"/>
      <c r="F14481" s="549"/>
      <c r="G14481" s="549"/>
      <c r="H14481" s="549"/>
      <c r="I14481" s="558"/>
      <c r="J14481" s="549"/>
      <c r="K14481" s="561"/>
      <c r="L14481" s="568"/>
      <c r="M14481" s="549"/>
      <c r="N14481" s="549"/>
      <c r="O14481" s="549"/>
      <c r="P14481" s="549"/>
    </row>
    <row r="14482" spans="1:17" ht="17.399999999999999">
      <c r="A14482" s="547" t="s">
        <v>83</v>
      </c>
      <c r="B14482" s="547" t="s">
        <v>1731</v>
      </c>
      <c r="C14482" s="547" t="s">
        <v>19</v>
      </c>
      <c r="D14482" s="813" t="s">
        <v>854</v>
      </c>
      <c r="E14482" s="754" t="s">
        <v>420</v>
      </c>
      <c r="F14482" s="550">
        <v>14</v>
      </c>
      <c r="G14482" s="549" t="s">
        <v>21</v>
      </c>
      <c r="H14482" s="599" t="s">
        <v>126</v>
      </c>
      <c r="I14482" s="558">
        <v>23.6</v>
      </c>
      <c r="J14482" s="567">
        <v>6</v>
      </c>
      <c r="K14482" s="648">
        <v>1</v>
      </c>
      <c r="L14482" s="552">
        <f>(I14482*J14482*K14482/1000)</f>
        <v>0.14160000000000003</v>
      </c>
      <c r="M14482" s="549">
        <v>1</v>
      </c>
      <c r="N14482" s="567">
        <f>J14482*M14482*I14482/1000</f>
        <v>0.14160000000000003</v>
      </c>
      <c r="O14482" s="549"/>
      <c r="P14482" s="549"/>
      <c r="Q14482" s="1737" t="s">
        <v>1786</v>
      </c>
    </row>
    <row r="14483" spans="1:17" ht="17.399999999999999">
      <c r="A14483" s="549"/>
      <c r="B14483" s="753" t="s">
        <v>52</v>
      </c>
      <c r="C14483" s="549"/>
      <c r="D14483" s="549"/>
      <c r="E14483" s="549"/>
      <c r="F14483" s="549"/>
      <c r="G14483" s="549"/>
      <c r="H14483" s="549"/>
      <c r="I14483" s="558"/>
      <c r="J14483" s="567"/>
      <c r="K14483" s="648">
        <f>SUM(K14482:K14482)</f>
        <v>1</v>
      </c>
      <c r="L14483" s="567">
        <f>SUM(L14482:L14482)</f>
        <v>0.14160000000000003</v>
      </c>
      <c r="M14483" s="648">
        <f>SUM(M14482:M14482)</f>
        <v>1</v>
      </c>
      <c r="N14483" s="567">
        <f>SUM(N14482:N14482)</f>
        <v>0.14160000000000003</v>
      </c>
      <c r="O14483" s="549"/>
      <c r="P14483" s="549"/>
    </row>
    <row r="14484" spans="1:17" ht="17.399999999999999">
      <c r="A14484" s="549"/>
      <c r="B14484" s="549"/>
      <c r="C14484" s="549"/>
      <c r="D14484" s="549"/>
      <c r="E14484" s="549"/>
      <c r="F14484" s="549"/>
      <c r="G14484" s="549"/>
      <c r="H14484" s="549"/>
      <c r="I14484" s="558"/>
      <c r="J14484" s="549"/>
      <c r="K14484" s="652">
        <f>SUM(K14479:K14483)/2</f>
        <v>561</v>
      </c>
      <c r="L14484" s="565">
        <f>SUM(L14479:L14483)/2</f>
        <v>166.66319999999999</v>
      </c>
      <c r="M14484" s="652">
        <f>SUM(M14479:M14483)/2</f>
        <v>1</v>
      </c>
      <c r="N14484" s="565">
        <f>SUM(N14479:N14483)/2</f>
        <v>0.14160000000000003</v>
      </c>
      <c r="O14484" s="549"/>
      <c r="P14484" s="549" t="s">
        <v>1736</v>
      </c>
    </row>
    <row r="14485" spans="1:17" s="1737" customFormat="1" ht="17.399999999999999">
      <c r="A14485" s="549"/>
      <c r="B14485" s="549"/>
      <c r="C14485" s="549"/>
      <c r="D14485" s="549"/>
      <c r="E14485" s="549"/>
      <c r="F14485" s="549"/>
      <c r="G14485" s="549"/>
      <c r="H14485" s="549"/>
      <c r="I14485" s="558"/>
      <c r="J14485" s="549"/>
      <c r="K14485" s="652"/>
      <c r="L14485" s="565"/>
      <c r="M14485" s="549"/>
      <c r="N14485" s="549"/>
      <c r="O14485" s="549"/>
      <c r="P14485" s="549"/>
    </row>
    <row r="14486" spans="1:17" ht="17.399999999999999">
      <c r="A14486" s="549"/>
      <c r="B14486" s="549"/>
      <c r="C14486" s="549"/>
      <c r="D14486" s="549"/>
      <c r="E14486" s="549"/>
      <c r="F14486" s="549"/>
      <c r="G14486" s="549"/>
      <c r="H14486" s="549"/>
      <c r="I14486" s="558"/>
      <c r="J14486" s="549"/>
      <c r="K14486" s="561"/>
      <c r="L14486" s="568"/>
      <c r="M14486" s="549"/>
      <c r="N14486" s="549"/>
      <c r="O14486" s="549"/>
      <c r="P14486" s="549"/>
    </row>
    <row r="14487" spans="1:17" ht="17.399999999999999">
      <c r="A14487" s="549"/>
      <c r="B14487" s="549"/>
      <c r="C14487" s="549"/>
      <c r="D14487" s="549"/>
      <c r="E14487" s="549"/>
      <c r="F14487" s="549"/>
      <c r="G14487" s="549"/>
      <c r="H14487" s="549"/>
      <c r="I14487" s="558"/>
      <c r="J14487" s="549"/>
      <c r="K14487" s="561"/>
      <c r="L14487" s="560"/>
      <c r="M14487" s="549"/>
      <c r="N14487" s="549"/>
      <c r="O14487" s="549"/>
      <c r="P14487" s="549"/>
    </row>
    <row r="14488" spans="1:17" ht="17.399999999999999">
      <c r="A14488" s="547" t="s">
        <v>481</v>
      </c>
      <c r="B14488" s="979" t="s">
        <v>1728</v>
      </c>
      <c r="C14488" s="547" t="s">
        <v>19</v>
      </c>
      <c r="D14488" s="813" t="s">
        <v>854</v>
      </c>
      <c r="E14488" s="559" t="s">
        <v>878</v>
      </c>
      <c r="F14488" s="550">
        <v>14</v>
      </c>
      <c r="G14488" s="549" t="s">
        <v>21</v>
      </c>
      <c r="H14488" s="599" t="s">
        <v>124</v>
      </c>
      <c r="I14488" s="558">
        <v>19.8</v>
      </c>
      <c r="J14488" s="710">
        <v>9.5</v>
      </c>
      <c r="K14488" s="648">
        <v>8</v>
      </c>
      <c r="L14488" s="552">
        <f>(I14488*J14488*K14488/1000)</f>
        <v>1.5047999999999999</v>
      </c>
      <c r="M14488" s="549">
        <v>8</v>
      </c>
      <c r="N14488" s="567">
        <f>J14488*M14488*I14488/1000</f>
        <v>1.5047999999999999</v>
      </c>
      <c r="O14488" s="549"/>
      <c r="P14488" s="549"/>
      <c r="Q14488" s="1737" t="s">
        <v>1786</v>
      </c>
    </row>
    <row r="14489" spans="1:17" ht="17.399999999999999">
      <c r="A14489" s="549"/>
      <c r="B14489" s="1802" t="s">
        <v>1729</v>
      </c>
      <c r="C14489" s="549"/>
      <c r="D14489" s="549"/>
      <c r="E14489" s="549"/>
      <c r="F14489" s="549"/>
      <c r="G14489" s="549"/>
      <c r="H14489" s="650"/>
      <c r="I14489" s="558"/>
      <c r="J14489" s="710"/>
      <c r="K14489" s="648">
        <f>SUM(K14488:K14488)</f>
        <v>8</v>
      </c>
      <c r="L14489" s="765">
        <f>SUM(L14488:L14488)</f>
        <v>1.5047999999999999</v>
      </c>
      <c r="M14489" s="648">
        <f>SUM(M14488:M14488)</f>
        <v>8</v>
      </c>
      <c r="N14489" s="765">
        <f>SUM(N14488:N14488)</f>
        <v>1.5047999999999999</v>
      </c>
      <c r="O14489" s="549"/>
      <c r="P14489" s="549"/>
    </row>
    <row r="14490" spans="1:17" s="1737" customFormat="1" ht="17.399999999999999">
      <c r="A14490" s="549"/>
      <c r="B14490" s="1802"/>
      <c r="C14490" s="549"/>
      <c r="D14490" s="549"/>
      <c r="E14490" s="549"/>
      <c r="F14490" s="549"/>
      <c r="G14490" s="549"/>
      <c r="H14490" s="650"/>
      <c r="I14490" s="558"/>
      <c r="J14490" s="710"/>
      <c r="K14490" s="648"/>
      <c r="L14490" s="765"/>
      <c r="M14490" s="549"/>
      <c r="N14490" s="549"/>
      <c r="O14490" s="549"/>
      <c r="P14490" s="549"/>
    </row>
    <row r="14491" spans="1:17" ht="17.399999999999999">
      <c r="A14491" s="547" t="s">
        <v>395</v>
      </c>
      <c r="B14491" s="852" t="s">
        <v>1725</v>
      </c>
      <c r="C14491" s="547" t="s">
        <v>19</v>
      </c>
      <c r="D14491" s="813" t="s">
        <v>854</v>
      </c>
      <c r="E14491" s="547" t="s">
        <v>359</v>
      </c>
      <c r="F14491" s="550">
        <v>14</v>
      </c>
      <c r="G14491" s="549" t="s">
        <v>21</v>
      </c>
      <c r="H14491" s="599" t="s">
        <v>124</v>
      </c>
      <c r="I14491" s="558">
        <v>19.72</v>
      </c>
      <c r="J14491" s="567">
        <v>10</v>
      </c>
      <c r="K14491" s="648">
        <v>5</v>
      </c>
      <c r="L14491" s="552">
        <f>(I14491*J14491*K14491/1000)</f>
        <v>0.98599999999999999</v>
      </c>
      <c r="M14491" s="648">
        <v>5</v>
      </c>
      <c r="N14491" s="567">
        <f>J14491*M14491*I14491/1000</f>
        <v>0.98599999999999999</v>
      </c>
      <c r="O14491" s="549"/>
      <c r="P14491" s="549"/>
      <c r="Q14491" s="1737" t="s">
        <v>1786</v>
      </c>
    </row>
    <row r="14492" spans="1:17" ht="17.399999999999999">
      <c r="A14492" s="549"/>
      <c r="B14492" s="1605" t="s">
        <v>1726</v>
      </c>
      <c r="C14492" s="549"/>
      <c r="D14492" s="549"/>
      <c r="E14492" s="549"/>
      <c r="F14492" s="549"/>
      <c r="G14492" s="549" t="s">
        <v>21</v>
      </c>
      <c r="H14492" s="549" t="s">
        <v>124</v>
      </c>
      <c r="I14492" s="558">
        <v>19.72</v>
      </c>
      <c r="J14492" s="567">
        <v>11.5</v>
      </c>
      <c r="K14492" s="648">
        <v>3</v>
      </c>
      <c r="L14492" s="552">
        <f>(I14492*J14492*K14492/1000)</f>
        <v>0.68033999999999994</v>
      </c>
      <c r="M14492" s="648">
        <v>3</v>
      </c>
      <c r="N14492" s="567">
        <f t="shared" ref="N14492:N14493" si="2888">J14492*M14492*I14492/1000</f>
        <v>0.68033999999999994</v>
      </c>
      <c r="O14492" s="549"/>
      <c r="P14492" s="549"/>
    </row>
    <row r="14493" spans="1:17" ht="17.399999999999999">
      <c r="A14493" s="549"/>
      <c r="B14493" s="549"/>
      <c r="C14493" s="549"/>
      <c r="D14493" s="549"/>
      <c r="E14493" s="549"/>
      <c r="F14493" s="549"/>
      <c r="G14493" s="549" t="s">
        <v>21</v>
      </c>
      <c r="H14493" s="549" t="s">
        <v>124</v>
      </c>
      <c r="I14493" s="558">
        <v>19.72</v>
      </c>
      <c r="J14493" s="567">
        <v>12</v>
      </c>
      <c r="K14493" s="648">
        <v>8</v>
      </c>
      <c r="L14493" s="552">
        <f>(I14493*J14493*K14493/1000)</f>
        <v>1.8931199999999999</v>
      </c>
      <c r="M14493" s="648">
        <v>8</v>
      </c>
      <c r="N14493" s="567">
        <f t="shared" si="2888"/>
        <v>1.8931199999999999</v>
      </c>
      <c r="O14493" s="549"/>
      <c r="P14493" s="549"/>
    </row>
    <row r="14494" spans="1:17" ht="17.399999999999999">
      <c r="A14494" s="549"/>
      <c r="B14494" s="549"/>
      <c r="C14494" s="549"/>
      <c r="D14494" s="549"/>
      <c r="E14494" s="549"/>
      <c r="F14494" s="549"/>
      <c r="G14494" s="549"/>
      <c r="H14494" s="549"/>
      <c r="I14494" s="558"/>
      <c r="J14494" s="567"/>
      <c r="K14494" s="648">
        <f>SUM(K14491:K14493)</f>
        <v>16</v>
      </c>
      <c r="L14494" s="567">
        <f>SUM(L14491:L14493)</f>
        <v>3.5594599999999996</v>
      </c>
      <c r="M14494" s="648">
        <f>SUM(M14491:M14493)</f>
        <v>16</v>
      </c>
      <c r="N14494" s="567">
        <f>SUM(N14491:N14493)</f>
        <v>3.5594599999999996</v>
      </c>
      <c r="O14494" s="549"/>
      <c r="P14494" s="549"/>
    </row>
    <row r="14495" spans="1:17" s="1737" customFormat="1" ht="17.399999999999999">
      <c r="A14495" s="549"/>
      <c r="B14495" s="549"/>
      <c r="C14495" s="549"/>
      <c r="D14495" s="549"/>
      <c r="E14495" s="549"/>
      <c r="F14495" s="549"/>
      <c r="G14495" s="549"/>
      <c r="H14495" s="549"/>
      <c r="I14495" s="558"/>
      <c r="J14495" s="567"/>
      <c r="K14495" s="648">
        <f>SUM(K14488:K14494)/2</f>
        <v>24</v>
      </c>
      <c r="L14495" s="567">
        <f>SUM(L14488:L14494)/2</f>
        <v>5.0642599999999991</v>
      </c>
      <c r="M14495" s="648">
        <f>SUM(M14488:M14494)/2</f>
        <v>24</v>
      </c>
      <c r="N14495" s="567">
        <f>SUM(N14488:N14494)/2</f>
        <v>5.0642599999999991</v>
      </c>
      <c r="O14495" s="549"/>
      <c r="P14495" s="549"/>
    </row>
    <row r="14496" spans="1:17" s="1737" customFormat="1" ht="17.399999999999999">
      <c r="A14496" s="549"/>
      <c r="B14496" s="549"/>
      <c r="C14496" s="549"/>
      <c r="D14496" s="549"/>
      <c r="E14496" s="549"/>
      <c r="F14496" s="549"/>
      <c r="G14496" s="549"/>
      <c r="H14496" s="549"/>
      <c r="I14496" s="558"/>
      <c r="J14496" s="567"/>
      <c r="K14496" s="648"/>
      <c r="L14496" s="567"/>
      <c r="M14496" s="549"/>
      <c r="N14496" s="549"/>
      <c r="O14496" s="549"/>
      <c r="P14496" s="549"/>
    </row>
    <row r="14497" spans="1:17" s="1737" customFormat="1" ht="17.399999999999999">
      <c r="A14497" s="549"/>
      <c r="B14497" s="549"/>
      <c r="C14497" s="549"/>
      <c r="D14497" s="549"/>
      <c r="E14497" s="549"/>
      <c r="F14497" s="549"/>
      <c r="G14497" s="549"/>
      <c r="H14497" s="549"/>
      <c r="I14497" s="558"/>
      <c r="J14497" s="567"/>
      <c r="K14497" s="648"/>
      <c r="L14497" s="567"/>
      <c r="M14497" s="549"/>
      <c r="N14497" s="549"/>
      <c r="O14497" s="549"/>
      <c r="P14497" s="549"/>
    </row>
    <row r="14498" spans="1:17" ht="17.399999999999999">
      <c r="A14498" s="547" t="s">
        <v>83</v>
      </c>
      <c r="B14498" s="547" t="s">
        <v>1732</v>
      </c>
      <c r="C14498" s="547" t="s">
        <v>19</v>
      </c>
      <c r="D14498" s="813" t="s">
        <v>854</v>
      </c>
      <c r="E14498" s="547" t="s">
        <v>47</v>
      </c>
      <c r="F14498" s="550">
        <v>14</v>
      </c>
      <c r="G14498" s="549" t="s">
        <v>21</v>
      </c>
      <c r="H14498" s="599" t="s">
        <v>126</v>
      </c>
      <c r="I14498" s="558">
        <v>23.6</v>
      </c>
      <c r="J14498" s="567">
        <v>11.3</v>
      </c>
      <c r="K14498" s="648">
        <v>2</v>
      </c>
      <c r="L14498" s="552">
        <f t="shared" ref="L14498" si="2889">(I14498*J14498*K14498/1000)</f>
        <v>0.53336000000000006</v>
      </c>
      <c r="M14498" s="549">
        <v>2</v>
      </c>
      <c r="N14498" s="567">
        <f t="shared" ref="N14498" si="2890">J14498*M14498*I14498/1000</f>
        <v>0.53336000000000006</v>
      </c>
      <c r="O14498" s="549"/>
      <c r="P14498" s="549"/>
      <c r="Q14498" s="1737" t="s">
        <v>1786</v>
      </c>
    </row>
    <row r="14499" spans="1:17" ht="17.399999999999999">
      <c r="A14499" s="549"/>
      <c r="B14499" s="753" t="s">
        <v>1407</v>
      </c>
      <c r="C14499" s="549"/>
      <c r="D14499" s="549"/>
      <c r="E14499" s="549"/>
      <c r="F14499" s="549"/>
      <c r="G14499" s="549"/>
      <c r="H14499" s="549"/>
      <c r="I14499" s="558"/>
      <c r="J14499" s="567"/>
      <c r="K14499" s="648">
        <f t="shared" ref="K14499:N14499" si="2891">SUM(K14498)</f>
        <v>2</v>
      </c>
      <c r="L14499" s="567">
        <f t="shared" si="2891"/>
        <v>0.53336000000000006</v>
      </c>
      <c r="M14499" s="648">
        <f t="shared" si="2891"/>
        <v>2</v>
      </c>
      <c r="N14499" s="567">
        <f t="shared" si="2891"/>
        <v>0.53336000000000006</v>
      </c>
      <c r="O14499" s="549"/>
      <c r="P14499" s="549"/>
    </row>
    <row r="14500" spans="1:17" ht="17.399999999999999">
      <c r="A14500" s="549"/>
      <c r="B14500" s="549"/>
      <c r="C14500" s="549"/>
      <c r="D14500" s="549"/>
      <c r="E14500" s="549"/>
      <c r="F14500" s="549"/>
      <c r="G14500" s="549"/>
      <c r="H14500" s="549"/>
      <c r="I14500" s="558"/>
      <c r="J14500" s="549"/>
      <c r="K14500" s="561"/>
      <c r="L14500" s="560"/>
      <c r="M14500" s="549"/>
      <c r="N14500" s="549"/>
      <c r="O14500" s="549"/>
      <c r="P14500" s="549"/>
    </row>
    <row r="14501" spans="1:17" ht="17.399999999999999">
      <c r="A14501" s="549"/>
      <c r="B14501" s="549"/>
      <c r="C14501" s="549"/>
      <c r="D14501" s="549"/>
      <c r="E14501" s="549"/>
      <c r="F14501" s="549"/>
      <c r="G14501" s="549"/>
      <c r="H14501" s="549"/>
      <c r="I14501" s="558"/>
      <c r="J14501" s="549"/>
      <c r="K14501" s="561"/>
      <c r="L14501" s="560"/>
      <c r="M14501" s="549"/>
      <c r="N14501" s="549"/>
      <c r="O14501" s="549"/>
      <c r="P14501" s="549"/>
    </row>
    <row r="14502" spans="1:17" s="1737" customFormat="1" ht="17.399999999999999">
      <c r="A14502" s="549"/>
      <c r="B14502" s="549"/>
      <c r="C14502" s="549"/>
      <c r="D14502" s="549"/>
      <c r="E14502" s="549"/>
      <c r="F14502" s="549"/>
      <c r="G14502" s="549"/>
      <c r="H14502" s="549"/>
      <c r="I14502" s="558"/>
      <c r="J14502" s="567"/>
      <c r="K14502" s="648"/>
      <c r="L14502" s="567"/>
      <c r="M14502" s="549"/>
      <c r="N14502" s="549"/>
      <c r="O14502" s="549"/>
      <c r="P14502" s="549"/>
    </row>
    <row r="14503" spans="1:17" ht="17.399999999999999">
      <c r="A14503" s="547" t="s">
        <v>272</v>
      </c>
      <c r="B14503" s="547" t="s">
        <v>1665</v>
      </c>
      <c r="C14503" s="547" t="s">
        <v>446</v>
      </c>
      <c r="D14503" s="813" t="s">
        <v>447</v>
      </c>
      <c r="E14503" s="547" t="s">
        <v>359</v>
      </c>
      <c r="F14503" s="550">
        <v>14</v>
      </c>
      <c r="G14503" s="549" t="s">
        <v>21</v>
      </c>
      <c r="H14503" s="599" t="s">
        <v>126</v>
      </c>
      <c r="I14503" s="558">
        <v>23.45</v>
      </c>
      <c r="J14503" s="567">
        <v>9.3000000000000007</v>
      </c>
      <c r="K14503" s="648">
        <v>20</v>
      </c>
      <c r="L14503" s="552">
        <f>(I14503*J14503*K14503/1000)</f>
        <v>4.3616999999999999</v>
      </c>
      <c r="M14503" s="549"/>
      <c r="N14503" s="549"/>
      <c r="O14503" s="549"/>
      <c r="P14503" s="549"/>
      <c r="Q14503" s="1737" t="s">
        <v>1797</v>
      </c>
    </row>
    <row r="14504" spans="1:17" ht="17.399999999999999">
      <c r="A14504" s="549"/>
      <c r="B14504" s="549"/>
      <c r="C14504" s="549"/>
      <c r="D14504" s="549"/>
      <c r="E14504" s="549"/>
      <c r="F14504" s="549"/>
      <c r="G14504" s="549" t="s">
        <v>21</v>
      </c>
      <c r="H14504" s="549" t="s">
        <v>126</v>
      </c>
      <c r="I14504" s="558">
        <v>23.45</v>
      </c>
      <c r="J14504" s="567">
        <v>9.6</v>
      </c>
      <c r="K14504" s="648">
        <v>63</v>
      </c>
      <c r="L14504" s="552">
        <f>(I14504*J14504*K14504/1000)</f>
        <v>14.182559999999997</v>
      </c>
      <c r="M14504" s="549"/>
      <c r="N14504" s="549"/>
      <c r="O14504" s="549"/>
      <c r="P14504" s="549"/>
    </row>
    <row r="14505" spans="1:17" ht="17.399999999999999">
      <c r="A14505" s="549"/>
      <c r="B14505" s="549"/>
      <c r="C14505" s="549"/>
      <c r="D14505" s="549"/>
      <c r="E14505" s="549"/>
      <c r="F14505" s="549"/>
      <c r="G14505" s="549" t="s">
        <v>21</v>
      </c>
      <c r="H14505" s="549" t="s">
        <v>126</v>
      </c>
      <c r="I14505" s="558">
        <v>23.45</v>
      </c>
      <c r="J14505" s="567">
        <v>10</v>
      </c>
      <c r="K14505" s="648">
        <v>30</v>
      </c>
      <c r="L14505" s="552">
        <f>(I14505*J14505*K14505/1000)</f>
        <v>7.0350000000000001</v>
      </c>
      <c r="M14505" s="549"/>
      <c r="N14505" s="549"/>
      <c r="O14505" s="549"/>
      <c r="P14505" s="549"/>
    </row>
    <row r="14506" spans="1:17" ht="17.399999999999999">
      <c r="A14506" s="549"/>
      <c r="B14506" s="549"/>
      <c r="C14506" s="549"/>
      <c r="D14506" s="549"/>
      <c r="E14506" s="549"/>
      <c r="F14506" s="549"/>
      <c r="G14506" s="549" t="s">
        <v>21</v>
      </c>
      <c r="H14506" s="549" t="s">
        <v>126</v>
      </c>
      <c r="I14506" s="558">
        <v>23.45</v>
      </c>
      <c r="J14506" s="567">
        <v>12</v>
      </c>
      <c r="K14506" s="648">
        <v>3</v>
      </c>
      <c r="L14506" s="552">
        <f>(I14506*J14506*K14506/1000)</f>
        <v>0.84419999999999995</v>
      </c>
      <c r="M14506" s="549"/>
      <c r="N14506" s="549"/>
      <c r="O14506" s="549"/>
      <c r="P14506" s="549"/>
    </row>
    <row r="14507" spans="1:17" ht="17.399999999999999">
      <c r="A14507" s="549"/>
      <c r="B14507" s="549"/>
      <c r="C14507" s="549"/>
      <c r="D14507" s="549"/>
      <c r="E14507" s="549"/>
      <c r="F14507" s="549"/>
      <c r="G14507" s="549"/>
      <c r="H14507" s="549"/>
      <c r="I14507" s="558"/>
      <c r="J14507" s="567"/>
      <c r="K14507" s="648">
        <f>SUM(K14503:K14506)</f>
        <v>116</v>
      </c>
      <c r="L14507" s="567">
        <f>SUM(L14503:L14506)</f>
        <v>26.423459999999999</v>
      </c>
      <c r="M14507" s="549"/>
      <c r="N14507" s="549"/>
      <c r="O14507" s="549"/>
      <c r="P14507" s="549" t="s">
        <v>1737</v>
      </c>
    </row>
    <row r="14508" spans="1:17" s="1737" customFormat="1" ht="17.399999999999999">
      <c r="A14508" s="549"/>
      <c r="B14508" s="549"/>
      <c r="C14508" s="549"/>
      <c r="D14508" s="549"/>
      <c r="E14508" s="549"/>
      <c r="F14508" s="549"/>
      <c r="G14508" s="549"/>
      <c r="H14508" s="549"/>
      <c r="I14508" s="558"/>
      <c r="J14508" s="567"/>
      <c r="K14508" s="648"/>
      <c r="L14508" s="567"/>
      <c r="M14508" s="549"/>
      <c r="N14508" s="549"/>
      <c r="O14508" s="549"/>
      <c r="P14508" s="549"/>
    </row>
    <row r="14509" spans="1:17" s="1737" customFormat="1" ht="17.399999999999999">
      <c r="A14509" s="549"/>
      <c r="B14509" s="549"/>
      <c r="C14509" s="549"/>
      <c r="D14509" s="549"/>
      <c r="E14509" s="549"/>
      <c r="F14509" s="549"/>
      <c r="G14509" s="549"/>
      <c r="H14509" s="549"/>
      <c r="I14509" s="558"/>
      <c r="J14509" s="567"/>
      <c r="K14509" s="648"/>
      <c r="L14509" s="567"/>
      <c r="M14509" s="549"/>
      <c r="N14509" s="549"/>
      <c r="O14509" s="549"/>
      <c r="P14509" s="549"/>
    </row>
    <row r="14510" spans="1:17" ht="17.399999999999999">
      <c r="A14510" s="547" t="s">
        <v>272</v>
      </c>
      <c r="B14510" s="547" t="s">
        <v>1664</v>
      </c>
      <c r="C14510" s="547" t="s">
        <v>446</v>
      </c>
      <c r="D14510" s="813" t="s">
        <v>447</v>
      </c>
      <c r="E14510" s="547" t="s">
        <v>359</v>
      </c>
      <c r="F14510" s="550">
        <v>14</v>
      </c>
      <c r="G14510" s="549" t="s">
        <v>21</v>
      </c>
      <c r="H14510" s="599" t="s">
        <v>125</v>
      </c>
      <c r="I14510" s="558">
        <v>21.7</v>
      </c>
      <c r="J14510" s="567">
        <v>8.5</v>
      </c>
      <c r="K14510" s="648">
        <v>25</v>
      </c>
      <c r="L14510" s="552">
        <f t="shared" ref="L14510:L14513" si="2892">(I14510*J14510*K14510/1000)</f>
        <v>4.6112500000000001</v>
      </c>
      <c r="M14510" s="549"/>
      <c r="N14510" s="567">
        <f t="shared" ref="N14510:N14513" si="2893">J14510*M14510*I14510/1000</f>
        <v>0</v>
      </c>
      <c r="O14510" s="549"/>
      <c r="P14510" s="549"/>
      <c r="Q14510" s="1737" t="s">
        <v>1797</v>
      </c>
    </row>
    <row r="14511" spans="1:17" ht="17.399999999999999">
      <c r="A14511" s="549"/>
      <c r="B14511" s="549"/>
      <c r="C14511" s="549"/>
      <c r="D14511" s="549"/>
      <c r="E14511" s="549"/>
      <c r="F14511" s="549"/>
      <c r="G14511" s="549" t="s">
        <v>21</v>
      </c>
      <c r="H14511" s="549" t="s">
        <v>125</v>
      </c>
      <c r="I14511" s="558">
        <v>21.7</v>
      </c>
      <c r="J14511" s="567">
        <v>8.9</v>
      </c>
      <c r="K14511" s="648">
        <v>24</v>
      </c>
      <c r="L14511" s="552">
        <f t="shared" si="2892"/>
        <v>4.6351199999999997</v>
      </c>
      <c r="M14511" s="549">
        <v>3</v>
      </c>
      <c r="N14511" s="567">
        <f t="shared" si="2893"/>
        <v>0.57938999999999996</v>
      </c>
      <c r="O14511" s="549"/>
      <c r="P14511" s="549"/>
    </row>
    <row r="14512" spans="1:17" ht="17.399999999999999">
      <c r="A14512" s="549"/>
      <c r="B14512" s="549"/>
      <c r="C14512" s="549"/>
      <c r="D14512" s="549"/>
      <c r="E14512" s="549"/>
      <c r="F14512" s="549"/>
      <c r="G14512" s="549" t="s">
        <v>21</v>
      </c>
      <c r="H14512" s="549" t="s">
        <v>125</v>
      </c>
      <c r="I14512" s="558">
        <v>21.7</v>
      </c>
      <c r="J14512" s="567">
        <v>10</v>
      </c>
      <c r="K14512" s="648">
        <v>26</v>
      </c>
      <c r="L14512" s="552">
        <f t="shared" si="2892"/>
        <v>5.6420000000000003</v>
      </c>
      <c r="M14512" s="549"/>
      <c r="N14512" s="567">
        <f t="shared" si="2893"/>
        <v>0</v>
      </c>
      <c r="O14512" s="549"/>
      <c r="P14512" s="549"/>
    </row>
    <row r="14513" spans="1:19" ht="17.399999999999999">
      <c r="A14513" s="549"/>
      <c r="B14513" s="549"/>
      <c r="C14513" s="549"/>
      <c r="D14513" s="549"/>
      <c r="E14513" s="549"/>
      <c r="F14513" s="549"/>
      <c r="G14513" s="549" t="s">
        <v>21</v>
      </c>
      <c r="H14513" s="549" t="s">
        <v>125</v>
      </c>
      <c r="I14513" s="558">
        <v>21.7</v>
      </c>
      <c r="J14513" s="567">
        <v>10.3</v>
      </c>
      <c r="K14513" s="648">
        <v>24</v>
      </c>
      <c r="L14513" s="552">
        <f t="shared" si="2892"/>
        <v>5.3642400000000006</v>
      </c>
      <c r="M14513" s="549">
        <v>3</v>
      </c>
      <c r="N14513" s="567">
        <f t="shared" si="2893"/>
        <v>0.67052999999999996</v>
      </c>
      <c r="O14513" s="549"/>
      <c r="P14513" s="549"/>
    </row>
    <row r="14514" spans="1:19" ht="17.399999999999999">
      <c r="A14514" s="549"/>
      <c r="B14514" s="549"/>
      <c r="C14514" s="549"/>
      <c r="D14514" s="549"/>
      <c r="E14514" s="549"/>
      <c r="F14514" s="549"/>
      <c r="G14514" s="549"/>
      <c r="H14514" s="549"/>
      <c r="I14514" s="558"/>
      <c r="J14514" s="567"/>
      <c r="K14514" s="648">
        <f t="shared" ref="K14514:N14514" si="2894">SUM(K14510:K14513)</f>
        <v>99</v>
      </c>
      <c r="L14514" s="567">
        <f t="shared" si="2894"/>
        <v>20.252609999999997</v>
      </c>
      <c r="M14514" s="648">
        <f t="shared" si="2894"/>
        <v>6</v>
      </c>
      <c r="N14514" s="567">
        <f t="shared" si="2894"/>
        <v>1.2499199999999999</v>
      </c>
      <c r="O14514" s="549"/>
      <c r="P14514" s="549"/>
    </row>
    <row r="14515" spans="1:19" s="1737" customFormat="1" ht="17.399999999999999">
      <c r="A14515" s="549"/>
      <c r="B14515" s="549"/>
      <c r="C14515" s="549"/>
      <c r="D14515" s="549"/>
      <c r="E14515" s="549"/>
      <c r="F14515" s="549"/>
      <c r="G14515" s="549"/>
      <c r="H14515" s="549"/>
      <c r="I14515" s="558"/>
      <c r="J14515" s="567"/>
      <c r="K14515" s="648"/>
      <c r="L14515" s="567"/>
      <c r="M14515" s="549"/>
      <c r="N14515" s="549"/>
      <c r="O14515" s="549"/>
      <c r="P14515" s="549"/>
    </row>
    <row r="14516" spans="1:19" ht="17.399999999999999">
      <c r="A14516" s="547" t="s">
        <v>83</v>
      </c>
      <c r="B14516" s="547" t="s">
        <v>1730</v>
      </c>
      <c r="C14516" s="547" t="s">
        <v>446</v>
      </c>
      <c r="D14516" s="813" t="s">
        <v>447</v>
      </c>
      <c r="E14516" s="547" t="s">
        <v>359</v>
      </c>
      <c r="F14516" s="550">
        <v>14</v>
      </c>
      <c r="G14516" s="549" t="s">
        <v>21</v>
      </c>
      <c r="H14516" s="599" t="s">
        <v>125</v>
      </c>
      <c r="I14516" s="558">
        <v>21.7</v>
      </c>
      <c r="J14516" s="567">
        <v>6</v>
      </c>
      <c r="K14516" s="648">
        <v>2</v>
      </c>
      <c r="L14516" s="552">
        <f>(I14516*J14516*K14516/1000)</f>
        <v>0.26039999999999996</v>
      </c>
      <c r="M14516" s="549">
        <v>2</v>
      </c>
      <c r="N14516" s="567">
        <f>J14516*M14516*I14516/1000</f>
        <v>0.26039999999999996</v>
      </c>
      <c r="O14516" s="549"/>
      <c r="P14516" s="549"/>
      <c r="Q14516" s="1737" t="s">
        <v>1797</v>
      </c>
    </row>
    <row r="14517" spans="1:19" ht="17.399999999999999">
      <c r="A14517" s="549"/>
      <c r="B14517" s="549"/>
      <c r="C14517" s="549"/>
      <c r="D14517" s="549"/>
      <c r="E14517" s="549"/>
      <c r="F14517" s="549"/>
      <c r="G14517" s="549"/>
      <c r="H14517" s="549"/>
      <c r="I14517" s="558"/>
      <c r="J14517" s="567"/>
      <c r="K14517" s="648">
        <f>SUM(K14516)</f>
        <v>2</v>
      </c>
      <c r="L14517" s="567">
        <f>SUM(L14516)</f>
        <v>0.26039999999999996</v>
      </c>
      <c r="M14517" s="648">
        <f>SUM(M14516)</f>
        <v>2</v>
      </c>
      <c r="N14517" s="567">
        <f>SUM(N14516)</f>
        <v>0.26039999999999996</v>
      </c>
      <c r="O14517" s="549"/>
      <c r="P14517" s="549"/>
    </row>
    <row r="14518" spans="1:19" s="1737" customFormat="1" ht="17.399999999999999">
      <c r="A14518" s="549"/>
      <c r="B14518" s="549"/>
      <c r="C14518" s="549"/>
      <c r="D14518" s="549"/>
      <c r="E14518" s="549"/>
      <c r="F14518" s="549"/>
      <c r="G14518" s="549"/>
      <c r="H14518" s="549"/>
      <c r="I14518" s="558"/>
      <c r="J14518" s="567"/>
      <c r="K14518" s="648">
        <f>SUM(K14510:K14517)/2</f>
        <v>101</v>
      </c>
      <c r="L14518" s="567">
        <f>SUM(L14510:L14517)/2</f>
        <v>20.513009999999994</v>
      </c>
      <c r="M14518" s="648">
        <f>SUM(M14510:M14517)/2</f>
        <v>8</v>
      </c>
      <c r="N14518" s="567">
        <f>SUM(N14510:N14517)/2</f>
        <v>1.5103199999999997</v>
      </c>
      <c r="O14518" s="549"/>
      <c r="P14518" s="549" t="s">
        <v>1738</v>
      </c>
    </row>
    <row r="14519" spans="1:19" s="1737" customFormat="1" ht="17.399999999999999">
      <c r="A14519" s="549"/>
      <c r="B14519" s="549"/>
      <c r="C14519" s="549"/>
      <c r="D14519" s="549"/>
      <c r="E14519" s="549"/>
      <c r="F14519" s="549"/>
      <c r="G14519" s="549"/>
      <c r="H14519" s="549"/>
      <c r="I14519" s="558"/>
      <c r="J14519" s="567"/>
      <c r="K14519" s="648"/>
      <c r="L14519" s="567"/>
      <c r="M14519" s="549"/>
      <c r="N14519" s="549"/>
      <c r="O14519" s="549"/>
      <c r="P14519" s="549"/>
    </row>
    <row r="14520" spans="1:19" s="1737" customFormat="1" ht="17.399999999999999">
      <c r="A14520" s="549"/>
      <c r="B14520" s="549"/>
      <c r="C14520" s="549"/>
      <c r="D14520" s="549"/>
      <c r="E14520" s="549"/>
      <c r="F14520" s="549"/>
      <c r="G14520" s="549"/>
      <c r="H14520" s="549"/>
      <c r="I14520" s="558"/>
      <c r="J14520" s="567"/>
      <c r="K14520" s="648"/>
      <c r="L14520" s="567"/>
      <c r="M14520" s="549"/>
      <c r="N14520" s="549"/>
      <c r="O14520" s="549"/>
      <c r="P14520" s="549"/>
    </row>
    <row r="14521" spans="1:19" ht="17.399999999999999">
      <c r="A14521" s="547" t="s">
        <v>272</v>
      </c>
      <c r="B14521" s="547" t="s">
        <v>1665</v>
      </c>
      <c r="C14521" s="547" t="s">
        <v>446</v>
      </c>
      <c r="D14521" s="813" t="s">
        <v>447</v>
      </c>
      <c r="E14521" s="547" t="s">
        <v>359</v>
      </c>
      <c r="F14521" s="550">
        <v>14</v>
      </c>
      <c r="G14521" s="549" t="s">
        <v>21</v>
      </c>
      <c r="H14521" s="599" t="s">
        <v>124</v>
      </c>
      <c r="I14521" s="558">
        <v>19.72</v>
      </c>
      <c r="J14521" s="567">
        <v>10.5</v>
      </c>
      <c r="K14521" s="648">
        <v>30</v>
      </c>
      <c r="L14521" s="552">
        <f t="shared" ref="L14521:L14524" si="2895">(I14521*J14521*K14521/1000)</f>
        <v>6.2118000000000002</v>
      </c>
      <c r="M14521" s="549"/>
      <c r="N14521" s="549"/>
      <c r="O14521" s="549"/>
      <c r="P14521" s="549"/>
      <c r="Q14521" s="1737" t="s">
        <v>1797</v>
      </c>
    </row>
    <row r="14522" spans="1:19" ht="17.399999999999999">
      <c r="A14522" s="549"/>
      <c r="B14522" s="549"/>
      <c r="C14522" s="549"/>
      <c r="D14522" s="549"/>
      <c r="E14522" s="549"/>
      <c r="F14522" s="549"/>
      <c r="G14522" s="549" t="s">
        <v>21</v>
      </c>
      <c r="H14522" s="549" t="s">
        <v>124</v>
      </c>
      <c r="I14522" s="558">
        <v>19.72</v>
      </c>
      <c r="J14522" s="567">
        <v>10.85</v>
      </c>
      <c r="K14522" s="648">
        <v>55</v>
      </c>
      <c r="L14522" s="552">
        <f t="shared" si="2895"/>
        <v>11.767910000000001</v>
      </c>
      <c r="M14522" s="549"/>
      <c r="N14522" s="549"/>
      <c r="O14522" s="549"/>
      <c r="P14522" s="549"/>
    </row>
    <row r="14523" spans="1:19" ht="17.399999999999999">
      <c r="A14523" s="549"/>
      <c r="B14523" s="549"/>
      <c r="C14523" s="549"/>
      <c r="D14523" s="549"/>
      <c r="E14523" s="549"/>
      <c r="F14523" s="549"/>
      <c r="G14523" s="549" t="s">
        <v>21</v>
      </c>
      <c r="H14523" s="549" t="s">
        <v>124</v>
      </c>
      <c r="I14523" s="558">
        <v>19.72</v>
      </c>
      <c r="J14523" s="567">
        <v>11</v>
      </c>
      <c r="K14523" s="648">
        <v>42</v>
      </c>
      <c r="L14523" s="552">
        <f t="shared" si="2895"/>
        <v>9.1106400000000001</v>
      </c>
      <c r="M14523" s="549"/>
      <c r="N14523" s="549"/>
      <c r="O14523" s="549"/>
      <c r="P14523" s="549"/>
    </row>
    <row r="14524" spans="1:19" ht="17.399999999999999">
      <c r="A14524" s="549"/>
      <c r="B14524" s="549"/>
      <c r="C14524" s="549"/>
      <c r="D14524" s="549"/>
      <c r="E14524" s="549"/>
      <c r="F14524" s="549"/>
      <c r="G14524" s="549" t="s">
        <v>21</v>
      </c>
      <c r="H14524" s="549" t="s">
        <v>124</v>
      </c>
      <c r="I14524" s="558">
        <v>19.72</v>
      </c>
      <c r="J14524" s="567">
        <v>11.5</v>
      </c>
      <c r="K14524" s="648">
        <v>18</v>
      </c>
      <c r="L14524" s="552">
        <f t="shared" si="2895"/>
        <v>4.0820399999999992</v>
      </c>
      <c r="M14524" s="549"/>
      <c r="N14524" s="549"/>
      <c r="O14524" s="549"/>
      <c r="P14524" s="549"/>
    </row>
    <row r="14525" spans="1:19" ht="17.399999999999999">
      <c r="A14525" s="549"/>
      <c r="B14525" s="549"/>
      <c r="C14525" s="549"/>
      <c r="D14525" s="549"/>
      <c r="E14525" s="549"/>
      <c r="F14525" s="549"/>
      <c r="G14525" s="549"/>
      <c r="H14525" s="549"/>
      <c r="I14525" s="558"/>
      <c r="J14525" s="567"/>
      <c r="K14525" s="648">
        <f t="shared" ref="K14525:L14525" si="2896">SUM(K14521:K14524)</f>
        <v>145</v>
      </c>
      <c r="L14525" s="567">
        <f t="shared" si="2896"/>
        <v>31.17239</v>
      </c>
      <c r="M14525" s="549"/>
      <c r="N14525" s="549"/>
      <c r="O14525" s="549"/>
      <c r="P14525" s="549" t="s">
        <v>1739</v>
      </c>
    </row>
    <row r="14526" spans="1:19" s="1737" customFormat="1" ht="17.399999999999999">
      <c r="A14526" s="549"/>
      <c r="B14526" s="549"/>
      <c r="C14526" s="549"/>
      <c r="D14526" s="549"/>
      <c r="E14526" s="549"/>
      <c r="F14526" s="549"/>
      <c r="G14526" s="549"/>
      <c r="H14526" s="549"/>
      <c r="I14526" s="558"/>
      <c r="J14526" s="567"/>
      <c r="K14526" s="648"/>
      <c r="L14526" s="567"/>
      <c r="M14526" s="549"/>
      <c r="N14526" s="549"/>
      <c r="O14526" s="549"/>
      <c r="P14526" s="549"/>
    </row>
    <row r="14527" spans="1:19" s="1737" customFormat="1" ht="17.399999999999999">
      <c r="A14527" s="549"/>
      <c r="B14527" s="549"/>
      <c r="C14527" s="549"/>
      <c r="D14527" s="549"/>
      <c r="E14527" s="549"/>
      <c r="F14527" s="549"/>
      <c r="G14527" s="549"/>
      <c r="H14527" s="549"/>
      <c r="I14527" s="558"/>
      <c r="J14527" s="567"/>
      <c r="K14527" s="648"/>
      <c r="L14527" s="567"/>
      <c r="M14527" s="549"/>
      <c r="N14527" s="549"/>
      <c r="O14527" s="549"/>
      <c r="P14527" s="549"/>
    </row>
    <row r="14528" spans="1:19" ht="17.399999999999999">
      <c r="A14528" s="547" t="s">
        <v>272</v>
      </c>
      <c r="B14528" s="547" t="s">
        <v>1665</v>
      </c>
      <c r="C14528" s="547" t="s">
        <v>446</v>
      </c>
      <c r="D14528" s="813" t="s">
        <v>447</v>
      </c>
      <c r="E14528" s="547" t="s">
        <v>359</v>
      </c>
      <c r="F14528" s="550">
        <v>14</v>
      </c>
      <c r="G14528" s="549" t="s">
        <v>21</v>
      </c>
      <c r="H14528" s="599" t="s">
        <v>129</v>
      </c>
      <c r="I14528" s="558">
        <v>17.82</v>
      </c>
      <c r="J14528" s="567">
        <v>10</v>
      </c>
      <c r="K14528" s="648">
        <v>16</v>
      </c>
      <c r="L14528" s="552">
        <f t="shared" ref="L14528:L14529" si="2897">(I14528*J14528*K14528/1000)</f>
        <v>2.8512</v>
      </c>
      <c r="M14528" s="549"/>
      <c r="N14528" s="549"/>
      <c r="O14528" s="549"/>
      <c r="P14528" s="549"/>
      <c r="Q14528" s="497">
        <v>16</v>
      </c>
      <c r="R14528" s="126">
        <f t="shared" ref="R14528:R14530" si="2898">J14528*Q14528*I14528/1000</f>
        <v>2.8512</v>
      </c>
      <c r="S14528" s="1737" t="s">
        <v>1798</v>
      </c>
    </row>
    <row r="14529" spans="1:19" ht="17.399999999999999">
      <c r="A14529" s="549"/>
      <c r="B14529" s="549"/>
      <c r="C14529" s="549"/>
      <c r="D14529" s="549"/>
      <c r="E14529" s="549"/>
      <c r="F14529" s="549"/>
      <c r="G14529" s="549" t="s">
        <v>21</v>
      </c>
      <c r="H14529" s="549" t="s">
        <v>129</v>
      </c>
      <c r="I14529" s="558">
        <v>17.82</v>
      </c>
      <c r="J14529" s="567">
        <v>11.8</v>
      </c>
      <c r="K14529" s="648">
        <v>8</v>
      </c>
      <c r="L14529" s="552">
        <f t="shared" si="2897"/>
        <v>1.6822080000000001</v>
      </c>
      <c r="M14529" s="549"/>
      <c r="N14529" s="549"/>
      <c r="O14529" s="549"/>
      <c r="P14529" s="549"/>
      <c r="R14529" s="126">
        <f t="shared" si="2898"/>
        <v>0</v>
      </c>
    </row>
    <row r="14530" spans="1:19" ht="17.399999999999999">
      <c r="A14530" s="549"/>
      <c r="B14530" s="549"/>
      <c r="C14530" s="549"/>
      <c r="D14530" s="549"/>
      <c r="E14530" s="549"/>
      <c r="F14530" s="549"/>
      <c r="G14530" s="549" t="s">
        <v>21</v>
      </c>
      <c r="H14530" s="549" t="s">
        <v>129</v>
      </c>
      <c r="I14530" s="558">
        <v>17.82</v>
      </c>
      <c r="J14530" s="567">
        <v>12</v>
      </c>
      <c r="K14530" s="648">
        <v>84</v>
      </c>
      <c r="L14530" s="552">
        <f>(I14530*J14530*K14530/1000)</f>
        <v>17.96256</v>
      </c>
      <c r="M14530" s="549"/>
      <c r="N14530" s="549"/>
      <c r="O14530" s="549"/>
      <c r="P14530" s="549"/>
      <c r="Q14530" s="497">
        <f>18+18+15+15</f>
        <v>66</v>
      </c>
      <c r="R14530" s="126">
        <f t="shared" si="2898"/>
        <v>14.113440000000001</v>
      </c>
    </row>
    <row r="14531" spans="1:19" ht="17.399999999999999">
      <c r="A14531" s="549"/>
      <c r="B14531" s="549"/>
      <c r="C14531" s="549"/>
      <c r="D14531" s="549"/>
      <c r="E14531" s="549"/>
      <c r="F14531" s="549"/>
      <c r="G14531" s="549"/>
      <c r="H14531" s="549"/>
      <c r="I14531" s="558"/>
      <c r="J14531" s="567"/>
      <c r="K14531" s="648">
        <f t="shared" ref="K14531" si="2899">SUM(K14528:K14530)</f>
        <v>108</v>
      </c>
      <c r="L14531" s="567">
        <f>SUM(L14528:L14530)</f>
        <v>22.495967999999998</v>
      </c>
      <c r="M14531" s="549"/>
      <c r="N14531" s="549"/>
      <c r="O14531" s="549"/>
      <c r="P14531" s="549" t="s">
        <v>1740</v>
      </c>
      <c r="Q14531" s="648">
        <f t="shared" ref="Q14531" si="2900">SUM(Q14528:Q14530)</f>
        <v>82</v>
      </c>
      <c r="R14531" s="567">
        <f>SUM(R14528:R14530)</f>
        <v>16.964639999999999</v>
      </c>
    </row>
    <row r="14532" spans="1:19" ht="17.399999999999999">
      <c r="A14532" s="549"/>
      <c r="B14532" s="549"/>
      <c r="C14532" s="549"/>
      <c r="D14532" s="549"/>
      <c r="E14532" s="549"/>
      <c r="F14532" s="549"/>
      <c r="G14532" s="549"/>
      <c r="H14532" s="549"/>
      <c r="I14532" s="558"/>
      <c r="J14532" s="549"/>
      <c r="K14532" s="561"/>
      <c r="L14532" s="560"/>
      <c r="M14532" s="549"/>
      <c r="N14532" s="549"/>
      <c r="O14532" s="549"/>
      <c r="P14532" s="549"/>
    </row>
    <row r="14533" spans="1:19" ht="17.399999999999999">
      <c r="A14533" s="547" t="s">
        <v>481</v>
      </c>
      <c r="B14533" s="547" t="s">
        <v>1728</v>
      </c>
      <c r="C14533" s="547" t="s">
        <v>19</v>
      </c>
      <c r="D14533" s="813" t="s">
        <v>854</v>
      </c>
      <c r="E14533" s="559" t="s">
        <v>878</v>
      </c>
      <c r="F14533" s="550">
        <v>14</v>
      </c>
      <c r="G14533" s="549" t="s">
        <v>21</v>
      </c>
      <c r="H14533" s="599" t="s">
        <v>129</v>
      </c>
      <c r="I14533" s="558">
        <v>17.899999999999999</v>
      </c>
      <c r="J14533" s="710">
        <v>9.4</v>
      </c>
      <c r="K14533" s="648">
        <v>10</v>
      </c>
      <c r="L14533" s="552">
        <f>(I14533*J14533*K14533/1000)</f>
        <v>1.6825999999999999</v>
      </c>
      <c r="M14533" s="549"/>
      <c r="N14533" s="549"/>
      <c r="O14533" s="549"/>
      <c r="P14533" s="549"/>
      <c r="Q14533" s="1737" t="s">
        <v>1798</v>
      </c>
    </row>
    <row r="14534" spans="1:19" ht="17.399999999999999">
      <c r="A14534" s="549"/>
      <c r="B14534" s="1802" t="s">
        <v>1729</v>
      </c>
      <c r="C14534" s="549"/>
      <c r="D14534" s="549"/>
      <c r="E14534" s="549"/>
      <c r="F14534" s="549"/>
      <c r="G14534" s="549"/>
      <c r="H14534" s="650"/>
      <c r="I14534" s="558"/>
      <c r="J14534" s="710"/>
      <c r="K14534" s="648">
        <f>SUM(K14533:K14533)</f>
        <v>10</v>
      </c>
      <c r="L14534" s="765">
        <f>SUM(L14533:L14533)</f>
        <v>1.6825999999999999</v>
      </c>
      <c r="M14534" s="549"/>
      <c r="N14534" s="549"/>
      <c r="O14534" s="549"/>
      <c r="P14534" s="549" t="s">
        <v>1741</v>
      </c>
    </row>
    <row r="14535" spans="1:19" ht="17.399999999999999">
      <c r="A14535" s="549"/>
      <c r="B14535" s="549"/>
      <c r="C14535" s="549"/>
      <c r="D14535" s="549"/>
      <c r="E14535" s="549"/>
      <c r="F14535" s="549"/>
      <c r="G14535" s="549"/>
      <c r="H14535" s="549"/>
      <c r="I14535" s="558"/>
      <c r="J14535" s="549"/>
      <c r="K14535" s="652">
        <f>SUM(K14528:K14534)/2</f>
        <v>118</v>
      </c>
      <c r="L14535" s="565">
        <f>SUM(L14528:L14534)/2</f>
        <v>24.178567999999999</v>
      </c>
      <c r="M14535" s="549"/>
      <c r="N14535" s="549"/>
      <c r="O14535" s="549"/>
      <c r="P14535" s="549"/>
      <c r="Q14535" s="652">
        <f>SUM(Q14528:Q14534)/2</f>
        <v>82</v>
      </c>
      <c r="R14535" s="565">
        <f>SUM(R14528:R14534)/2</f>
        <v>16.964639999999999</v>
      </c>
    </row>
    <row r="14536" spans="1:19" ht="17.399999999999999">
      <c r="A14536" s="549"/>
      <c r="B14536" s="549"/>
      <c r="C14536" s="549"/>
      <c r="D14536" s="549"/>
      <c r="E14536" s="549"/>
      <c r="F14536" s="549"/>
      <c r="G14536" s="549"/>
      <c r="H14536" s="549"/>
      <c r="I14536" s="558"/>
      <c r="J14536" s="549"/>
      <c r="K14536" s="561"/>
      <c r="L14536" s="560"/>
      <c r="M14536" s="549"/>
      <c r="N14536" s="549"/>
      <c r="O14536" s="549"/>
      <c r="P14536" s="549"/>
    </row>
    <row r="14537" spans="1:19" s="1737" customFormat="1" ht="17.399999999999999">
      <c r="A14537" s="549"/>
      <c r="B14537" s="549"/>
      <c r="C14537" s="549"/>
      <c r="D14537" s="549"/>
      <c r="E14537" s="549"/>
      <c r="F14537" s="549"/>
      <c r="G14537" s="549"/>
      <c r="H14537" s="549"/>
      <c r="I14537" s="558"/>
      <c r="J14537" s="567"/>
      <c r="K14537" s="648"/>
      <c r="L14537" s="567"/>
      <c r="M14537" s="549"/>
      <c r="N14537" s="549"/>
      <c r="O14537" s="549"/>
      <c r="P14537" s="549"/>
    </row>
    <row r="14538" spans="1:19" ht="17.399999999999999">
      <c r="A14538" s="549"/>
      <c r="B14538" s="549"/>
      <c r="C14538" s="549"/>
      <c r="D14538" s="549"/>
      <c r="E14538" s="549"/>
      <c r="F14538" s="549"/>
      <c r="G14538" s="549"/>
      <c r="H14538" s="549"/>
      <c r="I14538" s="558"/>
      <c r="J14538" s="549"/>
      <c r="K14538" s="561"/>
      <c r="L14538" s="560"/>
      <c r="M14538" s="549"/>
      <c r="N14538" s="549"/>
      <c r="O14538" s="549"/>
      <c r="P14538" s="549"/>
    </row>
    <row r="14539" spans="1:19" ht="17.399999999999999">
      <c r="A14539" s="547" t="s">
        <v>272</v>
      </c>
      <c r="B14539" s="547" t="s">
        <v>1664</v>
      </c>
      <c r="C14539" s="547" t="s">
        <v>446</v>
      </c>
      <c r="D14539" s="813" t="s">
        <v>447</v>
      </c>
      <c r="E14539" s="547" t="s">
        <v>359</v>
      </c>
      <c r="F14539" s="550">
        <v>14</v>
      </c>
      <c r="G14539" s="549" t="s">
        <v>21</v>
      </c>
      <c r="H14539" s="599" t="s">
        <v>128</v>
      </c>
      <c r="I14539" s="558">
        <v>15.92</v>
      </c>
      <c r="J14539" s="567">
        <v>6.6</v>
      </c>
      <c r="K14539" s="648">
        <v>24</v>
      </c>
      <c r="L14539" s="552">
        <f t="shared" ref="L14539:L14542" si="2901">(I14539*J14539*K14539/1000)</f>
        <v>2.5217279999999995</v>
      </c>
      <c r="M14539" s="549"/>
      <c r="N14539" s="549"/>
      <c r="O14539" s="549"/>
      <c r="P14539" s="549"/>
      <c r="Q14539" s="497">
        <v>13</v>
      </c>
      <c r="R14539" s="126">
        <f>J14539*Q14539*I14539/1000</f>
        <v>1.3659359999999998</v>
      </c>
      <c r="S14539" s="1737" t="s">
        <v>1797</v>
      </c>
    </row>
    <row r="14540" spans="1:19" ht="17.399999999999999">
      <c r="A14540" s="549"/>
      <c r="B14540" s="549"/>
      <c r="C14540" s="549"/>
      <c r="D14540" s="549"/>
      <c r="E14540" s="549"/>
      <c r="F14540" s="549"/>
      <c r="G14540" s="549" t="s">
        <v>21</v>
      </c>
      <c r="H14540" s="549" t="s">
        <v>128</v>
      </c>
      <c r="I14540" s="558">
        <v>15.92</v>
      </c>
      <c r="J14540" s="567">
        <v>7.1</v>
      </c>
      <c r="K14540" s="648">
        <v>72</v>
      </c>
      <c r="L14540" s="552">
        <f t="shared" si="2901"/>
        <v>8.1383039999999998</v>
      </c>
      <c r="M14540" s="549"/>
      <c r="N14540" s="549"/>
      <c r="O14540" s="549"/>
      <c r="P14540" s="549"/>
      <c r="Q14540" s="497">
        <v>19</v>
      </c>
      <c r="R14540" s="126">
        <f t="shared" ref="R14540:R14542" si="2902">J14540*Q14540*I14540/1000</f>
        <v>2.147608</v>
      </c>
    </row>
    <row r="14541" spans="1:19" ht="17.399999999999999">
      <c r="A14541" s="549"/>
      <c r="B14541" s="549"/>
      <c r="C14541" s="549"/>
      <c r="D14541" s="549"/>
      <c r="E14541" s="549"/>
      <c r="F14541" s="549"/>
      <c r="G14541" s="549" t="s">
        <v>21</v>
      </c>
      <c r="H14541" s="549" t="s">
        <v>128</v>
      </c>
      <c r="I14541" s="558">
        <v>15.92</v>
      </c>
      <c r="J14541" s="567">
        <v>7.6</v>
      </c>
      <c r="K14541" s="648">
        <v>24</v>
      </c>
      <c r="L14541" s="552">
        <f t="shared" si="2901"/>
        <v>2.9038080000000002</v>
      </c>
      <c r="M14541" s="549"/>
      <c r="N14541" s="549"/>
      <c r="O14541" s="549"/>
      <c r="P14541" s="549"/>
      <c r="Q14541" s="497">
        <v>24</v>
      </c>
      <c r="R14541" s="126">
        <f t="shared" si="2902"/>
        <v>2.9038079999999997</v>
      </c>
    </row>
    <row r="14542" spans="1:19" ht="17.399999999999999">
      <c r="A14542" s="549"/>
      <c r="B14542" s="549"/>
      <c r="C14542" s="549"/>
      <c r="D14542" s="549"/>
      <c r="E14542" s="549"/>
      <c r="F14542" s="549"/>
      <c r="G14542" s="549" t="s">
        <v>21</v>
      </c>
      <c r="H14542" s="549" t="s">
        <v>128</v>
      </c>
      <c r="I14542" s="558">
        <v>15.92</v>
      </c>
      <c r="J14542" s="567">
        <v>11.9</v>
      </c>
      <c r="K14542" s="648">
        <v>60</v>
      </c>
      <c r="L14542" s="552">
        <f t="shared" si="2901"/>
        <v>11.366880000000002</v>
      </c>
      <c r="M14542" s="549"/>
      <c r="N14542" s="549"/>
      <c r="O14542" s="549"/>
      <c r="P14542" s="549"/>
      <c r="Q14542" s="497">
        <f>18+18+11</f>
        <v>47</v>
      </c>
      <c r="R14542" s="126">
        <f t="shared" si="2902"/>
        <v>8.9040560000000006</v>
      </c>
    </row>
    <row r="14543" spans="1:19" ht="17.399999999999999">
      <c r="A14543" s="549"/>
      <c r="B14543" s="549"/>
      <c r="C14543" s="549"/>
      <c r="D14543" s="549"/>
      <c r="E14543" s="549"/>
      <c r="F14543" s="549"/>
      <c r="G14543" s="549"/>
      <c r="H14543" s="549"/>
      <c r="I14543" s="558"/>
      <c r="J14543" s="567"/>
      <c r="K14543" s="648">
        <f t="shared" ref="K14543:L14543" si="2903">SUM(K14539:K14542)</f>
        <v>180</v>
      </c>
      <c r="L14543" s="567">
        <f t="shared" si="2903"/>
        <v>24.930720000000001</v>
      </c>
      <c r="M14543" s="549"/>
      <c r="N14543" s="549"/>
      <c r="O14543" s="549"/>
      <c r="P14543" s="549"/>
      <c r="Q14543" s="648">
        <f t="shared" ref="Q14543:R14543" si="2904">SUM(Q14539:Q14542)</f>
        <v>103</v>
      </c>
      <c r="R14543" s="567">
        <f t="shared" si="2904"/>
        <v>15.321408</v>
      </c>
    </row>
    <row r="14544" spans="1:19" ht="17.399999999999999">
      <c r="A14544" s="549"/>
      <c r="B14544" s="549"/>
      <c r="C14544" s="549"/>
      <c r="D14544" s="549"/>
      <c r="E14544" s="549"/>
      <c r="F14544" s="549"/>
      <c r="G14544" s="549"/>
      <c r="H14544" s="549"/>
      <c r="I14544" s="558"/>
      <c r="J14544" s="549"/>
      <c r="K14544" s="561"/>
      <c r="L14544" s="560"/>
      <c r="M14544" s="549"/>
      <c r="N14544" s="549"/>
      <c r="O14544" s="549"/>
      <c r="P14544" s="549"/>
    </row>
    <row r="14545" spans="1:19" ht="17.399999999999999">
      <c r="A14545" s="547" t="s">
        <v>272</v>
      </c>
      <c r="B14545" s="547" t="s">
        <v>1665</v>
      </c>
      <c r="C14545" s="547" t="s">
        <v>446</v>
      </c>
      <c r="D14545" s="813" t="s">
        <v>447</v>
      </c>
      <c r="E14545" s="547" t="s">
        <v>359</v>
      </c>
      <c r="F14545" s="550">
        <v>14</v>
      </c>
      <c r="G14545" s="549" t="s">
        <v>21</v>
      </c>
      <c r="H14545" s="599" t="s">
        <v>128</v>
      </c>
      <c r="I14545" s="558">
        <v>15.92</v>
      </c>
      <c r="J14545" s="567">
        <v>6.3</v>
      </c>
      <c r="K14545" s="648">
        <v>84</v>
      </c>
      <c r="L14545" s="552">
        <f t="shared" ref="L14545:L14547" si="2905">(I14545*J14545*K14545/1000)</f>
        <v>8.4248639999999995</v>
      </c>
      <c r="M14545" s="549"/>
      <c r="N14545" s="549"/>
      <c r="O14545" s="549"/>
      <c r="P14545" s="549"/>
      <c r="Q14545" s="497">
        <f>20+20+16</f>
        <v>56</v>
      </c>
      <c r="R14545" s="126">
        <f t="shared" ref="R14545:R14547" si="2906">J14545*Q14545*I14545/1000</f>
        <v>5.6165760000000002</v>
      </c>
      <c r="S14545" s="1737" t="s">
        <v>1797</v>
      </c>
    </row>
    <row r="14546" spans="1:19" ht="17.399999999999999">
      <c r="A14546" s="549"/>
      <c r="B14546" s="549"/>
      <c r="C14546" s="549"/>
      <c r="D14546" s="549"/>
      <c r="E14546" s="549"/>
      <c r="F14546" s="549"/>
      <c r="G14546" s="549" t="s">
        <v>21</v>
      </c>
      <c r="H14546" s="549" t="s">
        <v>128</v>
      </c>
      <c r="I14546" s="558">
        <v>15.92</v>
      </c>
      <c r="J14546" s="567">
        <v>7.2</v>
      </c>
      <c r="K14546" s="648">
        <v>42</v>
      </c>
      <c r="L14546" s="552">
        <f t="shared" si="2905"/>
        <v>4.8142079999999998</v>
      </c>
      <c r="M14546" s="549"/>
      <c r="N14546" s="549"/>
      <c r="O14546" s="549"/>
      <c r="P14546" s="549"/>
      <c r="Q14546" s="497">
        <f>20+16</f>
        <v>36</v>
      </c>
      <c r="R14546" s="126">
        <f t="shared" si="2906"/>
        <v>4.1264640000000004</v>
      </c>
    </row>
    <row r="14547" spans="1:19" ht="17.399999999999999">
      <c r="A14547" s="549"/>
      <c r="B14547" s="549"/>
      <c r="C14547" s="549"/>
      <c r="D14547" s="549"/>
      <c r="E14547" s="549"/>
      <c r="F14547" s="549"/>
      <c r="G14547" s="549" t="s">
        <v>21</v>
      </c>
      <c r="H14547" s="549" t="s">
        <v>128</v>
      </c>
      <c r="I14547" s="558">
        <v>15.92</v>
      </c>
      <c r="J14547" s="567">
        <v>11</v>
      </c>
      <c r="K14547" s="648">
        <v>26</v>
      </c>
      <c r="L14547" s="552">
        <f t="shared" si="2905"/>
        <v>4.5531199999999998</v>
      </c>
      <c r="M14547" s="549"/>
      <c r="N14547" s="549"/>
      <c r="O14547" s="549"/>
      <c r="P14547" s="549"/>
      <c r="Q14547" s="497">
        <f>18+8</f>
        <v>26</v>
      </c>
      <c r="R14547" s="126">
        <f t="shared" si="2906"/>
        <v>4.5531199999999998</v>
      </c>
    </row>
    <row r="14548" spans="1:19" ht="17.399999999999999">
      <c r="A14548" s="549"/>
      <c r="B14548" s="549"/>
      <c r="C14548" s="549"/>
      <c r="D14548" s="549"/>
      <c r="E14548" s="549"/>
      <c r="F14548" s="549"/>
      <c r="G14548" s="549"/>
      <c r="H14548" s="549"/>
      <c r="I14548" s="558"/>
      <c r="J14548" s="567"/>
      <c r="K14548" s="648">
        <f t="shared" ref="K14548:L14548" si="2907">SUM(K14545:K14547)</f>
        <v>152</v>
      </c>
      <c r="L14548" s="567">
        <f t="shared" si="2907"/>
        <v>17.792192</v>
      </c>
      <c r="M14548" s="549"/>
      <c r="N14548" s="549"/>
      <c r="O14548" s="549"/>
      <c r="P14548" s="549"/>
      <c r="Q14548" s="648">
        <f t="shared" ref="Q14548" si="2908">SUM(Q14545:Q14547)</f>
        <v>118</v>
      </c>
      <c r="R14548" s="567">
        <f>SUM(R14545:R14547)</f>
        <v>14.29616</v>
      </c>
    </row>
    <row r="14549" spans="1:19" ht="17.399999999999999">
      <c r="A14549" s="549"/>
      <c r="B14549" s="549"/>
      <c r="C14549" s="549"/>
      <c r="D14549" s="549"/>
      <c r="E14549" s="549"/>
      <c r="F14549" s="549"/>
      <c r="G14549" s="549"/>
      <c r="H14549" s="549"/>
      <c r="I14549" s="558"/>
      <c r="J14549" s="549"/>
      <c r="K14549" s="652">
        <f>SUM(K14539:K14548)/2</f>
        <v>332</v>
      </c>
      <c r="L14549" s="565">
        <f>SUM(L14539:L14548)/2</f>
        <v>42.722912000000001</v>
      </c>
      <c r="M14549" s="549"/>
      <c r="N14549" s="549"/>
      <c r="O14549" s="549"/>
      <c r="P14549" s="549" t="s">
        <v>1742</v>
      </c>
      <c r="Q14549" s="652">
        <f>SUM(Q14539:Q14548)/2</f>
        <v>221</v>
      </c>
      <c r="R14549" s="565">
        <f>SUM(R14539:R14548)/2</f>
        <v>29.617567999999999</v>
      </c>
    </row>
    <row r="14550" spans="1:19" ht="17.399999999999999">
      <c r="A14550" s="549"/>
      <c r="B14550" s="549"/>
      <c r="C14550" s="549"/>
      <c r="D14550" s="549"/>
      <c r="E14550" s="549"/>
      <c r="F14550" s="549"/>
      <c r="G14550" s="549"/>
      <c r="H14550" s="549"/>
      <c r="I14550" s="558"/>
      <c r="J14550" s="549"/>
      <c r="K14550" s="561"/>
      <c r="L14550" s="560"/>
      <c r="M14550" s="549"/>
      <c r="N14550" s="549"/>
      <c r="O14550" s="549"/>
      <c r="P14550" s="549"/>
    </row>
    <row r="14551" spans="1:19" ht="17.399999999999999">
      <c r="A14551" s="549"/>
      <c r="B14551" s="549"/>
      <c r="C14551" s="549"/>
      <c r="D14551" s="549"/>
      <c r="E14551" s="549"/>
      <c r="F14551" s="549"/>
      <c r="G14551" s="549"/>
      <c r="H14551" s="549"/>
      <c r="I14551" s="558"/>
      <c r="J14551" s="549"/>
      <c r="K14551" s="561"/>
      <c r="L14551" s="560"/>
      <c r="M14551" s="549"/>
      <c r="N14551" s="549"/>
      <c r="O14551" s="549"/>
      <c r="P14551" s="549"/>
    </row>
    <row r="14552" spans="1:19" ht="17.399999999999999">
      <c r="A14552" s="547" t="s">
        <v>272</v>
      </c>
      <c r="B14552" s="547" t="s">
        <v>1665</v>
      </c>
      <c r="C14552" s="547" t="s">
        <v>446</v>
      </c>
      <c r="D14552" s="813" t="s">
        <v>450</v>
      </c>
      <c r="E14552" s="547" t="s">
        <v>270</v>
      </c>
      <c r="F14552" s="550">
        <v>14</v>
      </c>
      <c r="G14552" s="549" t="s">
        <v>61</v>
      </c>
      <c r="H14552" s="599" t="s">
        <v>128</v>
      </c>
      <c r="I14552" s="558">
        <v>15.92</v>
      </c>
      <c r="J14552" s="567">
        <v>6.15</v>
      </c>
      <c r="K14552" s="648">
        <v>60</v>
      </c>
      <c r="L14552" s="552">
        <f t="shared" ref="L14552:L14553" si="2909">(I14552*J14552*K14552/1000)</f>
        <v>5.8744800000000001</v>
      </c>
      <c r="M14552" s="549">
        <f>7+3</f>
        <v>10</v>
      </c>
      <c r="N14552" s="567">
        <f>J14552*M14552*I14552/1000</f>
        <v>0.97908000000000006</v>
      </c>
      <c r="O14552" s="549"/>
      <c r="P14552" s="549"/>
      <c r="R14552" s="497">
        <v>-3</v>
      </c>
      <c r="S14552" s="1737" t="s">
        <v>1812</v>
      </c>
    </row>
    <row r="14553" spans="1:19" ht="17.399999999999999">
      <c r="A14553" s="549"/>
      <c r="B14553" s="549"/>
      <c r="C14553" s="549"/>
      <c r="D14553" s="549"/>
      <c r="E14553" s="549"/>
      <c r="F14553" s="549"/>
      <c r="G14553" s="549" t="s">
        <v>61</v>
      </c>
      <c r="H14553" s="549" t="s">
        <v>128</v>
      </c>
      <c r="I14553" s="558">
        <v>15.92</v>
      </c>
      <c r="J14553" s="567">
        <v>11.8</v>
      </c>
      <c r="K14553" s="648">
        <v>30</v>
      </c>
      <c r="L14553" s="552">
        <f t="shared" si="2909"/>
        <v>5.6356800000000007</v>
      </c>
      <c r="M14553" s="549"/>
      <c r="N14553" s="549">
        <f>J14553*M14553*I14553/1000</f>
        <v>0</v>
      </c>
      <c r="O14553" s="549"/>
      <c r="P14553" s="549"/>
    </row>
    <row r="14554" spans="1:19" ht="17.399999999999999">
      <c r="A14554" s="549"/>
      <c r="B14554" s="549"/>
      <c r="C14554" s="549"/>
      <c r="D14554" s="549"/>
      <c r="E14554" s="549"/>
      <c r="F14554" s="549"/>
      <c r="G14554" s="549"/>
      <c r="H14554" s="549"/>
      <c r="I14554" s="560"/>
      <c r="J14554" s="567"/>
      <c r="K14554" s="648">
        <f t="shared" ref="K14554:M14554" si="2910">SUM(K14552:K14553)</f>
        <v>90</v>
      </c>
      <c r="L14554" s="567">
        <f t="shared" si="2910"/>
        <v>11.510160000000001</v>
      </c>
      <c r="M14554" s="648">
        <f t="shared" si="2910"/>
        <v>10</v>
      </c>
      <c r="N14554" s="567">
        <f>SUM(N14552:N14553)</f>
        <v>0.97908000000000006</v>
      </c>
      <c r="O14554" s="549"/>
      <c r="P14554" s="549" t="s">
        <v>1743</v>
      </c>
    </row>
    <row r="14555" spans="1:19" ht="17.399999999999999">
      <c r="A14555" s="549"/>
      <c r="B14555" s="549"/>
      <c r="C14555" s="549"/>
      <c r="D14555" s="549"/>
      <c r="E14555" s="549"/>
      <c r="F14555" s="549"/>
      <c r="G14555" s="549"/>
      <c r="H14555" s="549"/>
      <c r="I14555" s="560"/>
      <c r="J14555" s="549"/>
      <c r="K14555" s="561"/>
      <c r="L14555" s="560"/>
      <c r="M14555" s="549"/>
      <c r="N14555" s="549"/>
      <c r="O14555" s="549"/>
      <c r="P14555" s="549"/>
    </row>
    <row r="14556" spans="1:19" ht="17.399999999999999">
      <c r="A14556" s="547" t="s">
        <v>395</v>
      </c>
      <c r="B14556" s="547" t="s">
        <v>1725</v>
      </c>
      <c r="C14556" s="547" t="s">
        <v>19</v>
      </c>
      <c r="D14556" s="813" t="s">
        <v>155</v>
      </c>
      <c r="E14556" s="547" t="s">
        <v>270</v>
      </c>
      <c r="F14556" s="550">
        <v>14</v>
      </c>
      <c r="G14556" s="549" t="s">
        <v>61</v>
      </c>
      <c r="H14556" s="599" t="s">
        <v>128</v>
      </c>
      <c r="I14556" s="558">
        <v>15.92</v>
      </c>
      <c r="J14556" s="567">
        <v>8.85</v>
      </c>
      <c r="K14556" s="648">
        <v>4</v>
      </c>
      <c r="L14556" s="552">
        <f>(I14556*J14556*K14556/1000)</f>
        <v>0.56356799999999996</v>
      </c>
      <c r="M14556" s="549"/>
      <c r="N14556" s="549">
        <f>J14556*M14556*I14556/1000</f>
        <v>0</v>
      </c>
      <c r="O14556" s="549"/>
      <c r="P14556" s="549"/>
      <c r="R14556" s="497">
        <v>3</v>
      </c>
      <c r="S14556" s="1737" t="s">
        <v>1812</v>
      </c>
    </row>
    <row r="14557" spans="1:19" ht="17.399999999999999">
      <c r="A14557" s="549"/>
      <c r="B14557" s="1605" t="s">
        <v>1726</v>
      </c>
      <c r="C14557" s="549"/>
      <c r="D14557" s="549"/>
      <c r="E14557" s="549"/>
      <c r="F14557" s="549"/>
      <c r="G14557" s="549"/>
      <c r="H14557" s="549"/>
      <c r="I14557" s="558"/>
      <c r="J14557" s="567"/>
      <c r="K14557" s="648">
        <f t="shared" ref="K14557:N14557" si="2911">SUM(K14556)</f>
        <v>4</v>
      </c>
      <c r="L14557" s="567">
        <f t="shared" si="2911"/>
        <v>0.56356799999999996</v>
      </c>
      <c r="M14557" s="648">
        <f t="shared" si="2911"/>
        <v>0</v>
      </c>
      <c r="N14557" s="567">
        <f t="shared" si="2911"/>
        <v>0</v>
      </c>
      <c r="O14557" s="549"/>
      <c r="P14557" s="549" t="s">
        <v>1744</v>
      </c>
    </row>
    <row r="14558" spans="1:19" ht="17.399999999999999">
      <c r="A14558" s="549"/>
      <c r="B14558" s="549"/>
      <c r="C14558" s="549"/>
      <c r="D14558" s="549"/>
      <c r="E14558" s="549"/>
      <c r="F14558" s="549"/>
      <c r="G14558" s="549"/>
      <c r="H14558" s="549"/>
      <c r="I14558" s="558"/>
      <c r="J14558" s="549"/>
      <c r="K14558" s="652">
        <f>SUM(K14552:K14557)/2</f>
        <v>94</v>
      </c>
      <c r="L14558" s="565">
        <f>SUM(L14552:L14557)/2</f>
        <v>12.073728000000001</v>
      </c>
      <c r="M14558" s="652">
        <f>SUM(M14552:M14557)/2</f>
        <v>10</v>
      </c>
      <c r="N14558" s="565">
        <f>SUM(N14552:N14557)/2</f>
        <v>0.97908000000000006</v>
      </c>
      <c r="O14558" s="549"/>
      <c r="P14558" s="549"/>
    </row>
    <row r="14559" spans="1:19" s="1737" customFormat="1" ht="17.399999999999999">
      <c r="A14559" s="549"/>
      <c r="B14559" s="549"/>
      <c r="C14559" s="549"/>
      <c r="D14559" s="549"/>
      <c r="E14559" s="549"/>
      <c r="F14559" s="549"/>
      <c r="G14559" s="549"/>
      <c r="H14559" s="549"/>
      <c r="I14559" s="558"/>
      <c r="J14559" s="549"/>
      <c r="K14559" s="652"/>
      <c r="L14559" s="565"/>
      <c r="M14559" s="549"/>
      <c r="N14559" s="549"/>
      <c r="O14559" s="549"/>
      <c r="P14559" s="549"/>
    </row>
    <row r="14560" spans="1:19" s="1737" customFormat="1" ht="17.399999999999999">
      <c r="A14560" s="549"/>
      <c r="B14560" s="549"/>
      <c r="C14560" s="549"/>
      <c r="D14560" s="549"/>
      <c r="E14560" s="549"/>
      <c r="F14560" s="549"/>
      <c r="G14560" s="549"/>
      <c r="H14560" s="549"/>
      <c r="I14560" s="558"/>
      <c r="J14560" s="549"/>
      <c r="K14560" s="652"/>
      <c r="L14560" s="565"/>
      <c r="M14560" s="549"/>
      <c r="N14560" s="549"/>
      <c r="O14560" s="549"/>
      <c r="P14560" s="549"/>
    </row>
    <row r="14561" spans="1:17" s="1737" customFormat="1" ht="17.399999999999999">
      <c r="A14561" s="549"/>
      <c r="B14561" s="549"/>
      <c r="C14561" s="549"/>
      <c r="D14561" s="549"/>
      <c r="E14561" s="549"/>
      <c r="F14561" s="549"/>
      <c r="G14561" s="549"/>
      <c r="H14561" s="549"/>
      <c r="I14561" s="558"/>
      <c r="J14561" s="549"/>
      <c r="K14561" s="652"/>
      <c r="L14561" s="565"/>
      <c r="M14561" s="549"/>
      <c r="N14561" s="549"/>
      <c r="O14561" s="549"/>
      <c r="P14561" s="549"/>
    </row>
    <row r="14562" spans="1:17" s="1737" customFormat="1" ht="17.399999999999999">
      <c r="A14562" s="549"/>
      <c r="B14562" s="549"/>
      <c r="C14562" s="549"/>
      <c r="D14562" s="549"/>
      <c r="E14562" s="549"/>
      <c r="F14562" s="549"/>
      <c r="G14562" s="549"/>
      <c r="H14562" s="549"/>
      <c r="I14562" s="558"/>
      <c r="J14562" s="567"/>
      <c r="K14562" s="648"/>
      <c r="L14562" s="567"/>
      <c r="M14562" s="549"/>
      <c r="N14562" s="549"/>
      <c r="O14562" s="549"/>
      <c r="P14562" s="549"/>
    </row>
    <row r="14563" spans="1:17" s="1737" customFormat="1" ht="17.399999999999999">
      <c r="A14563" s="547" t="s">
        <v>395</v>
      </c>
      <c r="B14563" s="852" t="s">
        <v>1745</v>
      </c>
      <c r="C14563" s="547" t="s">
        <v>19</v>
      </c>
      <c r="D14563" s="813" t="s">
        <v>854</v>
      </c>
      <c r="E14563" s="547" t="s">
        <v>359</v>
      </c>
      <c r="F14563" s="550">
        <v>14</v>
      </c>
      <c r="G14563" s="549" t="s">
        <v>21</v>
      </c>
      <c r="H14563" s="599" t="s">
        <v>126</v>
      </c>
      <c r="I14563" s="558">
        <v>23.45</v>
      </c>
      <c r="J14563" s="567">
        <v>6.75</v>
      </c>
      <c r="K14563" s="648">
        <v>2</v>
      </c>
      <c r="L14563" s="552">
        <f t="shared" ref="L14563:L14567" si="2912">(I14563*J14563*K14563/1000)</f>
        <v>0.316575</v>
      </c>
      <c r="M14563" s="549"/>
      <c r="N14563" s="549"/>
      <c r="O14563" s="549"/>
      <c r="P14563" s="549"/>
      <c r="Q14563" s="1737" t="s">
        <v>1786</v>
      </c>
    </row>
    <row r="14564" spans="1:17" s="1737" customFormat="1" ht="17.399999999999999">
      <c r="A14564" s="549"/>
      <c r="B14564" s="549" t="s">
        <v>1027</v>
      </c>
      <c r="C14564" s="549"/>
      <c r="D14564" s="549"/>
      <c r="E14564" s="549"/>
      <c r="F14564" s="549"/>
      <c r="G14564" s="549" t="s">
        <v>21</v>
      </c>
      <c r="H14564" s="549" t="s">
        <v>126</v>
      </c>
      <c r="I14564" s="558">
        <v>23.45</v>
      </c>
      <c r="J14564" s="567">
        <v>9.6</v>
      </c>
      <c r="K14564" s="648">
        <v>3</v>
      </c>
      <c r="L14564" s="552">
        <f t="shared" si="2912"/>
        <v>0.67535999999999985</v>
      </c>
      <c r="M14564" s="549"/>
      <c r="N14564" s="549"/>
      <c r="O14564" s="549"/>
      <c r="P14564" s="549"/>
    </row>
    <row r="14565" spans="1:17" s="1737" customFormat="1" ht="17.399999999999999">
      <c r="A14565" s="549"/>
      <c r="B14565" s="549"/>
      <c r="C14565" s="549"/>
      <c r="D14565" s="549"/>
      <c r="E14565" s="549"/>
      <c r="F14565" s="549"/>
      <c r="G14565" s="549" t="s">
        <v>21</v>
      </c>
      <c r="H14565" s="549" t="s">
        <v>126</v>
      </c>
      <c r="I14565" s="558">
        <v>23.45</v>
      </c>
      <c r="J14565" s="567">
        <v>10</v>
      </c>
      <c r="K14565" s="648">
        <v>2</v>
      </c>
      <c r="L14565" s="552">
        <f t="shared" si="2912"/>
        <v>0.46899999999999997</v>
      </c>
      <c r="M14565" s="549"/>
      <c r="N14565" s="549"/>
      <c r="O14565" s="549"/>
      <c r="P14565" s="549"/>
    </row>
    <row r="14566" spans="1:17" s="1737" customFormat="1" ht="17.399999999999999">
      <c r="A14566" s="549"/>
      <c r="B14566" s="549"/>
      <c r="C14566" s="549"/>
      <c r="D14566" s="549"/>
      <c r="E14566" s="549"/>
      <c r="F14566" s="549"/>
      <c r="G14566" s="549" t="s">
        <v>21</v>
      </c>
      <c r="H14566" s="549" t="s">
        <v>126</v>
      </c>
      <c r="I14566" s="558">
        <v>23.45</v>
      </c>
      <c r="J14566" s="567">
        <v>11</v>
      </c>
      <c r="K14566" s="648">
        <v>4</v>
      </c>
      <c r="L14566" s="552">
        <f t="shared" si="2912"/>
        <v>1.0318000000000001</v>
      </c>
      <c r="M14566" s="549"/>
      <c r="N14566" s="549"/>
      <c r="O14566" s="549"/>
      <c r="P14566" s="549"/>
    </row>
    <row r="14567" spans="1:17" s="1737" customFormat="1" ht="17.399999999999999">
      <c r="A14567" s="549"/>
      <c r="B14567" s="549"/>
      <c r="C14567" s="549"/>
      <c r="D14567" s="549"/>
      <c r="E14567" s="549"/>
      <c r="F14567" s="549"/>
      <c r="G14567" s="549" t="s">
        <v>21</v>
      </c>
      <c r="H14567" s="549" t="s">
        <v>126</v>
      </c>
      <c r="I14567" s="558">
        <v>23.45</v>
      </c>
      <c r="J14567" s="567">
        <v>12</v>
      </c>
      <c r="K14567" s="648">
        <v>2</v>
      </c>
      <c r="L14567" s="552">
        <f t="shared" si="2912"/>
        <v>0.56279999999999997</v>
      </c>
      <c r="M14567" s="549"/>
      <c r="N14567" s="549"/>
      <c r="O14567" s="549"/>
      <c r="P14567" s="549"/>
    </row>
    <row r="14568" spans="1:17" s="1737" customFormat="1" ht="17.399999999999999">
      <c r="A14568" s="549"/>
      <c r="B14568" s="549"/>
      <c r="C14568" s="549"/>
      <c r="D14568" s="549"/>
      <c r="E14568" s="549"/>
      <c r="F14568" s="549"/>
      <c r="G14568" s="549"/>
      <c r="H14568" s="549"/>
      <c r="I14568" s="558"/>
      <c r="J14568" s="567"/>
      <c r="K14568" s="648">
        <f t="shared" ref="K14568:L14568" si="2913">SUM(K14563:K14567)</f>
        <v>13</v>
      </c>
      <c r="L14568" s="567">
        <f t="shared" si="2913"/>
        <v>3.0555349999999999</v>
      </c>
      <c r="M14568" s="549"/>
      <c r="N14568" s="549"/>
      <c r="O14568" s="549"/>
      <c r="P14568" s="549" t="s">
        <v>1750</v>
      </c>
    </row>
    <row r="14569" spans="1:17" s="1737" customFormat="1" ht="17.399999999999999">
      <c r="A14569" s="549"/>
      <c r="B14569" s="549"/>
      <c r="C14569" s="549"/>
      <c r="D14569" s="549"/>
      <c r="E14569" s="549"/>
      <c r="F14569" s="549"/>
      <c r="G14569" s="549"/>
      <c r="H14569" s="549"/>
      <c r="I14569" s="558"/>
      <c r="J14569" s="549"/>
      <c r="K14569" s="652"/>
      <c r="L14569" s="565"/>
      <c r="M14569" s="549"/>
      <c r="N14569" s="549"/>
      <c r="O14569" s="549"/>
      <c r="P14569" s="549"/>
    </row>
    <row r="14570" spans="1:17" s="1737" customFormat="1" ht="17.399999999999999">
      <c r="A14570" s="547" t="s">
        <v>83</v>
      </c>
      <c r="B14570" s="547" t="s">
        <v>1746</v>
      </c>
      <c r="C14570" s="547" t="s">
        <v>19</v>
      </c>
      <c r="D14570" s="813" t="s">
        <v>854</v>
      </c>
      <c r="E14570" s="559" t="s">
        <v>878</v>
      </c>
      <c r="F14570" s="550">
        <v>14</v>
      </c>
      <c r="G14570" s="549" t="s">
        <v>21</v>
      </c>
      <c r="H14570" s="599" t="s">
        <v>126</v>
      </c>
      <c r="I14570" s="558">
        <v>23.6</v>
      </c>
      <c r="J14570" s="567">
        <v>10.3</v>
      </c>
      <c r="K14570" s="648">
        <v>2</v>
      </c>
      <c r="L14570" s="552">
        <f t="shared" ref="L14570:L14572" si="2914">(I14570*J14570*K14570/1000)</f>
        <v>0.48616000000000009</v>
      </c>
      <c r="M14570" s="549"/>
      <c r="N14570" s="549"/>
      <c r="O14570" s="549"/>
      <c r="P14570" s="549"/>
      <c r="Q14570" s="1737" t="s">
        <v>1786</v>
      </c>
    </row>
    <row r="14571" spans="1:17" s="1737" customFormat="1" ht="17.399999999999999">
      <c r="A14571" s="549"/>
      <c r="B14571" s="549" t="s">
        <v>1135</v>
      </c>
      <c r="C14571" s="549"/>
      <c r="D14571" s="549"/>
      <c r="E14571" s="549"/>
      <c r="F14571" s="549"/>
      <c r="G14571" s="549" t="s">
        <v>21</v>
      </c>
      <c r="H14571" s="549" t="s">
        <v>126</v>
      </c>
      <c r="I14571" s="558">
        <v>23.6</v>
      </c>
      <c r="J14571" s="567">
        <v>10.4</v>
      </c>
      <c r="K14571" s="648">
        <v>2</v>
      </c>
      <c r="L14571" s="552">
        <f t="shared" si="2914"/>
        <v>0.49088000000000004</v>
      </c>
      <c r="M14571" s="549"/>
      <c r="N14571" s="549"/>
      <c r="O14571" s="549"/>
      <c r="P14571" s="549"/>
    </row>
    <row r="14572" spans="1:17" s="1737" customFormat="1" ht="17.399999999999999">
      <c r="A14572" s="549"/>
      <c r="B14572" s="549"/>
      <c r="C14572" s="549"/>
      <c r="D14572" s="549"/>
      <c r="E14572" s="549"/>
      <c r="F14572" s="549"/>
      <c r="G14572" s="549" t="s">
        <v>21</v>
      </c>
      <c r="H14572" s="549" t="s">
        <v>126</v>
      </c>
      <c r="I14572" s="558">
        <v>23.6</v>
      </c>
      <c r="J14572" s="567">
        <v>11.5</v>
      </c>
      <c r="K14572" s="648">
        <v>11</v>
      </c>
      <c r="L14572" s="552">
        <f t="shared" si="2914"/>
        <v>2.9854000000000007</v>
      </c>
      <c r="M14572" s="549"/>
      <c r="N14572" s="549"/>
      <c r="O14572" s="549"/>
      <c r="P14572" s="549"/>
    </row>
    <row r="14573" spans="1:17" s="1737" customFormat="1" ht="17.399999999999999">
      <c r="A14573" s="549"/>
      <c r="B14573" s="549"/>
      <c r="C14573" s="549"/>
      <c r="D14573" s="549"/>
      <c r="E14573" s="549"/>
      <c r="F14573" s="549"/>
      <c r="G14573" s="549"/>
      <c r="H14573" s="549"/>
      <c r="I14573" s="558"/>
      <c r="J14573" s="567"/>
      <c r="K14573" s="648">
        <f t="shared" ref="K14573" si="2915">SUM(K14570:K14572)</f>
        <v>15</v>
      </c>
      <c r="L14573" s="567">
        <f>SUM(L14570:L14572)</f>
        <v>3.9624400000000009</v>
      </c>
      <c r="M14573" s="549"/>
      <c r="N14573" s="549"/>
      <c r="O14573" s="549"/>
      <c r="P14573" s="549" t="s">
        <v>1751</v>
      </c>
    </row>
    <row r="14574" spans="1:17" s="1737" customFormat="1" ht="17.399999999999999">
      <c r="A14574" s="549"/>
      <c r="B14574" s="549"/>
      <c r="C14574" s="549"/>
      <c r="D14574" s="549"/>
      <c r="E14574" s="549"/>
      <c r="F14574" s="549"/>
      <c r="G14574" s="549"/>
      <c r="H14574" s="549"/>
      <c r="I14574" s="558"/>
      <c r="J14574" s="567"/>
      <c r="K14574" s="648"/>
      <c r="L14574" s="567"/>
      <c r="M14574" s="549"/>
      <c r="N14574" s="549"/>
      <c r="O14574" s="549"/>
      <c r="P14574" s="549"/>
    </row>
    <row r="14575" spans="1:17" s="1737" customFormat="1" ht="17.399999999999999">
      <c r="A14575" s="547" t="s">
        <v>83</v>
      </c>
      <c r="B14575" s="547" t="s">
        <v>1748</v>
      </c>
      <c r="C14575" s="547" t="s">
        <v>19</v>
      </c>
      <c r="D14575" s="813" t="s">
        <v>854</v>
      </c>
      <c r="E14575" s="559" t="s">
        <v>367</v>
      </c>
      <c r="F14575" s="550">
        <v>14</v>
      </c>
      <c r="G14575" s="549" t="s">
        <v>21</v>
      </c>
      <c r="H14575" s="599" t="s">
        <v>126</v>
      </c>
      <c r="I14575" s="558">
        <v>23.6</v>
      </c>
      <c r="J14575" s="567">
        <v>10.3</v>
      </c>
      <c r="K14575" s="648">
        <v>12</v>
      </c>
      <c r="L14575" s="552">
        <f t="shared" ref="L14575:L14576" si="2916">(I14575*J14575*K14575/1000)</f>
        <v>2.9169600000000004</v>
      </c>
      <c r="M14575" s="549"/>
      <c r="N14575" s="549"/>
      <c r="O14575" s="549"/>
      <c r="P14575" s="549"/>
      <c r="Q14575" s="1737" t="s">
        <v>1786</v>
      </c>
    </row>
    <row r="14576" spans="1:17" s="1737" customFormat="1" ht="17.399999999999999">
      <c r="A14576" s="549"/>
      <c r="B14576" s="549" t="s">
        <v>52</v>
      </c>
      <c r="C14576" s="549"/>
      <c r="D14576" s="549"/>
      <c r="E14576" s="549"/>
      <c r="F14576" s="549"/>
      <c r="G14576" s="549" t="s">
        <v>21</v>
      </c>
      <c r="H14576" s="549" t="s">
        <v>126</v>
      </c>
      <c r="I14576" s="558">
        <v>23.6</v>
      </c>
      <c r="J14576" s="567">
        <v>10.4</v>
      </c>
      <c r="K14576" s="648">
        <v>120</v>
      </c>
      <c r="L14576" s="552">
        <f t="shared" si="2916"/>
        <v>29.452800000000003</v>
      </c>
      <c r="M14576" s="549"/>
      <c r="N14576" s="549"/>
      <c r="O14576" s="549"/>
      <c r="P14576" s="549"/>
    </row>
    <row r="14577" spans="1:17" s="1737" customFormat="1" ht="17.399999999999999">
      <c r="A14577" s="549"/>
      <c r="B14577" s="549"/>
      <c r="C14577" s="549"/>
      <c r="D14577" s="549"/>
      <c r="E14577" s="549"/>
      <c r="F14577" s="549"/>
      <c r="G14577" s="549"/>
      <c r="H14577" s="549"/>
      <c r="I14577" s="558"/>
      <c r="J14577" s="567"/>
      <c r="K14577" s="648">
        <f>SUM(K14575:K14576)</f>
        <v>132</v>
      </c>
      <c r="L14577" s="567">
        <f>SUM(L14575:L14576)</f>
        <v>32.369760000000007</v>
      </c>
      <c r="M14577" s="549"/>
      <c r="N14577" s="549"/>
      <c r="O14577" s="549"/>
      <c r="P14577" s="549" t="s">
        <v>1751</v>
      </c>
    </row>
    <row r="14578" spans="1:17" s="1737" customFormat="1" ht="17.399999999999999">
      <c r="A14578" s="549"/>
      <c r="B14578" s="549"/>
      <c r="C14578" s="549"/>
      <c r="D14578" s="549"/>
      <c r="E14578" s="549"/>
      <c r="F14578" s="549"/>
      <c r="G14578" s="549"/>
      <c r="H14578" s="549"/>
      <c r="I14578" s="558"/>
      <c r="J14578" s="567"/>
      <c r="K14578" s="648">
        <f>SUM(K14563:K14577)/2</f>
        <v>160</v>
      </c>
      <c r="L14578" s="567">
        <f>+L14577+L14573+L14568</f>
        <v>39.387735000000006</v>
      </c>
      <c r="M14578" s="648">
        <f>SUM(M14563:M14577)/2</f>
        <v>0</v>
      </c>
      <c r="N14578" s="567">
        <f>SUM(N14563:N14577)/2</f>
        <v>0</v>
      </c>
      <c r="O14578" s="549"/>
      <c r="P14578" s="549"/>
    </row>
    <row r="14579" spans="1:17" s="1737" customFormat="1" ht="17.399999999999999">
      <c r="A14579" s="549"/>
      <c r="B14579" s="549"/>
      <c r="C14579" s="549"/>
      <c r="D14579" s="549"/>
      <c r="E14579" s="549"/>
      <c r="F14579" s="549"/>
      <c r="G14579" s="549"/>
      <c r="H14579" s="549"/>
      <c r="I14579" s="558"/>
      <c r="J14579" s="567"/>
      <c r="K14579" s="648"/>
      <c r="L14579" s="567"/>
      <c r="M14579" s="648"/>
      <c r="N14579" s="567"/>
      <c r="O14579" s="549"/>
      <c r="P14579" s="549"/>
    </row>
    <row r="14580" spans="1:17" s="1737" customFormat="1" ht="17.399999999999999">
      <c r="A14580" s="549"/>
      <c r="B14580" s="549"/>
      <c r="C14580" s="549"/>
      <c r="D14580" s="549"/>
      <c r="E14580" s="549"/>
      <c r="F14580" s="549"/>
      <c r="G14580" s="549"/>
      <c r="H14580" s="549"/>
      <c r="I14580" s="558"/>
      <c r="J14580" s="549"/>
      <c r="K14580" s="652"/>
      <c r="L14580" s="565"/>
      <c r="M14580" s="549"/>
      <c r="N14580" s="549"/>
      <c r="O14580" s="549"/>
      <c r="P14580" s="549"/>
    </row>
    <row r="14581" spans="1:17" s="1737" customFormat="1" ht="17.399999999999999">
      <c r="A14581" s="547" t="s">
        <v>83</v>
      </c>
      <c r="B14581" s="547" t="s">
        <v>1746</v>
      </c>
      <c r="C14581" s="547" t="s">
        <v>19</v>
      </c>
      <c r="D14581" s="813" t="s">
        <v>854</v>
      </c>
      <c r="E14581" s="559" t="s">
        <v>878</v>
      </c>
      <c r="F14581" s="550">
        <v>14</v>
      </c>
      <c r="G14581" s="549" t="s">
        <v>21</v>
      </c>
      <c r="H14581" s="599" t="s">
        <v>125</v>
      </c>
      <c r="I14581" s="558">
        <v>21.7</v>
      </c>
      <c r="J14581" s="567">
        <v>7</v>
      </c>
      <c r="K14581" s="648">
        <v>24</v>
      </c>
      <c r="L14581" s="552">
        <f>(I14581*J14581*K14581/1000)</f>
        <v>3.6456000000000004</v>
      </c>
      <c r="M14581" s="549">
        <f>6+3+4+11-18+2</f>
        <v>8</v>
      </c>
      <c r="N14581" s="567">
        <f>J14581*M14581*I14581/1000</f>
        <v>1.2152000000000001</v>
      </c>
      <c r="O14581" s="549"/>
      <c r="P14581" s="549"/>
      <c r="Q14581" s="1737" t="s">
        <v>1786</v>
      </c>
    </row>
    <row r="14582" spans="1:17" s="1737" customFormat="1" ht="17.399999999999999">
      <c r="A14582" s="549"/>
      <c r="B14582" s="549" t="s">
        <v>1135</v>
      </c>
      <c r="C14582" s="549"/>
      <c r="D14582" s="549"/>
      <c r="E14582" s="549"/>
      <c r="F14582" s="549"/>
      <c r="G14582" s="549" t="s">
        <v>21</v>
      </c>
      <c r="H14582" s="549" t="s">
        <v>125</v>
      </c>
      <c r="I14582" s="558">
        <v>21.7</v>
      </c>
      <c r="J14582" s="567">
        <v>8.5500000000000007</v>
      </c>
      <c r="K14582" s="648">
        <v>24</v>
      </c>
      <c r="L14582" s="552">
        <f>(I14582*J14582*K14582/1000)</f>
        <v>4.4528400000000001</v>
      </c>
      <c r="M14582" s="549">
        <f>6+3+4+2+9-15+2+2</f>
        <v>13</v>
      </c>
      <c r="N14582" s="567">
        <f>J14582*M14582*I14582/1000</f>
        <v>2.4119549999999998</v>
      </c>
      <c r="O14582" s="549"/>
      <c r="P14582" s="549"/>
    </row>
    <row r="14583" spans="1:17" s="1737" customFormat="1" ht="17.399999999999999">
      <c r="A14583" s="549"/>
      <c r="B14583" s="549"/>
      <c r="C14583" s="549"/>
      <c r="D14583" s="549"/>
      <c r="E14583" s="549"/>
      <c r="F14583" s="549"/>
      <c r="G14583" s="549"/>
      <c r="H14583" s="549"/>
      <c r="I14583" s="558"/>
      <c r="J14583" s="567"/>
      <c r="K14583" s="648">
        <f t="shared" ref="K14583:M14583" si="2917">SUM(K14581:K14582)</f>
        <v>48</v>
      </c>
      <c r="L14583" s="567">
        <f>SUM(L14581:L14582)</f>
        <v>8.0984400000000001</v>
      </c>
      <c r="M14583" s="648">
        <f t="shared" si="2917"/>
        <v>21</v>
      </c>
      <c r="N14583" s="567">
        <f>SUM(N14581:N14582)</f>
        <v>3.6271550000000001</v>
      </c>
      <c r="O14583" s="549"/>
      <c r="P14583" s="549" t="s">
        <v>1752</v>
      </c>
    </row>
    <row r="14584" spans="1:17" s="1737" customFormat="1" ht="17.399999999999999">
      <c r="A14584" s="549"/>
      <c r="B14584" s="549"/>
      <c r="C14584" s="549"/>
      <c r="D14584" s="549"/>
      <c r="E14584" s="549"/>
      <c r="F14584" s="549"/>
      <c r="G14584" s="549"/>
      <c r="H14584" s="549"/>
      <c r="I14584" s="558"/>
      <c r="J14584" s="567"/>
      <c r="K14584" s="648"/>
      <c r="L14584" s="567"/>
      <c r="M14584" s="549"/>
      <c r="N14584" s="549"/>
      <c r="O14584" s="549"/>
      <c r="P14584" s="549"/>
    </row>
    <row r="14585" spans="1:17" s="1737" customFormat="1" ht="17.399999999999999">
      <c r="A14585" s="549"/>
      <c r="B14585" s="549"/>
      <c r="C14585" s="549"/>
      <c r="D14585" s="549"/>
      <c r="E14585" s="549"/>
      <c r="F14585" s="549"/>
      <c r="G14585" s="549"/>
      <c r="H14585" s="549"/>
      <c r="I14585" s="558"/>
      <c r="J14585" s="567"/>
      <c r="K14585" s="648"/>
      <c r="L14585" s="567"/>
      <c r="M14585" s="549"/>
      <c r="N14585" s="549"/>
      <c r="O14585" s="549"/>
      <c r="P14585" s="549"/>
    </row>
    <row r="14586" spans="1:17" s="1737" customFormat="1" ht="17.399999999999999">
      <c r="A14586" s="547" t="s">
        <v>395</v>
      </c>
      <c r="B14586" s="547" t="s">
        <v>1745</v>
      </c>
      <c r="C14586" s="547" t="s">
        <v>19</v>
      </c>
      <c r="D14586" s="813" t="s">
        <v>854</v>
      </c>
      <c r="E14586" s="547" t="s">
        <v>359</v>
      </c>
      <c r="F14586" s="550">
        <v>14</v>
      </c>
      <c r="G14586" s="549" t="s">
        <v>21</v>
      </c>
      <c r="H14586" s="599" t="s">
        <v>124</v>
      </c>
      <c r="I14586" s="558">
        <v>19.72</v>
      </c>
      <c r="J14586" s="567">
        <v>8</v>
      </c>
      <c r="K14586" s="648">
        <v>8</v>
      </c>
      <c r="L14586" s="552">
        <f>(I14586*J14586*K14586/1000)</f>
        <v>1.2620799999999999</v>
      </c>
      <c r="M14586" s="549"/>
      <c r="N14586" s="549"/>
      <c r="O14586" s="549"/>
      <c r="P14586" s="549"/>
      <c r="Q14586" s="1737" t="s">
        <v>1797</v>
      </c>
    </row>
    <row r="14587" spans="1:17" s="1737" customFormat="1" ht="17.399999999999999">
      <c r="A14587" s="549"/>
      <c r="B14587" s="549" t="s">
        <v>1027</v>
      </c>
      <c r="C14587" s="549"/>
      <c r="D14587" s="549"/>
      <c r="E14587" s="549"/>
      <c r="F14587" s="549"/>
      <c r="G14587" s="549" t="s">
        <v>21</v>
      </c>
      <c r="H14587" s="549" t="s">
        <v>124</v>
      </c>
      <c r="I14587" s="558">
        <v>19.72</v>
      </c>
      <c r="J14587" s="567">
        <v>8.5</v>
      </c>
      <c r="K14587" s="648">
        <v>7</v>
      </c>
      <c r="L14587" s="552">
        <f>(I14587*J14587*K14587/1000)</f>
        <v>1.17334</v>
      </c>
      <c r="M14587" s="549"/>
      <c r="N14587" s="549"/>
      <c r="O14587" s="549"/>
      <c r="P14587" s="549"/>
    </row>
    <row r="14588" spans="1:17" s="1737" customFormat="1" ht="17.399999999999999">
      <c r="A14588" s="549"/>
      <c r="B14588" s="549"/>
      <c r="C14588" s="549"/>
      <c r="D14588" s="549"/>
      <c r="E14588" s="549"/>
      <c r="F14588" s="549"/>
      <c r="G14588" s="549" t="s">
        <v>21</v>
      </c>
      <c r="H14588" s="549" t="s">
        <v>124</v>
      </c>
      <c r="I14588" s="558">
        <v>19.72</v>
      </c>
      <c r="J14588" s="567">
        <v>11</v>
      </c>
      <c r="K14588" s="648">
        <v>3</v>
      </c>
      <c r="L14588" s="552">
        <f>(I14588*J14588*K14588/1000)</f>
        <v>0.65076000000000001</v>
      </c>
      <c r="M14588" s="549"/>
      <c r="N14588" s="549"/>
      <c r="O14588" s="549"/>
      <c r="P14588" s="549"/>
    </row>
    <row r="14589" spans="1:17" s="1737" customFormat="1" ht="17.399999999999999">
      <c r="A14589" s="549"/>
      <c r="B14589" s="549"/>
      <c r="C14589" s="549"/>
      <c r="D14589" s="549"/>
      <c r="E14589" s="549"/>
      <c r="F14589" s="549"/>
      <c r="G14589" s="549"/>
      <c r="H14589" s="549"/>
      <c r="I14589" s="558"/>
      <c r="J14589" s="567"/>
      <c r="K14589" s="648">
        <f>SUM(K14586:K14588)</f>
        <v>18</v>
      </c>
      <c r="L14589" s="567">
        <f>SUM(L14586:L14588)</f>
        <v>3.0861799999999997</v>
      </c>
      <c r="M14589" s="549"/>
      <c r="N14589" s="549"/>
      <c r="O14589" s="549"/>
      <c r="P14589" s="549" t="s">
        <v>1753</v>
      </c>
    </row>
    <row r="14590" spans="1:17" s="1737" customFormat="1" ht="17.399999999999999">
      <c r="A14590" s="549"/>
      <c r="B14590" s="549"/>
      <c r="C14590" s="549"/>
      <c r="D14590" s="549"/>
      <c r="E14590" s="549"/>
      <c r="F14590" s="549"/>
      <c r="G14590" s="549"/>
      <c r="H14590" s="549"/>
      <c r="I14590" s="558"/>
      <c r="J14590" s="567"/>
      <c r="K14590" s="648"/>
      <c r="L14590" s="567"/>
      <c r="M14590" s="549"/>
      <c r="N14590" s="549"/>
      <c r="O14590" s="549"/>
      <c r="P14590" s="549"/>
    </row>
    <row r="14591" spans="1:17" s="1737" customFormat="1" ht="17.399999999999999">
      <c r="A14591" s="547" t="s">
        <v>83</v>
      </c>
      <c r="B14591" s="547" t="s">
        <v>1746</v>
      </c>
      <c r="C14591" s="547" t="s">
        <v>19</v>
      </c>
      <c r="D14591" s="813" t="s">
        <v>854</v>
      </c>
      <c r="E14591" s="559" t="s">
        <v>878</v>
      </c>
      <c r="F14591" s="550">
        <v>14</v>
      </c>
      <c r="G14591" s="549" t="s">
        <v>21</v>
      </c>
      <c r="H14591" s="599" t="s">
        <v>124</v>
      </c>
      <c r="I14591" s="558">
        <v>19.8</v>
      </c>
      <c r="J14591" s="567">
        <v>9.25</v>
      </c>
      <c r="K14591" s="648">
        <v>7</v>
      </c>
      <c r="L14591" s="552">
        <f>(I14591*J14591*K14591/1000)</f>
        <v>1.2820499999999999</v>
      </c>
      <c r="M14591" s="549"/>
      <c r="N14591" s="549"/>
      <c r="O14591" s="549"/>
      <c r="P14591" s="549"/>
      <c r="Q14591" s="1737" t="s">
        <v>1797</v>
      </c>
    </row>
    <row r="14592" spans="1:17" s="1737" customFormat="1" ht="17.399999999999999">
      <c r="A14592" s="549"/>
      <c r="B14592" s="549" t="s">
        <v>1135</v>
      </c>
      <c r="C14592" s="549"/>
      <c r="D14592" s="549"/>
      <c r="E14592" s="549"/>
      <c r="F14592" s="549"/>
      <c r="G14592" s="549"/>
      <c r="H14592" s="549"/>
      <c r="I14592" s="558"/>
      <c r="J14592" s="567"/>
      <c r="K14592" s="648">
        <f t="shared" ref="K14592:M14592" si="2918">SUM(K14591)</f>
        <v>7</v>
      </c>
      <c r="L14592" s="567">
        <f>SUM(L14591)</f>
        <v>1.2820499999999999</v>
      </c>
      <c r="M14592" s="648">
        <f t="shared" si="2918"/>
        <v>0</v>
      </c>
      <c r="N14592" s="567">
        <f>SUM(N14591)</f>
        <v>0</v>
      </c>
      <c r="O14592" s="549"/>
      <c r="P14592" s="549" t="s">
        <v>1754</v>
      </c>
    </row>
    <row r="14593" spans="1:17" s="1737" customFormat="1" ht="17.399999999999999">
      <c r="A14593" s="549"/>
      <c r="B14593" s="549"/>
      <c r="C14593" s="549"/>
      <c r="D14593" s="549"/>
      <c r="E14593" s="549"/>
      <c r="F14593" s="549"/>
      <c r="G14593" s="549"/>
      <c r="H14593" s="549"/>
      <c r="I14593" s="558"/>
      <c r="J14593" s="567"/>
      <c r="K14593" s="648">
        <f>SUM(K14586:K14592)/2</f>
        <v>25</v>
      </c>
      <c r="L14593" s="567">
        <f>SUM(L14586:L14592)/2</f>
        <v>4.3682299999999996</v>
      </c>
      <c r="M14593" s="648">
        <f>SUM(M14586:M14592)/2</f>
        <v>0</v>
      </c>
      <c r="N14593" s="567">
        <f>SUM(N14586:N14592)/2</f>
        <v>0</v>
      </c>
      <c r="O14593" s="549"/>
      <c r="P14593" s="549"/>
    </row>
    <row r="14594" spans="1:17" s="1737" customFormat="1" ht="17.399999999999999">
      <c r="A14594" s="549"/>
      <c r="B14594" s="549"/>
      <c r="C14594" s="549"/>
      <c r="D14594" s="549"/>
      <c r="E14594" s="549"/>
      <c r="F14594" s="549"/>
      <c r="G14594" s="549"/>
      <c r="H14594" s="549"/>
      <c r="I14594" s="558"/>
      <c r="J14594" s="567"/>
      <c r="K14594" s="648"/>
      <c r="L14594" s="567"/>
      <c r="M14594" s="549"/>
      <c r="N14594" s="549"/>
      <c r="O14594" s="549"/>
      <c r="P14594" s="549"/>
    </row>
    <row r="14595" spans="1:17" s="1737" customFormat="1" ht="17.399999999999999">
      <c r="A14595" s="549"/>
      <c r="B14595" s="549"/>
      <c r="C14595" s="549"/>
      <c r="D14595" s="549"/>
      <c r="E14595" s="549"/>
      <c r="F14595" s="549"/>
      <c r="G14595" s="549"/>
      <c r="H14595" s="549"/>
      <c r="I14595" s="558"/>
      <c r="J14595" s="567"/>
      <c r="K14595" s="648"/>
      <c r="L14595" s="567"/>
      <c r="M14595" s="549"/>
      <c r="N14595" s="549"/>
      <c r="O14595" s="549"/>
      <c r="P14595" s="549"/>
    </row>
    <row r="14596" spans="1:17" s="1737" customFormat="1" ht="17.399999999999999">
      <c r="A14596" s="547" t="s">
        <v>83</v>
      </c>
      <c r="B14596" s="547" t="s">
        <v>1746</v>
      </c>
      <c r="C14596" s="547" t="s">
        <v>19</v>
      </c>
      <c r="D14596" s="813" t="s">
        <v>854</v>
      </c>
      <c r="E14596" s="559" t="s">
        <v>878</v>
      </c>
      <c r="F14596" s="550">
        <v>14</v>
      </c>
      <c r="G14596" s="549" t="s">
        <v>21</v>
      </c>
      <c r="H14596" s="599" t="s">
        <v>129</v>
      </c>
      <c r="I14596" s="558">
        <v>17.899999999999999</v>
      </c>
      <c r="J14596" s="567">
        <v>6.1</v>
      </c>
      <c r="K14596" s="648">
        <v>20</v>
      </c>
      <c r="L14596" s="552">
        <f>(I14596*J14596*K14596/1000)</f>
        <v>2.1837999999999997</v>
      </c>
      <c r="M14596" s="549">
        <f>8+1+1+3+1+6</f>
        <v>20</v>
      </c>
      <c r="N14596" s="567">
        <f>J14596*M14596*I14596/1000</f>
        <v>2.1837999999999997</v>
      </c>
      <c r="O14596" s="549"/>
      <c r="P14596" s="549"/>
      <c r="Q14596" s="1737" t="s">
        <v>1786</v>
      </c>
    </row>
    <row r="14597" spans="1:17" s="1737" customFormat="1" ht="17.399999999999999">
      <c r="A14597" s="549"/>
      <c r="B14597" s="549" t="s">
        <v>1135</v>
      </c>
      <c r="C14597" s="549"/>
      <c r="D14597" s="549"/>
      <c r="E14597" s="549"/>
      <c r="F14597" s="549"/>
      <c r="G14597" s="549" t="s">
        <v>21</v>
      </c>
      <c r="H14597" s="549" t="s">
        <v>129</v>
      </c>
      <c r="I14597" s="558">
        <v>17.899999999999999</v>
      </c>
      <c r="J14597" s="567">
        <v>7.1</v>
      </c>
      <c r="K14597" s="648">
        <v>22</v>
      </c>
      <c r="L14597" s="552">
        <f>(I14597*J14597*K14597/1000)</f>
        <v>2.7959799999999997</v>
      </c>
      <c r="M14597" s="549">
        <f>19+1+1+1-12+1+1+3+3+2+2</f>
        <v>22</v>
      </c>
      <c r="N14597" s="567">
        <f>J14597*M14597*I14597/1000</f>
        <v>2.7959799999999997</v>
      </c>
      <c r="O14597" s="549"/>
      <c r="P14597" s="549"/>
    </row>
    <row r="14598" spans="1:17" s="1737" customFormat="1" ht="17.399999999999999">
      <c r="A14598" s="549"/>
      <c r="B14598" s="549"/>
      <c r="C14598" s="549"/>
      <c r="D14598" s="549"/>
      <c r="E14598" s="549"/>
      <c r="F14598" s="549"/>
      <c r="G14598" s="549"/>
      <c r="H14598" s="549"/>
      <c r="I14598" s="558"/>
      <c r="J14598" s="567"/>
      <c r="K14598" s="648">
        <f t="shared" ref="K14598:M14598" si="2919">SUM(K14596:K14597)</f>
        <v>42</v>
      </c>
      <c r="L14598" s="567">
        <f>SUM(L14596:L14597)</f>
        <v>4.9797799999999999</v>
      </c>
      <c r="M14598" s="648">
        <f t="shared" si="2919"/>
        <v>42</v>
      </c>
      <c r="N14598" s="567">
        <f>SUM(N14596:N14597)</f>
        <v>4.9797799999999999</v>
      </c>
      <c r="O14598" s="549"/>
      <c r="P14598" s="549" t="s">
        <v>1741</v>
      </c>
    </row>
    <row r="14599" spans="1:17" s="1737" customFormat="1" ht="17.399999999999999">
      <c r="A14599" s="549"/>
      <c r="B14599" s="549"/>
      <c r="C14599" s="549"/>
      <c r="D14599" s="549"/>
      <c r="E14599" s="549"/>
      <c r="F14599" s="549"/>
      <c r="G14599" s="549"/>
      <c r="H14599" s="549"/>
      <c r="I14599" s="558"/>
      <c r="J14599" s="549"/>
      <c r="K14599" s="652"/>
      <c r="L14599" s="565"/>
      <c r="M14599" s="549"/>
      <c r="N14599" s="549"/>
      <c r="O14599" s="549"/>
      <c r="P14599" s="549"/>
    </row>
    <row r="14600" spans="1:17" s="1737" customFormat="1" ht="17.399999999999999">
      <c r="A14600" s="549"/>
      <c r="B14600" s="549"/>
      <c r="C14600" s="549"/>
      <c r="D14600" s="549"/>
      <c r="E14600" s="549"/>
      <c r="F14600" s="549"/>
      <c r="G14600" s="549"/>
      <c r="H14600" s="549"/>
      <c r="I14600" s="558"/>
      <c r="J14600" s="567"/>
      <c r="K14600" s="648"/>
      <c r="L14600" s="567"/>
      <c r="M14600" s="549"/>
      <c r="N14600" s="549"/>
      <c r="O14600" s="549"/>
      <c r="P14600" s="549"/>
    </row>
    <row r="14601" spans="1:17" s="1737" customFormat="1" ht="17.399999999999999">
      <c r="A14601" s="549"/>
      <c r="B14601" s="549"/>
      <c r="C14601" s="549"/>
      <c r="D14601" s="549"/>
      <c r="E14601" s="549"/>
      <c r="F14601" s="549"/>
      <c r="G14601" s="549"/>
      <c r="H14601" s="549"/>
      <c r="I14601" s="558"/>
      <c r="J14601" s="567"/>
      <c r="K14601" s="648"/>
      <c r="L14601" s="567"/>
      <c r="M14601" s="549"/>
      <c r="N14601" s="549"/>
      <c r="O14601" s="549"/>
      <c r="P14601" s="549"/>
    </row>
    <row r="14602" spans="1:17" s="1737" customFormat="1" ht="17.399999999999999">
      <c r="A14602" s="547" t="s">
        <v>83</v>
      </c>
      <c r="B14602" s="547" t="s">
        <v>1747</v>
      </c>
      <c r="C14602" s="547" t="s">
        <v>19</v>
      </c>
      <c r="D14602" s="813" t="s">
        <v>854</v>
      </c>
      <c r="E14602" s="547" t="s">
        <v>47</v>
      </c>
      <c r="F14602" s="550">
        <v>14</v>
      </c>
      <c r="G14602" s="549" t="s">
        <v>21</v>
      </c>
      <c r="H14602" s="599" t="s">
        <v>126</v>
      </c>
      <c r="I14602" s="558">
        <v>23.6</v>
      </c>
      <c r="J14602" s="567">
        <v>10.3</v>
      </c>
      <c r="K14602" s="648">
        <v>2</v>
      </c>
      <c r="L14602" s="552">
        <f>(I14602*J14602*K14602/1000)</f>
        <v>0.48616000000000009</v>
      </c>
      <c r="M14602" s="549">
        <v>2</v>
      </c>
      <c r="N14602" s="567">
        <f>J14602*M14602*I14602/1000</f>
        <v>0.48616000000000009</v>
      </c>
      <c r="O14602" s="549"/>
      <c r="P14602" s="549"/>
      <c r="Q14602" s="1737" t="s">
        <v>1786</v>
      </c>
    </row>
    <row r="14603" spans="1:17" s="1737" customFormat="1" ht="17.399999999999999">
      <c r="A14603" s="549"/>
      <c r="B14603" s="549" t="s">
        <v>439</v>
      </c>
      <c r="C14603" s="549"/>
      <c r="D14603" s="549"/>
      <c r="E14603" s="549"/>
      <c r="F14603" s="549"/>
      <c r="G14603" s="549"/>
      <c r="H14603" s="549"/>
      <c r="I14603" s="558"/>
      <c r="J14603" s="567"/>
      <c r="K14603" s="648">
        <f t="shared" ref="K14603:N14603" si="2920">SUM(K14602)</f>
        <v>2</v>
      </c>
      <c r="L14603" s="567">
        <f t="shared" si="2920"/>
        <v>0.48616000000000009</v>
      </c>
      <c r="M14603" s="648">
        <f t="shared" si="2920"/>
        <v>2</v>
      </c>
      <c r="N14603" s="567">
        <f t="shared" si="2920"/>
        <v>0.48616000000000009</v>
      </c>
      <c r="O14603" s="549"/>
      <c r="P14603" s="549"/>
    </row>
    <row r="14604" spans="1:17" s="1737" customFormat="1" ht="17.399999999999999">
      <c r="A14604" s="549"/>
      <c r="B14604" s="549"/>
      <c r="C14604" s="549"/>
      <c r="D14604" s="549"/>
      <c r="E14604" s="549"/>
      <c r="F14604" s="549"/>
      <c r="G14604" s="549"/>
      <c r="H14604" s="549"/>
      <c r="I14604" s="558"/>
      <c r="J14604" s="549"/>
      <c r="K14604" s="652"/>
      <c r="L14604" s="565"/>
      <c r="M14604" s="549"/>
      <c r="N14604" s="549"/>
      <c r="O14604" s="549"/>
      <c r="P14604" s="549"/>
    </row>
    <row r="14605" spans="1:17" s="1737" customFormat="1" ht="17.399999999999999">
      <c r="A14605" s="549"/>
      <c r="B14605" s="549"/>
      <c r="C14605" s="549"/>
      <c r="D14605" s="549"/>
      <c r="E14605" s="549"/>
      <c r="F14605" s="549"/>
      <c r="G14605" s="549"/>
      <c r="H14605" s="549"/>
      <c r="I14605" s="558"/>
      <c r="J14605" s="567"/>
      <c r="K14605" s="648"/>
      <c r="L14605" s="567"/>
      <c r="M14605" s="549"/>
      <c r="N14605" s="549"/>
      <c r="O14605" s="549"/>
      <c r="P14605" s="549"/>
    </row>
    <row r="14606" spans="1:17" s="1737" customFormat="1" ht="17.399999999999999">
      <c r="A14606" s="549"/>
      <c r="B14606" s="549"/>
      <c r="C14606" s="549"/>
      <c r="D14606" s="549"/>
      <c r="E14606" s="549"/>
      <c r="F14606" s="549"/>
      <c r="G14606" s="549"/>
      <c r="H14606" s="549"/>
      <c r="I14606" s="558"/>
      <c r="J14606" s="549"/>
      <c r="K14606" s="652"/>
      <c r="L14606" s="565">
        <f>+L14598+L14578+L14583+L14593+L14603</f>
        <v>57.320345000000003</v>
      </c>
      <c r="M14606" s="549"/>
      <c r="N14606" s="565">
        <f>+N14598+N14578+N14583+N14593+N14603</f>
        <v>9.0930949999999999</v>
      </c>
      <c r="O14606" s="549"/>
      <c r="P14606" s="549"/>
    </row>
    <row r="14607" spans="1:17" s="1737" customFormat="1" ht="17.399999999999999">
      <c r="A14607" s="549"/>
      <c r="B14607" s="549"/>
      <c r="C14607" s="549"/>
      <c r="D14607" s="549"/>
      <c r="E14607" s="549"/>
      <c r="F14607" s="549"/>
      <c r="G14607" s="549"/>
      <c r="H14607" s="549"/>
      <c r="I14607" s="558"/>
      <c r="J14607" s="549"/>
      <c r="K14607" s="652"/>
      <c r="L14607" s="565"/>
      <c r="M14607" s="549"/>
      <c r="N14607" s="549"/>
      <c r="O14607" s="549"/>
      <c r="P14607" s="549"/>
    </row>
    <row r="14608" spans="1:17" s="1737" customFormat="1" ht="17.399999999999999">
      <c r="A14608" s="549"/>
      <c r="B14608" s="549"/>
      <c r="C14608" s="549"/>
      <c r="D14608" s="549"/>
      <c r="E14608" s="549"/>
      <c r="F14608" s="549"/>
      <c r="G14608" s="549"/>
      <c r="H14608" s="549"/>
      <c r="I14608" s="558"/>
      <c r="J14608" s="549"/>
      <c r="K14608" s="652"/>
      <c r="L14608" s="565"/>
      <c r="M14608" s="549"/>
      <c r="N14608" s="549"/>
      <c r="O14608" s="549"/>
      <c r="P14608" s="549"/>
    </row>
    <row r="14609" spans="1:16" s="1737" customFormat="1" ht="17.399999999999999">
      <c r="A14609" s="549"/>
      <c r="B14609" s="549"/>
      <c r="C14609" s="549"/>
      <c r="D14609" s="549"/>
      <c r="E14609" s="549"/>
      <c r="F14609" s="549"/>
      <c r="G14609" s="549"/>
      <c r="H14609" s="549"/>
      <c r="I14609" s="558"/>
      <c r="J14609" s="549"/>
      <c r="K14609" s="652"/>
      <c r="L14609" s="565"/>
      <c r="M14609" s="549"/>
      <c r="N14609" s="549"/>
      <c r="O14609" s="549"/>
      <c r="P14609" s="549"/>
    </row>
    <row r="14610" spans="1:16" s="1737" customFormat="1" ht="17.399999999999999">
      <c r="A14610" s="549"/>
      <c r="B14610" s="549"/>
      <c r="C14610" s="549"/>
      <c r="D14610" s="549"/>
      <c r="E14610" s="549"/>
      <c r="F14610" s="549"/>
      <c r="G14610" s="549"/>
      <c r="H14610" s="549"/>
      <c r="I14610" s="558"/>
      <c r="J14610" s="549"/>
      <c r="K14610" s="652"/>
      <c r="L14610" s="565"/>
      <c r="M14610" s="549"/>
      <c r="N14610" s="549"/>
      <c r="O14610" s="549"/>
      <c r="P14610" s="549"/>
    </row>
    <row r="14611" spans="1:16" ht="17.399999999999999">
      <c r="A14611" s="549"/>
      <c r="B14611" s="549"/>
      <c r="C14611" s="549"/>
      <c r="D14611" s="549"/>
      <c r="E14611" s="549"/>
      <c r="F14611" s="549"/>
      <c r="G14611" s="549"/>
      <c r="H14611" s="549"/>
      <c r="I14611" s="560"/>
      <c r="J14611" s="549"/>
      <c r="K14611" s="564">
        <f>+K14558+K14549+K14535+K14525+K14518+K14507+K14499+K14495+K14476+K14484</f>
        <v>1730</v>
      </c>
      <c r="L14611" s="568">
        <f>+L14558+L14549+L14535+L14525+L14518+L14507+L14499+L14495+L14476+L14484+L14606</f>
        <v>438.75309300000004</v>
      </c>
      <c r="M14611" s="652">
        <f>+M14558+M14549+M14535+M14525+M14518+M14507+M14499+M14495+M14476+M14484</f>
        <v>45</v>
      </c>
      <c r="N14611" s="568">
        <f>+N14558+N14549+N14535+N14525+N14518+N14507+N14499+N14495+N14476+N14484+N14606</f>
        <v>17.321714999999998</v>
      </c>
      <c r="O14611" s="549"/>
      <c r="P14611" s="549"/>
    </row>
    <row r="14612" spans="1:16" ht="18">
      <c r="A14612" s="653" t="s">
        <v>48</v>
      </c>
      <c r="B14612" s="653"/>
      <c r="C14612" s="654"/>
      <c r="D14612" s="654"/>
      <c r="E14612" s="654"/>
      <c r="F14612" s="1812"/>
      <c r="G14612" s="654"/>
      <c r="H14612" s="1812"/>
      <c r="I14612" s="656"/>
      <c r="J14612" s="654"/>
      <c r="K14612" s="657"/>
      <c r="L14612" s="2003" t="s">
        <v>0</v>
      </c>
      <c r="M14612" s="2003"/>
      <c r="N14612" s="2003"/>
      <c r="O14612" s="2004"/>
      <c r="P14612" s="1097"/>
    </row>
    <row r="14613" spans="1:16" ht="18">
      <c r="A14613" s="658" t="s">
        <v>1</v>
      </c>
      <c r="B14613" s="658"/>
      <c r="C14613" s="658"/>
      <c r="D14613" s="659" t="s">
        <v>2</v>
      </c>
      <c r="E14613" s="659"/>
      <c r="F14613" s="660"/>
      <c r="G14613" s="660"/>
      <c r="H14613" s="660"/>
      <c r="I14613" s="661"/>
      <c r="J14613" s="660"/>
      <c r="K14613" s="662" t="s">
        <v>3</v>
      </c>
      <c r="L14613" s="660"/>
      <c r="M14613" s="658"/>
      <c r="N14613" s="660"/>
      <c r="O14613" s="663"/>
      <c r="P14613" s="1098"/>
    </row>
    <row r="14614" spans="1:16" ht="18">
      <c r="A14614" s="1812" t="s">
        <v>22</v>
      </c>
      <c r="B14614" s="1990" t="s">
        <v>23</v>
      </c>
      <c r="C14614" s="2005"/>
      <c r="D14614" s="1989"/>
      <c r="E14614" s="1812" t="s">
        <v>24</v>
      </c>
      <c r="F14614" s="1990" t="s">
        <v>25</v>
      </c>
      <c r="G14614" s="1989"/>
      <c r="H14614" s="1990" t="s">
        <v>26</v>
      </c>
      <c r="I14614" s="2005"/>
      <c r="J14614" s="2005"/>
      <c r="K14614" s="1989"/>
      <c r="L14614" s="2006" t="s">
        <v>27</v>
      </c>
      <c r="M14614" s="2006"/>
      <c r="N14614" s="2006"/>
      <c r="O14614" s="1990"/>
      <c r="P14614" s="1098"/>
    </row>
    <row r="14615" spans="1:16" ht="18">
      <c r="A14615" s="664"/>
      <c r="B14615" s="1975"/>
      <c r="C14615" s="1976"/>
      <c r="D14615" s="1977"/>
      <c r="E14615" s="665"/>
      <c r="F14615" s="1975"/>
      <c r="G14615" s="1977"/>
      <c r="H14615" s="1975"/>
      <c r="I14615" s="1976"/>
      <c r="J14615" s="1976"/>
      <c r="K14615" s="1977"/>
      <c r="L14615" s="1975"/>
      <c r="M14615" s="1976"/>
      <c r="N14615" s="1976"/>
      <c r="O14615" s="1976"/>
      <c r="P14615" s="1098"/>
    </row>
    <row r="14616" spans="1:16" ht="18">
      <c r="A14616" s="664"/>
      <c r="B14616" s="1804"/>
      <c r="C14616" s="1805"/>
      <c r="D14616" s="1806"/>
      <c r="E14616" s="665"/>
      <c r="F14616" s="1804"/>
      <c r="G14616" s="1806"/>
      <c r="H14616" s="1804"/>
      <c r="I14616" s="1842"/>
      <c r="J14616" s="1805"/>
      <c r="K14616" s="1806"/>
      <c r="L14616" s="1805"/>
      <c r="M14616" s="1805"/>
      <c r="N14616" s="1805"/>
      <c r="O14616" s="1805"/>
      <c r="P14616" s="1098"/>
    </row>
    <row r="14617" spans="1:16" ht="18">
      <c r="A14617" s="664" t="s">
        <v>28</v>
      </c>
      <c r="B14617" s="1975" t="s">
        <v>141</v>
      </c>
      <c r="C14617" s="1976"/>
      <c r="D14617" s="1977"/>
      <c r="E14617" s="665">
        <f>+L14476</f>
        <v>52.087859999999999</v>
      </c>
      <c r="F14617" s="1973">
        <v>14</v>
      </c>
      <c r="G14617" s="1974"/>
      <c r="H14617" s="1975" t="s">
        <v>49</v>
      </c>
      <c r="I14617" s="1976"/>
      <c r="J14617" s="1976"/>
      <c r="K14617" s="1977"/>
      <c r="L14617" s="1976" t="s">
        <v>1733</v>
      </c>
      <c r="M14617" s="1976"/>
      <c r="N14617" s="1976"/>
      <c r="O14617" s="1976"/>
      <c r="P14617" s="1098"/>
    </row>
    <row r="14618" spans="1:16" ht="18">
      <c r="A14618" s="664" t="s">
        <v>29</v>
      </c>
      <c r="B14618" s="1975" t="s">
        <v>139</v>
      </c>
      <c r="C14618" s="1976"/>
      <c r="D14618" s="1977"/>
      <c r="E14618" s="665">
        <f>+L14484-0.142+L14578</f>
        <v>205.90893499999999</v>
      </c>
      <c r="F14618" s="1973">
        <v>14</v>
      </c>
      <c r="G14618" s="1974"/>
      <c r="H14618" s="1975" t="s">
        <v>49</v>
      </c>
      <c r="I14618" s="1976"/>
      <c r="J14618" s="1976"/>
      <c r="K14618" s="1977"/>
      <c r="L14618" s="1976" t="s">
        <v>1749</v>
      </c>
      <c r="M14618" s="1976"/>
      <c r="N14618" s="1976"/>
      <c r="O14618" s="1976"/>
      <c r="P14618" s="1098"/>
    </row>
    <row r="14619" spans="1:16" ht="18">
      <c r="A14619" s="664"/>
      <c r="B14619" s="1975"/>
      <c r="C14619" s="1976"/>
      <c r="D14619" s="1977"/>
      <c r="E14619" s="665"/>
      <c r="F14619" s="1973"/>
      <c r="G14619" s="1974"/>
      <c r="H14619" s="1975"/>
      <c r="I14619" s="1976"/>
      <c r="J14619" s="1976"/>
      <c r="K14619" s="1977"/>
      <c r="L14619" s="1976"/>
      <c r="M14619" s="1976"/>
      <c r="N14619" s="1976"/>
      <c r="O14619" s="1976"/>
      <c r="P14619" s="1098"/>
    </row>
    <row r="14620" spans="1:16" ht="18">
      <c r="A14620" s="664"/>
      <c r="B14620" s="1804"/>
      <c r="C14620" s="1805"/>
      <c r="D14620" s="1806"/>
      <c r="E14620" s="665"/>
      <c r="F14620" s="1807"/>
      <c r="G14620" s="1808"/>
      <c r="H14620" s="1804"/>
      <c r="I14620" s="1842"/>
      <c r="J14620" s="1805"/>
      <c r="K14620" s="1806"/>
      <c r="L14620" s="1805"/>
      <c r="M14620" s="1805"/>
      <c r="N14620" s="1805"/>
      <c r="O14620" s="1805"/>
      <c r="P14620" s="1098"/>
    </row>
    <row r="14621" spans="1:16" s="1737" customFormat="1" ht="18">
      <c r="A14621" s="664" t="s">
        <v>30</v>
      </c>
      <c r="B14621" s="1975" t="s">
        <v>139</v>
      </c>
      <c r="C14621" s="1976"/>
      <c r="D14621" s="1977"/>
      <c r="E14621" s="665">
        <f>+L14507</f>
        <v>26.423459999999999</v>
      </c>
      <c r="F14621" s="1973">
        <v>14</v>
      </c>
      <c r="G14621" s="1974"/>
      <c r="H14621" s="1975" t="s">
        <v>447</v>
      </c>
      <c r="I14621" s="1976"/>
      <c r="J14621" s="1976"/>
      <c r="K14621" s="1977"/>
      <c r="L14621" s="1976" t="s">
        <v>1631</v>
      </c>
      <c r="M14621" s="1976"/>
      <c r="N14621" s="1976"/>
      <c r="O14621" s="1976"/>
      <c r="P14621" s="1098"/>
    </row>
    <row r="14622" spans="1:16" s="1737" customFormat="1" ht="18">
      <c r="A14622" s="664" t="s">
        <v>46</v>
      </c>
      <c r="B14622" s="1975" t="s">
        <v>140</v>
      </c>
      <c r="C14622" s="1976"/>
      <c r="D14622" s="1977"/>
      <c r="E14622" s="665">
        <f>+L14518-1.51+L14583-8.098</f>
        <v>19.003449999999994</v>
      </c>
      <c r="F14622" s="1973">
        <v>14</v>
      </c>
      <c r="G14622" s="1974"/>
      <c r="H14622" s="1975" t="s">
        <v>447</v>
      </c>
      <c r="I14622" s="1976"/>
      <c r="J14622" s="1976"/>
      <c r="K14622" s="1977"/>
      <c r="L14622" s="1976" t="s">
        <v>1631</v>
      </c>
      <c r="M14622" s="1976"/>
      <c r="N14622" s="1976"/>
      <c r="O14622" s="1976"/>
      <c r="P14622" s="1098"/>
    </row>
    <row r="14623" spans="1:16" s="1737" customFormat="1" ht="18">
      <c r="A14623" s="664" t="s">
        <v>58</v>
      </c>
      <c r="B14623" s="1975" t="s">
        <v>141</v>
      </c>
      <c r="C14623" s="1976"/>
      <c r="D14623" s="1977"/>
      <c r="E14623" s="665">
        <f>+L14525+L14593</f>
        <v>35.540619999999997</v>
      </c>
      <c r="F14623" s="1973">
        <v>14</v>
      </c>
      <c r="G14623" s="1974"/>
      <c r="H14623" s="1975" t="s">
        <v>447</v>
      </c>
      <c r="I14623" s="1976"/>
      <c r="J14623" s="1976"/>
      <c r="K14623" s="1977"/>
      <c r="L14623" s="1976" t="s">
        <v>1631</v>
      </c>
      <c r="M14623" s="1976"/>
      <c r="N14623" s="1976"/>
      <c r="O14623" s="1976"/>
      <c r="P14623" s="1098"/>
    </row>
    <row r="14624" spans="1:16" s="1737" customFormat="1" ht="18">
      <c r="A14624" s="664" t="s">
        <v>163</v>
      </c>
      <c r="B14624" s="1975" t="s">
        <v>142</v>
      </c>
      <c r="C14624" s="1976"/>
      <c r="D14624" s="1977"/>
      <c r="E14624" s="665">
        <f>+L14535+L14598-4.98</f>
        <v>24.178347999999996</v>
      </c>
      <c r="F14624" s="1973">
        <v>14</v>
      </c>
      <c r="G14624" s="1974"/>
      <c r="H14624" s="1975" t="s">
        <v>447</v>
      </c>
      <c r="I14624" s="1976"/>
      <c r="J14624" s="1976"/>
      <c r="K14624" s="1977"/>
      <c r="L14624" s="1976" t="s">
        <v>1631</v>
      </c>
      <c r="M14624" s="1976"/>
      <c r="N14624" s="1976"/>
      <c r="O14624" s="1976"/>
      <c r="P14624" s="1098"/>
    </row>
    <row r="14625" spans="1:16" s="1737" customFormat="1" ht="18">
      <c r="A14625" s="664" t="s">
        <v>302</v>
      </c>
      <c r="B14625" s="1975" t="s">
        <v>143</v>
      </c>
      <c r="C14625" s="1976"/>
      <c r="D14625" s="1977"/>
      <c r="E14625" s="665">
        <f>+L14549</f>
        <v>42.722912000000001</v>
      </c>
      <c r="F14625" s="1973">
        <v>14</v>
      </c>
      <c r="G14625" s="1974"/>
      <c r="H14625" s="1975" t="s">
        <v>447</v>
      </c>
      <c r="I14625" s="1976"/>
      <c r="J14625" s="1976"/>
      <c r="K14625" s="1977"/>
      <c r="L14625" s="1975" t="s">
        <v>1631</v>
      </c>
      <c r="M14625" s="1976"/>
      <c r="N14625" s="1976"/>
      <c r="O14625" s="2008"/>
      <c r="P14625" s="1098"/>
    </row>
    <row r="14626" spans="1:16" s="1737" customFormat="1" ht="18">
      <c r="A14626" s="664"/>
      <c r="B14626" s="1804"/>
      <c r="C14626" s="1805"/>
      <c r="D14626" s="1806"/>
      <c r="E14626" s="665"/>
      <c r="F14626" s="1807"/>
      <c r="G14626" s="1808"/>
      <c r="H14626" s="1804"/>
      <c r="I14626" s="1842"/>
      <c r="J14626" s="1805"/>
      <c r="K14626" s="1806"/>
      <c r="L14626" s="1805"/>
      <c r="M14626" s="1805"/>
      <c r="N14626" s="1805"/>
      <c r="O14626" s="1805"/>
      <c r="P14626" s="1098"/>
    </row>
    <row r="14627" spans="1:16" ht="18">
      <c r="A14627" s="664" t="s">
        <v>380</v>
      </c>
      <c r="B14627" s="1975" t="s">
        <v>1734</v>
      </c>
      <c r="C14627" s="1976"/>
      <c r="D14627" s="1977"/>
      <c r="E14627" s="665">
        <f>+L14558-0.979</f>
        <v>11.094728000000002</v>
      </c>
      <c r="F14627" s="1973">
        <v>14</v>
      </c>
      <c r="G14627" s="1974"/>
      <c r="H14627" s="1975" t="s">
        <v>450</v>
      </c>
      <c r="I14627" s="1976"/>
      <c r="J14627" s="1976"/>
      <c r="K14627" s="1977"/>
      <c r="L14627" s="1975" t="s">
        <v>1138</v>
      </c>
      <c r="M14627" s="1976"/>
      <c r="N14627" s="1976"/>
      <c r="O14627" s="2008"/>
      <c r="P14627" s="1098"/>
    </row>
    <row r="14628" spans="1:16" ht="18">
      <c r="A14628" s="664"/>
      <c r="B14628" s="1804"/>
      <c r="C14628" s="1805"/>
      <c r="D14628" s="1806"/>
      <c r="E14628" s="665"/>
      <c r="F14628" s="1807"/>
      <c r="G14628" s="1808"/>
      <c r="H14628" s="1804"/>
      <c r="I14628" s="1842"/>
      <c r="J14628" s="1805"/>
      <c r="K14628" s="1806"/>
      <c r="L14628" s="1805"/>
      <c r="M14628" s="1805"/>
      <c r="N14628" s="1805"/>
      <c r="O14628" s="1805"/>
      <c r="P14628" s="1098"/>
    </row>
    <row r="14629" spans="1:16" ht="18">
      <c r="A14629" s="664"/>
      <c r="B14629" s="1975"/>
      <c r="C14629" s="1976"/>
      <c r="D14629" s="1977"/>
      <c r="E14629" s="665"/>
      <c r="F14629" s="1973"/>
      <c r="G14629" s="1974"/>
      <c r="H14629" s="1975"/>
      <c r="I14629" s="1976"/>
      <c r="J14629" s="1976"/>
      <c r="K14629" s="1977"/>
      <c r="L14629" s="1976"/>
      <c r="M14629" s="1976"/>
      <c r="N14629" s="1976"/>
      <c r="O14629" s="1976"/>
      <c r="P14629" s="1098"/>
    </row>
    <row r="14630" spans="1:16" ht="18.600000000000001" thickBot="1">
      <c r="A14630" s="664"/>
      <c r="B14630" s="1804"/>
      <c r="C14630" s="1805"/>
      <c r="D14630" s="1805"/>
      <c r="E14630" s="665"/>
      <c r="F14630" s="1805"/>
      <c r="G14630" s="1806"/>
      <c r="H14630" s="1804"/>
      <c r="I14630" s="1842"/>
      <c r="J14630" s="1805"/>
      <c r="K14630" s="669"/>
      <c r="L14630" s="672"/>
      <c r="M14630" s="673"/>
      <c r="N14630" s="673"/>
      <c r="O14630" s="673"/>
      <c r="P14630" s="1098"/>
    </row>
    <row r="14631" spans="1:16" ht="18">
      <c r="A14631" s="674"/>
      <c r="B14631" s="675"/>
      <c r="C14631" s="676"/>
      <c r="D14631" s="676"/>
      <c r="E14631" s="1980">
        <f>SUM(E14615:E14630)</f>
        <v>416.96031299999987</v>
      </c>
      <c r="F14631" s="677"/>
      <c r="G14631" s="678"/>
      <c r="H14631" s="679"/>
      <c r="I14631" s="1848"/>
      <c r="J14631" s="676"/>
      <c r="K14631" s="680"/>
      <c r="L14631" s="679"/>
      <c r="M14631" s="676"/>
      <c r="N14631" s="677"/>
      <c r="O14631" s="676"/>
      <c r="P14631" s="1098"/>
    </row>
    <row r="14632" spans="1:16" ht="18.600000000000001" thickBot="1">
      <c r="A14632" s="681"/>
      <c r="B14632" s="682"/>
      <c r="C14632" s="683"/>
      <c r="D14632" s="683"/>
      <c r="E14632" s="1981"/>
      <c r="F14632" s="684"/>
      <c r="G14632" s="685"/>
      <c r="H14632" s="686"/>
      <c r="I14632" s="1850"/>
      <c r="J14632" s="683"/>
      <c r="K14632" s="687"/>
      <c r="L14632" s="686"/>
      <c r="M14632" s="683"/>
      <c r="N14632" s="684"/>
      <c r="O14632" s="683"/>
      <c r="P14632" s="1098"/>
    </row>
    <row r="14633" spans="1:16" ht="18">
      <c r="A14633" s="688" t="s">
        <v>31</v>
      </c>
      <c r="B14633" s="676"/>
      <c r="C14633" s="676"/>
      <c r="D14633" s="676"/>
      <c r="E14633" s="676"/>
      <c r="F14633" s="677"/>
      <c r="G14633" s="676"/>
      <c r="H14633" s="677"/>
      <c r="I14633" s="1848"/>
      <c r="J14633" s="676"/>
      <c r="K14633" s="689"/>
      <c r="L14633" s="677"/>
      <c r="M14633" s="676"/>
      <c r="N14633" s="677"/>
      <c r="O14633" s="676"/>
      <c r="P14633" s="1098"/>
    </row>
    <row r="14634" spans="1:16" ht="18">
      <c r="A14634" s="690"/>
      <c r="B14634" s="691"/>
      <c r="C14634" s="691"/>
      <c r="D14634" s="691"/>
      <c r="E14634" s="691"/>
      <c r="F14634" s="1803"/>
      <c r="G14634" s="691"/>
      <c r="H14634" s="1803"/>
      <c r="I14634" s="1849"/>
      <c r="J14634" s="691"/>
      <c r="K14634" s="693"/>
      <c r="L14634" s="1803"/>
      <c r="M14634" s="691"/>
      <c r="N14634" s="1803"/>
      <c r="O14634" s="691"/>
      <c r="P14634" s="1098"/>
    </row>
    <row r="14635" spans="1:16" ht="18.600000000000001" thickBot="1">
      <c r="A14635" s="1982" t="s">
        <v>32</v>
      </c>
      <c r="B14635" s="1983"/>
      <c r="C14635" s="1984" t="s">
        <v>33</v>
      </c>
      <c r="D14635" s="1985"/>
      <c r="E14635" s="694" t="s">
        <v>34</v>
      </c>
      <c r="F14635" s="694" t="s">
        <v>35</v>
      </c>
      <c r="G14635" s="1986" t="s">
        <v>36</v>
      </c>
      <c r="H14635" s="1987"/>
      <c r="I14635" s="1987"/>
      <c r="J14635" s="1987"/>
      <c r="K14635" s="1987"/>
      <c r="L14635" s="1987"/>
      <c r="M14635" s="1987"/>
      <c r="N14635" s="1987"/>
      <c r="O14635" s="1987"/>
      <c r="P14635" s="1098"/>
    </row>
    <row r="14636" spans="1:16" ht="18">
      <c r="A14636" s="1988"/>
      <c r="B14636" s="1989"/>
      <c r="C14636" s="1990"/>
      <c r="D14636" s="1989"/>
      <c r="E14636" s="1812"/>
      <c r="F14636" s="1809"/>
      <c r="G14636" s="1991"/>
      <c r="H14636" s="1992"/>
      <c r="I14636" s="1992"/>
      <c r="J14636" s="1992"/>
      <c r="K14636" s="1992"/>
      <c r="L14636" s="1992"/>
      <c r="M14636" s="1992"/>
      <c r="N14636" s="1992"/>
      <c r="O14636" s="1992"/>
      <c r="P14636" s="1098"/>
    </row>
    <row r="14637" spans="1:16" ht="18">
      <c r="A14637" s="1997" t="s">
        <v>37</v>
      </c>
      <c r="B14637" s="1998"/>
      <c r="C14637" s="1990"/>
      <c r="D14637" s="1989"/>
      <c r="E14637" s="1812"/>
      <c r="F14637" s="1809"/>
      <c r="G14637" s="1993"/>
      <c r="H14637" s="1994"/>
      <c r="I14637" s="1994"/>
      <c r="J14637" s="1994"/>
      <c r="K14637" s="1994"/>
      <c r="L14637" s="1994"/>
      <c r="M14637" s="1994"/>
      <c r="N14637" s="1994"/>
      <c r="O14637" s="1994"/>
      <c r="P14637" s="1098"/>
    </row>
    <row r="14638" spans="1:16" ht="18">
      <c r="A14638" s="1997" t="s">
        <v>38</v>
      </c>
      <c r="B14638" s="1998"/>
      <c r="C14638" s="1990"/>
      <c r="D14638" s="1989"/>
      <c r="E14638" s="1812"/>
      <c r="F14638" s="1809"/>
      <c r="G14638" s="1993"/>
      <c r="H14638" s="1994"/>
      <c r="I14638" s="1994"/>
      <c r="J14638" s="1994"/>
      <c r="K14638" s="1994"/>
      <c r="L14638" s="1994"/>
      <c r="M14638" s="1994"/>
      <c r="N14638" s="1994"/>
      <c r="O14638" s="1994"/>
      <c r="P14638" s="1098"/>
    </row>
    <row r="14639" spans="1:16" ht="18">
      <c r="A14639" s="1997" t="s">
        <v>39</v>
      </c>
      <c r="B14639" s="1998"/>
      <c r="C14639" s="1990"/>
      <c r="D14639" s="1989"/>
      <c r="E14639" s="1812"/>
      <c r="F14639" s="1809"/>
      <c r="G14639" s="1993"/>
      <c r="H14639" s="1994"/>
      <c r="I14639" s="1994"/>
      <c r="J14639" s="1994"/>
      <c r="K14639" s="1994"/>
      <c r="L14639" s="1994"/>
      <c r="M14639" s="1994"/>
      <c r="N14639" s="1994"/>
      <c r="O14639" s="1994"/>
      <c r="P14639" s="1098"/>
    </row>
    <row r="14640" spans="1:16" ht="18">
      <c r="A14640" s="1997" t="s">
        <v>40</v>
      </c>
      <c r="B14640" s="1998"/>
      <c r="C14640" s="1990"/>
      <c r="D14640" s="1989"/>
      <c r="E14640" s="1812"/>
      <c r="F14640" s="1809"/>
      <c r="G14640" s="1993"/>
      <c r="H14640" s="1994"/>
      <c r="I14640" s="1994"/>
      <c r="J14640" s="1994"/>
      <c r="K14640" s="1994"/>
      <c r="L14640" s="1994"/>
      <c r="M14640" s="1994"/>
      <c r="N14640" s="1994"/>
      <c r="O14640" s="1994"/>
      <c r="P14640" s="1098"/>
    </row>
    <row r="14641" spans="1:16" ht="18.600000000000001" thickBot="1">
      <c r="A14641" s="1999" t="s">
        <v>41</v>
      </c>
      <c r="B14641" s="2000"/>
      <c r="C14641" s="2001"/>
      <c r="D14641" s="2002"/>
      <c r="E14641" s="696"/>
      <c r="F14641" s="1810"/>
      <c r="G14641" s="1995"/>
      <c r="H14641" s="1996"/>
      <c r="I14641" s="1996"/>
      <c r="J14641" s="1996"/>
      <c r="K14641" s="1996"/>
      <c r="L14641" s="1996"/>
      <c r="M14641" s="1996"/>
      <c r="N14641" s="1996"/>
      <c r="O14641" s="1996"/>
      <c r="P14641" s="1098"/>
    </row>
    <row r="14642" spans="1:16" ht="18">
      <c r="A14642" s="690"/>
      <c r="B14642" s="691"/>
      <c r="C14642" s="691"/>
      <c r="D14642" s="691"/>
      <c r="E14642" s="691"/>
      <c r="F14642" s="1803"/>
      <c r="G14642" s="691"/>
      <c r="H14642" s="698"/>
      <c r="I14642" s="699"/>
      <c r="J14642" s="700"/>
      <c r="K14642" s="701"/>
      <c r="L14642" s="702"/>
      <c r="M14642" s="691"/>
      <c r="N14642" s="1803"/>
      <c r="O14642" s="691"/>
      <c r="P14642" s="1098"/>
    </row>
    <row r="14643" spans="1:16" ht="18">
      <c r="A14643" s="703" t="s">
        <v>42</v>
      </c>
      <c r="B14643" s="704"/>
      <c r="C14643" s="691"/>
      <c r="D14643" s="691"/>
      <c r="E14643" s="691"/>
      <c r="F14643" s="1803"/>
      <c r="G14643" s="704"/>
      <c r="H14643" s="698"/>
      <c r="I14643" s="699"/>
      <c r="J14643" s="700"/>
      <c r="K14643" s="693"/>
      <c r="L14643" s="705"/>
      <c r="M14643" s="691"/>
      <c r="N14643" s="1979" t="s">
        <v>43</v>
      </c>
      <c r="O14643" s="1979"/>
      <c r="P14643" s="1098"/>
    </row>
    <row r="14644" spans="1:16" ht="18">
      <c r="A14644" s="703"/>
      <c r="B14644" s="704"/>
      <c r="C14644" s="691"/>
      <c r="D14644" s="691"/>
      <c r="E14644" s="691"/>
      <c r="F14644" s="1803"/>
      <c r="G14644" s="691"/>
      <c r="H14644" s="1803"/>
      <c r="I14644" s="1849"/>
      <c r="J14644" s="691"/>
      <c r="K14644" s="693"/>
      <c r="L14644" s="1803"/>
      <c r="M14644" s="691"/>
      <c r="N14644" s="1803"/>
      <c r="O14644" s="704"/>
      <c r="P14644" s="1098"/>
    </row>
    <row r="14645" spans="1:16" ht="18">
      <c r="A14645" s="703" t="s">
        <v>44</v>
      </c>
      <c r="B14645" s="704"/>
      <c r="C14645" s="691"/>
      <c r="D14645" s="691"/>
      <c r="E14645" s="691"/>
      <c r="F14645" s="1803"/>
      <c r="G14645" s="691"/>
      <c r="H14645" s="1803"/>
      <c r="I14645" s="1849"/>
      <c r="J14645" s="691"/>
      <c r="K14645" s="693"/>
      <c r="L14645" s="1803"/>
      <c r="M14645" s="691"/>
      <c r="N14645" s="1979" t="s">
        <v>45</v>
      </c>
      <c r="O14645" s="1979"/>
      <c r="P14645" s="1098"/>
    </row>
    <row r="14646" spans="1:16" ht="18.600000000000001" thickBot="1">
      <c r="A14646" s="682"/>
      <c r="B14646" s="683"/>
      <c r="C14646" s="683"/>
      <c r="D14646" s="683"/>
      <c r="E14646" s="683"/>
      <c r="F14646" s="684"/>
      <c r="G14646" s="683"/>
      <c r="H14646" s="684"/>
      <c r="I14646" s="1850"/>
      <c r="J14646" s="683"/>
      <c r="K14646" s="706"/>
      <c r="L14646" s="684"/>
      <c r="M14646" s="683"/>
      <c r="N14646" s="684"/>
      <c r="O14646" s="683"/>
      <c r="P14646" s="1099"/>
    </row>
    <row r="14650" spans="1:16" ht="17.399999999999999">
      <c r="A14650" s="711" t="s">
        <v>48</v>
      </c>
      <c r="B14650" s="711"/>
      <c r="C14650" s="712"/>
      <c r="D14650" s="712"/>
      <c r="E14650" s="712"/>
      <c r="F14650" s="713"/>
      <c r="G14650" s="712"/>
      <c r="H14650" s="712"/>
      <c r="I14650" s="714"/>
      <c r="J14650" s="715"/>
      <c r="K14650" s="716"/>
      <c r="L14650" s="1978" t="s">
        <v>0</v>
      </c>
      <c r="M14650" s="1978"/>
      <c r="N14650" s="1978"/>
      <c r="O14650" s="1978"/>
      <c r="P14650" s="717"/>
    </row>
    <row r="14651" spans="1:16" ht="17.399999999999999">
      <c r="A14651" s="718" t="s">
        <v>1</v>
      </c>
      <c r="B14651" s="718"/>
      <c r="C14651" s="718"/>
      <c r="D14651" s="719" t="s">
        <v>2</v>
      </c>
      <c r="E14651" s="719"/>
      <c r="F14651" s="720"/>
      <c r="G14651" s="720"/>
      <c r="H14651" s="720"/>
      <c r="I14651" s="721"/>
      <c r="J14651" s="1811"/>
      <c r="K14651" s="723" t="s">
        <v>3</v>
      </c>
      <c r="L14651" s="1811"/>
      <c r="M14651" s="718"/>
      <c r="N14651" s="720"/>
      <c r="O14651" s="718"/>
      <c r="P14651" s="724"/>
    </row>
    <row r="14652" spans="1:16" ht="52.2">
      <c r="A14652" s="640" t="s">
        <v>4</v>
      </c>
      <c r="B14652" s="640" t="s">
        <v>5</v>
      </c>
      <c r="C14652" s="640" t="s">
        <v>6</v>
      </c>
      <c r="D14652" s="640" t="s">
        <v>7</v>
      </c>
      <c r="E14652" s="640" t="s">
        <v>8</v>
      </c>
      <c r="F14652" s="641" t="s">
        <v>9</v>
      </c>
      <c r="G14652" s="642" t="s">
        <v>10</v>
      </c>
      <c r="H14652" s="642" t="s">
        <v>11</v>
      </c>
      <c r="I14652" s="643" t="s">
        <v>12</v>
      </c>
      <c r="J14652" s="644" t="s">
        <v>13</v>
      </c>
      <c r="K14652" s="645" t="s">
        <v>14</v>
      </c>
      <c r="L14652" s="646" t="s">
        <v>15</v>
      </c>
      <c r="M14652" s="641" t="s">
        <v>16</v>
      </c>
      <c r="N14652" s="641" t="s">
        <v>17</v>
      </c>
      <c r="O14652" s="642" t="s">
        <v>18</v>
      </c>
      <c r="P14652" s="641" t="s">
        <v>192</v>
      </c>
    </row>
    <row r="14667" spans="1:17" ht="18">
      <c r="A14667" s="653" t="s">
        <v>48</v>
      </c>
      <c r="B14667" s="653"/>
      <c r="C14667" s="654"/>
      <c r="D14667" s="654"/>
      <c r="E14667" s="654"/>
      <c r="F14667" s="1812"/>
      <c r="G14667" s="654"/>
      <c r="H14667" s="1812"/>
      <c r="I14667" s="656"/>
      <c r="J14667" s="654"/>
      <c r="K14667" s="657"/>
      <c r="L14667" s="2003" t="s">
        <v>0</v>
      </c>
      <c r="M14667" s="2003"/>
      <c r="N14667" s="2003"/>
      <c r="O14667" s="2004"/>
      <c r="P14667" s="1097"/>
    </row>
    <row r="14668" spans="1:17" ht="18">
      <c r="A14668" s="658" t="s">
        <v>1</v>
      </c>
      <c r="B14668" s="658"/>
      <c r="C14668" s="658"/>
      <c r="D14668" s="659" t="s">
        <v>2</v>
      </c>
      <c r="E14668" s="659"/>
      <c r="F14668" s="660"/>
      <c r="G14668" s="660"/>
      <c r="H14668" s="660"/>
      <c r="I14668" s="661"/>
      <c r="J14668" s="660"/>
      <c r="K14668" s="662" t="s">
        <v>3</v>
      </c>
      <c r="L14668" s="660"/>
      <c r="M14668" s="658"/>
      <c r="N14668" s="660"/>
      <c r="O14668" s="663"/>
      <c r="P14668" s="1098"/>
    </row>
    <row r="14669" spans="1:17" ht="18">
      <c r="A14669" s="1812" t="s">
        <v>22</v>
      </c>
      <c r="B14669" s="1990" t="s">
        <v>23</v>
      </c>
      <c r="C14669" s="2005"/>
      <c r="D14669" s="1989"/>
      <c r="E14669" s="1812" t="s">
        <v>24</v>
      </c>
      <c r="F14669" s="1990" t="s">
        <v>25</v>
      </c>
      <c r="G14669" s="1989"/>
      <c r="H14669" s="1990" t="s">
        <v>26</v>
      </c>
      <c r="I14669" s="2005"/>
      <c r="J14669" s="2005"/>
      <c r="K14669" s="1989"/>
      <c r="L14669" s="2006" t="s">
        <v>27</v>
      </c>
      <c r="M14669" s="2006"/>
      <c r="N14669" s="2006"/>
      <c r="O14669" s="1990"/>
      <c r="P14669" s="1098"/>
    </row>
    <row r="14670" spans="1:17" ht="18">
      <c r="A14670" s="664"/>
      <c r="B14670" s="1975"/>
      <c r="C14670" s="1976"/>
      <c r="D14670" s="1977"/>
      <c r="E14670" s="665"/>
      <c r="F14670" s="1975"/>
      <c r="G14670" s="1977"/>
      <c r="H14670" s="1975"/>
      <c r="I14670" s="1976"/>
      <c r="J14670" s="1976"/>
      <c r="K14670" s="1977"/>
      <c r="L14670" s="1975"/>
      <c r="M14670" s="1976"/>
      <c r="N14670" s="1976"/>
      <c r="O14670" s="1976"/>
      <c r="P14670" s="1098"/>
    </row>
    <row r="14671" spans="1:17" ht="18">
      <c r="A14671" s="664"/>
      <c r="B14671" s="1804"/>
      <c r="C14671" s="1805"/>
      <c r="D14671" s="1806"/>
      <c r="E14671" s="665"/>
      <c r="F14671" s="1804"/>
      <c r="G14671" s="1806"/>
      <c r="H14671" s="1804"/>
      <c r="I14671" s="1842"/>
      <c r="J14671" s="1805"/>
      <c r="K14671" s="1806"/>
      <c r="L14671" s="1805"/>
      <c r="M14671" s="1805"/>
      <c r="N14671" s="1805"/>
      <c r="O14671" s="1805"/>
      <c r="P14671" s="1098"/>
    </row>
    <row r="14672" spans="1:17" ht="18">
      <c r="A14672" s="664" t="s">
        <v>28</v>
      </c>
      <c r="B14672" s="1975" t="s">
        <v>145</v>
      </c>
      <c r="C14672" s="1976"/>
      <c r="D14672" s="1977"/>
      <c r="E14672" s="665">
        <v>107.08</v>
      </c>
      <c r="F14672" s="1973">
        <v>13</v>
      </c>
      <c r="G14672" s="1974"/>
      <c r="H14672" s="1975" t="s">
        <v>447</v>
      </c>
      <c r="I14672" s="1976"/>
      <c r="J14672" s="1976"/>
      <c r="K14672" s="1977"/>
      <c r="L14672" s="1975" t="s">
        <v>1631</v>
      </c>
      <c r="M14672" s="1976"/>
      <c r="N14672" s="1976"/>
      <c r="O14672" s="2008"/>
      <c r="P14672" s="1098"/>
      <c r="Q14672" s="497">
        <v>1</v>
      </c>
    </row>
    <row r="14673" spans="1:17" ht="18">
      <c r="A14673" s="664" t="s">
        <v>29</v>
      </c>
      <c r="B14673" s="1975" t="s">
        <v>146</v>
      </c>
      <c r="C14673" s="1976"/>
      <c r="D14673" s="1977"/>
      <c r="E14673" s="665">
        <v>29.62</v>
      </c>
      <c r="F14673" s="1973">
        <v>13</v>
      </c>
      <c r="G14673" s="1974"/>
      <c r="H14673" s="1975" t="s">
        <v>447</v>
      </c>
      <c r="I14673" s="1976"/>
      <c r="J14673" s="1976"/>
      <c r="K14673" s="1977"/>
      <c r="L14673" s="1976" t="s">
        <v>1631</v>
      </c>
      <c r="M14673" s="1976"/>
      <c r="N14673" s="1976"/>
      <c r="O14673" s="1976"/>
      <c r="P14673" s="1098"/>
      <c r="Q14673" s="497">
        <v>2</v>
      </c>
    </row>
    <row r="14674" spans="1:17" s="1737" customFormat="1" ht="18">
      <c r="A14674" s="664"/>
      <c r="B14674" s="1804"/>
      <c r="C14674" s="1805"/>
      <c r="D14674" s="1806"/>
      <c r="E14674" s="665"/>
      <c r="F14674" s="1807"/>
      <c r="G14674" s="1808"/>
      <c r="H14674" s="1804"/>
      <c r="I14674" s="1842"/>
      <c r="J14674" s="1805"/>
      <c r="K14674" s="1806"/>
      <c r="L14674" s="1805"/>
      <c r="M14674" s="1805"/>
      <c r="N14674" s="1805"/>
      <c r="O14674" s="1805"/>
      <c r="P14674" s="1098"/>
    </row>
    <row r="14675" spans="1:17" s="1737" customFormat="1" ht="18">
      <c r="A14675" s="664"/>
      <c r="B14675" s="1804"/>
      <c r="C14675" s="1805"/>
      <c r="D14675" s="1806"/>
      <c r="E14675" s="665"/>
      <c r="F14675" s="1807"/>
      <c r="G14675" s="1808"/>
      <c r="H14675" s="1804"/>
      <c r="I14675" s="1842"/>
      <c r="J14675" s="1805"/>
      <c r="K14675" s="1806"/>
      <c r="L14675" s="1805"/>
      <c r="M14675" s="1805"/>
      <c r="N14675" s="1805"/>
      <c r="O14675" s="1805"/>
      <c r="P14675" s="1098"/>
    </row>
    <row r="14676" spans="1:17" ht="18">
      <c r="A14676" s="664" t="s">
        <v>30</v>
      </c>
      <c r="B14676" s="1975" t="s">
        <v>146</v>
      </c>
      <c r="C14676" s="1976"/>
      <c r="D14676" s="1977"/>
      <c r="E14676" s="665">
        <v>61.78</v>
      </c>
      <c r="F14676" s="1973">
        <v>13</v>
      </c>
      <c r="G14676" s="1974"/>
      <c r="H14676" s="1975" t="s">
        <v>49</v>
      </c>
      <c r="I14676" s="1976"/>
      <c r="J14676" s="1976"/>
      <c r="K14676" s="1977"/>
      <c r="L14676" s="1976" t="s">
        <v>1733</v>
      </c>
      <c r="M14676" s="1976"/>
      <c r="N14676" s="1976"/>
      <c r="O14676" s="1976"/>
      <c r="P14676" s="1098"/>
      <c r="Q14676" s="497">
        <v>3</v>
      </c>
    </row>
    <row r="14677" spans="1:17" ht="18">
      <c r="A14677" s="664" t="s">
        <v>46</v>
      </c>
      <c r="B14677" s="1975" t="s">
        <v>144</v>
      </c>
      <c r="C14677" s="1976"/>
      <c r="D14677" s="1977"/>
      <c r="E14677" s="665">
        <v>5</v>
      </c>
      <c r="F14677" s="1973">
        <v>13</v>
      </c>
      <c r="G14677" s="1974"/>
      <c r="H14677" s="1975" t="s">
        <v>49</v>
      </c>
      <c r="I14677" s="1976"/>
      <c r="J14677" s="1976"/>
      <c r="K14677" s="1977"/>
      <c r="L14677" s="1976" t="s">
        <v>1631</v>
      </c>
      <c r="M14677" s="1976"/>
      <c r="N14677" s="1976"/>
      <c r="O14677" s="1976"/>
      <c r="P14677" s="1098"/>
      <c r="Q14677" s="497">
        <v>4</v>
      </c>
    </row>
    <row r="14678" spans="1:17" ht="18">
      <c r="A14678" s="664"/>
      <c r="B14678" s="1975"/>
      <c r="C14678" s="1976"/>
      <c r="D14678" s="1977"/>
      <c r="E14678" s="665"/>
      <c r="F14678" s="1973"/>
      <c r="G14678" s="1974"/>
      <c r="H14678" s="1975"/>
      <c r="I14678" s="1976"/>
      <c r="J14678" s="1976"/>
      <c r="K14678" s="1977"/>
      <c r="L14678" s="1976"/>
      <c r="M14678" s="1976"/>
      <c r="N14678" s="1976"/>
      <c r="O14678" s="1976"/>
      <c r="P14678" s="1098"/>
    </row>
    <row r="14679" spans="1:17" ht="18">
      <c r="A14679" s="664" t="s">
        <v>58</v>
      </c>
      <c r="B14679" s="1975" t="s">
        <v>254</v>
      </c>
      <c r="C14679" s="1976"/>
      <c r="D14679" s="1977"/>
      <c r="E14679" s="665">
        <v>15.516999999999999</v>
      </c>
      <c r="F14679" s="1973">
        <v>13</v>
      </c>
      <c r="G14679" s="1974"/>
      <c r="H14679" s="1975" t="s">
        <v>582</v>
      </c>
      <c r="I14679" s="1976"/>
      <c r="J14679" s="1976"/>
      <c r="K14679" s="1977"/>
      <c r="L14679" s="1975" t="s">
        <v>1138</v>
      </c>
      <c r="M14679" s="1976"/>
      <c r="N14679" s="1976"/>
      <c r="O14679" s="2008"/>
      <c r="P14679" s="1098"/>
      <c r="Q14679" s="497">
        <v>5</v>
      </c>
    </row>
    <row r="14680" spans="1:17" s="1737" customFormat="1" ht="18">
      <c r="A14680" s="664"/>
      <c r="B14680" s="1804"/>
      <c r="C14680" s="1805"/>
      <c r="D14680" s="1806"/>
      <c r="E14680" s="665"/>
      <c r="F14680" s="1807"/>
      <c r="G14680" s="1808"/>
      <c r="H14680" s="1804"/>
      <c r="I14680" s="1842"/>
      <c r="J14680" s="1805"/>
      <c r="K14680" s="1806"/>
      <c r="L14680" s="1805"/>
      <c r="M14680" s="1805"/>
      <c r="N14680" s="1805"/>
      <c r="O14680" s="1805"/>
      <c r="P14680" s="1098"/>
    </row>
    <row r="14681" spans="1:17" ht="18">
      <c r="A14681" s="664"/>
      <c r="B14681" s="1975"/>
      <c r="C14681" s="1976"/>
      <c r="D14681" s="1977"/>
      <c r="E14681" s="665"/>
      <c r="F14681" s="1973"/>
      <c r="G14681" s="1974"/>
      <c r="H14681" s="1975"/>
      <c r="I14681" s="1976"/>
      <c r="J14681" s="1976"/>
      <c r="K14681" s="1977"/>
      <c r="L14681" s="1976"/>
      <c r="M14681" s="1976"/>
      <c r="N14681" s="1976"/>
      <c r="O14681" s="1976"/>
      <c r="P14681" s="1098"/>
    </row>
    <row r="14682" spans="1:17" ht="18.600000000000001" thickBot="1">
      <c r="A14682" s="664"/>
      <c r="B14682" s="1804"/>
      <c r="C14682" s="1805"/>
      <c r="D14682" s="1805"/>
      <c r="E14682" s="665"/>
      <c r="F14682" s="1805"/>
      <c r="G14682" s="1806"/>
      <c r="H14682" s="1804"/>
      <c r="I14682" s="1842"/>
      <c r="J14682" s="1805"/>
      <c r="K14682" s="669"/>
      <c r="L14682" s="672"/>
      <c r="M14682" s="673"/>
      <c r="N14682" s="673"/>
      <c r="O14682" s="673"/>
      <c r="P14682" s="1098"/>
    </row>
    <row r="14683" spans="1:17" ht="18">
      <c r="A14683" s="674"/>
      <c r="B14683" s="675"/>
      <c r="C14683" s="676"/>
      <c r="D14683" s="676"/>
      <c r="E14683" s="1980">
        <f>SUM(E14670:E14682)</f>
        <v>218.99699999999999</v>
      </c>
      <c r="F14683" s="677"/>
      <c r="G14683" s="678"/>
      <c r="H14683" s="679"/>
      <c r="I14683" s="1848"/>
      <c r="J14683" s="676"/>
      <c r="K14683" s="680"/>
      <c r="L14683" s="679"/>
      <c r="M14683" s="676"/>
      <c r="N14683" s="677"/>
      <c r="O14683" s="676"/>
      <c r="P14683" s="1098"/>
    </row>
    <row r="14684" spans="1:17" ht="18.600000000000001" thickBot="1">
      <c r="A14684" s="681"/>
      <c r="B14684" s="682"/>
      <c r="C14684" s="683"/>
      <c r="D14684" s="683"/>
      <c r="E14684" s="1981"/>
      <c r="F14684" s="684"/>
      <c r="G14684" s="685"/>
      <c r="H14684" s="686"/>
      <c r="I14684" s="1850"/>
      <c r="J14684" s="683"/>
      <c r="K14684" s="687"/>
      <c r="L14684" s="686"/>
      <c r="M14684" s="683"/>
      <c r="N14684" s="684"/>
      <c r="O14684" s="683"/>
      <c r="P14684" s="1098"/>
    </row>
    <row r="14685" spans="1:17" ht="18">
      <c r="A14685" s="688" t="s">
        <v>31</v>
      </c>
      <c r="B14685" s="676"/>
      <c r="C14685" s="676"/>
      <c r="D14685" s="676"/>
      <c r="E14685" s="676"/>
      <c r="F14685" s="677"/>
      <c r="G14685" s="676"/>
      <c r="H14685" s="677"/>
      <c r="I14685" s="1848"/>
      <c r="J14685" s="676"/>
      <c r="K14685" s="689"/>
      <c r="L14685" s="677"/>
      <c r="M14685" s="676"/>
      <c r="N14685" s="677"/>
      <c r="O14685" s="676"/>
      <c r="P14685" s="1098"/>
    </row>
    <row r="14686" spans="1:17" ht="18">
      <c r="A14686" s="690"/>
      <c r="B14686" s="691"/>
      <c r="C14686" s="691"/>
      <c r="D14686" s="691"/>
      <c r="E14686" s="691"/>
      <c r="F14686" s="1803"/>
      <c r="G14686" s="691"/>
      <c r="H14686" s="1803"/>
      <c r="I14686" s="1849"/>
      <c r="J14686" s="691"/>
      <c r="K14686" s="693"/>
      <c r="L14686" s="1803"/>
      <c r="M14686" s="691"/>
      <c r="N14686" s="1803"/>
      <c r="O14686" s="691"/>
      <c r="P14686" s="1098"/>
    </row>
    <row r="14687" spans="1:17" ht="18.600000000000001" thickBot="1">
      <c r="A14687" s="1982" t="s">
        <v>32</v>
      </c>
      <c r="B14687" s="1983"/>
      <c r="C14687" s="1984" t="s">
        <v>33</v>
      </c>
      <c r="D14687" s="1985"/>
      <c r="E14687" s="694" t="s">
        <v>34</v>
      </c>
      <c r="F14687" s="694" t="s">
        <v>35</v>
      </c>
      <c r="G14687" s="1986" t="s">
        <v>36</v>
      </c>
      <c r="H14687" s="1987"/>
      <c r="I14687" s="1987"/>
      <c r="J14687" s="1987"/>
      <c r="K14687" s="1987"/>
      <c r="L14687" s="1987"/>
      <c r="M14687" s="1987"/>
      <c r="N14687" s="1987"/>
      <c r="O14687" s="1987"/>
      <c r="P14687" s="1098"/>
    </row>
    <row r="14688" spans="1:17" ht="18">
      <c r="A14688" s="1988"/>
      <c r="B14688" s="1989"/>
      <c r="C14688" s="1990"/>
      <c r="D14688" s="1989"/>
      <c r="E14688" s="1812"/>
      <c r="F14688" s="1809"/>
      <c r="G14688" s="1991"/>
      <c r="H14688" s="1992"/>
      <c r="I14688" s="1992"/>
      <c r="J14688" s="1992"/>
      <c r="K14688" s="1992"/>
      <c r="L14688" s="1992"/>
      <c r="M14688" s="1992"/>
      <c r="N14688" s="1992"/>
      <c r="O14688" s="1992"/>
      <c r="P14688" s="1098"/>
    </row>
    <row r="14689" spans="1:16" ht="18">
      <c r="A14689" s="1997" t="s">
        <v>37</v>
      </c>
      <c r="B14689" s="1998"/>
      <c r="C14689" s="1990"/>
      <c r="D14689" s="1989"/>
      <c r="E14689" s="1812"/>
      <c r="F14689" s="1809"/>
      <c r="G14689" s="1993"/>
      <c r="H14689" s="1994"/>
      <c r="I14689" s="1994"/>
      <c r="J14689" s="1994"/>
      <c r="K14689" s="1994"/>
      <c r="L14689" s="1994"/>
      <c r="M14689" s="1994"/>
      <c r="N14689" s="1994"/>
      <c r="O14689" s="1994"/>
      <c r="P14689" s="1098"/>
    </row>
    <row r="14690" spans="1:16" ht="18">
      <c r="A14690" s="1997" t="s">
        <v>38</v>
      </c>
      <c r="B14690" s="1998"/>
      <c r="C14690" s="1990"/>
      <c r="D14690" s="1989"/>
      <c r="E14690" s="1812"/>
      <c r="F14690" s="1809"/>
      <c r="G14690" s="1993"/>
      <c r="H14690" s="1994"/>
      <c r="I14690" s="1994"/>
      <c r="J14690" s="1994"/>
      <c r="K14690" s="1994"/>
      <c r="L14690" s="1994"/>
      <c r="M14690" s="1994"/>
      <c r="N14690" s="1994"/>
      <c r="O14690" s="1994"/>
      <c r="P14690" s="1098"/>
    </row>
    <row r="14691" spans="1:16" ht="18">
      <c r="A14691" s="1997" t="s">
        <v>39</v>
      </c>
      <c r="B14691" s="1998"/>
      <c r="C14691" s="1990"/>
      <c r="D14691" s="1989"/>
      <c r="E14691" s="1812"/>
      <c r="F14691" s="1809"/>
      <c r="G14691" s="1993"/>
      <c r="H14691" s="1994"/>
      <c r="I14691" s="1994"/>
      <c r="J14691" s="1994"/>
      <c r="K14691" s="1994"/>
      <c r="L14691" s="1994"/>
      <c r="M14691" s="1994"/>
      <c r="N14691" s="1994"/>
      <c r="O14691" s="1994"/>
      <c r="P14691" s="1098"/>
    </row>
    <row r="14692" spans="1:16" ht="18">
      <c r="A14692" s="1997" t="s">
        <v>40</v>
      </c>
      <c r="B14692" s="1998"/>
      <c r="C14692" s="1990"/>
      <c r="D14692" s="1989"/>
      <c r="E14692" s="1812"/>
      <c r="F14692" s="1809"/>
      <c r="G14692" s="1993"/>
      <c r="H14692" s="1994"/>
      <c r="I14692" s="1994"/>
      <c r="J14692" s="1994"/>
      <c r="K14692" s="1994"/>
      <c r="L14692" s="1994"/>
      <c r="M14692" s="1994"/>
      <c r="N14692" s="1994"/>
      <c r="O14692" s="1994"/>
      <c r="P14692" s="1098"/>
    </row>
    <row r="14693" spans="1:16" ht="18.600000000000001" thickBot="1">
      <c r="A14693" s="1999" t="s">
        <v>41</v>
      </c>
      <c r="B14693" s="2000"/>
      <c r="C14693" s="2001"/>
      <c r="D14693" s="2002"/>
      <c r="E14693" s="696"/>
      <c r="F14693" s="1810"/>
      <c r="G14693" s="1995"/>
      <c r="H14693" s="1996"/>
      <c r="I14693" s="1996"/>
      <c r="J14693" s="1996"/>
      <c r="K14693" s="1996"/>
      <c r="L14693" s="1996"/>
      <c r="M14693" s="1996"/>
      <c r="N14693" s="1996"/>
      <c r="O14693" s="1996"/>
      <c r="P14693" s="1098"/>
    </row>
    <row r="14694" spans="1:16" ht="18">
      <c r="A14694" s="690"/>
      <c r="B14694" s="691"/>
      <c r="C14694" s="691"/>
      <c r="D14694" s="691"/>
      <c r="E14694" s="691"/>
      <c r="F14694" s="1803"/>
      <c r="G14694" s="691"/>
      <c r="H14694" s="698"/>
      <c r="I14694" s="699"/>
      <c r="J14694" s="700"/>
      <c r="K14694" s="701"/>
      <c r="L14694" s="702"/>
      <c r="M14694" s="691"/>
      <c r="N14694" s="1803"/>
      <c r="O14694" s="691"/>
      <c r="P14694" s="1098"/>
    </row>
    <row r="14695" spans="1:16" ht="18">
      <c r="A14695" s="703" t="s">
        <v>42</v>
      </c>
      <c r="B14695" s="704"/>
      <c r="C14695" s="691"/>
      <c r="D14695" s="691"/>
      <c r="E14695" s="691"/>
      <c r="F14695" s="1803"/>
      <c r="G14695" s="704"/>
      <c r="H14695" s="698"/>
      <c r="I14695" s="699"/>
      <c r="J14695" s="700"/>
      <c r="K14695" s="693"/>
      <c r="L14695" s="705"/>
      <c r="M14695" s="691"/>
      <c r="N14695" s="1979" t="s">
        <v>43</v>
      </c>
      <c r="O14695" s="1979"/>
      <c r="P14695" s="1098"/>
    </row>
    <row r="14696" spans="1:16" ht="18">
      <c r="A14696" s="703"/>
      <c r="B14696" s="704"/>
      <c r="C14696" s="691"/>
      <c r="D14696" s="691"/>
      <c r="E14696" s="691"/>
      <c r="F14696" s="1803"/>
      <c r="G14696" s="691"/>
      <c r="H14696" s="1803"/>
      <c r="I14696" s="1849"/>
      <c r="J14696" s="691"/>
      <c r="K14696" s="693"/>
      <c r="L14696" s="1803"/>
      <c r="M14696" s="691"/>
      <c r="N14696" s="1803"/>
      <c r="O14696" s="704"/>
      <c r="P14696" s="1098"/>
    </row>
    <row r="14697" spans="1:16" ht="18">
      <c r="A14697" s="703" t="s">
        <v>44</v>
      </c>
      <c r="B14697" s="704"/>
      <c r="C14697" s="691"/>
      <c r="D14697" s="691"/>
      <c r="E14697" s="691"/>
      <c r="F14697" s="1803"/>
      <c r="G14697" s="691"/>
      <c r="H14697" s="1803"/>
      <c r="I14697" s="1849"/>
      <c r="J14697" s="691"/>
      <c r="K14697" s="693"/>
      <c r="L14697" s="1803"/>
      <c r="M14697" s="691"/>
      <c r="N14697" s="1979" t="s">
        <v>45</v>
      </c>
      <c r="O14697" s="1979"/>
      <c r="P14697" s="1098"/>
    </row>
    <row r="14698" spans="1:16" ht="18.600000000000001" thickBot="1">
      <c r="A14698" s="682"/>
      <c r="B14698" s="683"/>
      <c r="C14698" s="683"/>
      <c r="D14698" s="683"/>
      <c r="E14698" s="683"/>
      <c r="F14698" s="684"/>
      <c r="G14698" s="683"/>
      <c r="H14698" s="684"/>
      <c r="I14698" s="1850"/>
      <c r="J14698" s="683"/>
      <c r="K14698" s="706"/>
      <c r="L14698" s="684"/>
      <c r="M14698" s="683"/>
      <c r="N14698" s="684"/>
      <c r="O14698" s="683"/>
      <c r="P14698" s="1099"/>
    </row>
    <row r="14703" spans="1:16" ht="17.399999999999999">
      <c r="A14703" s="711" t="s">
        <v>48</v>
      </c>
      <c r="B14703" s="711"/>
      <c r="C14703" s="712"/>
      <c r="D14703" s="712"/>
      <c r="E14703" s="712"/>
      <c r="F14703" s="713"/>
      <c r="G14703" s="712"/>
      <c r="H14703" s="712"/>
      <c r="I14703" s="714"/>
      <c r="J14703" s="715"/>
      <c r="K14703" s="716"/>
      <c r="L14703" s="1978" t="s">
        <v>0</v>
      </c>
      <c r="M14703" s="1978"/>
      <c r="N14703" s="1978"/>
      <c r="O14703" s="1978"/>
      <c r="P14703" s="717"/>
    </row>
    <row r="14704" spans="1:16" ht="17.399999999999999">
      <c r="A14704" s="718" t="s">
        <v>1</v>
      </c>
      <c r="B14704" s="718"/>
      <c r="C14704" s="718"/>
      <c r="D14704" s="719" t="s">
        <v>2</v>
      </c>
      <c r="E14704" s="719"/>
      <c r="F14704" s="720"/>
      <c r="G14704" s="720"/>
      <c r="H14704" s="720"/>
      <c r="I14704" s="721"/>
      <c r="J14704" s="1813"/>
      <c r="K14704" s="723" t="s">
        <v>3</v>
      </c>
      <c r="L14704" s="1813"/>
      <c r="M14704" s="718"/>
      <c r="N14704" s="720"/>
      <c r="O14704" s="718"/>
      <c r="P14704" s="724"/>
    </row>
    <row r="14705" spans="1:19" ht="52.2">
      <c r="A14705" s="640" t="s">
        <v>4</v>
      </c>
      <c r="B14705" s="640" t="s">
        <v>5</v>
      </c>
      <c r="C14705" s="640" t="s">
        <v>6</v>
      </c>
      <c r="D14705" s="640" t="s">
        <v>7</v>
      </c>
      <c r="E14705" s="640" t="s">
        <v>8</v>
      </c>
      <c r="F14705" s="641" t="s">
        <v>9</v>
      </c>
      <c r="G14705" s="642" t="s">
        <v>10</v>
      </c>
      <c r="H14705" s="642" t="s">
        <v>11</v>
      </c>
      <c r="I14705" s="643" t="s">
        <v>12</v>
      </c>
      <c r="J14705" s="644" t="s">
        <v>13</v>
      </c>
      <c r="K14705" s="645" t="s">
        <v>14</v>
      </c>
      <c r="L14705" s="646" t="s">
        <v>15</v>
      </c>
      <c r="M14705" s="641" t="s">
        <v>16</v>
      </c>
      <c r="N14705" s="641" t="s">
        <v>17</v>
      </c>
      <c r="O14705" s="642" t="s">
        <v>18</v>
      </c>
      <c r="P14705" s="641" t="s">
        <v>192</v>
      </c>
    </row>
    <row r="14706" spans="1:19" ht="17.399999999999999">
      <c r="A14706" s="547" t="s">
        <v>272</v>
      </c>
      <c r="B14706" s="547" t="s">
        <v>1665</v>
      </c>
      <c r="C14706" s="547" t="s">
        <v>446</v>
      </c>
      <c r="D14706" s="813" t="s">
        <v>447</v>
      </c>
      <c r="E14706" s="547" t="s">
        <v>359</v>
      </c>
      <c r="F14706" s="550">
        <v>13</v>
      </c>
      <c r="G14706" s="549" t="s">
        <v>21</v>
      </c>
      <c r="H14706" s="599" t="s">
        <v>123</v>
      </c>
      <c r="I14706" s="558">
        <v>16.5</v>
      </c>
      <c r="J14706" s="567">
        <v>6.55</v>
      </c>
      <c r="K14706" s="648">
        <v>84</v>
      </c>
      <c r="L14706" s="552">
        <f t="shared" ref="L14706:L14712" si="2921">(I14706*J14706*K14706/1000)</f>
        <v>9.0783000000000005</v>
      </c>
      <c r="M14706" s="549"/>
      <c r="N14706" s="549"/>
      <c r="O14706" s="549"/>
      <c r="P14706" s="549"/>
      <c r="Q14706" s="1737" t="s">
        <v>1798</v>
      </c>
    </row>
    <row r="14707" spans="1:19" ht="17.399999999999999">
      <c r="A14707" s="549"/>
      <c r="B14707" s="549"/>
      <c r="C14707" s="549"/>
      <c r="D14707" s="549"/>
      <c r="E14707" s="549"/>
      <c r="F14707" s="549"/>
      <c r="G14707" s="549" t="s">
        <v>21</v>
      </c>
      <c r="H14707" s="549" t="s">
        <v>123</v>
      </c>
      <c r="I14707" s="558">
        <v>16.5</v>
      </c>
      <c r="J14707" s="567">
        <v>7.1</v>
      </c>
      <c r="K14707" s="648">
        <v>188</v>
      </c>
      <c r="L14707" s="552">
        <f t="shared" si="2921"/>
        <v>22.024199999999997</v>
      </c>
      <c r="M14707" s="549"/>
      <c r="N14707" s="549"/>
      <c r="O14707" s="549"/>
      <c r="P14707" s="549"/>
    </row>
    <row r="14708" spans="1:19" ht="17.399999999999999">
      <c r="A14708" s="549"/>
      <c r="B14708" s="549"/>
      <c r="C14708" s="549"/>
      <c r="D14708" s="549"/>
      <c r="E14708" s="549"/>
      <c r="F14708" s="549"/>
      <c r="G14708" s="549" t="s">
        <v>21</v>
      </c>
      <c r="H14708" s="549" t="s">
        <v>123</v>
      </c>
      <c r="I14708" s="558">
        <v>16.5</v>
      </c>
      <c r="J14708" s="567">
        <v>8.9</v>
      </c>
      <c r="K14708" s="648">
        <v>84</v>
      </c>
      <c r="L14708" s="552">
        <f t="shared" si="2921"/>
        <v>12.3354</v>
      </c>
      <c r="M14708" s="549"/>
      <c r="N14708" s="549"/>
      <c r="O14708" s="549"/>
      <c r="P14708" s="549"/>
    </row>
    <row r="14709" spans="1:19" ht="17.399999999999999">
      <c r="A14709" s="549"/>
      <c r="B14709" s="549"/>
      <c r="C14709" s="549"/>
      <c r="D14709" s="549"/>
      <c r="E14709" s="549"/>
      <c r="F14709" s="549"/>
      <c r="G14709" s="549" t="s">
        <v>21</v>
      </c>
      <c r="H14709" s="549" t="s">
        <v>123</v>
      </c>
      <c r="I14709" s="558">
        <v>16.5</v>
      </c>
      <c r="J14709" s="567">
        <v>10.3</v>
      </c>
      <c r="K14709" s="648">
        <v>1</v>
      </c>
      <c r="L14709" s="552">
        <f t="shared" si="2921"/>
        <v>0.16995000000000002</v>
      </c>
      <c r="M14709" s="549"/>
      <c r="N14709" s="549"/>
      <c r="O14709" s="549"/>
      <c r="P14709" s="549"/>
    </row>
    <row r="14710" spans="1:19" ht="17.399999999999999">
      <c r="A14710" s="549"/>
      <c r="B14710" s="549"/>
      <c r="C14710" s="549"/>
      <c r="D14710" s="549"/>
      <c r="E14710" s="549"/>
      <c r="F14710" s="549"/>
      <c r="G14710" s="549" t="s">
        <v>21</v>
      </c>
      <c r="H14710" s="549" t="s">
        <v>123</v>
      </c>
      <c r="I14710" s="558">
        <v>16.5</v>
      </c>
      <c r="J14710" s="567">
        <v>11.2</v>
      </c>
      <c r="K14710" s="648">
        <v>43</v>
      </c>
      <c r="L14710" s="552">
        <f t="shared" si="2921"/>
        <v>7.9463999999999997</v>
      </c>
      <c r="M14710" s="549"/>
      <c r="N14710" s="549"/>
      <c r="O14710" s="549"/>
      <c r="P14710" s="549"/>
    </row>
    <row r="14711" spans="1:19" ht="17.399999999999999">
      <c r="A14711" s="549"/>
      <c r="B14711" s="549"/>
      <c r="C14711" s="549"/>
      <c r="D14711" s="549"/>
      <c r="E14711" s="549"/>
      <c r="F14711" s="549"/>
      <c r="G14711" s="549" t="s">
        <v>21</v>
      </c>
      <c r="H14711" s="549" t="s">
        <v>123</v>
      </c>
      <c r="I14711" s="558">
        <v>16.5</v>
      </c>
      <c r="J14711" s="567">
        <v>11.8</v>
      </c>
      <c r="K14711" s="648">
        <v>94</v>
      </c>
      <c r="L14711" s="552">
        <f t="shared" si="2921"/>
        <v>18.301800000000004</v>
      </c>
      <c r="M14711" s="549"/>
      <c r="N14711" s="549"/>
      <c r="O14711" s="549"/>
      <c r="P14711" s="549"/>
    </row>
    <row r="14712" spans="1:19" ht="17.399999999999999">
      <c r="A14712" s="549"/>
      <c r="B14712" s="549"/>
      <c r="C14712" s="549"/>
      <c r="D14712" s="549"/>
      <c r="E14712" s="549"/>
      <c r="F14712" s="549"/>
      <c r="G14712" s="549" t="s">
        <v>21</v>
      </c>
      <c r="H14712" s="549" t="s">
        <v>123</v>
      </c>
      <c r="I14712" s="558">
        <v>16.5</v>
      </c>
      <c r="J14712" s="567">
        <v>12</v>
      </c>
      <c r="K14712" s="648">
        <v>188</v>
      </c>
      <c r="L14712" s="552">
        <f t="shared" si="2921"/>
        <v>37.223999999999997</v>
      </c>
      <c r="M14712" s="549"/>
      <c r="N14712" s="549"/>
      <c r="O14712" s="549"/>
      <c r="P14712" s="549"/>
    </row>
    <row r="14713" spans="1:19" ht="17.399999999999999">
      <c r="A14713" s="549"/>
      <c r="B14713" s="549"/>
      <c r="C14713" s="549"/>
      <c r="D14713" s="549"/>
      <c r="E14713" s="549"/>
      <c r="F14713" s="549"/>
      <c r="G14713" s="549"/>
      <c r="H14713" s="549"/>
      <c r="I14713" s="558"/>
      <c r="J14713" s="567"/>
      <c r="K14713" s="648">
        <f>SUM(K14706:K14712)</f>
        <v>682</v>
      </c>
      <c r="L14713" s="567">
        <f>SUM(L14706:L14712)</f>
        <v>107.08005</v>
      </c>
      <c r="M14713" s="549"/>
      <c r="N14713" s="549"/>
      <c r="O14713" s="549"/>
      <c r="P14713" s="549" t="s">
        <v>1761</v>
      </c>
    </row>
    <row r="14714" spans="1:19" ht="17.399999999999999">
      <c r="A14714" s="549"/>
      <c r="B14714" s="549"/>
      <c r="C14714" s="549"/>
      <c r="D14714" s="549"/>
      <c r="E14714" s="549"/>
      <c r="F14714" s="549"/>
      <c r="G14714" s="549"/>
      <c r="H14714" s="549"/>
      <c r="I14714" s="558"/>
      <c r="J14714" s="549"/>
      <c r="K14714" s="561"/>
      <c r="L14714" s="560"/>
      <c r="M14714" s="549"/>
      <c r="N14714" s="549"/>
      <c r="O14714" s="549"/>
      <c r="P14714" s="549"/>
    </row>
    <row r="14715" spans="1:19" ht="17.399999999999999">
      <c r="A14715" s="549"/>
      <c r="B14715" s="549"/>
      <c r="C14715" s="549"/>
      <c r="D14715" s="549"/>
      <c r="E14715" s="549"/>
      <c r="F14715" s="549"/>
      <c r="G14715" s="549"/>
      <c r="H14715" s="549"/>
      <c r="I14715" s="558"/>
      <c r="J14715" s="549"/>
      <c r="K14715" s="561"/>
      <c r="L14715" s="560"/>
      <c r="M14715" s="549"/>
      <c r="N14715" s="549"/>
      <c r="O14715" s="549"/>
      <c r="P14715" s="549"/>
    </row>
    <row r="14716" spans="1:19" ht="17.399999999999999">
      <c r="A14716" s="547" t="s">
        <v>272</v>
      </c>
      <c r="B14716" s="547" t="s">
        <v>1665</v>
      </c>
      <c r="C14716" s="547" t="s">
        <v>446</v>
      </c>
      <c r="D14716" s="813" t="s">
        <v>447</v>
      </c>
      <c r="E14716" s="547" t="s">
        <v>359</v>
      </c>
      <c r="F14716" s="550">
        <v>13</v>
      </c>
      <c r="G14716" s="549" t="s">
        <v>21</v>
      </c>
      <c r="H14716" s="599" t="s">
        <v>122</v>
      </c>
      <c r="I14716" s="558">
        <v>14.66</v>
      </c>
      <c r="J14716" s="567">
        <v>8.65</v>
      </c>
      <c r="K14716" s="648">
        <v>30</v>
      </c>
      <c r="L14716" s="552">
        <f t="shared" ref="L14716:L14719" si="2922">(I14716*J14716*K14716/1000)</f>
        <v>3.8042700000000003</v>
      </c>
      <c r="M14716" s="549"/>
      <c r="N14716" s="549"/>
      <c r="O14716" s="549"/>
      <c r="P14716" s="549"/>
      <c r="Q14716" s="497">
        <v>27</v>
      </c>
      <c r="R14716" s="1737">
        <f t="shared" ref="R14716:R14719" si="2923">J14716*Q14716*I14716/1000</f>
        <v>3.4238430000000002</v>
      </c>
      <c r="S14716" s="1737" t="s">
        <v>1798</v>
      </c>
    </row>
    <row r="14717" spans="1:19" ht="17.399999999999999">
      <c r="A14717" s="549"/>
      <c r="B14717" s="549"/>
      <c r="C14717" s="549"/>
      <c r="D14717" s="549"/>
      <c r="E14717" s="549"/>
      <c r="F14717" s="549"/>
      <c r="G14717" s="549" t="s">
        <v>21</v>
      </c>
      <c r="H14717" s="549" t="s">
        <v>122</v>
      </c>
      <c r="I14717" s="558">
        <v>14.66</v>
      </c>
      <c r="J14717" s="567">
        <v>10</v>
      </c>
      <c r="K14717" s="648">
        <v>30</v>
      </c>
      <c r="L14717" s="552">
        <f t="shared" si="2922"/>
        <v>4.3979999999999997</v>
      </c>
      <c r="M14717" s="549"/>
      <c r="N14717" s="549"/>
      <c r="O14717" s="549"/>
      <c r="P14717" s="549"/>
      <c r="Q14717" s="497">
        <v>18</v>
      </c>
      <c r="R14717" s="1737">
        <f t="shared" si="2923"/>
        <v>2.6388000000000003</v>
      </c>
    </row>
    <row r="14718" spans="1:19" ht="17.399999999999999">
      <c r="A14718" s="549"/>
      <c r="B14718" s="549"/>
      <c r="C14718" s="549"/>
      <c r="D14718" s="549"/>
      <c r="E14718" s="549"/>
      <c r="F14718" s="549"/>
      <c r="G14718" s="549" t="s">
        <v>21</v>
      </c>
      <c r="H14718" s="549" t="s">
        <v>122</v>
      </c>
      <c r="I14718" s="558">
        <v>14.66</v>
      </c>
      <c r="J14718" s="567">
        <v>11.4</v>
      </c>
      <c r="K14718" s="648">
        <v>44</v>
      </c>
      <c r="L14718" s="552">
        <f t="shared" si="2922"/>
        <v>7.3534560000000004</v>
      </c>
      <c r="M14718" s="549"/>
      <c r="N14718" s="549"/>
      <c r="O14718" s="549"/>
      <c r="P14718" s="549"/>
      <c r="Q14718" s="497">
        <v>11</v>
      </c>
      <c r="R14718" s="1737">
        <f t="shared" si="2923"/>
        <v>1.8383640000000001</v>
      </c>
    </row>
    <row r="14719" spans="1:19" ht="17.399999999999999">
      <c r="A14719" s="549"/>
      <c r="B14719" s="549"/>
      <c r="C14719" s="549"/>
      <c r="D14719" s="549"/>
      <c r="E14719" s="549"/>
      <c r="F14719" s="549"/>
      <c r="G14719" s="549" t="s">
        <v>21</v>
      </c>
      <c r="H14719" s="549" t="s">
        <v>122</v>
      </c>
      <c r="I14719" s="558">
        <v>14.66</v>
      </c>
      <c r="J14719" s="567">
        <v>12</v>
      </c>
      <c r="K14719" s="648">
        <v>80</v>
      </c>
      <c r="L14719" s="552">
        <f t="shared" si="2922"/>
        <v>14.073600000000003</v>
      </c>
      <c r="M14719" s="549"/>
      <c r="N14719" s="549"/>
      <c r="O14719" s="549"/>
      <c r="P14719" s="549"/>
      <c r="Q14719" s="497">
        <f>18+14</f>
        <v>32</v>
      </c>
      <c r="R14719" s="1737">
        <f t="shared" si="2923"/>
        <v>5.6294400000000007</v>
      </c>
    </row>
    <row r="14720" spans="1:19" ht="17.399999999999999">
      <c r="A14720" s="549"/>
      <c r="B14720" s="549"/>
      <c r="C14720" s="549"/>
      <c r="D14720" s="549"/>
      <c r="E14720" s="549"/>
      <c r="F14720" s="549"/>
      <c r="G14720" s="549"/>
      <c r="H14720" s="549"/>
      <c r="I14720" s="558"/>
      <c r="J14720" s="567"/>
      <c r="K14720" s="648">
        <f>SUM(K14716:K14719)</f>
        <v>184</v>
      </c>
      <c r="L14720" s="567">
        <f>SUM(L14716:L14719)</f>
        <v>29.629326000000002</v>
      </c>
      <c r="M14720" s="648">
        <f>SUM(M14716:M14719)</f>
        <v>0</v>
      </c>
      <c r="N14720" s="567">
        <f>SUM(N14716:N14719)</f>
        <v>0</v>
      </c>
      <c r="O14720" s="549"/>
      <c r="P14720" s="549" t="s">
        <v>1762</v>
      </c>
      <c r="Q14720" s="648">
        <f>SUM(Q14716:Q14719)</f>
        <v>88</v>
      </c>
      <c r="R14720" s="567">
        <f>SUM(R14716:R14719)</f>
        <v>13.530447000000002</v>
      </c>
    </row>
    <row r="14721" spans="1:21" s="1737" customFormat="1" ht="17.399999999999999">
      <c r="A14721" s="549"/>
      <c r="B14721" s="549"/>
      <c r="C14721" s="549"/>
      <c r="D14721" s="549"/>
      <c r="E14721" s="549"/>
      <c r="F14721" s="549"/>
      <c r="G14721" s="549"/>
      <c r="H14721" s="549"/>
      <c r="I14721" s="558"/>
      <c r="J14721" s="567"/>
      <c r="K14721" s="648"/>
      <c r="L14721" s="567"/>
      <c r="M14721" s="549"/>
      <c r="N14721" s="549"/>
      <c r="O14721" s="549"/>
      <c r="P14721" s="549"/>
    </row>
    <row r="14722" spans="1:21" s="1737" customFormat="1" ht="17.399999999999999">
      <c r="A14722" s="549"/>
      <c r="B14722" s="549"/>
      <c r="C14722" s="549"/>
      <c r="D14722" s="549"/>
      <c r="E14722" s="549"/>
      <c r="F14722" s="549"/>
      <c r="G14722" s="549"/>
      <c r="H14722" s="549"/>
      <c r="I14722" s="558"/>
      <c r="J14722" s="567"/>
      <c r="K14722" s="648"/>
      <c r="L14722" s="567"/>
      <c r="M14722" s="549"/>
      <c r="N14722" s="549"/>
      <c r="O14722" s="549"/>
      <c r="P14722" s="549"/>
    </row>
    <row r="14723" spans="1:21" s="1737" customFormat="1" ht="17.399999999999999">
      <c r="A14723" s="549"/>
      <c r="B14723" s="549"/>
      <c r="C14723" s="549"/>
      <c r="D14723" s="549"/>
      <c r="E14723" s="549"/>
      <c r="F14723" s="549"/>
      <c r="G14723" s="549"/>
      <c r="H14723" s="549"/>
      <c r="I14723" s="558"/>
      <c r="J14723" s="567"/>
      <c r="K14723" s="648"/>
      <c r="L14723" s="567"/>
      <c r="M14723" s="549"/>
      <c r="N14723" s="549"/>
      <c r="O14723" s="549"/>
      <c r="P14723" s="549"/>
    </row>
    <row r="14724" spans="1:21" ht="17.399999999999999">
      <c r="A14724" s="547" t="s">
        <v>481</v>
      </c>
      <c r="B14724" s="547" t="s">
        <v>1714</v>
      </c>
      <c r="C14724" s="547" t="s">
        <v>19</v>
      </c>
      <c r="D14724" s="813" t="s">
        <v>854</v>
      </c>
      <c r="E14724" s="754" t="s">
        <v>420</v>
      </c>
      <c r="F14724" s="550">
        <v>13</v>
      </c>
      <c r="G14724" s="549" t="s">
        <v>21</v>
      </c>
      <c r="H14724" s="599" t="s">
        <v>122</v>
      </c>
      <c r="I14724" s="558">
        <v>14.7</v>
      </c>
      <c r="J14724" s="567">
        <v>9</v>
      </c>
      <c r="K14724" s="648">
        <v>110</v>
      </c>
      <c r="L14724" s="552">
        <f>(I14724*J14724*K14724/1000)</f>
        <v>14.552999999999999</v>
      </c>
      <c r="M14724" s="561">
        <v>14</v>
      </c>
      <c r="N14724" s="567">
        <f>J14724*M14724*I14724/1000</f>
        <v>1.8521999999999998</v>
      </c>
      <c r="O14724" s="549"/>
      <c r="P14724" s="549"/>
      <c r="Q14724" s="497">
        <f>20+20</f>
        <v>40</v>
      </c>
      <c r="R14724" s="497">
        <f>J14724*Q14724*I14724/1000</f>
        <v>5.2919999999999998</v>
      </c>
      <c r="S14724" s="1737">
        <f>17+18+18+2</f>
        <v>55</v>
      </c>
      <c r="T14724" s="415">
        <f>J14724*S14724*I14724/1000</f>
        <v>7.2765000000000004</v>
      </c>
      <c r="U14724" s="1737" t="s">
        <v>1798</v>
      </c>
    </row>
    <row r="14725" spans="1:21" ht="17.399999999999999">
      <c r="A14725" s="549"/>
      <c r="B14725" s="1802" t="s">
        <v>1715</v>
      </c>
      <c r="C14725" s="549"/>
      <c r="D14725" s="549"/>
      <c r="E14725" s="549"/>
      <c r="F14725" s="549"/>
      <c r="G14725" s="549" t="s">
        <v>21</v>
      </c>
      <c r="H14725" s="549" t="s">
        <v>122</v>
      </c>
      <c r="I14725" s="558">
        <v>14.7</v>
      </c>
      <c r="J14725" s="567">
        <v>12.6</v>
      </c>
      <c r="K14725" s="648">
        <v>255</v>
      </c>
      <c r="L14725" s="552">
        <f>(I14725*J14725*K14725/1000)</f>
        <v>47.231099999999998</v>
      </c>
      <c r="M14725" s="549"/>
      <c r="N14725" s="549"/>
      <c r="O14725" s="549"/>
      <c r="P14725" s="549"/>
      <c r="Q14725" s="497">
        <f>18+18+18+18+23+1</f>
        <v>96</v>
      </c>
      <c r="R14725" s="126">
        <f>J14725*Q14725*I14725/1000</f>
        <v>17.781119999999998</v>
      </c>
      <c r="S14725">
        <f>17+17+17+6+18+17+17+17+17+1</f>
        <v>144</v>
      </c>
      <c r="T14725" s="415">
        <f>J14725*S14725*I14725/1000</f>
        <v>26.671679999999995</v>
      </c>
    </row>
    <row r="14726" spans="1:21" ht="17.399999999999999">
      <c r="A14726" s="549"/>
      <c r="B14726" s="549"/>
      <c r="C14726" s="549"/>
      <c r="D14726" s="549"/>
      <c r="E14726" s="549"/>
      <c r="F14726" s="549"/>
      <c r="G14726" s="549"/>
      <c r="H14726" s="650"/>
      <c r="I14726" s="558"/>
      <c r="J14726" s="710"/>
      <c r="K14726" s="648">
        <f>SUM(K14724:K14725)</f>
        <v>365</v>
      </c>
      <c r="L14726" s="765">
        <f>SUM(L14724:L14725)</f>
        <v>61.784099999999995</v>
      </c>
      <c r="M14726" s="648">
        <f>SUM(M14724:M14725)</f>
        <v>14</v>
      </c>
      <c r="N14726" s="765">
        <f>SUM(N14724:N14725)</f>
        <v>1.8521999999999998</v>
      </c>
      <c r="O14726" s="549"/>
      <c r="P14726" s="549" t="s">
        <v>1763</v>
      </c>
      <c r="Q14726" s="648">
        <f>SUM(Q14724:Q14725)</f>
        <v>136</v>
      </c>
      <c r="R14726" s="765">
        <f>SUM(R14724:R14725)</f>
        <v>23.073119999999996</v>
      </c>
      <c r="S14726" s="648">
        <f>SUM(S14724:S14725)</f>
        <v>199</v>
      </c>
      <c r="T14726" s="1158">
        <f>SUM(T14724:T14725)</f>
        <v>33.948179999999994</v>
      </c>
    </row>
    <row r="14727" spans="1:21" ht="17.399999999999999">
      <c r="A14727" s="549"/>
      <c r="B14727" s="549"/>
      <c r="C14727" s="549"/>
      <c r="D14727" s="549"/>
      <c r="E14727" s="549"/>
      <c r="F14727" s="549"/>
      <c r="G14727" s="549"/>
      <c r="H14727" s="549"/>
      <c r="I14727" s="558"/>
      <c r="J14727" s="549"/>
      <c r="K14727" s="561"/>
      <c r="L14727" s="560"/>
      <c r="M14727" s="549"/>
      <c r="N14727" s="549"/>
      <c r="O14727" s="549"/>
      <c r="P14727" s="549"/>
    </row>
    <row r="14728" spans="1:21" s="1737" customFormat="1" ht="17.399999999999999">
      <c r="A14728" s="549"/>
      <c r="B14728" s="549"/>
      <c r="C14728" s="549"/>
      <c r="D14728" s="549"/>
      <c r="E14728" s="549"/>
      <c r="F14728" s="549"/>
      <c r="G14728" s="549"/>
      <c r="H14728" s="549"/>
      <c r="I14728" s="558"/>
      <c r="J14728" s="567"/>
      <c r="K14728" s="648"/>
      <c r="L14728" s="567"/>
      <c r="M14728" s="549"/>
      <c r="N14728" s="549"/>
      <c r="O14728" s="549"/>
      <c r="P14728" s="549"/>
    </row>
    <row r="14729" spans="1:21" ht="17.399999999999999">
      <c r="A14729" s="549"/>
      <c r="B14729" s="549"/>
      <c r="C14729" s="549"/>
      <c r="D14729" s="549"/>
      <c r="E14729" s="549"/>
      <c r="F14729" s="549"/>
      <c r="G14729" s="549"/>
      <c r="H14729" s="549"/>
      <c r="I14729" s="558"/>
      <c r="J14729" s="549"/>
      <c r="K14729" s="561"/>
      <c r="L14729" s="560"/>
      <c r="M14729" s="549"/>
      <c r="N14729" s="549"/>
      <c r="O14729" s="549"/>
      <c r="P14729" s="549"/>
    </row>
    <row r="14730" spans="1:21" ht="17.399999999999999">
      <c r="A14730" s="547" t="s">
        <v>395</v>
      </c>
      <c r="B14730" s="547" t="s">
        <v>1725</v>
      </c>
      <c r="C14730" s="547" t="s">
        <v>19</v>
      </c>
      <c r="D14730" s="813" t="s">
        <v>49</v>
      </c>
      <c r="E14730" s="547" t="s">
        <v>359</v>
      </c>
      <c r="F14730" s="550">
        <v>13</v>
      </c>
      <c r="G14730" s="549" t="s">
        <v>21</v>
      </c>
      <c r="H14730" s="599" t="s">
        <v>122</v>
      </c>
      <c r="I14730" s="558">
        <v>14.66</v>
      </c>
      <c r="J14730" s="567">
        <v>8.8000000000000007</v>
      </c>
      <c r="K14730" s="648">
        <v>10</v>
      </c>
      <c r="L14730" s="552">
        <f>(I14730*J14730*K14730/1000)</f>
        <v>1.2900800000000001</v>
      </c>
      <c r="M14730" s="549">
        <v>10</v>
      </c>
      <c r="N14730" s="567">
        <f>J14730*M14730*I14730/1000</f>
        <v>1.2900799999999999</v>
      </c>
      <c r="O14730" s="549"/>
      <c r="P14730" s="549"/>
      <c r="Q14730" s="1737" t="s">
        <v>1798</v>
      </c>
    </row>
    <row r="14731" spans="1:21" ht="17.399999999999999">
      <c r="A14731" s="549"/>
      <c r="B14731" s="1605" t="s">
        <v>1726</v>
      </c>
      <c r="C14731" s="549"/>
      <c r="D14731" s="549"/>
      <c r="E14731" s="549"/>
      <c r="F14731" s="549"/>
      <c r="G14731" s="549"/>
      <c r="H14731" s="549"/>
      <c r="I14731" s="558"/>
      <c r="J14731" s="567"/>
      <c r="K14731" s="648">
        <f t="shared" ref="K14731:M14731" si="2924">SUM(K14730)</f>
        <v>10</v>
      </c>
      <c r="L14731" s="567">
        <f>SUM(L14730)</f>
        <v>1.2900800000000001</v>
      </c>
      <c r="M14731" s="648">
        <f t="shared" si="2924"/>
        <v>10</v>
      </c>
      <c r="N14731" s="567">
        <f>SUM(N14730)</f>
        <v>1.2900799999999999</v>
      </c>
      <c r="O14731" s="549" t="s">
        <v>1760</v>
      </c>
      <c r="P14731" s="549"/>
    </row>
    <row r="14732" spans="1:21" s="1737" customFormat="1" ht="17.399999999999999">
      <c r="A14732" s="549"/>
      <c r="B14732" s="1605"/>
      <c r="C14732" s="549"/>
      <c r="D14732" s="549"/>
      <c r="E14732" s="549"/>
      <c r="F14732" s="549"/>
      <c r="G14732" s="549"/>
      <c r="H14732" s="549"/>
      <c r="I14732" s="558"/>
      <c r="J14732" s="567"/>
      <c r="K14732" s="648"/>
      <c r="L14732" s="567"/>
      <c r="M14732" s="549"/>
      <c r="N14732" s="549"/>
      <c r="O14732" s="549"/>
      <c r="P14732" s="549"/>
    </row>
    <row r="14733" spans="1:21" s="1737" customFormat="1" ht="18">
      <c r="A14733" s="547" t="s">
        <v>83</v>
      </c>
      <c r="B14733" s="547" t="s">
        <v>1747</v>
      </c>
      <c r="C14733" s="547" t="s">
        <v>19</v>
      </c>
      <c r="D14733" s="813" t="s">
        <v>854</v>
      </c>
      <c r="E14733" s="547" t="s">
        <v>47</v>
      </c>
      <c r="F14733" s="550"/>
      <c r="G14733" s="549" t="s">
        <v>21</v>
      </c>
      <c r="H14733" s="599" t="s">
        <v>122</v>
      </c>
      <c r="I14733" s="1586">
        <v>14.7</v>
      </c>
      <c r="J14733" s="914">
        <v>8.5500000000000007</v>
      </c>
      <c r="K14733" s="915">
        <v>2</v>
      </c>
      <c r="L14733" s="552">
        <f>(I14733*J14733*K14733/1000)</f>
        <v>0.25136999999999998</v>
      </c>
      <c r="M14733" s="652">
        <v>2</v>
      </c>
      <c r="N14733" s="567">
        <f>J14733*M14733*I14733/1000</f>
        <v>0.25136999999999998</v>
      </c>
      <c r="O14733" s="549"/>
      <c r="P14733" s="549"/>
      <c r="Q14733" s="1737" t="s">
        <v>1798</v>
      </c>
    </row>
    <row r="14734" spans="1:21" s="1737" customFormat="1" ht="18">
      <c r="A14734" s="549"/>
      <c r="B14734" s="549" t="s">
        <v>439</v>
      </c>
      <c r="C14734" s="549"/>
      <c r="D14734" s="549"/>
      <c r="E14734" s="549"/>
      <c r="F14734" s="549"/>
      <c r="G14734" s="898"/>
      <c r="H14734" s="898"/>
      <c r="I14734" s="1586"/>
      <c r="J14734" s="914"/>
      <c r="K14734" s="915">
        <f t="shared" ref="K14734:N14734" si="2925">SUM(K14733)</f>
        <v>2</v>
      </c>
      <c r="L14734" s="914">
        <f t="shared" si="2925"/>
        <v>0.25136999999999998</v>
      </c>
      <c r="M14734" s="915">
        <f t="shared" si="2925"/>
        <v>2</v>
      </c>
      <c r="N14734" s="914">
        <f t="shared" si="2925"/>
        <v>0.25136999999999998</v>
      </c>
      <c r="O14734" s="549" t="s">
        <v>1760</v>
      </c>
      <c r="P14734" s="549"/>
    </row>
    <row r="14735" spans="1:21" s="1737" customFormat="1" ht="18">
      <c r="A14735" s="549"/>
      <c r="B14735" s="549"/>
      <c r="C14735" s="549"/>
      <c r="D14735" s="549"/>
      <c r="E14735" s="549"/>
      <c r="F14735" s="549"/>
      <c r="G14735" s="898"/>
      <c r="H14735" s="898"/>
      <c r="I14735" s="1586"/>
      <c r="J14735" s="914"/>
      <c r="K14735" s="915"/>
      <c r="L14735" s="914"/>
      <c r="M14735" s="652"/>
      <c r="N14735" s="565"/>
      <c r="O14735" s="549"/>
      <c r="P14735" s="549"/>
    </row>
    <row r="14736" spans="1:21" s="1737" customFormat="1" ht="17.399999999999999">
      <c r="A14736" s="549"/>
      <c r="B14736" s="549"/>
      <c r="C14736" s="549"/>
      <c r="D14736" s="549"/>
      <c r="E14736" s="549"/>
      <c r="F14736" s="549"/>
      <c r="G14736" s="549"/>
      <c r="H14736" s="549"/>
      <c r="I14736" s="558"/>
      <c r="J14736" s="549"/>
      <c r="K14736" s="652"/>
      <c r="L14736" s="565"/>
      <c r="M14736" s="652"/>
      <c r="N14736" s="565"/>
      <c r="O14736" s="549"/>
      <c r="P14736" s="549"/>
    </row>
    <row r="14737" spans="1:19" ht="17.399999999999999">
      <c r="A14737" s="549"/>
      <c r="B14737" s="549"/>
      <c r="C14737" s="549"/>
      <c r="D14737" s="549"/>
      <c r="E14737" s="549"/>
      <c r="F14737" s="549"/>
      <c r="G14737" s="549"/>
      <c r="H14737" s="549"/>
      <c r="I14737" s="558"/>
      <c r="J14737" s="549"/>
      <c r="K14737" s="561"/>
      <c r="L14737" s="560"/>
      <c r="M14737" s="549"/>
      <c r="N14737" s="549"/>
      <c r="O14737" s="549"/>
      <c r="P14737" s="549"/>
    </row>
    <row r="14738" spans="1:19" ht="17.399999999999999">
      <c r="A14738" s="547" t="s">
        <v>395</v>
      </c>
      <c r="B14738" s="547" t="s">
        <v>1725</v>
      </c>
      <c r="C14738" s="547" t="s">
        <v>19</v>
      </c>
      <c r="D14738" s="813" t="s">
        <v>49</v>
      </c>
      <c r="E14738" s="547" t="s">
        <v>359</v>
      </c>
      <c r="F14738" s="550">
        <v>13</v>
      </c>
      <c r="G14738" s="549" t="s">
        <v>21</v>
      </c>
      <c r="H14738" s="599" t="s">
        <v>120</v>
      </c>
      <c r="I14738" s="558">
        <v>18.149999999999999</v>
      </c>
      <c r="J14738" s="567">
        <v>8</v>
      </c>
      <c r="K14738" s="648">
        <v>20</v>
      </c>
      <c r="L14738" s="552">
        <f t="shared" ref="L14738:L14740" si="2926">(I14738*J14738*K14738/1000)</f>
        <v>2.9039999999999999</v>
      </c>
      <c r="M14738" s="648">
        <v>20</v>
      </c>
      <c r="N14738" s="567">
        <f>J14738*M14738*I14738/1000</f>
        <v>2.9039999999999999</v>
      </c>
      <c r="O14738" s="549"/>
      <c r="P14738" s="549"/>
      <c r="Q14738" s="1737" t="s">
        <v>1798</v>
      </c>
    </row>
    <row r="14739" spans="1:19" ht="17.399999999999999">
      <c r="A14739" s="549"/>
      <c r="B14739" s="1605" t="s">
        <v>1726</v>
      </c>
      <c r="C14739" s="549"/>
      <c r="D14739" s="549"/>
      <c r="E14739" s="549"/>
      <c r="F14739" s="549"/>
      <c r="G14739" s="549" t="s">
        <v>21</v>
      </c>
      <c r="H14739" s="549" t="s">
        <v>120</v>
      </c>
      <c r="I14739" s="558">
        <v>18.149999999999999</v>
      </c>
      <c r="J14739" s="567">
        <v>8.25</v>
      </c>
      <c r="K14739" s="648">
        <v>6</v>
      </c>
      <c r="L14739" s="552">
        <f t="shared" si="2926"/>
        <v>0.89842499999999992</v>
      </c>
      <c r="M14739" s="648">
        <v>6</v>
      </c>
      <c r="N14739" s="567">
        <f>J14739*M14739*I14739/1000</f>
        <v>0.89842499999999992</v>
      </c>
      <c r="O14739" s="549"/>
      <c r="P14739" s="549"/>
    </row>
    <row r="14740" spans="1:19" ht="17.399999999999999">
      <c r="A14740" s="549"/>
      <c r="B14740" s="549"/>
      <c r="C14740" s="549"/>
      <c r="D14740" s="549"/>
      <c r="E14740" s="549"/>
      <c r="F14740" s="549"/>
      <c r="G14740" s="549" t="s">
        <v>21</v>
      </c>
      <c r="H14740" s="549" t="s">
        <v>120</v>
      </c>
      <c r="I14740" s="558">
        <v>18.149999999999999</v>
      </c>
      <c r="J14740" s="567">
        <v>12</v>
      </c>
      <c r="K14740" s="648">
        <v>4</v>
      </c>
      <c r="L14740" s="552">
        <f t="shared" si="2926"/>
        <v>0.87119999999999997</v>
      </c>
      <c r="M14740" s="648">
        <v>4</v>
      </c>
      <c r="N14740" s="567">
        <f>J14740*M14740*I14740/1000</f>
        <v>0.87119999999999997</v>
      </c>
      <c r="O14740" s="549"/>
      <c r="P14740" s="549"/>
    </row>
    <row r="14741" spans="1:19" ht="17.399999999999999">
      <c r="A14741" s="549"/>
      <c r="B14741" s="549"/>
      <c r="C14741" s="549"/>
      <c r="D14741" s="549"/>
      <c r="E14741" s="549"/>
      <c r="F14741" s="549"/>
      <c r="G14741" s="549"/>
      <c r="H14741" s="549"/>
      <c r="I14741" s="558"/>
      <c r="J14741" s="567"/>
      <c r="K14741" s="648">
        <f t="shared" ref="K14741" si="2927">SUM(K14738:K14740)</f>
        <v>30</v>
      </c>
      <c r="L14741" s="567">
        <f>SUM(L14738:L14740)</f>
        <v>4.6736249999999995</v>
      </c>
      <c r="M14741" s="648">
        <f>SUM(M14738:M14740)</f>
        <v>30</v>
      </c>
      <c r="N14741" s="567">
        <f>SUM(N14738:N14740)</f>
        <v>4.6736249999999995</v>
      </c>
      <c r="O14741" s="549" t="s">
        <v>1760</v>
      </c>
      <c r="P14741" s="549"/>
    </row>
    <row r="14742" spans="1:19" s="1737" customFormat="1" ht="17.399999999999999">
      <c r="A14742" s="549"/>
      <c r="B14742" s="549"/>
      <c r="C14742" s="549"/>
      <c r="D14742" s="549"/>
      <c r="E14742" s="549"/>
      <c r="F14742" s="549"/>
      <c r="G14742" s="549"/>
      <c r="H14742" s="549"/>
      <c r="I14742" s="558"/>
      <c r="J14742" s="567"/>
      <c r="K14742" s="648"/>
      <c r="L14742" s="567"/>
      <c r="M14742" s="549"/>
      <c r="N14742" s="549"/>
      <c r="O14742" s="549"/>
      <c r="P14742" s="549"/>
    </row>
    <row r="14743" spans="1:19" s="1737" customFormat="1" ht="18">
      <c r="A14743" s="547" t="s">
        <v>83</v>
      </c>
      <c r="B14743" s="547" t="s">
        <v>1747</v>
      </c>
      <c r="C14743" s="547" t="s">
        <v>19</v>
      </c>
      <c r="D14743" s="813" t="s">
        <v>854</v>
      </c>
      <c r="E14743" s="547" t="s">
        <v>47</v>
      </c>
      <c r="F14743" s="550"/>
      <c r="G14743" s="898" t="s">
        <v>21</v>
      </c>
      <c r="H14743" s="1162" t="s">
        <v>120</v>
      </c>
      <c r="I14743" s="1586">
        <v>18.2</v>
      </c>
      <c r="J14743" s="914">
        <v>9.5</v>
      </c>
      <c r="K14743" s="915">
        <v>2</v>
      </c>
      <c r="L14743" s="552">
        <f>(I14743*J14743*K14743/1000)</f>
        <v>0.3458</v>
      </c>
      <c r="M14743" s="652">
        <v>2</v>
      </c>
      <c r="N14743" s="567">
        <f>J14743*M14743*I14743/1000</f>
        <v>0.3458</v>
      </c>
      <c r="O14743" s="549"/>
      <c r="P14743" s="549"/>
      <c r="Q14743" s="1737" t="s">
        <v>1798</v>
      </c>
    </row>
    <row r="14744" spans="1:19" s="1737" customFormat="1" ht="18">
      <c r="A14744" s="549"/>
      <c r="B14744" s="549" t="s">
        <v>439</v>
      </c>
      <c r="C14744" s="549"/>
      <c r="D14744" s="549"/>
      <c r="E14744" s="549"/>
      <c r="F14744" s="549"/>
      <c r="G14744" s="898"/>
      <c r="H14744" s="898"/>
      <c r="I14744" s="1586"/>
      <c r="J14744" s="914"/>
      <c r="K14744" s="915">
        <f t="shared" ref="K14744:N14744" si="2928">SUM(K14743)</f>
        <v>2</v>
      </c>
      <c r="L14744" s="914">
        <f t="shared" si="2928"/>
        <v>0.3458</v>
      </c>
      <c r="M14744" s="915">
        <f t="shared" si="2928"/>
        <v>2</v>
      </c>
      <c r="N14744" s="914">
        <f t="shared" si="2928"/>
        <v>0.3458</v>
      </c>
      <c r="O14744" s="549" t="s">
        <v>1760</v>
      </c>
      <c r="P14744" s="549"/>
    </row>
    <row r="14745" spans="1:19" s="1737" customFormat="1" ht="17.399999999999999">
      <c r="A14745" s="549"/>
      <c r="B14745" s="549"/>
      <c r="C14745" s="549"/>
      <c r="D14745" s="549"/>
      <c r="E14745" s="549"/>
      <c r="F14745" s="549"/>
      <c r="G14745" s="549"/>
      <c r="H14745" s="549"/>
      <c r="I14745" s="558"/>
      <c r="J14745" s="567"/>
      <c r="K14745" s="648"/>
      <c r="L14745" s="567"/>
      <c r="M14745" s="549"/>
      <c r="N14745" s="549"/>
      <c r="O14745" s="549"/>
      <c r="P14745" s="549"/>
    </row>
    <row r="14746" spans="1:19" ht="17.399999999999999">
      <c r="A14746" s="549"/>
      <c r="B14746" s="549"/>
      <c r="C14746" s="549"/>
      <c r="D14746" s="549"/>
      <c r="E14746" s="549"/>
      <c r="F14746" s="549"/>
      <c r="G14746" s="549"/>
      <c r="H14746" s="549"/>
      <c r="I14746" s="558"/>
      <c r="J14746" s="549"/>
      <c r="K14746" s="561"/>
      <c r="L14746" s="560"/>
      <c r="M14746" s="549"/>
      <c r="N14746" s="549"/>
      <c r="O14746" s="549"/>
      <c r="P14746" s="549"/>
    </row>
    <row r="14747" spans="1:19" ht="17.399999999999999">
      <c r="A14747" s="547" t="s">
        <v>395</v>
      </c>
      <c r="B14747" s="547" t="s">
        <v>1725</v>
      </c>
      <c r="C14747" s="547" t="s">
        <v>19</v>
      </c>
      <c r="D14747" s="813" t="s">
        <v>155</v>
      </c>
      <c r="E14747" s="547" t="s">
        <v>270</v>
      </c>
      <c r="F14747" s="550">
        <v>13</v>
      </c>
      <c r="G14747" s="549" t="s">
        <v>61</v>
      </c>
      <c r="H14747" s="599" t="s">
        <v>122</v>
      </c>
      <c r="I14747" s="558">
        <v>14.66</v>
      </c>
      <c r="J14747" s="567">
        <v>9.5</v>
      </c>
      <c r="K14747" s="648">
        <v>14</v>
      </c>
      <c r="L14747" s="552">
        <f t="shared" ref="L14747:L14748" si="2929">(I14747*J14747*K14747/1000)</f>
        <v>1.9497800000000003</v>
      </c>
      <c r="M14747" s="648">
        <v>14</v>
      </c>
      <c r="N14747" s="567">
        <f t="shared" ref="N14747:N14748" si="2930">J14747*M14747*I14747/1000</f>
        <v>1.9497800000000001</v>
      </c>
      <c r="O14747" s="549"/>
      <c r="P14747" s="549"/>
      <c r="Q14747" s="1737" t="s">
        <v>1798</v>
      </c>
    </row>
    <row r="14748" spans="1:19" ht="17.399999999999999">
      <c r="A14748" s="549"/>
      <c r="B14748" s="1605" t="s">
        <v>1726</v>
      </c>
      <c r="C14748" s="549"/>
      <c r="D14748" s="549"/>
      <c r="E14748" s="549"/>
      <c r="F14748" s="549"/>
      <c r="G14748" s="549" t="s">
        <v>61</v>
      </c>
      <c r="H14748" s="549" t="s">
        <v>122</v>
      </c>
      <c r="I14748" s="558">
        <v>14.66</v>
      </c>
      <c r="J14748" s="567">
        <v>11.5</v>
      </c>
      <c r="K14748" s="648">
        <v>4</v>
      </c>
      <c r="L14748" s="552">
        <f t="shared" si="2929"/>
        <v>0.67435999999999996</v>
      </c>
      <c r="M14748" s="648">
        <v>4</v>
      </c>
      <c r="N14748" s="567">
        <f t="shared" si="2930"/>
        <v>0.67435999999999996</v>
      </c>
      <c r="O14748" s="549"/>
      <c r="P14748" s="549"/>
    </row>
    <row r="14749" spans="1:19" ht="17.399999999999999">
      <c r="A14749" s="549"/>
      <c r="B14749" s="549"/>
      <c r="C14749" s="549"/>
      <c r="D14749" s="549"/>
      <c r="E14749" s="549"/>
      <c r="F14749" s="549"/>
      <c r="G14749" s="549"/>
      <c r="H14749" s="549"/>
      <c r="I14749" s="558"/>
      <c r="J14749" s="567"/>
      <c r="K14749" s="648">
        <f t="shared" ref="K14749:N14749" si="2931">SUM(K14747:K14748)</f>
        <v>18</v>
      </c>
      <c r="L14749" s="567">
        <f t="shared" si="2931"/>
        <v>2.6241400000000001</v>
      </c>
      <c r="M14749" s="648">
        <f t="shared" si="2931"/>
        <v>18</v>
      </c>
      <c r="N14749" s="567">
        <f t="shared" si="2931"/>
        <v>2.6241400000000001</v>
      </c>
      <c r="O14749" s="549" t="s">
        <v>1760</v>
      </c>
      <c r="P14749" s="549"/>
    </row>
    <row r="14750" spans="1:19" ht="17.399999999999999">
      <c r="A14750" s="549"/>
      <c r="B14750" s="549"/>
      <c r="C14750" s="549"/>
      <c r="D14750" s="549"/>
      <c r="E14750" s="549"/>
      <c r="F14750" s="549"/>
      <c r="G14750" s="549"/>
      <c r="H14750" s="549"/>
      <c r="I14750" s="558"/>
      <c r="J14750" s="549"/>
      <c r="K14750" s="561"/>
      <c r="L14750" s="560"/>
      <c r="M14750" s="549"/>
      <c r="N14750" s="549"/>
      <c r="O14750" s="549"/>
      <c r="P14750" s="549"/>
    </row>
    <row r="14751" spans="1:19" ht="17.399999999999999">
      <c r="A14751" s="547" t="s">
        <v>481</v>
      </c>
      <c r="B14751" s="547" t="s">
        <v>1714</v>
      </c>
      <c r="C14751" s="547" t="s">
        <v>19</v>
      </c>
      <c r="D14751" s="813" t="s">
        <v>155</v>
      </c>
      <c r="E14751" s="547" t="s">
        <v>247</v>
      </c>
      <c r="F14751" s="550">
        <v>13</v>
      </c>
      <c r="G14751" s="549" t="s">
        <v>94</v>
      </c>
      <c r="H14751" s="599" t="s">
        <v>122</v>
      </c>
      <c r="I14751" s="558">
        <v>14.7</v>
      </c>
      <c r="J14751" s="710">
        <v>9.1</v>
      </c>
      <c r="K14751" s="648">
        <v>116</v>
      </c>
      <c r="L14751" s="552">
        <f>(I14751*J14751*K14751/1000)</f>
        <v>15.517319999999998</v>
      </c>
      <c r="M14751" s="549"/>
      <c r="N14751" s="549"/>
      <c r="O14751" s="549"/>
      <c r="P14751" s="549"/>
      <c r="R14751" s="432">
        <f>J14751*Q14751*I14751/1000</f>
        <v>0</v>
      </c>
      <c r="S14751" s="1737" t="s">
        <v>1798</v>
      </c>
    </row>
    <row r="14752" spans="1:19" ht="17.399999999999999">
      <c r="A14752" s="549"/>
      <c r="B14752" s="1802" t="s">
        <v>1715</v>
      </c>
      <c r="C14752" s="549"/>
      <c r="D14752" s="549"/>
      <c r="E14752" s="549"/>
      <c r="F14752" s="549"/>
      <c r="G14752" s="549"/>
      <c r="H14752" s="549"/>
      <c r="I14752" s="558"/>
      <c r="J14752" s="710"/>
      <c r="K14752" s="648">
        <f>SUM(K14751:K14751)</f>
        <v>116</v>
      </c>
      <c r="L14752" s="552">
        <f>SUM(L14751:L14751)</f>
        <v>15.517319999999998</v>
      </c>
      <c r="M14752" s="549"/>
      <c r="N14752" s="549"/>
      <c r="O14752" s="549"/>
      <c r="P14752" s="549" t="s">
        <v>1764</v>
      </c>
      <c r="Q14752" s="648">
        <f>SUM(Q14751:Q14751)</f>
        <v>0</v>
      </c>
      <c r="R14752" s="552">
        <f>SUM(R14751:R14751)</f>
        <v>0</v>
      </c>
    </row>
    <row r="14753" spans="1:17" ht="17.399999999999999">
      <c r="A14753" s="549"/>
      <c r="B14753" s="549"/>
      <c r="C14753" s="549"/>
      <c r="D14753" s="549"/>
      <c r="E14753" s="549"/>
      <c r="F14753" s="549"/>
      <c r="G14753" s="549"/>
      <c r="H14753" s="549"/>
      <c r="I14753" s="558"/>
      <c r="J14753" s="549"/>
      <c r="K14753" s="652">
        <f>SUM(K14747:K14752)/2</f>
        <v>134</v>
      </c>
      <c r="L14753" s="565">
        <f>SUM(L14747:L14752)/2</f>
        <v>18.141459999999999</v>
      </c>
      <c r="M14753" s="652">
        <f>SUM(M14747:M14752)/2</f>
        <v>18</v>
      </c>
      <c r="N14753" s="565">
        <f>SUM(N14747:N14752)/2</f>
        <v>2.6241400000000001</v>
      </c>
      <c r="O14753" s="549"/>
      <c r="P14753" s="549"/>
    </row>
    <row r="14754" spans="1:17" s="1737" customFormat="1" ht="17.399999999999999">
      <c r="A14754" s="549"/>
      <c r="B14754" s="549"/>
      <c r="C14754" s="549"/>
      <c r="D14754" s="549"/>
      <c r="E14754" s="549"/>
      <c r="F14754" s="549"/>
      <c r="G14754" s="549"/>
      <c r="H14754" s="549"/>
      <c r="I14754" s="558"/>
      <c r="J14754" s="549"/>
      <c r="K14754" s="652"/>
      <c r="L14754" s="565"/>
      <c r="M14754" s="652"/>
      <c r="N14754" s="565"/>
      <c r="O14754" s="549"/>
      <c r="P14754" s="549"/>
    </row>
    <row r="14755" spans="1:17" ht="17.399999999999999">
      <c r="A14755" s="549"/>
      <c r="B14755" s="549"/>
      <c r="C14755" s="549"/>
      <c r="D14755" s="549"/>
      <c r="E14755" s="549"/>
      <c r="F14755" s="549"/>
      <c r="G14755" s="549"/>
      <c r="H14755" s="549"/>
      <c r="I14755" s="558"/>
      <c r="J14755" s="549"/>
      <c r="K14755" s="561"/>
      <c r="L14755" s="560"/>
      <c r="M14755" s="549"/>
      <c r="N14755" s="549"/>
      <c r="O14755" s="549"/>
      <c r="P14755" s="549"/>
    </row>
    <row r="14756" spans="1:17" ht="17.399999999999999">
      <c r="A14756" s="549"/>
      <c r="B14756" s="549"/>
      <c r="C14756" s="549"/>
      <c r="D14756" s="549"/>
      <c r="E14756" s="549"/>
      <c r="F14756" s="549"/>
      <c r="G14756" s="549"/>
      <c r="H14756" s="549"/>
      <c r="I14756" s="558"/>
      <c r="J14756" s="549"/>
      <c r="K14756" s="561"/>
      <c r="L14756" s="560"/>
      <c r="M14756" s="549"/>
      <c r="N14756" s="549"/>
      <c r="O14756" s="549"/>
      <c r="P14756" s="549"/>
    </row>
    <row r="14757" spans="1:17" ht="17.399999999999999">
      <c r="A14757" s="549"/>
      <c r="B14757" s="549"/>
      <c r="C14757" s="549"/>
      <c r="D14757" s="549"/>
      <c r="E14757" s="549"/>
      <c r="F14757" s="549"/>
      <c r="G14757" s="549"/>
      <c r="H14757" s="549"/>
      <c r="I14757" s="558"/>
      <c r="J14757" s="549"/>
      <c r="K14757" s="564">
        <f>+K14753+K14741+K14731+K14726+K14720+K14713</f>
        <v>1405</v>
      </c>
      <c r="L14757" s="568">
        <f>+L14753+L14741+L14731+L14726+L14720+L14713</f>
        <v>222.59864099999999</v>
      </c>
      <c r="M14757" s="564">
        <f>+M14753+M14741+M14731+M14726+M14720+M14713</f>
        <v>72</v>
      </c>
      <c r="N14757" s="568">
        <f>+N14753+N14741+N14731+N14726+N14720+N14713</f>
        <v>10.440045</v>
      </c>
      <c r="O14757" s="549"/>
      <c r="P14757" s="549"/>
    </row>
    <row r="14758" spans="1:17" s="1737" customFormat="1" ht="18">
      <c r="A14758" s="653" t="s">
        <v>48</v>
      </c>
      <c r="B14758" s="653"/>
      <c r="C14758" s="654"/>
      <c r="D14758" s="654"/>
      <c r="E14758" s="654"/>
      <c r="F14758" s="1822"/>
      <c r="G14758" s="654"/>
      <c r="H14758" s="1822"/>
      <c r="I14758" s="656"/>
      <c r="J14758" s="654"/>
      <c r="K14758" s="657"/>
      <c r="L14758" s="2003" t="s">
        <v>0</v>
      </c>
      <c r="M14758" s="2003"/>
      <c r="N14758" s="2003"/>
      <c r="O14758" s="2004"/>
      <c r="P14758" s="1097"/>
    </row>
    <row r="14759" spans="1:17" s="1737" customFormat="1" ht="18">
      <c r="A14759" s="658" t="s">
        <v>1</v>
      </c>
      <c r="B14759" s="658"/>
      <c r="C14759" s="658"/>
      <c r="D14759" s="659" t="s">
        <v>2</v>
      </c>
      <c r="E14759" s="659"/>
      <c r="F14759" s="660"/>
      <c r="G14759" s="660"/>
      <c r="H14759" s="660"/>
      <c r="I14759" s="661"/>
      <c r="J14759" s="660"/>
      <c r="K14759" s="662" t="s">
        <v>3</v>
      </c>
      <c r="L14759" s="660"/>
      <c r="M14759" s="658"/>
      <c r="N14759" s="660"/>
      <c r="O14759" s="663"/>
      <c r="P14759" s="1098"/>
    </row>
    <row r="14760" spans="1:17" s="1737" customFormat="1" ht="18">
      <c r="A14760" s="1822" t="s">
        <v>22</v>
      </c>
      <c r="B14760" s="1990" t="s">
        <v>23</v>
      </c>
      <c r="C14760" s="2005"/>
      <c r="D14760" s="1989"/>
      <c r="E14760" s="1822" t="s">
        <v>24</v>
      </c>
      <c r="F14760" s="1990" t="s">
        <v>25</v>
      </c>
      <c r="G14760" s="1989"/>
      <c r="H14760" s="1990" t="s">
        <v>26</v>
      </c>
      <c r="I14760" s="2005"/>
      <c r="J14760" s="2005"/>
      <c r="K14760" s="1989"/>
      <c r="L14760" s="2006" t="s">
        <v>27</v>
      </c>
      <c r="M14760" s="2006"/>
      <c r="N14760" s="2006"/>
      <c r="O14760" s="1990"/>
      <c r="P14760" s="1098"/>
    </row>
    <row r="14761" spans="1:17" s="1737" customFormat="1" ht="18">
      <c r="A14761" s="664"/>
      <c r="B14761" s="1975"/>
      <c r="C14761" s="1976"/>
      <c r="D14761" s="1977"/>
      <c r="E14761" s="665"/>
      <c r="F14761" s="1975"/>
      <c r="G14761" s="1977"/>
      <c r="H14761" s="1975"/>
      <c r="I14761" s="1976"/>
      <c r="J14761" s="1976"/>
      <c r="K14761" s="1977"/>
      <c r="L14761" s="1975"/>
      <c r="M14761" s="1976"/>
      <c r="N14761" s="1976"/>
      <c r="O14761" s="1976"/>
      <c r="P14761" s="1098"/>
    </row>
    <row r="14762" spans="1:17" s="1737" customFormat="1" ht="18">
      <c r="A14762" s="664"/>
      <c r="B14762" s="1814"/>
      <c r="C14762" s="1815"/>
      <c r="D14762" s="1816"/>
      <c r="E14762" s="665"/>
      <c r="F14762" s="1814"/>
      <c r="G14762" s="1816"/>
      <c r="H14762" s="1814"/>
      <c r="I14762" s="1842"/>
      <c r="J14762" s="1815"/>
      <c r="K14762" s="1816"/>
      <c r="L14762" s="1815"/>
      <c r="M14762" s="1815"/>
      <c r="N14762" s="1815"/>
      <c r="O14762" s="1815"/>
      <c r="P14762" s="1098"/>
    </row>
    <row r="14763" spans="1:17" s="1737" customFormat="1" ht="18">
      <c r="A14763" s="664" t="s">
        <v>28</v>
      </c>
      <c r="B14763" s="1975" t="s">
        <v>145</v>
      </c>
      <c r="C14763" s="1976"/>
      <c r="D14763" s="1977"/>
      <c r="E14763" s="665">
        <f>+L14713</f>
        <v>107.08005</v>
      </c>
      <c r="F14763" s="1973">
        <v>13</v>
      </c>
      <c r="G14763" s="1974"/>
      <c r="H14763" s="1975" t="s">
        <v>447</v>
      </c>
      <c r="I14763" s="1976"/>
      <c r="J14763" s="1976"/>
      <c r="K14763" s="1977"/>
      <c r="L14763" s="1975" t="s">
        <v>1631</v>
      </c>
      <c r="M14763" s="1976"/>
      <c r="N14763" s="1976"/>
      <c r="O14763" s="2008"/>
      <c r="P14763" s="1098"/>
      <c r="Q14763" s="1737">
        <v>1</v>
      </c>
    </row>
    <row r="14764" spans="1:17" s="1737" customFormat="1" ht="18">
      <c r="A14764" s="664" t="s">
        <v>29</v>
      </c>
      <c r="B14764" s="1975" t="s">
        <v>146</v>
      </c>
      <c r="C14764" s="1976"/>
      <c r="D14764" s="1977"/>
      <c r="E14764" s="665">
        <f>+L14720</f>
        <v>29.629326000000002</v>
      </c>
      <c r="F14764" s="1973">
        <v>13</v>
      </c>
      <c r="G14764" s="1974"/>
      <c r="H14764" s="1975" t="s">
        <v>447</v>
      </c>
      <c r="I14764" s="1976"/>
      <c r="J14764" s="1976"/>
      <c r="K14764" s="1977"/>
      <c r="L14764" s="1976" t="s">
        <v>1631</v>
      </c>
      <c r="M14764" s="1976"/>
      <c r="N14764" s="1976"/>
      <c r="O14764" s="1976"/>
      <c r="P14764" s="1098"/>
      <c r="Q14764" s="1737">
        <v>2</v>
      </c>
    </row>
    <row r="14765" spans="1:17" s="1737" customFormat="1" ht="18">
      <c r="A14765" s="664"/>
      <c r="B14765" s="1814"/>
      <c r="C14765" s="1815"/>
      <c r="D14765" s="1816"/>
      <c r="E14765" s="665"/>
      <c r="F14765" s="1817"/>
      <c r="G14765" s="1818"/>
      <c r="H14765" s="1814"/>
      <c r="I14765" s="1842"/>
      <c r="J14765" s="1815"/>
      <c r="K14765" s="1816"/>
      <c r="L14765" s="1815"/>
      <c r="M14765" s="1815"/>
      <c r="N14765" s="1815"/>
      <c r="O14765" s="1815"/>
      <c r="P14765" s="1098"/>
    </row>
    <row r="14766" spans="1:17" s="1737" customFormat="1" ht="18">
      <c r="A14766" s="664"/>
      <c r="B14766" s="1814"/>
      <c r="C14766" s="1815"/>
      <c r="D14766" s="1816"/>
      <c r="E14766" s="665"/>
      <c r="F14766" s="1817"/>
      <c r="G14766" s="1818"/>
      <c r="H14766" s="1814"/>
      <c r="I14766" s="1842"/>
      <c r="J14766" s="1815"/>
      <c r="K14766" s="1816"/>
      <c r="L14766" s="1815"/>
      <c r="M14766" s="1815"/>
      <c r="N14766" s="1815"/>
      <c r="O14766" s="1815"/>
      <c r="P14766" s="1098"/>
    </row>
    <row r="14767" spans="1:17" s="1737" customFormat="1" ht="18">
      <c r="A14767" s="664" t="s">
        <v>30</v>
      </c>
      <c r="B14767" s="1975" t="s">
        <v>146</v>
      </c>
      <c r="C14767" s="1976"/>
      <c r="D14767" s="1977"/>
      <c r="E14767" s="665">
        <f>+L14726-1.852</f>
        <v>59.932099999999998</v>
      </c>
      <c r="F14767" s="1973">
        <v>13</v>
      </c>
      <c r="G14767" s="1974"/>
      <c r="H14767" s="1975" t="s">
        <v>49</v>
      </c>
      <c r="I14767" s="1976"/>
      <c r="J14767" s="1976"/>
      <c r="K14767" s="1977"/>
      <c r="L14767" s="1976" t="s">
        <v>1733</v>
      </c>
      <c r="M14767" s="1976"/>
      <c r="N14767" s="1976"/>
      <c r="O14767" s="1976"/>
      <c r="P14767" s="1098"/>
      <c r="Q14767" s="1737">
        <v>3</v>
      </c>
    </row>
    <row r="14768" spans="1:17" s="1737" customFormat="1" ht="18">
      <c r="A14768" s="664"/>
      <c r="B14768" s="1975"/>
      <c r="C14768" s="1976"/>
      <c r="D14768" s="1977"/>
      <c r="E14768" s="665"/>
      <c r="F14768" s="1973"/>
      <c r="G14768" s="1974"/>
      <c r="H14768" s="1975"/>
      <c r="I14768" s="1976"/>
      <c r="J14768" s="1976"/>
      <c r="K14768" s="1977"/>
      <c r="L14768" s="1976"/>
      <c r="M14768" s="1976"/>
      <c r="N14768" s="1976"/>
      <c r="O14768" s="1976"/>
      <c r="P14768" s="1098"/>
    </row>
    <row r="14769" spans="1:17" s="1737" customFormat="1" ht="18">
      <c r="A14769" s="664" t="s">
        <v>46</v>
      </c>
      <c r="B14769" s="1975" t="s">
        <v>254</v>
      </c>
      <c r="C14769" s="1976"/>
      <c r="D14769" s="1977"/>
      <c r="E14769" s="665">
        <f>+L14753-2.624</f>
        <v>15.517459999999998</v>
      </c>
      <c r="F14769" s="1973">
        <v>13</v>
      </c>
      <c r="G14769" s="1974"/>
      <c r="H14769" s="1975" t="s">
        <v>582</v>
      </c>
      <c r="I14769" s="1976"/>
      <c r="J14769" s="1976"/>
      <c r="K14769" s="1977"/>
      <c r="L14769" s="1975" t="s">
        <v>1138</v>
      </c>
      <c r="M14769" s="1976"/>
      <c r="N14769" s="1976"/>
      <c r="O14769" s="2008"/>
      <c r="P14769" s="1098"/>
      <c r="Q14769" s="1737">
        <v>5</v>
      </c>
    </row>
    <row r="14770" spans="1:17" s="1737" customFormat="1" ht="18">
      <c r="A14770" s="664"/>
      <c r="B14770" s="1814"/>
      <c r="C14770" s="1815"/>
      <c r="D14770" s="1816"/>
      <c r="E14770" s="665"/>
      <c r="F14770" s="1817"/>
      <c r="G14770" s="1818"/>
      <c r="H14770" s="1814"/>
      <c r="I14770" s="1842"/>
      <c r="J14770" s="1815"/>
      <c r="K14770" s="1816"/>
      <c r="L14770" s="1815"/>
      <c r="M14770" s="1815"/>
      <c r="N14770" s="1815"/>
      <c r="O14770" s="1815"/>
      <c r="P14770" s="1098"/>
    </row>
    <row r="14771" spans="1:17" s="1737" customFormat="1" ht="18">
      <c r="A14771" s="664"/>
      <c r="B14771" s="1975"/>
      <c r="C14771" s="1976"/>
      <c r="D14771" s="1977"/>
      <c r="E14771" s="665"/>
      <c r="F14771" s="1973"/>
      <c r="G14771" s="1974"/>
      <c r="H14771" s="1975"/>
      <c r="I14771" s="1976"/>
      <c r="J14771" s="1976"/>
      <c r="K14771" s="1977"/>
      <c r="L14771" s="1976"/>
      <c r="M14771" s="1976"/>
      <c r="N14771" s="1976"/>
      <c r="O14771" s="1976"/>
      <c r="P14771" s="1098"/>
    </row>
    <row r="14772" spans="1:17" s="1737" customFormat="1" ht="18.600000000000001" thickBot="1">
      <c r="A14772" s="664"/>
      <c r="B14772" s="1814"/>
      <c r="C14772" s="1815"/>
      <c r="D14772" s="1815"/>
      <c r="E14772" s="665"/>
      <c r="F14772" s="1815"/>
      <c r="G14772" s="1816"/>
      <c r="H14772" s="1814"/>
      <c r="I14772" s="1842"/>
      <c r="J14772" s="1815"/>
      <c r="K14772" s="669"/>
      <c r="L14772" s="672"/>
      <c r="M14772" s="673"/>
      <c r="N14772" s="673"/>
      <c r="O14772" s="673"/>
      <c r="P14772" s="1098"/>
    </row>
    <row r="14773" spans="1:17" s="1737" customFormat="1" ht="18">
      <c r="A14773" s="674"/>
      <c r="B14773" s="675"/>
      <c r="C14773" s="676"/>
      <c r="D14773" s="676"/>
      <c r="E14773" s="1980">
        <f>SUM(E14761:E14772)</f>
        <v>212.15893599999998</v>
      </c>
      <c r="F14773" s="677"/>
      <c r="G14773" s="678"/>
      <c r="H14773" s="679"/>
      <c r="I14773" s="1848"/>
      <c r="J14773" s="676"/>
      <c r="K14773" s="680"/>
      <c r="L14773" s="679"/>
      <c r="M14773" s="676"/>
      <c r="N14773" s="677"/>
      <c r="O14773" s="676"/>
      <c r="P14773" s="1098"/>
    </row>
    <row r="14774" spans="1:17" s="1737" customFormat="1" ht="18.600000000000001" thickBot="1">
      <c r="A14774" s="681"/>
      <c r="B14774" s="682"/>
      <c r="C14774" s="683"/>
      <c r="D14774" s="683"/>
      <c r="E14774" s="1981"/>
      <c r="F14774" s="684"/>
      <c r="G14774" s="685"/>
      <c r="H14774" s="686"/>
      <c r="I14774" s="1850"/>
      <c r="J14774" s="683"/>
      <c r="K14774" s="687"/>
      <c r="L14774" s="686"/>
      <c r="M14774" s="683"/>
      <c r="N14774" s="684"/>
      <c r="O14774" s="683"/>
      <c r="P14774" s="1098"/>
    </row>
    <row r="14775" spans="1:17" s="1737" customFormat="1" ht="18">
      <c r="A14775" s="688" t="s">
        <v>31</v>
      </c>
      <c r="B14775" s="676"/>
      <c r="C14775" s="676"/>
      <c r="D14775" s="676"/>
      <c r="E14775" s="676"/>
      <c r="F14775" s="677"/>
      <c r="G14775" s="676"/>
      <c r="H14775" s="677"/>
      <c r="I14775" s="1848"/>
      <c r="J14775" s="676"/>
      <c r="K14775" s="689"/>
      <c r="L14775" s="677"/>
      <c r="M14775" s="676"/>
      <c r="N14775" s="677"/>
      <c r="O14775" s="676"/>
      <c r="P14775" s="1098"/>
    </row>
    <row r="14776" spans="1:17" s="1737" customFormat="1" ht="18">
      <c r="A14776" s="690"/>
      <c r="B14776" s="691"/>
      <c r="C14776" s="691"/>
      <c r="D14776" s="691"/>
      <c r="E14776" s="691"/>
      <c r="F14776" s="1819"/>
      <c r="G14776" s="691"/>
      <c r="H14776" s="1819"/>
      <c r="I14776" s="1849"/>
      <c r="J14776" s="691"/>
      <c r="K14776" s="693"/>
      <c r="L14776" s="1819"/>
      <c r="M14776" s="691"/>
      <c r="N14776" s="1819"/>
      <c r="O14776" s="691"/>
      <c r="P14776" s="1098"/>
    </row>
    <row r="14777" spans="1:17" s="1737" customFormat="1" ht="18.600000000000001" thickBot="1">
      <c r="A14777" s="1982" t="s">
        <v>32</v>
      </c>
      <c r="B14777" s="1983"/>
      <c r="C14777" s="1984" t="s">
        <v>33</v>
      </c>
      <c r="D14777" s="1985"/>
      <c r="E14777" s="694" t="s">
        <v>34</v>
      </c>
      <c r="F14777" s="694" t="s">
        <v>35</v>
      </c>
      <c r="G14777" s="1986" t="s">
        <v>36</v>
      </c>
      <c r="H14777" s="1987"/>
      <c r="I14777" s="1987"/>
      <c r="J14777" s="1987"/>
      <c r="K14777" s="1987"/>
      <c r="L14777" s="1987"/>
      <c r="M14777" s="1987"/>
      <c r="N14777" s="1987"/>
      <c r="O14777" s="1987"/>
      <c r="P14777" s="1098"/>
    </row>
    <row r="14778" spans="1:17" s="1737" customFormat="1" ht="18">
      <c r="A14778" s="1988"/>
      <c r="B14778" s="1989"/>
      <c r="C14778" s="1990"/>
      <c r="D14778" s="1989"/>
      <c r="E14778" s="1822"/>
      <c r="F14778" s="1820"/>
      <c r="G14778" s="1991"/>
      <c r="H14778" s="1992"/>
      <c r="I14778" s="1992"/>
      <c r="J14778" s="1992"/>
      <c r="K14778" s="1992"/>
      <c r="L14778" s="1992"/>
      <c r="M14778" s="1992"/>
      <c r="N14778" s="1992"/>
      <c r="O14778" s="1992"/>
      <c r="P14778" s="1098"/>
    </row>
    <row r="14779" spans="1:17" s="1737" customFormat="1" ht="18">
      <c r="A14779" s="1997" t="s">
        <v>37</v>
      </c>
      <c r="B14779" s="1998"/>
      <c r="C14779" s="1990"/>
      <c r="D14779" s="1989"/>
      <c r="E14779" s="1822"/>
      <c r="F14779" s="1820"/>
      <c r="G14779" s="1993"/>
      <c r="H14779" s="1994"/>
      <c r="I14779" s="1994"/>
      <c r="J14779" s="1994"/>
      <c r="K14779" s="1994"/>
      <c r="L14779" s="1994"/>
      <c r="M14779" s="1994"/>
      <c r="N14779" s="1994"/>
      <c r="O14779" s="1994"/>
      <c r="P14779" s="1098"/>
    </row>
    <row r="14780" spans="1:17" s="1737" customFormat="1" ht="18">
      <c r="A14780" s="1997" t="s">
        <v>38</v>
      </c>
      <c r="B14780" s="1998"/>
      <c r="C14780" s="1990"/>
      <c r="D14780" s="1989"/>
      <c r="E14780" s="1822"/>
      <c r="F14780" s="1820"/>
      <c r="G14780" s="1993"/>
      <c r="H14780" s="1994"/>
      <c r="I14780" s="1994"/>
      <c r="J14780" s="1994"/>
      <c r="K14780" s="1994"/>
      <c r="L14780" s="1994"/>
      <c r="M14780" s="1994"/>
      <c r="N14780" s="1994"/>
      <c r="O14780" s="1994"/>
      <c r="P14780" s="1098"/>
    </row>
    <row r="14781" spans="1:17" s="1737" customFormat="1" ht="18">
      <c r="A14781" s="1997" t="s">
        <v>39</v>
      </c>
      <c r="B14781" s="1998"/>
      <c r="C14781" s="1990"/>
      <c r="D14781" s="1989"/>
      <c r="E14781" s="1822"/>
      <c r="F14781" s="1820"/>
      <c r="G14781" s="1993"/>
      <c r="H14781" s="1994"/>
      <c r="I14781" s="1994"/>
      <c r="J14781" s="1994"/>
      <c r="K14781" s="1994"/>
      <c r="L14781" s="1994"/>
      <c r="M14781" s="1994"/>
      <c r="N14781" s="1994"/>
      <c r="O14781" s="1994"/>
      <c r="P14781" s="1098"/>
    </row>
    <row r="14782" spans="1:17" s="1737" customFormat="1" ht="18">
      <c r="A14782" s="1997" t="s">
        <v>40</v>
      </c>
      <c r="B14782" s="1998"/>
      <c r="C14782" s="1990"/>
      <c r="D14782" s="1989"/>
      <c r="E14782" s="1822"/>
      <c r="F14782" s="1820"/>
      <c r="G14782" s="1993"/>
      <c r="H14782" s="1994"/>
      <c r="I14782" s="1994"/>
      <c r="J14782" s="1994"/>
      <c r="K14782" s="1994"/>
      <c r="L14782" s="1994"/>
      <c r="M14782" s="1994"/>
      <c r="N14782" s="1994"/>
      <c r="O14782" s="1994"/>
      <c r="P14782" s="1098"/>
    </row>
    <row r="14783" spans="1:17" s="1737" customFormat="1" ht="18.600000000000001" thickBot="1">
      <c r="A14783" s="1999" t="s">
        <v>41</v>
      </c>
      <c r="B14783" s="2000"/>
      <c r="C14783" s="2001"/>
      <c r="D14783" s="2002"/>
      <c r="E14783" s="696"/>
      <c r="F14783" s="1821"/>
      <c r="G14783" s="1995"/>
      <c r="H14783" s="1996"/>
      <c r="I14783" s="1996"/>
      <c r="J14783" s="1996"/>
      <c r="K14783" s="1996"/>
      <c r="L14783" s="1996"/>
      <c r="M14783" s="1996"/>
      <c r="N14783" s="1996"/>
      <c r="O14783" s="1996"/>
      <c r="P14783" s="1098"/>
    </row>
    <row r="14784" spans="1:17" s="1737" customFormat="1" ht="18">
      <c r="A14784" s="690"/>
      <c r="B14784" s="691"/>
      <c r="C14784" s="691"/>
      <c r="D14784" s="691"/>
      <c r="E14784" s="691"/>
      <c r="F14784" s="1819"/>
      <c r="G14784" s="691"/>
      <c r="H14784" s="698"/>
      <c r="I14784" s="699"/>
      <c r="J14784" s="700"/>
      <c r="K14784" s="701"/>
      <c r="L14784" s="702"/>
      <c r="M14784" s="691"/>
      <c r="N14784" s="1819"/>
      <c r="O14784" s="691"/>
      <c r="P14784" s="1098"/>
    </row>
    <row r="14785" spans="1:19" s="1737" customFormat="1" ht="18">
      <c r="A14785" s="703" t="s">
        <v>42</v>
      </c>
      <c r="B14785" s="704"/>
      <c r="C14785" s="691"/>
      <c r="D14785" s="691"/>
      <c r="E14785" s="691"/>
      <c r="F14785" s="1819"/>
      <c r="G14785" s="704"/>
      <c r="H14785" s="698"/>
      <c r="I14785" s="699"/>
      <c r="J14785" s="700"/>
      <c r="K14785" s="693"/>
      <c r="L14785" s="705"/>
      <c r="M14785" s="691"/>
      <c r="N14785" s="1979" t="s">
        <v>43</v>
      </c>
      <c r="O14785" s="1979"/>
      <c r="P14785" s="1098"/>
    </row>
    <row r="14786" spans="1:19" s="1737" customFormat="1" ht="18">
      <c r="A14786" s="703"/>
      <c r="B14786" s="704"/>
      <c r="C14786" s="691"/>
      <c r="D14786" s="691"/>
      <c r="E14786" s="691"/>
      <c r="F14786" s="1819"/>
      <c r="G14786" s="691"/>
      <c r="H14786" s="1819"/>
      <c r="I14786" s="1849"/>
      <c r="J14786" s="691"/>
      <c r="K14786" s="693"/>
      <c r="L14786" s="1819"/>
      <c r="M14786" s="691"/>
      <c r="N14786" s="1819"/>
      <c r="O14786" s="704"/>
      <c r="P14786" s="1098"/>
    </row>
    <row r="14787" spans="1:19" s="1737" customFormat="1" ht="18">
      <c r="A14787" s="703" t="s">
        <v>44</v>
      </c>
      <c r="B14787" s="704"/>
      <c r="C14787" s="691"/>
      <c r="D14787" s="691"/>
      <c r="E14787" s="691"/>
      <c r="F14787" s="1819"/>
      <c r="G14787" s="691"/>
      <c r="H14787" s="1819"/>
      <c r="I14787" s="1849"/>
      <c r="J14787" s="691"/>
      <c r="K14787" s="693"/>
      <c r="L14787" s="1819"/>
      <c r="M14787" s="691"/>
      <c r="N14787" s="1979" t="s">
        <v>45</v>
      </c>
      <c r="O14787" s="1979"/>
      <c r="P14787" s="1098"/>
    </row>
    <row r="14788" spans="1:19" s="1737" customFormat="1" ht="18.600000000000001" thickBot="1">
      <c r="A14788" s="682"/>
      <c r="B14788" s="683"/>
      <c r="C14788" s="683"/>
      <c r="D14788" s="683"/>
      <c r="E14788" s="683"/>
      <c r="F14788" s="684"/>
      <c r="G14788" s="683"/>
      <c r="H14788" s="684"/>
      <c r="I14788" s="1850"/>
      <c r="J14788" s="683"/>
      <c r="K14788" s="706"/>
      <c r="L14788" s="684"/>
      <c r="M14788" s="683"/>
      <c r="N14788" s="684"/>
      <c r="O14788" s="683"/>
      <c r="P14788" s="1099"/>
    </row>
    <row r="14793" spans="1:19" ht="17.399999999999999">
      <c r="A14793" s="711" t="s">
        <v>48</v>
      </c>
      <c r="B14793" s="711"/>
      <c r="C14793" s="712"/>
      <c r="D14793" s="712"/>
      <c r="E14793" s="712"/>
      <c r="F14793" s="713"/>
      <c r="G14793" s="712"/>
      <c r="H14793" s="712"/>
      <c r="I14793" s="714"/>
      <c r="J14793" s="715"/>
      <c r="K14793" s="716"/>
      <c r="L14793" s="1978" t="s">
        <v>0</v>
      </c>
      <c r="M14793" s="1978"/>
      <c r="N14793" s="1978"/>
      <c r="O14793" s="1978"/>
      <c r="P14793" s="717"/>
    </row>
    <row r="14794" spans="1:19" ht="17.399999999999999">
      <c r="A14794" s="718" t="s">
        <v>1</v>
      </c>
      <c r="B14794" s="718"/>
      <c r="C14794" s="718"/>
      <c r="D14794" s="719" t="s">
        <v>2</v>
      </c>
      <c r="E14794" s="719"/>
      <c r="F14794" s="720"/>
      <c r="G14794" s="720"/>
      <c r="H14794" s="720"/>
      <c r="I14794" s="721"/>
      <c r="J14794" s="1813"/>
      <c r="K14794" s="723" t="s">
        <v>3</v>
      </c>
      <c r="L14794" s="1813"/>
      <c r="M14794" s="718"/>
      <c r="N14794" s="720"/>
      <c r="O14794" s="718"/>
      <c r="P14794" s="724"/>
    </row>
    <row r="14795" spans="1:19" ht="52.2">
      <c r="A14795" s="640" t="s">
        <v>4</v>
      </c>
      <c r="B14795" s="640" t="s">
        <v>5</v>
      </c>
      <c r="C14795" s="640" t="s">
        <v>6</v>
      </c>
      <c r="D14795" s="640" t="s">
        <v>7</v>
      </c>
      <c r="E14795" s="640" t="s">
        <v>8</v>
      </c>
      <c r="F14795" s="641" t="s">
        <v>9</v>
      </c>
      <c r="G14795" s="642" t="s">
        <v>10</v>
      </c>
      <c r="H14795" s="642" t="s">
        <v>11</v>
      </c>
      <c r="I14795" s="643" t="s">
        <v>12</v>
      </c>
      <c r="J14795" s="644" t="s">
        <v>13</v>
      </c>
      <c r="K14795" s="645" t="s">
        <v>14</v>
      </c>
      <c r="L14795" s="646" t="s">
        <v>15</v>
      </c>
      <c r="M14795" s="641" t="s">
        <v>16</v>
      </c>
      <c r="N14795" s="641" t="s">
        <v>17</v>
      </c>
      <c r="O14795" s="642" t="s">
        <v>18</v>
      </c>
      <c r="P14795" s="641" t="s">
        <v>192</v>
      </c>
    </row>
    <row r="14796" spans="1:19" ht="17.399999999999999">
      <c r="A14796" s="549"/>
      <c r="B14796" s="549"/>
      <c r="C14796" s="549"/>
      <c r="D14796" s="549"/>
      <c r="E14796" s="549"/>
      <c r="F14796" s="549"/>
      <c r="G14796" s="549"/>
      <c r="H14796" s="549"/>
      <c r="I14796" s="560"/>
      <c r="J14796" s="549"/>
      <c r="K14796" s="561"/>
      <c r="L14796" s="560"/>
      <c r="M14796" s="549"/>
      <c r="N14796" s="549"/>
      <c r="O14796" s="549"/>
      <c r="P14796" s="549"/>
    </row>
    <row r="14797" spans="1:19" ht="17.399999999999999">
      <c r="A14797" s="547" t="s">
        <v>83</v>
      </c>
      <c r="B14797" s="547" t="s">
        <v>1746</v>
      </c>
      <c r="C14797" s="547" t="s">
        <v>19</v>
      </c>
      <c r="D14797" s="813" t="s">
        <v>854</v>
      </c>
      <c r="E14797" s="559" t="s">
        <v>878</v>
      </c>
      <c r="F14797" s="549">
        <v>12</v>
      </c>
      <c r="G14797" s="549" t="s">
        <v>21</v>
      </c>
      <c r="H14797" s="599" t="s">
        <v>95</v>
      </c>
      <c r="I14797" s="558">
        <v>13.4</v>
      </c>
      <c r="J14797" s="567">
        <v>7.5</v>
      </c>
      <c r="K14797" s="648">
        <v>13</v>
      </c>
      <c r="L14797" s="552">
        <f t="shared" ref="L14797:L14799" si="2932">(I14797*J14797*K14797/1000)</f>
        <v>1.3065</v>
      </c>
      <c r="M14797" s="549"/>
      <c r="N14797" s="549"/>
      <c r="O14797" s="549"/>
      <c r="P14797" s="549"/>
      <c r="Q14797" s="497">
        <v>5</v>
      </c>
      <c r="R14797" s="497">
        <f>J14797*Q14797*I14797/1000</f>
        <v>0.50249999999999995</v>
      </c>
      <c r="S14797" s="1737" t="s">
        <v>1812</v>
      </c>
    </row>
    <row r="14798" spans="1:19" ht="17.399999999999999">
      <c r="A14798" s="549"/>
      <c r="B14798" s="549" t="s">
        <v>1135</v>
      </c>
      <c r="C14798" s="549"/>
      <c r="D14798" s="549"/>
      <c r="E14798" s="549"/>
      <c r="F14798" s="549"/>
      <c r="G14798" s="549" t="s">
        <v>21</v>
      </c>
      <c r="H14798" s="549" t="s">
        <v>95</v>
      </c>
      <c r="I14798" s="558">
        <v>13.4</v>
      </c>
      <c r="J14798" s="567">
        <v>10.199999999999999</v>
      </c>
      <c r="K14798" s="648">
        <v>10</v>
      </c>
      <c r="L14798" s="552">
        <f t="shared" si="2932"/>
        <v>1.3668000000000002</v>
      </c>
      <c r="M14798" s="549"/>
      <c r="N14798" s="549"/>
      <c r="O14798" s="549"/>
      <c r="P14798" s="549"/>
    </row>
    <row r="14799" spans="1:19" ht="17.399999999999999">
      <c r="A14799" s="549"/>
      <c r="B14799" s="549"/>
      <c r="C14799" s="549"/>
      <c r="D14799" s="549"/>
      <c r="E14799" s="549"/>
      <c r="F14799" s="549"/>
      <c r="G14799" s="549" t="s">
        <v>21</v>
      </c>
      <c r="H14799" s="549" t="s">
        <v>95</v>
      </c>
      <c r="I14799" s="558">
        <v>13.4</v>
      </c>
      <c r="J14799" s="567">
        <v>11.4</v>
      </c>
      <c r="K14799" s="648">
        <v>11</v>
      </c>
      <c r="L14799" s="552">
        <f t="shared" si="2932"/>
        <v>1.6803600000000001</v>
      </c>
      <c r="M14799" s="549"/>
      <c r="N14799" s="549"/>
      <c r="O14799" s="549"/>
      <c r="P14799" s="549"/>
      <c r="Q14799" s="497">
        <v>4</v>
      </c>
      <c r="R14799" s="1737">
        <f>J14799*Q14799*I14799/1000</f>
        <v>0.61104000000000003</v>
      </c>
    </row>
    <row r="14800" spans="1:19" ht="17.399999999999999">
      <c r="A14800" s="549"/>
      <c r="B14800" s="549"/>
      <c r="C14800" s="549"/>
      <c r="D14800" s="549"/>
      <c r="E14800" s="549"/>
      <c r="F14800" s="549"/>
      <c r="G14800" s="549"/>
      <c r="H14800" s="549"/>
      <c r="I14800" s="558"/>
      <c r="J14800" s="567"/>
      <c r="K14800" s="648">
        <f t="shared" ref="K14800:L14800" si="2933">SUM(K14797:K14799)</f>
        <v>34</v>
      </c>
      <c r="L14800" s="567">
        <f t="shared" si="2933"/>
        <v>4.3536600000000005</v>
      </c>
      <c r="M14800" s="549"/>
      <c r="N14800" s="549"/>
      <c r="O14800" s="549"/>
      <c r="P14800" s="549" t="s">
        <v>1770</v>
      </c>
      <c r="Q14800" s="648">
        <f t="shared" ref="Q14800" si="2934">SUM(Q14797:Q14799)</f>
        <v>9</v>
      </c>
      <c r="R14800" s="567">
        <f>SUM(R14797:R14799)</f>
        <v>1.11354</v>
      </c>
    </row>
    <row r="14801" spans="1:19" ht="17.399999999999999">
      <c r="A14801" s="549"/>
      <c r="B14801" s="549"/>
      <c r="C14801" s="549"/>
      <c r="D14801" s="549"/>
      <c r="E14801" s="549"/>
      <c r="F14801" s="549"/>
      <c r="G14801" s="549"/>
      <c r="H14801" s="549"/>
      <c r="I14801" s="560"/>
      <c r="J14801" s="549"/>
      <c r="K14801" s="561"/>
      <c r="L14801" s="560"/>
      <c r="M14801" s="549"/>
      <c r="N14801" s="549"/>
      <c r="O14801" s="549"/>
      <c r="P14801" s="549"/>
    </row>
    <row r="14802" spans="1:19" ht="17.399999999999999">
      <c r="A14802" s="547" t="s">
        <v>83</v>
      </c>
      <c r="B14802" s="547" t="s">
        <v>1748</v>
      </c>
      <c r="C14802" s="547" t="s">
        <v>19</v>
      </c>
      <c r="D14802" s="813" t="s">
        <v>854</v>
      </c>
      <c r="E14802" s="559" t="s">
        <v>367</v>
      </c>
      <c r="F14802" s="549">
        <v>12</v>
      </c>
      <c r="G14802" s="549" t="s">
        <v>21</v>
      </c>
      <c r="H14802" s="599" t="s">
        <v>95</v>
      </c>
      <c r="I14802" s="558">
        <v>13.4</v>
      </c>
      <c r="J14802" s="567">
        <v>10.199999999999999</v>
      </c>
      <c r="K14802" s="648">
        <v>12</v>
      </c>
      <c r="L14802" s="552">
        <f t="shared" ref="L14802:L14803" si="2935">(I14802*J14802*K14802/1000)</f>
        <v>1.6401600000000001</v>
      </c>
      <c r="M14802" s="549"/>
      <c r="N14802" s="549"/>
      <c r="O14802" s="549"/>
      <c r="P14802" s="549"/>
      <c r="Q14802" s="497">
        <v>4</v>
      </c>
      <c r="R14802" s="1737">
        <f t="shared" ref="R14802:R14803" si="2936">J14802*Q14802*I14802/1000</f>
        <v>0.54671999999999998</v>
      </c>
      <c r="S14802" s="1737" t="s">
        <v>1812</v>
      </c>
    </row>
    <row r="14803" spans="1:19" ht="17.399999999999999">
      <c r="A14803" s="549"/>
      <c r="B14803" s="549" t="s">
        <v>52</v>
      </c>
      <c r="C14803" s="549"/>
      <c r="D14803" s="549"/>
      <c r="E14803" s="549"/>
      <c r="F14803" s="549"/>
      <c r="G14803" s="549" t="s">
        <v>21</v>
      </c>
      <c r="H14803" s="549" t="s">
        <v>95</v>
      </c>
      <c r="I14803" s="558">
        <v>13.4</v>
      </c>
      <c r="J14803" s="567">
        <v>10.9</v>
      </c>
      <c r="K14803" s="648">
        <v>240</v>
      </c>
      <c r="L14803" s="552">
        <f t="shared" si="2935"/>
        <v>35.054400000000001</v>
      </c>
      <c r="M14803" s="549"/>
      <c r="N14803" s="549"/>
      <c r="O14803" s="549"/>
      <c r="P14803" s="549"/>
      <c r="Q14803" s="497">
        <f>24+26+26</f>
        <v>76</v>
      </c>
      <c r="R14803" s="1737">
        <f t="shared" si="2936"/>
        <v>11.10056</v>
      </c>
    </row>
    <row r="14804" spans="1:19" ht="17.399999999999999">
      <c r="A14804" s="549"/>
      <c r="B14804" s="549"/>
      <c r="C14804" s="549"/>
      <c r="D14804" s="549"/>
      <c r="E14804" s="549"/>
      <c r="F14804" s="549"/>
      <c r="G14804" s="549"/>
      <c r="H14804" s="549"/>
      <c r="I14804" s="558"/>
      <c r="J14804" s="567"/>
      <c r="K14804" s="648">
        <f t="shared" ref="K14804:L14804" si="2937">SUM(K14802:K14803)</f>
        <v>252</v>
      </c>
      <c r="L14804" s="567">
        <f t="shared" si="2937"/>
        <v>36.694560000000003</v>
      </c>
      <c r="M14804" s="549"/>
      <c r="N14804" s="549"/>
      <c r="O14804" s="549"/>
      <c r="P14804" s="549" t="s">
        <v>1771</v>
      </c>
      <c r="Q14804" s="648">
        <f t="shared" ref="Q14804:R14804" si="2938">SUM(Q14802:Q14803)</f>
        <v>80</v>
      </c>
      <c r="R14804" s="567">
        <f t="shared" si="2938"/>
        <v>11.64728</v>
      </c>
    </row>
    <row r="14805" spans="1:19" ht="17.399999999999999">
      <c r="A14805" s="549"/>
      <c r="B14805" s="549"/>
      <c r="C14805" s="549"/>
      <c r="D14805" s="549"/>
      <c r="E14805" s="549"/>
      <c r="F14805" s="549"/>
      <c r="G14805" s="549"/>
      <c r="H14805" s="549"/>
      <c r="I14805" s="560"/>
      <c r="J14805" s="549"/>
      <c r="K14805" s="561"/>
      <c r="L14805" s="560"/>
      <c r="M14805" s="549"/>
      <c r="N14805" s="549"/>
      <c r="O14805" s="549"/>
      <c r="P14805" s="549"/>
    </row>
    <row r="14806" spans="1:19" ht="17.399999999999999">
      <c r="A14806" s="547" t="s">
        <v>272</v>
      </c>
      <c r="B14806" s="547" t="s">
        <v>1765</v>
      </c>
      <c r="C14806" s="547" t="s">
        <v>19</v>
      </c>
      <c r="D14806" s="813" t="s">
        <v>49</v>
      </c>
      <c r="E14806" s="547" t="s">
        <v>359</v>
      </c>
      <c r="F14806" s="549">
        <v>12</v>
      </c>
      <c r="G14806" s="549" t="s">
        <v>21</v>
      </c>
      <c r="H14806" s="599" t="s">
        <v>95</v>
      </c>
      <c r="I14806" s="558">
        <v>13.4</v>
      </c>
      <c r="J14806" s="567">
        <v>10</v>
      </c>
      <c r="K14806" s="648">
        <v>18</v>
      </c>
      <c r="L14806" s="552">
        <f t="shared" ref="L14806:L14808" si="2939">(I14806*J14806*K14806/1000)</f>
        <v>2.4119999999999999</v>
      </c>
      <c r="M14806" s="549"/>
      <c r="N14806" s="549"/>
      <c r="O14806" s="549"/>
      <c r="P14806" s="549"/>
      <c r="Q14806" s="497">
        <v>9</v>
      </c>
      <c r="R14806" s="1737">
        <f t="shared" ref="R14806:R14808" si="2940">J14806*Q14806*I14806/1000</f>
        <v>1.206</v>
      </c>
      <c r="S14806" s="1737" t="s">
        <v>1812</v>
      </c>
    </row>
    <row r="14807" spans="1:19" ht="17.399999999999999">
      <c r="A14807" s="549"/>
      <c r="B14807" s="549" t="s">
        <v>1027</v>
      </c>
      <c r="C14807" s="549"/>
      <c r="D14807" s="549"/>
      <c r="E14807" s="549"/>
      <c r="F14807" s="549"/>
      <c r="G14807" s="549" t="s">
        <v>21</v>
      </c>
      <c r="H14807" s="549" t="s">
        <v>95</v>
      </c>
      <c r="I14807" s="558">
        <v>13.4</v>
      </c>
      <c r="J14807" s="567">
        <v>11</v>
      </c>
      <c r="K14807" s="648">
        <v>14</v>
      </c>
      <c r="L14807" s="552">
        <f t="shared" si="2939"/>
        <v>2.0636000000000001</v>
      </c>
      <c r="M14807" s="549"/>
      <c r="N14807" s="549"/>
      <c r="O14807" s="549"/>
      <c r="P14807" s="549"/>
      <c r="Q14807" s="497">
        <v>8</v>
      </c>
      <c r="R14807" s="1737">
        <f t="shared" si="2940"/>
        <v>1.1792</v>
      </c>
    </row>
    <row r="14808" spans="1:19" ht="17.399999999999999">
      <c r="A14808" s="549"/>
      <c r="B14808" s="549"/>
      <c r="C14808" s="549"/>
      <c r="D14808" s="549"/>
      <c r="E14808" s="549"/>
      <c r="F14808" s="549"/>
      <c r="G14808" s="549" t="s">
        <v>21</v>
      </c>
      <c r="H14808" s="549" t="s">
        <v>95</v>
      </c>
      <c r="I14808" s="558">
        <v>13.4</v>
      </c>
      <c r="J14808" s="567">
        <v>12</v>
      </c>
      <c r="K14808" s="648">
        <v>8</v>
      </c>
      <c r="L14808" s="552">
        <f t="shared" si="2939"/>
        <v>1.2864</v>
      </c>
      <c r="M14808" s="549"/>
      <c r="N14808" s="549"/>
      <c r="O14808" s="549"/>
      <c r="P14808" s="549"/>
      <c r="R14808" s="1737">
        <f t="shared" si="2940"/>
        <v>0</v>
      </c>
    </row>
    <row r="14809" spans="1:19" ht="17.399999999999999">
      <c r="A14809" s="549"/>
      <c r="B14809" s="549"/>
      <c r="C14809" s="549"/>
      <c r="D14809" s="549"/>
      <c r="E14809" s="549"/>
      <c r="F14809" s="549"/>
      <c r="G14809" s="549"/>
      <c r="H14809" s="549"/>
      <c r="I14809" s="558"/>
      <c r="J14809" s="567"/>
      <c r="K14809" s="648">
        <f t="shared" ref="K14809:L14809" si="2941">SUM(K14806:K14808)</f>
        <v>40</v>
      </c>
      <c r="L14809" s="567">
        <f t="shared" si="2941"/>
        <v>5.7620000000000005</v>
      </c>
      <c r="M14809" s="549"/>
      <c r="N14809" s="549"/>
      <c r="O14809" s="549"/>
      <c r="P14809" s="549" t="s">
        <v>1772</v>
      </c>
      <c r="Q14809" s="648">
        <f t="shared" ref="Q14809:R14809" si="2942">SUM(Q14806:Q14808)</f>
        <v>17</v>
      </c>
      <c r="R14809" s="567">
        <f t="shared" si="2942"/>
        <v>2.3852000000000002</v>
      </c>
    </row>
    <row r="14810" spans="1:19" ht="17.399999999999999">
      <c r="A14810" s="549"/>
      <c r="B14810" s="549"/>
      <c r="C14810" s="549"/>
      <c r="D14810" s="549"/>
      <c r="E14810" s="549"/>
      <c r="F14810" s="549"/>
      <c r="G14810" s="549"/>
      <c r="H14810" s="549"/>
      <c r="I14810" s="560"/>
      <c r="J14810" s="549"/>
      <c r="K14810" s="561"/>
      <c r="L14810" s="560"/>
      <c r="M14810" s="549"/>
      <c r="N14810" s="549"/>
      <c r="O14810" s="549"/>
      <c r="P14810" s="549"/>
    </row>
    <row r="14811" spans="1:19" ht="17.399999999999999">
      <c r="A14811" s="547" t="s">
        <v>395</v>
      </c>
      <c r="B14811" s="547" t="s">
        <v>1725</v>
      </c>
      <c r="C14811" s="547" t="s">
        <v>19</v>
      </c>
      <c r="D14811" s="813" t="s">
        <v>49</v>
      </c>
      <c r="E14811" s="547" t="s">
        <v>359</v>
      </c>
      <c r="F14811" s="549">
        <v>12</v>
      </c>
      <c r="G14811" s="549" t="s">
        <v>21</v>
      </c>
      <c r="H14811" s="599" t="s">
        <v>95</v>
      </c>
      <c r="I14811" s="558">
        <v>13.4</v>
      </c>
      <c r="J14811" s="567">
        <v>10</v>
      </c>
      <c r="K14811" s="648">
        <v>7</v>
      </c>
      <c r="L14811" s="552">
        <f t="shared" ref="L14811:L14812" si="2943">(I14811*J14811*K14811/1000)</f>
        <v>0.93799999999999994</v>
      </c>
      <c r="M14811" s="549"/>
      <c r="N14811" s="549"/>
      <c r="O14811" s="549"/>
      <c r="P14811" s="549"/>
      <c r="Q14811" s="1737" t="s">
        <v>1812</v>
      </c>
    </row>
    <row r="14812" spans="1:19" ht="17.399999999999999">
      <c r="A14812" s="549"/>
      <c r="B14812" s="1605" t="s">
        <v>1726</v>
      </c>
      <c r="C14812" s="549"/>
      <c r="D14812" s="549"/>
      <c r="E14812" s="549"/>
      <c r="F14812" s="549"/>
      <c r="G14812" s="549" t="s">
        <v>21</v>
      </c>
      <c r="H14812" s="549" t="s">
        <v>95</v>
      </c>
      <c r="I14812" s="558">
        <v>13.4</v>
      </c>
      <c r="J14812" s="567">
        <v>12</v>
      </c>
      <c r="K14812" s="648">
        <v>8</v>
      </c>
      <c r="L14812" s="552">
        <f t="shared" si="2943"/>
        <v>1.2864</v>
      </c>
      <c r="M14812" s="549"/>
      <c r="N14812" s="549"/>
      <c r="O14812" s="549"/>
      <c r="P14812" s="549"/>
    </row>
    <row r="14813" spans="1:19" ht="17.399999999999999">
      <c r="A14813" s="549"/>
      <c r="B14813" s="549"/>
      <c r="C14813" s="549"/>
      <c r="D14813" s="549"/>
      <c r="E14813" s="549"/>
      <c r="F14813" s="549"/>
      <c r="G14813" s="549"/>
      <c r="H14813" s="549"/>
      <c r="I14813" s="558"/>
      <c r="J14813" s="567"/>
      <c r="K14813" s="648">
        <f t="shared" ref="K14813:L14813" si="2944">SUM(K14811:K14812)</f>
        <v>15</v>
      </c>
      <c r="L14813" s="567">
        <f t="shared" si="2944"/>
        <v>2.2244000000000002</v>
      </c>
      <c r="M14813" s="549"/>
      <c r="N14813" s="549"/>
      <c r="O14813" s="549"/>
      <c r="P14813" s="549" t="s">
        <v>1772</v>
      </c>
    </row>
    <row r="14814" spans="1:19" ht="17.399999999999999">
      <c r="A14814" s="549"/>
      <c r="B14814" s="549"/>
      <c r="C14814" s="549"/>
      <c r="D14814" s="549"/>
      <c r="E14814" s="549"/>
      <c r="F14814" s="549"/>
      <c r="G14814" s="549"/>
      <c r="H14814" s="549"/>
      <c r="I14814" s="558"/>
      <c r="J14814" s="549"/>
      <c r="K14814" s="561"/>
      <c r="L14814" s="560"/>
      <c r="M14814" s="549"/>
      <c r="N14814" s="549"/>
      <c r="O14814" s="549"/>
      <c r="P14814" s="549"/>
    </row>
    <row r="14815" spans="1:19" ht="17.399999999999999">
      <c r="A14815" s="547" t="s">
        <v>83</v>
      </c>
      <c r="B14815" s="547" t="s">
        <v>1747</v>
      </c>
      <c r="C14815" s="547" t="s">
        <v>19</v>
      </c>
      <c r="D14815" s="813" t="s">
        <v>854</v>
      </c>
      <c r="E14815" s="559" t="s">
        <v>47</v>
      </c>
      <c r="F14815" s="550">
        <v>12</v>
      </c>
      <c r="G14815" s="549" t="s">
        <v>21</v>
      </c>
      <c r="H14815" s="599" t="s">
        <v>95</v>
      </c>
      <c r="I14815" s="558">
        <v>13.4</v>
      </c>
      <c r="J14815" s="567">
        <v>7.5</v>
      </c>
      <c r="K14815" s="648">
        <v>1</v>
      </c>
      <c r="L14815" s="552">
        <f>(I14815*J14815*K14815/1000)</f>
        <v>0.10050000000000001</v>
      </c>
      <c r="M14815" s="549">
        <v>1</v>
      </c>
      <c r="N14815" s="567">
        <f t="shared" ref="N14815" si="2945">J14815*M14815*I14815/1000</f>
        <v>0.10050000000000001</v>
      </c>
      <c r="O14815" s="549"/>
      <c r="P14815" s="549"/>
      <c r="Q14815" s="1737" t="s">
        <v>1812</v>
      </c>
    </row>
    <row r="14816" spans="1:19" ht="17.399999999999999">
      <c r="A14816" s="549"/>
      <c r="B14816" s="549" t="s">
        <v>439</v>
      </c>
      <c r="C14816" s="549"/>
      <c r="D14816" s="549"/>
      <c r="E14816" s="549"/>
      <c r="F14816" s="549"/>
      <c r="G14816" s="549"/>
      <c r="H14816" s="549"/>
      <c r="I14816" s="558"/>
      <c r="J14816" s="567"/>
      <c r="K14816" s="648">
        <f t="shared" ref="K14816:N14816" si="2946">SUM(K14815)</f>
        <v>1</v>
      </c>
      <c r="L14816" s="567">
        <f t="shared" si="2946"/>
        <v>0.10050000000000001</v>
      </c>
      <c r="M14816" s="648">
        <f t="shared" si="2946"/>
        <v>1</v>
      </c>
      <c r="N14816" s="567">
        <f t="shared" si="2946"/>
        <v>0.10050000000000001</v>
      </c>
      <c r="O14816" s="549"/>
      <c r="P14816" s="549"/>
    </row>
    <row r="14817" spans="1:17" ht="17.399999999999999">
      <c r="A14817" s="549"/>
      <c r="B14817" s="549"/>
      <c r="C14817" s="549"/>
      <c r="D14817" s="549"/>
      <c r="E14817" s="549"/>
      <c r="F14817" s="549"/>
      <c r="G14817" s="549"/>
      <c r="H14817" s="549"/>
      <c r="I14817" s="560"/>
      <c r="J14817" s="549"/>
      <c r="K14817" s="561"/>
      <c r="L14817" s="560"/>
      <c r="M14817" s="549"/>
      <c r="N14817" s="549"/>
      <c r="O14817" s="549"/>
      <c r="P14817" s="549"/>
    </row>
    <row r="14818" spans="1:17" ht="17.399999999999999">
      <c r="A14818" s="547" t="s">
        <v>395</v>
      </c>
      <c r="B14818" s="547" t="s">
        <v>1759</v>
      </c>
      <c r="C14818" s="547" t="s">
        <v>19</v>
      </c>
      <c r="D14818" s="813" t="s">
        <v>49</v>
      </c>
      <c r="E14818" s="547" t="s">
        <v>1028</v>
      </c>
      <c r="F14818" s="549">
        <v>12</v>
      </c>
      <c r="G14818" s="549" t="s">
        <v>21</v>
      </c>
      <c r="H14818" s="599" t="s">
        <v>95</v>
      </c>
      <c r="I14818" s="558">
        <v>13.4</v>
      </c>
      <c r="J14818" s="567">
        <v>8</v>
      </c>
      <c r="K14818" s="648">
        <v>1</v>
      </c>
      <c r="L14818" s="552">
        <f>(I14818*J14818*K14818/1000)</f>
        <v>0.1072</v>
      </c>
      <c r="M14818" s="549">
        <v>1</v>
      </c>
      <c r="N14818" s="567">
        <f t="shared" ref="N14818" si="2947">J14818*M14818*I14818/1000</f>
        <v>0.1072</v>
      </c>
      <c r="O14818" s="549"/>
      <c r="P14818" s="549"/>
      <c r="Q14818" s="1737" t="s">
        <v>1812</v>
      </c>
    </row>
    <row r="14819" spans="1:17" ht="17.399999999999999">
      <c r="A14819" s="549"/>
      <c r="B14819" s="549" t="s">
        <v>1027</v>
      </c>
      <c r="C14819" s="549"/>
      <c r="D14819" s="549"/>
      <c r="E14819" s="549"/>
      <c r="F14819" s="549"/>
      <c r="G14819" s="549"/>
      <c r="H14819" s="549"/>
      <c r="I14819" s="558"/>
      <c r="J14819" s="567"/>
      <c r="K14819" s="648">
        <f t="shared" ref="K14819:N14819" si="2948">SUM(K14818)</f>
        <v>1</v>
      </c>
      <c r="L14819" s="567">
        <f t="shared" si="2948"/>
        <v>0.1072</v>
      </c>
      <c r="M14819" s="648">
        <f t="shared" si="2948"/>
        <v>1</v>
      </c>
      <c r="N14819" s="567">
        <f t="shared" si="2948"/>
        <v>0.1072</v>
      </c>
      <c r="O14819" s="549"/>
      <c r="P14819" s="549"/>
    </row>
    <row r="14820" spans="1:17" ht="17.399999999999999">
      <c r="A14820" s="549"/>
      <c r="B14820" s="549"/>
      <c r="C14820" s="549"/>
      <c r="D14820" s="549"/>
      <c r="E14820" s="549"/>
      <c r="F14820" s="549"/>
      <c r="G14820" s="549"/>
      <c r="H14820" s="549"/>
      <c r="I14820" s="558"/>
      <c r="J14820" s="549"/>
      <c r="K14820" s="561"/>
      <c r="L14820" s="560"/>
      <c r="M14820" s="549"/>
      <c r="N14820" s="549"/>
      <c r="O14820" s="549"/>
      <c r="P14820" s="549"/>
    </row>
    <row r="14821" spans="1:17" ht="17.399999999999999">
      <c r="A14821" s="547" t="s">
        <v>83</v>
      </c>
      <c r="B14821" s="547" t="s">
        <v>1731</v>
      </c>
      <c r="C14821" s="547" t="s">
        <v>19</v>
      </c>
      <c r="D14821" s="813" t="s">
        <v>854</v>
      </c>
      <c r="E14821" s="754" t="s">
        <v>420</v>
      </c>
      <c r="F14821" s="549">
        <v>12</v>
      </c>
      <c r="G14821" s="549" t="s">
        <v>21</v>
      </c>
      <c r="H14821" s="599" t="s">
        <v>95</v>
      </c>
      <c r="I14821" s="558">
        <v>13.4</v>
      </c>
      <c r="J14821" s="567">
        <v>6</v>
      </c>
      <c r="K14821" s="648">
        <v>2</v>
      </c>
      <c r="L14821" s="552">
        <f t="shared" ref="L14821" si="2949">(I14821*J14821*K14821/1000)</f>
        <v>0.1608</v>
      </c>
      <c r="M14821" s="549">
        <v>2</v>
      </c>
      <c r="N14821" s="567">
        <f t="shared" ref="N14821" si="2950">J14821*M14821*I14821/1000</f>
        <v>0.1608</v>
      </c>
      <c r="O14821" s="549"/>
      <c r="P14821" s="549"/>
      <c r="Q14821" s="1737" t="s">
        <v>1812</v>
      </c>
    </row>
    <row r="14822" spans="1:17" ht="17.399999999999999">
      <c r="A14822" s="549"/>
      <c r="B14822" s="549" t="s">
        <v>52</v>
      </c>
      <c r="C14822" s="549"/>
      <c r="D14822" s="549"/>
      <c r="E14822" s="549"/>
      <c r="F14822" s="549"/>
      <c r="G14822" s="549"/>
      <c r="H14822" s="549"/>
      <c r="I14822" s="558"/>
      <c r="J14822" s="567"/>
      <c r="K14822" s="648">
        <f t="shared" ref="K14822:N14822" si="2951">SUM(K14821)</f>
        <v>2</v>
      </c>
      <c r="L14822" s="567">
        <f>SUM(L14821)</f>
        <v>0.1608</v>
      </c>
      <c r="M14822" s="648">
        <f t="shared" si="2951"/>
        <v>2</v>
      </c>
      <c r="N14822" s="567">
        <f t="shared" si="2951"/>
        <v>0.1608</v>
      </c>
      <c r="O14822" s="549"/>
      <c r="P14822" s="549"/>
    </row>
    <row r="14823" spans="1:17" ht="17.399999999999999">
      <c r="A14823" s="549"/>
      <c r="B14823" s="549"/>
      <c r="C14823" s="549"/>
      <c r="D14823" s="549"/>
      <c r="E14823" s="549"/>
      <c r="F14823" s="549"/>
      <c r="G14823" s="549"/>
      <c r="H14823" s="549"/>
      <c r="I14823" s="558"/>
      <c r="J14823" s="549"/>
      <c r="K14823" s="652">
        <f>SUM(K14797:K14822)/2</f>
        <v>345</v>
      </c>
      <c r="L14823" s="565">
        <f>SUM(L14797:L14822)/2</f>
        <v>49.403120000000001</v>
      </c>
      <c r="M14823" s="652">
        <f>SUM(M14797:M14822)/2</f>
        <v>4</v>
      </c>
      <c r="N14823" s="565">
        <f>SUM(N14797:N14822)/2</f>
        <v>0.36850000000000005</v>
      </c>
      <c r="O14823" s="549"/>
      <c r="P14823" s="549"/>
    </row>
    <row r="14824" spans="1:17" s="1737" customFormat="1" ht="17.399999999999999">
      <c r="A14824" s="549"/>
      <c r="B14824" s="549"/>
      <c r="C14824" s="549"/>
      <c r="D14824" s="549"/>
      <c r="E14824" s="549"/>
      <c r="F14824" s="549"/>
      <c r="G14824" s="549"/>
      <c r="H14824" s="549"/>
      <c r="I14824" s="558"/>
      <c r="J14824" s="549"/>
      <c r="K14824" s="652"/>
      <c r="L14824" s="565"/>
      <c r="M14824" s="652"/>
      <c r="N14824" s="565"/>
      <c r="O14824" s="549"/>
      <c r="P14824" s="549"/>
    </row>
    <row r="14825" spans="1:17" s="1737" customFormat="1" ht="17.399999999999999">
      <c r="A14825" s="549"/>
      <c r="B14825" s="549"/>
      <c r="C14825" s="549"/>
      <c r="D14825" s="549"/>
      <c r="E14825" s="549"/>
      <c r="F14825" s="549"/>
      <c r="G14825" s="549"/>
      <c r="H14825" s="549"/>
      <c r="I14825" s="558"/>
      <c r="J14825" s="549"/>
      <c r="K14825" s="652"/>
      <c r="L14825" s="565"/>
      <c r="M14825" s="652"/>
      <c r="N14825" s="565"/>
      <c r="O14825" s="549"/>
      <c r="P14825" s="549"/>
    </row>
    <row r="14826" spans="1:17" ht="17.399999999999999">
      <c r="A14826" s="547" t="s">
        <v>272</v>
      </c>
      <c r="B14826" s="547" t="s">
        <v>1665</v>
      </c>
      <c r="C14826" s="547" t="s">
        <v>446</v>
      </c>
      <c r="D14826" s="813" t="s">
        <v>447</v>
      </c>
      <c r="E14826" s="547" t="s">
        <v>359</v>
      </c>
      <c r="F14826" s="550">
        <v>12</v>
      </c>
      <c r="G14826" s="549" t="s">
        <v>21</v>
      </c>
      <c r="H14826" s="599" t="s">
        <v>95</v>
      </c>
      <c r="I14826" s="558">
        <v>13.4</v>
      </c>
      <c r="J14826" s="567">
        <v>10</v>
      </c>
      <c r="K14826" s="648">
        <v>17</v>
      </c>
      <c r="L14826" s="552">
        <f t="shared" ref="L14826:L14833" si="2952">(I14826*J14826*K14826/1000)</f>
        <v>2.278</v>
      </c>
      <c r="M14826" s="549"/>
      <c r="N14826" s="549"/>
      <c r="O14826" s="549"/>
      <c r="P14826" s="549"/>
      <c r="Q14826" s="1737" t="s">
        <v>1810</v>
      </c>
    </row>
    <row r="14827" spans="1:17" ht="17.399999999999999">
      <c r="A14827" s="549"/>
      <c r="B14827" s="549"/>
      <c r="C14827" s="549"/>
      <c r="D14827" s="549"/>
      <c r="E14827" s="549"/>
      <c r="F14827" s="549"/>
      <c r="G14827" s="549" t="s">
        <v>21</v>
      </c>
      <c r="H14827" s="549" t="s">
        <v>95</v>
      </c>
      <c r="I14827" s="558">
        <v>13.4</v>
      </c>
      <c r="J14827" s="567">
        <v>10.5</v>
      </c>
      <c r="K14827" s="648">
        <v>31</v>
      </c>
      <c r="L14827" s="552">
        <f t="shared" si="2952"/>
        <v>4.3617000000000008</v>
      </c>
      <c r="M14827" s="549"/>
      <c r="N14827" s="549"/>
      <c r="O14827" s="549"/>
      <c r="P14827" s="549"/>
    </row>
    <row r="14828" spans="1:17" ht="17.399999999999999">
      <c r="A14828" s="549"/>
      <c r="B14828" s="549"/>
      <c r="C14828" s="549"/>
      <c r="D14828" s="549"/>
      <c r="E14828" s="549"/>
      <c r="F14828" s="549"/>
      <c r="G14828" s="549" t="s">
        <v>21</v>
      </c>
      <c r="H14828" s="549" t="s">
        <v>95</v>
      </c>
      <c r="I14828" s="558">
        <v>13.4</v>
      </c>
      <c r="J14828" s="567">
        <v>10.85</v>
      </c>
      <c r="K14828" s="648">
        <v>281</v>
      </c>
      <c r="L14828" s="552">
        <f t="shared" si="2952"/>
        <v>40.854589999999995</v>
      </c>
      <c r="M14828" s="549"/>
      <c r="N14828" s="549"/>
      <c r="O14828" s="549"/>
      <c r="P14828" s="549"/>
    </row>
    <row r="14829" spans="1:17" ht="17.399999999999999">
      <c r="A14829" s="549"/>
      <c r="B14829" s="549"/>
      <c r="C14829" s="549"/>
      <c r="D14829" s="549"/>
      <c r="E14829" s="549"/>
      <c r="F14829" s="549"/>
      <c r="G14829" s="549" t="s">
        <v>21</v>
      </c>
      <c r="H14829" s="549" t="s">
        <v>95</v>
      </c>
      <c r="I14829" s="558">
        <v>13.4</v>
      </c>
      <c r="J14829" s="567">
        <v>11.5</v>
      </c>
      <c r="K14829" s="648">
        <v>184</v>
      </c>
      <c r="L14829" s="552">
        <f t="shared" si="2952"/>
        <v>28.354399999999998</v>
      </c>
      <c r="M14829" s="549"/>
      <c r="N14829" s="549"/>
      <c r="O14829" s="549"/>
      <c r="P14829" s="549"/>
    </row>
    <row r="14830" spans="1:17" ht="17.399999999999999">
      <c r="A14830" s="549"/>
      <c r="B14830" s="549"/>
      <c r="C14830" s="549"/>
      <c r="D14830" s="549"/>
      <c r="E14830" s="549"/>
      <c r="F14830" s="549"/>
      <c r="G14830" s="549" t="s">
        <v>21</v>
      </c>
      <c r="H14830" s="549" t="s">
        <v>95</v>
      </c>
      <c r="I14830" s="558">
        <v>13.4</v>
      </c>
      <c r="J14830" s="567">
        <v>11.6</v>
      </c>
      <c r="K14830" s="648">
        <v>40</v>
      </c>
      <c r="L14830" s="552">
        <f t="shared" si="2952"/>
        <v>6.2176</v>
      </c>
      <c r="M14830" s="549"/>
      <c r="N14830" s="549"/>
      <c r="O14830" s="549"/>
      <c r="P14830" s="549"/>
    </row>
    <row r="14831" spans="1:17" ht="17.399999999999999">
      <c r="A14831" s="549"/>
      <c r="B14831" s="549"/>
      <c r="C14831" s="549"/>
      <c r="D14831" s="549"/>
      <c r="E14831" s="549"/>
      <c r="F14831" s="549"/>
      <c r="G14831" s="549" t="s">
        <v>21</v>
      </c>
      <c r="H14831" s="549" t="s">
        <v>95</v>
      </c>
      <c r="I14831" s="558">
        <v>13.4</v>
      </c>
      <c r="J14831" s="567">
        <v>11.7</v>
      </c>
      <c r="K14831" s="648">
        <v>40</v>
      </c>
      <c r="L14831" s="552">
        <f t="shared" si="2952"/>
        <v>6.2711999999999994</v>
      </c>
      <c r="M14831" s="549"/>
      <c r="N14831" s="549"/>
      <c r="O14831" s="549"/>
      <c r="P14831" s="549"/>
    </row>
    <row r="14832" spans="1:17" ht="17.399999999999999">
      <c r="A14832" s="549"/>
      <c r="B14832" s="549"/>
      <c r="C14832" s="549"/>
      <c r="D14832" s="549"/>
      <c r="E14832" s="549"/>
      <c r="F14832" s="549"/>
      <c r="G14832" s="549" t="s">
        <v>21</v>
      </c>
      <c r="H14832" s="549" t="s">
        <v>95</v>
      </c>
      <c r="I14832" s="558">
        <v>13.4</v>
      </c>
      <c r="J14832" s="567">
        <v>11.8</v>
      </c>
      <c r="K14832" s="648">
        <v>86</v>
      </c>
      <c r="L14832" s="552">
        <f t="shared" si="2952"/>
        <v>13.598319999999999</v>
      </c>
      <c r="M14832" s="549"/>
      <c r="N14832" s="549"/>
      <c r="O14832" s="549"/>
      <c r="P14832" s="549"/>
    </row>
    <row r="14833" spans="1:21" ht="17.399999999999999">
      <c r="A14833" s="549"/>
      <c r="B14833" s="549"/>
      <c r="C14833" s="549"/>
      <c r="D14833" s="549"/>
      <c r="E14833" s="549"/>
      <c r="F14833" s="549"/>
      <c r="G14833" s="549" t="s">
        <v>21</v>
      </c>
      <c r="H14833" s="549" t="s">
        <v>95</v>
      </c>
      <c r="I14833" s="558">
        <v>13.4</v>
      </c>
      <c r="J14833" s="567">
        <v>12</v>
      </c>
      <c r="K14833" s="648">
        <v>229</v>
      </c>
      <c r="L14833" s="552">
        <f t="shared" si="2952"/>
        <v>36.823200000000007</v>
      </c>
      <c r="M14833" s="549"/>
      <c r="N14833" s="549"/>
      <c r="O14833" s="549"/>
      <c r="P14833" s="549"/>
    </row>
    <row r="14834" spans="1:21" ht="17.399999999999999">
      <c r="A14834" s="549"/>
      <c r="B14834" s="549"/>
      <c r="C14834" s="549"/>
      <c r="D14834" s="549"/>
      <c r="E14834" s="549"/>
      <c r="F14834" s="549"/>
      <c r="G14834" s="549"/>
      <c r="H14834" s="549"/>
      <c r="I14834" s="558"/>
      <c r="J14834" s="567"/>
      <c r="K14834" s="648">
        <f t="shared" ref="K14834:L14834" si="2953">SUM(K14826:K14833)</f>
        <v>908</v>
      </c>
      <c r="L14834" s="567">
        <f t="shared" si="2953"/>
        <v>138.75900999999999</v>
      </c>
      <c r="M14834" s="549"/>
      <c r="N14834" s="549"/>
      <c r="O14834" s="549"/>
      <c r="P14834" s="549" t="s">
        <v>1766</v>
      </c>
    </row>
    <row r="14835" spans="1:21" s="1737" customFormat="1" ht="17.399999999999999">
      <c r="A14835" s="549"/>
      <c r="B14835" s="549"/>
      <c r="C14835" s="549"/>
      <c r="D14835" s="549"/>
      <c r="E14835" s="549"/>
      <c r="F14835" s="549"/>
      <c r="G14835" s="549"/>
      <c r="H14835" s="549"/>
      <c r="I14835" s="558"/>
      <c r="J14835" s="567"/>
      <c r="K14835" s="648"/>
      <c r="L14835" s="567"/>
      <c r="M14835" s="549"/>
      <c r="N14835" s="549"/>
      <c r="O14835" s="549"/>
      <c r="P14835" s="549"/>
    </row>
    <row r="14836" spans="1:21" s="1737" customFormat="1" ht="17.399999999999999">
      <c r="A14836" s="549"/>
      <c r="B14836" s="549"/>
      <c r="C14836" s="549"/>
      <c r="D14836" s="549"/>
      <c r="E14836" s="549"/>
      <c r="F14836" s="549"/>
      <c r="G14836" s="549"/>
      <c r="H14836" s="549"/>
      <c r="I14836" s="558"/>
      <c r="J14836" s="567"/>
      <c r="K14836" s="648"/>
      <c r="L14836" s="567"/>
      <c r="M14836" s="549"/>
      <c r="N14836" s="549"/>
      <c r="O14836" s="549"/>
      <c r="P14836" s="549"/>
    </row>
    <row r="14837" spans="1:21" ht="17.399999999999999">
      <c r="A14837" s="547" t="s">
        <v>272</v>
      </c>
      <c r="B14837" s="547" t="s">
        <v>1665</v>
      </c>
      <c r="C14837" s="547" t="s">
        <v>446</v>
      </c>
      <c r="D14837" s="813" t="s">
        <v>447</v>
      </c>
      <c r="E14837" s="547" t="s">
        <v>359</v>
      </c>
      <c r="F14837" s="550">
        <v>12</v>
      </c>
      <c r="G14837" s="549" t="s">
        <v>21</v>
      </c>
      <c r="H14837" s="599" t="s">
        <v>98</v>
      </c>
      <c r="I14837" s="558">
        <v>11.8</v>
      </c>
      <c r="J14837" s="567">
        <v>7.55</v>
      </c>
      <c r="K14837" s="648">
        <v>60</v>
      </c>
      <c r="L14837" s="552">
        <f t="shared" ref="L14837:L14841" si="2954">(I14837*J14837*K14837/1000)</f>
        <v>5.3454000000000006</v>
      </c>
      <c r="M14837" s="549">
        <v>4</v>
      </c>
      <c r="N14837" s="549">
        <f>J14837*M14837*I14837/1000</f>
        <v>0.35636000000000001</v>
      </c>
      <c r="O14837" s="549"/>
      <c r="P14837" s="549"/>
      <c r="Q14837" s="1737" t="s">
        <v>1810</v>
      </c>
    </row>
    <row r="14838" spans="1:21" ht="17.399999999999999">
      <c r="A14838" s="549"/>
      <c r="B14838" s="549"/>
      <c r="C14838" s="549"/>
      <c r="D14838" s="549"/>
      <c r="E14838" s="549"/>
      <c r="F14838" s="549"/>
      <c r="G14838" s="549" t="s">
        <v>21</v>
      </c>
      <c r="H14838" s="549" t="s">
        <v>98</v>
      </c>
      <c r="I14838" s="558">
        <v>11.8</v>
      </c>
      <c r="J14838" s="567">
        <v>10</v>
      </c>
      <c r="K14838" s="648">
        <v>94</v>
      </c>
      <c r="L14838" s="552">
        <f t="shared" si="2954"/>
        <v>11.092000000000001</v>
      </c>
      <c r="M14838" s="549">
        <v>2</v>
      </c>
      <c r="N14838" s="549">
        <f>J14838*M14838*I14838/1000</f>
        <v>0.23599999999999999</v>
      </c>
      <c r="O14838" s="549"/>
      <c r="P14838" s="549"/>
    </row>
    <row r="14839" spans="1:21" ht="17.399999999999999">
      <c r="A14839" s="549"/>
      <c r="B14839" s="549"/>
      <c r="C14839" s="549"/>
      <c r="D14839" s="549"/>
      <c r="E14839" s="549"/>
      <c r="F14839" s="549"/>
      <c r="G14839" s="549" t="s">
        <v>21</v>
      </c>
      <c r="H14839" s="549" t="s">
        <v>98</v>
      </c>
      <c r="I14839" s="558">
        <v>11.8</v>
      </c>
      <c r="J14839" s="567">
        <v>11</v>
      </c>
      <c r="K14839" s="648">
        <v>73</v>
      </c>
      <c r="L14839" s="552">
        <f t="shared" si="2954"/>
        <v>9.4754000000000023</v>
      </c>
      <c r="M14839" s="549"/>
      <c r="N14839" s="549"/>
      <c r="O14839" s="549"/>
      <c r="P14839" s="549"/>
    </row>
    <row r="14840" spans="1:21" ht="17.399999999999999">
      <c r="A14840" s="549"/>
      <c r="B14840" s="549"/>
      <c r="C14840" s="549"/>
      <c r="D14840" s="549"/>
      <c r="E14840" s="549"/>
      <c r="F14840" s="549"/>
      <c r="G14840" s="549" t="s">
        <v>21</v>
      </c>
      <c r="H14840" s="549" t="s">
        <v>98</v>
      </c>
      <c r="I14840" s="558">
        <v>11.8</v>
      </c>
      <c r="J14840" s="567">
        <v>11.7</v>
      </c>
      <c r="K14840" s="648">
        <v>60</v>
      </c>
      <c r="L14840" s="552">
        <f t="shared" si="2954"/>
        <v>8.2835999999999999</v>
      </c>
      <c r="M14840" s="549">
        <v>6</v>
      </c>
      <c r="N14840" s="549">
        <f>J14840*M14840*I14840/1000</f>
        <v>0.82835999999999987</v>
      </c>
      <c r="O14840" s="549"/>
      <c r="P14840" s="549"/>
    </row>
    <row r="14841" spans="1:21" ht="17.399999999999999">
      <c r="A14841" s="549"/>
      <c r="B14841" s="549"/>
      <c r="C14841" s="549"/>
      <c r="D14841" s="549"/>
      <c r="E14841" s="549"/>
      <c r="F14841" s="549"/>
      <c r="G14841" s="549" t="s">
        <v>21</v>
      </c>
      <c r="H14841" s="549" t="s">
        <v>98</v>
      </c>
      <c r="I14841" s="558">
        <v>11.8</v>
      </c>
      <c r="J14841" s="567">
        <v>12</v>
      </c>
      <c r="K14841" s="648">
        <v>21</v>
      </c>
      <c r="L14841" s="552">
        <f t="shared" si="2954"/>
        <v>2.9736000000000002</v>
      </c>
      <c r="M14841" s="549"/>
      <c r="N14841" s="549"/>
      <c r="O14841" s="549"/>
      <c r="P14841" s="549"/>
    </row>
    <row r="14842" spans="1:21" ht="17.399999999999999">
      <c r="A14842" s="549"/>
      <c r="B14842" s="549"/>
      <c r="C14842" s="549"/>
      <c r="D14842" s="549"/>
      <c r="E14842" s="549"/>
      <c r="F14842" s="549"/>
      <c r="G14842" s="549"/>
      <c r="H14842" s="549"/>
      <c r="I14842" s="558"/>
      <c r="J14842" s="567"/>
      <c r="K14842" s="648">
        <f t="shared" ref="K14842:M14842" si="2955">SUM(K14837:K14841)</f>
        <v>308</v>
      </c>
      <c r="L14842" s="567">
        <f t="shared" si="2955"/>
        <v>37.17</v>
      </c>
      <c r="M14842" s="648">
        <f t="shared" si="2955"/>
        <v>12</v>
      </c>
      <c r="N14842" s="567">
        <f>SUM(N14837:N14841)</f>
        <v>1.4207199999999998</v>
      </c>
      <c r="O14842" s="549"/>
      <c r="P14842" s="549" t="s">
        <v>1767</v>
      </c>
    </row>
    <row r="14843" spans="1:21" s="1737" customFormat="1" ht="17.399999999999999">
      <c r="A14843" s="549"/>
      <c r="B14843" s="549"/>
      <c r="C14843" s="549"/>
      <c r="D14843" s="549"/>
      <c r="E14843" s="549"/>
      <c r="F14843" s="549"/>
      <c r="G14843" s="549"/>
      <c r="H14843" s="549"/>
      <c r="I14843" s="558"/>
      <c r="J14843" s="567"/>
      <c r="K14843" s="648"/>
      <c r="L14843" s="567"/>
      <c r="M14843" s="549"/>
      <c r="N14843" s="549"/>
      <c r="O14843" s="549"/>
      <c r="P14843" s="549"/>
    </row>
    <row r="14844" spans="1:21" ht="17.399999999999999">
      <c r="A14844" s="549"/>
      <c r="B14844" s="549"/>
      <c r="C14844" s="549"/>
      <c r="D14844" s="549"/>
      <c r="E14844" s="549"/>
      <c r="F14844" s="549"/>
      <c r="G14844" s="549"/>
      <c r="H14844" s="549"/>
      <c r="I14844" s="560"/>
      <c r="J14844" s="549"/>
      <c r="K14844" s="561"/>
      <c r="L14844" s="560"/>
      <c r="M14844" s="549"/>
      <c r="N14844" s="549"/>
      <c r="O14844" s="549"/>
      <c r="P14844" s="549"/>
    </row>
    <row r="14845" spans="1:21" ht="17.399999999999999">
      <c r="A14845" s="547" t="s">
        <v>272</v>
      </c>
      <c r="B14845" s="547" t="s">
        <v>1665</v>
      </c>
      <c r="C14845" s="547" t="s">
        <v>446</v>
      </c>
      <c r="D14845" s="813" t="s">
        <v>447</v>
      </c>
      <c r="E14845" s="547" t="s">
        <v>359</v>
      </c>
      <c r="F14845" s="550">
        <v>12</v>
      </c>
      <c r="G14845" s="549" t="s">
        <v>21</v>
      </c>
      <c r="H14845" s="599" t="s">
        <v>97</v>
      </c>
      <c r="I14845" s="558">
        <v>10.199999999999999</v>
      </c>
      <c r="J14845" s="567">
        <v>7.1</v>
      </c>
      <c r="K14845" s="648">
        <v>42</v>
      </c>
      <c r="L14845" s="552">
        <f t="shared" ref="L14845:L14851" si="2956">(I14845*J14845*K14845/1000)</f>
        <v>3.0416399999999992</v>
      </c>
      <c r="M14845" s="549"/>
      <c r="N14845" s="549"/>
      <c r="O14845" s="549"/>
      <c r="P14845" s="549"/>
      <c r="Q14845" s="497">
        <f>4+11+7</f>
        <v>22</v>
      </c>
      <c r="R14845" s="126">
        <f>J14845*Q14845*I14845/1000</f>
        <v>1.5932399999999998</v>
      </c>
      <c r="S14845">
        <v>6</v>
      </c>
      <c r="T14845">
        <f>J14845*S14845*I14845/1000</f>
        <v>0.43451999999999991</v>
      </c>
      <c r="U14845" s="1737" t="s">
        <v>1811</v>
      </c>
    </row>
    <row r="14846" spans="1:21" ht="17.399999999999999">
      <c r="A14846" s="549"/>
      <c r="B14846" s="549"/>
      <c r="C14846" s="549"/>
      <c r="D14846" s="549"/>
      <c r="E14846" s="549"/>
      <c r="F14846" s="549"/>
      <c r="G14846" s="549" t="s">
        <v>21</v>
      </c>
      <c r="H14846" s="549" t="s">
        <v>97</v>
      </c>
      <c r="I14846" s="558">
        <v>10.199999999999999</v>
      </c>
      <c r="J14846" s="567">
        <v>8</v>
      </c>
      <c r="K14846" s="648">
        <v>406</v>
      </c>
      <c r="L14846" s="552">
        <f t="shared" si="2956"/>
        <v>33.129599999999996</v>
      </c>
      <c r="M14846" s="549"/>
      <c r="N14846" s="549"/>
      <c r="O14846" s="549"/>
      <c r="P14846" s="549"/>
      <c r="Q14846" s="497">
        <f>32+32+32+14+31+40+40+40+30+4+22</f>
        <v>317</v>
      </c>
      <c r="R14846" s="126">
        <f t="shared" ref="R14846:R14851" si="2957">J14846*Q14846*I14846/1000</f>
        <v>25.867199999999997</v>
      </c>
      <c r="T14846" s="1737">
        <f t="shared" ref="T14846:T14851" si="2958">J14846*S14846*I14846/1000</f>
        <v>0</v>
      </c>
    </row>
    <row r="14847" spans="1:21" ht="17.399999999999999">
      <c r="A14847" s="549"/>
      <c r="B14847" s="549"/>
      <c r="C14847" s="549"/>
      <c r="D14847" s="549"/>
      <c r="E14847" s="549"/>
      <c r="F14847" s="549"/>
      <c r="G14847" s="549" t="s">
        <v>21</v>
      </c>
      <c r="H14847" s="549" t="s">
        <v>97</v>
      </c>
      <c r="I14847" s="558">
        <v>10.199999999999999</v>
      </c>
      <c r="J14847" s="567">
        <v>8.3000000000000007</v>
      </c>
      <c r="K14847" s="648">
        <v>235</v>
      </c>
      <c r="L14847" s="552">
        <f t="shared" si="2956"/>
        <v>19.895099999999999</v>
      </c>
      <c r="M14847" s="549"/>
      <c r="N14847" s="549"/>
      <c r="O14847" s="549"/>
      <c r="P14847" s="549"/>
      <c r="Q14847" s="497">
        <f>21+1+30+30+30+2+27+26+28</f>
        <v>195</v>
      </c>
      <c r="R14847" s="126">
        <f t="shared" si="2957"/>
        <v>16.508700000000001</v>
      </c>
      <c r="S14847">
        <f>37+2</f>
        <v>39</v>
      </c>
      <c r="T14847" s="1737">
        <f t="shared" si="2958"/>
        <v>3.3017400000000001</v>
      </c>
    </row>
    <row r="14848" spans="1:21" ht="17.399999999999999">
      <c r="A14848" s="549"/>
      <c r="B14848" s="549"/>
      <c r="C14848" s="549"/>
      <c r="D14848" s="549"/>
      <c r="E14848" s="549"/>
      <c r="F14848" s="549"/>
      <c r="G14848" s="549" t="s">
        <v>21</v>
      </c>
      <c r="H14848" s="549" t="s">
        <v>97</v>
      </c>
      <c r="I14848" s="558">
        <v>10.199999999999999</v>
      </c>
      <c r="J14848" s="567">
        <v>10</v>
      </c>
      <c r="K14848" s="648">
        <v>94</v>
      </c>
      <c r="L14848" s="552">
        <f t="shared" si="2956"/>
        <v>9.5879999999999992</v>
      </c>
      <c r="M14848" s="549"/>
      <c r="N14848" s="549"/>
      <c r="O14848" s="549"/>
      <c r="P14848" s="549"/>
      <c r="Q14848" s="497">
        <f>2+2+27+9+29</f>
        <v>69</v>
      </c>
      <c r="R14848" s="126">
        <f t="shared" si="2957"/>
        <v>7.0379999999999994</v>
      </c>
      <c r="S14848">
        <v>10</v>
      </c>
      <c r="T14848" s="1737">
        <f t="shared" si="2958"/>
        <v>1.0199999999999998</v>
      </c>
    </row>
    <row r="14849" spans="1:20" ht="17.399999999999999">
      <c r="A14849" s="549"/>
      <c r="B14849" s="549"/>
      <c r="C14849" s="549"/>
      <c r="D14849" s="549"/>
      <c r="E14849" s="549"/>
      <c r="F14849" s="549"/>
      <c r="G14849" s="549" t="s">
        <v>21</v>
      </c>
      <c r="H14849" s="549" t="s">
        <v>97</v>
      </c>
      <c r="I14849" s="558">
        <v>10.199999999999999</v>
      </c>
      <c r="J14849" s="567">
        <v>10.7</v>
      </c>
      <c r="K14849" s="648">
        <v>94</v>
      </c>
      <c r="L14849" s="552">
        <f t="shared" si="2956"/>
        <v>10.259159999999998</v>
      </c>
      <c r="M14849" s="549"/>
      <c r="N14849" s="549"/>
      <c r="O14849" s="549"/>
      <c r="P14849" s="549"/>
      <c r="Q14849" s="497">
        <f>2+15+11+8</f>
        <v>36</v>
      </c>
      <c r="R14849" s="126">
        <f t="shared" si="2957"/>
        <v>3.9290399999999996</v>
      </c>
      <c r="S14849">
        <v>19</v>
      </c>
      <c r="T14849" s="1737">
        <f t="shared" si="2958"/>
        <v>2.0736599999999998</v>
      </c>
    </row>
    <row r="14850" spans="1:20" ht="17.399999999999999">
      <c r="A14850" s="549"/>
      <c r="B14850" s="549"/>
      <c r="C14850" s="549"/>
      <c r="D14850" s="549"/>
      <c r="E14850" s="549"/>
      <c r="F14850" s="549"/>
      <c r="G14850" s="549" t="s">
        <v>21</v>
      </c>
      <c r="H14850" s="549" t="s">
        <v>97</v>
      </c>
      <c r="I14850" s="558">
        <v>10.199999999999999</v>
      </c>
      <c r="J14850" s="567">
        <v>11</v>
      </c>
      <c r="K14850" s="648">
        <v>84</v>
      </c>
      <c r="L14850" s="552">
        <f t="shared" si="2956"/>
        <v>9.4247999999999994</v>
      </c>
      <c r="M14850" s="549"/>
      <c r="N14850" s="549"/>
      <c r="O14850" s="549"/>
      <c r="P14850" s="549"/>
      <c r="Q14850" s="497">
        <f>32+16+1+11+1+12</f>
        <v>73</v>
      </c>
      <c r="R14850" s="126">
        <f t="shared" si="2957"/>
        <v>8.1905999999999999</v>
      </c>
      <c r="S14850">
        <v>2</v>
      </c>
      <c r="T14850" s="1737">
        <f t="shared" si="2958"/>
        <v>0.22439999999999999</v>
      </c>
    </row>
    <row r="14851" spans="1:20" ht="17.399999999999999">
      <c r="A14851" s="549"/>
      <c r="B14851" s="549"/>
      <c r="C14851" s="549"/>
      <c r="D14851" s="549"/>
      <c r="E14851" s="549"/>
      <c r="F14851" s="549"/>
      <c r="G14851" s="549" t="s">
        <v>21</v>
      </c>
      <c r="H14851" s="549" t="s">
        <v>97</v>
      </c>
      <c r="I14851" s="558">
        <v>10.199999999999999</v>
      </c>
      <c r="J14851" s="567">
        <v>12</v>
      </c>
      <c r="K14851" s="648">
        <v>30</v>
      </c>
      <c r="L14851" s="552">
        <f t="shared" si="2956"/>
        <v>3.6719999999999997</v>
      </c>
      <c r="M14851" s="549"/>
      <c r="N14851" s="549"/>
      <c r="O14851" s="549"/>
      <c r="P14851" s="549"/>
      <c r="Q14851" s="497">
        <f>9+1+6+3</f>
        <v>19</v>
      </c>
      <c r="R14851" s="126">
        <f t="shared" si="2957"/>
        <v>2.3256000000000001</v>
      </c>
      <c r="S14851">
        <v>11</v>
      </c>
      <c r="T14851" s="1737">
        <f t="shared" si="2958"/>
        <v>1.3463999999999998</v>
      </c>
    </row>
    <row r="14852" spans="1:20" ht="17.399999999999999">
      <c r="A14852" s="549"/>
      <c r="B14852" s="549"/>
      <c r="C14852" s="549"/>
      <c r="D14852" s="549"/>
      <c r="E14852" s="549"/>
      <c r="F14852" s="549"/>
      <c r="G14852" s="549"/>
      <c r="H14852" s="549"/>
      <c r="I14852" s="558"/>
      <c r="J14852" s="567"/>
      <c r="K14852" s="648">
        <f t="shared" ref="K14852:L14852" si="2959">SUM(K14845:K14851)</f>
        <v>985</v>
      </c>
      <c r="L14852" s="567">
        <f t="shared" si="2959"/>
        <v>89.010299999999987</v>
      </c>
      <c r="M14852" s="549"/>
      <c r="N14852" s="549"/>
      <c r="O14852" s="549"/>
      <c r="P14852" s="549"/>
      <c r="Q14852" s="648">
        <f t="shared" ref="Q14852:T14852" si="2960">SUM(Q14845:Q14851)</f>
        <v>731</v>
      </c>
      <c r="R14852" s="567">
        <f t="shared" si="2960"/>
        <v>65.452379999999991</v>
      </c>
      <c r="S14852" s="648">
        <f t="shared" si="2960"/>
        <v>87</v>
      </c>
      <c r="T14852" s="567">
        <f t="shared" si="2960"/>
        <v>8.4007199999999997</v>
      </c>
    </row>
    <row r="14853" spans="1:20" s="1737" customFormat="1" ht="17.399999999999999">
      <c r="A14853" s="549"/>
      <c r="B14853" s="549"/>
      <c r="C14853" s="549"/>
      <c r="D14853" s="549"/>
      <c r="E14853" s="549"/>
      <c r="F14853" s="549"/>
      <c r="G14853" s="549"/>
      <c r="H14853" s="549"/>
      <c r="I14853" s="558"/>
      <c r="J14853" s="567"/>
      <c r="K14853" s="648"/>
      <c r="L14853" s="567"/>
      <c r="M14853" s="549"/>
      <c r="N14853" s="549"/>
      <c r="O14853" s="549"/>
      <c r="P14853" s="549"/>
    </row>
    <row r="14854" spans="1:20" ht="17.399999999999999">
      <c r="A14854" s="547" t="s">
        <v>272</v>
      </c>
      <c r="B14854" s="547" t="s">
        <v>1758</v>
      </c>
      <c r="C14854" s="547" t="s">
        <v>446</v>
      </c>
      <c r="D14854" s="813" t="s">
        <v>447</v>
      </c>
      <c r="E14854" s="547" t="s">
        <v>359</v>
      </c>
      <c r="F14854" s="550">
        <v>12</v>
      </c>
      <c r="G14854" s="549" t="s">
        <v>21</v>
      </c>
      <c r="H14854" s="599" t="s">
        <v>97</v>
      </c>
      <c r="I14854" s="558">
        <v>10.199999999999999</v>
      </c>
      <c r="J14854" s="567">
        <v>11.15</v>
      </c>
      <c r="K14854" s="648">
        <v>20</v>
      </c>
      <c r="L14854" s="552">
        <f>(I14854*J14854*K14854/1000)</f>
        <v>2.2746</v>
      </c>
      <c r="M14854" s="549"/>
      <c r="N14854" s="549"/>
      <c r="O14854" s="549"/>
      <c r="P14854" s="549"/>
      <c r="Q14854" s="497">
        <f>3+2+10+5</f>
        <v>20</v>
      </c>
      <c r="R14854" s="126">
        <f>J14854*Q14854*I14854/1000</f>
        <v>2.2746</v>
      </c>
      <c r="S14854" s="1737" t="s">
        <v>1811</v>
      </c>
    </row>
    <row r="14855" spans="1:20" ht="17.399999999999999">
      <c r="A14855" s="549"/>
      <c r="B14855" s="549"/>
      <c r="C14855" s="549"/>
      <c r="D14855" s="549"/>
      <c r="E14855" s="549"/>
      <c r="F14855" s="549"/>
      <c r="G14855" s="549"/>
      <c r="H14855" s="549"/>
      <c r="I14855" s="558"/>
      <c r="J14855" s="567"/>
      <c r="K14855" s="648">
        <f>SUM(K14854:K14854)</f>
        <v>20</v>
      </c>
      <c r="L14855" s="567">
        <f>SUM(L14854:L14854)</f>
        <v>2.2746</v>
      </c>
      <c r="M14855" s="549"/>
      <c r="N14855" s="549"/>
      <c r="O14855" s="549"/>
      <c r="P14855" s="549"/>
      <c r="Q14855" s="648">
        <f>SUM(Q14854:Q14854)</f>
        <v>20</v>
      </c>
      <c r="R14855" s="567">
        <f>SUM(R14854:R14854)</f>
        <v>2.2746</v>
      </c>
    </row>
    <row r="14856" spans="1:20" s="1737" customFormat="1" ht="17.399999999999999">
      <c r="A14856" s="549"/>
      <c r="B14856" s="549"/>
      <c r="C14856" s="549"/>
      <c r="D14856" s="549"/>
      <c r="E14856" s="549"/>
      <c r="F14856" s="549"/>
      <c r="G14856" s="549"/>
      <c r="H14856" s="549"/>
      <c r="I14856" s="558"/>
      <c r="J14856" s="567"/>
      <c r="K14856" s="648">
        <f>SUM(K14845:K14855)/2</f>
        <v>1005</v>
      </c>
      <c r="L14856" s="567">
        <f>SUM(L14845:L14855)/2</f>
        <v>91.284899999999979</v>
      </c>
      <c r="M14856" s="549"/>
      <c r="N14856" s="549"/>
      <c r="O14856" s="549"/>
      <c r="P14856" s="549" t="s">
        <v>1768</v>
      </c>
    </row>
    <row r="14857" spans="1:20" s="1737" customFormat="1" ht="17.399999999999999">
      <c r="A14857" s="549"/>
      <c r="B14857" s="549"/>
      <c r="C14857" s="549"/>
      <c r="D14857" s="549"/>
      <c r="E14857" s="549"/>
      <c r="F14857" s="549"/>
      <c r="G14857" s="549"/>
      <c r="H14857" s="549"/>
      <c r="I14857" s="558"/>
      <c r="J14857" s="567"/>
      <c r="K14857" s="648"/>
      <c r="L14857" s="567"/>
      <c r="M14857" s="549"/>
      <c r="N14857" s="549"/>
      <c r="O14857" s="549"/>
      <c r="P14857" s="549"/>
    </row>
    <row r="14858" spans="1:20" s="1737" customFormat="1" ht="17.399999999999999">
      <c r="A14858" s="549"/>
      <c r="B14858" s="549"/>
      <c r="C14858" s="549"/>
      <c r="D14858" s="549"/>
      <c r="E14858" s="549"/>
      <c r="F14858" s="549"/>
      <c r="G14858" s="549"/>
      <c r="H14858" s="549"/>
      <c r="I14858" s="558"/>
      <c r="J14858" s="567"/>
      <c r="K14858" s="648"/>
      <c r="L14858" s="567"/>
      <c r="M14858" s="549"/>
      <c r="N14858" s="549"/>
      <c r="O14858" s="549"/>
      <c r="P14858" s="549"/>
    </row>
    <row r="14859" spans="1:20" s="1737" customFormat="1" ht="17.399999999999999">
      <c r="A14859" s="549"/>
      <c r="B14859" s="549"/>
      <c r="C14859" s="549"/>
      <c r="D14859" s="549"/>
      <c r="E14859" s="549"/>
      <c r="F14859" s="549"/>
      <c r="G14859" s="549"/>
      <c r="H14859" s="549"/>
      <c r="I14859" s="558"/>
      <c r="J14859" s="567"/>
      <c r="K14859" s="648"/>
      <c r="L14859" s="567"/>
      <c r="M14859" s="549"/>
      <c r="N14859" s="549"/>
      <c r="O14859" s="549"/>
      <c r="P14859" s="549"/>
    </row>
    <row r="14860" spans="1:20" s="1737" customFormat="1" ht="17.399999999999999">
      <c r="A14860" s="549"/>
      <c r="B14860" s="549"/>
      <c r="C14860" s="549"/>
      <c r="D14860" s="549"/>
      <c r="E14860" s="549"/>
      <c r="F14860" s="549"/>
      <c r="G14860" s="549"/>
      <c r="H14860" s="549"/>
      <c r="I14860" s="558"/>
      <c r="J14860" s="567"/>
      <c r="K14860" s="648"/>
      <c r="L14860" s="567"/>
      <c r="M14860" s="549"/>
      <c r="N14860" s="549"/>
      <c r="O14860" s="549"/>
      <c r="P14860" s="549"/>
    </row>
    <row r="14861" spans="1:20" ht="17.399999999999999">
      <c r="A14861" s="549"/>
      <c r="B14861" s="549"/>
      <c r="C14861" s="549"/>
      <c r="D14861" s="549"/>
      <c r="E14861" s="549"/>
      <c r="F14861" s="549"/>
      <c r="G14861" s="549"/>
      <c r="H14861" s="549"/>
      <c r="I14861" s="558"/>
      <c r="J14861" s="549"/>
      <c r="K14861" s="561"/>
      <c r="L14861" s="560"/>
      <c r="M14861" s="549"/>
      <c r="N14861" s="549"/>
      <c r="O14861" s="549"/>
      <c r="P14861" s="549"/>
    </row>
    <row r="14862" spans="1:20" ht="17.399999999999999">
      <c r="A14862" s="547" t="s">
        <v>272</v>
      </c>
      <c r="B14862" s="547" t="s">
        <v>1665</v>
      </c>
      <c r="C14862" s="547" t="s">
        <v>446</v>
      </c>
      <c r="D14862" s="813" t="s">
        <v>450</v>
      </c>
      <c r="E14862" s="547" t="s">
        <v>270</v>
      </c>
      <c r="F14862" s="550">
        <v>12</v>
      </c>
      <c r="G14862" s="549" t="s">
        <v>61</v>
      </c>
      <c r="H14862" s="599" t="s">
        <v>97</v>
      </c>
      <c r="I14862" s="558">
        <v>10.199999999999999</v>
      </c>
      <c r="J14862" s="567">
        <v>7.35</v>
      </c>
      <c r="K14862" s="648">
        <v>200</v>
      </c>
      <c r="L14862" s="552">
        <f t="shared" ref="L14862:L14865" si="2961">(I14862*J14862*K14862/1000)</f>
        <v>14.993999999999996</v>
      </c>
      <c r="M14862" s="549"/>
      <c r="N14862" s="549"/>
      <c r="O14862" s="549"/>
      <c r="P14862" s="549"/>
      <c r="Q14862" s="497">
        <f>41+40+37+1</f>
        <v>119</v>
      </c>
      <c r="R14862" s="126">
        <f t="shared" ref="R14862:R14865" si="2962">J14862*Q14862*I14862/1000</f>
        <v>8.9214299999999991</v>
      </c>
      <c r="S14862" s="1737" t="s">
        <v>1811</v>
      </c>
    </row>
    <row r="14863" spans="1:20" ht="17.399999999999999">
      <c r="A14863" s="549"/>
      <c r="B14863" s="549"/>
      <c r="C14863" s="549"/>
      <c r="D14863" s="549"/>
      <c r="E14863" s="549"/>
      <c r="F14863" s="549"/>
      <c r="G14863" s="549" t="s">
        <v>61</v>
      </c>
      <c r="H14863" s="549" t="s">
        <v>97</v>
      </c>
      <c r="I14863" s="558">
        <v>10.199999999999999</v>
      </c>
      <c r="J14863" s="567">
        <v>8.1999999999999993</v>
      </c>
      <c r="K14863" s="648">
        <v>200</v>
      </c>
      <c r="L14863" s="552">
        <f t="shared" si="2961"/>
        <v>16.727999999999998</v>
      </c>
      <c r="M14863" s="549"/>
      <c r="N14863" s="549"/>
      <c r="O14863" s="549"/>
      <c r="P14863" s="549"/>
      <c r="Q14863" s="497">
        <f>30+40+35+6+1</f>
        <v>112</v>
      </c>
      <c r="R14863" s="126">
        <f t="shared" si="2962"/>
        <v>9.3676799999999982</v>
      </c>
    </row>
    <row r="14864" spans="1:20" ht="17.399999999999999">
      <c r="A14864" s="549"/>
      <c r="B14864" s="549"/>
      <c r="C14864" s="549"/>
      <c r="D14864" s="549"/>
      <c r="E14864" s="549"/>
      <c r="F14864" s="549"/>
      <c r="G14864" s="549" t="s">
        <v>61</v>
      </c>
      <c r="H14864" s="549" t="s">
        <v>97</v>
      </c>
      <c r="I14864" s="558">
        <v>10.199999999999999</v>
      </c>
      <c r="J14864" s="567">
        <v>10</v>
      </c>
      <c r="K14864" s="648">
        <v>60</v>
      </c>
      <c r="L14864" s="552">
        <f t="shared" si="2961"/>
        <v>6.12</v>
      </c>
      <c r="M14864" s="549"/>
      <c r="N14864" s="549"/>
      <c r="O14864" s="549"/>
      <c r="P14864" s="549"/>
      <c r="Q14864" s="497">
        <f>36+11</f>
        <v>47</v>
      </c>
      <c r="R14864" s="126">
        <f t="shared" si="2962"/>
        <v>4.7939999999999996</v>
      </c>
    </row>
    <row r="14865" spans="1:19" ht="17.399999999999999">
      <c r="A14865" s="549"/>
      <c r="B14865" s="549"/>
      <c r="C14865" s="549"/>
      <c r="D14865" s="549"/>
      <c r="E14865" s="549"/>
      <c r="F14865" s="549"/>
      <c r="G14865" s="549" t="s">
        <v>61</v>
      </c>
      <c r="H14865" s="549" t="s">
        <v>97</v>
      </c>
      <c r="I14865" s="558">
        <v>10.199999999999999</v>
      </c>
      <c r="J14865" s="567">
        <v>11.5</v>
      </c>
      <c r="K14865" s="648">
        <v>300</v>
      </c>
      <c r="L14865" s="552">
        <f t="shared" si="2961"/>
        <v>35.19</v>
      </c>
      <c r="M14865" s="549"/>
      <c r="N14865" s="549"/>
      <c r="O14865" s="549"/>
      <c r="P14865" s="549"/>
      <c r="Q14865" s="497">
        <f>30+30+30+30+30+30+30+30+13</f>
        <v>253</v>
      </c>
      <c r="R14865" s="126">
        <f t="shared" si="2962"/>
        <v>29.676899999999996</v>
      </c>
    </row>
    <row r="14866" spans="1:19" ht="17.399999999999999">
      <c r="A14866" s="549"/>
      <c r="B14866" s="549"/>
      <c r="C14866" s="549"/>
      <c r="D14866" s="549"/>
      <c r="E14866" s="549"/>
      <c r="F14866" s="549"/>
      <c r="G14866" s="549"/>
      <c r="H14866" s="549"/>
      <c r="I14866" s="558"/>
      <c r="J14866" s="567"/>
      <c r="K14866" s="648">
        <f t="shared" ref="K14866:L14866" si="2963">SUM(K14862:K14865)</f>
        <v>760</v>
      </c>
      <c r="L14866" s="567">
        <f t="shared" si="2963"/>
        <v>73.031999999999982</v>
      </c>
      <c r="M14866" s="549"/>
      <c r="N14866" s="549"/>
      <c r="O14866" s="549"/>
      <c r="P14866" s="549"/>
      <c r="Q14866" s="648">
        <f t="shared" ref="Q14866:R14866" si="2964">SUM(Q14862:Q14865)</f>
        <v>531</v>
      </c>
      <c r="R14866" s="567">
        <f t="shared" si="2964"/>
        <v>52.760009999999994</v>
      </c>
    </row>
    <row r="14867" spans="1:19" ht="17.399999999999999">
      <c r="A14867" s="549"/>
      <c r="B14867" s="549"/>
      <c r="C14867" s="549"/>
      <c r="D14867" s="549"/>
      <c r="E14867" s="549"/>
      <c r="F14867" s="549"/>
      <c r="G14867" s="549"/>
      <c r="H14867" s="549"/>
      <c r="I14867" s="558"/>
      <c r="J14867" s="549"/>
      <c r="K14867" s="561"/>
      <c r="L14867" s="560"/>
      <c r="M14867" s="549"/>
      <c r="N14867" s="549"/>
      <c r="O14867" s="549"/>
      <c r="P14867" s="549"/>
    </row>
    <row r="14868" spans="1:19" ht="17.399999999999999">
      <c r="A14868" s="547" t="s">
        <v>272</v>
      </c>
      <c r="B14868" s="547" t="s">
        <v>1664</v>
      </c>
      <c r="C14868" s="547" t="s">
        <v>446</v>
      </c>
      <c r="D14868" s="813" t="s">
        <v>450</v>
      </c>
      <c r="E14868" s="547" t="s">
        <v>270</v>
      </c>
      <c r="F14868" s="550">
        <v>12</v>
      </c>
      <c r="G14868" s="549" t="s">
        <v>61</v>
      </c>
      <c r="H14868" s="599" t="s">
        <v>97</v>
      </c>
      <c r="I14868" s="558">
        <v>10.199999999999999</v>
      </c>
      <c r="J14868" s="567">
        <v>10</v>
      </c>
      <c r="K14868" s="648">
        <v>16</v>
      </c>
      <c r="L14868" s="552">
        <f>(I14868*J14868*K14868/1000)</f>
        <v>1.6319999999999999</v>
      </c>
      <c r="M14868" s="549"/>
      <c r="N14868" s="549"/>
      <c r="O14868" s="549"/>
      <c r="P14868" s="549"/>
      <c r="R14868" s="126">
        <f t="shared" ref="R14868" si="2965">J14868*Q14868*I14868/1000</f>
        <v>0</v>
      </c>
      <c r="S14868" s="1737" t="s">
        <v>1811</v>
      </c>
    </row>
    <row r="14869" spans="1:19" ht="17.399999999999999">
      <c r="A14869" s="549"/>
      <c r="B14869" s="549"/>
      <c r="C14869" s="549"/>
      <c r="D14869" s="549"/>
      <c r="E14869" s="549"/>
      <c r="F14869" s="549"/>
      <c r="G14869" s="549"/>
      <c r="H14869" s="549"/>
      <c r="I14869" s="558"/>
      <c r="J14869" s="567"/>
      <c r="K14869" s="648">
        <f>SUM(K14868)</f>
        <v>16</v>
      </c>
      <c r="L14869" s="567">
        <f>SUM(L14868)</f>
        <v>1.6319999999999999</v>
      </c>
      <c r="M14869" s="549"/>
      <c r="N14869" s="549"/>
      <c r="O14869" s="549"/>
      <c r="P14869" s="549"/>
      <c r="Q14869" s="648">
        <f>SUM(Q14868)</f>
        <v>0</v>
      </c>
      <c r="R14869" s="567">
        <f>SUM(R14868)</f>
        <v>0</v>
      </c>
    </row>
    <row r="14870" spans="1:19" ht="17.399999999999999">
      <c r="A14870" s="549"/>
      <c r="B14870" s="549"/>
      <c r="C14870" s="549"/>
      <c r="D14870" s="549"/>
      <c r="E14870" s="549"/>
      <c r="F14870" s="549"/>
      <c r="G14870" s="549"/>
      <c r="H14870" s="549"/>
      <c r="I14870" s="558"/>
      <c r="J14870" s="549"/>
      <c r="K14870" s="652">
        <f>SUM(K14862:K14869)/2</f>
        <v>776</v>
      </c>
      <c r="L14870" s="565">
        <f>SUM(L14862:L14869)/2</f>
        <v>74.663999999999987</v>
      </c>
      <c r="M14870" s="549"/>
      <c r="N14870" s="549"/>
      <c r="O14870" s="549"/>
      <c r="P14870" s="549" t="s">
        <v>1769</v>
      </c>
    </row>
    <row r="14871" spans="1:19" ht="17.399999999999999">
      <c r="A14871" s="549"/>
      <c r="B14871" s="549"/>
      <c r="C14871" s="549"/>
      <c r="D14871" s="549"/>
      <c r="E14871" s="549"/>
      <c r="F14871" s="549"/>
      <c r="G14871" s="549"/>
      <c r="H14871" s="549"/>
      <c r="I14871" s="558"/>
      <c r="J14871" s="549"/>
      <c r="K14871" s="561"/>
      <c r="L14871" s="560"/>
      <c r="M14871" s="549"/>
      <c r="N14871" s="549"/>
      <c r="O14871" s="549"/>
      <c r="P14871" s="549"/>
    </row>
    <row r="14872" spans="1:19" ht="17.399999999999999">
      <c r="A14872" s="549"/>
      <c r="B14872" s="549"/>
      <c r="C14872" s="549"/>
      <c r="D14872" s="549"/>
      <c r="E14872" s="549"/>
      <c r="F14872" s="549"/>
      <c r="G14872" s="549"/>
      <c r="H14872" s="549"/>
      <c r="I14872" s="558"/>
      <c r="J14872" s="549"/>
      <c r="K14872" s="561"/>
      <c r="L14872" s="560"/>
      <c r="M14872" s="549"/>
      <c r="N14872" s="549"/>
      <c r="O14872" s="549"/>
      <c r="P14872" s="549"/>
    </row>
    <row r="14873" spans="1:19" ht="17.399999999999999">
      <c r="A14873" s="549"/>
      <c r="B14873" s="549"/>
      <c r="C14873" s="549"/>
      <c r="D14873" s="549"/>
      <c r="E14873" s="549"/>
      <c r="F14873" s="549"/>
      <c r="G14873" s="549"/>
      <c r="H14873" s="549"/>
      <c r="I14873" s="558"/>
      <c r="J14873" s="549"/>
      <c r="K14873" s="561"/>
      <c r="L14873" s="560"/>
      <c r="M14873" s="549"/>
      <c r="N14873" s="549"/>
      <c r="O14873" s="549"/>
      <c r="P14873" s="549"/>
    </row>
    <row r="14874" spans="1:19" ht="17.399999999999999">
      <c r="A14874" s="547" t="s">
        <v>395</v>
      </c>
      <c r="B14874" s="547" t="s">
        <v>1725</v>
      </c>
      <c r="C14874" s="547" t="s">
        <v>19</v>
      </c>
      <c r="D14874" s="813" t="s">
        <v>49</v>
      </c>
      <c r="E14874" s="547" t="s">
        <v>359</v>
      </c>
      <c r="F14874" s="550">
        <v>13</v>
      </c>
      <c r="G14874" s="549" t="s">
        <v>21</v>
      </c>
      <c r="H14874" s="599" t="s">
        <v>92</v>
      </c>
      <c r="I14874" s="558">
        <v>16.579999999999998</v>
      </c>
      <c r="J14874" s="567">
        <v>10</v>
      </c>
      <c r="K14874" s="648">
        <v>1</v>
      </c>
      <c r="L14874" s="552">
        <f t="shared" ref="L14874:L14877" si="2966">(I14874*J14874*K14874/1000)</f>
        <v>0.16579999999999998</v>
      </c>
      <c r="M14874" s="648">
        <v>1</v>
      </c>
      <c r="N14874" s="567">
        <f>J14874*M14874*I14874/1000</f>
        <v>0.16579999999999998</v>
      </c>
      <c r="O14874" s="549"/>
      <c r="P14874" s="549"/>
      <c r="Q14874" s="1737" t="s">
        <v>1811</v>
      </c>
    </row>
    <row r="14875" spans="1:19" ht="17.399999999999999">
      <c r="A14875" s="549"/>
      <c r="B14875" s="1605" t="s">
        <v>1726</v>
      </c>
      <c r="C14875" s="549"/>
      <c r="D14875" s="549"/>
      <c r="E14875" s="549"/>
      <c r="F14875" s="549"/>
      <c r="G14875" s="549" t="s">
        <v>21</v>
      </c>
      <c r="H14875" s="549" t="s">
        <v>92</v>
      </c>
      <c r="I14875" s="558">
        <v>16.579999999999998</v>
      </c>
      <c r="J14875" s="567">
        <v>11</v>
      </c>
      <c r="K14875" s="648">
        <v>2</v>
      </c>
      <c r="L14875" s="552">
        <f t="shared" si="2966"/>
        <v>0.36475999999999997</v>
      </c>
      <c r="M14875" s="648">
        <v>2</v>
      </c>
      <c r="N14875" s="567">
        <f>J14875*M14875*I14875/1000</f>
        <v>0.36475999999999997</v>
      </c>
      <c r="O14875" s="549"/>
      <c r="P14875" s="549"/>
    </row>
    <row r="14876" spans="1:19" ht="17.399999999999999">
      <c r="A14876" s="549"/>
      <c r="B14876" s="549"/>
      <c r="C14876" s="549"/>
      <c r="D14876" s="549"/>
      <c r="E14876" s="549"/>
      <c r="F14876" s="549"/>
      <c r="G14876" s="549" t="s">
        <v>21</v>
      </c>
      <c r="H14876" s="549" t="s">
        <v>92</v>
      </c>
      <c r="I14876" s="558">
        <v>16.579999999999998</v>
      </c>
      <c r="J14876" s="567">
        <v>11.5</v>
      </c>
      <c r="K14876" s="648">
        <v>1</v>
      </c>
      <c r="L14876" s="552">
        <f t="shared" si="2966"/>
        <v>0.19066999999999998</v>
      </c>
      <c r="M14876" s="648">
        <v>1</v>
      </c>
      <c r="N14876" s="567">
        <f t="shared" ref="N14876:N14877" si="2967">J14876*M14876*I14876/1000</f>
        <v>0.19066999999999998</v>
      </c>
      <c r="O14876" s="549"/>
      <c r="P14876" s="549"/>
    </row>
    <row r="14877" spans="1:19" ht="17.399999999999999">
      <c r="A14877" s="549"/>
      <c r="B14877" s="549"/>
      <c r="C14877" s="549"/>
      <c r="D14877" s="549"/>
      <c r="E14877" s="549"/>
      <c r="F14877" s="549"/>
      <c r="G14877" s="549" t="s">
        <v>21</v>
      </c>
      <c r="H14877" s="549" t="s">
        <v>92</v>
      </c>
      <c r="I14877" s="558">
        <v>16.579999999999998</v>
      </c>
      <c r="J14877" s="567">
        <v>12</v>
      </c>
      <c r="K14877" s="648">
        <v>2</v>
      </c>
      <c r="L14877" s="552">
        <f t="shared" si="2966"/>
        <v>0.39791999999999994</v>
      </c>
      <c r="M14877" s="648">
        <v>2</v>
      </c>
      <c r="N14877" s="567">
        <f t="shared" si="2967"/>
        <v>0.39791999999999994</v>
      </c>
      <c r="O14877" s="549"/>
      <c r="P14877" s="549"/>
    </row>
    <row r="14878" spans="1:19" ht="17.399999999999999">
      <c r="A14878" s="549"/>
      <c r="B14878" s="549"/>
      <c r="C14878" s="549"/>
      <c r="D14878" s="549"/>
      <c r="E14878" s="549"/>
      <c r="F14878" s="549"/>
      <c r="G14878" s="549"/>
      <c r="H14878" s="549"/>
      <c r="I14878" s="558"/>
      <c r="J14878" s="567"/>
      <c r="K14878" s="648">
        <f t="shared" ref="K14878:N14878" si="2968">SUM(K14874:K14877)</f>
        <v>6</v>
      </c>
      <c r="L14878" s="567">
        <f t="shared" si="2968"/>
        <v>1.1191499999999999</v>
      </c>
      <c r="M14878" s="648">
        <f t="shared" ref="M14878" si="2969">SUM(M14874:M14877)</f>
        <v>6</v>
      </c>
      <c r="N14878" s="567">
        <f t="shared" si="2968"/>
        <v>1.1191499999999999</v>
      </c>
      <c r="O14878" s="549"/>
      <c r="P14878" s="549"/>
    </row>
    <row r="14879" spans="1:19" s="1737" customFormat="1" ht="17.399999999999999">
      <c r="A14879" s="549"/>
      <c r="B14879" s="549"/>
      <c r="C14879" s="549"/>
      <c r="D14879" s="549"/>
      <c r="E14879" s="549"/>
      <c r="F14879" s="549"/>
      <c r="G14879" s="549"/>
      <c r="H14879" s="549"/>
      <c r="I14879" s="558"/>
      <c r="J14879" s="567"/>
      <c r="K14879" s="648"/>
      <c r="L14879" s="567"/>
      <c r="M14879" s="549"/>
      <c r="N14879" s="549"/>
      <c r="O14879" s="549"/>
      <c r="P14879" s="549"/>
    </row>
    <row r="14880" spans="1:19" ht="17.399999999999999">
      <c r="A14880" s="547" t="s">
        <v>83</v>
      </c>
      <c r="B14880" s="547" t="s">
        <v>1746</v>
      </c>
      <c r="C14880" s="547" t="s">
        <v>19</v>
      </c>
      <c r="D14880" s="813" t="s">
        <v>854</v>
      </c>
      <c r="E14880" s="559" t="s">
        <v>878</v>
      </c>
      <c r="F14880" s="549">
        <v>12</v>
      </c>
      <c r="G14880" s="549" t="s">
        <v>21</v>
      </c>
      <c r="H14880" s="599" t="s">
        <v>92</v>
      </c>
      <c r="I14880" s="558">
        <v>16.600000000000001</v>
      </c>
      <c r="J14880" s="567">
        <v>6.1</v>
      </c>
      <c r="K14880" s="648">
        <v>10</v>
      </c>
      <c r="L14880" s="552">
        <f t="shared" ref="L14880:L14882" si="2970">(I14880*J14880*K14880/1000)</f>
        <v>1.0125999999999999</v>
      </c>
      <c r="M14880" s="549">
        <f>7+3</f>
        <v>10</v>
      </c>
      <c r="N14880" s="567">
        <f t="shared" ref="N14880:N14882" si="2971">J14880*M14880*I14880/1000</f>
        <v>1.0126000000000002</v>
      </c>
      <c r="O14880" s="549"/>
      <c r="P14880" s="549"/>
      <c r="Q14880" s="1737" t="s">
        <v>1811</v>
      </c>
    </row>
    <row r="14881" spans="1:17" ht="17.399999999999999">
      <c r="A14881" s="549"/>
      <c r="B14881" s="549" t="s">
        <v>1135</v>
      </c>
      <c r="C14881" s="549"/>
      <c r="D14881" s="549"/>
      <c r="E14881" s="549"/>
      <c r="F14881" s="549"/>
      <c r="G14881" s="549" t="s">
        <v>21</v>
      </c>
      <c r="H14881" s="549" t="s">
        <v>92</v>
      </c>
      <c r="I14881" s="558">
        <v>16.600000000000001</v>
      </c>
      <c r="J14881" s="567">
        <v>8.4</v>
      </c>
      <c r="K14881" s="648">
        <v>12</v>
      </c>
      <c r="L14881" s="552">
        <f t="shared" si="2970"/>
        <v>1.6732800000000001</v>
      </c>
      <c r="M14881" s="549">
        <f>9+3</f>
        <v>12</v>
      </c>
      <c r="N14881" s="567">
        <f t="shared" si="2971"/>
        <v>1.6732800000000003</v>
      </c>
      <c r="O14881" s="549"/>
      <c r="P14881" s="549"/>
    </row>
    <row r="14882" spans="1:17" ht="17.399999999999999">
      <c r="A14882" s="549"/>
      <c r="B14882" s="549"/>
      <c r="C14882" s="549"/>
      <c r="D14882" s="549"/>
      <c r="E14882" s="549"/>
      <c r="F14882" s="549"/>
      <c r="G14882" s="549" t="s">
        <v>21</v>
      </c>
      <c r="H14882" s="549" t="s">
        <v>92</v>
      </c>
      <c r="I14882" s="558">
        <v>16.600000000000001</v>
      </c>
      <c r="J14882" s="567">
        <v>9.6999999999999993</v>
      </c>
      <c r="K14882" s="648">
        <v>2</v>
      </c>
      <c r="L14882" s="552">
        <f t="shared" si="2970"/>
        <v>0.32203999999999999</v>
      </c>
      <c r="M14882" s="549">
        <v>2</v>
      </c>
      <c r="N14882" s="567">
        <f t="shared" si="2971"/>
        <v>0.32203999999999999</v>
      </c>
      <c r="O14882" s="549"/>
      <c r="P14882" s="549"/>
    </row>
    <row r="14883" spans="1:17" ht="17.399999999999999">
      <c r="A14883" s="549"/>
      <c r="B14883" s="549"/>
      <c r="C14883" s="549"/>
      <c r="D14883" s="549"/>
      <c r="E14883" s="549"/>
      <c r="F14883" s="549"/>
      <c r="G14883" s="549"/>
      <c r="H14883" s="549"/>
      <c r="I14883" s="558"/>
      <c r="J14883" s="567"/>
      <c r="K14883" s="648">
        <f t="shared" ref="K14883:N14883" si="2972">SUM(K14880:K14882)</f>
        <v>24</v>
      </c>
      <c r="L14883" s="567">
        <f t="shared" si="2972"/>
        <v>3.0079199999999999</v>
      </c>
      <c r="M14883" s="648">
        <f t="shared" si="2972"/>
        <v>24</v>
      </c>
      <c r="N14883" s="567">
        <f t="shared" si="2972"/>
        <v>3.0079200000000004</v>
      </c>
      <c r="O14883" s="549"/>
      <c r="P14883" s="549"/>
    </row>
    <row r="14884" spans="1:17" s="1737" customFormat="1" ht="17.399999999999999">
      <c r="A14884" s="549"/>
      <c r="B14884" s="549"/>
      <c r="C14884" s="549"/>
      <c r="D14884" s="549"/>
      <c r="E14884" s="549"/>
      <c r="F14884" s="549"/>
      <c r="G14884" s="549"/>
      <c r="H14884" s="549"/>
      <c r="I14884" s="558"/>
      <c r="J14884" s="567"/>
      <c r="K14884" s="648"/>
      <c r="L14884" s="567"/>
      <c r="M14884" s="549"/>
      <c r="N14884" s="549"/>
      <c r="O14884" s="549"/>
      <c r="P14884" s="549"/>
    </row>
    <row r="14885" spans="1:17" ht="17.399999999999999">
      <c r="A14885" s="547" t="s">
        <v>272</v>
      </c>
      <c r="B14885" s="547" t="s">
        <v>1765</v>
      </c>
      <c r="C14885" s="547" t="s">
        <v>19</v>
      </c>
      <c r="D14885" s="813" t="s">
        <v>49</v>
      </c>
      <c r="E14885" s="547" t="s">
        <v>359</v>
      </c>
      <c r="F14885" s="549">
        <v>12</v>
      </c>
      <c r="G14885" s="549" t="s">
        <v>21</v>
      </c>
      <c r="H14885" s="599" t="s">
        <v>92</v>
      </c>
      <c r="I14885" s="558">
        <v>16.579999999999998</v>
      </c>
      <c r="J14885" s="567">
        <v>6.6749999999999998</v>
      </c>
      <c r="K14885" s="648">
        <v>12</v>
      </c>
      <c r="L14885" s="552">
        <f t="shared" ref="L14885:L14886" si="2973">(I14885*J14885*K14885/1000)</f>
        <v>1.3280579999999997</v>
      </c>
      <c r="M14885" s="549">
        <v>12</v>
      </c>
      <c r="N14885" s="567">
        <f t="shared" ref="N14885:N14886" si="2974">J14885*M14885*I14885/1000</f>
        <v>1.3280579999999997</v>
      </c>
      <c r="O14885" s="549"/>
      <c r="P14885" s="549"/>
      <c r="Q14885" s="1737" t="s">
        <v>1811</v>
      </c>
    </row>
    <row r="14886" spans="1:17" ht="17.399999999999999">
      <c r="A14886" s="549"/>
      <c r="B14886" s="549" t="s">
        <v>1027</v>
      </c>
      <c r="C14886" s="549"/>
      <c r="D14886" s="549"/>
      <c r="E14886" s="549"/>
      <c r="F14886" s="549"/>
      <c r="G14886" s="549" t="s">
        <v>21</v>
      </c>
      <c r="H14886" s="549" t="s">
        <v>92</v>
      </c>
      <c r="I14886" s="558">
        <v>16.579999999999998</v>
      </c>
      <c r="J14886" s="567">
        <v>8</v>
      </c>
      <c r="K14886" s="648">
        <v>4</v>
      </c>
      <c r="L14886" s="552">
        <f t="shared" si="2973"/>
        <v>0.53055999999999992</v>
      </c>
      <c r="M14886" s="549">
        <v>4</v>
      </c>
      <c r="N14886" s="567">
        <f t="shared" si="2974"/>
        <v>0.53055999999999992</v>
      </c>
      <c r="O14886" s="549"/>
      <c r="P14886" s="549"/>
    </row>
    <row r="14887" spans="1:17" ht="17.399999999999999">
      <c r="A14887" s="549"/>
      <c r="B14887" s="549"/>
      <c r="C14887" s="549"/>
      <c r="D14887" s="549"/>
      <c r="E14887" s="549"/>
      <c r="F14887" s="549"/>
      <c r="G14887" s="549"/>
      <c r="H14887" s="549"/>
      <c r="I14887" s="558"/>
      <c r="J14887" s="567"/>
      <c r="K14887" s="648">
        <f>SUM(K14885:K14886)</f>
        <v>16</v>
      </c>
      <c r="L14887" s="567">
        <f>SUM(L14885:L14886)</f>
        <v>1.8586179999999997</v>
      </c>
      <c r="M14887" s="648">
        <f>SUM(M14885:M14886)</f>
        <v>16</v>
      </c>
      <c r="N14887" s="567">
        <f>SUM(N14885:N14886)</f>
        <v>1.8586179999999997</v>
      </c>
      <c r="O14887" s="549"/>
      <c r="P14887" s="549"/>
    </row>
    <row r="14888" spans="1:17" s="1737" customFormat="1" ht="17.399999999999999">
      <c r="A14888" s="549"/>
      <c r="B14888" s="549"/>
      <c r="C14888" s="549"/>
      <c r="D14888" s="549"/>
      <c r="E14888" s="549"/>
      <c r="F14888" s="549"/>
      <c r="G14888" s="549"/>
      <c r="H14888" s="549"/>
      <c r="I14888" s="558"/>
      <c r="J14888" s="567"/>
      <c r="K14888" s="648">
        <f>SUM(K14874:K14887)/2</f>
        <v>46</v>
      </c>
      <c r="L14888" s="567">
        <f>SUM(L14874:L14887)/2</f>
        <v>5.9856879999999997</v>
      </c>
      <c r="M14888" s="648">
        <f>SUM(M14874:M14887)/2</f>
        <v>46</v>
      </c>
      <c r="N14888" s="567">
        <f>SUM(N14874:N14887)/2</f>
        <v>5.9856879999999997</v>
      </c>
      <c r="O14888" s="549"/>
      <c r="P14888" s="549"/>
    </row>
    <row r="14889" spans="1:17" s="1737" customFormat="1" ht="17.399999999999999">
      <c r="A14889" s="549"/>
      <c r="B14889" s="549"/>
      <c r="C14889" s="549"/>
      <c r="D14889" s="549"/>
      <c r="E14889" s="549"/>
      <c r="F14889" s="549"/>
      <c r="G14889" s="549"/>
      <c r="H14889" s="549"/>
      <c r="I14889" s="558"/>
      <c r="J14889" s="567"/>
      <c r="K14889" s="648"/>
      <c r="L14889" s="567"/>
      <c r="M14889" s="549"/>
      <c r="N14889" s="549"/>
      <c r="O14889" s="549"/>
      <c r="P14889" s="549"/>
    </row>
    <row r="14890" spans="1:17" s="1737" customFormat="1" ht="17.399999999999999">
      <c r="A14890" s="549"/>
      <c r="B14890" s="549"/>
      <c r="C14890" s="549"/>
      <c r="D14890" s="549"/>
      <c r="E14890" s="549"/>
      <c r="F14890" s="549"/>
      <c r="G14890" s="549"/>
      <c r="H14890" s="549"/>
      <c r="I14890" s="558"/>
      <c r="J14890" s="567"/>
      <c r="K14890" s="648"/>
      <c r="L14890" s="567"/>
      <c r="M14890" s="549"/>
      <c r="N14890" s="549"/>
      <c r="O14890" s="549"/>
      <c r="P14890" s="549"/>
    </row>
    <row r="14891" spans="1:17" ht="17.399999999999999">
      <c r="A14891" s="549"/>
      <c r="B14891" s="549"/>
      <c r="C14891" s="549"/>
      <c r="D14891" s="549"/>
      <c r="E14891" s="549"/>
      <c r="F14891" s="549"/>
      <c r="G14891" s="549"/>
      <c r="H14891" s="549"/>
      <c r="I14891" s="558"/>
      <c r="J14891" s="549"/>
      <c r="K14891" s="561"/>
      <c r="L14891" s="560"/>
      <c r="M14891" s="549"/>
      <c r="N14891" s="549"/>
      <c r="O14891" s="549"/>
      <c r="P14891" s="549"/>
    </row>
    <row r="14892" spans="1:17" ht="17.399999999999999">
      <c r="A14892" s="547" t="s">
        <v>395</v>
      </c>
      <c r="B14892" s="547" t="s">
        <v>1725</v>
      </c>
      <c r="C14892" s="547" t="s">
        <v>19</v>
      </c>
      <c r="D14892" s="813" t="s">
        <v>155</v>
      </c>
      <c r="E14892" s="547" t="s">
        <v>270</v>
      </c>
      <c r="F14892" s="550">
        <v>13</v>
      </c>
      <c r="G14892" s="549" t="s">
        <v>61</v>
      </c>
      <c r="H14892" s="599" t="s">
        <v>92</v>
      </c>
      <c r="I14892" s="558">
        <v>16.579999999999998</v>
      </c>
      <c r="J14892" s="567">
        <v>9.5</v>
      </c>
      <c r="K14892" s="648">
        <v>4</v>
      </c>
      <c r="L14892" s="552">
        <f>(I14892*J14892*K14892/1000)</f>
        <v>0.63003999999999993</v>
      </c>
      <c r="M14892" s="549">
        <v>4</v>
      </c>
      <c r="N14892" s="567">
        <f t="shared" ref="N14892" si="2975">J14892*M14892*I14892/1000</f>
        <v>0.63003999999999993</v>
      </c>
      <c r="O14892" s="549"/>
      <c r="P14892" s="549"/>
      <c r="Q14892" s="1737" t="s">
        <v>1811</v>
      </c>
    </row>
    <row r="14893" spans="1:17" ht="17.399999999999999">
      <c r="A14893" s="549"/>
      <c r="B14893" s="1605" t="s">
        <v>1726</v>
      </c>
      <c r="C14893" s="549"/>
      <c r="D14893" s="549"/>
      <c r="E14893" s="549"/>
      <c r="F14893" s="549"/>
      <c r="G14893" s="549"/>
      <c r="H14893" s="549"/>
      <c r="I14893" s="558"/>
      <c r="J14893" s="567"/>
      <c r="K14893" s="648">
        <f t="shared" ref="K14893:N14893" si="2976">SUM(K14892)</f>
        <v>4</v>
      </c>
      <c r="L14893" s="567">
        <f t="shared" si="2976"/>
        <v>0.63003999999999993</v>
      </c>
      <c r="M14893" s="648">
        <f t="shared" si="2976"/>
        <v>4</v>
      </c>
      <c r="N14893" s="567">
        <f t="shared" si="2976"/>
        <v>0.63003999999999993</v>
      </c>
      <c r="O14893" s="549"/>
      <c r="P14893" s="549"/>
    </row>
    <row r="14894" spans="1:17" s="1737" customFormat="1" ht="17.399999999999999">
      <c r="A14894" s="549"/>
      <c r="B14894" s="1605"/>
      <c r="C14894" s="549"/>
      <c r="D14894" s="549"/>
      <c r="E14894" s="549"/>
      <c r="F14894" s="549"/>
      <c r="G14894" s="549"/>
      <c r="H14894" s="549"/>
      <c r="I14894" s="558"/>
      <c r="J14894" s="567"/>
      <c r="K14894" s="648"/>
      <c r="L14894" s="567"/>
      <c r="M14894" s="549"/>
      <c r="N14894" s="549"/>
      <c r="O14894" s="549"/>
      <c r="P14894" s="549"/>
    </row>
    <row r="14895" spans="1:17" s="1737" customFormat="1" ht="17.399999999999999">
      <c r="A14895" s="549"/>
      <c r="B14895" s="1605"/>
      <c r="C14895" s="549"/>
      <c r="D14895" s="549"/>
      <c r="E14895" s="549"/>
      <c r="F14895" s="549"/>
      <c r="G14895" s="549"/>
      <c r="H14895" s="549"/>
      <c r="I14895" s="558"/>
      <c r="J14895" s="567"/>
      <c r="K14895" s="648"/>
      <c r="L14895" s="567"/>
      <c r="M14895" s="549"/>
      <c r="N14895" s="549"/>
      <c r="O14895" s="549"/>
      <c r="P14895" s="549"/>
    </row>
    <row r="14896" spans="1:17" ht="17.399999999999999">
      <c r="A14896" s="547" t="s">
        <v>395</v>
      </c>
      <c r="B14896" s="547" t="s">
        <v>1725</v>
      </c>
      <c r="C14896" s="547" t="s">
        <v>19</v>
      </c>
      <c r="D14896" s="813" t="s">
        <v>155</v>
      </c>
      <c r="E14896" s="547" t="s">
        <v>270</v>
      </c>
      <c r="F14896" s="550">
        <v>10</v>
      </c>
      <c r="G14896" s="549" t="s">
        <v>61</v>
      </c>
      <c r="H14896" s="599" t="s">
        <v>95</v>
      </c>
      <c r="I14896" s="558">
        <v>13.4</v>
      </c>
      <c r="J14896" s="567">
        <v>7.5</v>
      </c>
      <c r="K14896" s="648">
        <v>4</v>
      </c>
      <c r="L14896" s="552">
        <f t="shared" ref="L14896:L14899" si="2977">(I14896*J14896*K14896/1000)</f>
        <v>0.40200000000000002</v>
      </c>
      <c r="M14896" s="648">
        <v>4</v>
      </c>
      <c r="N14896" s="567">
        <f t="shared" ref="N14896:N14899" si="2978">J14896*M14896*I14896/1000</f>
        <v>0.40200000000000002</v>
      </c>
      <c r="O14896" s="549"/>
      <c r="P14896" s="549"/>
      <c r="Q14896" s="1737" t="s">
        <v>1811</v>
      </c>
    </row>
    <row r="14897" spans="1:17" ht="17.399999999999999">
      <c r="A14897" s="549"/>
      <c r="B14897" s="1605" t="s">
        <v>1726</v>
      </c>
      <c r="C14897" s="549"/>
      <c r="D14897" s="549"/>
      <c r="E14897" s="549"/>
      <c r="F14897" s="549"/>
      <c r="G14897" s="549" t="s">
        <v>61</v>
      </c>
      <c r="H14897" s="549" t="s">
        <v>95</v>
      </c>
      <c r="I14897" s="558">
        <v>13.4</v>
      </c>
      <c r="J14897" s="567">
        <v>8.5</v>
      </c>
      <c r="K14897" s="648">
        <v>2</v>
      </c>
      <c r="L14897" s="552">
        <f t="shared" si="2977"/>
        <v>0.2278</v>
      </c>
      <c r="M14897" s="648">
        <v>2</v>
      </c>
      <c r="N14897" s="567">
        <f t="shared" si="2978"/>
        <v>0.2278</v>
      </c>
      <c r="O14897" s="549"/>
      <c r="P14897" s="549"/>
    </row>
    <row r="14898" spans="1:17" ht="17.399999999999999">
      <c r="A14898" s="549"/>
      <c r="B14898" s="549"/>
      <c r="C14898" s="549"/>
      <c r="D14898" s="549"/>
      <c r="E14898" s="549"/>
      <c r="F14898" s="549"/>
      <c r="G14898" s="549" t="s">
        <v>61</v>
      </c>
      <c r="H14898" s="549" t="s">
        <v>95</v>
      </c>
      <c r="I14898" s="558">
        <v>13.4</v>
      </c>
      <c r="J14898" s="567">
        <v>11.5</v>
      </c>
      <c r="K14898" s="648">
        <v>4</v>
      </c>
      <c r="L14898" s="552">
        <f t="shared" si="2977"/>
        <v>0.61639999999999995</v>
      </c>
      <c r="M14898" s="648">
        <v>4</v>
      </c>
      <c r="N14898" s="567">
        <f t="shared" si="2978"/>
        <v>0.61639999999999995</v>
      </c>
      <c r="O14898" s="549"/>
      <c r="P14898" s="549"/>
    </row>
    <row r="14899" spans="1:17" ht="17.399999999999999">
      <c r="A14899" s="549"/>
      <c r="B14899" s="549"/>
      <c r="C14899" s="549"/>
      <c r="D14899" s="549"/>
      <c r="E14899" s="549"/>
      <c r="F14899" s="549"/>
      <c r="G14899" s="549" t="s">
        <v>61</v>
      </c>
      <c r="H14899" s="549" t="s">
        <v>95</v>
      </c>
      <c r="I14899" s="558">
        <v>13.4</v>
      </c>
      <c r="J14899" s="567">
        <v>12</v>
      </c>
      <c r="K14899" s="648">
        <v>2</v>
      </c>
      <c r="L14899" s="552">
        <f t="shared" si="2977"/>
        <v>0.3216</v>
      </c>
      <c r="M14899" s="648">
        <v>2</v>
      </c>
      <c r="N14899" s="567">
        <f t="shared" si="2978"/>
        <v>0.3216</v>
      </c>
      <c r="O14899" s="549"/>
      <c r="P14899" s="549"/>
    </row>
    <row r="14900" spans="1:17" ht="17.399999999999999">
      <c r="A14900" s="549"/>
      <c r="B14900" s="549"/>
      <c r="C14900" s="549"/>
      <c r="D14900" s="549"/>
      <c r="E14900" s="549"/>
      <c r="F14900" s="549"/>
      <c r="G14900" s="549"/>
      <c r="H14900" s="549"/>
      <c r="I14900" s="558"/>
      <c r="J14900" s="567"/>
      <c r="K14900" s="648">
        <f t="shared" ref="K14900:N14900" si="2979">SUM(K14896:K14899)</f>
        <v>12</v>
      </c>
      <c r="L14900" s="567">
        <f t="shared" si="2979"/>
        <v>1.5678000000000001</v>
      </c>
      <c r="M14900" s="648">
        <f t="shared" si="2979"/>
        <v>12</v>
      </c>
      <c r="N14900" s="567">
        <f t="shared" si="2979"/>
        <v>1.5678000000000001</v>
      </c>
      <c r="O14900" s="549"/>
      <c r="P14900" s="549"/>
    </row>
    <row r="14901" spans="1:17" ht="17.399999999999999">
      <c r="A14901" s="549"/>
      <c r="B14901" s="549"/>
      <c r="C14901" s="549"/>
      <c r="D14901" s="549"/>
      <c r="E14901" s="549"/>
      <c r="F14901" s="549"/>
      <c r="G14901" s="549"/>
      <c r="H14901" s="549"/>
      <c r="I14901" s="558"/>
      <c r="J14901" s="549"/>
      <c r="K14901" s="561"/>
      <c r="L14901" s="560"/>
      <c r="M14901" s="549"/>
      <c r="N14901" s="549"/>
      <c r="O14901" s="549"/>
      <c r="P14901" s="549"/>
    </row>
    <row r="14902" spans="1:17" ht="17.399999999999999">
      <c r="A14902" s="547" t="s">
        <v>83</v>
      </c>
      <c r="B14902" s="547" t="s">
        <v>1731</v>
      </c>
      <c r="C14902" s="547" t="s">
        <v>19</v>
      </c>
      <c r="D14902" s="813" t="s">
        <v>155</v>
      </c>
      <c r="E14902" s="547" t="s">
        <v>247</v>
      </c>
      <c r="F14902" s="549">
        <v>12</v>
      </c>
      <c r="G14902" s="549" t="s">
        <v>61</v>
      </c>
      <c r="H14902" s="599" t="s">
        <v>95</v>
      </c>
      <c r="I14902" s="558">
        <v>13.4</v>
      </c>
      <c r="J14902" s="567">
        <v>6</v>
      </c>
      <c r="K14902" s="648">
        <v>1</v>
      </c>
      <c r="L14902" s="552">
        <f t="shared" ref="L14902" si="2980">(I14902*J14902*K14902/1000)</f>
        <v>8.0399999999999999E-2</v>
      </c>
      <c r="M14902" s="549">
        <v>1</v>
      </c>
      <c r="N14902" s="567">
        <f t="shared" ref="N14902" si="2981">J14902*M14902*I14902/1000</f>
        <v>8.0399999999999999E-2</v>
      </c>
      <c r="O14902" s="549"/>
      <c r="P14902" s="549"/>
      <c r="Q14902" s="1737" t="s">
        <v>1811</v>
      </c>
    </row>
    <row r="14903" spans="1:17" ht="17.399999999999999">
      <c r="A14903" s="549"/>
      <c r="B14903" s="549" t="s">
        <v>52</v>
      </c>
      <c r="C14903" s="549"/>
      <c r="D14903" s="549"/>
      <c r="E14903" s="549"/>
      <c r="F14903" s="549"/>
      <c r="G14903" s="549"/>
      <c r="H14903" s="549"/>
      <c r="I14903" s="558"/>
      <c r="J14903" s="567"/>
      <c r="K14903" s="648">
        <f>SUM(K14902:K14902)</f>
        <v>1</v>
      </c>
      <c r="L14903" s="567">
        <f>SUM(L14902:L14902)</f>
        <v>8.0399999999999999E-2</v>
      </c>
      <c r="M14903" s="648">
        <f>SUM(M14902:M14902)</f>
        <v>1</v>
      </c>
      <c r="N14903" s="567">
        <f>SUM(N14902:N14902)</f>
        <v>8.0399999999999999E-2</v>
      </c>
      <c r="O14903" s="549"/>
      <c r="P14903" s="549"/>
    </row>
    <row r="14904" spans="1:17" s="1737" customFormat="1" ht="17.399999999999999">
      <c r="A14904" s="549"/>
      <c r="B14904" s="549"/>
      <c r="C14904" s="549"/>
      <c r="D14904" s="549"/>
      <c r="E14904" s="549"/>
      <c r="F14904" s="549"/>
      <c r="G14904" s="549"/>
      <c r="H14904" s="549"/>
      <c r="I14904" s="558"/>
      <c r="J14904" s="567"/>
      <c r="K14904" s="648"/>
      <c r="L14904" s="567"/>
      <c r="M14904" s="549"/>
      <c r="N14904" s="549"/>
      <c r="O14904" s="549"/>
      <c r="P14904" s="549"/>
    </row>
    <row r="14905" spans="1:17" s="1737" customFormat="1" ht="17.399999999999999">
      <c r="A14905" s="549"/>
      <c r="B14905" s="549"/>
      <c r="C14905" s="549"/>
      <c r="D14905" s="549"/>
      <c r="E14905" s="549"/>
      <c r="F14905" s="549"/>
      <c r="G14905" s="549"/>
      <c r="H14905" s="549"/>
      <c r="I14905" s="558"/>
      <c r="J14905" s="567"/>
      <c r="K14905" s="648"/>
      <c r="L14905" s="567"/>
      <c r="M14905" s="549"/>
      <c r="N14905" s="549"/>
      <c r="O14905" s="549"/>
      <c r="P14905" s="549"/>
    </row>
    <row r="14906" spans="1:17" s="1737" customFormat="1" ht="17.399999999999999">
      <c r="A14906" s="549"/>
      <c r="B14906" s="549"/>
      <c r="C14906" s="549"/>
      <c r="D14906" s="549"/>
      <c r="E14906" s="549"/>
      <c r="F14906" s="549"/>
      <c r="G14906" s="549"/>
      <c r="H14906" s="549"/>
      <c r="I14906" s="558"/>
      <c r="J14906" s="549"/>
      <c r="K14906" s="652"/>
      <c r="L14906" s="565"/>
      <c r="M14906" s="652"/>
      <c r="N14906" s="565"/>
      <c r="O14906" s="549"/>
      <c r="P14906" s="549"/>
    </row>
    <row r="14907" spans="1:17" s="1737" customFormat="1" ht="17.399999999999999">
      <c r="A14907" s="549"/>
      <c r="B14907" s="549"/>
      <c r="C14907" s="549"/>
      <c r="D14907" s="549"/>
      <c r="E14907" s="549"/>
      <c r="F14907" s="549"/>
      <c r="G14907" s="549"/>
      <c r="H14907" s="549"/>
      <c r="I14907" s="558"/>
      <c r="J14907" s="549"/>
      <c r="K14907" s="652"/>
      <c r="L14907" s="565"/>
      <c r="M14907" s="652"/>
      <c r="N14907" s="565"/>
      <c r="O14907" s="549"/>
      <c r="P14907" s="549"/>
    </row>
    <row r="14908" spans="1:17" ht="17.399999999999999">
      <c r="A14908" s="549"/>
      <c r="B14908" s="549"/>
      <c r="C14908" s="549"/>
      <c r="D14908" s="549"/>
      <c r="E14908" s="549"/>
      <c r="F14908" s="549"/>
      <c r="G14908" s="549"/>
      <c r="H14908" s="549"/>
      <c r="I14908" s="558"/>
      <c r="J14908" s="549"/>
      <c r="K14908" s="564">
        <f>+K14823+K14903+K14900+K14893+K14888+K14870+K14834+K14842+K14856</f>
        <v>3405</v>
      </c>
      <c r="L14908" s="568">
        <f>+L14823+L14903+L14900+L14893+L14888+L14870+L14834+L14842+L14856</f>
        <v>399.54495800000001</v>
      </c>
      <c r="M14908" s="564">
        <f>+M14823+M14903+M14900+M14893+M14888+M14870+M14834+M14842+M14856</f>
        <v>79</v>
      </c>
      <c r="N14908" s="568">
        <f>+N14823+N14903+N14900+N14893+N14888+N14870+N14834+N14842+N14856</f>
        <v>10.053148</v>
      </c>
      <c r="O14908" s="549"/>
      <c r="P14908" s="549"/>
    </row>
    <row r="14909" spans="1:17" ht="18">
      <c r="A14909" s="653" t="s">
        <v>48</v>
      </c>
      <c r="B14909" s="653"/>
      <c r="C14909" s="654"/>
      <c r="D14909" s="654"/>
      <c r="E14909" s="654"/>
      <c r="F14909" s="1822"/>
      <c r="G14909" s="654"/>
      <c r="H14909" s="1822"/>
      <c r="I14909" s="656"/>
      <c r="J14909" s="654"/>
      <c r="K14909" s="657"/>
      <c r="L14909" s="2003" t="s">
        <v>0</v>
      </c>
      <c r="M14909" s="2003"/>
      <c r="N14909" s="2003"/>
      <c r="O14909" s="2004"/>
      <c r="P14909" s="1097"/>
    </row>
    <row r="14910" spans="1:17" ht="18">
      <c r="A14910" s="658" t="s">
        <v>1</v>
      </c>
      <c r="B14910" s="658"/>
      <c r="C14910" s="658"/>
      <c r="D14910" s="659" t="s">
        <v>2</v>
      </c>
      <c r="E14910" s="659"/>
      <c r="F14910" s="660"/>
      <c r="G14910" s="660"/>
      <c r="H14910" s="660"/>
      <c r="I14910" s="661"/>
      <c r="J14910" s="660"/>
      <c r="K14910" s="662" t="s">
        <v>3</v>
      </c>
      <c r="L14910" s="660"/>
      <c r="M14910" s="658"/>
      <c r="N14910" s="660"/>
      <c r="O14910" s="663"/>
      <c r="P14910" s="1098"/>
    </row>
    <row r="14911" spans="1:17" ht="18">
      <c r="A14911" s="1822" t="s">
        <v>22</v>
      </c>
      <c r="B14911" s="1990" t="s">
        <v>23</v>
      </c>
      <c r="C14911" s="2005"/>
      <c r="D14911" s="1989"/>
      <c r="E14911" s="1822" t="s">
        <v>24</v>
      </c>
      <c r="F14911" s="1990" t="s">
        <v>25</v>
      </c>
      <c r="G14911" s="1989"/>
      <c r="H14911" s="1990" t="s">
        <v>26</v>
      </c>
      <c r="I14911" s="2005"/>
      <c r="J14911" s="2005"/>
      <c r="K14911" s="1989"/>
      <c r="L14911" s="2006" t="s">
        <v>27</v>
      </c>
      <c r="M14911" s="2006"/>
      <c r="N14911" s="2006"/>
      <c r="O14911" s="1990"/>
      <c r="P14911" s="1098"/>
    </row>
    <row r="14912" spans="1:17" ht="18">
      <c r="A14912" s="664"/>
      <c r="B14912" s="1975"/>
      <c r="C14912" s="1976"/>
      <c r="D14912" s="1977"/>
      <c r="E14912" s="665"/>
      <c r="F14912" s="1975"/>
      <c r="G14912" s="1977"/>
      <c r="H14912" s="1975"/>
      <c r="I14912" s="1976"/>
      <c r="J14912" s="1976"/>
      <c r="K14912" s="1977"/>
      <c r="L14912" s="1975"/>
      <c r="M14912" s="1976"/>
      <c r="N14912" s="1976"/>
      <c r="O14912" s="1976"/>
      <c r="P14912" s="1098"/>
    </row>
    <row r="14913" spans="1:16" ht="18">
      <c r="A14913" s="664"/>
      <c r="B14913" s="1814"/>
      <c r="C14913" s="1815"/>
      <c r="D14913" s="1816"/>
      <c r="E14913" s="665"/>
      <c r="F14913" s="1814"/>
      <c r="G14913" s="1816"/>
      <c r="H14913" s="1814"/>
      <c r="I14913" s="1842"/>
      <c r="J14913" s="1815"/>
      <c r="K14913" s="1816"/>
      <c r="L14913" s="1815"/>
      <c r="M14913" s="1815"/>
      <c r="N14913" s="1815"/>
      <c r="O14913" s="1815"/>
      <c r="P14913" s="1098"/>
    </row>
    <row r="14914" spans="1:16" s="1737" customFormat="1" ht="18">
      <c r="A14914" s="664" t="s">
        <v>28</v>
      </c>
      <c r="B14914" s="1975" t="s">
        <v>102</v>
      </c>
      <c r="C14914" s="1976"/>
      <c r="D14914" s="1977"/>
      <c r="E14914" s="665">
        <f>+L14823-0.369</f>
        <v>49.034120000000001</v>
      </c>
      <c r="F14914" s="1973">
        <v>12</v>
      </c>
      <c r="G14914" s="1974"/>
      <c r="H14914" s="1975" t="s">
        <v>49</v>
      </c>
      <c r="I14914" s="1976"/>
      <c r="J14914" s="1976"/>
      <c r="K14914" s="1977"/>
      <c r="L14914" s="1975" t="s">
        <v>1631</v>
      </c>
      <c r="M14914" s="1976"/>
      <c r="N14914" s="1976"/>
      <c r="O14914" s="2008"/>
      <c r="P14914" s="1098"/>
    </row>
    <row r="14915" spans="1:16" s="1737" customFormat="1" ht="18">
      <c r="A14915" s="664"/>
      <c r="B14915" s="1828"/>
      <c r="C14915" s="1829"/>
      <c r="D14915" s="1830"/>
      <c r="E14915" s="665"/>
      <c r="F14915" s="1831"/>
      <c r="G14915" s="1832"/>
      <c r="H14915" s="1828"/>
      <c r="I14915" s="1842"/>
      <c r="J14915" s="1829"/>
      <c r="K14915" s="1830"/>
      <c r="L14915" s="1828"/>
      <c r="M14915" s="1829"/>
      <c r="N14915" s="1829"/>
      <c r="O14915" s="1833"/>
      <c r="P14915" s="1098"/>
    </row>
    <row r="14916" spans="1:16" ht="18">
      <c r="A14916" s="664" t="s">
        <v>29</v>
      </c>
      <c r="B14916" s="1975" t="s">
        <v>102</v>
      </c>
      <c r="C14916" s="1976"/>
      <c r="D14916" s="1977"/>
      <c r="E14916" s="665">
        <f>+L14834</f>
        <v>138.75900999999999</v>
      </c>
      <c r="F14916" s="1973">
        <v>12</v>
      </c>
      <c r="G14916" s="1974"/>
      <c r="H14916" s="1975" t="s">
        <v>447</v>
      </c>
      <c r="I14916" s="1976"/>
      <c r="J14916" s="1976"/>
      <c r="K14916" s="1977"/>
      <c r="L14916" s="1975" t="s">
        <v>1631</v>
      </c>
      <c r="M14916" s="1976"/>
      <c r="N14916" s="1976"/>
      <c r="O14916" s="2008"/>
      <c r="P14916" s="1098"/>
    </row>
    <row r="14917" spans="1:16" s="1737" customFormat="1" ht="18">
      <c r="A14917" s="664" t="s">
        <v>30</v>
      </c>
      <c r="B14917" s="1975" t="s">
        <v>101</v>
      </c>
      <c r="C14917" s="1976"/>
      <c r="D14917" s="1977"/>
      <c r="E14917" s="665">
        <f>+L14842-1.421</f>
        <v>35.749000000000002</v>
      </c>
      <c r="F14917" s="1973">
        <v>12</v>
      </c>
      <c r="G14917" s="1974"/>
      <c r="H14917" s="1975" t="s">
        <v>447</v>
      </c>
      <c r="I14917" s="1976"/>
      <c r="J14917" s="1976"/>
      <c r="K14917" s="1977"/>
      <c r="L14917" s="1975" t="s">
        <v>1631</v>
      </c>
      <c r="M14917" s="1976"/>
      <c r="N14917" s="1976"/>
      <c r="O14917" s="2008"/>
      <c r="P14917" s="1098"/>
    </row>
    <row r="14918" spans="1:16" ht="18">
      <c r="A14918" s="664" t="s">
        <v>46</v>
      </c>
      <c r="B14918" s="1975" t="s">
        <v>100</v>
      </c>
      <c r="C14918" s="1976"/>
      <c r="D14918" s="1977"/>
      <c r="E14918" s="665">
        <f>+L14856</f>
        <v>91.284899999999979</v>
      </c>
      <c r="F14918" s="1973">
        <v>12</v>
      </c>
      <c r="G14918" s="1974"/>
      <c r="H14918" s="1975" t="s">
        <v>447</v>
      </c>
      <c r="I14918" s="1976"/>
      <c r="J14918" s="1976"/>
      <c r="K14918" s="1977"/>
      <c r="L14918" s="1975" t="s">
        <v>1631</v>
      </c>
      <c r="M14918" s="1976"/>
      <c r="N14918" s="1976"/>
      <c r="O14918" s="2008"/>
      <c r="P14918" s="1098"/>
    </row>
    <row r="14919" spans="1:16" ht="18">
      <c r="A14919" s="664"/>
      <c r="B14919" s="1814"/>
      <c r="C14919" s="1815"/>
      <c r="D14919" s="1816"/>
      <c r="E14919" s="665"/>
      <c r="F14919" s="1817"/>
      <c r="G14919" s="1818"/>
      <c r="H14919" s="1814"/>
      <c r="I14919" s="1842"/>
      <c r="J14919" s="1815"/>
      <c r="K14919" s="1816"/>
      <c r="L14919" s="1815"/>
      <c r="M14919" s="1815"/>
      <c r="N14919" s="1815"/>
      <c r="O14919" s="1815"/>
      <c r="P14919" s="1098"/>
    </row>
    <row r="14920" spans="1:16" ht="18">
      <c r="A14920" s="664" t="s">
        <v>58</v>
      </c>
      <c r="B14920" s="1975" t="s">
        <v>1139</v>
      </c>
      <c r="C14920" s="1976"/>
      <c r="D14920" s="1977"/>
      <c r="E14920" s="665">
        <f>+L14870</f>
        <v>74.663999999999987</v>
      </c>
      <c r="F14920" s="1973">
        <v>12</v>
      </c>
      <c r="G14920" s="1974"/>
      <c r="H14920" s="1975" t="s">
        <v>450</v>
      </c>
      <c r="I14920" s="1976"/>
      <c r="J14920" s="1976"/>
      <c r="K14920" s="1977"/>
      <c r="L14920" s="1975" t="s">
        <v>1138</v>
      </c>
      <c r="M14920" s="1976"/>
      <c r="N14920" s="1976"/>
      <c r="O14920" s="2008"/>
      <c r="P14920" s="1098"/>
    </row>
    <row r="14921" spans="1:16" s="1737" customFormat="1" ht="18">
      <c r="A14921" s="664"/>
      <c r="B14921" s="1814"/>
      <c r="C14921" s="1815"/>
      <c r="D14921" s="1816"/>
      <c r="E14921" s="665"/>
      <c r="F14921" s="1817"/>
      <c r="G14921" s="1818"/>
      <c r="H14921" s="1814"/>
      <c r="I14921" s="1842"/>
      <c r="J14921" s="1815"/>
      <c r="K14921" s="1816"/>
      <c r="L14921" s="1815"/>
      <c r="M14921" s="1815"/>
      <c r="N14921" s="1815"/>
      <c r="O14921" s="1815"/>
      <c r="P14921" s="1098"/>
    </row>
    <row r="14922" spans="1:16" s="1737" customFormat="1" ht="18">
      <c r="A14922" s="664"/>
      <c r="B14922" s="1814"/>
      <c r="C14922" s="1815"/>
      <c r="D14922" s="1816"/>
      <c r="E14922" s="665"/>
      <c r="F14922" s="1817"/>
      <c r="G14922" s="1818"/>
      <c r="H14922" s="1814"/>
      <c r="I14922" s="1842"/>
      <c r="J14922" s="1815"/>
      <c r="K14922" s="1816"/>
      <c r="L14922" s="1815"/>
      <c r="M14922" s="1815"/>
      <c r="N14922" s="1815"/>
      <c r="O14922" s="1815"/>
      <c r="P14922" s="1098"/>
    </row>
    <row r="14923" spans="1:16" ht="18.600000000000001" thickBot="1">
      <c r="A14923" s="664"/>
      <c r="B14923" s="1814"/>
      <c r="C14923" s="1815"/>
      <c r="D14923" s="1815"/>
      <c r="E14923" s="665"/>
      <c r="F14923" s="1815"/>
      <c r="G14923" s="1816"/>
      <c r="H14923" s="1814"/>
      <c r="I14923" s="1842"/>
      <c r="J14923" s="1815"/>
      <c r="K14923" s="669"/>
      <c r="L14923" s="672"/>
      <c r="M14923" s="673"/>
      <c r="N14923" s="673"/>
      <c r="O14923" s="673"/>
      <c r="P14923" s="1098"/>
    </row>
    <row r="14924" spans="1:16" ht="18">
      <c r="A14924" s="674"/>
      <c r="B14924" s="675"/>
      <c r="C14924" s="676"/>
      <c r="D14924" s="676"/>
      <c r="E14924" s="1980">
        <f>SUM(E14912:E14923)</f>
        <v>389.49102999999997</v>
      </c>
      <c r="F14924" s="677"/>
      <c r="G14924" s="678"/>
      <c r="H14924" s="679"/>
      <c r="I14924" s="1848"/>
      <c r="J14924" s="676"/>
      <c r="K14924" s="680"/>
      <c r="L14924" s="679"/>
      <c r="M14924" s="676"/>
      <c r="N14924" s="677"/>
      <c r="O14924" s="676"/>
      <c r="P14924" s="1098"/>
    </row>
    <row r="14925" spans="1:16" ht="18.600000000000001" thickBot="1">
      <c r="A14925" s="681"/>
      <c r="B14925" s="682"/>
      <c r="C14925" s="683"/>
      <c r="D14925" s="683"/>
      <c r="E14925" s="1981"/>
      <c r="F14925" s="684"/>
      <c r="G14925" s="685"/>
      <c r="H14925" s="686"/>
      <c r="I14925" s="1850"/>
      <c r="J14925" s="683"/>
      <c r="K14925" s="687"/>
      <c r="L14925" s="686"/>
      <c r="M14925" s="683"/>
      <c r="N14925" s="684"/>
      <c r="O14925" s="683"/>
      <c r="P14925" s="1098"/>
    </row>
    <row r="14926" spans="1:16" ht="18">
      <c r="A14926" s="688" t="s">
        <v>31</v>
      </c>
      <c r="B14926" s="676"/>
      <c r="C14926" s="676"/>
      <c r="D14926" s="676"/>
      <c r="E14926" s="676"/>
      <c r="F14926" s="677"/>
      <c r="G14926" s="676"/>
      <c r="H14926" s="677"/>
      <c r="I14926" s="1848"/>
      <c r="J14926" s="676"/>
      <c r="K14926" s="689"/>
      <c r="L14926" s="677"/>
      <c r="M14926" s="676"/>
      <c r="N14926" s="677"/>
      <c r="O14926" s="676"/>
      <c r="P14926" s="1098"/>
    </row>
    <row r="14927" spans="1:16" ht="18">
      <c r="A14927" s="690"/>
      <c r="B14927" s="691"/>
      <c r="C14927" s="691"/>
      <c r="D14927" s="691"/>
      <c r="E14927" s="691"/>
      <c r="F14927" s="1819"/>
      <c r="G14927" s="691"/>
      <c r="H14927" s="1819"/>
      <c r="I14927" s="1849"/>
      <c r="J14927" s="691"/>
      <c r="K14927" s="693"/>
      <c r="L14927" s="1819"/>
      <c r="M14927" s="691"/>
      <c r="N14927" s="1819"/>
      <c r="O14927" s="691"/>
      <c r="P14927" s="1098"/>
    </row>
    <row r="14928" spans="1:16" ht="18.600000000000001" thickBot="1">
      <c r="A14928" s="1982" t="s">
        <v>32</v>
      </c>
      <c r="B14928" s="1983"/>
      <c r="C14928" s="1984" t="s">
        <v>33</v>
      </c>
      <c r="D14928" s="1985"/>
      <c r="E14928" s="694" t="s">
        <v>34</v>
      </c>
      <c r="F14928" s="694" t="s">
        <v>35</v>
      </c>
      <c r="G14928" s="1986" t="s">
        <v>36</v>
      </c>
      <c r="H14928" s="1987"/>
      <c r="I14928" s="1987"/>
      <c r="J14928" s="1987"/>
      <c r="K14928" s="1987"/>
      <c r="L14928" s="1987"/>
      <c r="M14928" s="1987"/>
      <c r="N14928" s="1987"/>
      <c r="O14928" s="1987"/>
      <c r="P14928" s="1098"/>
    </row>
    <row r="14929" spans="1:16" ht="18">
      <c r="A14929" s="1988"/>
      <c r="B14929" s="1989"/>
      <c r="C14929" s="1990"/>
      <c r="D14929" s="1989"/>
      <c r="E14929" s="1822"/>
      <c r="F14929" s="1820"/>
      <c r="G14929" s="1991"/>
      <c r="H14929" s="1992"/>
      <c r="I14929" s="1992"/>
      <c r="J14929" s="1992"/>
      <c r="K14929" s="1992"/>
      <c r="L14929" s="1992"/>
      <c r="M14929" s="1992"/>
      <c r="N14929" s="1992"/>
      <c r="O14929" s="1992"/>
      <c r="P14929" s="1098"/>
    </row>
    <row r="14930" spans="1:16" ht="18">
      <c r="A14930" s="1997" t="s">
        <v>37</v>
      </c>
      <c r="B14930" s="1998"/>
      <c r="C14930" s="1990"/>
      <c r="D14930" s="1989"/>
      <c r="E14930" s="1822"/>
      <c r="F14930" s="1820"/>
      <c r="G14930" s="1993"/>
      <c r="H14930" s="1994"/>
      <c r="I14930" s="1994"/>
      <c r="J14930" s="1994"/>
      <c r="K14930" s="1994"/>
      <c r="L14930" s="1994"/>
      <c r="M14930" s="1994"/>
      <c r="N14930" s="1994"/>
      <c r="O14930" s="1994"/>
      <c r="P14930" s="1098"/>
    </row>
    <row r="14931" spans="1:16" ht="18">
      <c r="A14931" s="1997" t="s">
        <v>38</v>
      </c>
      <c r="B14931" s="1998"/>
      <c r="C14931" s="1990"/>
      <c r="D14931" s="1989"/>
      <c r="E14931" s="1822"/>
      <c r="F14931" s="1820"/>
      <c r="G14931" s="1993"/>
      <c r="H14931" s="1994"/>
      <c r="I14931" s="1994"/>
      <c r="J14931" s="1994"/>
      <c r="K14931" s="1994"/>
      <c r="L14931" s="1994"/>
      <c r="M14931" s="1994"/>
      <c r="N14931" s="1994"/>
      <c r="O14931" s="1994"/>
      <c r="P14931" s="1098"/>
    </row>
    <row r="14932" spans="1:16" ht="18">
      <c r="A14932" s="1997" t="s">
        <v>39</v>
      </c>
      <c r="B14932" s="1998"/>
      <c r="C14932" s="1990"/>
      <c r="D14932" s="1989"/>
      <c r="E14932" s="1822"/>
      <c r="F14932" s="1820"/>
      <c r="G14932" s="1993"/>
      <c r="H14932" s="1994"/>
      <c r="I14932" s="1994"/>
      <c r="J14932" s="1994"/>
      <c r="K14932" s="1994"/>
      <c r="L14932" s="1994"/>
      <c r="M14932" s="1994"/>
      <c r="N14932" s="1994"/>
      <c r="O14932" s="1994"/>
      <c r="P14932" s="1098"/>
    </row>
    <row r="14933" spans="1:16" ht="18">
      <c r="A14933" s="1997" t="s">
        <v>40</v>
      </c>
      <c r="B14933" s="1998"/>
      <c r="C14933" s="1990"/>
      <c r="D14933" s="1989"/>
      <c r="E14933" s="1822"/>
      <c r="F14933" s="1820"/>
      <c r="G14933" s="1993"/>
      <c r="H14933" s="1994"/>
      <c r="I14933" s="1994"/>
      <c r="J14933" s="1994"/>
      <c r="K14933" s="1994"/>
      <c r="L14933" s="1994"/>
      <c r="M14933" s="1994"/>
      <c r="N14933" s="1994"/>
      <c r="O14933" s="1994"/>
      <c r="P14933" s="1098"/>
    </row>
    <row r="14934" spans="1:16" ht="18.600000000000001" thickBot="1">
      <c r="A14934" s="1999" t="s">
        <v>41</v>
      </c>
      <c r="B14934" s="2000"/>
      <c r="C14934" s="2001"/>
      <c r="D14934" s="2002"/>
      <c r="E14934" s="696"/>
      <c r="F14934" s="1821"/>
      <c r="G14934" s="1995"/>
      <c r="H14934" s="1996"/>
      <c r="I14934" s="1996"/>
      <c r="J14934" s="1996"/>
      <c r="K14934" s="1996"/>
      <c r="L14934" s="1996"/>
      <c r="M14934" s="1996"/>
      <c r="N14934" s="1996"/>
      <c r="O14934" s="1996"/>
      <c r="P14934" s="1098"/>
    </row>
    <row r="14935" spans="1:16" ht="18">
      <c r="A14935" s="690"/>
      <c r="B14935" s="691"/>
      <c r="C14935" s="691"/>
      <c r="D14935" s="691"/>
      <c r="E14935" s="691"/>
      <c r="F14935" s="1819"/>
      <c r="G14935" s="691"/>
      <c r="H14935" s="698"/>
      <c r="I14935" s="699"/>
      <c r="J14935" s="700"/>
      <c r="K14935" s="701"/>
      <c r="L14935" s="702"/>
      <c r="M14935" s="691"/>
      <c r="N14935" s="1819"/>
      <c r="O14935" s="691"/>
      <c r="P14935" s="1098"/>
    </row>
    <row r="14936" spans="1:16" ht="18">
      <c r="A14936" s="703" t="s">
        <v>42</v>
      </c>
      <c r="B14936" s="704"/>
      <c r="C14936" s="691"/>
      <c r="D14936" s="691"/>
      <c r="E14936" s="691"/>
      <c r="F14936" s="1819"/>
      <c r="G14936" s="704"/>
      <c r="H14936" s="698"/>
      <c r="I14936" s="699"/>
      <c r="J14936" s="700"/>
      <c r="K14936" s="693"/>
      <c r="L14936" s="705"/>
      <c r="M14936" s="691"/>
      <c r="N14936" s="1979" t="s">
        <v>43</v>
      </c>
      <c r="O14936" s="1979"/>
      <c r="P14936" s="1098"/>
    </row>
    <row r="14937" spans="1:16" ht="18">
      <c r="A14937" s="703"/>
      <c r="B14937" s="704"/>
      <c r="C14937" s="691"/>
      <c r="D14937" s="691"/>
      <c r="E14937" s="691"/>
      <c r="F14937" s="1819"/>
      <c r="G14937" s="691"/>
      <c r="H14937" s="1819"/>
      <c r="I14937" s="1849"/>
      <c r="J14937" s="691"/>
      <c r="K14937" s="693"/>
      <c r="L14937" s="1819"/>
      <c r="M14937" s="691"/>
      <c r="N14937" s="1819"/>
      <c r="O14937" s="704"/>
      <c r="P14937" s="1098"/>
    </row>
    <row r="14938" spans="1:16" ht="18">
      <c r="A14938" s="703" t="s">
        <v>44</v>
      </c>
      <c r="B14938" s="704"/>
      <c r="C14938" s="691"/>
      <c r="D14938" s="691"/>
      <c r="E14938" s="691"/>
      <c r="F14938" s="1819"/>
      <c r="G14938" s="691"/>
      <c r="H14938" s="1819"/>
      <c r="I14938" s="1849"/>
      <c r="J14938" s="691"/>
      <c r="K14938" s="693"/>
      <c r="L14938" s="1819"/>
      <c r="M14938" s="691"/>
      <c r="N14938" s="1979" t="s">
        <v>45</v>
      </c>
      <c r="O14938" s="1979"/>
      <c r="P14938" s="1098"/>
    </row>
    <row r="14939" spans="1:16" ht="18.600000000000001" thickBot="1">
      <c r="A14939" s="682"/>
      <c r="B14939" s="683"/>
      <c r="C14939" s="683"/>
      <c r="D14939" s="683"/>
      <c r="E14939" s="683"/>
      <c r="F14939" s="684"/>
      <c r="G14939" s="683"/>
      <c r="H14939" s="684"/>
      <c r="I14939" s="1850"/>
      <c r="J14939" s="683"/>
      <c r="K14939" s="706"/>
      <c r="L14939" s="684"/>
      <c r="M14939" s="683"/>
      <c r="N14939" s="684"/>
      <c r="O14939" s="683"/>
      <c r="P14939" s="1099"/>
    </row>
    <row r="14942" spans="1:16" ht="17.399999999999999">
      <c r="A14942" s="711" t="s">
        <v>48</v>
      </c>
      <c r="B14942" s="711"/>
      <c r="C14942" s="712"/>
      <c r="D14942" s="712"/>
      <c r="E14942" s="712"/>
      <c r="F14942" s="713"/>
      <c r="G14942" s="712"/>
      <c r="H14942" s="712"/>
      <c r="I14942" s="714"/>
      <c r="J14942" s="715"/>
      <c r="K14942" s="716"/>
      <c r="L14942" s="1978" t="s">
        <v>0</v>
      </c>
      <c r="M14942" s="1978"/>
      <c r="N14942" s="1978"/>
      <c r="O14942" s="1978"/>
      <c r="P14942" s="717"/>
    </row>
    <row r="14943" spans="1:16" ht="17.399999999999999">
      <c r="A14943" s="718" t="s">
        <v>1</v>
      </c>
      <c r="B14943" s="718"/>
      <c r="C14943" s="718"/>
      <c r="D14943" s="719" t="s">
        <v>2</v>
      </c>
      <c r="E14943" s="719"/>
      <c r="F14943" s="720"/>
      <c r="G14943" s="720"/>
      <c r="H14943" s="720"/>
      <c r="I14943" s="721"/>
      <c r="J14943" s="1823"/>
      <c r="K14943" s="723" t="s">
        <v>3</v>
      </c>
      <c r="L14943" s="1823"/>
      <c r="M14943" s="718"/>
      <c r="N14943" s="720"/>
      <c r="O14943" s="718"/>
      <c r="P14943" s="724"/>
    </row>
    <row r="14944" spans="1:16" ht="52.2">
      <c r="A14944" s="640" t="s">
        <v>4</v>
      </c>
      <c r="B14944" s="640" t="s">
        <v>5</v>
      </c>
      <c r="C14944" s="640" t="s">
        <v>6</v>
      </c>
      <c r="D14944" s="640" t="s">
        <v>7</v>
      </c>
      <c r="E14944" s="640" t="s">
        <v>8</v>
      </c>
      <c r="F14944" s="641" t="s">
        <v>9</v>
      </c>
      <c r="G14944" s="642" t="s">
        <v>10</v>
      </c>
      <c r="H14944" s="642" t="s">
        <v>11</v>
      </c>
      <c r="I14944" s="643" t="s">
        <v>12</v>
      </c>
      <c r="J14944" s="644" t="s">
        <v>13</v>
      </c>
      <c r="K14944" s="645" t="s">
        <v>14</v>
      </c>
      <c r="L14944" s="646" t="s">
        <v>15</v>
      </c>
      <c r="M14944" s="641" t="s">
        <v>16</v>
      </c>
      <c r="N14944" s="641" t="s">
        <v>17</v>
      </c>
      <c r="O14944" s="642" t="s">
        <v>18</v>
      </c>
      <c r="P14944" s="641" t="s">
        <v>192</v>
      </c>
    </row>
    <row r="14945" spans="1:19" ht="17.399999999999999">
      <c r="A14945" s="547" t="s">
        <v>272</v>
      </c>
      <c r="B14945" s="547" t="s">
        <v>1664</v>
      </c>
      <c r="C14945" s="547" t="s">
        <v>446</v>
      </c>
      <c r="D14945" s="813" t="s">
        <v>450</v>
      </c>
      <c r="E14945" s="547" t="s">
        <v>270</v>
      </c>
      <c r="F14945" s="550">
        <v>8.5</v>
      </c>
      <c r="G14945" s="549" t="s">
        <v>61</v>
      </c>
      <c r="H14945" s="599" t="s">
        <v>53</v>
      </c>
      <c r="I14945" s="558">
        <v>8.32</v>
      </c>
      <c r="J14945" s="567">
        <v>6.2</v>
      </c>
      <c r="K14945" s="648">
        <v>96</v>
      </c>
      <c r="L14945" s="552">
        <f t="shared" ref="L14945:L14946" si="2982">(I14945*J14945*K14945/1000)</f>
        <v>4.952064</v>
      </c>
      <c r="M14945" s="549"/>
      <c r="N14945" s="549"/>
      <c r="O14945" s="549"/>
      <c r="P14945" s="549"/>
      <c r="Q14945" s="497">
        <f>44+14+28</f>
        <v>86</v>
      </c>
      <c r="R14945" s="1737">
        <f t="shared" ref="R14945:R14946" si="2983">J14945*Q14945*I14945/1000</f>
        <v>4.4362240000000002</v>
      </c>
      <c r="S14945" s="1737" t="s">
        <v>1812</v>
      </c>
    </row>
    <row r="14946" spans="1:19" ht="17.399999999999999">
      <c r="A14946" s="549"/>
      <c r="B14946" s="549"/>
      <c r="C14946" s="549"/>
      <c r="D14946" s="549"/>
      <c r="E14946" s="549"/>
      <c r="F14946" s="549"/>
      <c r="G14946" s="549" t="s">
        <v>61</v>
      </c>
      <c r="H14946" s="549" t="s">
        <v>53</v>
      </c>
      <c r="I14946" s="558">
        <v>8.32</v>
      </c>
      <c r="J14946" s="567">
        <v>6.3</v>
      </c>
      <c r="K14946" s="648">
        <v>192</v>
      </c>
      <c r="L14946" s="552">
        <f t="shared" si="2982"/>
        <v>10.063872</v>
      </c>
      <c r="M14946" s="549"/>
      <c r="N14946" s="549"/>
      <c r="O14946" s="549"/>
      <c r="P14946" s="549"/>
      <c r="Q14946" s="497">
        <f>36+27+27+33+36</f>
        <v>159</v>
      </c>
      <c r="R14946" s="1737">
        <f t="shared" si="2983"/>
        <v>8.3341440000000002</v>
      </c>
    </row>
    <row r="14947" spans="1:19" ht="17.399999999999999">
      <c r="A14947" s="549"/>
      <c r="B14947" s="549"/>
      <c r="C14947" s="549"/>
      <c r="D14947" s="549"/>
      <c r="E14947" s="549"/>
      <c r="F14947" s="549"/>
      <c r="G14947" s="549"/>
      <c r="H14947" s="549"/>
      <c r="I14947" s="558"/>
      <c r="J14947" s="567"/>
      <c r="K14947" s="648">
        <f t="shared" ref="K14947:L14947" si="2984">SUM(K14945:K14946)</f>
        <v>288</v>
      </c>
      <c r="L14947" s="567">
        <f t="shared" si="2984"/>
        <v>15.015936</v>
      </c>
      <c r="M14947" s="549"/>
      <c r="N14947" s="549"/>
      <c r="O14947" s="549"/>
      <c r="P14947" s="549" t="s">
        <v>1787</v>
      </c>
      <c r="Q14947" s="648">
        <f t="shared" ref="Q14947:R14947" si="2985">SUM(Q14945:Q14946)</f>
        <v>245</v>
      </c>
      <c r="R14947" s="567">
        <f t="shared" si="2985"/>
        <v>12.770368000000001</v>
      </c>
    </row>
    <row r="14948" spans="1:19" ht="17.399999999999999">
      <c r="A14948" s="549"/>
      <c r="B14948" s="549"/>
      <c r="C14948" s="549"/>
      <c r="D14948" s="549"/>
      <c r="E14948" s="549"/>
      <c r="F14948" s="549"/>
      <c r="G14948" s="549"/>
      <c r="H14948" s="549"/>
      <c r="I14948" s="558"/>
      <c r="J14948" s="549"/>
      <c r="K14948" s="561"/>
      <c r="L14948" s="560"/>
      <c r="M14948" s="549"/>
      <c r="N14948" s="549"/>
      <c r="O14948" s="549"/>
      <c r="P14948" s="549"/>
    </row>
    <row r="14949" spans="1:19" ht="17.399999999999999">
      <c r="A14949" s="547" t="s">
        <v>272</v>
      </c>
      <c r="B14949" s="547" t="s">
        <v>1665</v>
      </c>
      <c r="C14949" s="547" t="s">
        <v>446</v>
      </c>
      <c r="D14949" s="813" t="s">
        <v>450</v>
      </c>
      <c r="E14949" s="547" t="s">
        <v>270</v>
      </c>
      <c r="F14949" s="550">
        <v>8.5</v>
      </c>
      <c r="G14949" s="549" t="s">
        <v>61</v>
      </c>
      <c r="H14949" s="599" t="s">
        <v>53</v>
      </c>
      <c r="I14949" s="558">
        <v>8.32</v>
      </c>
      <c r="J14949" s="567">
        <v>9</v>
      </c>
      <c r="K14949" s="648">
        <v>76</v>
      </c>
      <c r="L14949" s="552">
        <f t="shared" ref="L14949:L14950" si="2986">(I14949*J14949*K14949/1000)</f>
        <v>5.6908799999999991</v>
      </c>
      <c r="M14949" s="549"/>
      <c r="N14949" s="549"/>
      <c r="O14949" s="549"/>
      <c r="P14949" s="549"/>
      <c r="Q14949" s="1737" t="s">
        <v>1812</v>
      </c>
    </row>
    <row r="14950" spans="1:19" ht="17.399999999999999">
      <c r="A14950" s="549"/>
      <c r="B14950" s="549"/>
      <c r="C14950" s="549"/>
      <c r="D14950" s="549"/>
      <c r="E14950" s="549"/>
      <c r="F14950" s="549"/>
      <c r="G14950" s="549" t="s">
        <v>61</v>
      </c>
      <c r="H14950" s="549" t="s">
        <v>53</v>
      </c>
      <c r="I14950" s="558">
        <v>8.32</v>
      </c>
      <c r="J14950" s="567">
        <v>12</v>
      </c>
      <c r="K14950" s="648">
        <v>538</v>
      </c>
      <c r="L14950" s="552">
        <f t="shared" si="2986"/>
        <v>53.713920000000002</v>
      </c>
      <c r="M14950" s="549"/>
      <c r="N14950" s="549"/>
      <c r="O14950" s="549"/>
      <c r="P14950" s="549"/>
    </row>
    <row r="14951" spans="1:19" ht="17.399999999999999">
      <c r="A14951" s="549"/>
      <c r="B14951" s="549"/>
      <c r="C14951" s="549"/>
      <c r="D14951" s="549"/>
      <c r="E14951" s="549"/>
      <c r="F14951" s="549"/>
      <c r="G14951" s="549"/>
      <c r="H14951" s="549"/>
      <c r="I14951" s="558"/>
      <c r="J14951" s="567"/>
      <c r="K14951" s="648">
        <f t="shared" ref="K14951" si="2987">SUM(K14949:K14950)</f>
        <v>614</v>
      </c>
      <c r="L14951" s="567">
        <f>SUM(L14949:L14950)</f>
        <v>59.404800000000002</v>
      </c>
      <c r="M14951" s="549"/>
      <c r="N14951" s="549"/>
      <c r="O14951" s="549"/>
      <c r="P14951" s="549" t="s">
        <v>1787</v>
      </c>
    </row>
    <row r="14952" spans="1:19" s="1737" customFormat="1" ht="17.399999999999999">
      <c r="A14952" s="549"/>
      <c r="B14952" s="549"/>
      <c r="C14952" s="549"/>
      <c r="D14952" s="549"/>
      <c r="E14952" s="549"/>
      <c r="F14952" s="549"/>
      <c r="G14952" s="549"/>
      <c r="H14952" s="549"/>
      <c r="I14952" s="558"/>
      <c r="J14952" s="567"/>
      <c r="K14952" s="648"/>
      <c r="L14952" s="567"/>
      <c r="M14952" s="549"/>
      <c r="N14952" s="549"/>
      <c r="O14952" s="549"/>
      <c r="P14952" s="549"/>
    </row>
    <row r="14953" spans="1:19" ht="17.399999999999999">
      <c r="A14953" s="547" t="s">
        <v>395</v>
      </c>
      <c r="B14953" s="547" t="s">
        <v>1725</v>
      </c>
      <c r="C14953" s="547" t="s">
        <v>19</v>
      </c>
      <c r="D14953" s="813" t="s">
        <v>155</v>
      </c>
      <c r="E14953" s="547" t="s">
        <v>270</v>
      </c>
      <c r="F14953" s="550">
        <v>8.5</v>
      </c>
      <c r="G14953" s="549" t="s">
        <v>61</v>
      </c>
      <c r="H14953" s="599" t="s">
        <v>53</v>
      </c>
      <c r="I14953" s="558">
        <v>8.32</v>
      </c>
      <c r="J14953" s="567">
        <v>8.35</v>
      </c>
      <c r="K14953" s="648">
        <v>46</v>
      </c>
      <c r="L14953" s="552">
        <f>(I14953*J14953*K14953/1000)</f>
        <v>3.1957119999999994</v>
      </c>
      <c r="M14953" s="549">
        <f>10+6+6</f>
        <v>22</v>
      </c>
      <c r="N14953" s="567">
        <f>J14953*M14953*I14953/1000</f>
        <v>1.528384</v>
      </c>
      <c r="O14953" s="549"/>
      <c r="P14953" s="549"/>
      <c r="Q14953" s="497">
        <v>9</v>
      </c>
      <c r="R14953" s="497">
        <f>J14953*Q14953*I14953/1000</f>
        <v>0.62524799999999991</v>
      </c>
      <c r="S14953" s="1737" t="s">
        <v>1812</v>
      </c>
    </row>
    <row r="14954" spans="1:19" ht="17.399999999999999">
      <c r="A14954" s="549"/>
      <c r="B14954" s="549" t="s">
        <v>1780</v>
      </c>
      <c r="C14954" s="549"/>
      <c r="D14954" s="549"/>
      <c r="E14954" s="549"/>
      <c r="F14954" s="549"/>
      <c r="G14954" s="549" t="s">
        <v>61</v>
      </c>
      <c r="H14954" s="549" t="s">
        <v>53</v>
      </c>
      <c r="I14954" s="558">
        <v>8.32</v>
      </c>
      <c r="J14954" s="567">
        <v>12</v>
      </c>
      <c r="K14954" s="648">
        <v>36</v>
      </c>
      <c r="L14954" s="552">
        <f>(I14954*J14954*K14954/1000)</f>
        <v>3.5942400000000001</v>
      </c>
      <c r="M14954" s="549">
        <v>5</v>
      </c>
      <c r="N14954" s="567">
        <f>J14954*M14954*I14954/1000</f>
        <v>0.49920000000000003</v>
      </c>
      <c r="O14954" s="549"/>
      <c r="P14954" s="549"/>
      <c r="Q14954" s="497">
        <v>31</v>
      </c>
      <c r="R14954" s="1737">
        <f>J14954*Q14954*I14954/1000</f>
        <v>3.09504</v>
      </c>
    </row>
    <row r="14955" spans="1:19" ht="17.399999999999999">
      <c r="A14955" s="549"/>
      <c r="B14955" s="549"/>
      <c r="C14955" s="549"/>
      <c r="D14955" s="549"/>
      <c r="E14955" s="549"/>
      <c r="F14955" s="549"/>
      <c r="G14955" s="549"/>
      <c r="H14955" s="549"/>
      <c r="I14955" s="558"/>
      <c r="J14955" s="567"/>
      <c r="K14955" s="648">
        <f>SUM(K14953:K14954)</f>
        <v>82</v>
      </c>
      <c r="L14955" s="567">
        <f>SUM(L14953:L14954)</f>
        <v>6.7899519999999995</v>
      </c>
      <c r="M14955" s="648">
        <f>SUM(M14953:M14954)</f>
        <v>27</v>
      </c>
      <c r="N14955" s="567">
        <f>SUM(N14953:N14954)</f>
        <v>2.0275840000000001</v>
      </c>
      <c r="O14955" s="549"/>
      <c r="P14955" s="549" t="s">
        <v>1787</v>
      </c>
      <c r="Q14955" s="648">
        <f>SUM(Q14953:Q14954)</f>
        <v>40</v>
      </c>
      <c r="R14955" s="567">
        <f>SUM(R14953:R14954)</f>
        <v>3.720288</v>
      </c>
    </row>
    <row r="14956" spans="1:19" ht="17.399999999999999">
      <c r="A14956" s="549"/>
      <c r="B14956" s="549"/>
      <c r="C14956" s="549"/>
      <c r="D14956" s="549"/>
      <c r="E14956" s="549"/>
      <c r="F14956" s="549"/>
      <c r="G14956" s="549"/>
      <c r="H14956" s="549"/>
      <c r="I14956" s="558"/>
      <c r="J14956" s="549"/>
      <c r="K14956" s="652">
        <f>SUM(K14945:K14955)/2</f>
        <v>984</v>
      </c>
      <c r="L14956" s="565">
        <f>SUM(L14945:L14955)/2</f>
        <v>81.210688000000005</v>
      </c>
      <c r="M14956" s="652">
        <f>SUM(M14945:M14955)/2</f>
        <v>27</v>
      </c>
      <c r="N14956" s="565">
        <f>SUM(N14945:N14955)/2</f>
        <v>2.0275840000000001</v>
      </c>
      <c r="O14956" s="549"/>
      <c r="P14956" s="549"/>
    </row>
    <row r="14957" spans="1:19" s="1737" customFormat="1" ht="17.399999999999999">
      <c r="A14957" s="549"/>
      <c r="B14957" s="549"/>
      <c r="C14957" s="549"/>
      <c r="D14957" s="549"/>
      <c r="E14957" s="549"/>
      <c r="F14957" s="549"/>
      <c r="G14957" s="549"/>
      <c r="H14957" s="549"/>
      <c r="I14957" s="558"/>
      <c r="J14957" s="549"/>
      <c r="K14957" s="652"/>
      <c r="L14957" s="565"/>
      <c r="M14957" s="652"/>
      <c r="N14957" s="565"/>
      <c r="O14957" s="549"/>
      <c r="P14957" s="549"/>
    </row>
    <row r="14958" spans="1:19" s="1737" customFormat="1" ht="17.399999999999999">
      <c r="A14958" s="549"/>
      <c r="B14958" s="549"/>
      <c r="C14958" s="549"/>
      <c r="D14958" s="549"/>
      <c r="E14958" s="549"/>
      <c r="F14958" s="549"/>
      <c r="G14958" s="549"/>
      <c r="H14958" s="549"/>
      <c r="I14958" s="558"/>
      <c r="J14958" s="549"/>
      <c r="K14958" s="652"/>
      <c r="L14958" s="565"/>
      <c r="M14958" s="652"/>
      <c r="N14958" s="565"/>
      <c r="O14958" s="549"/>
      <c r="P14958" s="549"/>
    </row>
    <row r="14959" spans="1:19" ht="17.399999999999999">
      <c r="A14959" s="547" t="s">
        <v>395</v>
      </c>
      <c r="B14959" s="547" t="s">
        <v>1725</v>
      </c>
      <c r="C14959" s="547" t="s">
        <v>19</v>
      </c>
      <c r="D14959" s="813" t="s">
        <v>155</v>
      </c>
      <c r="E14959" s="547" t="s">
        <v>270</v>
      </c>
      <c r="F14959" s="550">
        <v>11</v>
      </c>
      <c r="G14959" s="549" t="s">
        <v>61</v>
      </c>
      <c r="H14959" s="599" t="s">
        <v>54</v>
      </c>
      <c r="I14959" s="558">
        <v>9.61</v>
      </c>
      <c r="J14959" s="567">
        <v>7.5</v>
      </c>
      <c r="K14959" s="648">
        <v>20</v>
      </c>
      <c r="L14959" s="552">
        <f>(I14959*J14959*K14959/1000)</f>
        <v>1.4414999999999998</v>
      </c>
      <c r="M14959" s="549"/>
      <c r="N14959" s="567">
        <f>J14959*M14959*I14959/1000</f>
        <v>0</v>
      </c>
      <c r="O14959" s="549"/>
      <c r="P14959" s="549"/>
      <c r="Q14959" s="1737" t="s">
        <v>1812</v>
      </c>
    </row>
    <row r="14960" spans="1:19" ht="17.399999999999999">
      <c r="A14960" s="549"/>
      <c r="B14960" s="549" t="s">
        <v>1780</v>
      </c>
      <c r="C14960" s="549"/>
      <c r="D14960" s="549"/>
      <c r="E14960" s="549"/>
      <c r="F14960" s="549"/>
      <c r="G14960" s="549"/>
      <c r="H14960" s="549"/>
      <c r="I14960" s="558"/>
      <c r="J14960" s="567"/>
      <c r="K14960" s="648">
        <f t="shared" ref="K14960:N14960" si="2988">SUM(K14959)</f>
        <v>20</v>
      </c>
      <c r="L14960" s="567">
        <f>SUM(L14959)</f>
        <v>1.4414999999999998</v>
      </c>
      <c r="M14960" s="648">
        <f t="shared" si="2988"/>
        <v>0</v>
      </c>
      <c r="N14960" s="567">
        <f t="shared" si="2988"/>
        <v>0</v>
      </c>
      <c r="O14960" s="549"/>
      <c r="P14960" s="549" t="s">
        <v>1788</v>
      </c>
    </row>
    <row r="14961" spans="1:17" ht="17.399999999999999">
      <c r="A14961" s="549"/>
      <c r="B14961" s="549"/>
      <c r="C14961" s="549"/>
      <c r="D14961" s="549"/>
      <c r="E14961" s="549"/>
      <c r="F14961" s="549"/>
      <c r="G14961" s="549"/>
      <c r="H14961" s="549"/>
      <c r="I14961" s="558"/>
      <c r="J14961" s="549"/>
      <c r="K14961" s="561"/>
      <c r="L14961" s="560"/>
      <c r="M14961" s="549"/>
      <c r="N14961" s="549"/>
      <c r="O14961" s="549"/>
      <c r="P14961" s="549"/>
    </row>
    <row r="14962" spans="1:17" ht="17.399999999999999">
      <c r="A14962" s="547" t="s">
        <v>83</v>
      </c>
      <c r="B14962" s="547" t="s">
        <v>1731</v>
      </c>
      <c r="C14962" s="547" t="s">
        <v>19</v>
      </c>
      <c r="D14962" s="813" t="s">
        <v>155</v>
      </c>
      <c r="E14962" s="547" t="s">
        <v>62</v>
      </c>
      <c r="F14962" s="550">
        <v>11</v>
      </c>
      <c r="G14962" s="549" t="s">
        <v>61</v>
      </c>
      <c r="H14962" s="599" t="s">
        <v>54</v>
      </c>
      <c r="I14962" s="558">
        <v>9.61</v>
      </c>
      <c r="J14962" s="567">
        <v>6.4</v>
      </c>
      <c r="K14962" s="648">
        <v>4</v>
      </c>
      <c r="L14962" s="552">
        <f>(I14962*J14962*K14962/1000)</f>
        <v>0.24601599999999998</v>
      </c>
      <c r="M14962" s="549"/>
      <c r="N14962" s="567">
        <f t="shared" ref="N14962:N14963" si="2989">J14962*M14962*I14962/1000</f>
        <v>0</v>
      </c>
      <c r="O14962" s="549"/>
      <c r="P14962" s="549"/>
      <c r="Q14962" s="1737" t="s">
        <v>1812</v>
      </c>
    </row>
    <row r="14963" spans="1:17" ht="17.399999999999999">
      <c r="A14963" s="549"/>
      <c r="B14963" s="549" t="s">
        <v>52</v>
      </c>
      <c r="C14963" s="549"/>
      <c r="D14963" s="549"/>
      <c r="E14963" s="549"/>
      <c r="F14963" s="549"/>
      <c r="G14963" s="549" t="s">
        <v>61</v>
      </c>
      <c r="H14963" s="549" t="s">
        <v>54</v>
      </c>
      <c r="I14963" s="558">
        <v>9.61</v>
      </c>
      <c r="J14963" s="567">
        <v>11.4</v>
      </c>
      <c r="K14963" s="648">
        <v>29</v>
      </c>
      <c r="L14963" s="552">
        <f>(I14963*J14963*K14963/1000)</f>
        <v>3.1770660000000004</v>
      </c>
      <c r="M14963" s="549"/>
      <c r="N14963" s="567">
        <f t="shared" si="2989"/>
        <v>0</v>
      </c>
      <c r="O14963" s="549"/>
      <c r="P14963" s="549"/>
    </row>
    <row r="14964" spans="1:17" ht="17.399999999999999">
      <c r="A14964" s="549"/>
      <c r="B14964" s="549"/>
      <c r="C14964" s="549"/>
      <c r="D14964" s="549"/>
      <c r="E14964" s="549"/>
      <c r="F14964" s="549"/>
      <c r="G14964" s="549"/>
      <c r="H14964" s="549"/>
      <c r="I14964" s="558"/>
      <c r="J14964" s="567"/>
      <c r="K14964" s="648">
        <f>SUM(K14962:K14963)</f>
        <v>33</v>
      </c>
      <c r="L14964" s="567">
        <f>SUM(L14962:L14963)</f>
        <v>3.4230820000000004</v>
      </c>
      <c r="M14964" s="648">
        <f>SUM(M14962:M14963)</f>
        <v>0</v>
      </c>
      <c r="N14964" s="567">
        <f>SUM(N14962:N14963)</f>
        <v>0</v>
      </c>
      <c r="O14964" s="549"/>
      <c r="P14964" s="549" t="s">
        <v>1799</v>
      </c>
    </row>
    <row r="14965" spans="1:17" ht="17.399999999999999">
      <c r="A14965" s="549"/>
      <c r="B14965" s="549"/>
      <c r="C14965" s="549"/>
      <c r="D14965" s="549"/>
      <c r="E14965" s="549"/>
      <c r="F14965" s="549"/>
      <c r="G14965" s="549"/>
      <c r="H14965" s="549"/>
      <c r="I14965" s="558"/>
      <c r="J14965" s="549"/>
      <c r="K14965" s="652">
        <f>SUM(K14959:K14964)/2</f>
        <v>53</v>
      </c>
      <c r="L14965" s="565">
        <f>SUM(L14959:L14964)/2</f>
        <v>4.8645820000000004</v>
      </c>
      <c r="M14965" s="652">
        <f>SUM(M14959:M14964)/2</f>
        <v>0</v>
      </c>
      <c r="N14965" s="565">
        <f>SUM(N14959:N14964)/2</f>
        <v>0</v>
      </c>
      <c r="O14965" s="549"/>
      <c r="P14965" s="549"/>
    </row>
    <row r="14966" spans="1:17" ht="17.399999999999999">
      <c r="A14966" s="549"/>
      <c r="B14966" s="549"/>
      <c r="C14966" s="549"/>
      <c r="D14966" s="549"/>
      <c r="E14966" s="549"/>
      <c r="F14966" s="549"/>
      <c r="G14966" s="549"/>
      <c r="H14966" s="549"/>
      <c r="I14966" s="558"/>
      <c r="J14966" s="549"/>
      <c r="K14966" s="561"/>
      <c r="L14966" s="560"/>
      <c r="M14966" s="549"/>
      <c r="N14966" s="549"/>
      <c r="O14966" s="549"/>
      <c r="P14966" s="549"/>
    </row>
    <row r="14967" spans="1:17" s="1737" customFormat="1" ht="17.399999999999999">
      <c r="A14967" s="549"/>
      <c r="B14967" s="549"/>
      <c r="C14967" s="549"/>
      <c r="D14967" s="549"/>
      <c r="E14967" s="549"/>
      <c r="F14967" s="549"/>
      <c r="G14967" s="549"/>
      <c r="H14967" s="549"/>
      <c r="I14967" s="558"/>
      <c r="J14967" s="549"/>
      <c r="K14967" s="652"/>
      <c r="L14967" s="565"/>
      <c r="M14967" s="549"/>
      <c r="N14967" s="549"/>
      <c r="O14967" s="549"/>
      <c r="P14967" s="549"/>
    </row>
    <row r="14968" spans="1:17" ht="17.399999999999999">
      <c r="A14968" s="547" t="s">
        <v>272</v>
      </c>
      <c r="B14968" s="547" t="s">
        <v>1664</v>
      </c>
      <c r="C14968" s="547" t="s">
        <v>446</v>
      </c>
      <c r="D14968" s="813" t="s">
        <v>450</v>
      </c>
      <c r="E14968" s="547" t="s">
        <v>270</v>
      </c>
      <c r="F14968" s="550">
        <v>11</v>
      </c>
      <c r="G14968" s="549" t="s">
        <v>61</v>
      </c>
      <c r="H14968" s="599" t="s">
        <v>91</v>
      </c>
      <c r="I14968" s="558">
        <v>6.97</v>
      </c>
      <c r="J14968" s="567">
        <v>10</v>
      </c>
      <c r="K14968" s="648">
        <v>57</v>
      </c>
      <c r="L14968" s="552">
        <f t="shared" ref="L14968:L14971" si="2990">(I14968*J14968*K14968/1000)</f>
        <v>3.9729000000000001</v>
      </c>
      <c r="M14968" s="549"/>
      <c r="N14968" s="549"/>
      <c r="O14968" s="549"/>
      <c r="P14968" s="549"/>
      <c r="Q14968" s="1737" t="s">
        <v>1812</v>
      </c>
    </row>
    <row r="14969" spans="1:17" ht="17.399999999999999">
      <c r="A14969" s="549"/>
      <c r="B14969" s="549"/>
      <c r="C14969" s="549"/>
      <c r="D14969" s="549"/>
      <c r="E14969" s="549"/>
      <c r="F14969" s="549"/>
      <c r="G14969" s="549" t="s">
        <v>61</v>
      </c>
      <c r="H14969" s="549" t="s">
        <v>91</v>
      </c>
      <c r="I14969" s="558">
        <v>6.97</v>
      </c>
      <c r="J14969" s="567">
        <v>10.65</v>
      </c>
      <c r="K14969" s="648">
        <v>6</v>
      </c>
      <c r="L14969" s="552">
        <f t="shared" si="2990"/>
        <v>0.44538300000000003</v>
      </c>
      <c r="M14969" s="549"/>
      <c r="N14969" s="549"/>
      <c r="O14969" s="549"/>
      <c r="P14969" s="549"/>
    </row>
    <row r="14970" spans="1:17" ht="17.399999999999999">
      <c r="A14970" s="549"/>
      <c r="B14970" s="549"/>
      <c r="C14970" s="549"/>
      <c r="D14970" s="549"/>
      <c r="E14970" s="549"/>
      <c r="F14970" s="549"/>
      <c r="G14970" s="549" t="s">
        <v>61</v>
      </c>
      <c r="H14970" s="549" t="s">
        <v>91</v>
      </c>
      <c r="I14970" s="558">
        <v>6.97</v>
      </c>
      <c r="J14970" s="567">
        <v>11</v>
      </c>
      <c r="K14970" s="648">
        <v>87</v>
      </c>
      <c r="L14970" s="552">
        <f t="shared" si="2990"/>
        <v>6.6702899999999996</v>
      </c>
      <c r="M14970" s="549"/>
      <c r="N14970" s="549"/>
      <c r="O14970" s="549"/>
      <c r="P14970" s="549"/>
    </row>
    <row r="14971" spans="1:17" ht="17.399999999999999">
      <c r="A14971" s="549"/>
      <c r="B14971" s="549"/>
      <c r="C14971" s="549"/>
      <c r="D14971" s="549"/>
      <c r="E14971" s="549"/>
      <c r="F14971" s="549"/>
      <c r="G14971" s="549" t="s">
        <v>61</v>
      </c>
      <c r="H14971" s="549" t="s">
        <v>91</v>
      </c>
      <c r="I14971" s="558">
        <v>6.97</v>
      </c>
      <c r="J14971" s="567">
        <v>12</v>
      </c>
      <c r="K14971" s="648">
        <v>36</v>
      </c>
      <c r="L14971" s="552">
        <f t="shared" si="2990"/>
        <v>3.0110399999999999</v>
      </c>
      <c r="M14971" s="549"/>
      <c r="N14971" s="549"/>
      <c r="O14971" s="549"/>
      <c r="P14971" s="549"/>
    </row>
    <row r="14972" spans="1:17" ht="17.399999999999999">
      <c r="A14972" s="549"/>
      <c r="B14972" s="549"/>
      <c r="C14972" s="549"/>
      <c r="D14972" s="549"/>
      <c r="E14972" s="549"/>
      <c r="F14972" s="549"/>
      <c r="G14972" s="549"/>
      <c r="H14972" s="549"/>
      <c r="I14972" s="558"/>
      <c r="J14972" s="567"/>
      <c r="K14972" s="648">
        <f t="shared" ref="K14972:L14972" si="2991">SUM(K14968:K14971)</f>
        <v>186</v>
      </c>
      <c r="L14972" s="567">
        <f t="shared" si="2991"/>
        <v>14.099613</v>
      </c>
      <c r="M14972" s="549"/>
      <c r="N14972" s="549"/>
      <c r="O14972" s="549"/>
      <c r="P14972" s="549" t="s">
        <v>1789</v>
      </c>
    </row>
    <row r="14973" spans="1:17" s="1737" customFormat="1" ht="17.399999999999999">
      <c r="A14973" s="549"/>
      <c r="B14973" s="549"/>
      <c r="C14973" s="549"/>
      <c r="D14973" s="549"/>
      <c r="E14973" s="549"/>
      <c r="F14973" s="549"/>
      <c r="G14973" s="549"/>
      <c r="H14973" s="549"/>
      <c r="I14973" s="558"/>
      <c r="J14973" s="567"/>
      <c r="K14973" s="648"/>
      <c r="L14973" s="567"/>
      <c r="M14973" s="549"/>
      <c r="N14973" s="549"/>
      <c r="O14973" s="549"/>
      <c r="P14973" s="549"/>
    </row>
    <row r="14974" spans="1:17" ht="17.399999999999999">
      <c r="A14974" s="547" t="s">
        <v>272</v>
      </c>
      <c r="B14974" s="547" t="s">
        <v>1665</v>
      </c>
      <c r="C14974" s="547" t="s">
        <v>446</v>
      </c>
      <c r="D14974" s="813" t="s">
        <v>450</v>
      </c>
      <c r="E14974" s="547" t="s">
        <v>270</v>
      </c>
      <c r="F14974" s="550">
        <v>11</v>
      </c>
      <c r="G14974" s="549" t="s">
        <v>61</v>
      </c>
      <c r="H14974" s="599" t="s">
        <v>91</v>
      </c>
      <c r="I14974" s="558">
        <v>6.97</v>
      </c>
      <c r="J14974" s="567">
        <v>6.6</v>
      </c>
      <c r="K14974" s="648">
        <v>160</v>
      </c>
      <c r="L14974" s="552">
        <f t="shared" ref="L14974:L14978" si="2992">(I14974*J14974*K14974/1000)</f>
        <v>7.3603199999999998</v>
      </c>
      <c r="M14974" s="549">
        <v>7</v>
      </c>
      <c r="N14974" s="567">
        <f t="shared" ref="N14974:N14978" si="2993">J14974*M14974*I14974/1000</f>
        <v>0.32201399999999997</v>
      </c>
      <c r="O14974" s="549"/>
      <c r="P14974" s="549"/>
      <c r="Q14974" s="1737" t="s">
        <v>1812</v>
      </c>
    </row>
    <row r="14975" spans="1:17" ht="17.399999999999999">
      <c r="A14975" s="549"/>
      <c r="B14975" s="549"/>
      <c r="C14975" s="549"/>
      <c r="D14975" s="549"/>
      <c r="E14975" s="549"/>
      <c r="F14975" s="549"/>
      <c r="G14975" s="549" t="s">
        <v>61</v>
      </c>
      <c r="H14975" s="549" t="s">
        <v>91</v>
      </c>
      <c r="I14975" s="558">
        <v>6.97</v>
      </c>
      <c r="J14975" s="567">
        <v>8.8000000000000007</v>
      </c>
      <c r="K14975" s="648">
        <v>226</v>
      </c>
      <c r="L14975" s="552">
        <f t="shared" si="2992"/>
        <v>13.861936000000002</v>
      </c>
      <c r="M14975" s="549">
        <v>13</v>
      </c>
      <c r="N14975" s="567">
        <f t="shared" si="2993"/>
        <v>0.79736800000000008</v>
      </c>
      <c r="O14975" s="549"/>
      <c r="P14975" s="549"/>
    </row>
    <row r="14976" spans="1:17" ht="17.399999999999999">
      <c r="A14976" s="549"/>
      <c r="B14976" s="549"/>
      <c r="C14976" s="549"/>
      <c r="D14976" s="549"/>
      <c r="E14976" s="549"/>
      <c r="F14976" s="549"/>
      <c r="G14976" s="549" t="s">
        <v>61</v>
      </c>
      <c r="H14976" s="549" t="s">
        <v>91</v>
      </c>
      <c r="I14976" s="558">
        <v>6.97</v>
      </c>
      <c r="J14976" s="567">
        <v>10</v>
      </c>
      <c r="K14976" s="648">
        <v>15</v>
      </c>
      <c r="L14976" s="552">
        <f t="shared" si="2992"/>
        <v>1.0455000000000001</v>
      </c>
      <c r="M14976" s="549"/>
      <c r="N14976" s="567">
        <f t="shared" si="2993"/>
        <v>0</v>
      </c>
      <c r="O14976" s="549"/>
      <c r="P14976" s="549"/>
    </row>
    <row r="14977" spans="1:18" ht="17.399999999999999">
      <c r="A14977" s="549"/>
      <c r="B14977" s="549"/>
      <c r="C14977" s="549"/>
      <c r="D14977" s="549"/>
      <c r="E14977" s="549"/>
      <c r="F14977" s="549"/>
      <c r="G14977" s="549" t="s">
        <v>61</v>
      </c>
      <c r="H14977" s="549" t="s">
        <v>91</v>
      </c>
      <c r="I14977" s="558">
        <v>6.97</v>
      </c>
      <c r="J14977" s="567">
        <v>10.65</v>
      </c>
      <c r="K14977" s="648">
        <v>64</v>
      </c>
      <c r="L14977" s="552">
        <f t="shared" si="2992"/>
        <v>4.7507520000000003</v>
      </c>
      <c r="M14977" s="549"/>
      <c r="N14977" s="567">
        <f t="shared" si="2993"/>
        <v>0</v>
      </c>
      <c r="O14977" s="549"/>
      <c r="P14977" s="549"/>
    </row>
    <row r="14978" spans="1:18" ht="17.399999999999999">
      <c r="A14978" s="549"/>
      <c r="B14978" s="549"/>
      <c r="C14978" s="549"/>
      <c r="D14978" s="549"/>
      <c r="E14978" s="549"/>
      <c r="F14978" s="549"/>
      <c r="G14978" s="549" t="s">
        <v>61</v>
      </c>
      <c r="H14978" s="549" t="s">
        <v>91</v>
      </c>
      <c r="I14978" s="558">
        <v>6.97</v>
      </c>
      <c r="J14978" s="567">
        <v>12</v>
      </c>
      <c r="K14978" s="648">
        <v>92</v>
      </c>
      <c r="L14978" s="552">
        <f t="shared" si="2992"/>
        <v>7.6948800000000004</v>
      </c>
      <c r="M14978" s="549"/>
      <c r="N14978" s="567">
        <f t="shared" si="2993"/>
        <v>0</v>
      </c>
      <c r="O14978" s="549"/>
      <c r="P14978" s="549"/>
    </row>
    <row r="14979" spans="1:18" ht="17.399999999999999">
      <c r="A14979" s="549"/>
      <c r="B14979" s="549"/>
      <c r="C14979" s="549"/>
      <c r="D14979" s="549"/>
      <c r="E14979" s="549"/>
      <c r="F14979" s="549"/>
      <c r="G14979" s="549"/>
      <c r="H14979" s="549"/>
      <c r="I14979" s="558"/>
      <c r="J14979" s="567"/>
      <c r="K14979" s="648">
        <f t="shared" ref="K14979:M14979" si="2994">SUM(K14974:K14978)</f>
        <v>557</v>
      </c>
      <c r="L14979" s="567">
        <f>SUM(L14974:L14978)</f>
        <v>34.713388000000002</v>
      </c>
      <c r="M14979" s="648">
        <f t="shared" si="2994"/>
        <v>20</v>
      </c>
      <c r="N14979" s="567">
        <f>SUM(N14974:N14978)</f>
        <v>1.1193820000000001</v>
      </c>
      <c r="O14979" s="549"/>
      <c r="P14979" s="549" t="s">
        <v>1789</v>
      </c>
    </row>
    <row r="14980" spans="1:18" s="1737" customFormat="1" ht="17.399999999999999">
      <c r="A14980" s="549"/>
      <c r="B14980" s="549"/>
      <c r="C14980" s="549"/>
      <c r="D14980" s="549"/>
      <c r="E14980" s="549"/>
      <c r="F14980" s="549"/>
      <c r="G14980" s="549"/>
      <c r="H14980" s="549"/>
      <c r="I14980" s="558"/>
      <c r="J14980" s="567"/>
      <c r="K14980" s="648"/>
      <c r="L14980" s="567"/>
      <c r="M14980" s="549"/>
      <c r="N14980" s="549"/>
      <c r="O14980" s="549"/>
      <c r="P14980" s="549"/>
    </row>
    <row r="14981" spans="1:18" ht="17.399999999999999">
      <c r="A14981" s="547" t="s">
        <v>395</v>
      </c>
      <c r="B14981" s="547" t="s">
        <v>1778</v>
      </c>
      <c r="C14981" s="547" t="s">
        <v>19</v>
      </c>
      <c r="D14981" s="813" t="s">
        <v>155</v>
      </c>
      <c r="E14981" s="547" t="s">
        <v>270</v>
      </c>
      <c r="F14981" s="550">
        <v>11</v>
      </c>
      <c r="G14981" s="549" t="s">
        <v>61</v>
      </c>
      <c r="H14981" s="599" t="s">
        <v>91</v>
      </c>
      <c r="I14981" s="558">
        <v>6.97</v>
      </c>
      <c r="J14981" s="567">
        <v>10</v>
      </c>
      <c r="K14981" s="648">
        <v>1</v>
      </c>
      <c r="L14981" s="552">
        <f>(I14981*J14981*K14981/1000)</f>
        <v>6.9699999999999998E-2</v>
      </c>
      <c r="M14981" s="549"/>
      <c r="N14981" s="549"/>
      <c r="O14981" s="549"/>
      <c r="P14981" s="549"/>
      <c r="Q14981" s="1737" t="s">
        <v>1812</v>
      </c>
    </row>
    <row r="14982" spans="1:18" ht="17.399999999999999">
      <c r="A14982" s="549"/>
      <c r="B14982" s="549" t="s">
        <v>1711</v>
      </c>
      <c r="C14982" s="549"/>
      <c r="D14982" s="549"/>
      <c r="E14982" s="549"/>
      <c r="F14982" s="549"/>
      <c r="G14982" s="549"/>
      <c r="H14982" s="549"/>
      <c r="I14982" s="558"/>
      <c r="J14982" s="567"/>
      <c r="K14982" s="648">
        <f t="shared" ref="K14982:L14982" si="2995">SUM(K14981)</f>
        <v>1</v>
      </c>
      <c r="L14982" s="567">
        <f t="shared" si="2995"/>
        <v>6.9699999999999998E-2</v>
      </c>
      <c r="M14982" s="549"/>
      <c r="N14982" s="549"/>
      <c r="O14982" s="549"/>
      <c r="P14982" s="549" t="s">
        <v>1789</v>
      </c>
    </row>
    <row r="14983" spans="1:18" ht="17.399999999999999">
      <c r="A14983" s="549"/>
      <c r="B14983" s="549"/>
      <c r="C14983" s="549"/>
      <c r="D14983" s="549"/>
      <c r="E14983" s="549"/>
      <c r="F14983" s="549"/>
      <c r="G14983" s="549"/>
      <c r="H14983" s="549"/>
      <c r="I14983" s="558"/>
      <c r="J14983" s="549"/>
      <c r="K14983" s="561"/>
      <c r="L14983" s="560"/>
      <c r="M14983" s="549"/>
      <c r="N14983" s="549"/>
      <c r="O14983" s="549"/>
      <c r="P14983" s="549"/>
    </row>
    <row r="14984" spans="1:18" ht="17.399999999999999">
      <c r="A14984" s="547" t="s">
        <v>1400</v>
      </c>
      <c r="B14984" s="547" t="s">
        <v>1779</v>
      </c>
      <c r="C14984" s="547" t="s">
        <v>19</v>
      </c>
      <c r="D14984" s="813" t="s">
        <v>155</v>
      </c>
      <c r="E14984" s="547" t="s">
        <v>270</v>
      </c>
      <c r="F14984" s="550">
        <v>11</v>
      </c>
      <c r="G14984" s="1825" t="s">
        <v>61</v>
      </c>
      <c r="H14984" s="599" t="s">
        <v>91</v>
      </c>
      <c r="I14984" s="558">
        <v>6.97</v>
      </c>
      <c r="J14984" s="567">
        <v>9.5</v>
      </c>
      <c r="K14984" s="648">
        <v>17</v>
      </c>
      <c r="L14984" s="552">
        <f>(I14984*J14984*K14984/1000)</f>
        <v>1.1256550000000001</v>
      </c>
      <c r="M14984" s="549"/>
      <c r="N14984" s="549"/>
      <c r="O14984" s="549"/>
      <c r="P14984" s="549"/>
      <c r="Q14984" s="1737" t="s">
        <v>1812</v>
      </c>
    </row>
    <row r="14985" spans="1:18" ht="17.399999999999999">
      <c r="A14985" s="549"/>
      <c r="B14985" s="549" t="s">
        <v>277</v>
      </c>
      <c r="C14985" s="549"/>
      <c r="D14985" s="549"/>
      <c r="E14985" s="549"/>
      <c r="F14985" s="549"/>
      <c r="G14985" s="1825" t="s">
        <v>61</v>
      </c>
      <c r="H14985" s="549" t="s">
        <v>91</v>
      </c>
      <c r="I14985" s="558">
        <v>6.97</v>
      </c>
      <c r="J14985" s="567">
        <v>10</v>
      </c>
      <c r="K14985" s="648">
        <v>20</v>
      </c>
      <c r="L14985" s="552">
        <f>(I14985*J14985*K14985/1000)</f>
        <v>1.3939999999999999</v>
      </c>
      <c r="M14985" s="549"/>
      <c r="N14985" s="549"/>
      <c r="O14985" s="549"/>
      <c r="P14985" s="549"/>
    </row>
    <row r="14986" spans="1:18" ht="17.399999999999999">
      <c r="A14986" s="549"/>
      <c r="B14986" s="549"/>
      <c r="C14986" s="549"/>
      <c r="D14986" s="549"/>
      <c r="E14986" s="549"/>
      <c r="F14986" s="549"/>
      <c r="G14986" s="1825" t="s">
        <v>61</v>
      </c>
      <c r="H14986" s="549" t="s">
        <v>91</v>
      </c>
      <c r="I14986" s="558">
        <v>6.97</v>
      </c>
      <c r="J14986" s="567">
        <v>12</v>
      </c>
      <c r="K14986" s="648">
        <v>28</v>
      </c>
      <c r="L14986" s="552">
        <f>(I14986*J14986*K14986/1000)</f>
        <v>2.34192</v>
      </c>
      <c r="M14986" s="549"/>
      <c r="N14986" s="549"/>
      <c r="O14986" s="549"/>
      <c r="P14986" s="549"/>
    </row>
    <row r="14987" spans="1:18" ht="17.399999999999999">
      <c r="A14987" s="549"/>
      <c r="B14987" s="549"/>
      <c r="C14987" s="549"/>
      <c r="D14987" s="549"/>
      <c r="E14987" s="549"/>
      <c r="F14987" s="549"/>
      <c r="G14987" s="1825"/>
      <c r="H14987" s="549"/>
      <c r="I14987" s="558"/>
      <c r="J14987" s="567"/>
      <c r="K14987" s="648">
        <f>SUM(K14984:K14986)</f>
        <v>65</v>
      </c>
      <c r="L14987" s="567">
        <f>SUM(L14984:L14986)</f>
        <v>4.8615750000000002</v>
      </c>
      <c r="M14987" s="648">
        <f>SUM(M14984:M14986)</f>
        <v>0</v>
      </c>
      <c r="N14987" s="567">
        <f>SUM(N14984:N14986)</f>
        <v>0</v>
      </c>
      <c r="O14987" s="549"/>
      <c r="P14987" s="549" t="s">
        <v>1789</v>
      </c>
    </row>
    <row r="14988" spans="1:18" s="1737" customFormat="1" ht="17.399999999999999">
      <c r="A14988" s="549"/>
      <c r="B14988" s="549"/>
      <c r="C14988" s="549"/>
      <c r="D14988" s="549"/>
      <c r="E14988" s="549"/>
      <c r="F14988" s="549"/>
      <c r="G14988" s="549"/>
      <c r="H14988" s="549"/>
      <c r="I14988" s="558"/>
      <c r="J14988" s="567"/>
      <c r="K14988" s="648">
        <f>SUM(K14968:K14987)/2</f>
        <v>809</v>
      </c>
      <c r="L14988" s="567">
        <f>SUM(L14968:L14987)/2</f>
        <v>53.744275999999999</v>
      </c>
      <c r="M14988" s="648">
        <f>SUM(M14968:M14987)/2</f>
        <v>20</v>
      </c>
      <c r="N14988" s="567">
        <f>SUM(N14968:N14987)/2</f>
        <v>1.1193820000000001</v>
      </c>
      <c r="O14988" s="549"/>
      <c r="P14988" s="549"/>
    </row>
    <row r="14989" spans="1:18" s="1737" customFormat="1" ht="17.399999999999999">
      <c r="A14989" s="549"/>
      <c r="B14989" s="549"/>
      <c r="C14989" s="549"/>
      <c r="D14989" s="549"/>
      <c r="E14989" s="549"/>
      <c r="F14989" s="549"/>
      <c r="G14989" s="549"/>
      <c r="H14989" s="549"/>
      <c r="I14989" s="558"/>
      <c r="J14989" s="567"/>
      <c r="K14989" s="648"/>
      <c r="L14989" s="567"/>
      <c r="M14989" s="648"/>
      <c r="N14989" s="567"/>
      <c r="O14989" s="549"/>
      <c r="P14989" s="549"/>
    </row>
    <row r="14990" spans="1:18" s="1737" customFormat="1" ht="17.399999999999999">
      <c r="A14990" s="549"/>
      <c r="B14990" s="549"/>
      <c r="C14990" s="549"/>
      <c r="D14990" s="549"/>
      <c r="E14990" s="549"/>
      <c r="F14990" s="549"/>
      <c r="G14990" s="549"/>
      <c r="H14990" s="549"/>
      <c r="I14990" s="558"/>
      <c r="J14990" s="567"/>
      <c r="K14990" s="648"/>
      <c r="L14990" s="567"/>
      <c r="M14990" s="648"/>
      <c r="N14990" s="567"/>
      <c r="O14990" s="549"/>
      <c r="P14990" s="549"/>
    </row>
    <row r="14991" spans="1:18" ht="17.399999999999999">
      <c r="A14991" s="547" t="s">
        <v>395</v>
      </c>
      <c r="B14991" s="547" t="s">
        <v>1365</v>
      </c>
      <c r="C14991" s="547" t="s">
        <v>19</v>
      </c>
      <c r="D14991" s="813" t="s">
        <v>854</v>
      </c>
      <c r="E14991" s="547" t="s">
        <v>359</v>
      </c>
      <c r="F14991" s="550">
        <v>11</v>
      </c>
      <c r="G14991" s="549" t="s">
        <v>21</v>
      </c>
      <c r="H14991" s="828" t="s">
        <v>91</v>
      </c>
      <c r="I14991" s="558">
        <v>6.97</v>
      </c>
      <c r="J14991" s="567">
        <v>9.5</v>
      </c>
      <c r="K14991" s="648">
        <v>5</v>
      </c>
      <c r="L14991" s="552">
        <f>(I14991*J14991*K14991/1000)</f>
        <v>0.33107500000000006</v>
      </c>
      <c r="M14991" s="549">
        <v>5</v>
      </c>
      <c r="N14991" s="567">
        <f t="shared" ref="N14991" si="2996">J14991*M14991*I14991/1000</f>
        <v>0.33107500000000001</v>
      </c>
      <c r="O14991" s="549"/>
      <c r="P14991" s="549"/>
    </row>
    <row r="14992" spans="1:18" ht="17.399999999999999">
      <c r="A14992" s="549"/>
      <c r="B14992" s="1652" t="s">
        <v>1773</v>
      </c>
      <c r="C14992" s="549"/>
      <c r="D14992" s="549"/>
      <c r="E14992" s="549"/>
      <c r="F14992" s="549"/>
      <c r="G14992" s="549" t="s">
        <v>21</v>
      </c>
      <c r="H14992" s="549" t="s">
        <v>91</v>
      </c>
      <c r="I14992" s="558">
        <v>6.97</v>
      </c>
      <c r="J14992" s="567">
        <v>11.5</v>
      </c>
      <c r="K14992" s="648">
        <v>50</v>
      </c>
      <c r="L14992" s="552">
        <f>(I14992*J14992*K14992/1000)</f>
        <v>4.0077499999999997</v>
      </c>
      <c r="M14992" s="549"/>
      <c r="N14992" s="549"/>
      <c r="O14992" s="549"/>
      <c r="P14992" s="549"/>
      <c r="Q14992" s="497">
        <v>17</v>
      </c>
      <c r="R14992" s="126">
        <f>J14992*Q14992*I14992/1000</f>
        <v>1.362635</v>
      </c>
    </row>
    <row r="14993" spans="1:19" ht="17.399999999999999">
      <c r="A14993" s="549"/>
      <c r="B14993" s="549"/>
      <c r="C14993" s="549"/>
      <c r="D14993" s="549"/>
      <c r="E14993" s="549"/>
      <c r="F14993" s="549"/>
      <c r="G14993" s="549"/>
      <c r="H14993" s="549"/>
      <c r="I14993" s="558"/>
      <c r="J14993" s="567"/>
      <c r="K14993" s="648">
        <f>SUM(K14991:K14992)</f>
        <v>55</v>
      </c>
      <c r="L14993" s="567">
        <f>SUM(L14991:L14992)</f>
        <v>4.3388249999999999</v>
      </c>
      <c r="M14993" s="648">
        <f>SUM(M14991:M14992)</f>
        <v>5</v>
      </c>
      <c r="N14993" s="567">
        <f>SUM(N14991:N14992)</f>
        <v>0.33107500000000001</v>
      </c>
      <c r="O14993" s="549"/>
      <c r="P14993" s="549"/>
      <c r="Q14993" s="648">
        <f>SUM(Q14991:Q14992)</f>
        <v>17</v>
      </c>
      <c r="R14993" s="567">
        <f>SUM(R14991:R14992)</f>
        <v>1.362635</v>
      </c>
    </row>
    <row r="14994" spans="1:19" ht="17.399999999999999">
      <c r="A14994" s="549"/>
      <c r="B14994" s="549"/>
      <c r="C14994" s="549"/>
      <c r="D14994" s="549"/>
      <c r="E14994" s="549"/>
      <c r="F14994" s="549"/>
      <c r="G14994" s="549"/>
      <c r="H14994" s="549"/>
      <c r="I14994" s="558"/>
      <c r="J14994" s="549"/>
      <c r="K14994" s="561"/>
      <c r="L14994" s="560"/>
      <c r="M14994" s="549"/>
      <c r="N14994" s="549"/>
      <c r="O14994" s="549"/>
      <c r="P14994" s="549"/>
    </row>
    <row r="14995" spans="1:19" ht="17.399999999999999">
      <c r="A14995" s="547" t="s">
        <v>1400</v>
      </c>
      <c r="B14995" s="547" t="s">
        <v>1779</v>
      </c>
      <c r="C14995" s="547" t="s">
        <v>19</v>
      </c>
      <c r="D14995" s="813" t="s">
        <v>854</v>
      </c>
      <c r="E14995" s="547" t="s">
        <v>359</v>
      </c>
      <c r="F14995" s="550">
        <v>11</v>
      </c>
      <c r="G14995" s="1825" t="s">
        <v>21</v>
      </c>
      <c r="H14995" s="599" t="s">
        <v>91</v>
      </c>
      <c r="I14995" s="558">
        <v>6.97</v>
      </c>
      <c r="J14995" s="567">
        <v>7.6</v>
      </c>
      <c r="K14995" s="648">
        <v>14</v>
      </c>
      <c r="L14995" s="552">
        <f t="shared" ref="L14995:L14998" si="2997">(I14995*J14995*K14995/1000)</f>
        <v>0.74160799999999993</v>
      </c>
      <c r="M14995" s="549">
        <v>14</v>
      </c>
      <c r="N14995" s="567">
        <f t="shared" ref="N14995:N14998" si="2998">J14995*M14995*I14995/1000</f>
        <v>0.74160799999999993</v>
      </c>
      <c r="O14995" s="549"/>
      <c r="P14995" s="549"/>
      <c r="Q14995" s="1737" t="s">
        <v>1812</v>
      </c>
    </row>
    <row r="14996" spans="1:19" ht="17.399999999999999">
      <c r="A14996" s="549"/>
      <c r="B14996" s="549" t="s">
        <v>277</v>
      </c>
      <c r="C14996" s="549"/>
      <c r="D14996" s="549"/>
      <c r="E14996" s="549"/>
      <c r="F14996" s="549"/>
      <c r="G14996" s="1825" t="s">
        <v>21</v>
      </c>
      <c r="H14996" s="549" t="s">
        <v>91</v>
      </c>
      <c r="I14996" s="558">
        <v>6.97</v>
      </c>
      <c r="J14996" s="567">
        <v>9.1</v>
      </c>
      <c r="K14996" s="648">
        <v>13</v>
      </c>
      <c r="L14996" s="552">
        <f t="shared" si="2997"/>
        <v>0.82455099999999992</v>
      </c>
      <c r="M14996" s="549">
        <f>3+3+4+3</f>
        <v>13</v>
      </c>
      <c r="N14996" s="567">
        <f t="shared" si="2998"/>
        <v>0.82455099999999992</v>
      </c>
      <c r="O14996" s="549"/>
      <c r="P14996" s="549"/>
    </row>
    <row r="14997" spans="1:19" ht="17.399999999999999">
      <c r="A14997" s="549"/>
      <c r="B14997" s="549"/>
      <c r="C14997" s="549"/>
      <c r="D14997" s="549"/>
      <c r="E14997" s="549"/>
      <c r="F14997" s="549"/>
      <c r="G14997" s="1825" t="s">
        <v>21</v>
      </c>
      <c r="H14997" s="549" t="s">
        <v>91</v>
      </c>
      <c r="I14997" s="558">
        <v>6.97</v>
      </c>
      <c r="J14997" s="567">
        <v>11.2</v>
      </c>
      <c r="K14997" s="648">
        <v>17</v>
      </c>
      <c r="L14997" s="552">
        <f t="shared" si="2997"/>
        <v>1.327088</v>
      </c>
      <c r="M14997" s="549"/>
      <c r="N14997" s="567">
        <f t="shared" si="2998"/>
        <v>0</v>
      </c>
      <c r="O14997" s="549"/>
      <c r="P14997" s="549"/>
      <c r="Q14997" s="497">
        <v>8</v>
      </c>
      <c r="R14997" s="126">
        <f t="shared" ref="R14997:R14998" si="2999">J14997*Q14997*I14997/1000</f>
        <v>0.62451199999999996</v>
      </c>
    </row>
    <row r="14998" spans="1:19" ht="17.399999999999999">
      <c r="A14998" s="549"/>
      <c r="B14998" s="549"/>
      <c r="C14998" s="549"/>
      <c r="D14998" s="549"/>
      <c r="E14998" s="549"/>
      <c r="F14998" s="549"/>
      <c r="G14998" s="1825" t="s">
        <v>21</v>
      </c>
      <c r="H14998" s="549" t="s">
        <v>91</v>
      </c>
      <c r="I14998" s="558">
        <v>6.97</v>
      </c>
      <c r="J14998" s="567">
        <v>11.9</v>
      </c>
      <c r="K14998" s="648">
        <v>61</v>
      </c>
      <c r="L14998" s="552">
        <f t="shared" si="2997"/>
        <v>5.0595230000000004</v>
      </c>
      <c r="M14998" s="549">
        <v>1</v>
      </c>
      <c r="N14998" s="567">
        <f t="shared" si="2998"/>
        <v>8.2943000000000003E-2</v>
      </c>
      <c r="O14998" s="549"/>
      <c r="P14998" s="549"/>
      <c r="Q14998" s="497">
        <v>31</v>
      </c>
      <c r="R14998" s="126">
        <f t="shared" si="2999"/>
        <v>2.5712330000000003</v>
      </c>
    </row>
    <row r="14999" spans="1:19" ht="17.399999999999999">
      <c r="A14999" s="549"/>
      <c r="B14999" s="549"/>
      <c r="C14999" s="549"/>
      <c r="D14999" s="549"/>
      <c r="E14999" s="549"/>
      <c r="F14999" s="549"/>
      <c r="G14999" s="1825"/>
      <c r="H14999" s="549"/>
      <c r="I14999" s="558"/>
      <c r="J14999" s="567"/>
      <c r="K14999" s="648">
        <f>SUM(K14995:K14998)</f>
        <v>105</v>
      </c>
      <c r="L14999" s="567">
        <f>SUM(L14995:L14998)</f>
        <v>7.9527700000000001</v>
      </c>
      <c r="M14999" s="648">
        <f>SUM(M14995:M14998)</f>
        <v>28</v>
      </c>
      <c r="N14999" s="567">
        <f>SUM(N14995:N14998)</f>
        <v>1.6491019999999998</v>
      </c>
      <c r="O14999" s="549"/>
      <c r="P14999" s="549" t="s">
        <v>1790</v>
      </c>
      <c r="Q14999" s="648">
        <f>SUM(Q14995:Q14998)</f>
        <v>39</v>
      </c>
      <c r="R14999" s="567">
        <f>SUM(R14995:R14998)</f>
        <v>3.1957450000000005</v>
      </c>
    </row>
    <row r="15000" spans="1:19" ht="17.399999999999999">
      <c r="A15000" s="549"/>
      <c r="B15000" s="549"/>
      <c r="C15000" s="549"/>
      <c r="D15000" s="549"/>
      <c r="E15000" s="549"/>
      <c r="F15000" s="549"/>
      <c r="G15000" s="549"/>
      <c r="H15000" s="549"/>
      <c r="I15000" s="558"/>
      <c r="J15000" s="549"/>
      <c r="K15000" s="561"/>
      <c r="L15000" s="560"/>
      <c r="M15000" s="549"/>
      <c r="N15000" s="549"/>
      <c r="O15000" s="549"/>
      <c r="P15000" s="549"/>
    </row>
    <row r="15001" spans="1:19" ht="17.399999999999999">
      <c r="A15001" s="547" t="s">
        <v>395</v>
      </c>
      <c r="B15001" s="547" t="s">
        <v>1778</v>
      </c>
      <c r="C15001" s="547" t="s">
        <v>19</v>
      </c>
      <c r="D15001" s="813" t="s">
        <v>854</v>
      </c>
      <c r="E15001" s="547" t="s">
        <v>359</v>
      </c>
      <c r="F15001" s="550">
        <v>11</v>
      </c>
      <c r="G15001" s="549" t="s">
        <v>21</v>
      </c>
      <c r="H15001" s="599" t="s">
        <v>91</v>
      </c>
      <c r="I15001" s="558">
        <v>6.97</v>
      </c>
      <c r="J15001" s="567">
        <v>6</v>
      </c>
      <c r="K15001" s="648">
        <v>1</v>
      </c>
      <c r="L15001" s="552">
        <f>(I15001*J15001*K15001/1000)</f>
        <v>4.1820000000000003E-2</v>
      </c>
      <c r="M15001" s="549">
        <v>1</v>
      </c>
      <c r="N15001" s="567">
        <f>J15001*M15001*I15001/1000</f>
        <v>4.1820000000000003E-2</v>
      </c>
      <c r="O15001" s="549"/>
      <c r="P15001" s="549"/>
      <c r="Q15001" s="1737" t="s">
        <v>1812</v>
      </c>
    </row>
    <row r="15002" spans="1:19" ht="17.399999999999999">
      <c r="A15002" s="549"/>
      <c r="B15002" s="549" t="s">
        <v>1711</v>
      </c>
      <c r="C15002" s="549"/>
      <c r="D15002" s="549"/>
      <c r="E15002" s="549"/>
      <c r="F15002" s="549"/>
      <c r="G15002" s="549"/>
      <c r="H15002" s="549"/>
      <c r="I15002" s="558"/>
      <c r="J15002" s="567"/>
      <c r="K15002" s="648">
        <f t="shared" ref="K15002:M15002" si="3000">SUM(K15001)</f>
        <v>1</v>
      </c>
      <c r="L15002" s="567">
        <f>SUM(L15001)</f>
        <v>4.1820000000000003E-2</v>
      </c>
      <c r="M15002" s="648">
        <f t="shared" si="3000"/>
        <v>1</v>
      </c>
      <c r="N15002" s="567">
        <f>SUM(N15001)</f>
        <v>4.1820000000000003E-2</v>
      </c>
      <c r="O15002" s="549"/>
      <c r="P15002" s="549"/>
    </row>
    <row r="15003" spans="1:19" s="1737" customFormat="1" ht="17.399999999999999">
      <c r="A15003" s="549"/>
      <c r="B15003" s="549"/>
      <c r="C15003" s="549"/>
      <c r="D15003" s="549"/>
      <c r="E15003" s="549"/>
      <c r="F15003" s="549"/>
      <c r="G15003" s="549"/>
      <c r="H15003" s="549"/>
      <c r="I15003" s="558"/>
      <c r="J15003" s="567"/>
      <c r="K15003" s="648"/>
      <c r="L15003" s="567"/>
      <c r="M15003" s="648"/>
      <c r="N15003" s="567"/>
      <c r="O15003" s="549"/>
      <c r="P15003" s="549"/>
    </row>
    <row r="15004" spans="1:19" s="1737" customFormat="1" ht="17.399999999999999">
      <c r="A15004" s="547" t="s">
        <v>395</v>
      </c>
      <c r="B15004" s="547" t="s">
        <v>1765</v>
      </c>
      <c r="C15004" s="547" t="s">
        <v>19</v>
      </c>
      <c r="D15004" s="813" t="s">
        <v>854</v>
      </c>
      <c r="E15004" s="547" t="s">
        <v>359</v>
      </c>
      <c r="F15004" s="550">
        <v>11</v>
      </c>
      <c r="G15004" s="549" t="s">
        <v>21</v>
      </c>
      <c r="H15004" s="599" t="s">
        <v>91</v>
      </c>
      <c r="I15004" s="558">
        <v>6.97</v>
      </c>
      <c r="J15004" s="567">
        <v>9.5</v>
      </c>
      <c r="K15004" s="648">
        <v>9</v>
      </c>
      <c r="L15004" s="552">
        <f>(I15004*J15004*K15004/1000)</f>
        <v>0.5959350000000001</v>
      </c>
      <c r="M15004" s="549"/>
      <c r="N15004" s="549"/>
      <c r="O15004" s="549"/>
      <c r="P15004" s="549"/>
      <c r="Q15004" s="1737">
        <v>3</v>
      </c>
      <c r="R15004" s="126">
        <f>J15004*Q15004*I15004/1000</f>
        <v>0.19864499999999999</v>
      </c>
      <c r="S15004" s="1737" t="s">
        <v>1812</v>
      </c>
    </row>
    <row r="15005" spans="1:19" s="1737" customFormat="1" ht="17.399999999999999">
      <c r="A15005" s="549"/>
      <c r="B15005" s="549" t="s">
        <v>1027</v>
      </c>
      <c r="C15005" s="549"/>
      <c r="D15005" s="549"/>
      <c r="E15005" s="549"/>
      <c r="F15005" s="549"/>
      <c r="G15005" s="549"/>
      <c r="H15005" s="549"/>
      <c r="I15005" s="558"/>
      <c r="J15005" s="567"/>
      <c r="K15005" s="648">
        <f t="shared" ref="K15005" si="3001">SUM(K15004)</f>
        <v>9</v>
      </c>
      <c r="L15005" s="567">
        <f>SUM(L15004)</f>
        <v>0.5959350000000001</v>
      </c>
      <c r="M15005" s="549"/>
      <c r="N15005" s="549"/>
      <c r="O15005" s="549"/>
      <c r="P15005" s="549" t="s">
        <v>1790</v>
      </c>
      <c r="Q15005" s="648">
        <f t="shared" ref="Q15005" si="3002">SUM(Q15004)</f>
        <v>3</v>
      </c>
      <c r="R15005" s="567">
        <f>SUM(R15004)</f>
        <v>0.19864499999999999</v>
      </c>
    </row>
    <row r="15006" spans="1:19" s="1737" customFormat="1" ht="17.399999999999999">
      <c r="A15006" s="549"/>
      <c r="B15006" s="549"/>
      <c r="C15006" s="549"/>
      <c r="D15006" s="549"/>
      <c r="E15006" s="549"/>
      <c r="F15006" s="549"/>
      <c r="G15006" s="549"/>
      <c r="H15006" s="549"/>
      <c r="I15006" s="558"/>
      <c r="J15006" s="567"/>
      <c r="K15006" s="648">
        <f>SUM(K14991:K15005)/2</f>
        <v>170</v>
      </c>
      <c r="L15006" s="567">
        <f>SUM(L14991:L15005)/2</f>
        <v>12.929350000000003</v>
      </c>
      <c r="M15006" s="648">
        <f>SUM(M14991:M15005)/2</f>
        <v>34</v>
      </c>
      <c r="N15006" s="567">
        <f>SUM(N14991:N15005)/2</f>
        <v>2.0219970000000003</v>
      </c>
      <c r="O15006" s="549"/>
      <c r="P15006" s="549"/>
      <c r="Q15006" s="648">
        <f>SUM(Q14991:Q15005)/2</f>
        <v>59</v>
      </c>
      <c r="R15006" s="567">
        <f>SUM(R14991:R15005)/2</f>
        <v>4.7570250000000014</v>
      </c>
    </row>
    <row r="15007" spans="1:19" s="1737" customFormat="1" ht="17.399999999999999">
      <c r="A15007" s="549"/>
      <c r="B15007" s="549"/>
      <c r="C15007" s="549"/>
      <c r="D15007" s="549"/>
      <c r="E15007" s="549"/>
      <c r="F15007" s="549"/>
      <c r="G15007" s="549"/>
      <c r="H15007" s="549"/>
      <c r="I15007" s="558"/>
      <c r="J15007" s="567"/>
      <c r="K15007" s="648"/>
      <c r="L15007" s="567"/>
      <c r="M15007" s="549"/>
      <c r="N15007" s="549"/>
      <c r="O15007" s="549"/>
      <c r="P15007" s="549"/>
    </row>
    <row r="15008" spans="1:19" ht="17.399999999999999">
      <c r="A15008" s="549"/>
      <c r="B15008" s="549"/>
      <c r="C15008" s="549"/>
      <c r="D15008" s="549"/>
      <c r="E15008" s="549"/>
      <c r="F15008" s="549"/>
      <c r="G15008" s="549"/>
      <c r="H15008" s="549"/>
      <c r="I15008" s="560"/>
      <c r="J15008" s="549"/>
      <c r="K15008" s="561"/>
      <c r="L15008" s="560"/>
      <c r="M15008" s="549"/>
      <c r="N15008" s="549"/>
      <c r="O15008" s="549"/>
      <c r="P15008" s="549"/>
    </row>
    <row r="15009" spans="1:19" ht="17.399999999999999">
      <c r="A15009" s="549"/>
      <c r="B15009" s="549"/>
      <c r="C15009" s="549"/>
      <c r="D15009" s="549"/>
      <c r="E15009" s="549"/>
      <c r="F15009" s="549"/>
      <c r="G15009" s="549"/>
      <c r="H15009" s="549"/>
      <c r="I15009" s="558"/>
      <c r="J15009" s="549"/>
      <c r="K15009" s="561"/>
      <c r="L15009" s="560"/>
      <c r="M15009" s="549"/>
      <c r="N15009" s="549"/>
      <c r="O15009" s="549"/>
      <c r="P15009" s="549"/>
    </row>
    <row r="15010" spans="1:19" ht="17.399999999999999">
      <c r="A15010" s="547" t="s">
        <v>83</v>
      </c>
      <c r="B15010" s="547" t="s">
        <v>1775</v>
      </c>
      <c r="C15010" s="547" t="s">
        <v>19</v>
      </c>
      <c r="D15010" s="813" t="s">
        <v>854</v>
      </c>
      <c r="E15010" s="547" t="s">
        <v>47</v>
      </c>
      <c r="F15010" s="550">
        <v>11</v>
      </c>
      <c r="G15010" s="549" t="s">
        <v>21</v>
      </c>
      <c r="H15010" s="599" t="s">
        <v>53</v>
      </c>
      <c r="I15010" s="558">
        <v>8.3000000000000007</v>
      </c>
      <c r="J15010" s="567">
        <v>10</v>
      </c>
      <c r="K15010" s="648">
        <v>2</v>
      </c>
      <c r="L15010" s="552">
        <f t="shared" ref="L15010:L15012" si="3003">(I15010*J15010*K15010/1000)</f>
        <v>0.16600000000000001</v>
      </c>
      <c r="M15010" s="549"/>
      <c r="N15010" s="549"/>
      <c r="O15010" s="549"/>
      <c r="P15010" s="549"/>
      <c r="Q15010" s="1737" t="s">
        <v>1812</v>
      </c>
    </row>
    <row r="15011" spans="1:19" ht="17.399999999999999">
      <c r="A15011" s="549"/>
      <c r="B15011" s="549" t="s">
        <v>439</v>
      </c>
      <c r="C15011" s="549"/>
      <c r="D15011" s="549"/>
      <c r="E15011" s="549"/>
      <c r="F15011" s="549"/>
      <c r="G15011" s="549" t="s">
        <v>21</v>
      </c>
      <c r="H15011" s="549" t="s">
        <v>53</v>
      </c>
      <c r="I15011" s="558">
        <v>8.3000000000000007</v>
      </c>
      <c r="J15011" s="567">
        <v>11</v>
      </c>
      <c r="K15011" s="648">
        <v>10</v>
      </c>
      <c r="L15011" s="552">
        <f t="shared" si="3003"/>
        <v>0.91300000000000014</v>
      </c>
      <c r="M15011" s="549"/>
      <c r="N15011" s="549"/>
      <c r="O15011" s="549"/>
      <c r="P15011" s="549"/>
    </row>
    <row r="15012" spans="1:19" ht="17.399999999999999">
      <c r="A15012" s="549"/>
      <c r="B15012" s="549"/>
      <c r="C15012" s="549"/>
      <c r="D15012" s="549"/>
      <c r="E15012" s="549"/>
      <c r="F15012" s="549"/>
      <c r="G15012" s="549" t="s">
        <v>21</v>
      </c>
      <c r="H15012" s="549" t="s">
        <v>53</v>
      </c>
      <c r="I15012" s="558">
        <v>8.3000000000000007</v>
      </c>
      <c r="J15012" s="567">
        <v>11.5</v>
      </c>
      <c r="K15012" s="648">
        <v>13</v>
      </c>
      <c r="L15012" s="552">
        <f t="shared" si="3003"/>
        <v>1.2408500000000002</v>
      </c>
      <c r="M15012" s="549"/>
      <c r="N15012" s="549"/>
      <c r="O15012" s="549"/>
      <c r="P15012" s="549"/>
    </row>
    <row r="15013" spans="1:19" ht="17.399999999999999">
      <c r="A15013" s="549"/>
      <c r="B15013" s="549"/>
      <c r="C15013" s="549"/>
      <c r="D15013" s="549"/>
      <c r="E15013" s="549"/>
      <c r="F15013" s="549"/>
      <c r="G15013" s="549"/>
      <c r="H15013" s="549"/>
      <c r="I15013" s="558"/>
      <c r="J15013" s="567"/>
      <c r="K15013" s="648">
        <f t="shared" ref="K15013:L15013" si="3004">SUM(K15010:K15012)</f>
        <v>25</v>
      </c>
      <c r="L15013" s="567">
        <f t="shared" si="3004"/>
        <v>2.3198500000000006</v>
      </c>
      <c r="M15013" s="549"/>
      <c r="N15013" s="549"/>
      <c r="O15013" s="549"/>
      <c r="P15013" s="549" t="s">
        <v>1791</v>
      </c>
    </row>
    <row r="15014" spans="1:19" s="1737" customFormat="1" ht="17.399999999999999">
      <c r="A15014" s="549"/>
      <c r="B15014" s="549"/>
      <c r="C15014" s="549"/>
      <c r="D15014" s="549"/>
      <c r="E15014" s="549"/>
      <c r="F15014" s="549"/>
      <c r="G15014" s="549"/>
      <c r="H15014" s="549"/>
      <c r="I15014" s="558"/>
      <c r="J15014" s="567"/>
      <c r="K15014" s="648"/>
      <c r="L15014" s="567"/>
      <c r="M15014" s="549"/>
      <c r="N15014" s="549"/>
      <c r="O15014" s="549"/>
      <c r="P15014" s="549"/>
    </row>
    <row r="15015" spans="1:19" ht="17.399999999999999">
      <c r="A15015" s="547" t="s">
        <v>272</v>
      </c>
      <c r="B15015" s="547" t="s">
        <v>1776</v>
      </c>
      <c r="C15015" s="547" t="s">
        <v>19</v>
      </c>
      <c r="D15015" s="813" t="s">
        <v>854</v>
      </c>
      <c r="E15015" s="780" t="s">
        <v>1028</v>
      </c>
      <c r="F15015" s="550">
        <v>11</v>
      </c>
      <c r="G15015" s="549" t="s">
        <v>21</v>
      </c>
      <c r="H15015" s="599" t="s">
        <v>53</v>
      </c>
      <c r="I15015" s="558">
        <v>8.32</v>
      </c>
      <c r="J15015" s="647">
        <v>6</v>
      </c>
      <c r="K15015" s="648">
        <v>1</v>
      </c>
      <c r="L15015" s="552">
        <f>(I15015*J15015*K15015/1000)</f>
        <v>4.9919999999999999E-2</v>
      </c>
      <c r="M15015" s="549"/>
      <c r="N15015" s="549"/>
      <c r="O15015" s="549"/>
      <c r="P15015" s="549"/>
      <c r="Q15015" s="1737" t="s">
        <v>1812</v>
      </c>
    </row>
    <row r="15016" spans="1:19" ht="17.399999999999999">
      <c r="A15016" s="549"/>
      <c r="B15016" s="549" t="s">
        <v>1027</v>
      </c>
      <c r="C15016" s="549"/>
      <c r="D15016" s="549"/>
      <c r="E15016" s="549"/>
      <c r="F15016" s="549"/>
      <c r="G15016" s="549"/>
      <c r="H15016" s="549"/>
      <c r="I15016" s="558"/>
      <c r="J15016" s="647"/>
      <c r="K15016" s="648">
        <f t="shared" ref="K15016:L15016" si="3005">SUM(K15015)</f>
        <v>1</v>
      </c>
      <c r="L15016" s="567">
        <f t="shared" si="3005"/>
        <v>4.9919999999999999E-2</v>
      </c>
      <c r="M15016" s="549"/>
      <c r="N15016" s="549"/>
      <c r="O15016" s="549"/>
      <c r="P15016" s="549" t="s">
        <v>1800</v>
      </c>
    </row>
    <row r="15017" spans="1:19" ht="17.399999999999999">
      <c r="A15017" s="549"/>
      <c r="B15017" s="549"/>
      <c r="C15017" s="549"/>
      <c r="D15017" s="549"/>
      <c r="E15017" s="549"/>
      <c r="F15017" s="549"/>
      <c r="G15017" s="549"/>
      <c r="H15017" s="549"/>
      <c r="I15017" s="558"/>
      <c r="J15017" s="549"/>
      <c r="K15017" s="561"/>
      <c r="L15017" s="560"/>
      <c r="M15017" s="549"/>
      <c r="N15017" s="549"/>
      <c r="O15017" s="549"/>
      <c r="P15017" s="549"/>
    </row>
    <row r="15018" spans="1:19" ht="17.399999999999999">
      <c r="A15018" s="547" t="s">
        <v>272</v>
      </c>
      <c r="B15018" s="547" t="s">
        <v>1759</v>
      </c>
      <c r="C15018" s="547" t="s">
        <v>19</v>
      </c>
      <c r="D15018" s="813" t="s">
        <v>854</v>
      </c>
      <c r="E15018" s="780" t="s">
        <v>1028</v>
      </c>
      <c r="F15018" s="550">
        <v>11</v>
      </c>
      <c r="G15018" s="549" t="s">
        <v>21</v>
      </c>
      <c r="H15018" s="599" t="s">
        <v>53</v>
      </c>
      <c r="I15018" s="558">
        <v>8.32</v>
      </c>
      <c r="J15018" s="567">
        <v>11</v>
      </c>
      <c r="K15018" s="648">
        <v>4</v>
      </c>
      <c r="L15018" s="552">
        <f>(I15018*J15018*K15018/1000)</f>
        <v>0.36608000000000002</v>
      </c>
      <c r="M15018" s="549"/>
      <c r="N15018" s="549"/>
      <c r="O15018" s="549"/>
      <c r="P15018" s="549"/>
      <c r="Q15018" s="1737" t="s">
        <v>1812</v>
      </c>
    </row>
    <row r="15019" spans="1:19" ht="17.399999999999999">
      <c r="A15019" s="549"/>
      <c r="B15019" s="549" t="s">
        <v>1027</v>
      </c>
      <c r="C15019" s="549"/>
      <c r="D15019" s="549"/>
      <c r="E15019" s="549"/>
      <c r="F15019" s="549"/>
      <c r="G15019" s="549"/>
      <c r="H15019" s="549"/>
      <c r="I15019" s="558"/>
      <c r="J15019" s="567"/>
      <c r="K15019" s="648">
        <f t="shared" ref="K15019:L15019" si="3006">SUM(K15018)</f>
        <v>4</v>
      </c>
      <c r="L15019" s="567">
        <f t="shared" si="3006"/>
        <v>0.36608000000000002</v>
      </c>
      <c r="M15019" s="549"/>
      <c r="N15019" s="549"/>
      <c r="O15019" s="549"/>
      <c r="P15019" s="549" t="s">
        <v>1800</v>
      </c>
    </row>
    <row r="15020" spans="1:19" ht="17.399999999999999">
      <c r="A15020" s="549"/>
      <c r="B15020" s="549"/>
      <c r="C15020" s="549"/>
      <c r="D15020" s="549"/>
      <c r="E15020" s="549"/>
      <c r="F15020" s="549"/>
      <c r="G15020" s="549"/>
      <c r="H15020" s="549"/>
      <c r="I15020" s="558"/>
      <c r="J15020" s="549"/>
      <c r="K15020" s="561"/>
      <c r="L15020" s="560"/>
      <c r="M15020" s="549"/>
      <c r="N15020" s="549"/>
      <c r="O15020" s="549"/>
      <c r="P15020" s="549"/>
    </row>
    <row r="15021" spans="1:19" ht="17.399999999999999">
      <c r="A15021" s="547" t="s">
        <v>1400</v>
      </c>
      <c r="B15021" s="547" t="s">
        <v>1777</v>
      </c>
      <c r="C15021" s="547" t="s">
        <v>19</v>
      </c>
      <c r="D15021" s="813" t="s">
        <v>854</v>
      </c>
      <c r="E15021" s="547" t="s">
        <v>47</v>
      </c>
      <c r="F15021" s="550">
        <v>11</v>
      </c>
      <c r="G15021" s="549" t="s">
        <v>21</v>
      </c>
      <c r="H15021" s="599" t="s">
        <v>53</v>
      </c>
      <c r="I15021" s="558">
        <v>8.3000000000000007</v>
      </c>
      <c r="J15021" s="567">
        <v>7.5</v>
      </c>
      <c r="K15021" s="648">
        <v>45</v>
      </c>
      <c r="L15021" s="552">
        <f>(I15021*J15021*K15021/1000)</f>
        <v>2.8012500000000005</v>
      </c>
      <c r="M15021" s="549"/>
      <c r="N15021" s="549"/>
      <c r="O15021" s="549"/>
      <c r="P15021" s="549"/>
      <c r="Q15021" s="497">
        <v>12</v>
      </c>
      <c r="R15021" s="497">
        <f>J15021*Q15021*I15021/1000</f>
        <v>0.74700000000000011</v>
      </c>
      <c r="S15021" s="1737" t="s">
        <v>1812</v>
      </c>
    </row>
    <row r="15022" spans="1:19" ht="17.399999999999999">
      <c r="A15022" s="549"/>
      <c r="B15022" s="549" t="s">
        <v>439</v>
      </c>
      <c r="C15022" s="549"/>
      <c r="D15022" s="549"/>
      <c r="E15022" s="549"/>
      <c r="F15022" s="549"/>
      <c r="G15022" s="549" t="s">
        <v>21</v>
      </c>
      <c r="H15022" s="549" t="s">
        <v>53</v>
      </c>
      <c r="I15022" s="558">
        <v>8.3000000000000007</v>
      </c>
      <c r="J15022" s="567">
        <v>9</v>
      </c>
      <c r="K15022" s="648">
        <v>21</v>
      </c>
      <c r="L15022" s="552">
        <f>(I15022*J15022*K15022/1000)</f>
        <v>1.5687</v>
      </c>
      <c r="M15022" s="549"/>
      <c r="N15022" s="549"/>
      <c r="O15022" s="549"/>
      <c r="P15022" s="549"/>
      <c r="Q15022" s="497">
        <v>6</v>
      </c>
      <c r="R15022" s="1737">
        <f t="shared" ref="R15022:R15024" si="3007">J15022*Q15022*I15022/1000</f>
        <v>0.44820000000000004</v>
      </c>
    </row>
    <row r="15023" spans="1:19" ht="17.399999999999999">
      <c r="A15023" s="549"/>
      <c r="B15023" s="549"/>
      <c r="C15023" s="549"/>
      <c r="D15023" s="549"/>
      <c r="E15023" s="549"/>
      <c r="F15023" s="549"/>
      <c r="G15023" s="549" t="s">
        <v>21</v>
      </c>
      <c r="H15023" s="549" t="s">
        <v>53</v>
      </c>
      <c r="I15023" s="558">
        <v>8.3000000000000007</v>
      </c>
      <c r="J15023" s="567">
        <v>11</v>
      </c>
      <c r="K15023" s="648">
        <v>15</v>
      </c>
      <c r="L15023" s="552">
        <f>(I15023*J15023*K15023/1000)</f>
        <v>1.3695000000000002</v>
      </c>
      <c r="M15023" s="549"/>
      <c r="N15023" s="549"/>
      <c r="O15023" s="549"/>
      <c r="P15023" s="549"/>
      <c r="Q15023" s="497">
        <v>2</v>
      </c>
      <c r="R15023" s="1737">
        <f t="shared" si="3007"/>
        <v>0.18260000000000001</v>
      </c>
    </row>
    <row r="15024" spans="1:19" ht="17.399999999999999">
      <c r="A15024" s="549"/>
      <c r="B15024" s="549"/>
      <c r="C15024" s="549"/>
      <c r="D15024" s="549"/>
      <c r="E15024" s="549"/>
      <c r="F15024" s="549"/>
      <c r="G15024" s="549" t="s">
        <v>21</v>
      </c>
      <c r="H15024" s="549" t="s">
        <v>53</v>
      </c>
      <c r="I15024" s="558">
        <v>8.3000000000000007</v>
      </c>
      <c r="J15024" s="567">
        <v>11.5</v>
      </c>
      <c r="K15024" s="648">
        <v>29</v>
      </c>
      <c r="L15024" s="552">
        <f>(I15024*J15024*K15024/1000)</f>
        <v>2.7680500000000001</v>
      </c>
      <c r="M15024" s="549"/>
      <c r="N15024" s="549"/>
      <c r="O15024" s="549"/>
      <c r="P15024" s="549"/>
      <c r="Q15024" s="497">
        <v>26</v>
      </c>
      <c r="R15024" s="1737">
        <f t="shared" si="3007"/>
        <v>2.4817000000000005</v>
      </c>
    </row>
    <row r="15025" spans="1:19" ht="17.399999999999999">
      <c r="A15025" s="549"/>
      <c r="B15025" s="549"/>
      <c r="C15025" s="549"/>
      <c r="D15025" s="549"/>
      <c r="E15025" s="549"/>
      <c r="F15025" s="549"/>
      <c r="G15025" s="549"/>
      <c r="H15025" s="549"/>
      <c r="I15025" s="558"/>
      <c r="J15025" s="567"/>
      <c r="K15025" s="648">
        <f t="shared" ref="K15025:L15025" si="3008">SUM(K15021:K15024)</f>
        <v>110</v>
      </c>
      <c r="L15025" s="567">
        <f t="shared" si="3008"/>
        <v>8.5075000000000003</v>
      </c>
      <c r="M15025" s="549"/>
      <c r="N15025" s="549"/>
      <c r="O15025" s="549"/>
      <c r="P15025" s="549" t="s">
        <v>1791</v>
      </c>
      <c r="Q15025" s="648">
        <f t="shared" ref="Q15025:R15025" si="3009">SUM(Q15021:Q15024)</f>
        <v>46</v>
      </c>
      <c r="R15025" s="567">
        <f t="shared" si="3009"/>
        <v>3.8595000000000006</v>
      </c>
    </row>
    <row r="15026" spans="1:19" s="1737" customFormat="1" ht="17.399999999999999">
      <c r="A15026" s="549"/>
      <c r="B15026" s="549"/>
      <c r="C15026" s="549"/>
      <c r="D15026" s="549"/>
      <c r="E15026" s="549"/>
      <c r="F15026" s="549"/>
      <c r="G15026" s="549"/>
      <c r="H15026" s="549"/>
      <c r="I15026" s="558"/>
      <c r="J15026" s="567"/>
      <c r="K15026" s="648"/>
      <c r="L15026" s="567"/>
      <c r="M15026" s="549"/>
      <c r="N15026" s="549"/>
      <c r="O15026" s="549"/>
      <c r="P15026" s="549"/>
    </row>
    <row r="15027" spans="1:19" ht="17.399999999999999">
      <c r="A15027" s="547" t="s">
        <v>395</v>
      </c>
      <c r="B15027" s="547" t="s">
        <v>1778</v>
      </c>
      <c r="C15027" s="547" t="s">
        <v>19</v>
      </c>
      <c r="D15027" s="813" t="s">
        <v>854</v>
      </c>
      <c r="E15027" s="547" t="s">
        <v>359</v>
      </c>
      <c r="F15027" s="550">
        <v>11</v>
      </c>
      <c r="G15027" s="549" t="s">
        <v>21</v>
      </c>
      <c r="H15027" s="599" t="s">
        <v>53</v>
      </c>
      <c r="I15027" s="558">
        <v>8.32</v>
      </c>
      <c r="J15027" s="567">
        <v>6</v>
      </c>
      <c r="K15027" s="648">
        <v>1</v>
      </c>
      <c r="L15027" s="552">
        <f>(I15027*J15027*K15027/1000)</f>
        <v>4.9919999999999999E-2</v>
      </c>
      <c r="M15027" s="549"/>
      <c r="N15027" s="549"/>
      <c r="O15027" s="549"/>
      <c r="P15027" s="549"/>
      <c r="Q15027" s="1737" t="s">
        <v>1812</v>
      </c>
    </row>
    <row r="15028" spans="1:19" ht="17.399999999999999">
      <c r="A15028" s="549"/>
      <c r="B15028" s="549" t="s">
        <v>1711</v>
      </c>
      <c r="C15028" s="549"/>
      <c r="D15028" s="549"/>
      <c r="E15028" s="549"/>
      <c r="F15028" s="549"/>
      <c r="G15028" s="549"/>
      <c r="H15028" s="549"/>
      <c r="I15028" s="558"/>
      <c r="J15028" s="567"/>
      <c r="K15028" s="648">
        <f t="shared" ref="K15028:L15028" si="3010">SUM(K15027)</f>
        <v>1</v>
      </c>
      <c r="L15028" s="567">
        <f t="shared" si="3010"/>
        <v>4.9919999999999999E-2</v>
      </c>
      <c r="M15028" s="549"/>
      <c r="N15028" s="549"/>
      <c r="O15028" s="549"/>
      <c r="P15028" s="549" t="s">
        <v>1801</v>
      </c>
    </row>
    <row r="15029" spans="1:19" s="1737" customFormat="1" ht="17.399999999999999">
      <c r="A15029" s="549"/>
      <c r="B15029" s="549"/>
      <c r="C15029" s="549"/>
      <c r="D15029" s="549"/>
      <c r="E15029" s="549"/>
      <c r="F15029" s="549"/>
      <c r="G15029" s="549"/>
      <c r="H15029" s="549"/>
      <c r="I15029" s="558"/>
      <c r="J15029" s="567"/>
      <c r="K15029" s="648"/>
      <c r="L15029" s="567"/>
      <c r="M15029" s="549"/>
      <c r="N15029" s="549"/>
      <c r="O15029" s="549"/>
      <c r="P15029" s="549"/>
    </row>
    <row r="15030" spans="1:19" ht="17.399999999999999">
      <c r="A15030" s="547" t="s">
        <v>395</v>
      </c>
      <c r="B15030" s="547" t="s">
        <v>1725</v>
      </c>
      <c r="C15030" s="547" t="s">
        <v>19</v>
      </c>
      <c r="D15030" s="813" t="s">
        <v>854</v>
      </c>
      <c r="E15030" s="547" t="s">
        <v>359</v>
      </c>
      <c r="F15030" s="550">
        <v>11</v>
      </c>
      <c r="G15030" s="549" t="s">
        <v>21</v>
      </c>
      <c r="H15030" s="599" t="s">
        <v>53</v>
      </c>
      <c r="I15030" s="558">
        <v>8.32</v>
      </c>
      <c r="J15030" s="567">
        <v>10</v>
      </c>
      <c r="K15030" s="648">
        <v>11</v>
      </c>
      <c r="L15030" s="552">
        <f>(I15030*J15030*K15030/1000)</f>
        <v>0.91520000000000001</v>
      </c>
      <c r="M15030" s="549"/>
      <c r="N15030" s="549"/>
      <c r="O15030" s="549"/>
      <c r="P15030" s="549"/>
      <c r="Q15030" s="497">
        <v>6</v>
      </c>
      <c r="R15030" s="1737">
        <f t="shared" ref="R15030:R15031" si="3011">J15030*Q15030*I15030/1000</f>
        <v>0.49920000000000003</v>
      </c>
      <c r="S15030" s="1737" t="s">
        <v>1812</v>
      </c>
    </row>
    <row r="15031" spans="1:19" ht="17.399999999999999">
      <c r="A15031" s="549"/>
      <c r="B15031" s="549" t="s">
        <v>1780</v>
      </c>
      <c r="C15031" s="549"/>
      <c r="D15031" s="549"/>
      <c r="E15031" s="549"/>
      <c r="F15031" s="549"/>
      <c r="G15031" s="549" t="s">
        <v>21</v>
      </c>
      <c r="H15031" s="549" t="s">
        <v>53</v>
      </c>
      <c r="I15031" s="558">
        <v>8.32</v>
      </c>
      <c r="J15031" s="567">
        <v>12</v>
      </c>
      <c r="K15031" s="648">
        <v>6</v>
      </c>
      <c r="L15031" s="552">
        <f>(I15031*J15031*K15031/1000)</f>
        <v>0.59904000000000002</v>
      </c>
      <c r="M15031" s="549"/>
      <c r="N15031" s="549"/>
      <c r="O15031" s="549"/>
      <c r="P15031" s="549"/>
      <c r="Q15031" s="497">
        <v>6</v>
      </c>
      <c r="R15031" s="1737">
        <f t="shared" si="3011"/>
        <v>0.59904000000000002</v>
      </c>
    </row>
    <row r="15032" spans="1:19" ht="17.399999999999999">
      <c r="A15032" s="549"/>
      <c r="B15032" s="549"/>
      <c r="C15032" s="549"/>
      <c r="D15032" s="549"/>
      <c r="E15032" s="549"/>
      <c r="F15032" s="549"/>
      <c r="G15032" s="549"/>
      <c r="H15032" s="549"/>
      <c r="I15032" s="558"/>
      <c r="J15032" s="567"/>
      <c r="K15032" s="648">
        <f t="shared" ref="K15032" si="3012">SUM(K15030:K15031)</f>
        <v>17</v>
      </c>
      <c r="L15032" s="567">
        <f>SUM(L15030:L15031)</f>
        <v>1.51424</v>
      </c>
      <c r="M15032" s="549"/>
      <c r="N15032" s="549"/>
      <c r="O15032" s="549"/>
      <c r="P15032" s="549" t="s">
        <v>1801</v>
      </c>
      <c r="Q15032" s="648">
        <f t="shared" ref="Q15032" si="3013">SUM(Q15030:Q15031)</f>
        <v>12</v>
      </c>
      <c r="R15032" s="567">
        <f>SUM(R15030:R15031)</f>
        <v>1.0982400000000001</v>
      </c>
    </row>
    <row r="15033" spans="1:19" s="1737" customFormat="1" ht="17.399999999999999">
      <c r="A15033" s="549"/>
      <c r="B15033" s="549"/>
      <c r="C15033" s="549"/>
      <c r="D15033" s="549"/>
      <c r="E15033" s="549"/>
      <c r="F15033" s="549"/>
      <c r="G15033" s="549"/>
      <c r="H15033" s="549"/>
      <c r="I15033" s="558"/>
      <c r="J15033" s="567"/>
      <c r="K15033" s="648"/>
      <c r="L15033" s="567"/>
      <c r="M15033" s="549"/>
      <c r="N15033" s="549"/>
      <c r="O15033" s="549"/>
      <c r="P15033" s="549"/>
    </row>
    <row r="15034" spans="1:19" ht="17.399999999999999">
      <c r="A15034" s="547" t="s">
        <v>395</v>
      </c>
      <c r="B15034" s="547" t="s">
        <v>1710</v>
      </c>
      <c r="C15034" s="547" t="s">
        <v>19</v>
      </c>
      <c r="D15034" s="813" t="s">
        <v>854</v>
      </c>
      <c r="E15034" s="547" t="s">
        <v>359</v>
      </c>
      <c r="F15034" s="550">
        <v>11</v>
      </c>
      <c r="G15034" s="549" t="s">
        <v>21</v>
      </c>
      <c r="H15034" s="599" t="s">
        <v>53</v>
      </c>
      <c r="I15034" s="558">
        <v>8.32</v>
      </c>
      <c r="J15034" s="567">
        <v>12</v>
      </c>
      <c r="K15034" s="648">
        <v>2</v>
      </c>
      <c r="L15034" s="552">
        <f>(I15034*J15034*K15034/1000)</f>
        <v>0.19968</v>
      </c>
      <c r="M15034" s="549"/>
      <c r="N15034" s="549"/>
      <c r="O15034" s="549"/>
      <c r="P15034" s="549"/>
      <c r="Q15034" s="497">
        <v>2</v>
      </c>
      <c r="R15034" s="1737">
        <f>J15034*Q15034*I15034/1000</f>
        <v>0.19968</v>
      </c>
      <c r="S15034" s="1737" t="s">
        <v>1812</v>
      </c>
    </row>
    <row r="15035" spans="1:19" ht="17.399999999999999">
      <c r="A15035" s="549"/>
      <c r="B15035" s="549" t="s">
        <v>1027</v>
      </c>
      <c r="C15035" s="549"/>
      <c r="D15035" s="549"/>
      <c r="E15035" s="549"/>
      <c r="F15035" s="549"/>
      <c r="G15035" s="549"/>
      <c r="H15035" s="549"/>
      <c r="I15035" s="558"/>
      <c r="J15035" s="567"/>
      <c r="K15035" s="648">
        <f t="shared" ref="K15035:L15035" si="3014">SUM(K15034)</f>
        <v>2</v>
      </c>
      <c r="L15035" s="567">
        <f t="shared" si="3014"/>
        <v>0.19968</v>
      </c>
      <c r="M15035" s="549"/>
      <c r="N15035" s="549"/>
      <c r="O15035" s="549"/>
      <c r="P15035" s="549" t="s">
        <v>1801</v>
      </c>
      <c r="Q15035" s="648">
        <f t="shared" ref="Q15035:R15035" si="3015">SUM(Q15034)</f>
        <v>2</v>
      </c>
      <c r="R15035" s="567">
        <f t="shared" si="3015"/>
        <v>0.19968</v>
      </c>
    </row>
    <row r="15036" spans="1:19" s="1737" customFormat="1" ht="17.399999999999999">
      <c r="A15036" s="549"/>
      <c r="B15036" s="549"/>
      <c r="C15036" s="549"/>
      <c r="D15036" s="549"/>
      <c r="E15036" s="549"/>
      <c r="F15036" s="549"/>
      <c r="G15036" s="549"/>
      <c r="H15036" s="549"/>
      <c r="I15036" s="558"/>
      <c r="J15036" s="567"/>
      <c r="K15036" s="648">
        <f>SUM(K15010:K15035)/2</f>
        <v>160</v>
      </c>
      <c r="L15036" s="567">
        <f>SUM(L15010:L15035)/2</f>
        <v>13.007190000000001</v>
      </c>
      <c r="M15036" s="549"/>
      <c r="N15036" s="549"/>
      <c r="O15036" s="549"/>
      <c r="P15036" s="549"/>
      <c r="Q15036" s="648">
        <f>SUM(Q15010:Q15035)/2</f>
        <v>60</v>
      </c>
      <c r="R15036" s="567">
        <f>SUM(R15010:R15035)/2</f>
        <v>5.1574200000000019</v>
      </c>
    </row>
    <row r="15037" spans="1:19" s="1737" customFormat="1" ht="17.399999999999999">
      <c r="A15037" s="549"/>
      <c r="B15037" s="549"/>
      <c r="C15037" s="549"/>
      <c r="D15037" s="549"/>
      <c r="E15037" s="549"/>
      <c r="F15037" s="549"/>
      <c r="G15037" s="549"/>
      <c r="H15037" s="549"/>
      <c r="I15037" s="558"/>
      <c r="J15037" s="567"/>
      <c r="K15037" s="648"/>
      <c r="L15037" s="567"/>
      <c r="M15037" s="549"/>
      <c r="N15037" s="549"/>
      <c r="O15037" s="549"/>
      <c r="P15037" s="549"/>
    </row>
    <row r="15038" spans="1:19" s="1737" customFormat="1" ht="17.399999999999999">
      <c r="A15038" s="549"/>
      <c r="B15038" s="549"/>
      <c r="C15038" s="549"/>
      <c r="D15038" s="549"/>
      <c r="E15038" s="549"/>
      <c r="F15038" s="549"/>
      <c r="G15038" s="549"/>
      <c r="H15038" s="549"/>
      <c r="I15038" s="558"/>
      <c r="J15038" s="567"/>
      <c r="K15038" s="648"/>
      <c r="L15038" s="567"/>
      <c r="M15038" s="549"/>
      <c r="N15038" s="549"/>
      <c r="O15038" s="549"/>
      <c r="P15038" s="549"/>
    </row>
    <row r="15039" spans="1:19" ht="17.399999999999999">
      <c r="A15039" s="547" t="s">
        <v>83</v>
      </c>
      <c r="B15039" s="547" t="s">
        <v>1775</v>
      </c>
      <c r="C15039" s="547" t="s">
        <v>19</v>
      </c>
      <c r="D15039" s="813" t="s">
        <v>854</v>
      </c>
      <c r="E15039" s="547" t="s">
        <v>47</v>
      </c>
      <c r="F15039" s="550">
        <v>11</v>
      </c>
      <c r="G15039" s="549" t="s">
        <v>21</v>
      </c>
      <c r="H15039" s="599" t="s">
        <v>54</v>
      </c>
      <c r="I15039" s="558">
        <v>9.61</v>
      </c>
      <c r="J15039" s="567">
        <v>7.6</v>
      </c>
      <c r="K15039" s="648">
        <v>171</v>
      </c>
      <c r="L15039" s="552">
        <f t="shared" ref="L15039:L15042" si="3016">(I15039*J15039*K15039/1000)</f>
        <v>12.489155999999998</v>
      </c>
      <c r="M15039" s="549"/>
      <c r="N15039" s="549"/>
      <c r="O15039" s="549"/>
      <c r="P15039" s="549"/>
      <c r="Q15039" s="497">
        <f>5+35+33</f>
        <v>73</v>
      </c>
      <c r="R15039" s="126">
        <f t="shared" ref="R15039:R15042" si="3017">J15039*Q15039*I15039/1000</f>
        <v>5.3316279999999994</v>
      </c>
      <c r="S15039" s="1737" t="s">
        <v>1812</v>
      </c>
    </row>
    <row r="15040" spans="1:19" ht="17.399999999999999">
      <c r="A15040" s="549"/>
      <c r="B15040" s="549" t="s">
        <v>439</v>
      </c>
      <c r="C15040" s="549"/>
      <c r="D15040" s="549"/>
      <c r="E15040" s="549"/>
      <c r="F15040" s="549"/>
      <c r="G15040" s="549" t="s">
        <v>21</v>
      </c>
      <c r="H15040" s="549" t="s">
        <v>54</v>
      </c>
      <c r="I15040" s="558">
        <v>9.61</v>
      </c>
      <c r="J15040" s="567">
        <v>10</v>
      </c>
      <c r="K15040" s="648">
        <v>1</v>
      </c>
      <c r="L15040" s="552">
        <f t="shared" si="3016"/>
        <v>9.6099999999999991E-2</v>
      </c>
      <c r="M15040" s="549"/>
      <c r="N15040" s="549"/>
      <c r="O15040" s="549"/>
      <c r="P15040" s="549"/>
      <c r="R15040" s="126">
        <f t="shared" si="3017"/>
        <v>0</v>
      </c>
    </row>
    <row r="15041" spans="1:19" ht="17.399999999999999">
      <c r="A15041" s="549"/>
      <c r="B15041" s="549"/>
      <c r="C15041" s="549"/>
      <c r="D15041" s="549"/>
      <c r="E15041" s="549"/>
      <c r="F15041" s="549"/>
      <c r="G15041" s="549" t="s">
        <v>21</v>
      </c>
      <c r="H15041" s="549" t="s">
        <v>54</v>
      </c>
      <c r="I15041" s="558">
        <v>9.61</v>
      </c>
      <c r="J15041" s="567">
        <v>11</v>
      </c>
      <c r="K15041" s="648">
        <v>4</v>
      </c>
      <c r="L15041" s="552">
        <f t="shared" si="3016"/>
        <v>0.42283999999999999</v>
      </c>
      <c r="M15041" s="549"/>
      <c r="N15041" s="549"/>
      <c r="O15041" s="549"/>
      <c r="P15041" s="549"/>
      <c r="R15041" s="126">
        <f t="shared" si="3017"/>
        <v>0</v>
      </c>
    </row>
    <row r="15042" spans="1:19" ht="17.399999999999999">
      <c r="A15042" s="549"/>
      <c r="B15042" s="549"/>
      <c r="C15042" s="549"/>
      <c r="D15042" s="549"/>
      <c r="E15042" s="549"/>
      <c r="F15042" s="549"/>
      <c r="G15042" s="549" t="s">
        <v>21</v>
      </c>
      <c r="H15042" s="549" t="s">
        <v>54</v>
      </c>
      <c r="I15042" s="558">
        <v>9.61</v>
      </c>
      <c r="J15042" s="567">
        <v>12</v>
      </c>
      <c r="K15042" s="648">
        <v>3</v>
      </c>
      <c r="L15042" s="552">
        <f t="shared" si="3016"/>
        <v>0.34595999999999999</v>
      </c>
      <c r="M15042" s="549"/>
      <c r="N15042" s="549"/>
      <c r="O15042" s="549"/>
      <c r="P15042" s="549"/>
      <c r="Q15042" s="497">
        <v>2</v>
      </c>
      <c r="R15042" s="126">
        <f t="shared" si="3017"/>
        <v>0.23063999999999998</v>
      </c>
    </row>
    <row r="15043" spans="1:19" ht="17.399999999999999">
      <c r="A15043" s="549"/>
      <c r="B15043" s="549"/>
      <c r="C15043" s="549"/>
      <c r="D15043" s="549"/>
      <c r="E15043" s="549"/>
      <c r="F15043" s="549"/>
      <c r="G15043" s="549"/>
      <c r="H15043" s="549"/>
      <c r="I15043" s="558"/>
      <c r="J15043" s="567"/>
      <c r="K15043" s="648">
        <f t="shared" ref="K15043:L15043" si="3018">SUM(K15039:K15042)</f>
        <v>179</v>
      </c>
      <c r="L15043" s="567">
        <f t="shared" si="3018"/>
        <v>13.354055999999998</v>
      </c>
      <c r="M15043" s="549"/>
      <c r="N15043" s="549"/>
      <c r="O15043" s="549"/>
      <c r="P15043" s="549" t="s">
        <v>1792</v>
      </c>
      <c r="Q15043" s="648">
        <f t="shared" ref="Q15043:R15043" si="3019">SUM(Q15039:Q15042)</f>
        <v>75</v>
      </c>
      <c r="R15043" s="567">
        <f t="shared" si="3019"/>
        <v>5.5622679999999995</v>
      </c>
    </row>
    <row r="15044" spans="1:19" ht="17.399999999999999">
      <c r="A15044" s="549"/>
      <c r="B15044" s="549"/>
      <c r="C15044" s="549"/>
      <c r="D15044" s="549"/>
      <c r="E15044" s="549"/>
      <c r="F15044" s="549"/>
      <c r="G15044" s="549"/>
      <c r="H15044" s="549"/>
      <c r="I15044" s="558"/>
      <c r="J15044" s="549"/>
      <c r="K15044" s="561"/>
      <c r="L15044" s="560"/>
      <c r="M15044" s="549"/>
      <c r="N15044" s="549"/>
      <c r="O15044" s="549"/>
      <c r="P15044" s="549"/>
    </row>
    <row r="15045" spans="1:19" ht="17.399999999999999">
      <c r="A15045" s="547" t="s">
        <v>1400</v>
      </c>
      <c r="B15045" s="547" t="s">
        <v>1777</v>
      </c>
      <c r="C15045" s="547" t="s">
        <v>19</v>
      </c>
      <c r="D15045" s="813" t="s">
        <v>854</v>
      </c>
      <c r="E15045" s="547" t="s">
        <v>47</v>
      </c>
      <c r="F15045" s="550">
        <v>11</v>
      </c>
      <c r="G15045" s="549" t="s">
        <v>21</v>
      </c>
      <c r="H15045" s="599" t="s">
        <v>54</v>
      </c>
      <c r="I15045" s="558">
        <v>9.61</v>
      </c>
      <c r="J15045" s="567">
        <v>6</v>
      </c>
      <c r="K15045" s="648">
        <v>2</v>
      </c>
      <c r="L15045" s="552">
        <f>(I15045*J15045*K15045/1000)</f>
        <v>0.11531999999999999</v>
      </c>
      <c r="M15045" s="549"/>
      <c r="N15045" s="549"/>
      <c r="O15045" s="549"/>
      <c r="P15045" s="549"/>
      <c r="Q15045" s="497">
        <v>1</v>
      </c>
      <c r="R15045" s="126">
        <f t="shared" ref="R15045:R15052" si="3020">J15045*Q15045*I15045/1000</f>
        <v>5.7659999999999996E-2</v>
      </c>
      <c r="S15045" s="1737" t="s">
        <v>1812</v>
      </c>
    </row>
    <row r="15046" spans="1:19" ht="17.399999999999999">
      <c r="A15046" s="549"/>
      <c r="B15046" s="549" t="s">
        <v>439</v>
      </c>
      <c r="C15046" s="549"/>
      <c r="D15046" s="549"/>
      <c r="E15046" s="549"/>
      <c r="F15046" s="549"/>
      <c r="G15046" s="549" t="s">
        <v>21</v>
      </c>
      <c r="H15046" s="549" t="s">
        <v>54</v>
      </c>
      <c r="I15046" s="558">
        <v>9.61</v>
      </c>
      <c r="J15046" s="567">
        <v>7</v>
      </c>
      <c r="K15046" s="648">
        <v>4</v>
      </c>
      <c r="L15046" s="552">
        <f>(I15046*J15046*K15046/1000)</f>
        <v>0.26907999999999999</v>
      </c>
      <c r="M15046" s="549"/>
      <c r="N15046" s="549"/>
      <c r="O15046" s="549"/>
      <c r="P15046" s="549"/>
      <c r="Q15046" s="497">
        <f>1+3</f>
        <v>4</v>
      </c>
      <c r="R15046" s="126">
        <f t="shared" si="3020"/>
        <v>0.26907999999999999</v>
      </c>
    </row>
    <row r="15047" spans="1:19" ht="17.399999999999999">
      <c r="A15047" s="549"/>
      <c r="B15047" s="549"/>
      <c r="C15047" s="549"/>
      <c r="D15047" s="549"/>
      <c r="E15047" s="549"/>
      <c r="F15047" s="549"/>
      <c r="G15047" s="549" t="s">
        <v>21</v>
      </c>
      <c r="H15047" s="549" t="s">
        <v>54</v>
      </c>
      <c r="I15047" s="558">
        <v>9.61</v>
      </c>
      <c r="J15047" s="567">
        <v>8.5</v>
      </c>
      <c r="K15047" s="648">
        <v>1</v>
      </c>
      <c r="L15047" s="552">
        <f t="shared" ref="L15047:L15052" si="3021">(I15047*J15047*K15047/1000)</f>
        <v>8.1685000000000008E-2</v>
      </c>
      <c r="M15047" s="549"/>
      <c r="N15047" s="549"/>
      <c r="O15047" s="549"/>
      <c r="P15047" s="549"/>
      <c r="Q15047" s="497">
        <v>1</v>
      </c>
      <c r="R15047" s="126">
        <f t="shared" si="3020"/>
        <v>8.1685000000000008E-2</v>
      </c>
    </row>
    <row r="15048" spans="1:19" ht="17.399999999999999">
      <c r="A15048" s="549"/>
      <c r="B15048" s="549"/>
      <c r="C15048" s="549"/>
      <c r="D15048" s="549"/>
      <c r="E15048" s="549"/>
      <c r="F15048" s="549"/>
      <c r="G15048" s="549" t="s">
        <v>21</v>
      </c>
      <c r="H15048" s="549" t="s">
        <v>54</v>
      </c>
      <c r="I15048" s="558">
        <v>9.61</v>
      </c>
      <c r="J15048" s="567">
        <v>9</v>
      </c>
      <c r="K15048" s="648">
        <v>4</v>
      </c>
      <c r="L15048" s="552">
        <f t="shared" si="3021"/>
        <v>0.34595999999999999</v>
      </c>
      <c r="M15048" s="549"/>
      <c r="N15048" s="549"/>
      <c r="O15048" s="549"/>
      <c r="P15048" s="549"/>
      <c r="Q15048" s="497">
        <v>2</v>
      </c>
      <c r="R15048" s="126">
        <f t="shared" si="3020"/>
        <v>0.17297999999999999</v>
      </c>
    </row>
    <row r="15049" spans="1:19" ht="17.399999999999999">
      <c r="A15049" s="549"/>
      <c r="B15049" s="549"/>
      <c r="C15049" s="549"/>
      <c r="D15049" s="549"/>
      <c r="E15049" s="549"/>
      <c r="F15049" s="549"/>
      <c r="G15049" s="549" t="s">
        <v>21</v>
      </c>
      <c r="H15049" s="549" t="s">
        <v>54</v>
      </c>
      <c r="I15049" s="558">
        <v>9.61</v>
      </c>
      <c r="J15049" s="567">
        <v>9.5</v>
      </c>
      <c r="K15049" s="648">
        <v>4</v>
      </c>
      <c r="L15049" s="552">
        <f t="shared" si="3021"/>
        <v>0.36517999999999995</v>
      </c>
      <c r="M15049" s="549"/>
      <c r="N15049" s="549"/>
      <c r="O15049" s="549"/>
      <c r="P15049" s="549"/>
      <c r="Q15049" s="497">
        <v>3</v>
      </c>
      <c r="R15049" s="126">
        <f t="shared" si="3020"/>
        <v>0.27388499999999999</v>
      </c>
    </row>
    <row r="15050" spans="1:19" ht="17.399999999999999">
      <c r="A15050" s="549"/>
      <c r="B15050" s="549"/>
      <c r="C15050" s="549"/>
      <c r="D15050" s="549"/>
      <c r="E15050" s="549"/>
      <c r="F15050" s="549"/>
      <c r="G15050" s="549" t="s">
        <v>21</v>
      </c>
      <c r="H15050" s="549" t="s">
        <v>54</v>
      </c>
      <c r="I15050" s="558">
        <v>9.61</v>
      </c>
      <c r="J15050" s="567">
        <v>10</v>
      </c>
      <c r="K15050" s="648">
        <v>4</v>
      </c>
      <c r="L15050" s="552">
        <f t="shared" si="3021"/>
        <v>0.38439999999999996</v>
      </c>
      <c r="M15050" s="549"/>
      <c r="N15050" s="549"/>
      <c r="O15050" s="549"/>
      <c r="P15050" s="549"/>
      <c r="Q15050" s="497">
        <v>4</v>
      </c>
      <c r="R15050" s="126">
        <f t="shared" si="3020"/>
        <v>0.38439999999999996</v>
      </c>
    </row>
    <row r="15051" spans="1:19" ht="17.399999999999999">
      <c r="A15051" s="549"/>
      <c r="B15051" s="549"/>
      <c r="C15051" s="549"/>
      <c r="D15051" s="549"/>
      <c r="E15051" s="549"/>
      <c r="F15051" s="549"/>
      <c r="G15051" s="549" t="s">
        <v>21</v>
      </c>
      <c r="H15051" s="549" t="s">
        <v>54</v>
      </c>
      <c r="I15051" s="558">
        <v>9.61</v>
      </c>
      <c r="J15051" s="567">
        <v>11</v>
      </c>
      <c r="K15051" s="648">
        <v>2</v>
      </c>
      <c r="L15051" s="552">
        <f t="shared" si="3021"/>
        <v>0.21142</v>
      </c>
      <c r="M15051" s="549"/>
      <c r="N15051" s="549"/>
      <c r="O15051" s="549"/>
      <c r="P15051" s="549"/>
      <c r="R15051" s="126">
        <f t="shared" si="3020"/>
        <v>0</v>
      </c>
    </row>
    <row r="15052" spans="1:19" ht="17.399999999999999">
      <c r="A15052" s="549"/>
      <c r="B15052" s="549"/>
      <c r="C15052" s="549"/>
      <c r="D15052" s="549"/>
      <c r="E15052" s="549"/>
      <c r="F15052" s="549"/>
      <c r="G15052" s="549" t="s">
        <v>21</v>
      </c>
      <c r="H15052" s="549" t="s">
        <v>54</v>
      </c>
      <c r="I15052" s="558">
        <v>9.61</v>
      </c>
      <c r="J15052" s="567">
        <v>11.25</v>
      </c>
      <c r="K15052" s="648">
        <v>2</v>
      </c>
      <c r="L15052" s="552">
        <f t="shared" si="3021"/>
        <v>0.216225</v>
      </c>
      <c r="M15052" s="549"/>
      <c r="N15052" s="549"/>
      <c r="O15052" s="549"/>
      <c r="P15052" s="549"/>
      <c r="Q15052" s="497">
        <v>1</v>
      </c>
      <c r="R15052" s="126">
        <f t="shared" si="3020"/>
        <v>0.1081125</v>
      </c>
    </row>
    <row r="15053" spans="1:19" ht="17.399999999999999">
      <c r="A15053" s="549"/>
      <c r="B15053" s="549"/>
      <c r="C15053" s="549"/>
      <c r="D15053" s="549"/>
      <c r="E15053" s="549"/>
      <c r="F15053" s="549"/>
      <c r="G15053" s="549"/>
      <c r="H15053" s="549"/>
      <c r="I15053" s="558"/>
      <c r="J15053" s="567"/>
      <c r="K15053" s="648">
        <f t="shared" ref="K15053:L15053" si="3022">SUM(K15045:K15052)</f>
        <v>23</v>
      </c>
      <c r="L15053" s="567">
        <f t="shared" si="3022"/>
        <v>1.9892699999999999</v>
      </c>
      <c r="M15053" s="549"/>
      <c r="N15053" s="549"/>
      <c r="O15053" s="549"/>
      <c r="P15053" s="549" t="s">
        <v>1792</v>
      </c>
      <c r="Q15053" s="648">
        <f t="shared" ref="Q15053:R15053" si="3023">SUM(Q15045:Q15052)</f>
        <v>16</v>
      </c>
      <c r="R15053" s="567">
        <f t="shared" si="3023"/>
        <v>1.3478025</v>
      </c>
    </row>
    <row r="15054" spans="1:19" ht="17.399999999999999">
      <c r="A15054" s="549"/>
      <c r="B15054" s="549"/>
      <c r="C15054" s="549"/>
      <c r="D15054" s="549"/>
      <c r="E15054" s="549"/>
      <c r="F15054" s="549"/>
      <c r="G15054" s="549"/>
      <c r="H15054" s="549"/>
      <c r="I15054" s="558"/>
      <c r="J15054" s="549"/>
      <c r="K15054" s="561"/>
      <c r="L15054" s="560"/>
      <c r="M15054" s="549"/>
      <c r="N15054" s="549"/>
      <c r="O15054" s="549"/>
      <c r="P15054" s="549"/>
    </row>
    <row r="15055" spans="1:19" ht="17.399999999999999">
      <c r="A15055" s="547" t="s">
        <v>83</v>
      </c>
      <c r="B15055" s="547" t="s">
        <v>1732</v>
      </c>
      <c r="C15055" s="547" t="s">
        <v>19</v>
      </c>
      <c r="D15055" s="813" t="s">
        <v>854</v>
      </c>
      <c r="E15055" s="547" t="s">
        <v>47</v>
      </c>
      <c r="F15055" s="550">
        <v>11</v>
      </c>
      <c r="G15055" s="549" t="s">
        <v>21</v>
      </c>
      <c r="H15055" s="599" t="s">
        <v>54</v>
      </c>
      <c r="I15055" s="558">
        <v>9.61</v>
      </c>
      <c r="J15055" s="567">
        <v>12</v>
      </c>
      <c r="K15055" s="648">
        <v>7</v>
      </c>
      <c r="L15055" s="552">
        <f t="shared" ref="L15055" si="3024">(I15055*J15055*K15055/1000)</f>
        <v>0.80723999999999996</v>
      </c>
      <c r="M15055" s="549"/>
      <c r="N15055" s="549"/>
      <c r="O15055" s="549"/>
      <c r="P15055" s="549"/>
      <c r="Q15055" s="1737" t="s">
        <v>1812</v>
      </c>
    </row>
    <row r="15056" spans="1:19" ht="17.399999999999999">
      <c r="A15056" s="549"/>
      <c r="B15056" s="549" t="s">
        <v>1407</v>
      </c>
      <c r="C15056" s="549"/>
      <c r="D15056" s="549"/>
      <c r="E15056" s="549"/>
      <c r="F15056" s="549"/>
      <c r="G15056" s="549"/>
      <c r="H15056" s="549"/>
      <c r="I15056" s="558"/>
      <c r="J15056" s="567"/>
      <c r="K15056" s="648">
        <f>SUM(K15055:K15055)</f>
        <v>7</v>
      </c>
      <c r="L15056" s="567">
        <f>SUM(L15055:L15055)</f>
        <v>0.80723999999999996</v>
      </c>
      <c r="M15056" s="549"/>
      <c r="N15056" s="549"/>
      <c r="O15056" s="549"/>
      <c r="P15056" s="549" t="s">
        <v>1792</v>
      </c>
      <c r="Q15056" s="648">
        <f>SUM(Q15055:Q15055)</f>
        <v>0</v>
      </c>
      <c r="R15056" s="567">
        <f>SUM(R15055:R15055)</f>
        <v>0</v>
      </c>
    </row>
    <row r="15057" spans="1:19" ht="17.399999999999999">
      <c r="A15057" s="549"/>
      <c r="B15057" s="549"/>
      <c r="C15057" s="549"/>
      <c r="D15057" s="549"/>
      <c r="E15057" s="549"/>
      <c r="F15057" s="549"/>
      <c r="G15057" s="549"/>
      <c r="H15057" s="549"/>
      <c r="I15057" s="558"/>
      <c r="J15057" s="549"/>
      <c r="K15057" s="561"/>
      <c r="L15057" s="560"/>
      <c r="M15057" s="549"/>
      <c r="N15057" s="549"/>
      <c r="O15057" s="549"/>
      <c r="P15057" s="549"/>
    </row>
    <row r="15058" spans="1:19" ht="17.399999999999999">
      <c r="A15058" s="547" t="s">
        <v>395</v>
      </c>
      <c r="B15058" s="547" t="s">
        <v>1725</v>
      </c>
      <c r="C15058" s="547" t="s">
        <v>19</v>
      </c>
      <c r="D15058" s="813" t="s">
        <v>854</v>
      </c>
      <c r="E15058" s="547" t="s">
        <v>359</v>
      </c>
      <c r="F15058" s="550">
        <v>11</v>
      </c>
      <c r="G15058" s="549" t="s">
        <v>21</v>
      </c>
      <c r="H15058" s="599" t="s">
        <v>54</v>
      </c>
      <c r="I15058" s="558">
        <v>9.61</v>
      </c>
      <c r="J15058" s="567">
        <v>7.05</v>
      </c>
      <c r="K15058" s="648">
        <v>8</v>
      </c>
      <c r="L15058" s="552">
        <f t="shared" ref="L15058:L15060" si="3025">(I15058*J15058*K15058/1000)</f>
        <v>0.54200399999999993</v>
      </c>
      <c r="M15058" s="549"/>
      <c r="N15058" s="549"/>
      <c r="O15058" s="549"/>
      <c r="P15058" s="549"/>
      <c r="R15058" s="126">
        <f t="shared" ref="R15058:R15060" si="3026">J15058*Q15058*I15058/1000</f>
        <v>0</v>
      </c>
      <c r="S15058" s="1737" t="s">
        <v>1812</v>
      </c>
    </row>
    <row r="15059" spans="1:19" ht="17.399999999999999">
      <c r="A15059" s="549"/>
      <c r="B15059" s="549" t="s">
        <v>1780</v>
      </c>
      <c r="C15059" s="549"/>
      <c r="D15059" s="549"/>
      <c r="E15059" s="549"/>
      <c r="F15059" s="549"/>
      <c r="G15059" s="549" t="s">
        <v>21</v>
      </c>
      <c r="H15059" s="549" t="s">
        <v>54</v>
      </c>
      <c r="I15059" s="558">
        <v>9.61</v>
      </c>
      <c r="J15059" s="567">
        <v>10</v>
      </c>
      <c r="K15059" s="648">
        <v>9</v>
      </c>
      <c r="L15059" s="552">
        <f t="shared" si="3025"/>
        <v>0.8649</v>
      </c>
      <c r="M15059" s="549"/>
      <c r="N15059" s="549"/>
      <c r="O15059" s="549"/>
      <c r="P15059" s="549"/>
      <c r="R15059" s="126">
        <f t="shared" si="3026"/>
        <v>0</v>
      </c>
    </row>
    <row r="15060" spans="1:19" ht="17.399999999999999">
      <c r="A15060" s="549"/>
      <c r="B15060" s="549"/>
      <c r="C15060" s="549"/>
      <c r="D15060" s="549"/>
      <c r="E15060" s="549"/>
      <c r="F15060" s="549"/>
      <c r="G15060" s="549" t="s">
        <v>21</v>
      </c>
      <c r="H15060" s="549" t="s">
        <v>54</v>
      </c>
      <c r="I15060" s="558">
        <v>9.61</v>
      </c>
      <c r="J15060" s="567">
        <v>12</v>
      </c>
      <c r="K15060" s="648">
        <v>11</v>
      </c>
      <c r="L15060" s="552">
        <f t="shared" si="3025"/>
        <v>1.2685200000000001</v>
      </c>
      <c r="M15060" s="549"/>
      <c r="N15060" s="549"/>
      <c r="O15060" s="549"/>
      <c r="P15060" s="549"/>
      <c r="Q15060" s="497">
        <v>11</v>
      </c>
      <c r="R15060" s="126">
        <f t="shared" si="3026"/>
        <v>1.2685200000000001</v>
      </c>
    </row>
    <row r="15061" spans="1:19" ht="17.399999999999999">
      <c r="A15061" s="549"/>
      <c r="B15061" s="549"/>
      <c r="C15061" s="549"/>
      <c r="D15061" s="549"/>
      <c r="E15061" s="549"/>
      <c r="F15061" s="549"/>
      <c r="G15061" s="549"/>
      <c r="H15061" s="549"/>
      <c r="I15061" s="558"/>
      <c r="J15061" s="567"/>
      <c r="K15061" s="648">
        <f>SUM(K15058:K15060)</f>
        <v>28</v>
      </c>
      <c r="L15061" s="567">
        <f>SUM(L15058:L15060)</f>
        <v>2.675424</v>
      </c>
      <c r="M15061" s="549"/>
      <c r="N15061" s="549"/>
      <c r="O15061" s="549"/>
      <c r="P15061" s="549" t="s">
        <v>1802</v>
      </c>
      <c r="Q15061" s="648">
        <f>SUM(Q15058:Q15060)</f>
        <v>11</v>
      </c>
      <c r="R15061" s="567">
        <f>SUM(R15058:R15060)</f>
        <v>1.2685200000000001</v>
      </c>
    </row>
    <row r="15062" spans="1:19" ht="17.399999999999999">
      <c r="A15062" s="549"/>
      <c r="B15062" s="549"/>
      <c r="C15062" s="549"/>
      <c r="D15062" s="549"/>
      <c r="E15062" s="549"/>
      <c r="F15062" s="549"/>
      <c r="G15062" s="549"/>
      <c r="H15062" s="549"/>
      <c r="I15062" s="558"/>
      <c r="J15062" s="549"/>
      <c r="K15062" s="652">
        <f>SUM(K15039:K15061)/2</f>
        <v>237</v>
      </c>
      <c r="L15062" s="565">
        <f>SUM(L15039:L15061)/2</f>
        <v>18.825989999999997</v>
      </c>
      <c r="M15062" s="549"/>
      <c r="N15062" s="549"/>
      <c r="O15062" s="549"/>
      <c r="P15062" s="549"/>
      <c r="Q15062" s="652">
        <f>SUM(Q15039:Q15061)/2</f>
        <v>102</v>
      </c>
      <c r="R15062" s="565">
        <f>SUM(R15039:R15061)/2</f>
        <v>8.1785905000000003</v>
      </c>
    </row>
    <row r="15063" spans="1:19" s="1737" customFormat="1" ht="17.399999999999999">
      <c r="A15063" s="549"/>
      <c r="B15063" s="549"/>
      <c r="C15063" s="549"/>
      <c r="D15063" s="549"/>
      <c r="E15063" s="549"/>
      <c r="F15063" s="549"/>
      <c r="G15063" s="549"/>
      <c r="H15063" s="549"/>
      <c r="I15063" s="558"/>
      <c r="J15063" s="549"/>
      <c r="K15063" s="652"/>
      <c r="L15063" s="565"/>
      <c r="M15063" s="549"/>
      <c r="N15063" s="549"/>
      <c r="O15063" s="549"/>
      <c r="P15063" s="549"/>
    </row>
    <row r="15064" spans="1:19" ht="17.399999999999999">
      <c r="A15064" s="549"/>
      <c r="B15064" s="549"/>
      <c r="C15064" s="549"/>
      <c r="D15064" s="549"/>
      <c r="E15064" s="549"/>
      <c r="F15064" s="549"/>
      <c r="G15064" s="549"/>
      <c r="H15064" s="549"/>
      <c r="I15064" s="558"/>
      <c r="J15064" s="549"/>
      <c r="K15064" s="561"/>
      <c r="L15064" s="560"/>
      <c r="M15064" s="549"/>
      <c r="N15064" s="549"/>
      <c r="O15064" s="549"/>
      <c r="P15064" s="549"/>
    </row>
    <row r="15065" spans="1:19" ht="17.399999999999999">
      <c r="A15065" s="547" t="s">
        <v>272</v>
      </c>
      <c r="B15065" s="547" t="s">
        <v>1665</v>
      </c>
      <c r="C15065" s="547" t="s">
        <v>446</v>
      </c>
      <c r="D15065" s="813" t="s">
        <v>447</v>
      </c>
      <c r="E15065" s="547" t="s">
        <v>359</v>
      </c>
      <c r="F15065" s="550">
        <v>11</v>
      </c>
      <c r="G15065" s="549" t="s">
        <v>21</v>
      </c>
      <c r="H15065" s="599" t="s">
        <v>54</v>
      </c>
      <c r="I15065" s="558">
        <v>9.61</v>
      </c>
      <c r="J15065" s="567">
        <v>11.8</v>
      </c>
      <c r="K15065" s="648">
        <v>20</v>
      </c>
      <c r="L15065" s="552">
        <f>(I15065*J15065*K15065/1000)</f>
        <v>2.26796</v>
      </c>
      <c r="M15065" s="549"/>
      <c r="N15065" s="549"/>
      <c r="O15065" s="549"/>
      <c r="P15065" s="549"/>
      <c r="Q15065" s="497">
        <v>9</v>
      </c>
      <c r="R15065" s="126">
        <f>J15065*Q15065*I15065/1000</f>
        <v>1.0205820000000001</v>
      </c>
      <c r="S15065" s="1737" t="s">
        <v>1812</v>
      </c>
    </row>
    <row r="15066" spans="1:19" ht="17.399999999999999">
      <c r="A15066" s="549"/>
      <c r="B15066" s="549"/>
      <c r="C15066" s="549"/>
      <c r="D15066" s="549"/>
      <c r="E15066" s="549"/>
      <c r="F15066" s="549"/>
      <c r="G15066" s="549" t="s">
        <v>21</v>
      </c>
      <c r="H15066" s="549" t="s">
        <v>54</v>
      </c>
      <c r="I15066" s="558">
        <v>9.61</v>
      </c>
      <c r="J15066" s="567">
        <v>12</v>
      </c>
      <c r="K15066" s="648">
        <v>64</v>
      </c>
      <c r="L15066" s="552">
        <f>(I15066*J15066*K15066/1000)</f>
        <v>7.3804799999999995</v>
      </c>
      <c r="M15066" s="549"/>
      <c r="N15066" s="549"/>
      <c r="O15066" s="549"/>
      <c r="P15066" s="549"/>
      <c r="Q15066" s="497">
        <f>24+14</f>
        <v>38</v>
      </c>
      <c r="R15066" s="126">
        <f>J15066*Q15066*I15066/1000</f>
        <v>4.3821599999999998</v>
      </c>
    </row>
    <row r="15067" spans="1:19" ht="17.399999999999999">
      <c r="A15067" s="549"/>
      <c r="B15067" s="549"/>
      <c r="C15067" s="549"/>
      <c r="D15067" s="549"/>
      <c r="E15067" s="549"/>
      <c r="F15067" s="549"/>
      <c r="G15067" s="549"/>
      <c r="H15067" s="549"/>
      <c r="I15067" s="558"/>
      <c r="J15067" s="567"/>
      <c r="K15067" s="648">
        <f>SUM(K15065:K15066)</f>
        <v>84</v>
      </c>
      <c r="L15067" s="567">
        <f>SUM(L15065:L15066)</f>
        <v>9.648439999999999</v>
      </c>
      <c r="M15067" s="549"/>
      <c r="N15067" s="549"/>
      <c r="O15067" s="549"/>
      <c r="P15067" s="549" t="s">
        <v>1793</v>
      </c>
      <c r="Q15067" s="648">
        <f>SUM(Q15065:Q15066)</f>
        <v>47</v>
      </c>
      <c r="R15067" s="567">
        <f>SUM(R15065:R15066)</f>
        <v>5.4027419999999999</v>
      </c>
    </row>
    <row r="15068" spans="1:19" s="1737" customFormat="1" ht="17.399999999999999">
      <c r="A15068" s="549"/>
      <c r="B15068" s="549"/>
      <c r="C15068" s="549"/>
      <c r="D15068" s="549"/>
      <c r="E15068" s="549"/>
      <c r="F15068" s="549"/>
      <c r="G15068" s="549"/>
      <c r="H15068" s="549"/>
      <c r="I15068" s="558"/>
      <c r="J15068" s="567"/>
      <c r="K15068" s="648"/>
      <c r="L15068" s="567"/>
      <c r="M15068" s="549"/>
      <c r="N15068" s="549"/>
      <c r="O15068" s="549"/>
      <c r="P15068" s="549"/>
    </row>
    <row r="15069" spans="1:19" s="1737" customFormat="1" ht="17.399999999999999">
      <c r="A15069" s="549"/>
      <c r="B15069" s="549"/>
      <c r="C15069" s="549"/>
      <c r="D15069" s="549"/>
      <c r="E15069" s="549"/>
      <c r="F15069" s="549"/>
      <c r="G15069" s="549"/>
      <c r="H15069" s="549"/>
      <c r="I15069" s="558"/>
      <c r="J15069" s="567"/>
      <c r="K15069" s="648"/>
      <c r="L15069" s="567"/>
      <c r="M15069" s="549"/>
      <c r="N15069" s="549"/>
      <c r="O15069" s="549"/>
      <c r="P15069" s="549"/>
    </row>
    <row r="15070" spans="1:19" s="1737" customFormat="1" ht="17.399999999999999">
      <c r="A15070" s="549"/>
      <c r="B15070" s="549"/>
      <c r="C15070" s="549"/>
      <c r="D15070" s="549"/>
      <c r="E15070" s="549"/>
      <c r="F15070" s="549"/>
      <c r="G15070" s="549"/>
      <c r="H15070" s="549"/>
      <c r="I15070" s="558"/>
      <c r="J15070" s="567"/>
      <c r="K15070" s="648"/>
      <c r="L15070" s="567"/>
      <c r="M15070" s="549"/>
      <c r="N15070" s="549"/>
      <c r="O15070" s="549"/>
      <c r="P15070" s="549"/>
    </row>
    <row r="15071" spans="1:19" ht="17.399999999999999">
      <c r="A15071" s="547" t="s">
        <v>272</v>
      </c>
      <c r="B15071" s="547" t="s">
        <v>1664</v>
      </c>
      <c r="C15071" s="547" t="s">
        <v>446</v>
      </c>
      <c r="D15071" s="813" t="s">
        <v>447</v>
      </c>
      <c r="E15071" s="547" t="s">
        <v>359</v>
      </c>
      <c r="F15071" s="550">
        <v>11</v>
      </c>
      <c r="G15071" s="549" t="s">
        <v>21</v>
      </c>
      <c r="H15071" s="1203" t="s">
        <v>53</v>
      </c>
      <c r="I15071" s="558">
        <v>8.32</v>
      </c>
      <c r="J15071" s="567">
        <v>8.1999999999999993</v>
      </c>
      <c r="K15071" s="648">
        <v>206</v>
      </c>
      <c r="L15071" s="552">
        <f t="shared" ref="L15071:L15074" si="3027">(I15071*J15071*K15071/1000)</f>
        <v>14.054143999999999</v>
      </c>
      <c r="M15071" s="549"/>
      <c r="N15071" s="549"/>
      <c r="O15071" s="549"/>
      <c r="P15071" s="549"/>
      <c r="Q15071" s="497">
        <f>136+35+4</f>
        <v>175</v>
      </c>
      <c r="R15071" s="126">
        <f>J15071*Q15071*I15071/1000</f>
        <v>11.9392</v>
      </c>
      <c r="S15071" s="1737" t="s">
        <v>1813</v>
      </c>
    </row>
    <row r="15072" spans="1:19" ht="17.399999999999999">
      <c r="A15072" s="549"/>
      <c r="B15072" s="549"/>
      <c r="C15072" s="549"/>
      <c r="D15072" s="549"/>
      <c r="E15072" s="549"/>
      <c r="F15072" s="549"/>
      <c r="G15072" s="549" t="s">
        <v>21</v>
      </c>
      <c r="H15072" s="549" t="s">
        <v>53</v>
      </c>
      <c r="I15072" s="558">
        <v>8.32</v>
      </c>
      <c r="J15072" s="567">
        <v>10.5</v>
      </c>
      <c r="K15072" s="648">
        <v>26</v>
      </c>
      <c r="L15072" s="552">
        <f t="shared" si="3027"/>
        <v>2.27136</v>
      </c>
      <c r="M15072" s="549"/>
      <c r="N15072" s="549"/>
      <c r="O15072" s="549"/>
      <c r="P15072" s="549"/>
      <c r="Q15072" s="497">
        <v>13</v>
      </c>
      <c r="R15072" s="126">
        <f>J15072*Q15072*I15072/1000</f>
        <v>1.13568</v>
      </c>
    </row>
    <row r="15073" spans="1:19" ht="17.399999999999999">
      <c r="A15073" s="549"/>
      <c r="B15073" s="549"/>
      <c r="C15073" s="549"/>
      <c r="D15073" s="549"/>
      <c r="E15073" s="549"/>
      <c r="F15073" s="549"/>
      <c r="G15073" s="549" t="s">
        <v>21</v>
      </c>
      <c r="H15073" s="549" t="s">
        <v>53</v>
      </c>
      <c r="I15073" s="558">
        <v>8.32</v>
      </c>
      <c r="J15073" s="567">
        <v>11</v>
      </c>
      <c r="K15073" s="648">
        <v>14</v>
      </c>
      <c r="L15073" s="552">
        <f t="shared" si="3027"/>
        <v>1.2812800000000002</v>
      </c>
      <c r="M15073" s="549"/>
      <c r="N15073" s="549"/>
      <c r="O15073" s="549"/>
      <c r="P15073" s="549"/>
      <c r="Q15073" s="497">
        <v>14</v>
      </c>
      <c r="R15073" s="126">
        <f>J15073*Q15073*I15073/1000</f>
        <v>1.28128</v>
      </c>
    </row>
    <row r="15074" spans="1:19" ht="17.399999999999999">
      <c r="A15074" s="549"/>
      <c r="B15074" s="549"/>
      <c r="C15074" s="549"/>
      <c r="D15074" s="549"/>
      <c r="E15074" s="549"/>
      <c r="F15074" s="549"/>
      <c r="G15074" s="549" t="s">
        <v>21</v>
      </c>
      <c r="H15074" s="549" t="s">
        <v>53</v>
      </c>
      <c r="I15074" s="558">
        <v>8.32</v>
      </c>
      <c r="J15074" s="567">
        <v>12</v>
      </c>
      <c r="K15074" s="648">
        <v>26</v>
      </c>
      <c r="L15074" s="552">
        <f t="shared" si="3027"/>
        <v>2.5958399999999999</v>
      </c>
      <c r="M15074" s="549"/>
      <c r="N15074" s="549"/>
      <c r="O15074" s="549"/>
      <c r="P15074" s="549"/>
      <c r="Q15074" s="497">
        <v>26</v>
      </c>
      <c r="R15074" s="126">
        <f>J15074*Q15074*I15074/1000</f>
        <v>2.5958399999999999</v>
      </c>
    </row>
    <row r="15075" spans="1:19" ht="17.399999999999999">
      <c r="A15075" s="549"/>
      <c r="B15075" s="549"/>
      <c r="C15075" s="549"/>
      <c r="D15075" s="549"/>
      <c r="E15075" s="549"/>
      <c r="F15075" s="549"/>
      <c r="G15075" s="549"/>
      <c r="H15075" s="549"/>
      <c r="I15075" s="558"/>
      <c r="J15075" s="567"/>
      <c r="K15075" s="648">
        <f t="shared" ref="K15075:L15075" si="3028">SUM(K15071:K15074)</f>
        <v>272</v>
      </c>
      <c r="L15075" s="567">
        <f t="shared" si="3028"/>
        <v>20.202623999999997</v>
      </c>
      <c r="M15075" s="549"/>
      <c r="N15075" s="549"/>
      <c r="O15075" s="549"/>
      <c r="P15075" s="549"/>
      <c r="Q15075" s="648">
        <f t="shared" ref="Q15075" si="3029">SUM(Q15071:Q15074)</f>
        <v>228</v>
      </c>
      <c r="R15075" s="567">
        <f>SUM(R15071:R15074)</f>
        <v>16.952000000000002</v>
      </c>
    </row>
    <row r="15076" spans="1:19" ht="17.399999999999999">
      <c r="A15076" s="549"/>
      <c r="B15076" s="549"/>
      <c r="C15076" s="549"/>
      <c r="D15076" s="549"/>
      <c r="E15076" s="549"/>
      <c r="F15076" s="549"/>
      <c r="G15076" s="549"/>
      <c r="H15076" s="549"/>
      <c r="I15076" s="558"/>
      <c r="J15076" s="549"/>
      <c r="K15076" s="561"/>
      <c r="L15076" s="560"/>
      <c r="M15076" s="549"/>
      <c r="N15076" s="549"/>
      <c r="O15076" s="549"/>
      <c r="P15076" s="549"/>
    </row>
    <row r="15077" spans="1:19" ht="17.399999999999999">
      <c r="A15077" s="547" t="s">
        <v>272</v>
      </c>
      <c r="B15077" s="547" t="s">
        <v>1665</v>
      </c>
      <c r="C15077" s="547" t="s">
        <v>446</v>
      </c>
      <c r="D15077" s="813" t="s">
        <v>447</v>
      </c>
      <c r="E15077" s="547" t="s">
        <v>359</v>
      </c>
      <c r="F15077" s="550">
        <v>11</v>
      </c>
      <c r="G15077" s="549" t="s">
        <v>21</v>
      </c>
      <c r="H15077" s="1203" t="s">
        <v>53</v>
      </c>
      <c r="I15077" s="558">
        <v>8.32</v>
      </c>
      <c r="J15077" s="567">
        <v>7.5</v>
      </c>
      <c r="K15077" s="648">
        <v>78</v>
      </c>
      <c r="L15077" s="552">
        <f t="shared" ref="L15077:L15086" si="3030">(I15077*J15077*K15077/1000)</f>
        <v>4.8672000000000004</v>
      </c>
      <c r="M15077" s="549"/>
      <c r="N15077" s="549"/>
      <c r="O15077" s="549"/>
      <c r="P15077" s="549"/>
      <c r="Q15077" s="497">
        <v>7</v>
      </c>
      <c r="R15077" s="126">
        <f t="shared" ref="R15077:R15086" si="3031">J15077*Q15077*I15077/1000</f>
        <v>0.43680000000000002</v>
      </c>
      <c r="S15077" s="1737" t="s">
        <v>1814</v>
      </c>
    </row>
    <row r="15078" spans="1:19" ht="17.399999999999999">
      <c r="A15078" s="549"/>
      <c r="B15078" s="549"/>
      <c r="C15078" s="549"/>
      <c r="D15078" s="549"/>
      <c r="E15078" s="549"/>
      <c r="F15078" s="549"/>
      <c r="G15078" s="549" t="s">
        <v>21</v>
      </c>
      <c r="H15078" s="549" t="s">
        <v>53</v>
      </c>
      <c r="I15078" s="558">
        <v>8.32</v>
      </c>
      <c r="J15078" s="567">
        <v>8.8000000000000007</v>
      </c>
      <c r="K15078" s="648">
        <v>40</v>
      </c>
      <c r="L15078" s="552">
        <f t="shared" si="3030"/>
        <v>2.9286400000000001</v>
      </c>
      <c r="M15078" s="549"/>
      <c r="N15078" s="549"/>
      <c r="O15078" s="549"/>
      <c r="P15078" s="549"/>
      <c r="Q15078" s="497">
        <f>18+4</f>
        <v>22</v>
      </c>
      <c r="R15078" s="126">
        <f t="shared" si="3031"/>
        <v>1.6107520000000002</v>
      </c>
    </row>
    <row r="15079" spans="1:19" ht="17.399999999999999">
      <c r="A15079" s="549"/>
      <c r="B15079" s="549"/>
      <c r="C15079" s="549"/>
      <c r="D15079" s="549"/>
      <c r="E15079" s="549"/>
      <c r="F15079" s="549"/>
      <c r="G15079" s="549" t="s">
        <v>21</v>
      </c>
      <c r="H15079" s="549" t="s">
        <v>53</v>
      </c>
      <c r="I15079" s="558">
        <v>8.32</v>
      </c>
      <c r="J15079" s="567">
        <v>9</v>
      </c>
      <c r="K15079" s="648">
        <v>399</v>
      </c>
      <c r="L15079" s="552">
        <f t="shared" si="3030"/>
        <v>29.877119999999998</v>
      </c>
      <c r="M15079" s="549"/>
      <c r="N15079" s="549"/>
      <c r="O15079" s="549"/>
      <c r="P15079" s="549"/>
      <c r="Q15079" s="497">
        <f>86+16+49</f>
        <v>151</v>
      </c>
      <c r="R15079" s="126">
        <f t="shared" si="3031"/>
        <v>11.306880000000001</v>
      </c>
    </row>
    <row r="15080" spans="1:19" ht="17.399999999999999">
      <c r="A15080" s="549"/>
      <c r="B15080" s="549"/>
      <c r="C15080" s="549"/>
      <c r="D15080" s="549"/>
      <c r="E15080" s="549"/>
      <c r="F15080" s="549"/>
      <c r="G15080" s="549" t="s">
        <v>21</v>
      </c>
      <c r="H15080" s="549" t="s">
        <v>53</v>
      </c>
      <c r="I15080" s="558">
        <v>8.32</v>
      </c>
      <c r="J15080" s="567">
        <v>10</v>
      </c>
      <c r="K15080" s="648">
        <v>122</v>
      </c>
      <c r="L15080" s="552">
        <f t="shared" si="3030"/>
        <v>10.150399999999999</v>
      </c>
      <c r="M15080" s="549"/>
      <c r="N15080" s="549"/>
      <c r="O15080" s="549"/>
      <c r="P15080" s="549"/>
      <c r="Q15080" s="497">
        <v>11</v>
      </c>
      <c r="R15080" s="126">
        <f t="shared" si="3031"/>
        <v>0.91520000000000001</v>
      </c>
    </row>
    <row r="15081" spans="1:19" ht="17.399999999999999">
      <c r="A15081" s="549"/>
      <c r="B15081" s="549"/>
      <c r="C15081" s="549"/>
      <c r="D15081" s="549"/>
      <c r="E15081" s="549"/>
      <c r="F15081" s="549"/>
      <c r="G15081" s="549" t="s">
        <v>21</v>
      </c>
      <c r="H15081" s="549" t="s">
        <v>53</v>
      </c>
      <c r="I15081" s="558">
        <v>8.32</v>
      </c>
      <c r="J15081" s="567">
        <v>10.199999999999999</v>
      </c>
      <c r="K15081" s="648">
        <v>66</v>
      </c>
      <c r="L15081" s="552">
        <f t="shared" si="3030"/>
        <v>5.6010239999999998</v>
      </c>
      <c r="M15081" s="549"/>
      <c r="N15081" s="549"/>
      <c r="O15081" s="549"/>
      <c r="P15081" s="549"/>
      <c r="Q15081" s="497">
        <v>9</v>
      </c>
      <c r="R15081" s="126">
        <f t="shared" si="3031"/>
        <v>0.7637759999999999</v>
      </c>
    </row>
    <row r="15082" spans="1:19" ht="17.399999999999999">
      <c r="A15082" s="549"/>
      <c r="B15082" s="549"/>
      <c r="C15082" s="549"/>
      <c r="D15082" s="549"/>
      <c r="E15082" s="549"/>
      <c r="F15082" s="549"/>
      <c r="G15082" s="549" t="s">
        <v>21</v>
      </c>
      <c r="H15082" s="549" t="s">
        <v>53</v>
      </c>
      <c r="I15082" s="558">
        <v>8.32</v>
      </c>
      <c r="J15082" s="567">
        <v>10.5</v>
      </c>
      <c r="K15082" s="648">
        <v>532</v>
      </c>
      <c r="L15082" s="552">
        <f t="shared" si="3030"/>
        <v>46.475519999999996</v>
      </c>
      <c r="M15082" s="549"/>
      <c r="N15082" s="549"/>
      <c r="O15082" s="549"/>
      <c r="P15082" s="549"/>
      <c r="R15082" s="126">
        <f t="shared" si="3031"/>
        <v>0</v>
      </c>
    </row>
    <row r="15083" spans="1:19" ht="17.399999999999999">
      <c r="A15083" s="549"/>
      <c r="B15083" s="549"/>
      <c r="C15083" s="549"/>
      <c r="D15083" s="549"/>
      <c r="E15083" s="549"/>
      <c r="F15083" s="549"/>
      <c r="G15083" s="549" t="s">
        <v>21</v>
      </c>
      <c r="H15083" s="549" t="s">
        <v>53</v>
      </c>
      <c r="I15083" s="558">
        <v>8.32</v>
      </c>
      <c r="J15083" s="567">
        <v>11</v>
      </c>
      <c r="K15083" s="648">
        <v>241</v>
      </c>
      <c r="L15083" s="552">
        <f t="shared" si="3030"/>
        <v>22.056320000000003</v>
      </c>
      <c r="M15083" s="549"/>
      <c r="N15083" s="549"/>
      <c r="O15083" s="549"/>
      <c r="P15083" s="549"/>
      <c r="Q15083" s="497">
        <v>10</v>
      </c>
      <c r="R15083" s="126">
        <f t="shared" si="3031"/>
        <v>0.91520000000000001</v>
      </c>
    </row>
    <row r="15084" spans="1:19" ht="17.399999999999999">
      <c r="A15084" s="549"/>
      <c r="B15084" s="549"/>
      <c r="C15084" s="549"/>
      <c r="D15084" s="549"/>
      <c r="E15084" s="549"/>
      <c r="F15084" s="549"/>
      <c r="G15084" s="549" t="s">
        <v>21</v>
      </c>
      <c r="H15084" s="549" t="s">
        <v>53</v>
      </c>
      <c r="I15084" s="558">
        <v>8.32</v>
      </c>
      <c r="J15084" s="567">
        <v>11.5</v>
      </c>
      <c r="K15084" s="648">
        <v>164</v>
      </c>
      <c r="L15084" s="552">
        <f t="shared" si="3030"/>
        <v>15.691520000000001</v>
      </c>
      <c r="M15084" s="549"/>
      <c r="N15084" s="549"/>
      <c r="O15084" s="549"/>
      <c r="P15084" s="549"/>
      <c r="Q15084" s="497">
        <f>65+33+42</f>
        <v>140</v>
      </c>
      <c r="R15084" s="126">
        <f t="shared" si="3031"/>
        <v>13.395200000000001</v>
      </c>
    </row>
    <row r="15085" spans="1:19" ht="17.399999999999999">
      <c r="A15085" s="549"/>
      <c r="B15085" s="549"/>
      <c r="C15085" s="549"/>
      <c r="D15085" s="549"/>
      <c r="E15085" s="549"/>
      <c r="F15085" s="549"/>
      <c r="G15085" s="549" t="s">
        <v>21</v>
      </c>
      <c r="H15085" s="549" t="s">
        <v>53</v>
      </c>
      <c r="I15085" s="558">
        <v>8.32</v>
      </c>
      <c r="J15085" s="567">
        <v>11.7</v>
      </c>
      <c r="K15085" s="648">
        <v>31</v>
      </c>
      <c r="L15085" s="552">
        <f t="shared" si="3030"/>
        <v>3.0176639999999999</v>
      </c>
      <c r="M15085" s="549"/>
      <c r="N15085" s="549"/>
      <c r="O15085" s="549"/>
      <c r="P15085" s="549"/>
      <c r="Q15085" s="497">
        <v>31</v>
      </c>
      <c r="R15085" s="126">
        <f t="shared" si="3031"/>
        <v>3.0176640000000003</v>
      </c>
    </row>
    <row r="15086" spans="1:19" ht="17.399999999999999">
      <c r="A15086" s="549"/>
      <c r="B15086" s="549"/>
      <c r="C15086" s="549"/>
      <c r="D15086" s="549"/>
      <c r="E15086" s="549"/>
      <c r="F15086" s="549"/>
      <c r="G15086" s="549" t="s">
        <v>21</v>
      </c>
      <c r="H15086" s="549" t="s">
        <v>53</v>
      </c>
      <c r="I15086" s="558">
        <v>8.32</v>
      </c>
      <c r="J15086" s="567">
        <v>12</v>
      </c>
      <c r="K15086" s="648">
        <v>388</v>
      </c>
      <c r="L15086" s="552">
        <f t="shared" si="3030"/>
        <v>38.737919999999995</v>
      </c>
      <c r="M15086" s="549"/>
      <c r="N15086" s="549"/>
      <c r="O15086" s="549"/>
      <c r="P15086" s="549"/>
      <c r="Q15086" s="497">
        <v>388</v>
      </c>
      <c r="R15086" s="126">
        <f t="shared" si="3031"/>
        <v>38.737919999999995</v>
      </c>
    </row>
    <row r="15087" spans="1:19" ht="17.399999999999999">
      <c r="A15087" s="549"/>
      <c r="B15087" s="549"/>
      <c r="C15087" s="549"/>
      <c r="D15087" s="549"/>
      <c r="E15087" s="549"/>
      <c r="F15087" s="549"/>
      <c r="G15087" s="549"/>
      <c r="H15087" s="549"/>
      <c r="I15087" s="558"/>
      <c r="J15087" s="567"/>
      <c r="K15087" s="648">
        <f t="shared" ref="K15087:L15087" si="3032">SUM(K15077:K15086)</f>
        <v>2061</v>
      </c>
      <c r="L15087" s="567">
        <f t="shared" si="3032"/>
        <v>179.40332799999999</v>
      </c>
      <c r="M15087" s="549"/>
      <c r="N15087" s="549"/>
      <c r="O15087" s="549"/>
      <c r="P15087" s="549"/>
      <c r="Q15087" s="648">
        <f>SUM(Q15077:Q15086)</f>
        <v>769</v>
      </c>
      <c r="R15087" s="567">
        <f>SUM(R15077:R15086)</f>
        <v>71.099391999999995</v>
      </c>
    </row>
    <row r="15088" spans="1:19" s="1737" customFormat="1" ht="17.399999999999999">
      <c r="A15088" s="549"/>
      <c r="B15088" s="549"/>
      <c r="C15088" s="549"/>
      <c r="D15088" s="549"/>
      <c r="E15088" s="549"/>
      <c r="F15088" s="549"/>
      <c r="G15088" s="549"/>
      <c r="H15088" s="549"/>
      <c r="I15088" s="558"/>
      <c r="J15088" s="567"/>
      <c r="K15088" s="648">
        <f>SUM(K15071:K15087)/2</f>
        <v>2333</v>
      </c>
      <c r="L15088" s="567">
        <f>SUM(L15071:L15087)/2</f>
        <v>199.605952</v>
      </c>
      <c r="M15088" s="549"/>
      <c r="N15088" s="549"/>
      <c r="O15088" s="549"/>
      <c r="P15088" s="549" t="s">
        <v>1794</v>
      </c>
      <c r="Q15088" s="648">
        <f>SUM(Q15071:Q15087)/2</f>
        <v>997</v>
      </c>
      <c r="R15088" s="567">
        <f>SUM(R15071:R15087)/2</f>
        <v>88.051391999999993</v>
      </c>
    </row>
    <row r="15089" spans="1:16" s="1737" customFormat="1" ht="17.399999999999999">
      <c r="A15089" s="549"/>
      <c r="B15089" s="549"/>
      <c r="C15089" s="549"/>
      <c r="D15089" s="549"/>
      <c r="E15089" s="549"/>
      <c r="F15089" s="549"/>
      <c r="G15089" s="549"/>
      <c r="H15089" s="549"/>
      <c r="I15089" s="558"/>
      <c r="J15089" s="567"/>
      <c r="K15089" s="648"/>
      <c r="L15089" s="567"/>
      <c r="M15089" s="549"/>
      <c r="N15089" s="549"/>
      <c r="O15089" s="549"/>
      <c r="P15089" s="549"/>
    </row>
    <row r="15090" spans="1:16" s="1737" customFormat="1" ht="17.399999999999999">
      <c r="A15090" s="549"/>
      <c r="B15090" s="549"/>
      <c r="C15090" s="549"/>
      <c r="D15090" s="549"/>
      <c r="E15090" s="549"/>
      <c r="F15090" s="549"/>
      <c r="G15090" s="549"/>
      <c r="H15090" s="549"/>
      <c r="I15090" s="558"/>
      <c r="J15090" s="567"/>
      <c r="K15090" s="648"/>
      <c r="L15090" s="567"/>
      <c r="M15090" s="549"/>
      <c r="N15090" s="549"/>
      <c r="O15090" s="549"/>
      <c r="P15090" s="549"/>
    </row>
    <row r="15091" spans="1:16" ht="17.399999999999999">
      <c r="A15091" s="547" t="s">
        <v>272</v>
      </c>
      <c r="B15091" s="547" t="s">
        <v>1664</v>
      </c>
      <c r="C15091" s="547" t="s">
        <v>446</v>
      </c>
      <c r="D15091" s="813" t="s">
        <v>447</v>
      </c>
      <c r="E15091" s="547" t="s">
        <v>359</v>
      </c>
      <c r="F15091" s="550">
        <v>11</v>
      </c>
      <c r="G15091" s="549" t="s">
        <v>21</v>
      </c>
      <c r="H15091" s="549" t="s">
        <v>91</v>
      </c>
      <c r="I15091" s="558">
        <v>6.97</v>
      </c>
      <c r="J15091" s="567">
        <v>10</v>
      </c>
      <c r="K15091" s="648">
        <v>10</v>
      </c>
      <c r="L15091" s="552">
        <f t="shared" ref="L15091:L15095" si="3033">(I15091*J15091*K15091/1000)</f>
        <v>0.69699999999999995</v>
      </c>
      <c r="M15091" s="549"/>
      <c r="N15091" s="549"/>
      <c r="O15091" s="549"/>
      <c r="P15091" s="549"/>
    </row>
    <row r="15092" spans="1:16" ht="17.399999999999999">
      <c r="A15092" s="549"/>
      <c r="B15092" s="549"/>
      <c r="C15092" s="549"/>
      <c r="D15092" s="549"/>
      <c r="E15092" s="549"/>
      <c r="F15092" s="549"/>
      <c r="G15092" s="549" t="s">
        <v>21</v>
      </c>
      <c r="H15092" s="549" t="s">
        <v>91</v>
      </c>
      <c r="I15092" s="558">
        <v>6.97</v>
      </c>
      <c r="J15092" s="567">
        <v>10.5</v>
      </c>
      <c r="K15092" s="648">
        <v>4</v>
      </c>
      <c r="L15092" s="552">
        <f t="shared" si="3033"/>
        <v>0.29274</v>
      </c>
      <c r="M15092" s="549"/>
      <c r="N15092" s="549"/>
      <c r="O15092" s="549"/>
      <c r="P15092" s="549"/>
    </row>
    <row r="15093" spans="1:16" ht="17.399999999999999">
      <c r="A15093" s="549"/>
      <c r="B15093" s="549"/>
      <c r="C15093" s="549"/>
      <c r="D15093" s="549"/>
      <c r="E15093" s="549"/>
      <c r="F15093" s="549"/>
      <c r="G15093" s="549" t="s">
        <v>21</v>
      </c>
      <c r="H15093" s="549" t="s">
        <v>91</v>
      </c>
      <c r="I15093" s="558">
        <v>6.97</v>
      </c>
      <c r="J15093" s="567">
        <v>11</v>
      </c>
      <c r="K15093" s="648">
        <v>55</v>
      </c>
      <c r="L15093" s="552">
        <f t="shared" si="3033"/>
        <v>4.21685</v>
      </c>
      <c r="M15093" s="549"/>
      <c r="N15093" s="549"/>
      <c r="O15093" s="549"/>
      <c r="P15093" s="549"/>
    </row>
    <row r="15094" spans="1:16" ht="17.399999999999999">
      <c r="A15094" s="549"/>
      <c r="B15094" s="549"/>
      <c r="C15094" s="549"/>
      <c r="D15094" s="549"/>
      <c r="E15094" s="549"/>
      <c r="F15094" s="549"/>
      <c r="G15094" s="549" t="s">
        <v>21</v>
      </c>
      <c r="H15094" s="549" t="s">
        <v>91</v>
      </c>
      <c r="I15094" s="558">
        <v>6.97</v>
      </c>
      <c r="J15094" s="567">
        <v>11.5</v>
      </c>
      <c r="K15094" s="648">
        <v>37</v>
      </c>
      <c r="L15094" s="552">
        <f t="shared" si="3033"/>
        <v>2.965735</v>
      </c>
      <c r="M15094" s="549"/>
      <c r="N15094" s="549"/>
      <c r="O15094" s="549"/>
      <c r="P15094" s="549"/>
    </row>
    <row r="15095" spans="1:16" ht="17.399999999999999">
      <c r="A15095" s="549"/>
      <c r="B15095" s="549"/>
      <c r="C15095" s="549"/>
      <c r="D15095" s="549"/>
      <c r="E15095" s="549"/>
      <c r="F15095" s="549"/>
      <c r="G15095" s="549" t="s">
        <v>21</v>
      </c>
      <c r="H15095" s="549" t="s">
        <v>91</v>
      </c>
      <c r="I15095" s="558">
        <v>6.97</v>
      </c>
      <c r="J15095" s="567">
        <v>12</v>
      </c>
      <c r="K15095" s="648">
        <v>14</v>
      </c>
      <c r="L15095" s="552">
        <f t="shared" si="3033"/>
        <v>1.17096</v>
      </c>
      <c r="M15095" s="549"/>
      <c r="N15095" s="549"/>
      <c r="O15095" s="549"/>
      <c r="P15095" s="549"/>
    </row>
    <row r="15096" spans="1:16" ht="17.399999999999999">
      <c r="A15096" s="549"/>
      <c r="B15096" s="549"/>
      <c r="C15096" s="549"/>
      <c r="D15096" s="549"/>
      <c r="E15096" s="549"/>
      <c r="F15096" s="549"/>
      <c r="G15096" s="549"/>
      <c r="H15096" s="549"/>
      <c r="I15096" s="558"/>
      <c r="J15096" s="567"/>
      <c r="K15096" s="648">
        <f t="shared" ref="K15096:L15096" si="3034">SUM(K15091:K15095)</f>
        <v>120</v>
      </c>
      <c r="L15096" s="567">
        <f t="shared" si="3034"/>
        <v>9.3432850000000016</v>
      </c>
      <c r="M15096" s="549"/>
      <c r="N15096" s="549"/>
      <c r="O15096" s="549"/>
      <c r="P15096" s="549"/>
    </row>
    <row r="15097" spans="1:16" s="1737" customFormat="1" ht="17.399999999999999">
      <c r="A15097" s="549"/>
      <c r="B15097" s="549"/>
      <c r="C15097" s="549"/>
      <c r="D15097" s="549"/>
      <c r="E15097" s="549"/>
      <c r="F15097" s="549"/>
      <c r="G15097" s="549"/>
      <c r="H15097" s="549"/>
      <c r="I15097" s="558"/>
      <c r="J15097" s="567"/>
      <c r="K15097" s="648"/>
      <c r="L15097" s="567"/>
      <c r="M15097" s="549"/>
      <c r="N15097" s="549"/>
      <c r="O15097" s="549"/>
      <c r="P15097" s="549"/>
    </row>
    <row r="15098" spans="1:16" ht="17.399999999999999">
      <c r="A15098" s="547" t="s">
        <v>272</v>
      </c>
      <c r="B15098" s="547" t="s">
        <v>1665</v>
      </c>
      <c r="C15098" s="547" t="s">
        <v>446</v>
      </c>
      <c r="D15098" s="813" t="s">
        <v>447</v>
      </c>
      <c r="E15098" s="547" t="s">
        <v>359</v>
      </c>
      <c r="F15098" s="550">
        <v>11</v>
      </c>
      <c r="G15098" s="549" t="s">
        <v>21</v>
      </c>
      <c r="H15098" s="549" t="s">
        <v>91</v>
      </c>
      <c r="I15098" s="558">
        <v>6.97</v>
      </c>
      <c r="J15098" s="567">
        <v>7.3</v>
      </c>
      <c r="K15098" s="648">
        <v>890</v>
      </c>
      <c r="L15098" s="552">
        <f t="shared" ref="L15098:L15108" si="3035">(I15098*J15098*K15098/1000)</f>
        <v>45.284090000000006</v>
      </c>
      <c r="M15098" s="549"/>
      <c r="N15098" s="549"/>
      <c r="O15098" s="549"/>
      <c r="P15098" s="549"/>
    </row>
    <row r="15099" spans="1:16" ht="17.399999999999999">
      <c r="A15099" s="549"/>
      <c r="B15099" s="549"/>
      <c r="C15099" s="549"/>
      <c r="D15099" s="549"/>
      <c r="E15099" s="549"/>
      <c r="F15099" s="549"/>
      <c r="G15099" s="549" t="s">
        <v>21</v>
      </c>
      <c r="H15099" s="549" t="s">
        <v>91</v>
      </c>
      <c r="I15099" s="558">
        <v>6.97</v>
      </c>
      <c r="J15099" s="567">
        <v>9</v>
      </c>
      <c r="K15099" s="648">
        <v>302</v>
      </c>
      <c r="L15099" s="552">
        <f t="shared" si="3035"/>
        <v>18.944459999999999</v>
      </c>
      <c r="M15099" s="549"/>
      <c r="N15099" s="549"/>
      <c r="O15099" s="549"/>
      <c r="P15099" s="549"/>
    </row>
    <row r="15100" spans="1:16" ht="17.399999999999999">
      <c r="A15100" s="549"/>
      <c r="B15100" s="549"/>
      <c r="C15100" s="549"/>
      <c r="D15100" s="549"/>
      <c r="E15100" s="549"/>
      <c r="F15100" s="549"/>
      <c r="G15100" s="549" t="s">
        <v>21</v>
      </c>
      <c r="H15100" s="549" t="s">
        <v>91</v>
      </c>
      <c r="I15100" s="558">
        <v>6.97</v>
      </c>
      <c r="J15100" s="567">
        <v>9.5</v>
      </c>
      <c r="K15100" s="648">
        <v>166</v>
      </c>
      <c r="L15100" s="552">
        <f t="shared" si="3035"/>
        <v>10.99169</v>
      </c>
      <c r="M15100" s="549"/>
      <c r="N15100" s="549"/>
      <c r="O15100" s="549"/>
      <c r="P15100" s="549"/>
    </row>
    <row r="15101" spans="1:16" ht="17.399999999999999">
      <c r="A15101" s="549"/>
      <c r="B15101" s="549"/>
      <c r="C15101" s="549"/>
      <c r="D15101" s="549"/>
      <c r="E15101" s="549"/>
      <c r="F15101" s="549"/>
      <c r="G15101" s="549" t="s">
        <v>21</v>
      </c>
      <c r="H15101" s="549" t="s">
        <v>91</v>
      </c>
      <c r="I15101" s="558">
        <v>6.97</v>
      </c>
      <c r="J15101" s="567">
        <v>10</v>
      </c>
      <c r="K15101" s="648">
        <v>120</v>
      </c>
      <c r="L15101" s="552">
        <f t="shared" si="3035"/>
        <v>8.3640000000000008</v>
      </c>
      <c r="M15101" s="549"/>
      <c r="N15101" s="549"/>
      <c r="O15101" s="549"/>
      <c r="P15101" s="549"/>
    </row>
    <row r="15102" spans="1:16" ht="17.399999999999999">
      <c r="A15102" s="549"/>
      <c r="B15102" s="549"/>
      <c r="C15102" s="549"/>
      <c r="D15102" s="549"/>
      <c r="E15102" s="549"/>
      <c r="F15102" s="549"/>
      <c r="G15102" s="549" t="s">
        <v>21</v>
      </c>
      <c r="H15102" s="549" t="s">
        <v>91</v>
      </c>
      <c r="I15102" s="558">
        <v>6.97</v>
      </c>
      <c r="J15102" s="567">
        <v>10.4</v>
      </c>
      <c r="K15102" s="648">
        <v>205</v>
      </c>
      <c r="L15102" s="552">
        <f t="shared" si="3035"/>
        <v>14.86004</v>
      </c>
      <c r="M15102" s="549"/>
      <c r="N15102" s="549"/>
      <c r="O15102" s="549"/>
      <c r="P15102" s="549"/>
    </row>
    <row r="15103" spans="1:16" ht="17.399999999999999">
      <c r="A15103" s="549"/>
      <c r="B15103" s="549"/>
      <c r="C15103" s="549"/>
      <c r="D15103" s="549"/>
      <c r="E15103" s="549"/>
      <c r="F15103" s="549"/>
      <c r="G15103" s="549" t="s">
        <v>21</v>
      </c>
      <c r="H15103" s="549" t="s">
        <v>91</v>
      </c>
      <c r="I15103" s="558">
        <v>6.97</v>
      </c>
      <c r="J15103" s="567">
        <v>10.5</v>
      </c>
      <c r="K15103" s="648">
        <v>138</v>
      </c>
      <c r="L15103" s="552">
        <f t="shared" si="3035"/>
        <v>10.099530000000001</v>
      </c>
      <c r="M15103" s="549"/>
      <c r="N15103" s="549"/>
      <c r="O15103" s="549"/>
      <c r="P15103" s="549"/>
    </row>
    <row r="15104" spans="1:16" ht="17.399999999999999">
      <c r="A15104" s="549"/>
      <c r="B15104" s="549"/>
      <c r="C15104" s="549"/>
      <c r="D15104" s="549"/>
      <c r="E15104" s="549"/>
      <c r="F15104" s="549"/>
      <c r="G15104" s="549" t="s">
        <v>21</v>
      </c>
      <c r="H15104" s="549" t="s">
        <v>91</v>
      </c>
      <c r="I15104" s="558">
        <v>6.97</v>
      </c>
      <c r="J15104" s="567">
        <v>11</v>
      </c>
      <c r="K15104" s="648">
        <v>265</v>
      </c>
      <c r="L15104" s="552">
        <f t="shared" si="3035"/>
        <v>20.317550000000001</v>
      </c>
      <c r="M15104" s="549"/>
      <c r="N15104" s="549"/>
      <c r="O15104" s="549"/>
      <c r="P15104" s="549"/>
    </row>
    <row r="15105" spans="1:16" ht="17.399999999999999">
      <c r="A15105" s="549"/>
      <c r="B15105" s="549"/>
      <c r="C15105" s="549"/>
      <c r="D15105" s="549"/>
      <c r="E15105" s="549"/>
      <c r="F15105" s="549"/>
      <c r="G15105" s="549" t="s">
        <v>21</v>
      </c>
      <c r="H15105" s="549" t="s">
        <v>91</v>
      </c>
      <c r="I15105" s="558">
        <v>6.97</v>
      </c>
      <c r="J15105" s="567">
        <v>11.1</v>
      </c>
      <c r="K15105" s="648">
        <v>92</v>
      </c>
      <c r="L15105" s="552">
        <f t="shared" si="3035"/>
        <v>7.1177639999999993</v>
      </c>
      <c r="M15105" s="549"/>
      <c r="N15105" s="549"/>
      <c r="O15105" s="549"/>
      <c r="P15105" s="549"/>
    </row>
    <row r="15106" spans="1:16" ht="17.399999999999999">
      <c r="A15106" s="549"/>
      <c r="B15106" s="549"/>
      <c r="C15106" s="549"/>
      <c r="D15106" s="549"/>
      <c r="E15106" s="549"/>
      <c r="F15106" s="549"/>
      <c r="G15106" s="549" t="s">
        <v>21</v>
      </c>
      <c r="H15106" s="549" t="s">
        <v>91</v>
      </c>
      <c r="I15106" s="558">
        <v>6.97</v>
      </c>
      <c r="J15106" s="567">
        <v>11.5</v>
      </c>
      <c r="K15106" s="648">
        <v>37</v>
      </c>
      <c r="L15106" s="552">
        <f t="shared" si="3035"/>
        <v>2.965735</v>
      </c>
      <c r="M15106" s="549"/>
      <c r="N15106" s="549"/>
      <c r="O15106" s="549"/>
      <c r="P15106" s="549"/>
    </row>
    <row r="15107" spans="1:16" ht="17.399999999999999">
      <c r="A15107" s="549"/>
      <c r="B15107" s="549"/>
      <c r="C15107" s="549"/>
      <c r="D15107" s="549"/>
      <c r="E15107" s="549"/>
      <c r="F15107" s="549"/>
      <c r="G15107" s="549" t="s">
        <v>21</v>
      </c>
      <c r="H15107" s="549" t="s">
        <v>91</v>
      </c>
      <c r="I15107" s="558">
        <v>6.97</v>
      </c>
      <c r="J15107" s="567">
        <v>11.7</v>
      </c>
      <c r="K15107" s="648">
        <v>230</v>
      </c>
      <c r="L15107" s="552">
        <f t="shared" si="3035"/>
        <v>18.756269999999997</v>
      </c>
      <c r="M15107" s="549"/>
      <c r="N15107" s="549"/>
      <c r="O15107" s="549"/>
      <c r="P15107" s="549"/>
    </row>
    <row r="15108" spans="1:16" ht="17.399999999999999">
      <c r="A15108" s="549"/>
      <c r="B15108" s="549"/>
      <c r="C15108" s="549"/>
      <c r="D15108" s="549"/>
      <c r="E15108" s="549"/>
      <c r="F15108" s="549"/>
      <c r="G15108" s="549" t="s">
        <v>21</v>
      </c>
      <c r="H15108" s="549" t="s">
        <v>91</v>
      </c>
      <c r="I15108" s="558">
        <v>6.97</v>
      </c>
      <c r="J15108" s="567">
        <v>12</v>
      </c>
      <c r="K15108" s="648">
        <v>64</v>
      </c>
      <c r="L15108" s="552">
        <f t="shared" si="3035"/>
        <v>5.3529600000000004</v>
      </c>
      <c r="M15108" s="549"/>
      <c r="N15108" s="549"/>
      <c r="O15108" s="549"/>
      <c r="P15108" s="549"/>
    </row>
    <row r="15109" spans="1:16" ht="17.399999999999999">
      <c r="A15109" s="549"/>
      <c r="B15109" s="549"/>
      <c r="C15109" s="549"/>
      <c r="D15109" s="549"/>
      <c r="E15109" s="549"/>
      <c r="F15109" s="549"/>
      <c r="G15109" s="549"/>
      <c r="H15109" s="549"/>
      <c r="I15109" s="558"/>
      <c r="J15109" s="567"/>
      <c r="K15109" s="648">
        <f t="shared" ref="K15109" si="3036">SUM(K15098:K15108)</f>
        <v>2509</v>
      </c>
      <c r="L15109" s="567">
        <f>SUM(L15098:L15108)</f>
        <v>163.054089</v>
      </c>
      <c r="M15109" s="549"/>
      <c r="N15109" s="549"/>
      <c r="O15109" s="549"/>
      <c r="P15109" s="549"/>
    </row>
    <row r="15110" spans="1:16" s="1737" customFormat="1" ht="17.399999999999999">
      <c r="A15110" s="549"/>
      <c r="B15110" s="549"/>
      <c r="C15110" s="549"/>
      <c r="D15110" s="549"/>
      <c r="E15110" s="549"/>
      <c r="F15110" s="549"/>
      <c r="G15110" s="549"/>
      <c r="H15110" s="549"/>
      <c r="I15110" s="558"/>
      <c r="J15110" s="567"/>
      <c r="K15110" s="648">
        <f>SUM(K15091:K15109)/2</f>
        <v>2629</v>
      </c>
      <c r="L15110" s="567">
        <f>SUM(L15091:L15109)/2</f>
        <v>172.39737400000001</v>
      </c>
      <c r="M15110" s="549"/>
      <c r="N15110" s="549"/>
      <c r="O15110" s="549"/>
      <c r="P15110" s="549" t="s">
        <v>1803</v>
      </c>
    </row>
    <row r="15111" spans="1:16" s="1737" customFormat="1" ht="17.399999999999999">
      <c r="A15111" s="549"/>
      <c r="B15111" s="549"/>
      <c r="C15111" s="549"/>
      <c r="D15111" s="549"/>
      <c r="E15111" s="549"/>
      <c r="F15111" s="549"/>
      <c r="G15111" s="549"/>
      <c r="H15111" s="549"/>
      <c r="I15111" s="558"/>
      <c r="J15111" s="567"/>
      <c r="K15111" s="648"/>
      <c r="L15111" s="567"/>
      <c r="M15111" s="549"/>
      <c r="N15111" s="549"/>
      <c r="O15111" s="549"/>
      <c r="P15111" s="549"/>
    </row>
    <row r="15112" spans="1:16" s="1737" customFormat="1" ht="17.399999999999999">
      <c r="A15112" s="549"/>
      <c r="B15112" s="549"/>
      <c r="C15112" s="549"/>
      <c r="D15112" s="549"/>
      <c r="E15112" s="549"/>
      <c r="F15112" s="549"/>
      <c r="G15112" s="549"/>
      <c r="H15112" s="549"/>
      <c r="I15112" s="558"/>
      <c r="J15112" s="567"/>
      <c r="K15112" s="648"/>
      <c r="L15112" s="567"/>
      <c r="M15112" s="549"/>
      <c r="N15112" s="549"/>
      <c r="O15112" s="549"/>
      <c r="P15112" s="549"/>
    </row>
    <row r="15113" spans="1:16" s="1737" customFormat="1" ht="17.399999999999999">
      <c r="A15113" s="549"/>
      <c r="B15113" s="549"/>
      <c r="C15113" s="549"/>
      <c r="D15113" s="549"/>
      <c r="E15113" s="549"/>
      <c r="F15113" s="549"/>
      <c r="G15113" s="549"/>
      <c r="H15113" s="549"/>
      <c r="I15113" s="558"/>
      <c r="J15113" s="565"/>
      <c r="K15113" s="561"/>
      <c r="L15113" s="565"/>
      <c r="M15113" s="549"/>
      <c r="N15113" s="549"/>
      <c r="O15113" s="549"/>
      <c r="P15113" s="549"/>
    </row>
    <row r="15114" spans="1:16" s="1737" customFormat="1" ht="17.399999999999999">
      <c r="A15114" s="549"/>
      <c r="B15114" s="549"/>
      <c r="C15114" s="549"/>
      <c r="D15114" s="549"/>
      <c r="E15114" s="549"/>
      <c r="F15114" s="549"/>
      <c r="G15114" s="549"/>
      <c r="H15114" s="549"/>
      <c r="I15114" s="558"/>
      <c r="J15114" s="565"/>
      <c r="K15114" s="561"/>
      <c r="L15114" s="565"/>
      <c r="M15114" s="549"/>
      <c r="N15114" s="549"/>
      <c r="O15114" s="549"/>
      <c r="P15114" s="549"/>
    </row>
    <row r="15115" spans="1:16" ht="17.399999999999999">
      <c r="A15115" s="547" t="s">
        <v>395</v>
      </c>
      <c r="B15115" s="547" t="s">
        <v>1781</v>
      </c>
      <c r="C15115" s="547" t="s">
        <v>19</v>
      </c>
      <c r="D15115" s="813" t="s">
        <v>155</v>
      </c>
      <c r="E15115" s="547" t="s">
        <v>270</v>
      </c>
      <c r="F15115" s="550">
        <v>8.5</v>
      </c>
      <c r="G15115" s="549" t="s">
        <v>61</v>
      </c>
      <c r="H15115" s="549" t="s">
        <v>366</v>
      </c>
      <c r="I15115" s="558">
        <v>10.92</v>
      </c>
      <c r="J15115" s="565">
        <v>10.5</v>
      </c>
      <c r="K15115" s="561">
        <v>21</v>
      </c>
      <c r="L15115" s="552">
        <f t="shared" ref="L15115" si="3037">(I15115*J15115*K15115/1000)</f>
        <v>2.4078600000000003</v>
      </c>
      <c r="M15115" s="549"/>
      <c r="N15115" s="549"/>
      <c r="O15115" s="549"/>
      <c r="P15115" s="549"/>
    </row>
    <row r="15116" spans="1:16" ht="17.399999999999999">
      <c r="A15116" s="549"/>
      <c r="B15116" s="549" t="s">
        <v>271</v>
      </c>
      <c r="C15116" s="549"/>
      <c r="D15116" s="549"/>
      <c r="E15116" s="549"/>
      <c r="F15116" s="549"/>
      <c r="G15116" s="549"/>
      <c r="H15116" s="549"/>
      <c r="I15116" s="558"/>
      <c r="J15116" s="565"/>
      <c r="K15116" s="561">
        <f>SUM(K15115:K15115)</f>
        <v>21</v>
      </c>
      <c r="L15116" s="565">
        <f>SUM(L15115:L15115)</f>
        <v>2.4078600000000003</v>
      </c>
      <c r="M15116" s="549"/>
      <c r="N15116" s="549"/>
      <c r="O15116" s="549"/>
      <c r="P15116" s="549" t="s">
        <v>1804</v>
      </c>
    </row>
    <row r="15117" spans="1:16" ht="17.399999999999999">
      <c r="A15117" s="549"/>
      <c r="B15117" s="549"/>
      <c r="C15117" s="549"/>
      <c r="D15117" s="549"/>
      <c r="E15117" s="549"/>
      <c r="F15117" s="549"/>
      <c r="G15117" s="549"/>
      <c r="H15117" s="549"/>
      <c r="I15117" s="558"/>
      <c r="J15117" s="549"/>
      <c r="K15117" s="561"/>
      <c r="L15117" s="560"/>
      <c r="M15117" s="549"/>
      <c r="N15117" s="549"/>
      <c r="O15117" s="549"/>
      <c r="P15117" s="549"/>
    </row>
    <row r="15118" spans="1:16" ht="17.399999999999999">
      <c r="A15118" s="547" t="s">
        <v>395</v>
      </c>
      <c r="B15118" s="547" t="s">
        <v>1782</v>
      </c>
      <c r="C15118" s="547" t="s">
        <v>19</v>
      </c>
      <c r="D15118" s="813" t="s">
        <v>155</v>
      </c>
      <c r="E15118" s="547" t="s">
        <v>270</v>
      </c>
      <c r="F15118" s="550">
        <v>8.5</v>
      </c>
      <c r="G15118" s="549" t="s">
        <v>61</v>
      </c>
      <c r="H15118" s="549" t="s">
        <v>366</v>
      </c>
      <c r="I15118" s="558">
        <v>10.92</v>
      </c>
      <c r="J15118" s="567">
        <v>10.5</v>
      </c>
      <c r="K15118" s="648">
        <v>2</v>
      </c>
      <c r="L15118" s="552">
        <f t="shared" ref="L15118" si="3038">(I15118*J15118*K15118/1000)</f>
        <v>0.22932</v>
      </c>
      <c r="M15118" s="549"/>
      <c r="N15118" s="549"/>
      <c r="O15118" s="549"/>
      <c r="P15118" s="549"/>
    </row>
    <row r="15119" spans="1:16" ht="17.399999999999999">
      <c r="A15119" s="549"/>
      <c r="B15119" s="549" t="s">
        <v>271</v>
      </c>
      <c r="C15119" s="549"/>
      <c r="D15119" s="549"/>
      <c r="E15119" s="549"/>
      <c r="F15119" s="549"/>
      <c r="G15119" s="549"/>
      <c r="H15119" s="549"/>
      <c r="I15119" s="558"/>
      <c r="J15119" s="565"/>
      <c r="K15119" s="561">
        <f>SUM(K15118:K15118)</f>
        <v>2</v>
      </c>
      <c r="L15119" s="565">
        <f>SUM(L15118:L15118)</f>
        <v>0.22932</v>
      </c>
      <c r="M15119" s="549"/>
      <c r="N15119" s="549"/>
      <c r="O15119" s="549"/>
      <c r="P15119" s="549" t="s">
        <v>1804</v>
      </c>
    </row>
    <row r="15120" spans="1:16" ht="17.399999999999999">
      <c r="A15120" s="549"/>
      <c r="B15120" s="549"/>
      <c r="C15120" s="549"/>
      <c r="D15120" s="549"/>
      <c r="E15120" s="549"/>
      <c r="F15120" s="549"/>
      <c r="G15120" s="549"/>
      <c r="H15120" s="549"/>
      <c r="I15120" s="558"/>
      <c r="J15120" s="549"/>
      <c r="K15120" s="561"/>
      <c r="L15120" s="560"/>
      <c r="M15120" s="549"/>
      <c r="N15120" s="549"/>
      <c r="O15120" s="549"/>
      <c r="P15120" s="549"/>
    </row>
    <row r="15121" spans="1:16" ht="17.399999999999999">
      <c r="A15121" s="547" t="s">
        <v>395</v>
      </c>
      <c r="B15121" s="547" t="s">
        <v>1783</v>
      </c>
      <c r="C15121" s="547" t="s">
        <v>19</v>
      </c>
      <c r="D15121" s="813" t="s">
        <v>155</v>
      </c>
      <c r="E15121" s="547" t="s">
        <v>270</v>
      </c>
      <c r="F15121" s="550">
        <v>8.5</v>
      </c>
      <c r="G15121" s="549" t="s">
        <v>61</v>
      </c>
      <c r="H15121" s="549" t="s">
        <v>366</v>
      </c>
      <c r="I15121" s="558">
        <v>10.92</v>
      </c>
      <c r="J15121" s="565">
        <v>10.5</v>
      </c>
      <c r="K15121" s="561">
        <v>21</v>
      </c>
      <c r="L15121" s="552">
        <f t="shared" ref="L15121" si="3039">(I15121*J15121*K15121/1000)</f>
        <v>2.4078600000000003</v>
      </c>
      <c r="M15121" s="549"/>
      <c r="N15121" s="549"/>
      <c r="O15121" s="549"/>
      <c r="P15121" s="549"/>
    </row>
    <row r="15122" spans="1:16" ht="17.399999999999999">
      <c r="A15122" s="549"/>
      <c r="B15122" s="549" t="s">
        <v>271</v>
      </c>
      <c r="C15122" s="549"/>
      <c r="D15122" s="549"/>
      <c r="E15122" s="549"/>
      <c r="F15122" s="549"/>
      <c r="G15122" s="549"/>
      <c r="H15122" s="549"/>
      <c r="I15122" s="558"/>
      <c r="J15122" s="565"/>
      <c r="K15122" s="561">
        <f>SUM(K15121:K15121)</f>
        <v>21</v>
      </c>
      <c r="L15122" s="565">
        <f>SUM(L15121:L15121)</f>
        <v>2.4078600000000003</v>
      </c>
      <c r="M15122" s="549"/>
      <c r="N15122" s="549"/>
      <c r="O15122" s="549"/>
      <c r="P15122" s="549" t="s">
        <v>1804</v>
      </c>
    </row>
    <row r="15123" spans="1:16" ht="17.399999999999999">
      <c r="A15123" s="549"/>
      <c r="B15123" s="549"/>
      <c r="C15123" s="549"/>
      <c r="D15123" s="549"/>
      <c r="E15123" s="549"/>
      <c r="F15123" s="549"/>
      <c r="G15123" s="549"/>
      <c r="H15123" s="549"/>
      <c r="I15123" s="558"/>
      <c r="J15123" s="549"/>
      <c r="K15123" s="561"/>
      <c r="L15123" s="560"/>
      <c r="M15123" s="549"/>
      <c r="N15123" s="549"/>
      <c r="O15123" s="549"/>
      <c r="P15123" s="549"/>
    </row>
    <row r="15124" spans="1:16" ht="17.399999999999999">
      <c r="A15124" s="547" t="s">
        <v>395</v>
      </c>
      <c r="B15124" s="547" t="s">
        <v>1730</v>
      </c>
      <c r="C15124" s="547" t="s">
        <v>19</v>
      </c>
      <c r="D15124" s="813" t="s">
        <v>155</v>
      </c>
      <c r="E15124" s="547" t="s">
        <v>270</v>
      </c>
      <c r="F15124" s="550">
        <v>8.5</v>
      </c>
      <c r="G15124" s="549" t="s">
        <v>61</v>
      </c>
      <c r="H15124" s="549" t="s">
        <v>366</v>
      </c>
      <c r="I15124" s="558">
        <v>10.92</v>
      </c>
      <c r="J15124" s="565">
        <v>10.5</v>
      </c>
      <c r="K15124" s="561">
        <v>16</v>
      </c>
      <c r="L15124" s="552">
        <f t="shared" ref="L15124" si="3040">(I15124*J15124*K15124/1000)</f>
        <v>1.83456</v>
      </c>
      <c r="M15124" s="549"/>
      <c r="N15124" s="549"/>
      <c r="O15124" s="549"/>
      <c r="P15124" s="549"/>
    </row>
    <row r="15125" spans="1:16" ht="17.399999999999999">
      <c r="A15125" s="549"/>
      <c r="B15125" s="549" t="s">
        <v>271</v>
      </c>
      <c r="C15125" s="549"/>
      <c r="D15125" s="549"/>
      <c r="E15125" s="549"/>
      <c r="F15125" s="549"/>
      <c r="G15125" s="549"/>
      <c r="H15125" s="549"/>
      <c r="I15125" s="558"/>
      <c r="J15125" s="565"/>
      <c r="K15125" s="561">
        <f>SUM(K15124:K15124)</f>
        <v>16</v>
      </c>
      <c r="L15125" s="565">
        <f>SUM(L15124:L15124)</f>
        <v>1.83456</v>
      </c>
      <c r="M15125" s="549"/>
      <c r="N15125" s="549"/>
      <c r="O15125" s="549"/>
      <c r="P15125" s="549" t="s">
        <v>1804</v>
      </c>
    </row>
    <row r="15126" spans="1:16" s="1737" customFormat="1" ht="17.399999999999999">
      <c r="A15126" s="549"/>
      <c r="B15126" s="549"/>
      <c r="C15126" s="549"/>
      <c r="D15126" s="549"/>
      <c r="E15126" s="549"/>
      <c r="F15126" s="549"/>
      <c r="G15126" s="549"/>
      <c r="H15126" s="549"/>
      <c r="I15126" s="558"/>
      <c r="J15126" s="565"/>
      <c r="K15126" s="561"/>
      <c r="L15126" s="565"/>
      <c r="M15126" s="549"/>
      <c r="N15126" s="549"/>
      <c r="O15126" s="549"/>
      <c r="P15126" s="549"/>
    </row>
    <row r="15127" spans="1:16" ht="17.399999999999999">
      <c r="A15127" s="547" t="s">
        <v>395</v>
      </c>
      <c r="B15127" s="547" t="s">
        <v>1710</v>
      </c>
      <c r="C15127" s="547" t="s">
        <v>19</v>
      </c>
      <c r="D15127" s="813" t="s">
        <v>155</v>
      </c>
      <c r="E15127" s="547" t="s">
        <v>270</v>
      </c>
      <c r="F15127" s="550">
        <v>8.5</v>
      </c>
      <c r="G15127" s="549" t="s">
        <v>61</v>
      </c>
      <c r="H15127" s="549" t="s">
        <v>366</v>
      </c>
      <c r="I15127" s="558">
        <v>10.92</v>
      </c>
      <c r="J15127" s="567">
        <v>6</v>
      </c>
      <c r="K15127" s="648">
        <v>2</v>
      </c>
      <c r="L15127" s="552">
        <f t="shared" ref="L15127:L15129" si="3041">(I15127*J15127*K15127/1000)</f>
        <v>0.13103999999999999</v>
      </c>
      <c r="M15127" s="549"/>
      <c r="N15127" s="549"/>
      <c r="O15127" s="549"/>
      <c r="P15127" s="549"/>
    </row>
    <row r="15128" spans="1:16" ht="17.399999999999999">
      <c r="A15128" s="549"/>
      <c r="B15128" s="549" t="s">
        <v>1027</v>
      </c>
      <c r="C15128" s="549"/>
      <c r="D15128" s="549"/>
      <c r="E15128" s="549"/>
      <c r="F15128" s="549"/>
      <c r="G15128" s="549" t="s">
        <v>61</v>
      </c>
      <c r="H15128" s="549" t="s">
        <v>366</v>
      </c>
      <c r="I15128" s="558">
        <v>10.92</v>
      </c>
      <c r="J15128" s="567">
        <v>10</v>
      </c>
      <c r="K15128" s="648">
        <v>6</v>
      </c>
      <c r="L15128" s="552">
        <f t="shared" si="3041"/>
        <v>0.6552</v>
      </c>
      <c r="M15128" s="549"/>
      <c r="N15128" s="549"/>
      <c r="O15128" s="549"/>
      <c r="P15128" s="549"/>
    </row>
    <row r="15129" spans="1:16" ht="17.399999999999999">
      <c r="A15129" s="549"/>
      <c r="B15129" s="549"/>
      <c r="C15129" s="549"/>
      <c r="D15129" s="549"/>
      <c r="E15129" s="549"/>
      <c r="F15129" s="549"/>
      <c r="G15129" s="549" t="s">
        <v>61</v>
      </c>
      <c r="H15129" s="549" t="s">
        <v>366</v>
      </c>
      <c r="I15129" s="558">
        <v>10.92</v>
      </c>
      <c r="J15129" s="567">
        <v>11.5</v>
      </c>
      <c r="K15129" s="648">
        <v>4</v>
      </c>
      <c r="L15129" s="552">
        <f t="shared" si="3041"/>
        <v>0.50231999999999999</v>
      </c>
      <c r="M15129" s="549"/>
      <c r="N15129" s="549"/>
      <c r="O15129" s="549"/>
      <c r="P15129" s="549"/>
    </row>
    <row r="15130" spans="1:16" ht="17.399999999999999">
      <c r="A15130" s="549"/>
      <c r="B15130" s="549"/>
      <c r="C15130" s="549"/>
      <c r="D15130" s="549"/>
      <c r="E15130" s="549"/>
      <c r="F15130" s="549"/>
      <c r="G15130" s="549"/>
      <c r="H15130" s="549"/>
      <c r="I15130" s="558"/>
      <c r="J15130" s="567"/>
      <c r="K15130" s="648">
        <f>SUM(K15127:K15129)</f>
        <v>12</v>
      </c>
      <c r="L15130" s="567">
        <f>SUM(L15127:L15129)</f>
        <v>1.2885599999999999</v>
      </c>
      <c r="M15130" s="549"/>
      <c r="N15130" s="549"/>
      <c r="O15130" s="549"/>
      <c r="P15130" s="549" t="s">
        <v>1805</v>
      </c>
    </row>
    <row r="15131" spans="1:16" ht="17.399999999999999">
      <c r="A15131" s="549"/>
      <c r="B15131" s="549"/>
      <c r="C15131" s="549"/>
      <c r="D15131" s="549"/>
      <c r="E15131" s="549"/>
      <c r="F15131" s="549"/>
      <c r="G15131" s="549"/>
      <c r="H15131" s="549"/>
      <c r="I15131" s="560"/>
      <c r="J15131" s="549"/>
      <c r="K15131" s="652">
        <f>SUM(K15115:K15130)/2</f>
        <v>72</v>
      </c>
      <c r="L15131" s="565">
        <f>SUM(L15115:L15130)/2</f>
        <v>8.1681600000000003</v>
      </c>
      <c r="M15131" s="549"/>
      <c r="N15131" s="549"/>
      <c r="O15131" s="549"/>
      <c r="P15131" s="549"/>
    </row>
    <row r="15132" spans="1:16" s="1737" customFormat="1" ht="17.399999999999999">
      <c r="A15132" s="549"/>
      <c r="B15132" s="549"/>
      <c r="C15132" s="549"/>
      <c r="D15132" s="549"/>
      <c r="E15132" s="549"/>
      <c r="F15132" s="549"/>
      <c r="G15132" s="549"/>
      <c r="H15132" s="549"/>
      <c r="I15132" s="560"/>
      <c r="J15132" s="549"/>
      <c r="K15132" s="652"/>
      <c r="L15132" s="565"/>
      <c r="M15132" s="549"/>
      <c r="N15132" s="549"/>
      <c r="O15132" s="549"/>
      <c r="P15132" s="549"/>
    </row>
    <row r="15133" spans="1:16" ht="17.399999999999999">
      <c r="A15133" s="549"/>
      <c r="B15133" s="549"/>
      <c r="C15133" s="549"/>
      <c r="D15133" s="549"/>
      <c r="E15133" s="549"/>
      <c r="F15133" s="549"/>
      <c r="G15133" s="549"/>
      <c r="H15133" s="549"/>
      <c r="I15133" s="560"/>
      <c r="J15133" s="549"/>
      <c r="K15133" s="561"/>
      <c r="L15133" s="560"/>
      <c r="M15133" s="549"/>
      <c r="N15133" s="549"/>
      <c r="O15133" s="549"/>
      <c r="P15133" s="549"/>
    </row>
    <row r="15134" spans="1:16" ht="17.399999999999999">
      <c r="A15134" s="549"/>
      <c r="B15134" s="549"/>
      <c r="C15134" s="549"/>
      <c r="D15134" s="549"/>
      <c r="E15134" s="549"/>
      <c r="F15134" s="549"/>
      <c r="G15134" s="549"/>
      <c r="H15134" s="549"/>
      <c r="I15134" s="558"/>
      <c r="J15134" s="549"/>
      <c r="K15134" s="561"/>
      <c r="L15134" s="560"/>
      <c r="M15134" s="549"/>
      <c r="N15134" s="549"/>
      <c r="O15134" s="549"/>
      <c r="P15134" s="549"/>
    </row>
    <row r="15135" spans="1:16" ht="17.399999999999999">
      <c r="A15135" s="547" t="s">
        <v>83</v>
      </c>
      <c r="B15135" s="547" t="s">
        <v>1730</v>
      </c>
      <c r="C15135" s="547" t="s">
        <v>19</v>
      </c>
      <c r="D15135" s="813" t="s">
        <v>854</v>
      </c>
      <c r="E15135" s="754" t="s">
        <v>420</v>
      </c>
      <c r="F15135" s="550">
        <v>11</v>
      </c>
      <c r="G15135" s="718" t="s">
        <v>21</v>
      </c>
      <c r="H15135" s="718" t="s">
        <v>53</v>
      </c>
      <c r="I15135" s="558">
        <v>8.3000000000000007</v>
      </c>
      <c r="J15135" s="647">
        <v>5.6</v>
      </c>
      <c r="K15135" s="549">
        <v>1</v>
      </c>
      <c r="L15135" s="552">
        <f t="shared" ref="L15135:L15139" si="3042">(I15135*J15135*K15135/1000)</f>
        <v>4.6480000000000007E-2</v>
      </c>
      <c r="M15135" s="549">
        <v>1</v>
      </c>
      <c r="N15135" s="567">
        <f>J15135*M15135*I15135/1000</f>
        <v>4.6480000000000007E-2</v>
      </c>
      <c r="O15135" s="549"/>
      <c r="P15135" s="549"/>
    </row>
    <row r="15136" spans="1:16" ht="17.399999999999999">
      <c r="A15136" s="549"/>
      <c r="B15136" s="549" t="s">
        <v>84</v>
      </c>
      <c r="C15136" s="549"/>
      <c r="D15136" s="549"/>
      <c r="E15136" s="549"/>
      <c r="F15136" s="549"/>
      <c r="G15136" s="718" t="s">
        <v>21</v>
      </c>
      <c r="H15136" s="718" t="s">
        <v>53</v>
      </c>
      <c r="I15136" s="558">
        <v>8.3000000000000007</v>
      </c>
      <c r="J15136" s="647">
        <v>9.8000000000000007</v>
      </c>
      <c r="K15136" s="549">
        <v>1</v>
      </c>
      <c r="L15136" s="552">
        <f t="shared" si="3042"/>
        <v>8.1340000000000023E-2</v>
      </c>
      <c r="M15136" s="549">
        <v>1</v>
      </c>
      <c r="N15136" s="567">
        <f t="shared" ref="N15136:N15139" si="3043">J15136*M15136*I15136/1000</f>
        <v>8.1340000000000023E-2</v>
      </c>
      <c r="O15136" s="549"/>
      <c r="P15136" s="549"/>
    </row>
    <row r="15137" spans="1:16" ht="17.399999999999999">
      <c r="A15137" s="549"/>
      <c r="B15137" s="549"/>
      <c r="C15137" s="549"/>
      <c r="D15137" s="549"/>
      <c r="E15137" s="549"/>
      <c r="F15137" s="549"/>
      <c r="G15137" s="718" t="s">
        <v>21</v>
      </c>
      <c r="H15137" s="718" t="s">
        <v>53</v>
      </c>
      <c r="I15137" s="558">
        <v>8.3000000000000007</v>
      </c>
      <c r="J15137" s="647">
        <v>7</v>
      </c>
      <c r="K15137" s="549">
        <v>1</v>
      </c>
      <c r="L15137" s="552">
        <f t="shared" si="3042"/>
        <v>5.8100000000000006E-2</v>
      </c>
      <c r="M15137" s="549">
        <v>1</v>
      </c>
      <c r="N15137" s="567">
        <f t="shared" si="3043"/>
        <v>5.8100000000000006E-2</v>
      </c>
      <c r="O15137" s="549"/>
      <c r="P15137" s="549"/>
    </row>
    <row r="15138" spans="1:16" ht="17.399999999999999">
      <c r="A15138" s="549"/>
      <c r="B15138" s="549"/>
      <c r="C15138" s="549"/>
      <c r="D15138" s="549"/>
      <c r="E15138" s="549"/>
      <c r="F15138" s="549"/>
      <c r="G15138" s="718" t="s">
        <v>21</v>
      </c>
      <c r="H15138" s="718" t="s">
        <v>53</v>
      </c>
      <c r="I15138" s="558">
        <v>8.3000000000000007</v>
      </c>
      <c r="J15138" s="647">
        <v>8</v>
      </c>
      <c r="K15138" s="549">
        <v>1</v>
      </c>
      <c r="L15138" s="552">
        <f t="shared" si="3042"/>
        <v>6.6400000000000001E-2</v>
      </c>
      <c r="M15138" s="549">
        <v>1</v>
      </c>
      <c r="N15138" s="567">
        <f t="shared" si="3043"/>
        <v>6.6400000000000001E-2</v>
      </c>
      <c r="O15138" s="549"/>
      <c r="P15138" s="549"/>
    </row>
    <row r="15139" spans="1:16" ht="17.399999999999999">
      <c r="A15139" s="549"/>
      <c r="B15139" s="549"/>
      <c r="C15139" s="549"/>
      <c r="D15139" s="549"/>
      <c r="E15139" s="549"/>
      <c r="F15139" s="549"/>
      <c r="G15139" s="718" t="s">
        <v>21</v>
      </c>
      <c r="H15139" s="718" t="s">
        <v>53</v>
      </c>
      <c r="I15139" s="558">
        <v>8.3000000000000007</v>
      </c>
      <c r="J15139" s="647">
        <v>12</v>
      </c>
      <c r="K15139" s="549">
        <v>1</v>
      </c>
      <c r="L15139" s="552">
        <f t="shared" si="3042"/>
        <v>9.9600000000000008E-2</v>
      </c>
      <c r="M15139" s="549">
        <v>1</v>
      </c>
      <c r="N15139" s="567">
        <f t="shared" si="3043"/>
        <v>9.9600000000000008E-2</v>
      </c>
      <c r="O15139" s="549"/>
      <c r="P15139" s="549"/>
    </row>
    <row r="15140" spans="1:16" ht="17.399999999999999">
      <c r="A15140" s="549"/>
      <c r="B15140" s="549"/>
      <c r="C15140" s="549"/>
      <c r="D15140" s="549"/>
      <c r="E15140" s="549"/>
      <c r="F15140" s="549"/>
      <c r="G15140" s="549"/>
      <c r="H15140" s="549"/>
      <c r="I15140" s="558"/>
      <c r="J15140" s="549"/>
      <c r="K15140" s="561">
        <f t="shared" ref="K15140" si="3044">SUM(K15135:K15139)</f>
        <v>5</v>
      </c>
      <c r="L15140" s="710">
        <f>SUM(L15135:L15139)</f>
        <v>0.35192000000000007</v>
      </c>
      <c r="M15140" s="561">
        <f t="shared" ref="M15140" si="3045">SUM(M15135:M15139)</f>
        <v>5</v>
      </c>
      <c r="N15140" s="710">
        <f>SUM(N15135:N15139)</f>
        <v>0.35192000000000007</v>
      </c>
      <c r="O15140" s="549"/>
      <c r="P15140" s="549"/>
    </row>
    <row r="15141" spans="1:16" ht="17.399999999999999">
      <c r="A15141" s="547" t="s">
        <v>83</v>
      </c>
      <c r="B15141" s="547" t="s">
        <v>1730</v>
      </c>
      <c r="C15141" s="547" t="s">
        <v>19</v>
      </c>
      <c r="D15141" s="813" t="s">
        <v>854</v>
      </c>
      <c r="E15141" s="754" t="s">
        <v>420</v>
      </c>
      <c r="F15141" s="550">
        <v>11</v>
      </c>
      <c r="G15141" s="718" t="s">
        <v>21</v>
      </c>
      <c r="H15141" s="718" t="s">
        <v>54</v>
      </c>
      <c r="I15141" s="558">
        <v>9.61</v>
      </c>
      <c r="J15141" s="647">
        <v>12</v>
      </c>
      <c r="K15141" s="549">
        <v>3</v>
      </c>
      <c r="L15141" s="725">
        <v>0.34595999999999999</v>
      </c>
      <c r="M15141" s="549">
        <v>3</v>
      </c>
      <c r="N15141" s="567">
        <f t="shared" ref="N15141:N15146" si="3046">J15141*M15141*I15141/1000</f>
        <v>0.34595999999999999</v>
      </c>
      <c r="O15141" s="549"/>
      <c r="P15141" s="549"/>
    </row>
    <row r="15142" spans="1:16" ht="17.399999999999999">
      <c r="A15142" s="549"/>
      <c r="B15142" s="549" t="s">
        <v>84</v>
      </c>
      <c r="C15142" s="549"/>
      <c r="D15142" s="549"/>
      <c r="E15142" s="549"/>
      <c r="F15142" s="549"/>
      <c r="G15142" s="549" t="s">
        <v>21</v>
      </c>
      <c r="H15142" s="549" t="s">
        <v>54</v>
      </c>
      <c r="I15142" s="558">
        <v>9.61</v>
      </c>
      <c r="J15142" s="647">
        <v>8.3000000000000007</v>
      </c>
      <c r="K15142" s="549">
        <v>2</v>
      </c>
      <c r="L15142" s="725">
        <v>0.159526</v>
      </c>
      <c r="M15142" s="549">
        <v>2</v>
      </c>
      <c r="N15142" s="567">
        <f t="shared" si="3046"/>
        <v>0.159526</v>
      </c>
      <c r="O15142" s="549"/>
      <c r="P15142" s="549"/>
    </row>
    <row r="15143" spans="1:16" ht="17.399999999999999">
      <c r="A15143" s="549"/>
      <c r="B15143" s="549"/>
      <c r="C15143" s="549"/>
      <c r="D15143" s="549"/>
      <c r="E15143" s="549"/>
      <c r="F15143" s="549"/>
      <c r="G15143" s="549" t="s">
        <v>21</v>
      </c>
      <c r="H15143" s="549" t="s">
        <v>54</v>
      </c>
      <c r="I15143" s="558">
        <v>9.61</v>
      </c>
      <c r="J15143" s="647">
        <v>6.5</v>
      </c>
      <c r="K15143" s="549">
        <v>1</v>
      </c>
      <c r="L15143" s="725">
        <v>6.2465E-2</v>
      </c>
      <c r="M15143" s="549">
        <v>1</v>
      </c>
      <c r="N15143" s="567">
        <f t="shared" si="3046"/>
        <v>6.2465E-2</v>
      </c>
      <c r="O15143" s="549"/>
      <c r="P15143" s="549"/>
    </row>
    <row r="15144" spans="1:16" ht="17.399999999999999">
      <c r="A15144" s="549"/>
      <c r="B15144" s="549"/>
      <c r="C15144" s="549"/>
      <c r="D15144" s="549"/>
      <c r="E15144" s="549"/>
      <c r="F15144" s="549"/>
      <c r="G15144" s="718" t="s">
        <v>21</v>
      </c>
      <c r="H15144" s="718" t="s">
        <v>54</v>
      </c>
      <c r="I15144" s="558">
        <v>9.61</v>
      </c>
      <c r="J15144" s="1826">
        <v>8.5</v>
      </c>
      <c r="K15144" s="549">
        <v>1</v>
      </c>
      <c r="L15144" s="725">
        <v>8.1685000000000008E-2</v>
      </c>
      <c r="M15144" s="549">
        <v>1</v>
      </c>
      <c r="N15144" s="567">
        <f t="shared" si="3046"/>
        <v>8.1685000000000008E-2</v>
      </c>
      <c r="O15144" s="549"/>
      <c r="P15144" s="549"/>
    </row>
    <row r="15145" spans="1:16" ht="17.399999999999999">
      <c r="A15145" s="549"/>
      <c r="B15145" s="549"/>
      <c r="C15145" s="549"/>
      <c r="D15145" s="549"/>
      <c r="E15145" s="549"/>
      <c r="F15145" s="549"/>
      <c r="G15145" s="718" t="s">
        <v>21</v>
      </c>
      <c r="H15145" s="718" t="s">
        <v>54</v>
      </c>
      <c r="I15145" s="558">
        <v>9.61</v>
      </c>
      <c r="J15145" s="1826">
        <v>10</v>
      </c>
      <c r="K15145" s="549">
        <v>1</v>
      </c>
      <c r="L15145" s="725">
        <v>9.6099999999999991E-2</v>
      </c>
      <c r="M15145" s="549">
        <v>1</v>
      </c>
      <c r="N15145" s="567">
        <f t="shared" si="3046"/>
        <v>9.6099999999999991E-2</v>
      </c>
      <c r="O15145" s="549"/>
      <c r="P15145" s="549"/>
    </row>
    <row r="15146" spans="1:16" ht="17.399999999999999">
      <c r="A15146" s="549"/>
      <c r="B15146" s="549"/>
      <c r="C15146" s="549"/>
      <c r="D15146" s="549"/>
      <c r="E15146" s="549"/>
      <c r="F15146" s="549"/>
      <c r="G15146" s="718" t="s">
        <v>21</v>
      </c>
      <c r="H15146" s="718" t="s">
        <v>54</v>
      </c>
      <c r="I15146" s="558">
        <v>9.61</v>
      </c>
      <c r="J15146" s="1826">
        <v>12</v>
      </c>
      <c r="K15146" s="549">
        <v>1</v>
      </c>
      <c r="L15146" s="725">
        <v>0.11531999999999999</v>
      </c>
      <c r="M15146" s="549">
        <v>1</v>
      </c>
      <c r="N15146" s="567">
        <f t="shared" si="3046"/>
        <v>0.11531999999999999</v>
      </c>
      <c r="O15146" s="549"/>
      <c r="P15146" s="549"/>
    </row>
    <row r="15147" spans="1:16" ht="17.399999999999999">
      <c r="A15147" s="549"/>
      <c r="B15147" s="549"/>
      <c r="C15147" s="549"/>
      <c r="D15147" s="549"/>
      <c r="E15147" s="549"/>
      <c r="F15147" s="549"/>
      <c r="G15147" s="549"/>
      <c r="H15147" s="549"/>
      <c r="I15147" s="558"/>
      <c r="J15147" s="549"/>
      <c r="K15147" s="561">
        <f t="shared" ref="K15147" si="3047">SUM(K15141:K15146)</f>
        <v>9</v>
      </c>
      <c r="L15147" s="710">
        <f>SUM(L15141:L15146)</f>
        <v>0.86105599999999993</v>
      </c>
      <c r="M15147" s="561">
        <f t="shared" ref="M15147" si="3048">SUM(M15141:M15146)</f>
        <v>9</v>
      </c>
      <c r="N15147" s="710">
        <f>SUM(N15141:N15146)</f>
        <v>0.86105599999999993</v>
      </c>
      <c r="O15147" s="549"/>
      <c r="P15147" s="549"/>
    </row>
    <row r="15148" spans="1:16" ht="17.399999999999999">
      <c r="A15148" s="549"/>
      <c r="B15148" s="549"/>
      <c r="C15148" s="549"/>
      <c r="D15148" s="549"/>
      <c r="E15148" s="549"/>
      <c r="F15148" s="549"/>
      <c r="G15148" s="549"/>
      <c r="H15148" s="549"/>
      <c r="I15148" s="558"/>
      <c r="J15148" s="549"/>
      <c r="K15148" s="561"/>
      <c r="L15148" s="710">
        <f>+L15147+L15140</f>
        <v>1.2129760000000001</v>
      </c>
      <c r="M15148" s="549"/>
      <c r="N15148" s="710">
        <f>+N15147+N15140</f>
        <v>1.2129760000000001</v>
      </c>
      <c r="O15148" s="549" t="s">
        <v>1774</v>
      </c>
      <c r="P15148" s="549"/>
    </row>
    <row r="15149" spans="1:16" s="1737" customFormat="1" ht="17.399999999999999">
      <c r="A15149" s="549"/>
      <c r="B15149" s="549"/>
      <c r="C15149" s="549"/>
      <c r="D15149" s="549"/>
      <c r="E15149" s="549"/>
      <c r="F15149" s="549"/>
      <c r="G15149" s="549"/>
      <c r="H15149" s="549"/>
      <c r="I15149" s="558"/>
      <c r="J15149" s="549"/>
      <c r="K15149" s="561"/>
      <c r="L15149" s="710"/>
      <c r="M15149" s="549"/>
      <c r="N15149" s="549"/>
      <c r="O15149" s="549"/>
      <c r="P15149" s="549"/>
    </row>
    <row r="15150" spans="1:16" s="1737" customFormat="1" ht="17.399999999999999">
      <c r="A15150" s="549"/>
      <c r="B15150" s="549"/>
      <c r="C15150" s="549"/>
      <c r="D15150" s="549"/>
      <c r="E15150" s="549"/>
      <c r="F15150" s="549"/>
      <c r="G15150" s="549"/>
      <c r="H15150" s="549"/>
      <c r="I15150" s="558"/>
      <c r="J15150" s="567"/>
      <c r="K15150" s="648"/>
      <c r="L15150" s="567"/>
      <c r="M15150" s="549"/>
      <c r="N15150" s="549"/>
      <c r="O15150" s="549"/>
      <c r="P15150" s="549"/>
    </row>
    <row r="15151" spans="1:16" ht="17.399999999999999">
      <c r="A15151" s="549"/>
      <c r="B15151" s="549"/>
      <c r="C15151" s="549"/>
      <c r="D15151" s="549"/>
      <c r="E15151" s="549"/>
      <c r="F15151" s="549"/>
      <c r="G15151" s="549"/>
      <c r="H15151" s="549"/>
      <c r="I15151" s="558"/>
      <c r="J15151" s="549"/>
      <c r="K15151" s="561"/>
      <c r="L15151" s="560"/>
      <c r="M15151" s="549"/>
      <c r="N15151" s="549"/>
      <c r="O15151" s="549"/>
      <c r="P15151" s="549"/>
    </row>
    <row r="15152" spans="1:16" ht="17.399999999999999">
      <c r="A15152" s="547" t="s">
        <v>395</v>
      </c>
      <c r="B15152" s="547" t="s">
        <v>1725</v>
      </c>
      <c r="C15152" s="547" t="s">
        <v>19</v>
      </c>
      <c r="D15152" s="813" t="s">
        <v>854</v>
      </c>
      <c r="E15152" s="547" t="s">
        <v>359</v>
      </c>
      <c r="F15152" s="550">
        <v>11</v>
      </c>
      <c r="G15152" s="549" t="s">
        <v>21</v>
      </c>
      <c r="H15152" s="549" t="s">
        <v>366</v>
      </c>
      <c r="I15152" s="558">
        <v>10.92</v>
      </c>
      <c r="J15152" s="567">
        <v>6</v>
      </c>
      <c r="K15152" s="648">
        <v>1</v>
      </c>
      <c r="L15152" s="552">
        <f t="shared" ref="L15152:L15153" si="3049">(I15152*J15152*K15152/1000)</f>
        <v>6.5519999999999995E-2</v>
      </c>
      <c r="M15152" s="549">
        <v>1</v>
      </c>
      <c r="N15152" s="567">
        <f t="shared" ref="N15152" si="3050">J15152*M15152*I15152/1000</f>
        <v>6.5519999999999995E-2</v>
      </c>
      <c r="O15152" s="549"/>
      <c r="P15152" s="549"/>
    </row>
    <row r="15153" spans="1:16" ht="17.399999999999999">
      <c r="A15153" s="549"/>
      <c r="B15153" s="549" t="s">
        <v>1780</v>
      </c>
      <c r="C15153" s="549"/>
      <c r="D15153" s="549"/>
      <c r="E15153" s="549"/>
      <c r="F15153" s="549"/>
      <c r="G15153" s="549" t="s">
        <v>21</v>
      </c>
      <c r="H15153" s="549" t="s">
        <v>366</v>
      </c>
      <c r="I15153" s="558">
        <v>10.92</v>
      </c>
      <c r="J15153" s="567">
        <v>7.5</v>
      </c>
      <c r="K15153" s="648">
        <v>8</v>
      </c>
      <c r="L15153" s="552">
        <f t="shared" si="3049"/>
        <v>0.6552</v>
      </c>
      <c r="M15153" s="549">
        <v>8</v>
      </c>
      <c r="N15153" s="567">
        <f>J15153*M15153*I15153/1000</f>
        <v>0.6552</v>
      </c>
      <c r="O15153" s="549"/>
      <c r="P15153" s="549"/>
    </row>
    <row r="15154" spans="1:16" ht="17.399999999999999">
      <c r="A15154" s="549"/>
      <c r="B15154" s="549"/>
      <c r="C15154" s="549"/>
      <c r="D15154" s="549"/>
      <c r="E15154" s="549"/>
      <c r="F15154" s="549"/>
      <c r="G15154" s="549"/>
      <c r="H15154" s="549"/>
      <c r="I15154" s="558"/>
      <c r="J15154" s="567"/>
      <c r="K15154" s="648">
        <f t="shared" ref="K15154:M15154" si="3051">SUM(K15152:K15153)</f>
        <v>9</v>
      </c>
      <c r="L15154" s="567">
        <f>SUM(L15152:L15153)</f>
        <v>0.72072000000000003</v>
      </c>
      <c r="M15154" s="648">
        <f t="shared" si="3051"/>
        <v>9</v>
      </c>
      <c r="N15154" s="567">
        <f>SUM(N15152:N15153)</f>
        <v>0.72072000000000003</v>
      </c>
      <c r="O15154" s="549"/>
      <c r="P15154" s="549"/>
    </row>
    <row r="15155" spans="1:16" s="1737" customFormat="1" ht="17.399999999999999">
      <c r="A15155" s="549"/>
      <c r="B15155" s="549"/>
      <c r="C15155" s="549"/>
      <c r="D15155" s="549"/>
      <c r="E15155" s="549"/>
      <c r="F15155" s="549"/>
      <c r="G15155" s="549"/>
      <c r="H15155" s="549"/>
      <c r="I15155" s="558"/>
      <c r="J15155" s="567"/>
      <c r="K15155" s="648"/>
      <c r="L15155" s="567"/>
      <c r="M15155" s="549"/>
      <c r="N15155" s="549"/>
      <c r="O15155" s="549"/>
      <c r="P15155" s="549"/>
    </row>
    <row r="15156" spans="1:16" s="1737" customFormat="1" ht="17.399999999999999">
      <c r="A15156" s="547" t="s">
        <v>83</v>
      </c>
      <c r="B15156" s="547" t="s">
        <v>1746</v>
      </c>
      <c r="C15156" s="547" t="s">
        <v>19</v>
      </c>
      <c r="D15156" s="813" t="s">
        <v>854</v>
      </c>
      <c r="E15156" s="547" t="s">
        <v>359</v>
      </c>
      <c r="F15156" s="550">
        <v>11</v>
      </c>
      <c r="G15156" s="549" t="s">
        <v>21</v>
      </c>
      <c r="H15156" s="549" t="s">
        <v>366</v>
      </c>
      <c r="I15156" s="558">
        <v>10.9</v>
      </c>
      <c r="J15156" s="567">
        <v>9.8000000000000007</v>
      </c>
      <c r="K15156" s="648">
        <v>4</v>
      </c>
      <c r="L15156" s="552">
        <f>(I15156*J15156*K15156/1000)</f>
        <v>0.42728000000000005</v>
      </c>
      <c r="M15156" s="549">
        <v>4</v>
      </c>
      <c r="N15156" s="567">
        <f t="shared" ref="N15156" si="3052">J15156*M15156*I15156/1000</f>
        <v>0.42728000000000005</v>
      </c>
      <c r="O15156" s="549"/>
      <c r="P15156" s="549"/>
    </row>
    <row r="15157" spans="1:16" s="1737" customFormat="1" ht="17.399999999999999">
      <c r="A15157" s="549"/>
      <c r="B15157" s="549" t="s">
        <v>1135</v>
      </c>
      <c r="C15157" s="549"/>
      <c r="D15157" s="549"/>
      <c r="E15157" s="549"/>
      <c r="F15157" s="549"/>
      <c r="G15157" s="549"/>
      <c r="H15157" s="549"/>
      <c r="I15157" s="558"/>
      <c r="J15157" s="567"/>
      <c r="K15157" s="648">
        <f t="shared" ref="K15157:N15157" si="3053">SUM(K15156)</f>
        <v>4</v>
      </c>
      <c r="L15157" s="567">
        <f t="shared" si="3053"/>
        <v>0.42728000000000005</v>
      </c>
      <c r="M15157" s="648">
        <f t="shared" si="3053"/>
        <v>4</v>
      </c>
      <c r="N15157" s="567">
        <f t="shared" si="3053"/>
        <v>0.42728000000000005</v>
      </c>
      <c r="O15157" s="549"/>
      <c r="P15157" s="549"/>
    </row>
    <row r="15158" spans="1:16" s="1737" customFormat="1" ht="17.399999999999999">
      <c r="A15158" s="549"/>
      <c r="B15158" s="549"/>
      <c r="C15158" s="549"/>
      <c r="D15158" s="549"/>
      <c r="E15158" s="549"/>
      <c r="F15158" s="549"/>
      <c r="G15158" s="549"/>
      <c r="H15158" s="549"/>
      <c r="I15158" s="558"/>
      <c r="J15158" s="567"/>
      <c r="K15158" s="648"/>
      <c r="L15158" s="567"/>
      <c r="M15158" s="549"/>
      <c r="N15158" s="549"/>
      <c r="O15158" s="549"/>
      <c r="P15158" s="549"/>
    </row>
    <row r="15159" spans="1:16" s="1737" customFormat="1" ht="17.399999999999999">
      <c r="A15159" s="549"/>
      <c r="B15159" s="549"/>
      <c r="C15159" s="549"/>
      <c r="D15159" s="549"/>
      <c r="E15159" s="549"/>
      <c r="F15159" s="549"/>
      <c r="G15159" s="549"/>
      <c r="H15159" s="549"/>
      <c r="I15159" s="558"/>
      <c r="J15159" s="567"/>
      <c r="K15159" s="648"/>
      <c r="L15159" s="567"/>
      <c r="M15159" s="549"/>
      <c r="N15159" s="549"/>
      <c r="O15159" s="549"/>
      <c r="P15159" s="549"/>
    </row>
    <row r="15160" spans="1:16" s="1737" customFormat="1" ht="17.399999999999999">
      <c r="A15160" s="549"/>
      <c r="B15160" s="549"/>
      <c r="C15160" s="549"/>
      <c r="D15160" s="549"/>
      <c r="E15160" s="549"/>
      <c r="F15160" s="549"/>
      <c r="G15160" s="549"/>
      <c r="H15160" s="549"/>
      <c r="I15160" s="558"/>
      <c r="J15160" s="567"/>
      <c r="K15160" s="648"/>
      <c r="L15160" s="567"/>
      <c r="M15160" s="549"/>
      <c r="N15160" s="549"/>
      <c r="O15160" s="549"/>
      <c r="P15160" s="549"/>
    </row>
    <row r="15161" spans="1:16" s="1737" customFormat="1" ht="17.399999999999999">
      <c r="A15161" s="549"/>
      <c r="B15161" s="549"/>
      <c r="C15161" s="549"/>
      <c r="D15161" s="549"/>
      <c r="E15161" s="549"/>
      <c r="F15161" s="549"/>
      <c r="G15161" s="549"/>
      <c r="H15161" s="549"/>
      <c r="I15161" s="558"/>
      <c r="J15161" s="567"/>
      <c r="K15161" s="648"/>
      <c r="L15161" s="567"/>
      <c r="M15161" s="549"/>
      <c r="N15161" s="549"/>
      <c r="O15161" s="549"/>
      <c r="P15161" s="549"/>
    </row>
    <row r="15162" spans="1:16" s="1737" customFormat="1" ht="17.399999999999999">
      <c r="A15162" s="549"/>
      <c r="B15162" s="549"/>
      <c r="C15162" s="549"/>
      <c r="D15162" s="549"/>
      <c r="E15162" s="549"/>
      <c r="F15162" s="549"/>
      <c r="G15162" s="549"/>
      <c r="H15162" s="549"/>
      <c r="I15162" s="558"/>
      <c r="J15162" s="549"/>
      <c r="K15162" s="561"/>
      <c r="L15162" s="560"/>
      <c r="M15162" s="549"/>
      <c r="N15162" s="549"/>
      <c r="O15162" s="549"/>
      <c r="P15162" s="549"/>
    </row>
    <row r="15163" spans="1:16" s="1737" customFormat="1" ht="17.399999999999999">
      <c r="A15163" s="549"/>
      <c r="B15163" s="549"/>
      <c r="C15163" s="549"/>
      <c r="D15163" s="549"/>
      <c r="E15163" s="549"/>
      <c r="F15163" s="549"/>
      <c r="G15163" s="549"/>
      <c r="H15163" s="549"/>
      <c r="I15163" s="558"/>
      <c r="J15163" s="549"/>
      <c r="K15163" s="561"/>
      <c r="L15163" s="560"/>
      <c r="M15163" s="549"/>
      <c r="N15163" s="549"/>
      <c r="O15163" s="549"/>
      <c r="P15163" s="549"/>
    </row>
    <row r="15164" spans="1:16" ht="17.399999999999999">
      <c r="A15164" s="547" t="s">
        <v>395</v>
      </c>
      <c r="B15164" s="547" t="s">
        <v>1781</v>
      </c>
      <c r="C15164" s="547" t="s">
        <v>19</v>
      </c>
      <c r="D15164" s="813" t="s">
        <v>155</v>
      </c>
      <c r="E15164" s="547" t="s">
        <v>270</v>
      </c>
      <c r="F15164" s="550">
        <v>8.5</v>
      </c>
      <c r="G15164" s="549" t="s">
        <v>61</v>
      </c>
      <c r="H15164" s="549" t="s">
        <v>53</v>
      </c>
      <c r="I15164" s="558">
        <v>8.32</v>
      </c>
      <c r="J15164" s="567">
        <v>12</v>
      </c>
      <c r="K15164" s="648">
        <v>4</v>
      </c>
      <c r="L15164" s="552">
        <f t="shared" ref="L15164" si="3054">(I15164*J15164*K15164/1000)</f>
        <v>0.39935999999999999</v>
      </c>
      <c r="M15164" s="549">
        <v>4</v>
      </c>
      <c r="N15164" s="567">
        <f t="shared" ref="N15164" si="3055">J15164*M15164*I15164/1000</f>
        <v>0.39935999999999999</v>
      </c>
      <c r="O15164" s="549"/>
      <c r="P15164" s="549"/>
    </row>
    <row r="15165" spans="1:16" ht="17.399999999999999">
      <c r="A15165" s="549"/>
      <c r="B15165" s="549" t="s">
        <v>271</v>
      </c>
      <c r="C15165" s="549"/>
      <c r="D15165" s="549"/>
      <c r="E15165" s="549"/>
      <c r="F15165" s="549"/>
      <c r="G15165" s="549"/>
      <c r="H15165" s="549"/>
      <c r="I15165" s="558"/>
      <c r="J15165" s="565"/>
      <c r="K15165" s="561">
        <f>SUM(K15164:K15164)</f>
        <v>4</v>
      </c>
      <c r="L15165" s="565">
        <f>SUM(L15164:L15164)</f>
        <v>0.39935999999999999</v>
      </c>
      <c r="M15165" s="561">
        <f>SUM(M15164:M15164)</f>
        <v>4</v>
      </c>
      <c r="N15165" s="565">
        <f>SUM(N15164:N15164)</f>
        <v>0.39935999999999999</v>
      </c>
      <c r="O15165" s="549"/>
      <c r="P15165" s="549"/>
    </row>
    <row r="15166" spans="1:16" s="1737" customFormat="1" ht="17.399999999999999">
      <c r="A15166" s="549"/>
      <c r="B15166" s="549"/>
      <c r="C15166" s="549"/>
      <c r="D15166" s="549"/>
      <c r="E15166" s="549"/>
      <c r="F15166" s="549"/>
      <c r="G15166" s="549"/>
      <c r="H15166" s="549"/>
      <c r="I15166" s="558"/>
      <c r="J15166" s="565"/>
      <c r="K15166" s="561"/>
      <c r="L15166" s="565"/>
      <c r="M15166" s="549"/>
      <c r="N15166" s="549"/>
      <c r="O15166" s="549"/>
      <c r="P15166" s="549"/>
    </row>
    <row r="15167" spans="1:16" ht="17.399999999999999">
      <c r="A15167" s="549"/>
      <c r="B15167" s="549"/>
      <c r="C15167" s="549"/>
      <c r="D15167" s="549"/>
      <c r="E15167" s="549"/>
      <c r="F15167" s="549"/>
      <c r="G15167" s="549"/>
      <c r="H15167" s="549"/>
      <c r="I15167" s="560"/>
      <c r="J15167" s="549"/>
      <c r="K15167" s="561"/>
      <c r="L15167" s="560"/>
      <c r="M15167" s="549"/>
      <c r="N15167" s="549"/>
      <c r="O15167" s="549"/>
      <c r="P15167" s="549"/>
    </row>
    <row r="15168" spans="1:16" ht="18">
      <c r="A15168" s="707"/>
      <c r="B15168" s="707"/>
      <c r="C15168" s="707"/>
      <c r="D15168" s="707"/>
      <c r="E15168" s="707"/>
      <c r="F15168" s="707"/>
      <c r="G15168" s="707"/>
      <c r="H15168" s="707"/>
      <c r="I15168" s="1854"/>
      <c r="J15168" s="707"/>
      <c r="K15168" s="1020"/>
      <c r="L15168" s="1824"/>
      <c r="M15168" s="707"/>
      <c r="N15168" s="707"/>
      <c r="O15168" s="707"/>
      <c r="P15168" s="707"/>
    </row>
    <row r="15169" spans="1:16" ht="18">
      <c r="A15169" s="707"/>
      <c r="B15169" s="707"/>
      <c r="C15169" s="707"/>
      <c r="D15169" s="707"/>
      <c r="E15169" s="707"/>
      <c r="F15169" s="707"/>
      <c r="G15169" s="707"/>
      <c r="H15169" s="707"/>
      <c r="I15169" s="1854"/>
      <c r="J15169" s="707"/>
      <c r="K15169" s="564">
        <f>+K15131+K15165+K15154+K15006+K15062+K15036+K15148+K14965+K14956+K14988+K15067+K15088+K15110+K15157</f>
        <v>7548</v>
      </c>
      <c r="L15169" s="568">
        <f>+L15131+L15165+L15154+L15006+L15062+L15036+L15148+L14965+L14956+L14988+L15067+L15088+L15110+L15157</f>
        <v>577.16233799999998</v>
      </c>
      <c r="M15169" s="564">
        <f>+M15131+M15165+M15154+M15006+M15062+M15036+M15148+M14965+M14956+M14988+M15067+M15088+M15110+M15157</f>
        <v>98</v>
      </c>
      <c r="N15169" s="568">
        <f>+N15131+N15165+N15154+N15006+N15062+N15036+N15148+N14965+N14956+N14988+N15067+N15088+N15110+N15157</f>
        <v>7.9292990000000003</v>
      </c>
      <c r="O15169" s="707"/>
      <c r="P15169" s="707"/>
    </row>
    <row r="15170" spans="1:16" ht="18">
      <c r="A15170" s="653" t="s">
        <v>48</v>
      </c>
      <c r="B15170" s="653"/>
      <c r="C15170" s="654"/>
      <c r="D15170" s="654"/>
      <c r="E15170" s="654"/>
      <c r="F15170" s="1836"/>
      <c r="G15170" s="654"/>
      <c r="H15170" s="1836"/>
      <c r="I15170" s="656"/>
      <c r="J15170" s="654"/>
      <c r="K15170" s="657"/>
      <c r="L15170" s="2003" t="s">
        <v>0</v>
      </c>
      <c r="M15170" s="2003"/>
      <c r="N15170" s="2003"/>
      <c r="O15170" s="2004"/>
      <c r="P15170" s="1097"/>
    </row>
    <row r="15171" spans="1:16" ht="18">
      <c r="A15171" s="658" t="s">
        <v>1</v>
      </c>
      <c r="B15171" s="658"/>
      <c r="C15171" s="658"/>
      <c r="D15171" s="659" t="s">
        <v>2</v>
      </c>
      <c r="E15171" s="659"/>
      <c r="F15171" s="660"/>
      <c r="G15171" s="660"/>
      <c r="H15171" s="660"/>
      <c r="I15171" s="661"/>
      <c r="J15171" s="660"/>
      <c r="K15171" s="662" t="s">
        <v>3</v>
      </c>
      <c r="L15171" s="660"/>
      <c r="M15171" s="658"/>
      <c r="N15171" s="660"/>
      <c r="O15171" s="663"/>
      <c r="P15171" s="1098"/>
    </row>
    <row r="15172" spans="1:16" ht="18">
      <c r="A15172" s="1836" t="s">
        <v>22</v>
      </c>
      <c r="B15172" s="1990" t="s">
        <v>23</v>
      </c>
      <c r="C15172" s="2005"/>
      <c r="D15172" s="1989"/>
      <c r="E15172" s="1836" t="s">
        <v>24</v>
      </c>
      <c r="F15172" s="1990" t="s">
        <v>25</v>
      </c>
      <c r="G15172" s="1989"/>
      <c r="H15172" s="1990" t="s">
        <v>26</v>
      </c>
      <c r="I15172" s="2005"/>
      <c r="J15172" s="2005"/>
      <c r="K15172" s="1989"/>
      <c r="L15172" s="2006" t="s">
        <v>27</v>
      </c>
      <c r="M15172" s="2006"/>
      <c r="N15172" s="2006"/>
      <c r="O15172" s="1990"/>
      <c r="P15172" s="1098"/>
    </row>
    <row r="15173" spans="1:16" ht="18">
      <c r="A15173" s="664"/>
      <c r="B15173" s="1975"/>
      <c r="C15173" s="1976"/>
      <c r="D15173" s="1977"/>
      <c r="E15173" s="665"/>
      <c r="F15173" s="1975"/>
      <c r="G15173" s="1977"/>
      <c r="H15173" s="1975"/>
      <c r="I15173" s="1976"/>
      <c r="J15173" s="1976"/>
      <c r="K15173" s="1977"/>
      <c r="L15173" s="1975"/>
      <c r="M15173" s="1976"/>
      <c r="N15173" s="1976"/>
      <c r="O15173" s="1976"/>
      <c r="P15173" s="1098"/>
    </row>
    <row r="15174" spans="1:16" s="1737" customFormat="1" ht="18">
      <c r="A15174" s="664" t="s">
        <v>28</v>
      </c>
      <c r="B15174" s="1975" t="s">
        <v>280</v>
      </c>
      <c r="C15174" s="1976"/>
      <c r="D15174" s="1977"/>
      <c r="E15174" s="665">
        <f>+L14956-2.028</f>
        <v>79.182687999999999</v>
      </c>
      <c r="F15174" s="1973">
        <v>8.5</v>
      </c>
      <c r="G15174" s="1974"/>
      <c r="H15174" s="1975" t="s">
        <v>450</v>
      </c>
      <c r="I15174" s="1976"/>
      <c r="J15174" s="1976"/>
      <c r="K15174" s="1977"/>
      <c r="L15174" s="1975" t="s">
        <v>64</v>
      </c>
      <c r="M15174" s="1976"/>
      <c r="N15174" s="1976"/>
      <c r="O15174" s="2008"/>
      <c r="P15174" s="1098"/>
    </row>
    <row r="15175" spans="1:16" s="1737" customFormat="1" ht="18">
      <c r="A15175" s="664"/>
      <c r="B15175" s="1828"/>
      <c r="C15175" s="1829"/>
      <c r="D15175" s="1830"/>
      <c r="E15175" s="665"/>
      <c r="F15175" s="1831"/>
      <c r="G15175" s="1832"/>
      <c r="H15175" s="1828"/>
      <c r="I15175" s="1842"/>
      <c r="J15175" s="1829"/>
      <c r="K15175" s="1830"/>
      <c r="L15175" s="1828"/>
      <c r="M15175" s="1829"/>
      <c r="N15175" s="1829"/>
      <c r="O15175" s="1833"/>
      <c r="P15175" s="1098"/>
    </row>
    <row r="15176" spans="1:16" s="1737" customFormat="1" ht="18">
      <c r="A15176" s="664" t="s">
        <v>29</v>
      </c>
      <c r="B15176" s="1975" t="s">
        <v>279</v>
      </c>
      <c r="C15176" s="1976"/>
      <c r="D15176" s="1977"/>
      <c r="E15176" s="665">
        <f>+L14965</f>
        <v>4.8645820000000004</v>
      </c>
      <c r="F15176" s="1973">
        <v>11</v>
      </c>
      <c r="G15176" s="1974"/>
      <c r="H15176" s="1975" t="s">
        <v>450</v>
      </c>
      <c r="I15176" s="1976"/>
      <c r="J15176" s="1976"/>
      <c r="K15176" s="1977"/>
      <c r="L15176" s="1975" t="s">
        <v>64</v>
      </c>
      <c r="M15176" s="1976"/>
      <c r="N15176" s="1976"/>
      <c r="O15176" s="2008"/>
      <c r="P15176" s="1098"/>
    </row>
    <row r="15177" spans="1:16" s="1737" customFormat="1" ht="18">
      <c r="A15177" s="664" t="s">
        <v>30</v>
      </c>
      <c r="B15177" s="1975" t="s">
        <v>676</v>
      </c>
      <c r="C15177" s="1976"/>
      <c r="D15177" s="1977"/>
      <c r="E15177" s="665">
        <f>+L14988-1.119</f>
        <v>52.625275999999999</v>
      </c>
      <c r="F15177" s="1973">
        <v>11</v>
      </c>
      <c r="G15177" s="1974"/>
      <c r="H15177" s="1975" t="s">
        <v>450</v>
      </c>
      <c r="I15177" s="1976"/>
      <c r="J15177" s="1976"/>
      <c r="K15177" s="1977"/>
      <c r="L15177" s="1975" t="s">
        <v>64</v>
      </c>
      <c r="M15177" s="1976"/>
      <c r="N15177" s="1976"/>
      <c r="O15177" s="2008"/>
      <c r="P15177" s="1098"/>
    </row>
    <row r="15178" spans="1:16" s="1737" customFormat="1" ht="18">
      <c r="A15178" s="664"/>
      <c r="B15178" s="1828"/>
      <c r="C15178" s="1829"/>
      <c r="D15178" s="1830"/>
      <c r="E15178" s="665"/>
      <c r="F15178" s="1831"/>
      <c r="G15178" s="1832"/>
      <c r="H15178" s="1828"/>
      <c r="I15178" s="1842"/>
      <c r="J15178" s="1829"/>
      <c r="K15178" s="1830"/>
      <c r="L15178" s="1829"/>
      <c r="M15178" s="1829"/>
      <c r="N15178" s="1829"/>
      <c r="O15178" s="1829"/>
      <c r="P15178" s="1098"/>
    </row>
    <row r="15179" spans="1:16" s="1737" customFormat="1" ht="18">
      <c r="A15179" s="664"/>
      <c r="B15179" s="1828"/>
      <c r="C15179" s="1829"/>
      <c r="D15179" s="1830"/>
      <c r="E15179" s="665"/>
      <c r="F15179" s="1831"/>
      <c r="G15179" s="1832"/>
      <c r="H15179" s="1828"/>
      <c r="I15179" s="1842"/>
      <c r="J15179" s="1829"/>
      <c r="K15179" s="1830"/>
      <c r="L15179" s="1829"/>
      <c r="M15179" s="1829"/>
      <c r="N15179" s="1829"/>
      <c r="O15179" s="1829"/>
      <c r="P15179" s="1098"/>
    </row>
    <row r="15180" spans="1:16" s="1737" customFormat="1" ht="18">
      <c r="A15180" s="664" t="s">
        <v>46</v>
      </c>
      <c r="B15180" s="1975" t="s">
        <v>79</v>
      </c>
      <c r="C15180" s="1976"/>
      <c r="D15180" s="1977"/>
      <c r="E15180" s="665">
        <f>+L15006-2.022</f>
        <v>10.907350000000003</v>
      </c>
      <c r="F15180" s="1973">
        <v>11</v>
      </c>
      <c r="G15180" s="1974"/>
      <c r="H15180" s="1975" t="s">
        <v>49</v>
      </c>
      <c r="I15180" s="1976"/>
      <c r="J15180" s="1976"/>
      <c r="K15180" s="1977"/>
      <c r="L15180" s="1975" t="s">
        <v>65</v>
      </c>
      <c r="M15180" s="1976"/>
      <c r="N15180" s="1976"/>
      <c r="O15180" s="2008"/>
      <c r="P15180" s="1098"/>
    </row>
    <row r="15181" spans="1:16" s="1737" customFormat="1" ht="18">
      <c r="A15181" s="664" t="s">
        <v>58</v>
      </c>
      <c r="B15181" s="1975" t="s">
        <v>55</v>
      </c>
      <c r="C15181" s="1976"/>
      <c r="D15181" s="1977"/>
      <c r="E15181" s="665">
        <f>+L15036</f>
        <v>13.007190000000001</v>
      </c>
      <c r="F15181" s="1973">
        <v>11</v>
      </c>
      <c r="G15181" s="1974"/>
      <c r="H15181" s="1975" t="s">
        <v>49</v>
      </c>
      <c r="I15181" s="1976"/>
      <c r="J15181" s="1976"/>
      <c r="K15181" s="1977"/>
      <c r="L15181" s="1975" t="s">
        <v>1046</v>
      </c>
      <c r="M15181" s="1976"/>
      <c r="N15181" s="1976"/>
      <c r="O15181" s="2008"/>
      <c r="P15181" s="1098"/>
    </row>
    <row r="15182" spans="1:16" s="1737" customFormat="1" ht="18">
      <c r="A15182" s="664" t="s">
        <v>163</v>
      </c>
      <c r="B15182" s="1975" t="s">
        <v>56</v>
      </c>
      <c r="C15182" s="1976"/>
      <c r="D15182" s="1977"/>
      <c r="E15182" s="665">
        <f>+L15062</f>
        <v>18.825989999999997</v>
      </c>
      <c r="F15182" s="1973">
        <v>11</v>
      </c>
      <c r="G15182" s="1974"/>
      <c r="H15182" s="1975" t="s">
        <v>49</v>
      </c>
      <c r="I15182" s="1976"/>
      <c r="J15182" s="1976"/>
      <c r="K15182" s="1977"/>
      <c r="L15182" s="1975" t="s">
        <v>1046</v>
      </c>
      <c r="M15182" s="1976"/>
      <c r="N15182" s="1976"/>
      <c r="O15182" s="2008"/>
      <c r="P15182" s="1098"/>
    </row>
    <row r="15183" spans="1:16" s="1737" customFormat="1" ht="18">
      <c r="A15183" s="664"/>
      <c r="B15183" s="1828"/>
      <c r="C15183" s="1829"/>
      <c r="D15183" s="1830"/>
      <c r="E15183" s="665"/>
      <c r="F15183" s="1831"/>
      <c r="G15183" s="1832"/>
      <c r="H15183" s="1828"/>
      <c r="I15183" s="1842"/>
      <c r="J15183" s="1829"/>
      <c r="K15183" s="1830"/>
      <c r="L15183" s="1828"/>
      <c r="M15183" s="1829"/>
      <c r="N15183" s="1829"/>
      <c r="O15183" s="1833"/>
      <c r="P15183" s="1098"/>
    </row>
    <row r="15184" spans="1:16" s="1737" customFormat="1" ht="18">
      <c r="A15184" s="664"/>
      <c r="B15184" s="1828"/>
      <c r="C15184" s="1829"/>
      <c r="D15184" s="1830"/>
      <c r="E15184" s="665"/>
      <c r="F15184" s="1831"/>
      <c r="G15184" s="1832"/>
      <c r="H15184" s="1828"/>
      <c r="I15184" s="1842"/>
      <c r="J15184" s="1829"/>
      <c r="K15184" s="1830"/>
      <c r="L15184" s="1828"/>
      <c r="M15184" s="1829"/>
      <c r="N15184" s="1829"/>
      <c r="O15184" s="1833"/>
      <c r="P15184" s="1098"/>
    </row>
    <row r="15185" spans="1:16" ht="18">
      <c r="A15185" s="664" t="s">
        <v>302</v>
      </c>
      <c r="B15185" s="1975" t="s">
        <v>56</v>
      </c>
      <c r="C15185" s="1976"/>
      <c r="D15185" s="1977"/>
      <c r="E15185" s="665">
        <f>+L15067</f>
        <v>9.648439999999999</v>
      </c>
      <c r="F15185" s="1973">
        <v>11</v>
      </c>
      <c r="G15185" s="1974"/>
      <c r="H15185" s="1975" t="s">
        <v>447</v>
      </c>
      <c r="I15185" s="1976"/>
      <c r="J15185" s="1976"/>
      <c r="K15185" s="1977"/>
      <c r="L15185" s="1975" t="s">
        <v>65</v>
      </c>
      <c r="M15185" s="1976"/>
      <c r="N15185" s="1976"/>
      <c r="O15185" s="2008"/>
      <c r="P15185" s="1098"/>
    </row>
    <row r="15186" spans="1:16" ht="18">
      <c r="A15186" s="664" t="s">
        <v>380</v>
      </c>
      <c r="B15186" s="1975" t="s">
        <v>55</v>
      </c>
      <c r="C15186" s="1976"/>
      <c r="D15186" s="1977"/>
      <c r="E15186" s="665">
        <f>+L15088</f>
        <v>199.605952</v>
      </c>
      <c r="F15186" s="1973">
        <v>11</v>
      </c>
      <c r="G15186" s="1974"/>
      <c r="H15186" s="1975" t="s">
        <v>447</v>
      </c>
      <c r="I15186" s="1976"/>
      <c r="J15186" s="1976"/>
      <c r="K15186" s="1977"/>
      <c r="L15186" s="1975" t="s">
        <v>65</v>
      </c>
      <c r="M15186" s="1976"/>
      <c r="N15186" s="1976"/>
      <c r="O15186" s="2008"/>
      <c r="P15186" s="1098"/>
    </row>
    <row r="15187" spans="1:16" ht="18">
      <c r="A15187" s="664" t="s">
        <v>434</v>
      </c>
      <c r="B15187" s="1975" t="s">
        <v>79</v>
      </c>
      <c r="C15187" s="1976"/>
      <c r="D15187" s="1977"/>
      <c r="E15187" s="665">
        <f>+L15110</f>
        <v>172.39737400000001</v>
      </c>
      <c r="F15187" s="1973">
        <v>11</v>
      </c>
      <c r="G15187" s="1974"/>
      <c r="H15187" s="1975" t="s">
        <v>447</v>
      </c>
      <c r="I15187" s="1976"/>
      <c r="J15187" s="1976"/>
      <c r="K15187" s="1977"/>
      <c r="L15187" s="1975" t="s">
        <v>1631</v>
      </c>
      <c r="M15187" s="1976"/>
      <c r="N15187" s="1976"/>
      <c r="O15187" s="2008"/>
      <c r="P15187" s="1098"/>
    </row>
    <row r="15188" spans="1:16" s="1737" customFormat="1" ht="18">
      <c r="A15188" s="664"/>
      <c r="B15188" s="1828"/>
      <c r="C15188" s="1829"/>
      <c r="D15188" s="1830"/>
      <c r="E15188" s="665"/>
      <c r="F15188" s="1831"/>
      <c r="G15188" s="1832"/>
      <c r="H15188" s="1828"/>
      <c r="I15188" s="1842"/>
      <c r="J15188" s="1829"/>
      <c r="K15188" s="1830"/>
      <c r="L15188" s="1829"/>
      <c r="M15188" s="1829"/>
      <c r="N15188" s="1829"/>
      <c r="O15188" s="1829"/>
      <c r="P15188" s="1098"/>
    </row>
    <row r="15189" spans="1:16" ht="18">
      <c r="A15189" s="664"/>
      <c r="B15189" s="1828"/>
      <c r="C15189" s="1829"/>
      <c r="D15189" s="1830"/>
      <c r="E15189" s="665"/>
      <c r="F15189" s="1831"/>
      <c r="G15189" s="1832"/>
      <c r="H15189" s="1828"/>
      <c r="I15189" s="1842"/>
      <c r="J15189" s="1829"/>
      <c r="K15189" s="1830"/>
      <c r="L15189" s="1829"/>
      <c r="M15189" s="1829"/>
      <c r="N15189" s="1829"/>
      <c r="O15189" s="1829"/>
      <c r="P15189" s="1098"/>
    </row>
    <row r="15190" spans="1:16" ht="18">
      <c r="A15190" s="664" t="s">
        <v>474</v>
      </c>
      <c r="B15190" s="1975" t="s">
        <v>1130</v>
      </c>
      <c r="C15190" s="1976"/>
      <c r="D15190" s="1977"/>
      <c r="E15190" s="665">
        <v>12</v>
      </c>
      <c r="F15190" s="1973">
        <v>8.5</v>
      </c>
      <c r="G15190" s="1974"/>
      <c r="H15190" s="2007" t="s">
        <v>1131</v>
      </c>
      <c r="I15190" s="2007"/>
      <c r="J15190" s="2007"/>
      <c r="K15190" s="2007"/>
      <c r="L15190" s="1975" t="s">
        <v>64</v>
      </c>
      <c r="M15190" s="1976"/>
      <c r="N15190" s="1976"/>
      <c r="O15190" s="2008"/>
      <c r="P15190" s="1098"/>
    </row>
    <row r="15191" spans="1:16" ht="18">
      <c r="A15191" s="664"/>
      <c r="B15191" s="1828"/>
      <c r="C15191" s="1829"/>
      <c r="D15191" s="1830"/>
      <c r="E15191" s="665"/>
      <c r="F15191" s="1831"/>
      <c r="G15191" s="1832"/>
      <c r="H15191" s="1828"/>
      <c r="I15191" s="1842"/>
      <c r="J15191" s="1829"/>
      <c r="K15191" s="1830"/>
      <c r="L15191" s="1829"/>
      <c r="M15191" s="1829"/>
      <c r="N15191" s="1829"/>
      <c r="O15191" s="1829"/>
      <c r="P15191" s="1098"/>
    </row>
    <row r="15192" spans="1:16" ht="18">
      <c r="A15192" s="664"/>
      <c r="B15192" s="1975"/>
      <c r="C15192" s="1976"/>
      <c r="D15192" s="1977"/>
      <c r="E15192" s="665"/>
      <c r="F15192" s="1973"/>
      <c r="G15192" s="1974"/>
      <c r="H15192" s="1975"/>
      <c r="I15192" s="1976"/>
      <c r="J15192" s="1976"/>
      <c r="K15192" s="1977"/>
      <c r="L15192" s="1976"/>
      <c r="M15192" s="1976"/>
      <c r="N15192" s="1976"/>
      <c r="O15192" s="1976"/>
      <c r="P15192" s="1098"/>
    </row>
    <row r="15193" spans="1:16" ht="18.600000000000001" thickBot="1">
      <c r="A15193" s="664"/>
      <c r="B15193" s="1828"/>
      <c r="C15193" s="1829"/>
      <c r="D15193" s="1829"/>
      <c r="E15193" s="665"/>
      <c r="F15193" s="1829"/>
      <c r="G15193" s="1830"/>
      <c r="H15193" s="1828"/>
      <c r="I15193" s="1842"/>
      <c r="J15193" s="1829"/>
      <c r="K15193" s="669"/>
      <c r="L15193" s="672"/>
      <c r="M15193" s="673"/>
      <c r="N15193" s="673"/>
      <c r="O15193" s="673"/>
      <c r="P15193" s="1098"/>
    </row>
    <row r="15194" spans="1:16" ht="18">
      <c r="A15194" s="674"/>
      <c r="B15194" s="675"/>
      <c r="C15194" s="676"/>
      <c r="D15194" s="676"/>
      <c r="E15194" s="1980">
        <f>SUM(E15173:E15193)</f>
        <v>573.064842</v>
      </c>
      <c r="F15194" s="677"/>
      <c r="G15194" s="678"/>
      <c r="H15194" s="679"/>
      <c r="I15194" s="1848"/>
      <c r="J15194" s="676"/>
      <c r="K15194" s="680"/>
      <c r="L15194" s="679"/>
      <c r="M15194" s="676"/>
      <c r="N15194" s="677"/>
      <c r="O15194" s="676"/>
      <c r="P15194" s="1098"/>
    </row>
    <row r="15195" spans="1:16" ht="18.600000000000001" thickBot="1">
      <c r="A15195" s="681"/>
      <c r="B15195" s="682"/>
      <c r="C15195" s="683"/>
      <c r="D15195" s="683"/>
      <c r="E15195" s="1981"/>
      <c r="F15195" s="684"/>
      <c r="G15195" s="685"/>
      <c r="H15195" s="686"/>
      <c r="I15195" s="1850"/>
      <c r="J15195" s="683"/>
      <c r="K15195" s="687"/>
      <c r="L15195" s="686"/>
      <c r="M15195" s="683"/>
      <c r="N15195" s="684"/>
      <c r="O15195" s="683"/>
      <c r="P15195" s="1098"/>
    </row>
    <row r="15196" spans="1:16" ht="18">
      <c r="A15196" s="688" t="s">
        <v>31</v>
      </c>
      <c r="B15196" s="676"/>
      <c r="C15196" s="676"/>
      <c r="D15196" s="676"/>
      <c r="E15196" s="676"/>
      <c r="F15196" s="677"/>
      <c r="G15196" s="676"/>
      <c r="H15196" s="677"/>
      <c r="I15196" s="1848"/>
      <c r="J15196" s="676"/>
      <c r="K15196" s="689"/>
      <c r="L15196" s="677"/>
      <c r="M15196" s="676"/>
      <c r="N15196" s="677"/>
      <c r="O15196" s="676"/>
      <c r="P15196" s="1098"/>
    </row>
    <row r="15197" spans="1:16" ht="18">
      <c r="A15197" s="690"/>
      <c r="B15197" s="691"/>
      <c r="C15197" s="691"/>
      <c r="D15197" s="691"/>
      <c r="E15197" s="691"/>
      <c r="F15197" s="1827"/>
      <c r="G15197" s="691"/>
      <c r="H15197" s="1827"/>
      <c r="I15197" s="1849"/>
      <c r="J15197" s="691"/>
      <c r="K15197" s="693"/>
      <c r="L15197" s="1827"/>
      <c r="M15197" s="691"/>
      <c r="N15197" s="1827"/>
      <c r="O15197" s="691"/>
      <c r="P15197" s="1098"/>
    </row>
    <row r="15198" spans="1:16" ht="18.600000000000001" thickBot="1">
      <c r="A15198" s="1982" t="s">
        <v>32</v>
      </c>
      <c r="B15198" s="1983"/>
      <c r="C15198" s="1984" t="s">
        <v>33</v>
      </c>
      <c r="D15198" s="1985"/>
      <c r="E15198" s="694" t="s">
        <v>34</v>
      </c>
      <c r="F15198" s="694" t="s">
        <v>35</v>
      </c>
      <c r="G15198" s="1986" t="s">
        <v>36</v>
      </c>
      <c r="H15198" s="1987"/>
      <c r="I15198" s="1987"/>
      <c r="J15198" s="1987"/>
      <c r="K15198" s="1987"/>
      <c r="L15198" s="1987"/>
      <c r="M15198" s="1987"/>
      <c r="N15198" s="1987"/>
      <c r="O15198" s="1987"/>
      <c r="P15198" s="1098"/>
    </row>
    <row r="15199" spans="1:16" ht="18">
      <c r="A15199" s="1988"/>
      <c r="B15199" s="1989"/>
      <c r="C15199" s="1990"/>
      <c r="D15199" s="1989"/>
      <c r="E15199" s="1836"/>
      <c r="F15199" s="1834"/>
      <c r="G15199" s="1991"/>
      <c r="H15199" s="1992"/>
      <c r="I15199" s="1992"/>
      <c r="J15199" s="1992"/>
      <c r="K15199" s="1992"/>
      <c r="L15199" s="1992"/>
      <c r="M15199" s="1992"/>
      <c r="N15199" s="1992"/>
      <c r="O15199" s="1992"/>
      <c r="P15199" s="1098"/>
    </row>
    <row r="15200" spans="1:16" ht="18">
      <c r="A15200" s="1997" t="s">
        <v>37</v>
      </c>
      <c r="B15200" s="1998"/>
      <c r="C15200" s="1990"/>
      <c r="D15200" s="1989"/>
      <c r="E15200" s="1836"/>
      <c r="F15200" s="1834"/>
      <c r="G15200" s="1993"/>
      <c r="H15200" s="1994"/>
      <c r="I15200" s="1994"/>
      <c r="J15200" s="1994"/>
      <c r="K15200" s="1994"/>
      <c r="L15200" s="1994"/>
      <c r="M15200" s="1994"/>
      <c r="N15200" s="1994"/>
      <c r="O15200" s="1994"/>
      <c r="P15200" s="1098"/>
    </row>
    <row r="15201" spans="1:16" ht="18">
      <c r="A15201" s="1997" t="s">
        <v>38</v>
      </c>
      <c r="B15201" s="1998"/>
      <c r="C15201" s="1990"/>
      <c r="D15201" s="1989"/>
      <c r="E15201" s="1836"/>
      <c r="F15201" s="1834"/>
      <c r="G15201" s="1993"/>
      <c r="H15201" s="1994"/>
      <c r="I15201" s="1994"/>
      <c r="J15201" s="1994"/>
      <c r="K15201" s="1994"/>
      <c r="L15201" s="1994"/>
      <c r="M15201" s="1994"/>
      <c r="N15201" s="1994"/>
      <c r="O15201" s="1994"/>
      <c r="P15201" s="1098"/>
    </row>
    <row r="15202" spans="1:16" ht="18">
      <c r="A15202" s="1997" t="s">
        <v>39</v>
      </c>
      <c r="B15202" s="1998"/>
      <c r="C15202" s="1990"/>
      <c r="D15202" s="1989"/>
      <c r="E15202" s="1836"/>
      <c r="F15202" s="1834"/>
      <c r="G15202" s="1993"/>
      <c r="H15202" s="1994"/>
      <c r="I15202" s="1994"/>
      <c r="J15202" s="1994"/>
      <c r="K15202" s="1994"/>
      <c r="L15202" s="1994"/>
      <c r="M15202" s="1994"/>
      <c r="N15202" s="1994"/>
      <c r="O15202" s="1994"/>
      <c r="P15202" s="1098"/>
    </row>
    <row r="15203" spans="1:16" ht="18">
      <c r="A15203" s="1997" t="s">
        <v>40</v>
      </c>
      <c r="B15203" s="1998"/>
      <c r="C15203" s="1990"/>
      <c r="D15203" s="1989"/>
      <c r="E15203" s="1836"/>
      <c r="F15203" s="1834"/>
      <c r="G15203" s="1993"/>
      <c r="H15203" s="1994"/>
      <c r="I15203" s="1994"/>
      <c r="J15203" s="1994"/>
      <c r="K15203" s="1994"/>
      <c r="L15203" s="1994"/>
      <c r="M15203" s="1994"/>
      <c r="N15203" s="1994"/>
      <c r="O15203" s="1994"/>
      <c r="P15203" s="1098"/>
    </row>
    <row r="15204" spans="1:16" ht="18.600000000000001" thickBot="1">
      <c r="A15204" s="1999" t="s">
        <v>41</v>
      </c>
      <c r="B15204" s="2000"/>
      <c r="C15204" s="2001"/>
      <c r="D15204" s="2002"/>
      <c r="E15204" s="696"/>
      <c r="F15204" s="1835"/>
      <c r="G15204" s="1995"/>
      <c r="H15204" s="1996"/>
      <c r="I15204" s="1996"/>
      <c r="J15204" s="1996"/>
      <c r="K15204" s="1996"/>
      <c r="L15204" s="1996"/>
      <c r="M15204" s="1996"/>
      <c r="N15204" s="1996"/>
      <c r="O15204" s="1996"/>
      <c r="P15204" s="1098"/>
    </row>
    <row r="15205" spans="1:16" ht="18">
      <c r="A15205" s="690"/>
      <c r="B15205" s="691"/>
      <c r="C15205" s="691"/>
      <c r="D15205" s="691"/>
      <c r="E15205" s="691"/>
      <c r="F15205" s="1827"/>
      <c r="G15205" s="691"/>
      <c r="H15205" s="698"/>
      <c r="I15205" s="699"/>
      <c r="J15205" s="700"/>
      <c r="K15205" s="701"/>
      <c r="L15205" s="702"/>
      <c r="M15205" s="691"/>
      <c r="N15205" s="1827"/>
      <c r="O15205" s="691"/>
      <c r="P15205" s="1098"/>
    </row>
    <row r="15206" spans="1:16" ht="18">
      <c r="A15206" s="703" t="s">
        <v>42</v>
      </c>
      <c r="B15206" s="704"/>
      <c r="C15206" s="691"/>
      <c r="D15206" s="691"/>
      <c r="E15206" s="691"/>
      <c r="F15206" s="1827"/>
      <c r="G15206" s="704"/>
      <c r="H15206" s="698"/>
      <c r="I15206" s="699"/>
      <c r="J15206" s="700"/>
      <c r="K15206" s="693"/>
      <c r="L15206" s="705"/>
      <c r="M15206" s="691"/>
      <c r="N15206" s="1979" t="s">
        <v>43</v>
      </c>
      <c r="O15206" s="1979"/>
      <c r="P15206" s="1098"/>
    </row>
    <row r="15207" spans="1:16" ht="18">
      <c r="A15207" s="703"/>
      <c r="B15207" s="704"/>
      <c r="C15207" s="691"/>
      <c r="D15207" s="691"/>
      <c r="E15207" s="691"/>
      <c r="F15207" s="1827"/>
      <c r="G15207" s="691"/>
      <c r="H15207" s="1827"/>
      <c r="I15207" s="1849"/>
      <c r="J15207" s="691"/>
      <c r="K15207" s="693"/>
      <c r="L15207" s="1827"/>
      <c r="M15207" s="691"/>
      <c r="N15207" s="1827"/>
      <c r="O15207" s="704"/>
      <c r="P15207" s="1098"/>
    </row>
    <row r="15208" spans="1:16" ht="18">
      <c r="A15208" s="703" t="s">
        <v>44</v>
      </c>
      <c r="B15208" s="704"/>
      <c r="C15208" s="691"/>
      <c r="D15208" s="691"/>
      <c r="E15208" s="691"/>
      <c r="F15208" s="1827"/>
      <c r="G15208" s="691"/>
      <c r="H15208" s="1827"/>
      <c r="I15208" s="1849"/>
      <c r="J15208" s="691"/>
      <c r="K15208" s="693"/>
      <c r="L15208" s="1827"/>
      <c r="M15208" s="691"/>
      <c r="N15208" s="1979" t="s">
        <v>45</v>
      </c>
      <c r="O15208" s="1979"/>
      <c r="P15208" s="1098"/>
    </row>
    <row r="15209" spans="1:16" ht="18.600000000000001" thickBot="1">
      <c r="A15209" s="682"/>
      <c r="B15209" s="683"/>
      <c r="C15209" s="683"/>
      <c r="D15209" s="683"/>
      <c r="E15209" s="683"/>
      <c r="F15209" s="684"/>
      <c r="G15209" s="683"/>
      <c r="H15209" s="684"/>
      <c r="I15209" s="1850"/>
      <c r="J15209" s="683"/>
      <c r="K15209" s="706"/>
      <c r="L15209" s="684"/>
      <c r="M15209" s="683"/>
      <c r="N15209" s="684"/>
      <c r="O15209" s="683"/>
      <c r="P15209" s="1099"/>
    </row>
    <row r="15213" spans="1:16" ht="17.399999999999999">
      <c r="A15213" s="711" t="s">
        <v>48</v>
      </c>
      <c r="B15213" s="711"/>
      <c r="C15213" s="712"/>
      <c r="D15213" s="712"/>
      <c r="E15213" s="712"/>
      <c r="F15213" s="713"/>
      <c r="G15213" s="712"/>
      <c r="H15213" s="712"/>
      <c r="I15213" s="714"/>
      <c r="J15213" s="715"/>
      <c r="K15213" s="716"/>
      <c r="L15213" s="1978" t="s">
        <v>0</v>
      </c>
      <c r="M15213" s="1978"/>
      <c r="N15213" s="1978"/>
      <c r="O15213" s="1978"/>
      <c r="P15213" s="717"/>
    </row>
    <row r="15214" spans="1:16" ht="17.399999999999999">
      <c r="A15214" s="718" t="s">
        <v>1</v>
      </c>
      <c r="B15214" s="718"/>
      <c r="C15214" s="718"/>
      <c r="D15214" s="719" t="s">
        <v>2</v>
      </c>
      <c r="E15214" s="719"/>
      <c r="F15214" s="720"/>
      <c r="G15214" s="720"/>
      <c r="H15214" s="720"/>
      <c r="I15214" s="721"/>
      <c r="J15214" s="1838"/>
      <c r="K15214" s="723" t="s">
        <v>3</v>
      </c>
      <c r="L15214" s="1838"/>
      <c r="M15214" s="718"/>
      <c r="N15214" s="720"/>
      <c r="O15214" s="718"/>
      <c r="P15214" s="724"/>
    </row>
    <row r="15215" spans="1:16" ht="52.2">
      <c r="A15215" s="640" t="s">
        <v>4</v>
      </c>
      <c r="B15215" s="640" t="s">
        <v>5</v>
      </c>
      <c r="C15215" s="640" t="s">
        <v>6</v>
      </c>
      <c r="D15215" s="640" t="s">
        <v>7</v>
      </c>
      <c r="E15215" s="640" t="s">
        <v>8</v>
      </c>
      <c r="F15215" s="641" t="s">
        <v>9</v>
      </c>
      <c r="G15215" s="642" t="s">
        <v>10</v>
      </c>
      <c r="H15215" s="642" t="s">
        <v>11</v>
      </c>
      <c r="I15215" s="643" t="s">
        <v>12</v>
      </c>
      <c r="J15215" s="644" t="s">
        <v>13</v>
      </c>
      <c r="K15215" s="645" t="s">
        <v>14</v>
      </c>
      <c r="L15215" s="646" t="s">
        <v>15</v>
      </c>
      <c r="M15215" s="641" t="s">
        <v>16</v>
      </c>
      <c r="N15215" s="641" t="s">
        <v>17</v>
      </c>
      <c r="O15215" s="642" t="s">
        <v>18</v>
      </c>
      <c r="P15215" s="641" t="s">
        <v>192</v>
      </c>
    </row>
    <row r="15216" spans="1:16" ht="17.399999999999999">
      <c r="A15216" s="547" t="s">
        <v>83</v>
      </c>
      <c r="B15216" s="918" t="s">
        <v>1806</v>
      </c>
      <c r="C15216" s="547" t="s">
        <v>19</v>
      </c>
      <c r="D15216" s="813" t="s">
        <v>854</v>
      </c>
      <c r="E15216" s="650" t="s">
        <v>464</v>
      </c>
      <c r="F15216" s="550">
        <v>9</v>
      </c>
      <c r="G15216" s="549" t="s">
        <v>21</v>
      </c>
      <c r="H15216" s="549" t="s">
        <v>263</v>
      </c>
      <c r="I15216" s="558">
        <v>6.38</v>
      </c>
      <c r="J15216" s="567">
        <v>10</v>
      </c>
      <c r="K15216" s="648">
        <v>180</v>
      </c>
      <c r="L15216" s="552">
        <f t="shared" ref="L15216:L15220" si="3056">(I15216*J15216*K15216/1000)</f>
        <v>11.484</v>
      </c>
      <c r="M15216" s="549"/>
      <c r="N15216" s="549"/>
      <c r="O15216" s="549"/>
      <c r="P15216" s="549"/>
    </row>
    <row r="15217" spans="1:16" ht="17.399999999999999">
      <c r="A15217" s="549"/>
      <c r="B15217" s="919" t="s">
        <v>1593</v>
      </c>
      <c r="C15217" s="549"/>
      <c r="D15217" s="549"/>
      <c r="E15217" s="549"/>
      <c r="F15217" s="549"/>
      <c r="G15217" s="549" t="s">
        <v>21</v>
      </c>
      <c r="H15217" s="549" t="s">
        <v>263</v>
      </c>
      <c r="I15217" s="558">
        <v>6.38</v>
      </c>
      <c r="J15217" s="567">
        <v>10.5</v>
      </c>
      <c r="K15217" s="648">
        <v>291</v>
      </c>
      <c r="L15217" s="552">
        <f t="shared" si="3056"/>
        <v>19.49409</v>
      </c>
      <c r="M15217" s="549"/>
      <c r="N15217" s="549"/>
      <c r="O15217" s="549"/>
      <c r="P15217" s="549"/>
    </row>
    <row r="15218" spans="1:16" ht="17.399999999999999">
      <c r="A15218" s="549"/>
      <c r="B15218" s="549"/>
      <c r="C15218" s="549"/>
      <c r="D15218" s="549"/>
      <c r="E15218" s="549"/>
      <c r="F15218" s="549"/>
      <c r="G15218" s="549" t="s">
        <v>21</v>
      </c>
      <c r="H15218" s="549" t="s">
        <v>263</v>
      </c>
      <c r="I15218" s="558">
        <v>6.38</v>
      </c>
      <c r="J15218" s="567">
        <v>11</v>
      </c>
      <c r="K15218" s="648">
        <v>259</v>
      </c>
      <c r="L15218" s="552">
        <f t="shared" si="3056"/>
        <v>18.17662</v>
      </c>
      <c r="M15218" s="549"/>
      <c r="N15218" s="549"/>
      <c r="O15218" s="549"/>
      <c r="P15218" s="549"/>
    </row>
    <row r="15219" spans="1:16" ht="17.399999999999999">
      <c r="A15219" s="549"/>
      <c r="B15219" s="549"/>
      <c r="C15219" s="549"/>
      <c r="D15219" s="549"/>
      <c r="E15219" s="549"/>
      <c r="F15219" s="549"/>
      <c r="G15219" s="549" t="s">
        <v>21</v>
      </c>
      <c r="H15219" s="549" t="s">
        <v>263</v>
      </c>
      <c r="I15219" s="558">
        <v>6.38</v>
      </c>
      <c r="J15219" s="567">
        <v>11.5</v>
      </c>
      <c r="K15219" s="648">
        <v>49</v>
      </c>
      <c r="L15219" s="552">
        <f t="shared" si="3056"/>
        <v>3.5951300000000002</v>
      </c>
      <c r="M15219" s="549"/>
      <c r="N15219" s="549"/>
      <c r="O15219" s="549"/>
      <c r="P15219" s="549"/>
    </row>
    <row r="15220" spans="1:16" ht="17.399999999999999">
      <c r="A15220" s="549"/>
      <c r="B15220" s="549"/>
      <c r="C15220" s="549"/>
      <c r="D15220" s="549"/>
      <c r="E15220" s="549"/>
      <c r="F15220" s="549"/>
      <c r="G15220" s="549" t="s">
        <v>21</v>
      </c>
      <c r="H15220" s="549" t="s">
        <v>263</v>
      </c>
      <c r="I15220" s="558">
        <v>6.38</v>
      </c>
      <c r="J15220" s="567">
        <v>12</v>
      </c>
      <c r="K15220" s="648">
        <v>364</v>
      </c>
      <c r="L15220" s="552">
        <f t="shared" si="3056"/>
        <v>27.867840000000001</v>
      </c>
      <c r="M15220" s="549"/>
      <c r="N15220" s="549"/>
      <c r="O15220" s="549"/>
      <c r="P15220" s="549"/>
    </row>
    <row r="15221" spans="1:16" ht="17.399999999999999">
      <c r="A15221" s="549"/>
      <c r="B15221" s="549"/>
      <c r="C15221" s="549"/>
      <c r="D15221" s="549"/>
      <c r="E15221" s="549"/>
      <c r="F15221" s="549"/>
      <c r="G15221" s="549"/>
      <c r="H15221" s="549"/>
      <c r="I15221" s="558"/>
      <c r="J15221" s="567"/>
      <c r="K15221" s="648">
        <f t="shared" ref="K15221:L15221" si="3057">SUM(K15216:K15220)</f>
        <v>1143</v>
      </c>
      <c r="L15221" s="567">
        <f t="shared" si="3057"/>
        <v>80.617680000000007</v>
      </c>
      <c r="M15221" s="549"/>
      <c r="N15221" s="549"/>
      <c r="O15221" s="549"/>
      <c r="P15221" s="549"/>
    </row>
    <row r="15222" spans="1:16" ht="17.399999999999999">
      <c r="A15222" s="549"/>
      <c r="B15222" s="549"/>
      <c r="C15222" s="549"/>
      <c r="D15222" s="549"/>
      <c r="E15222" s="549"/>
      <c r="F15222" s="549"/>
      <c r="G15222" s="549"/>
      <c r="H15222" s="549"/>
      <c r="I15222" s="558"/>
      <c r="J15222" s="549"/>
      <c r="K15222" s="561"/>
      <c r="L15222" s="560"/>
      <c r="M15222" s="549"/>
      <c r="N15222" s="549"/>
      <c r="O15222" s="549"/>
      <c r="P15222" s="549"/>
    </row>
    <row r="15223" spans="1:16" ht="17.399999999999999">
      <c r="A15223" s="547" t="s">
        <v>83</v>
      </c>
      <c r="B15223" s="918" t="s">
        <v>1558</v>
      </c>
      <c r="C15223" s="547" t="s">
        <v>19</v>
      </c>
      <c r="D15223" s="813" t="s">
        <v>854</v>
      </c>
      <c r="E15223" s="650" t="s">
        <v>464</v>
      </c>
      <c r="F15223" s="550">
        <v>9</v>
      </c>
      <c r="G15223" s="549" t="s">
        <v>21</v>
      </c>
      <c r="H15223" s="549" t="s">
        <v>263</v>
      </c>
      <c r="I15223" s="558">
        <v>6.38</v>
      </c>
      <c r="J15223" s="567">
        <v>12</v>
      </c>
      <c r="K15223" s="648">
        <v>15</v>
      </c>
      <c r="L15223" s="552">
        <f>(I15223*J15223*K15223/1000)</f>
        <v>1.1484000000000001</v>
      </c>
      <c r="M15223" s="549"/>
      <c r="N15223" s="549"/>
      <c r="O15223" s="549"/>
      <c r="P15223" s="549"/>
    </row>
    <row r="15224" spans="1:16" ht="17.399999999999999">
      <c r="A15224" s="549"/>
      <c r="B15224" s="919" t="s">
        <v>1593</v>
      </c>
      <c r="C15224" s="549"/>
      <c r="D15224" s="549"/>
      <c r="E15224" s="549"/>
      <c r="F15224" s="549"/>
      <c r="G15224" s="549"/>
      <c r="H15224" s="549"/>
      <c r="I15224" s="558"/>
      <c r="J15224" s="549"/>
      <c r="K15224" s="652">
        <f t="shared" ref="K15224" si="3058">SUM(K15223)</f>
        <v>15</v>
      </c>
      <c r="L15224" s="565">
        <f>SUM(L15223)</f>
        <v>1.1484000000000001</v>
      </c>
      <c r="M15224" s="549"/>
      <c r="N15224" s="549"/>
      <c r="O15224" s="549"/>
      <c r="P15224" s="549"/>
    </row>
    <row r="15225" spans="1:16" ht="17.399999999999999">
      <c r="A15225" s="549"/>
      <c r="B15225" s="549"/>
      <c r="C15225" s="549"/>
      <c r="D15225" s="549"/>
      <c r="E15225" s="549"/>
      <c r="F15225" s="549"/>
      <c r="G15225" s="549"/>
      <c r="H15225" s="549"/>
      <c r="I15225" s="558"/>
      <c r="J15225" s="549"/>
      <c r="K15225" s="561"/>
      <c r="L15225" s="560"/>
      <c r="M15225" s="549"/>
      <c r="N15225" s="549"/>
      <c r="O15225" s="549"/>
      <c r="P15225" s="549"/>
    </row>
    <row r="15226" spans="1:16" ht="17.399999999999999">
      <c r="A15226" s="547" t="s">
        <v>83</v>
      </c>
      <c r="B15226" s="918" t="s">
        <v>1807</v>
      </c>
      <c r="C15226" s="547" t="s">
        <v>19</v>
      </c>
      <c r="D15226" s="813" t="s">
        <v>854</v>
      </c>
      <c r="E15226" s="650" t="s">
        <v>464</v>
      </c>
      <c r="F15226" s="550">
        <v>9</v>
      </c>
      <c r="G15226" s="549" t="s">
        <v>21</v>
      </c>
      <c r="H15226" s="549" t="s">
        <v>263</v>
      </c>
      <c r="I15226" s="558">
        <v>6.38</v>
      </c>
      <c r="J15226" s="710">
        <v>12</v>
      </c>
      <c r="K15226" s="648">
        <v>15</v>
      </c>
      <c r="L15226" s="552">
        <f>(I15226*J15226*K15226/1000)</f>
        <v>1.1484000000000001</v>
      </c>
      <c r="M15226" s="549"/>
      <c r="N15226" s="549"/>
      <c r="O15226" s="549"/>
      <c r="P15226" s="549"/>
    </row>
    <row r="15227" spans="1:16" ht="17.399999999999999">
      <c r="A15227" s="549"/>
      <c r="B15227" s="919" t="s">
        <v>1593</v>
      </c>
      <c r="C15227" s="549"/>
      <c r="D15227" s="549"/>
      <c r="E15227" s="549"/>
      <c r="F15227" s="549"/>
      <c r="G15227" s="549"/>
      <c r="H15227" s="650"/>
      <c r="I15227" s="558"/>
      <c r="J15227" s="710"/>
      <c r="K15227" s="648">
        <f>SUM(K15226:K15226)</f>
        <v>15</v>
      </c>
      <c r="L15227" s="765">
        <f>SUM(L15226:L15226)</f>
        <v>1.1484000000000001</v>
      </c>
      <c r="M15227" s="549"/>
      <c r="N15227" s="549"/>
      <c r="O15227" s="549"/>
      <c r="P15227" s="549"/>
    </row>
    <row r="15228" spans="1:16" ht="17.399999999999999">
      <c r="A15228" s="549"/>
      <c r="B15228" s="549"/>
      <c r="C15228" s="549"/>
      <c r="D15228" s="549"/>
      <c r="E15228" s="549"/>
      <c r="F15228" s="549"/>
      <c r="G15228" s="549"/>
      <c r="H15228" s="549"/>
      <c r="I15228" s="558"/>
      <c r="J15228" s="549"/>
      <c r="K15228" s="561"/>
      <c r="L15228" s="560"/>
      <c r="M15228" s="549"/>
      <c r="N15228" s="549"/>
      <c r="O15228" s="549"/>
      <c r="P15228" s="549"/>
    </row>
    <row r="15229" spans="1:16" ht="17.399999999999999">
      <c r="A15229" s="547" t="s">
        <v>83</v>
      </c>
      <c r="B15229" s="918" t="s">
        <v>1732</v>
      </c>
      <c r="C15229" s="547" t="s">
        <v>19</v>
      </c>
      <c r="D15229" s="813" t="s">
        <v>854</v>
      </c>
      <c r="E15229" s="650" t="s">
        <v>464</v>
      </c>
      <c r="F15229" s="550">
        <v>9</v>
      </c>
      <c r="G15229" s="549" t="s">
        <v>21</v>
      </c>
      <c r="H15229" s="549" t="s">
        <v>263</v>
      </c>
      <c r="I15229" s="558">
        <v>6.38</v>
      </c>
      <c r="J15229" s="567">
        <v>10</v>
      </c>
      <c r="K15229" s="648">
        <v>15</v>
      </c>
      <c r="L15229" s="552">
        <f>(I15229*J15229*K15229/1000)</f>
        <v>0.95699999999999996</v>
      </c>
      <c r="M15229" s="549"/>
      <c r="N15229" s="549"/>
      <c r="O15229" s="549"/>
      <c r="P15229" s="549"/>
    </row>
    <row r="15230" spans="1:16" ht="17.399999999999999">
      <c r="A15230" s="549"/>
      <c r="B15230" s="919" t="s">
        <v>1593</v>
      </c>
      <c r="C15230" s="549"/>
      <c r="D15230" s="549"/>
      <c r="E15230" s="549"/>
      <c r="F15230" s="549"/>
      <c r="G15230" s="549" t="s">
        <v>21</v>
      </c>
      <c r="H15230" s="549" t="s">
        <v>263</v>
      </c>
      <c r="I15230" s="558">
        <v>6.38</v>
      </c>
      <c r="J15230" s="567">
        <v>12</v>
      </c>
      <c r="K15230" s="648">
        <v>15</v>
      </c>
      <c r="L15230" s="552">
        <f>(I15230*J15230*K15230/1000)</f>
        <v>1.1484000000000001</v>
      </c>
      <c r="M15230" s="549"/>
      <c r="N15230" s="549"/>
      <c r="O15230" s="549"/>
      <c r="P15230" s="549"/>
    </row>
    <row r="15231" spans="1:16" ht="17.399999999999999">
      <c r="A15231" s="549"/>
      <c r="B15231" s="549"/>
      <c r="C15231" s="549"/>
      <c r="D15231" s="549"/>
      <c r="E15231" s="549"/>
      <c r="F15231" s="549"/>
      <c r="G15231" s="549"/>
      <c r="H15231" s="549"/>
      <c r="I15231" s="558"/>
      <c r="J15231" s="567"/>
      <c r="K15231" s="648">
        <f>SUM(K15229:K15230)</f>
        <v>30</v>
      </c>
      <c r="L15231" s="567">
        <f>SUM(L15229:L15230)</f>
        <v>2.1053999999999999</v>
      </c>
      <c r="M15231" s="549"/>
      <c r="N15231" s="549"/>
      <c r="O15231" s="549"/>
      <c r="P15231" s="549"/>
    </row>
    <row r="15232" spans="1:16" ht="17.399999999999999">
      <c r="A15232" s="549"/>
      <c r="B15232" s="549"/>
      <c r="C15232" s="549"/>
      <c r="D15232" s="549"/>
      <c r="E15232" s="549"/>
      <c r="F15232" s="549"/>
      <c r="G15232" s="549"/>
      <c r="H15232" s="549"/>
      <c r="I15232" s="558"/>
      <c r="J15232" s="549"/>
      <c r="K15232" s="652">
        <f>SUM(K15216:K15231)/2</f>
        <v>1203</v>
      </c>
      <c r="L15232" s="565">
        <f>SUM(L15216:L15231)/2</f>
        <v>85.019880000000029</v>
      </c>
      <c r="M15232" s="549"/>
      <c r="N15232" s="549"/>
      <c r="O15232" s="549"/>
      <c r="P15232" s="549" t="s">
        <v>1826</v>
      </c>
    </row>
    <row r="15233" spans="1:16" s="1737" customFormat="1" ht="17.399999999999999">
      <c r="A15233" s="549"/>
      <c r="B15233" s="549"/>
      <c r="C15233" s="549"/>
      <c r="D15233" s="549"/>
      <c r="E15233" s="549"/>
      <c r="F15233" s="549"/>
      <c r="G15233" s="549"/>
      <c r="H15233" s="549"/>
      <c r="I15233" s="558"/>
      <c r="J15233" s="549"/>
      <c r="K15233" s="652"/>
      <c r="L15233" s="565"/>
      <c r="M15233" s="549"/>
      <c r="N15233" s="549"/>
      <c r="O15233" s="549"/>
      <c r="P15233" s="549"/>
    </row>
    <row r="15234" spans="1:16" ht="17.399999999999999">
      <c r="A15234" s="549"/>
      <c r="B15234" s="549"/>
      <c r="C15234" s="549"/>
      <c r="D15234" s="549"/>
      <c r="E15234" s="549"/>
      <c r="F15234" s="549"/>
      <c r="G15234" s="549"/>
      <c r="H15234" s="549"/>
      <c r="I15234" s="558"/>
      <c r="J15234" s="567"/>
      <c r="K15234" s="648"/>
      <c r="L15234" s="552"/>
      <c r="M15234" s="549"/>
      <c r="N15234" s="549"/>
      <c r="O15234" s="549"/>
      <c r="P15234" s="549"/>
    </row>
    <row r="15235" spans="1:16" ht="17.399999999999999">
      <c r="A15235" s="547" t="s">
        <v>83</v>
      </c>
      <c r="B15235" s="547" t="s">
        <v>1783</v>
      </c>
      <c r="C15235" s="547" t="s">
        <v>19</v>
      </c>
      <c r="D15235" s="813" t="s">
        <v>854</v>
      </c>
      <c r="E15235" s="547" t="s">
        <v>359</v>
      </c>
      <c r="F15235" s="550">
        <v>9</v>
      </c>
      <c r="G15235" s="549" t="s">
        <v>21</v>
      </c>
      <c r="H15235" s="549" t="s">
        <v>263</v>
      </c>
      <c r="I15235" s="558">
        <v>6.39</v>
      </c>
      <c r="J15235" s="567">
        <v>5</v>
      </c>
      <c r="K15235" s="648">
        <v>2</v>
      </c>
      <c r="L15235" s="552">
        <f>(I15235*J15235*K15235/1000)</f>
        <v>6.3899999999999998E-2</v>
      </c>
      <c r="M15235" s="549"/>
      <c r="N15235" s="567">
        <f t="shared" ref="N15235:N15236" si="3059">J15235*M15235*I15235/1000</f>
        <v>0</v>
      </c>
      <c r="O15235" s="549"/>
      <c r="P15235" s="549"/>
    </row>
    <row r="15236" spans="1:16" ht="17.399999999999999">
      <c r="A15236" s="549"/>
      <c r="B15236" s="549" t="s">
        <v>1325</v>
      </c>
      <c r="C15236" s="549"/>
      <c r="D15236" s="549"/>
      <c r="E15236" s="549"/>
      <c r="F15236" s="549"/>
      <c r="G15236" s="549" t="s">
        <v>21</v>
      </c>
      <c r="H15236" s="549" t="s">
        <v>263</v>
      </c>
      <c r="I15236" s="558">
        <v>6.39</v>
      </c>
      <c r="J15236" s="567">
        <v>10</v>
      </c>
      <c r="K15236" s="648">
        <v>12</v>
      </c>
      <c r="L15236" s="552">
        <f>(I15236*J15236*K15236/1000)</f>
        <v>0.76679999999999993</v>
      </c>
      <c r="M15236" s="549">
        <v>4</v>
      </c>
      <c r="N15236" s="567">
        <f t="shared" si="3059"/>
        <v>0.25559999999999999</v>
      </c>
      <c r="O15236" s="549"/>
      <c r="P15236" s="549"/>
    </row>
    <row r="15237" spans="1:16" ht="17.399999999999999">
      <c r="A15237" s="549"/>
      <c r="B15237" s="549"/>
      <c r="C15237" s="549"/>
      <c r="D15237" s="549"/>
      <c r="E15237" s="549"/>
      <c r="F15237" s="549"/>
      <c r="G15237" s="549"/>
      <c r="H15237" s="549"/>
      <c r="I15237" s="558"/>
      <c r="J15237" s="567"/>
      <c r="K15237" s="648">
        <f t="shared" ref="K15237:N15237" si="3060">SUM(K15235:K15236)</f>
        <v>14</v>
      </c>
      <c r="L15237" s="567">
        <f t="shared" si="3060"/>
        <v>0.83069999999999988</v>
      </c>
      <c r="M15237" s="648">
        <f t="shared" si="3060"/>
        <v>4</v>
      </c>
      <c r="N15237" s="567">
        <f t="shared" si="3060"/>
        <v>0.25559999999999999</v>
      </c>
      <c r="O15237" s="549"/>
      <c r="P15237" s="549" t="s">
        <v>1827</v>
      </c>
    </row>
    <row r="15238" spans="1:16" ht="17.399999999999999">
      <c r="A15238" s="549"/>
      <c r="B15238" s="549"/>
      <c r="C15238" s="549"/>
      <c r="D15238" s="549"/>
      <c r="E15238" s="549"/>
      <c r="F15238" s="549"/>
      <c r="G15238" s="549"/>
      <c r="H15238" s="549"/>
      <c r="I15238" s="558"/>
      <c r="J15238" s="567"/>
      <c r="K15238" s="648"/>
      <c r="L15238" s="567"/>
      <c r="M15238" s="549"/>
      <c r="N15238" s="549"/>
      <c r="O15238" s="549"/>
      <c r="P15238" s="549"/>
    </row>
    <row r="15239" spans="1:16" ht="17.399999999999999">
      <c r="A15239" s="547" t="s">
        <v>395</v>
      </c>
      <c r="B15239" s="547" t="s">
        <v>1765</v>
      </c>
      <c r="C15239" s="547" t="s">
        <v>19</v>
      </c>
      <c r="D15239" s="813" t="s">
        <v>854</v>
      </c>
      <c r="E15239" s="547" t="s">
        <v>359</v>
      </c>
      <c r="F15239" s="550">
        <v>9</v>
      </c>
      <c r="G15239" s="549" t="s">
        <v>21</v>
      </c>
      <c r="H15239" s="549" t="s">
        <v>263</v>
      </c>
      <c r="I15239" s="558">
        <v>6.39</v>
      </c>
      <c r="J15239" s="567">
        <v>10</v>
      </c>
      <c r="K15239" s="648">
        <v>3</v>
      </c>
      <c r="L15239" s="552">
        <f t="shared" ref="L15239:L15240" si="3061">(I15239*J15239*K15239/1000)</f>
        <v>0.19169999999999998</v>
      </c>
      <c r="M15239" s="549"/>
      <c r="N15239" s="567"/>
      <c r="O15239" s="549"/>
      <c r="P15239" s="549"/>
    </row>
    <row r="15240" spans="1:16" ht="17.399999999999999">
      <c r="A15240" s="549"/>
      <c r="B15240" s="549" t="s">
        <v>1027</v>
      </c>
      <c r="C15240" s="549"/>
      <c r="D15240" s="549"/>
      <c r="E15240" s="549"/>
      <c r="F15240" s="549"/>
      <c r="G15240" s="549" t="s">
        <v>21</v>
      </c>
      <c r="H15240" s="549" t="s">
        <v>263</v>
      </c>
      <c r="I15240" s="558">
        <v>6.39</v>
      </c>
      <c r="J15240" s="567">
        <v>12</v>
      </c>
      <c r="K15240" s="648">
        <v>9</v>
      </c>
      <c r="L15240" s="552">
        <f t="shared" si="3061"/>
        <v>0.69011999999999984</v>
      </c>
      <c r="M15240" s="549"/>
      <c r="N15240" s="567"/>
      <c r="O15240" s="549"/>
      <c r="P15240" s="549"/>
    </row>
    <row r="15241" spans="1:16" ht="17.399999999999999">
      <c r="A15241" s="549"/>
      <c r="B15241" s="549"/>
      <c r="C15241" s="549"/>
      <c r="D15241" s="549"/>
      <c r="E15241" s="549"/>
      <c r="F15241" s="549"/>
      <c r="G15241" s="549"/>
      <c r="H15241" s="549"/>
      <c r="I15241" s="558"/>
      <c r="J15241" s="567"/>
      <c r="K15241" s="648">
        <f t="shared" ref="K15241:N15241" si="3062">SUM(K15239:K15240)</f>
        <v>12</v>
      </c>
      <c r="L15241" s="567">
        <f t="shared" si="3062"/>
        <v>0.88181999999999983</v>
      </c>
      <c r="M15241" s="648">
        <f t="shared" si="3062"/>
        <v>0</v>
      </c>
      <c r="N15241" s="567">
        <f t="shared" si="3062"/>
        <v>0</v>
      </c>
      <c r="O15241" s="549"/>
      <c r="P15241" s="549" t="s">
        <v>1827</v>
      </c>
    </row>
    <row r="15242" spans="1:16" ht="17.399999999999999">
      <c r="A15242" s="549"/>
      <c r="B15242" s="549"/>
      <c r="C15242" s="549"/>
      <c r="D15242" s="549"/>
      <c r="E15242" s="549"/>
      <c r="F15242" s="549"/>
      <c r="G15242" s="549"/>
      <c r="H15242" s="549"/>
      <c r="I15242" s="558"/>
      <c r="J15242" s="567"/>
      <c r="K15242" s="648"/>
      <c r="L15242" s="567"/>
      <c r="M15242" s="549"/>
      <c r="N15242" s="549"/>
      <c r="O15242" s="549"/>
      <c r="P15242" s="549"/>
    </row>
    <row r="15243" spans="1:16" ht="17.399999999999999">
      <c r="A15243" s="547" t="s">
        <v>83</v>
      </c>
      <c r="B15243" s="547" t="s">
        <v>1746</v>
      </c>
      <c r="C15243" s="547" t="s">
        <v>19</v>
      </c>
      <c r="D15243" s="813" t="s">
        <v>854</v>
      </c>
      <c r="E15243" s="650" t="s">
        <v>878</v>
      </c>
      <c r="F15243" s="550">
        <v>9</v>
      </c>
      <c r="G15243" s="549" t="s">
        <v>21</v>
      </c>
      <c r="H15243" s="549" t="s">
        <v>263</v>
      </c>
      <c r="I15243" s="558">
        <v>6.38</v>
      </c>
      <c r="J15243" s="567">
        <v>6.15</v>
      </c>
      <c r="K15243" s="648">
        <v>20</v>
      </c>
      <c r="L15243" s="552">
        <f t="shared" ref="L15243:L15246" si="3063">(I15243*J15243*K15243/1000)</f>
        <v>0.78473999999999999</v>
      </c>
      <c r="M15243" s="549"/>
      <c r="N15243" s="549"/>
      <c r="O15243" s="549"/>
      <c r="P15243" s="549"/>
    </row>
    <row r="15244" spans="1:16" ht="17.399999999999999">
      <c r="A15244" s="549"/>
      <c r="B15244" s="549" t="s">
        <v>1135</v>
      </c>
      <c r="C15244" s="549"/>
      <c r="D15244" s="549"/>
      <c r="E15244" s="549"/>
      <c r="F15244" s="549"/>
      <c r="G15244" s="549" t="s">
        <v>21</v>
      </c>
      <c r="H15244" s="549" t="s">
        <v>263</v>
      </c>
      <c r="I15244" s="558">
        <v>6.38</v>
      </c>
      <c r="J15244" s="567">
        <v>8.6</v>
      </c>
      <c r="K15244" s="648">
        <v>28</v>
      </c>
      <c r="L15244" s="552">
        <f t="shared" si="3063"/>
        <v>1.5363039999999999</v>
      </c>
      <c r="M15244" s="549"/>
      <c r="N15244" s="549"/>
      <c r="O15244" s="549"/>
      <c r="P15244" s="549"/>
    </row>
    <row r="15245" spans="1:16" ht="17.399999999999999">
      <c r="A15245" s="549"/>
      <c r="B15245" s="549"/>
      <c r="C15245" s="549"/>
      <c r="D15245" s="549"/>
      <c r="E15245" s="549"/>
      <c r="F15245" s="549"/>
      <c r="G15245" s="549" t="s">
        <v>21</v>
      </c>
      <c r="H15245" s="549" t="s">
        <v>263</v>
      </c>
      <c r="I15245" s="558">
        <v>6.38</v>
      </c>
      <c r="J15245" s="567">
        <v>11</v>
      </c>
      <c r="K15245" s="648">
        <v>10</v>
      </c>
      <c r="L15245" s="552">
        <f t="shared" si="3063"/>
        <v>0.70179999999999998</v>
      </c>
      <c r="M15245" s="549"/>
      <c r="N15245" s="549"/>
      <c r="O15245" s="549"/>
      <c r="P15245" s="549"/>
    </row>
    <row r="15246" spans="1:16" ht="17.399999999999999">
      <c r="A15246" s="549"/>
      <c r="B15246" s="549"/>
      <c r="C15246" s="549"/>
      <c r="D15246" s="549"/>
      <c r="E15246" s="549"/>
      <c r="F15246" s="549"/>
      <c r="G15246" s="549" t="s">
        <v>21</v>
      </c>
      <c r="H15246" s="549" t="s">
        <v>263</v>
      </c>
      <c r="I15246" s="558">
        <v>6.38</v>
      </c>
      <c r="J15246" s="567">
        <v>12</v>
      </c>
      <c r="K15246" s="648">
        <v>28</v>
      </c>
      <c r="L15246" s="552">
        <f t="shared" si="3063"/>
        <v>2.1436800000000003</v>
      </c>
      <c r="M15246" s="549"/>
      <c r="N15246" s="549"/>
      <c r="O15246" s="549"/>
      <c r="P15246" s="549"/>
    </row>
    <row r="15247" spans="1:16" ht="17.399999999999999">
      <c r="A15247" s="549"/>
      <c r="B15247" s="549"/>
      <c r="C15247" s="549"/>
      <c r="D15247" s="549"/>
      <c r="E15247" s="549"/>
      <c r="F15247" s="549"/>
      <c r="G15247" s="549"/>
      <c r="H15247" s="549"/>
      <c r="I15247" s="558"/>
      <c r="J15247" s="567"/>
      <c r="K15247" s="648">
        <f t="shared" ref="K15247:L15247" si="3064">SUM(K15243:K15246)</f>
        <v>86</v>
      </c>
      <c r="L15247" s="567">
        <f t="shared" si="3064"/>
        <v>5.1665239999999999</v>
      </c>
      <c r="M15247" s="549"/>
      <c r="N15247" s="549"/>
      <c r="O15247" s="549"/>
      <c r="P15247" s="549" t="s">
        <v>1828</v>
      </c>
    </row>
    <row r="15248" spans="1:16" ht="17.399999999999999">
      <c r="A15248" s="549"/>
      <c r="B15248" s="549"/>
      <c r="C15248" s="549"/>
      <c r="D15248" s="549"/>
      <c r="E15248" s="549"/>
      <c r="F15248" s="549"/>
      <c r="G15248" s="549"/>
      <c r="H15248" s="549"/>
      <c r="I15248" s="558"/>
      <c r="J15248" s="567"/>
      <c r="K15248" s="648"/>
      <c r="L15248" s="567"/>
      <c r="M15248" s="549"/>
      <c r="N15248" s="549"/>
      <c r="O15248" s="549"/>
      <c r="P15248" s="549"/>
    </row>
    <row r="15249" spans="1:16" ht="17.399999999999999">
      <c r="A15249" s="547" t="s">
        <v>83</v>
      </c>
      <c r="B15249" s="547" t="s">
        <v>1785</v>
      </c>
      <c r="C15249" s="547" t="s">
        <v>19</v>
      </c>
      <c r="D15249" s="813" t="s">
        <v>854</v>
      </c>
      <c r="E15249" s="650" t="s">
        <v>464</v>
      </c>
      <c r="F15249" s="550">
        <v>9</v>
      </c>
      <c r="G15249" s="549" t="s">
        <v>21</v>
      </c>
      <c r="H15249" s="549" t="s">
        <v>263</v>
      </c>
      <c r="I15249" s="558">
        <v>6.38</v>
      </c>
      <c r="J15249" s="710">
        <v>12</v>
      </c>
      <c r="K15249" s="648">
        <v>3</v>
      </c>
      <c r="L15249" s="552">
        <f>(I15249*J15249*K15249/1000)</f>
        <v>0.22968</v>
      </c>
      <c r="M15249" s="549">
        <v>3</v>
      </c>
      <c r="N15249" s="567">
        <f>J15249*M15249*I15249/1000</f>
        <v>0.22968</v>
      </c>
      <c r="O15249" s="549"/>
      <c r="P15249" s="549"/>
    </row>
    <row r="15250" spans="1:16" ht="17.399999999999999">
      <c r="A15250" s="549"/>
      <c r="B15250" s="549" t="s">
        <v>439</v>
      </c>
      <c r="C15250" s="549"/>
      <c r="D15250" s="549"/>
      <c r="E15250" s="549"/>
      <c r="F15250" s="549"/>
      <c r="G15250" s="549"/>
      <c r="H15250" s="650"/>
      <c r="I15250" s="558"/>
      <c r="J15250" s="710"/>
      <c r="K15250" s="648">
        <f>SUM(K15249:K15249)</f>
        <v>3</v>
      </c>
      <c r="L15250" s="765">
        <f>SUM(L15249:L15249)</f>
        <v>0.22968</v>
      </c>
      <c r="M15250" s="648">
        <f>SUM(M15249:M15249)</f>
        <v>3</v>
      </c>
      <c r="N15250" s="765">
        <f>SUM(N15249:N15249)</f>
        <v>0.22968</v>
      </c>
      <c r="O15250" s="549"/>
      <c r="P15250" s="549" t="s">
        <v>1828</v>
      </c>
    </row>
    <row r="15251" spans="1:16" s="1737" customFormat="1" ht="17.399999999999999">
      <c r="A15251" s="549"/>
      <c r="B15251" s="549"/>
      <c r="C15251" s="549"/>
      <c r="D15251" s="549"/>
      <c r="E15251" s="549"/>
      <c r="F15251" s="549"/>
      <c r="G15251" s="549"/>
      <c r="H15251" s="650"/>
      <c r="I15251" s="558"/>
      <c r="J15251" s="710"/>
      <c r="K15251" s="648"/>
      <c r="L15251" s="765"/>
      <c r="M15251" s="648"/>
      <c r="N15251" s="765"/>
      <c r="O15251" s="549"/>
      <c r="P15251" s="549"/>
    </row>
    <row r="15252" spans="1:16" s="1737" customFormat="1" ht="17.399999999999999">
      <c r="A15252" s="547" t="s">
        <v>83</v>
      </c>
      <c r="B15252" s="547" t="s">
        <v>1816</v>
      </c>
      <c r="C15252" s="547" t="s">
        <v>19</v>
      </c>
      <c r="D15252" s="813" t="s">
        <v>854</v>
      </c>
      <c r="E15252" s="650" t="s">
        <v>990</v>
      </c>
      <c r="F15252" s="550">
        <v>9</v>
      </c>
      <c r="G15252" s="549" t="s">
        <v>21</v>
      </c>
      <c r="H15252" s="549" t="s">
        <v>263</v>
      </c>
      <c r="I15252" s="558">
        <v>6.38</v>
      </c>
      <c r="J15252" s="567">
        <v>12</v>
      </c>
      <c r="K15252" s="648">
        <v>12</v>
      </c>
      <c r="L15252" s="552">
        <f>(I15252*J15252*K15252/1000)</f>
        <v>0.91871999999999998</v>
      </c>
      <c r="M15252" s="549"/>
      <c r="N15252" s="549"/>
      <c r="O15252" s="549"/>
      <c r="P15252" s="549"/>
    </row>
    <row r="15253" spans="1:16" s="1737" customFormat="1" ht="17.399999999999999">
      <c r="A15253" s="549"/>
      <c r="B15253" s="549" t="s">
        <v>1815</v>
      </c>
      <c r="C15253" s="549"/>
      <c r="D15253" s="549"/>
      <c r="E15253" s="549"/>
      <c r="F15253" s="549"/>
      <c r="G15253" s="549"/>
      <c r="H15253" s="549"/>
      <c r="I15253" s="558"/>
      <c r="J15253" s="567"/>
      <c r="K15253" s="648">
        <f t="shared" ref="K15253:L15253" si="3065">SUM(K15252)</f>
        <v>12</v>
      </c>
      <c r="L15253" s="567">
        <f t="shared" si="3065"/>
        <v>0.91871999999999998</v>
      </c>
      <c r="M15253" s="549"/>
      <c r="N15253" s="549"/>
      <c r="O15253" s="549"/>
      <c r="P15253" s="549" t="s">
        <v>1829</v>
      </c>
    </row>
    <row r="15254" spans="1:16" s="1737" customFormat="1" ht="17.399999999999999">
      <c r="A15254" s="549"/>
      <c r="B15254" s="549"/>
      <c r="C15254" s="549"/>
      <c r="D15254" s="549"/>
      <c r="E15254" s="549"/>
      <c r="F15254" s="549"/>
      <c r="G15254" s="549"/>
      <c r="H15254" s="549"/>
      <c r="I15254" s="560"/>
      <c r="J15254" s="549"/>
      <c r="K15254" s="561"/>
      <c r="L15254" s="560"/>
      <c r="M15254" s="549"/>
      <c r="N15254" s="549"/>
      <c r="O15254" s="549"/>
      <c r="P15254" s="549"/>
    </row>
    <row r="15255" spans="1:16" s="1737" customFormat="1" ht="17.399999999999999">
      <c r="A15255" s="547" t="s">
        <v>83</v>
      </c>
      <c r="B15255" s="547" t="s">
        <v>1817</v>
      </c>
      <c r="C15255" s="547" t="s">
        <v>19</v>
      </c>
      <c r="D15255" s="813" t="s">
        <v>854</v>
      </c>
      <c r="E15255" s="650" t="s">
        <v>878</v>
      </c>
      <c r="F15255" s="550">
        <v>9</v>
      </c>
      <c r="G15255" s="549" t="s">
        <v>21</v>
      </c>
      <c r="H15255" s="549" t="s">
        <v>263</v>
      </c>
      <c r="I15255" s="558">
        <v>6.38</v>
      </c>
      <c r="J15255" s="567">
        <v>9.1</v>
      </c>
      <c r="K15255" s="648">
        <v>8</v>
      </c>
      <c r="L15255" s="552">
        <f>(I15255*J15255*K15255/1000)</f>
        <v>0.46446399999999999</v>
      </c>
      <c r="M15255" s="549"/>
      <c r="N15255" s="549"/>
      <c r="O15255" s="549"/>
      <c r="P15255" s="549"/>
    </row>
    <row r="15256" spans="1:16" s="1737" customFormat="1" ht="17.399999999999999">
      <c r="A15256" s="549"/>
      <c r="B15256" s="549" t="s">
        <v>1135</v>
      </c>
      <c r="C15256" s="549"/>
      <c r="D15256" s="549"/>
      <c r="E15256" s="549"/>
      <c r="F15256" s="549"/>
      <c r="G15256" s="549" t="s">
        <v>21</v>
      </c>
      <c r="H15256" s="549" t="s">
        <v>263</v>
      </c>
      <c r="I15256" s="558">
        <v>6.38</v>
      </c>
      <c r="J15256" s="567">
        <v>10</v>
      </c>
      <c r="K15256" s="648">
        <v>1</v>
      </c>
      <c r="L15256" s="552">
        <f>(I15256*J15256*K15256/1000)</f>
        <v>6.3799999999999996E-2</v>
      </c>
      <c r="M15256" s="549"/>
      <c r="N15256" s="549"/>
      <c r="O15256" s="549"/>
      <c r="P15256" s="549"/>
    </row>
    <row r="15257" spans="1:16" s="1737" customFormat="1" ht="17.399999999999999">
      <c r="A15257" s="549"/>
      <c r="B15257" s="549"/>
      <c r="C15257" s="549"/>
      <c r="D15257" s="549"/>
      <c r="E15257" s="549"/>
      <c r="F15257" s="549"/>
      <c r="G15257" s="549"/>
      <c r="H15257" s="549"/>
      <c r="I15257" s="558"/>
      <c r="J15257" s="567"/>
      <c r="K15257" s="648">
        <f>SUM(K15255:K15256)</f>
        <v>9</v>
      </c>
      <c r="L15257" s="567">
        <f>SUM(L15255:L15256)</f>
        <v>0.52826399999999996</v>
      </c>
      <c r="M15257" s="549"/>
      <c r="N15257" s="549"/>
      <c r="O15257" s="549"/>
      <c r="P15257" s="549" t="s">
        <v>1830</v>
      </c>
    </row>
    <row r="15258" spans="1:16" ht="17.399999999999999">
      <c r="A15258" s="549"/>
      <c r="B15258" s="549"/>
      <c r="C15258" s="549"/>
      <c r="D15258" s="549"/>
      <c r="E15258" s="549"/>
      <c r="F15258" s="549"/>
      <c r="G15258" s="549"/>
      <c r="H15258" s="549"/>
      <c r="I15258" s="558"/>
      <c r="J15258" s="567"/>
      <c r="K15258" s="648">
        <f>SUM(K15235:K15257)/2</f>
        <v>136</v>
      </c>
      <c r="L15258" s="567">
        <f>SUM(L15235:L15257)/2</f>
        <v>8.555708000000001</v>
      </c>
      <c r="M15258" s="648">
        <f>SUM(M15235:M15257)/2</f>
        <v>7</v>
      </c>
      <c r="N15258" s="567">
        <f>SUM(N15235:N15257)/2</f>
        <v>0.48527999999999999</v>
      </c>
      <c r="O15258" s="549"/>
      <c r="P15258" s="549"/>
    </row>
    <row r="15259" spans="1:16" s="1737" customFormat="1" ht="17.399999999999999">
      <c r="A15259" s="549"/>
      <c r="B15259" s="549"/>
      <c r="C15259" s="549"/>
      <c r="D15259" s="549"/>
      <c r="E15259" s="549"/>
      <c r="F15259" s="549"/>
      <c r="G15259" s="549"/>
      <c r="H15259" s="549"/>
      <c r="I15259" s="558"/>
      <c r="J15259" s="567"/>
      <c r="K15259" s="648"/>
      <c r="L15259" s="567"/>
      <c r="M15259" s="648"/>
      <c r="N15259" s="567"/>
      <c r="O15259" s="549"/>
      <c r="P15259" s="549"/>
    </row>
    <row r="15260" spans="1:16" s="1737" customFormat="1" ht="17.399999999999999">
      <c r="A15260" s="549"/>
      <c r="B15260" s="549"/>
      <c r="C15260" s="549"/>
      <c r="D15260" s="549"/>
      <c r="E15260" s="549"/>
      <c r="F15260" s="549"/>
      <c r="G15260" s="549"/>
      <c r="H15260" s="549"/>
      <c r="I15260" s="558"/>
      <c r="J15260" s="567"/>
      <c r="K15260" s="648"/>
      <c r="L15260" s="567"/>
      <c r="M15260" s="648"/>
      <c r="N15260" s="567"/>
      <c r="O15260" s="549"/>
      <c r="P15260" s="549"/>
    </row>
    <row r="15261" spans="1:16" s="1737" customFormat="1" ht="17.399999999999999">
      <c r="A15261" s="549"/>
      <c r="B15261" s="549"/>
      <c r="C15261" s="549"/>
      <c r="D15261" s="549"/>
      <c r="E15261" s="549"/>
      <c r="F15261" s="549"/>
      <c r="G15261" s="549"/>
      <c r="H15261" s="549"/>
      <c r="I15261" s="558"/>
      <c r="J15261" s="567"/>
      <c r="K15261" s="648"/>
      <c r="L15261" s="567"/>
      <c r="M15261" s="648"/>
      <c r="N15261" s="567"/>
      <c r="O15261" s="549"/>
      <c r="P15261" s="549"/>
    </row>
    <row r="15262" spans="1:16" ht="17.399999999999999">
      <c r="A15262" s="547" t="s">
        <v>83</v>
      </c>
      <c r="B15262" s="547" t="s">
        <v>1559</v>
      </c>
      <c r="C15262" s="547" t="s">
        <v>19</v>
      </c>
      <c r="D15262" s="813" t="s">
        <v>854</v>
      </c>
      <c r="E15262" s="650" t="s">
        <v>464</v>
      </c>
      <c r="F15262" s="550">
        <v>9</v>
      </c>
      <c r="G15262" s="549" t="s">
        <v>21</v>
      </c>
      <c r="H15262" s="549" t="s">
        <v>262</v>
      </c>
      <c r="I15262" s="558">
        <v>5.37</v>
      </c>
      <c r="J15262" s="710">
        <v>12</v>
      </c>
      <c r="K15262" s="648">
        <v>30</v>
      </c>
      <c r="L15262" s="552">
        <f>(I15262*J15262*K15262/1000)</f>
        <v>1.9331999999999998</v>
      </c>
      <c r="M15262" s="549"/>
      <c r="N15262" s="549"/>
      <c r="O15262" s="549"/>
      <c r="P15262" s="549"/>
    </row>
    <row r="15263" spans="1:16" ht="17.399999999999999">
      <c r="A15263" s="549"/>
      <c r="B15263" s="549" t="s">
        <v>439</v>
      </c>
      <c r="C15263" s="549"/>
      <c r="D15263" s="549"/>
      <c r="E15263" s="549"/>
      <c r="F15263" s="549"/>
      <c r="G15263" s="549"/>
      <c r="H15263" s="650"/>
      <c r="I15263" s="558"/>
      <c r="J15263" s="710"/>
      <c r="K15263" s="648">
        <f>SUM(K15262:K15262)</f>
        <v>30</v>
      </c>
      <c r="L15263" s="765">
        <f>SUM(L15262:L15262)</f>
        <v>1.9331999999999998</v>
      </c>
      <c r="M15263" s="549"/>
      <c r="N15263" s="549"/>
      <c r="O15263" s="549"/>
      <c r="P15263" s="549" t="s">
        <v>1831</v>
      </c>
    </row>
    <row r="15264" spans="1:16" ht="17.399999999999999">
      <c r="A15264" s="547"/>
      <c r="B15264" s="547"/>
      <c r="C15264" s="547"/>
      <c r="D15264" s="813"/>
      <c r="E15264" s="650"/>
      <c r="F15264" s="550"/>
      <c r="G15264" s="549"/>
      <c r="H15264" s="549"/>
      <c r="I15264" s="558"/>
      <c r="J15264" s="710"/>
      <c r="K15264" s="648"/>
      <c r="L15264" s="552"/>
      <c r="M15264" s="549"/>
      <c r="N15264" s="549"/>
      <c r="O15264" s="549"/>
      <c r="P15264" s="549"/>
    </row>
    <row r="15265" spans="1:16" ht="17.399999999999999">
      <c r="A15265" s="547" t="s">
        <v>1400</v>
      </c>
      <c r="B15265" s="547" t="s">
        <v>1663</v>
      </c>
      <c r="C15265" s="547" t="s">
        <v>19</v>
      </c>
      <c r="D15265" s="813" t="s">
        <v>854</v>
      </c>
      <c r="E15265" s="650" t="s">
        <v>464</v>
      </c>
      <c r="F15265" s="550">
        <v>9</v>
      </c>
      <c r="G15265" s="549" t="s">
        <v>21</v>
      </c>
      <c r="H15265" s="549" t="s">
        <v>262</v>
      </c>
      <c r="I15265" s="558">
        <v>5.37</v>
      </c>
      <c r="J15265" s="567">
        <v>8</v>
      </c>
      <c r="K15265" s="648">
        <v>28</v>
      </c>
      <c r="L15265" s="552">
        <f>(I15265*J15265*K15265/1000)</f>
        <v>1.2028800000000002</v>
      </c>
      <c r="M15265" s="549">
        <v>2</v>
      </c>
      <c r="N15265" s="567">
        <f>J15265*M15265*I15265/1000</f>
        <v>8.5919999999999996E-2</v>
      </c>
      <c r="O15265" s="549"/>
      <c r="P15265" s="549"/>
    </row>
    <row r="15266" spans="1:16" ht="17.399999999999999">
      <c r="A15266" s="549"/>
      <c r="B15266" s="549" t="s">
        <v>439</v>
      </c>
      <c r="C15266" s="549"/>
      <c r="D15266" s="549"/>
      <c r="E15266" s="549"/>
      <c r="F15266" s="549"/>
      <c r="G15266" s="549" t="s">
        <v>21</v>
      </c>
      <c r="H15266" s="549" t="s">
        <v>262</v>
      </c>
      <c r="I15266" s="558">
        <v>5.37</v>
      </c>
      <c r="J15266" s="567">
        <v>9.5</v>
      </c>
      <c r="K15266" s="648">
        <v>12</v>
      </c>
      <c r="L15266" s="552">
        <f>(I15266*J15266*K15266/1000)</f>
        <v>0.61218000000000006</v>
      </c>
      <c r="M15266" s="549"/>
      <c r="N15266" s="647">
        <f t="shared" ref="N15266:N15267" si="3066">J15266*M15266*I15266/1000</f>
        <v>0</v>
      </c>
      <c r="O15266" s="549"/>
      <c r="P15266" s="549"/>
    </row>
    <row r="15267" spans="1:16" ht="17.399999999999999">
      <c r="A15267" s="549"/>
      <c r="B15267" s="549"/>
      <c r="C15267" s="549"/>
      <c r="D15267" s="549"/>
      <c r="E15267" s="549"/>
      <c r="F15267" s="549"/>
      <c r="G15267" s="549" t="s">
        <v>21</v>
      </c>
      <c r="H15267" s="549" t="s">
        <v>262</v>
      </c>
      <c r="I15267" s="558">
        <v>5.37</v>
      </c>
      <c r="J15267" s="567">
        <v>12</v>
      </c>
      <c r="K15267" s="648">
        <v>13</v>
      </c>
      <c r="L15267" s="552">
        <f>(I15267*J15267*K15267/1000)</f>
        <v>0.83772000000000002</v>
      </c>
      <c r="M15267" s="549">
        <v>8</v>
      </c>
      <c r="N15267" s="567">
        <f t="shared" si="3066"/>
        <v>0.51551999999999998</v>
      </c>
      <c r="O15267" s="549"/>
      <c r="P15267" s="549"/>
    </row>
    <row r="15268" spans="1:16" ht="17.399999999999999">
      <c r="A15268" s="549"/>
      <c r="B15268" s="549"/>
      <c r="C15268" s="549"/>
      <c r="D15268" s="549"/>
      <c r="E15268" s="549"/>
      <c r="F15268" s="549"/>
      <c r="G15268" s="549"/>
      <c r="H15268" s="549"/>
      <c r="I15268" s="558"/>
      <c r="J15268" s="567"/>
      <c r="K15268" s="648">
        <f t="shared" ref="K15268" si="3067">SUM(K15265:K15267)</f>
        <v>53</v>
      </c>
      <c r="L15268" s="567">
        <f>SUM(L15265:L15267)</f>
        <v>2.6527800000000004</v>
      </c>
      <c r="M15268" s="648">
        <f t="shared" ref="M15268" si="3068">SUM(M15265:M15267)</f>
        <v>10</v>
      </c>
      <c r="N15268" s="567">
        <f>SUM(N15265:N15267)</f>
        <v>0.60143999999999997</v>
      </c>
      <c r="O15268" s="549"/>
      <c r="P15268" s="549" t="s">
        <v>1831</v>
      </c>
    </row>
    <row r="15269" spans="1:16" ht="17.399999999999999">
      <c r="A15269" s="549"/>
      <c r="B15269" s="549"/>
      <c r="C15269" s="549"/>
      <c r="D15269" s="549"/>
      <c r="E15269" s="549"/>
      <c r="F15269" s="549"/>
      <c r="G15269" s="549"/>
      <c r="H15269" s="549"/>
      <c r="I15269" s="558"/>
      <c r="J15269" s="567"/>
      <c r="K15269" s="648"/>
      <c r="L15269" s="567"/>
      <c r="M15269" s="648"/>
      <c r="N15269" s="567"/>
      <c r="O15269" s="549"/>
      <c r="P15269" s="549"/>
    </row>
    <row r="15270" spans="1:16" s="1737" customFormat="1" ht="17.399999999999999">
      <c r="A15270" s="547" t="s">
        <v>83</v>
      </c>
      <c r="B15270" s="547" t="s">
        <v>1816</v>
      </c>
      <c r="C15270" s="547" t="s">
        <v>19</v>
      </c>
      <c r="D15270" s="813" t="s">
        <v>854</v>
      </c>
      <c r="E15270" s="650" t="s">
        <v>990</v>
      </c>
      <c r="F15270" s="550">
        <v>9</v>
      </c>
      <c r="G15270" s="549" t="s">
        <v>21</v>
      </c>
      <c r="H15270" s="549" t="s">
        <v>262</v>
      </c>
      <c r="I15270" s="558">
        <v>5.37</v>
      </c>
      <c r="J15270" s="567">
        <v>12</v>
      </c>
      <c r="K15270" s="648">
        <v>20</v>
      </c>
      <c r="L15270" s="552">
        <f>(I15270*J15270*K15270/1000)</f>
        <v>1.2887999999999999</v>
      </c>
      <c r="M15270" s="549"/>
      <c r="N15270" s="549"/>
      <c r="O15270" s="549"/>
      <c r="P15270" s="549"/>
    </row>
    <row r="15271" spans="1:16" s="1737" customFormat="1" ht="17.399999999999999">
      <c r="A15271" s="549"/>
      <c r="B15271" s="549" t="s">
        <v>1815</v>
      </c>
      <c r="C15271" s="549"/>
      <c r="D15271" s="549"/>
      <c r="E15271" s="549"/>
      <c r="F15271" s="549"/>
      <c r="G15271" s="549"/>
      <c r="H15271" s="549"/>
      <c r="I15271" s="558"/>
      <c r="J15271" s="567"/>
      <c r="K15271" s="648">
        <f t="shared" ref="K15271:L15271" si="3069">SUM(K15270)</f>
        <v>20</v>
      </c>
      <c r="L15271" s="567">
        <f t="shared" si="3069"/>
        <v>1.2887999999999999</v>
      </c>
      <c r="M15271" s="549"/>
      <c r="N15271" s="549"/>
      <c r="O15271" s="549"/>
      <c r="P15271" s="549" t="s">
        <v>1832</v>
      </c>
    </row>
    <row r="15272" spans="1:16" s="1737" customFormat="1" ht="17.399999999999999">
      <c r="A15272" s="549"/>
      <c r="B15272" s="549"/>
      <c r="C15272" s="549"/>
      <c r="D15272" s="549"/>
      <c r="E15272" s="549"/>
      <c r="F15272" s="549"/>
      <c r="G15272" s="549"/>
      <c r="H15272" s="549"/>
      <c r="I15272" s="558"/>
      <c r="J15272" s="567"/>
      <c r="K15272" s="648"/>
      <c r="L15272" s="567"/>
      <c r="M15272" s="549"/>
      <c r="N15272" s="549"/>
      <c r="O15272" s="549"/>
      <c r="P15272" s="549"/>
    </row>
    <row r="15273" spans="1:16" s="1737" customFormat="1" ht="17.399999999999999">
      <c r="A15273" s="547" t="s">
        <v>83</v>
      </c>
      <c r="B15273" s="547" t="s">
        <v>1817</v>
      </c>
      <c r="C15273" s="547" t="s">
        <v>19</v>
      </c>
      <c r="D15273" s="813" t="s">
        <v>854</v>
      </c>
      <c r="E15273" s="650" t="s">
        <v>878</v>
      </c>
      <c r="F15273" s="550">
        <v>9</v>
      </c>
      <c r="G15273" s="549" t="s">
        <v>21</v>
      </c>
      <c r="H15273" s="549" t="s">
        <v>262</v>
      </c>
      <c r="I15273" s="558">
        <v>5.37</v>
      </c>
      <c r="J15273" s="567">
        <v>6</v>
      </c>
      <c r="K15273" s="648">
        <v>1</v>
      </c>
      <c r="L15273" s="552">
        <f t="shared" ref="L15273:L15276" si="3070">(I15273*J15273*K15273/1000)</f>
        <v>3.2219999999999999E-2</v>
      </c>
      <c r="M15273" s="549"/>
      <c r="N15273" s="549"/>
      <c r="O15273" s="549"/>
      <c r="P15273" s="549"/>
    </row>
    <row r="15274" spans="1:16" s="1737" customFormat="1" ht="17.399999999999999">
      <c r="A15274" s="549"/>
      <c r="B15274" s="549" t="s">
        <v>1135</v>
      </c>
      <c r="C15274" s="549"/>
      <c r="D15274" s="549"/>
      <c r="E15274" s="549"/>
      <c r="F15274" s="549"/>
      <c r="G15274" s="549" t="s">
        <v>21</v>
      </c>
      <c r="H15274" s="549" t="s">
        <v>262</v>
      </c>
      <c r="I15274" s="558">
        <v>5.37</v>
      </c>
      <c r="J15274" s="567">
        <v>10</v>
      </c>
      <c r="K15274" s="648">
        <v>1</v>
      </c>
      <c r="L15274" s="552">
        <f t="shared" si="3070"/>
        <v>5.3700000000000005E-2</v>
      </c>
      <c r="M15274" s="549"/>
      <c r="N15274" s="549"/>
      <c r="O15274" s="549"/>
      <c r="P15274" s="549"/>
    </row>
    <row r="15275" spans="1:16" s="1737" customFormat="1" ht="17.399999999999999">
      <c r="A15275" s="549"/>
      <c r="B15275" s="549"/>
      <c r="C15275" s="549"/>
      <c r="D15275" s="549"/>
      <c r="E15275" s="549"/>
      <c r="F15275" s="549"/>
      <c r="G15275" s="549" t="s">
        <v>21</v>
      </c>
      <c r="H15275" s="549" t="s">
        <v>262</v>
      </c>
      <c r="I15275" s="558">
        <v>5.37</v>
      </c>
      <c r="J15275" s="567">
        <v>11</v>
      </c>
      <c r="K15275" s="648">
        <v>13</v>
      </c>
      <c r="L15275" s="552">
        <f t="shared" si="3070"/>
        <v>0.76790999999999998</v>
      </c>
      <c r="M15275" s="549"/>
      <c r="N15275" s="549"/>
      <c r="O15275" s="549"/>
      <c r="P15275" s="549"/>
    </row>
    <row r="15276" spans="1:16" s="1737" customFormat="1" ht="17.399999999999999">
      <c r="A15276" s="549"/>
      <c r="B15276" s="549"/>
      <c r="C15276" s="549"/>
      <c r="D15276" s="549"/>
      <c r="E15276" s="549"/>
      <c r="F15276" s="549"/>
      <c r="G15276" s="549" t="s">
        <v>21</v>
      </c>
      <c r="H15276" s="549" t="s">
        <v>262</v>
      </c>
      <c r="I15276" s="558">
        <v>5.37</v>
      </c>
      <c r="J15276" s="567">
        <v>11.5</v>
      </c>
      <c r="K15276" s="648">
        <v>16</v>
      </c>
      <c r="L15276" s="552">
        <f t="shared" si="3070"/>
        <v>0.98808000000000007</v>
      </c>
      <c r="M15276" s="549"/>
      <c r="N15276" s="549"/>
      <c r="O15276" s="549"/>
      <c r="P15276" s="549"/>
    </row>
    <row r="15277" spans="1:16" s="1737" customFormat="1" ht="17.399999999999999">
      <c r="A15277" s="549"/>
      <c r="B15277" s="549"/>
      <c r="C15277" s="549"/>
      <c r="D15277" s="549"/>
      <c r="E15277" s="549"/>
      <c r="F15277" s="549"/>
      <c r="G15277" s="549"/>
      <c r="H15277" s="549"/>
      <c r="I15277" s="558"/>
      <c r="J15277" s="567"/>
      <c r="K15277" s="648">
        <f t="shared" ref="K15277:L15277" si="3071">SUM(K15273:K15276)</f>
        <v>31</v>
      </c>
      <c r="L15277" s="567">
        <f t="shared" si="3071"/>
        <v>1.8419099999999999</v>
      </c>
      <c r="M15277" s="549"/>
      <c r="N15277" s="549"/>
      <c r="O15277" s="549"/>
      <c r="P15277" s="549" t="s">
        <v>1833</v>
      </c>
    </row>
    <row r="15278" spans="1:16" s="1737" customFormat="1" ht="17.399999999999999">
      <c r="A15278" s="549"/>
      <c r="B15278" s="549"/>
      <c r="C15278" s="549"/>
      <c r="D15278" s="549"/>
      <c r="E15278" s="549"/>
      <c r="F15278" s="549"/>
      <c r="G15278" s="549"/>
      <c r="H15278" s="549"/>
      <c r="I15278" s="558"/>
      <c r="J15278" s="567"/>
      <c r="K15278" s="648"/>
      <c r="L15278" s="567"/>
      <c r="M15278" s="549"/>
      <c r="N15278" s="549"/>
      <c r="O15278" s="549"/>
      <c r="P15278" s="549"/>
    </row>
    <row r="15279" spans="1:16" ht="17.399999999999999">
      <c r="A15279" s="547" t="s">
        <v>83</v>
      </c>
      <c r="B15279" s="547" t="s">
        <v>1746</v>
      </c>
      <c r="C15279" s="547" t="s">
        <v>19</v>
      </c>
      <c r="D15279" s="813" t="s">
        <v>854</v>
      </c>
      <c r="E15279" s="650" t="s">
        <v>878</v>
      </c>
      <c r="F15279" s="550">
        <v>9</v>
      </c>
      <c r="G15279" s="549" t="s">
        <v>21</v>
      </c>
      <c r="H15279" s="549" t="s">
        <v>262</v>
      </c>
      <c r="I15279" s="558">
        <v>5.37</v>
      </c>
      <c r="J15279" s="567">
        <v>6.6</v>
      </c>
      <c r="K15279" s="648">
        <v>12</v>
      </c>
      <c r="L15279" s="552">
        <f t="shared" ref="L15279:L15281" si="3072">(I15279*J15279*K15279/1000)</f>
        <v>0.42530399999999996</v>
      </c>
      <c r="M15279" s="549">
        <v>4</v>
      </c>
      <c r="N15279" s="567">
        <f>J15279*M15279*I15279/1000</f>
        <v>0.14176800000000001</v>
      </c>
      <c r="O15279" s="549"/>
      <c r="P15279" s="549"/>
    </row>
    <row r="15280" spans="1:16" ht="17.399999999999999">
      <c r="A15280" s="549"/>
      <c r="B15280" s="549" t="s">
        <v>1135</v>
      </c>
      <c r="C15280" s="549"/>
      <c r="D15280" s="549"/>
      <c r="E15280" s="549"/>
      <c r="F15280" s="549"/>
      <c r="G15280" s="549" t="s">
        <v>21</v>
      </c>
      <c r="H15280" s="549" t="s">
        <v>262</v>
      </c>
      <c r="I15280" s="558">
        <v>5.37</v>
      </c>
      <c r="J15280" s="567">
        <v>10</v>
      </c>
      <c r="K15280" s="648">
        <v>34</v>
      </c>
      <c r="L15280" s="552">
        <f t="shared" si="3072"/>
        <v>1.8258000000000001</v>
      </c>
      <c r="M15280" s="549"/>
      <c r="N15280" s="549"/>
      <c r="O15280" s="549"/>
      <c r="P15280" s="549"/>
    </row>
    <row r="15281" spans="1:16" ht="17.399999999999999">
      <c r="A15281" s="549"/>
      <c r="B15281" s="549"/>
      <c r="C15281" s="549"/>
      <c r="D15281" s="549"/>
      <c r="E15281" s="549"/>
      <c r="F15281" s="549"/>
      <c r="G15281" s="549" t="s">
        <v>21</v>
      </c>
      <c r="H15281" s="549" t="s">
        <v>262</v>
      </c>
      <c r="I15281" s="558">
        <v>5.37</v>
      </c>
      <c r="J15281" s="567">
        <v>11.5</v>
      </c>
      <c r="K15281" s="648">
        <v>43</v>
      </c>
      <c r="L15281" s="552">
        <f t="shared" si="3072"/>
        <v>2.655465</v>
      </c>
      <c r="M15281" s="549"/>
      <c r="N15281" s="549"/>
      <c r="O15281" s="549"/>
      <c r="P15281" s="549"/>
    </row>
    <row r="15282" spans="1:16" ht="17.399999999999999">
      <c r="A15282" s="549"/>
      <c r="B15282" s="549"/>
      <c r="C15282" s="549"/>
      <c r="D15282" s="549"/>
      <c r="E15282" s="549"/>
      <c r="F15282" s="549"/>
      <c r="G15282" s="549"/>
      <c r="H15282" s="549"/>
      <c r="I15282" s="558"/>
      <c r="J15282" s="567"/>
      <c r="K15282" s="648">
        <f t="shared" ref="K15282:N15282" si="3073">SUM(K15279:K15281)</f>
        <v>89</v>
      </c>
      <c r="L15282" s="567">
        <f t="shared" si="3073"/>
        <v>4.9065690000000002</v>
      </c>
      <c r="M15282" s="648">
        <f t="shared" si="3073"/>
        <v>4</v>
      </c>
      <c r="N15282" s="567">
        <f t="shared" si="3073"/>
        <v>0.14176800000000001</v>
      </c>
      <c r="O15282" s="549"/>
      <c r="P15282" s="549" t="s">
        <v>1833</v>
      </c>
    </row>
    <row r="15283" spans="1:16" ht="17.399999999999999">
      <c r="A15283" s="549"/>
      <c r="B15283" s="549"/>
      <c r="C15283" s="549"/>
      <c r="D15283" s="549"/>
      <c r="E15283" s="549"/>
      <c r="F15283" s="549"/>
      <c r="G15283" s="549"/>
      <c r="H15283" s="549"/>
      <c r="I15283" s="558"/>
      <c r="J15283" s="567"/>
      <c r="K15283" s="648"/>
      <c r="L15283" s="567"/>
      <c r="M15283" s="549"/>
      <c r="N15283" s="549"/>
      <c r="O15283" s="549"/>
      <c r="P15283" s="549"/>
    </row>
    <row r="15284" spans="1:16" ht="17.399999999999999">
      <c r="A15284" s="547" t="s">
        <v>395</v>
      </c>
      <c r="B15284" s="547" t="s">
        <v>1725</v>
      </c>
      <c r="C15284" s="547" t="s">
        <v>19</v>
      </c>
      <c r="D15284" s="813" t="s">
        <v>854</v>
      </c>
      <c r="E15284" s="547" t="s">
        <v>359</v>
      </c>
      <c r="F15284" s="550">
        <v>9</v>
      </c>
      <c r="G15284" s="549" t="s">
        <v>21</v>
      </c>
      <c r="H15284" s="549" t="s">
        <v>262</v>
      </c>
      <c r="I15284" s="558">
        <v>5.38</v>
      </c>
      <c r="J15284" s="567">
        <v>10</v>
      </c>
      <c r="K15284" s="648">
        <v>4</v>
      </c>
      <c r="L15284" s="552">
        <f t="shared" ref="L15284:L15287" si="3074">(I15284*J15284*K15284/1000)</f>
        <v>0.2152</v>
      </c>
      <c r="M15284" s="549"/>
      <c r="N15284" s="549"/>
      <c r="O15284" s="549"/>
      <c r="P15284" s="549"/>
    </row>
    <row r="15285" spans="1:16" ht="17.399999999999999">
      <c r="A15285" s="549"/>
      <c r="B15285" s="1605" t="s">
        <v>1780</v>
      </c>
      <c r="C15285" s="549"/>
      <c r="D15285" s="549"/>
      <c r="E15285" s="549"/>
      <c r="F15285" s="549"/>
      <c r="G15285" s="549" t="s">
        <v>21</v>
      </c>
      <c r="H15285" s="549" t="s">
        <v>262</v>
      </c>
      <c r="I15285" s="558">
        <v>5.38</v>
      </c>
      <c r="J15285" s="567">
        <v>10.5</v>
      </c>
      <c r="K15285" s="648">
        <v>7</v>
      </c>
      <c r="L15285" s="552">
        <f t="shared" si="3074"/>
        <v>0.39543</v>
      </c>
      <c r="M15285" s="549"/>
      <c r="N15285" s="549"/>
      <c r="O15285" s="549"/>
      <c r="P15285" s="549"/>
    </row>
    <row r="15286" spans="1:16" ht="17.399999999999999">
      <c r="A15286" s="549"/>
      <c r="B15286" s="549"/>
      <c r="C15286" s="549"/>
      <c r="D15286" s="549"/>
      <c r="E15286" s="549"/>
      <c r="F15286" s="549"/>
      <c r="G15286" s="549" t="s">
        <v>21</v>
      </c>
      <c r="H15286" s="549" t="s">
        <v>262</v>
      </c>
      <c r="I15286" s="558">
        <v>5.38</v>
      </c>
      <c r="J15286" s="567">
        <v>11.5</v>
      </c>
      <c r="K15286" s="648">
        <v>6</v>
      </c>
      <c r="L15286" s="552">
        <f t="shared" si="3074"/>
        <v>0.37121999999999999</v>
      </c>
      <c r="M15286" s="549"/>
      <c r="N15286" s="549"/>
      <c r="O15286" s="549"/>
      <c r="P15286" s="549"/>
    </row>
    <row r="15287" spans="1:16" ht="17.399999999999999">
      <c r="A15287" s="549"/>
      <c r="B15287" s="549"/>
      <c r="C15287" s="549"/>
      <c r="D15287" s="549"/>
      <c r="E15287" s="549"/>
      <c r="F15287" s="549"/>
      <c r="G15287" s="549" t="s">
        <v>21</v>
      </c>
      <c r="H15287" s="549" t="s">
        <v>262</v>
      </c>
      <c r="I15287" s="558">
        <v>5.38</v>
      </c>
      <c r="J15287" s="567">
        <v>12</v>
      </c>
      <c r="K15287" s="648">
        <v>2</v>
      </c>
      <c r="L15287" s="552">
        <f t="shared" si="3074"/>
        <v>0.12912000000000001</v>
      </c>
      <c r="M15287" s="549"/>
      <c r="N15287" s="549"/>
      <c r="O15287" s="549"/>
      <c r="P15287" s="549"/>
    </row>
    <row r="15288" spans="1:16" ht="17.399999999999999">
      <c r="A15288" s="549"/>
      <c r="B15288" s="549"/>
      <c r="C15288" s="549"/>
      <c r="D15288" s="549"/>
      <c r="E15288" s="549"/>
      <c r="F15288" s="549"/>
      <c r="G15288" s="549"/>
      <c r="H15288" s="549"/>
      <c r="I15288" s="558"/>
      <c r="J15288" s="567"/>
      <c r="K15288" s="648">
        <f t="shared" ref="K15288:L15288" si="3075">SUM(K15284:K15287)</f>
        <v>19</v>
      </c>
      <c r="L15288" s="567">
        <f t="shared" si="3075"/>
        <v>1.11097</v>
      </c>
      <c r="M15288" s="549"/>
      <c r="N15288" s="549"/>
      <c r="O15288" s="549"/>
      <c r="P15288" s="549" t="s">
        <v>1834</v>
      </c>
    </row>
    <row r="15289" spans="1:16" ht="17.399999999999999">
      <c r="A15289" s="549"/>
      <c r="B15289" s="549"/>
      <c r="C15289" s="549"/>
      <c r="D15289" s="549"/>
      <c r="E15289" s="549"/>
      <c r="F15289" s="549"/>
      <c r="G15289" s="549"/>
      <c r="H15289" s="549"/>
      <c r="I15289" s="558"/>
      <c r="J15289" s="567"/>
      <c r="K15289" s="648"/>
      <c r="L15289" s="552"/>
      <c r="M15289" s="549"/>
      <c r="N15289" s="549"/>
      <c r="O15289" s="549"/>
      <c r="P15289" s="549"/>
    </row>
    <row r="15290" spans="1:16" ht="17.399999999999999">
      <c r="A15290" s="547" t="s">
        <v>395</v>
      </c>
      <c r="B15290" s="547" t="s">
        <v>1778</v>
      </c>
      <c r="C15290" s="547" t="s">
        <v>19</v>
      </c>
      <c r="D15290" s="813" t="s">
        <v>854</v>
      </c>
      <c r="E15290" s="547" t="s">
        <v>359</v>
      </c>
      <c r="F15290" s="550">
        <v>9</v>
      </c>
      <c r="G15290" s="549" t="s">
        <v>21</v>
      </c>
      <c r="H15290" s="549" t="s">
        <v>262</v>
      </c>
      <c r="I15290" s="558">
        <v>5.38</v>
      </c>
      <c r="J15290" s="567">
        <v>6</v>
      </c>
      <c r="K15290" s="648">
        <v>1</v>
      </c>
      <c r="L15290" s="552">
        <f>(I15290*J15290*K15290/1000)</f>
        <v>3.2280000000000003E-2</v>
      </c>
      <c r="M15290" s="549"/>
      <c r="N15290" s="549"/>
      <c r="O15290" s="549"/>
      <c r="P15290" s="549"/>
    </row>
    <row r="15291" spans="1:16" ht="17.399999999999999">
      <c r="A15291" s="549"/>
      <c r="B15291" s="549" t="s">
        <v>1711</v>
      </c>
      <c r="C15291" s="549"/>
      <c r="D15291" s="549"/>
      <c r="E15291" s="549"/>
      <c r="F15291" s="549"/>
      <c r="G15291" s="549"/>
      <c r="H15291" s="549"/>
      <c r="I15291" s="558"/>
      <c r="J15291" s="567"/>
      <c r="K15291" s="648">
        <f t="shared" ref="K15291:L15291" si="3076">SUM(K15290)</f>
        <v>1</v>
      </c>
      <c r="L15291" s="567">
        <f t="shared" si="3076"/>
        <v>3.2280000000000003E-2</v>
      </c>
      <c r="M15291" s="549"/>
      <c r="N15291" s="549"/>
      <c r="O15291" s="549"/>
      <c r="P15291" s="549" t="s">
        <v>1834</v>
      </c>
    </row>
    <row r="15292" spans="1:16" ht="17.399999999999999">
      <c r="A15292" s="549"/>
      <c r="B15292" s="549"/>
      <c r="C15292" s="549"/>
      <c r="D15292" s="549"/>
      <c r="E15292" s="549"/>
      <c r="F15292" s="549"/>
      <c r="G15292" s="549"/>
      <c r="H15292" s="549"/>
      <c r="I15292" s="558"/>
      <c r="J15292" s="567"/>
      <c r="K15292" s="648"/>
      <c r="L15292" s="552"/>
      <c r="M15292" s="549"/>
      <c r="N15292" s="549"/>
      <c r="O15292" s="549"/>
      <c r="P15292" s="549"/>
    </row>
    <row r="15293" spans="1:16" ht="17.399999999999999">
      <c r="A15293" s="547" t="s">
        <v>395</v>
      </c>
      <c r="B15293" s="547" t="s">
        <v>1759</v>
      </c>
      <c r="C15293" s="547" t="s">
        <v>19</v>
      </c>
      <c r="D15293" s="813" t="s">
        <v>854</v>
      </c>
      <c r="E15293" s="547" t="s">
        <v>1028</v>
      </c>
      <c r="F15293" s="550">
        <v>9</v>
      </c>
      <c r="G15293" s="549" t="s">
        <v>21</v>
      </c>
      <c r="H15293" s="549" t="s">
        <v>262</v>
      </c>
      <c r="I15293" s="558">
        <v>5.38</v>
      </c>
      <c r="J15293" s="567">
        <v>11.25</v>
      </c>
      <c r="K15293" s="648">
        <v>2</v>
      </c>
      <c r="L15293" s="552">
        <f>(I15293*J15293*K15293/1000)</f>
        <v>0.12104999999999999</v>
      </c>
      <c r="M15293" s="549"/>
      <c r="N15293" s="549"/>
      <c r="O15293" s="549"/>
      <c r="P15293" s="549"/>
    </row>
    <row r="15294" spans="1:16" ht="17.399999999999999">
      <c r="A15294" s="549"/>
      <c r="B15294" s="549" t="s">
        <v>1027</v>
      </c>
      <c r="C15294" s="549"/>
      <c r="D15294" s="549"/>
      <c r="E15294" s="549"/>
      <c r="F15294" s="549"/>
      <c r="G15294" s="549"/>
      <c r="H15294" s="549"/>
      <c r="I15294" s="558"/>
      <c r="J15294" s="567"/>
      <c r="K15294" s="648">
        <f t="shared" ref="K15294:L15294" si="3077">SUM(K15293)</f>
        <v>2</v>
      </c>
      <c r="L15294" s="567">
        <f t="shared" si="3077"/>
        <v>0.12104999999999999</v>
      </c>
      <c r="M15294" s="549"/>
      <c r="N15294" s="549"/>
      <c r="O15294" s="549"/>
      <c r="P15294" s="549" t="s">
        <v>1835</v>
      </c>
    </row>
    <row r="15295" spans="1:16" ht="17.399999999999999">
      <c r="A15295" s="549"/>
      <c r="B15295" s="549"/>
      <c r="C15295" s="549"/>
      <c r="D15295" s="549"/>
      <c r="E15295" s="549"/>
      <c r="F15295" s="549"/>
      <c r="G15295" s="549"/>
      <c r="H15295" s="549"/>
      <c r="I15295" s="558"/>
      <c r="J15295" s="567"/>
      <c r="K15295" s="648"/>
      <c r="L15295" s="567"/>
      <c r="M15295" s="549"/>
      <c r="N15295" s="549"/>
      <c r="O15295" s="549"/>
      <c r="P15295" s="549"/>
    </row>
    <row r="15296" spans="1:16" ht="17.399999999999999">
      <c r="A15296" s="547" t="s">
        <v>395</v>
      </c>
      <c r="B15296" s="547" t="s">
        <v>1765</v>
      </c>
      <c r="C15296" s="547" t="s">
        <v>19</v>
      </c>
      <c r="D15296" s="813" t="s">
        <v>854</v>
      </c>
      <c r="E15296" s="547" t="s">
        <v>359</v>
      </c>
      <c r="F15296" s="550">
        <v>9</v>
      </c>
      <c r="G15296" s="549" t="s">
        <v>21</v>
      </c>
      <c r="H15296" s="549" t="s">
        <v>262</v>
      </c>
      <c r="I15296" s="558">
        <v>5.38</v>
      </c>
      <c r="J15296" s="567">
        <v>10</v>
      </c>
      <c r="K15296" s="648">
        <v>8</v>
      </c>
      <c r="L15296" s="552">
        <f t="shared" ref="L15296:L15298" si="3078">(I15296*J15296*K15296/1000)</f>
        <v>0.4304</v>
      </c>
      <c r="M15296" s="549"/>
      <c r="N15296" s="549"/>
      <c r="O15296" s="549"/>
      <c r="P15296" s="549"/>
    </row>
    <row r="15297" spans="1:16" ht="17.399999999999999">
      <c r="A15297" s="549"/>
      <c r="B15297" s="549" t="s">
        <v>1027</v>
      </c>
      <c r="C15297" s="549"/>
      <c r="D15297" s="549"/>
      <c r="E15297" s="549"/>
      <c r="F15297" s="549"/>
      <c r="G15297" s="549" t="s">
        <v>21</v>
      </c>
      <c r="H15297" s="549" t="s">
        <v>262</v>
      </c>
      <c r="I15297" s="558">
        <v>5.38</v>
      </c>
      <c r="J15297" s="567">
        <v>11</v>
      </c>
      <c r="K15297" s="648">
        <v>5</v>
      </c>
      <c r="L15297" s="552">
        <f t="shared" si="3078"/>
        <v>0.2959</v>
      </c>
      <c r="M15297" s="549"/>
      <c r="N15297" s="549"/>
      <c r="O15297" s="549"/>
      <c r="P15297" s="549"/>
    </row>
    <row r="15298" spans="1:16" ht="17.399999999999999">
      <c r="A15298" s="549"/>
      <c r="B15298" s="549"/>
      <c r="C15298" s="549"/>
      <c r="D15298" s="549"/>
      <c r="E15298" s="549"/>
      <c r="F15298" s="549"/>
      <c r="G15298" s="549" t="s">
        <v>21</v>
      </c>
      <c r="H15298" s="549" t="s">
        <v>262</v>
      </c>
      <c r="I15298" s="558">
        <v>5.38</v>
      </c>
      <c r="J15298" s="567">
        <v>11.5</v>
      </c>
      <c r="K15298" s="648">
        <v>6</v>
      </c>
      <c r="L15298" s="552">
        <f t="shared" si="3078"/>
        <v>0.37121999999999999</v>
      </c>
      <c r="M15298" s="549"/>
      <c r="N15298" s="549"/>
      <c r="O15298" s="549"/>
      <c r="P15298" s="549"/>
    </row>
    <row r="15299" spans="1:16" ht="17.399999999999999">
      <c r="A15299" s="549"/>
      <c r="B15299" s="549"/>
      <c r="C15299" s="549"/>
      <c r="D15299" s="549"/>
      <c r="E15299" s="549"/>
      <c r="F15299" s="549"/>
      <c r="G15299" s="549"/>
      <c r="H15299" s="549"/>
      <c r="I15299" s="558"/>
      <c r="J15299" s="567"/>
      <c r="K15299" s="648">
        <f>SUM(K15296:K15298)</f>
        <v>19</v>
      </c>
      <c r="L15299" s="567">
        <f>SUM(L15296:L15298)</f>
        <v>1.0975199999999998</v>
      </c>
      <c r="M15299" s="648">
        <f t="shared" ref="M15299" si="3079">SUM(M15296:M15298)</f>
        <v>0</v>
      </c>
      <c r="N15299" s="567">
        <f>SUM(N15296:N15298)</f>
        <v>0</v>
      </c>
      <c r="O15299" s="549"/>
      <c r="P15299" s="549" t="s">
        <v>1834</v>
      </c>
    </row>
    <row r="15300" spans="1:16" ht="17.399999999999999">
      <c r="A15300" s="547"/>
      <c r="B15300" s="547"/>
      <c r="C15300" s="547"/>
      <c r="D15300" s="813"/>
      <c r="E15300" s="650"/>
      <c r="F15300" s="550"/>
      <c r="G15300" s="549"/>
      <c r="H15300" s="549"/>
      <c r="I15300" s="558"/>
      <c r="J15300" s="567"/>
      <c r="K15300" s="848">
        <f>SUM(K15262:K15299)/2</f>
        <v>264</v>
      </c>
      <c r="L15300" s="552">
        <f>SUM(L15262:L15299)/2</f>
        <v>14.985079000000002</v>
      </c>
      <c r="M15300" s="848">
        <f>SUM(M15262:M15299)/2</f>
        <v>14</v>
      </c>
      <c r="N15300" s="552">
        <f>SUM(N15262:N15299)/2</f>
        <v>0.74320799999999987</v>
      </c>
      <c r="O15300" s="549"/>
      <c r="P15300" s="549"/>
    </row>
    <row r="15301" spans="1:16" s="1737" customFormat="1" ht="17.399999999999999">
      <c r="A15301" s="547"/>
      <c r="B15301" s="547"/>
      <c r="C15301" s="547"/>
      <c r="D15301" s="813"/>
      <c r="E15301" s="650"/>
      <c r="F15301" s="550"/>
      <c r="G15301" s="549"/>
      <c r="H15301" s="549"/>
      <c r="I15301" s="558"/>
      <c r="J15301" s="567"/>
      <c r="K15301" s="848"/>
      <c r="L15301" s="552"/>
      <c r="M15301" s="848"/>
      <c r="N15301" s="552"/>
      <c r="O15301" s="549"/>
      <c r="P15301" s="549"/>
    </row>
    <row r="15302" spans="1:16" s="1737" customFormat="1" ht="17.399999999999999">
      <c r="A15302" s="547"/>
      <c r="B15302" s="547"/>
      <c r="C15302" s="547"/>
      <c r="D15302" s="813"/>
      <c r="E15302" s="650"/>
      <c r="F15302" s="550"/>
      <c r="G15302" s="549"/>
      <c r="H15302" s="549"/>
      <c r="I15302" s="558"/>
      <c r="J15302" s="567"/>
      <c r="K15302" s="848"/>
      <c r="L15302" s="552"/>
      <c r="M15302" s="848"/>
      <c r="N15302" s="552"/>
      <c r="O15302" s="549"/>
      <c r="P15302" s="549"/>
    </row>
    <row r="15303" spans="1:16" ht="17.399999999999999">
      <c r="A15303" s="547" t="s">
        <v>83</v>
      </c>
      <c r="B15303" s="918" t="s">
        <v>1806</v>
      </c>
      <c r="C15303" s="547" t="s">
        <v>19</v>
      </c>
      <c r="D15303" s="813" t="s">
        <v>854</v>
      </c>
      <c r="E15303" s="650" t="s">
        <v>464</v>
      </c>
      <c r="F15303" s="550">
        <v>9</v>
      </c>
      <c r="G15303" s="549" t="s">
        <v>21</v>
      </c>
      <c r="H15303" s="549" t="s">
        <v>262</v>
      </c>
      <c r="I15303" s="558">
        <v>5.37</v>
      </c>
      <c r="J15303" s="567">
        <v>10.5</v>
      </c>
      <c r="K15303" s="648">
        <v>3</v>
      </c>
      <c r="L15303" s="552">
        <f>(I15303*J15303*K15303/1000)</f>
        <v>0.169155</v>
      </c>
      <c r="M15303" s="549"/>
      <c r="N15303" s="549"/>
      <c r="O15303" s="549"/>
      <c r="P15303" s="549"/>
    </row>
    <row r="15304" spans="1:16" ht="17.399999999999999">
      <c r="A15304" s="549"/>
      <c r="B15304" s="919" t="s">
        <v>1821</v>
      </c>
      <c r="C15304" s="549"/>
      <c r="D15304" s="549"/>
      <c r="E15304" s="549"/>
      <c r="F15304" s="549"/>
      <c r="G15304" s="549" t="s">
        <v>21</v>
      </c>
      <c r="H15304" s="549" t="s">
        <v>262</v>
      </c>
      <c r="I15304" s="558">
        <v>5.37</v>
      </c>
      <c r="J15304" s="567">
        <v>11</v>
      </c>
      <c r="K15304" s="648">
        <v>22</v>
      </c>
      <c r="L15304" s="552">
        <f>(I15304*J15304*K15304/1000)</f>
        <v>1.2995399999999999</v>
      </c>
      <c r="M15304" s="549"/>
      <c r="N15304" s="549"/>
      <c r="O15304" s="549"/>
      <c r="P15304" s="549"/>
    </row>
    <row r="15305" spans="1:16" ht="17.399999999999999">
      <c r="A15305" s="549"/>
      <c r="B15305" s="549"/>
      <c r="C15305" s="549"/>
      <c r="D15305" s="549"/>
      <c r="E15305" s="549"/>
      <c r="F15305" s="549"/>
      <c r="G15305" s="549" t="s">
        <v>21</v>
      </c>
      <c r="H15305" s="549" t="s">
        <v>262</v>
      </c>
      <c r="I15305" s="558">
        <v>5.37</v>
      </c>
      <c r="J15305" s="567">
        <v>11.5</v>
      </c>
      <c r="K15305" s="648">
        <f>15-4</f>
        <v>11</v>
      </c>
      <c r="L15305" s="552">
        <f>(I15305*J15305*K15305/1000)</f>
        <v>0.67930500000000005</v>
      </c>
      <c r="M15305" s="549"/>
      <c r="N15305" s="549"/>
      <c r="O15305" s="549"/>
      <c r="P15305" s="549"/>
    </row>
    <row r="15306" spans="1:16" ht="17.399999999999999">
      <c r="A15306" s="549"/>
      <c r="B15306" s="549"/>
      <c r="C15306" s="549"/>
      <c r="D15306" s="549"/>
      <c r="E15306" s="549"/>
      <c r="F15306" s="549"/>
      <c r="G15306" s="549"/>
      <c r="H15306" s="549"/>
      <c r="I15306" s="558"/>
      <c r="J15306" s="567"/>
      <c r="K15306" s="648">
        <f>SUM(K15303:K15305)</f>
        <v>36</v>
      </c>
      <c r="L15306" s="567">
        <f>SUM(L15303:L15305)</f>
        <v>2.1479999999999997</v>
      </c>
      <c r="M15306" s="648">
        <f>SUM(M15303:M15305)</f>
        <v>0</v>
      </c>
      <c r="N15306" s="567">
        <f>SUM(N15303:N15305)</f>
        <v>0</v>
      </c>
      <c r="O15306" s="549"/>
      <c r="P15306" s="549"/>
    </row>
    <row r="15307" spans="1:16" ht="17.399999999999999">
      <c r="A15307" s="549"/>
      <c r="B15307" s="549"/>
      <c r="C15307" s="549"/>
      <c r="D15307" s="549"/>
      <c r="E15307" s="549"/>
      <c r="F15307" s="549"/>
      <c r="G15307" s="549"/>
      <c r="H15307" s="549"/>
      <c r="I15307" s="558"/>
      <c r="J15307" s="549"/>
      <c r="K15307" s="561"/>
      <c r="L15307" s="560"/>
      <c r="M15307" s="549"/>
      <c r="N15307" s="549"/>
      <c r="O15307" s="549"/>
      <c r="P15307" s="549"/>
    </row>
    <row r="15308" spans="1:16" ht="17.399999999999999">
      <c r="A15308" s="549"/>
      <c r="B15308" s="549"/>
      <c r="C15308" s="549"/>
      <c r="D15308" s="549"/>
      <c r="E15308" s="549"/>
      <c r="F15308" s="549"/>
      <c r="G15308" s="549"/>
      <c r="H15308" s="549"/>
      <c r="I15308" s="558"/>
      <c r="J15308" s="549"/>
      <c r="K15308" s="561"/>
      <c r="L15308" s="560"/>
      <c r="M15308" s="549"/>
      <c r="N15308" s="549"/>
      <c r="O15308" s="549"/>
      <c r="P15308" s="549"/>
    </row>
    <row r="15309" spans="1:16" ht="17.399999999999999">
      <c r="A15309" s="547" t="s">
        <v>272</v>
      </c>
      <c r="B15309" s="547" t="s">
        <v>1664</v>
      </c>
      <c r="C15309" s="547" t="s">
        <v>446</v>
      </c>
      <c r="D15309" s="813" t="s">
        <v>447</v>
      </c>
      <c r="E15309" s="547" t="s">
        <v>359</v>
      </c>
      <c r="F15309" s="550">
        <v>9</v>
      </c>
      <c r="G15309" s="549" t="s">
        <v>21</v>
      </c>
      <c r="H15309" s="549" t="s">
        <v>262</v>
      </c>
      <c r="I15309" s="558">
        <v>5.38</v>
      </c>
      <c r="J15309" s="567">
        <v>10.5</v>
      </c>
      <c r="K15309" s="648">
        <v>37</v>
      </c>
      <c r="L15309" s="552">
        <f t="shared" ref="L15309:L15310" si="3080">(I15309*J15309*K15309/1000)</f>
        <v>2.0901300000000003</v>
      </c>
      <c r="M15309" s="647"/>
      <c r="N15309" s="549"/>
      <c r="O15309" s="549"/>
      <c r="P15309" s="549"/>
    </row>
    <row r="15310" spans="1:16" ht="17.399999999999999">
      <c r="A15310" s="549"/>
      <c r="B15310" s="549"/>
      <c r="C15310" s="549"/>
      <c r="D15310" s="549"/>
      <c r="E15310" s="549"/>
      <c r="F15310" s="549"/>
      <c r="G15310" s="549" t="s">
        <v>21</v>
      </c>
      <c r="H15310" s="549" t="s">
        <v>262</v>
      </c>
      <c r="I15310" s="558">
        <v>5.38</v>
      </c>
      <c r="J15310" s="567">
        <v>11</v>
      </c>
      <c r="K15310" s="648">
        <v>12</v>
      </c>
      <c r="L15310" s="552">
        <f t="shared" si="3080"/>
        <v>0.71016000000000001</v>
      </c>
      <c r="M15310" s="647"/>
      <c r="N15310" s="549"/>
      <c r="O15310" s="549"/>
      <c r="P15310" s="549"/>
    </row>
    <row r="15311" spans="1:16" ht="17.399999999999999">
      <c r="A15311" s="549"/>
      <c r="B15311" s="549"/>
      <c r="C15311" s="549"/>
      <c r="D15311" s="549"/>
      <c r="E15311" s="549"/>
      <c r="F15311" s="549"/>
      <c r="G15311" s="549"/>
      <c r="H15311" s="549"/>
      <c r="I15311" s="558"/>
      <c r="J15311" s="648"/>
      <c r="K15311" s="648">
        <f>SUM(K15309:K15310)</f>
        <v>49</v>
      </c>
      <c r="L15311" s="567">
        <f>SUM(L15309:L15310)</f>
        <v>2.8002900000000004</v>
      </c>
      <c r="M15311" s="647"/>
      <c r="N15311" s="549"/>
      <c r="O15311" s="549"/>
      <c r="P15311" s="549"/>
    </row>
    <row r="15312" spans="1:16" ht="17.399999999999999">
      <c r="A15312" s="549"/>
      <c r="B15312" s="549"/>
      <c r="C15312" s="549"/>
      <c r="D15312" s="549"/>
      <c r="E15312" s="549"/>
      <c r="F15312" s="549"/>
      <c r="G15312" s="549"/>
      <c r="H15312" s="549"/>
      <c r="I15312" s="558"/>
      <c r="J15312" s="549"/>
      <c r="K15312" s="561"/>
      <c r="L15312" s="568"/>
      <c r="M15312" s="549"/>
      <c r="N15312" s="549"/>
      <c r="O15312" s="549"/>
      <c r="P15312" s="549"/>
    </row>
    <row r="15313" spans="1:18" ht="17.399999999999999">
      <c r="A15313" s="547" t="s">
        <v>272</v>
      </c>
      <c r="B15313" s="547" t="s">
        <v>1664</v>
      </c>
      <c r="C15313" s="547" t="s">
        <v>446</v>
      </c>
      <c r="D15313" s="813" t="s">
        <v>447</v>
      </c>
      <c r="E15313" s="547" t="s">
        <v>359</v>
      </c>
      <c r="F15313" s="550">
        <v>9</v>
      </c>
      <c r="G15313" s="549" t="s">
        <v>21</v>
      </c>
      <c r="H15313" s="549" t="s">
        <v>262</v>
      </c>
      <c r="I15313" s="558">
        <v>5.38</v>
      </c>
      <c r="J15313" s="647">
        <v>12</v>
      </c>
      <c r="K15313" s="648">
        <v>111</v>
      </c>
      <c r="L15313" s="552">
        <f>(I15313*J15313*K15313/1000)</f>
        <v>7.1661599999999996</v>
      </c>
      <c r="M15313" s="549"/>
      <c r="N15313" s="549"/>
      <c r="O15313" s="549"/>
      <c r="P15313" s="549"/>
    </row>
    <row r="15314" spans="1:18" ht="17.399999999999999">
      <c r="A15314" s="549"/>
      <c r="B15314" s="549"/>
      <c r="C15314" s="549"/>
      <c r="D15314" s="549"/>
      <c r="E15314" s="549"/>
      <c r="F15314" s="549"/>
      <c r="G15314" s="549" t="s">
        <v>21</v>
      </c>
      <c r="H15314" s="549" t="s">
        <v>262</v>
      </c>
      <c r="I15314" s="558">
        <v>5.38</v>
      </c>
      <c r="J15314" s="647">
        <v>10.5</v>
      </c>
      <c r="K15314" s="648">
        <v>200</v>
      </c>
      <c r="L15314" s="552">
        <f>(I15314*J15314*K15314/1000)</f>
        <v>11.298</v>
      </c>
      <c r="M15314" s="549"/>
      <c r="N15314" s="549"/>
      <c r="O15314" s="549"/>
      <c r="P15314" s="549"/>
    </row>
    <row r="15315" spans="1:18" ht="17.399999999999999">
      <c r="A15315" s="549"/>
      <c r="B15315" s="549"/>
      <c r="C15315" s="549"/>
      <c r="D15315" s="549"/>
      <c r="E15315" s="549"/>
      <c r="F15315" s="549"/>
      <c r="G15315" s="549" t="s">
        <v>21</v>
      </c>
      <c r="H15315" s="549" t="s">
        <v>262</v>
      </c>
      <c r="I15315" s="558">
        <v>5.38</v>
      </c>
      <c r="J15315" s="647">
        <v>11</v>
      </c>
      <c r="K15315" s="648">
        <v>90</v>
      </c>
      <c r="L15315" s="552">
        <f>(I15315*J15315*K15315/1000)</f>
        <v>5.3262</v>
      </c>
      <c r="M15315" s="549"/>
      <c r="N15315" s="549"/>
      <c r="O15315" s="549"/>
      <c r="P15315" s="549"/>
    </row>
    <row r="15316" spans="1:18" ht="17.399999999999999">
      <c r="A15316" s="549"/>
      <c r="B15316" s="549"/>
      <c r="C15316" s="549"/>
      <c r="D15316" s="549"/>
      <c r="E15316" s="549"/>
      <c r="F15316" s="549"/>
      <c r="G15316" s="549"/>
      <c r="H15316" s="549"/>
      <c r="I15316" s="558"/>
      <c r="J15316" s="648"/>
      <c r="K15316" s="648">
        <f>SUM(K15313:K15315)</f>
        <v>401</v>
      </c>
      <c r="L15316" s="567">
        <f>SUM(L15313:L15315)</f>
        <v>23.79036</v>
      </c>
      <c r="M15316" s="549"/>
      <c r="N15316" s="549"/>
      <c r="O15316" s="549"/>
      <c r="P15316" s="549"/>
    </row>
    <row r="15317" spans="1:18" ht="17.399999999999999">
      <c r="A15317" s="549"/>
      <c r="B15317" s="549"/>
      <c r="C15317" s="549"/>
      <c r="D15317" s="549"/>
      <c r="E15317" s="549"/>
      <c r="F15317" s="549"/>
      <c r="G15317" s="549"/>
      <c r="H15317" s="549"/>
      <c r="I15317" s="558"/>
      <c r="J15317" s="549"/>
      <c r="K15317" s="652">
        <f>+K15316+K15311</f>
        <v>450</v>
      </c>
      <c r="L15317" s="565">
        <f>+L15316+L15311</f>
        <v>26.59065</v>
      </c>
      <c r="M15317" s="652">
        <f>+M15316+M15311</f>
        <v>0</v>
      </c>
      <c r="N15317" s="565">
        <f>+N15316+N15311</f>
        <v>0</v>
      </c>
      <c r="O15317" s="549"/>
      <c r="P15317" s="549" t="s">
        <v>1836</v>
      </c>
    </row>
    <row r="15318" spans="1:18" ht="17.399999999999999">
      <c r="A15318" s="549"/>
      <c r="B15318" s="549"/>
      <c r="C15318" s="549"/>
      <c r="D15318" s="549"/>
      <c r="E15318" s="549"/>
      <c r="F15318" s="549"/>
      <c r="G15318" s="549"/>
      <c r="H15318" s="549"/>
      <c r="I15318" s="558"/>
      <c r="J15318" s="549"/>
      <c r="K15318" s="561"/>
      <c r="L15318" s="560"/>
      <c r="M15318" s="549"/>
      <c r="N15318" s="549"/>
      <c r="O15318" s="549"/>
      <c r="P15318" s="549"/>
    </row>
    <row r="15319" spans="1:18" ht="17.399999999999999">
      <c r="A15319" s="549"/>
      <c r="B15319" s="549"/>
      <c r="C15319" s="549"/>
      <c r="D15319" s="549"/>
      <c r="E15319" s="549"/>
      <c r="F15319" s="549"/>
      <c r="G15319" s="549"/>
      <c r="H15319" s="549"/>
      <c r="I15319" s="558"/>
      <c r="J15319" s="549"/>
      <c r="K15319" s="561"/>
      <c r="L15319" s="560"/>
      <c r="M15319" s="549"/>
      <c r="N15319" s="549"/>
      <c r="O15319" s="549"/>
      <c r="P15319" s="549"/>
    </row>
    <row r="15320" spans="1:18" ht="17.399999999999999">
      <c r="A15320" s="549"/>
      <c r="B15320" s="549"/>
      <c r="C15320" s="549"/>
      <c r="D15320" s="549"/>
      <c r="E15320" s="549"/>
      <c r="F15320" s="549"/>
      <c r="G15320" s="549"/>
      <c r="H15320" s="549"/>
      <c r="I15320" s="558"/>
      <c r="J15320" s="549"/>
      <c r="K15320" s="561"/>
      <c r="L15320" s="560"/>
      <c r="M15320" s="549"/>
      <c r="N15320" s="549"/>
      <c r="O15320" s="549"/>
      <c r="P15320" s="549"/>
    </row>
    <row r="15321" spans="1:18" ht="17.399999999999999">
      <c r="A15321" s="547" t="s">
        <v>83</v>
      </c>
      <c r="B15321" s="547" t="s">
        <v>1731</v>
      </c>
      <c r="C15321" s="547" t="s">
        <v>19</v>
      </c>
      <c r="D15321" s="813" t="s">
        <v>155</v>
      </c>
      <c r="E15321" s="547" t="s">
        <v>247</v>
      </c>
      <c r="F15321" s="550">
        <v>9</v>
      </c>
      <c r="G15321" s="549" t="s">
        <v>61</v>
      </c>
      <c r="H15321" s="549" t="s">
        <v>262</v>
      </c>
      <c r="I15321" s="558">
        <v>5.37</v>
      </c>
      <c r="J15321" s="567">
        <v>10</v>
      </c>
      <c r="K15321" s="648">
        <v>18</v>
      </c>
      <c r="L15321" s="552">
        <f t="shared" ref="L15321:L15324" si="3081">(I15321*J15321*K15321/1000)</f>
        <v>0.96660000000000001</v>
      </c>
      <c r="M15321" s="549">
        <v>2</v>
      </c>
      <c r="N15321" s="567">
        <f t="shared" ref="N15321:N15324" si="3082">J15321*M15321*I15321/1000</f>
        <v>0.10740000000000001</v>
      </c>
      <c r="O15321" s="549"/>
      <c r="P15321" s="549"/>
      <c r="Q15321" s="497">
        <v>4</v>
      </c>
      <c r="R15321" s="497">
        <f>J15321*Q15321*I15321/1000</f>
        <v>0.21480000000000002</v>
      </c>
    </row>
    <row r="15322" spans="1:18" ht="17.399999999999999">
      <c r="A15322" s="549"/>
      <c r="B15322" s="549" t="s">
        <v>52</v>
      </c>
      <c r="C15322" s="549"/>
      <c r="D15322" s="549"/>
      <c r="E15322" s="549"/>
      <c r="F15322" s="549"/>
      <c r="G15322" s="549" t="s">
        <v>61</v>
      </c>
      <c r="H15322" s="549" t="s">
        <v>262</v>
      </c>
      <c r="I15322" s="558">
        <v>5.37</v>
      </c>
      <c r="J15322" s="567">
        <v>10.5</v>
      </c>
      <c r="K15322" s="648">
        <v>22</v>
      </c>
      <c r="L15322" s="552">
        <f t="shared" si="3081"/>
        <v>1.24047</v>
      </c>
      <c r="M15322" s="549">
        <f>2+8</f>
        <v>10</v>
      </c>
      <c r="N15322" s="567">
        <f t="shared" si="3082"/>
        <v>0.56385000000000007</v>
      </c>
      <c r="O15322" s="549"/>
      <c r="P15322" s="549"/>
      <c r="Q15322" s="497">
        <v>2</v>
      </c>
      <c r="R15322" s="1737">
        <f t="shared" ref="R15322:R15324" si="3083">J15322*Q15322*I15322/1000</f>
        <v>0.11277</v>
      </c>
    </row>
    <row r="15323" spans="1:18" ht="17.399999999999999">
      <c r="A15323" s="549"/>
      <c r="B15323" s="549"/>
      <c r="C15323" s="549"/>
      <c r="D15323" s="549"/>
      <c r="E15323" s="549"/>
      <c r="F15323" s="549"/>
      <c r="G15323" s="549" t="s">
        <v>61</v>
      </c>
      <c r="H15323" s="549" t="s">
        <v>262</v>
      </c>
      <c r="I15323" s="558">
        <v>5.37</v>
      </c>
      <c r="J15323" s="567">
        <v>11</v>
      </c>
      <c r="K15323" s="648">
        <v>13</v>
      </c>
      <c r="L15323" s="552">
        <f t="shared" si="3081"/>
        <v>0.76790999999999998</v>
      </c>
      <c r="M15323" s="549">
        <v>3</v>
      </c>
      <c r="N15323" s="567">
        <f t="shared" si="3082"/>
        <v>0.17721000000000001</v>
      </c>
      <c r="O15323" s="549"/>
      <c r="P15323" s="549"/>
      <c r="Q15323" s="497">
        <v>3</v>
      </c>
      <c r="R15323" s="1737">
        <f t="shared" si="3083"/>
        <v>0.17721000000000001</v>
      </c>
    </row>
    <row r="15324" spans="1:18" ht="17.399999999999999">
      <c r="A15324" s="549"/>
      <c r="B15324" s="549"/>
      <c r="C15324" s="549"/>
      <c r="D15324" s="549"/>
      <c r="E15324" s="549"/>
      <c r="F15324" s="549"/>
      <c r="G15324" s="549" t="s">
        <v>61</v>
      </c>
      <c r="H15324" s="549" t="s">
        <v>262</v>
      </c>
      <c r="I15324" s="558">
        <v>5.37</v>
      </c>
      <c r="J15324" s="567">
        <v>11.5</v>
      </c>
      <c r="K15324" s="648">
        <v>31</v>
      </c>
      <c r="L15324" s="552">
        <f t="shared" si="3081"/>
        <v>1.9144049999999999</v>
      </c>
      <c r="M15324" s="549"/>
      <c r="N15324" s="567">
        <f t="shared" si="3082"/>
        <v>0</v>
      </c>
      <c r="O15324" s="549"/>
      <c r="P15324" s="549"/>
      <c r="Q15324" s="497">
        <v>20</v>
      </c>
      <c r="R15324" s="1737">
        <f t="shared" si="3083"/>
        <v>1.2351000000000001</v>
      </c>
    </row>
    <row r="15325" spans="1:18" ht="17.399999999999999">
      <c r="A15325" s="549"/>
      <c r="B15325" s="549"/>
      <c r="C15325" s="549"/>
      <c r="D15325" s="549"/>
      <c r="E15325" s="549"/>
      <c r="F15325" s="549"/>
      <c r="G15325" s="549"/>
      <c r="H15325" s="549"/>
      <c r="I15325" s="558"/>
      <c r="J15325" s="567"/>
      <c r="K15325" s="648">
        <f>SUM(K15321:K15324)</f>
        <v>84</v>
      </c>
      <c r="L15325" s="567">
        <f>SUM(L15321:L15324)</f>
        <v>4.8893849999999999</v>
      </c>
      <c r="M15325" s="648">
        <f>SUM(M15321:M15324)</f>
        <v>15</v>
      </c>
      <c r="N15325" s="567">
        <f>SUM(N15321:N15324)</f>
        <v>0.8484600000000001</v>
      </c>
      <c r="O15325" s="549"/>
      <c r="P15325" s="549" t="s">
        <v>1837</v>
      </c>
      <c r="Q15325" s="648">
        <f>SUM(Q15321:Q15324)</f>
        <v>29</v>
      </c>
      <c r="R15325" s="567">
        <f>SUM(R15321:R15324)</f>
        <v>1.7398800000000001</v>
      </c>
    </row>
    <row r="15326" spans="1:18" ht="17.399999999999999">
      <c r="A15326" s="549"/>
      <c r="B15326" s="549"/>
      <c r="C15326" s="549"/>
      <c r="D15326" s="549"/>
      <c r="E15326" s="549"/>
      <c r="F15326" s="549"/>
      <c r="G15326" s="549"/>
      <c r="H15326" s="549"/>
      <c r="I15326" s="558"/>
      <c r="J15326" s="549"/>
      <c r="K15326" s="561"/>
      <c r="L15326" s="560"/>
      <c r="M15326" s="549"/>
      <c r="N15326" s="549"/>
      <c r="O15326" s="549"/>
      <c r="P15326" s="549"/>
    </row>
    <row r="15327" spans="1:18" ht="17.399999999999999">
      <c r="A15327" s="547" t="s">
        <v>83</v>
      </c>
      <c r="B15327" s="547" t="s">
        <v>1785</v>
      </c>
      <c r="C15327" s="547" t="s">
        <v>19</v>
      </c>
      <c r="D15327" s="813" t="s">
        <v>155</v>
      </c>
      <c r="E15327" s="650" t="s">
        <v>323</v>
      </c>
      <c r="F15327" s="550">
        <v>9</v>
      </c>
      <c r="G15327" s="549" t="s">
        <v>94</v>
      </c>
      <c r="H15327" s="549" t="s">
        <v>262</v>
      </c>
      <c r="I15327" s="558">
        <v>5.37</v>
      </c>
      <c r="J15327" s="710">
        <v>11.5</v>
      </c>
      <c r="K15327" s="648">
        <v>11</v>
      </c>
      <c r="L15327" s="552">
        <f>(I15327*J15327*K15327/1000)</f>
        <v>0.67930500000000005</v>
      </c>
      <c r="M15327" s="549"/>
      <c r="N15327" s="549"/>
      <c r="O15327" s="549"/>
      <c r="P15327" s="549"/>
    </row>
    <row r="15328" spans="1:18" ht="17.399999999999999">
      <c r="A15328" s="549"/>
      <c r="B15328" s="549" t="s">
        <v>439</v>
      </c>
      <c r="C15328" s="549"/>
      <c r="D15328" s="549"/>
      <c r="E15328" s="549"/>
      <c r="F15328" s="549"/>
      <c r="G15328" s="549"/>
      <c r="H15328" s="650"/>
      <c r="I15328" s="558"/>
      <c r="J15328" s="710"/>
      <c r="K15328" s="648">
        <f>SUM(K15327:K15327)</f>
        <v>11</v>
      </c>
      <c r="L15328" s="765">
        <f>SUM(L15327:L15327)</f>
        <v>0.67930500000000005</v>
      </c>
      <c r="M15328" s="549"/>
      <c r="N15328" s="549"/>
      <c r="O15328" s="549"/>
      <c r="P15328" s="549" t="s">
        <v>1838</v>
      </c>
    </row>
    <row r="15329" spans="1:18" ht="17.399999999999999">
      <c r="A15329" s="549"/>
      <c r="B15329" s="549"/>
      <c r="C15329" s="549"/>
      <c r="D15329" s="549"/>
      <c r="E15329" s="549"/>
      <c r="F15329" s="549"/>
      <c r="G15329" s="549"/>
      <c r="H15329" s="549"/>
      <c r="I15329" s="558"/>
      <c r="J15329" s="549"/>
      <c r="K15329" s="561"/>
      <c r="L15329" s="560"/>
      <c r="M15329" s="549"/>
      <c r="N15329" s="549"/>
      <c r="O15329" s="549"/>
      <c r="P15329" s="549"/>
    </row>
    <row r="15330" spans="1:18" ht="17.399999999999999">
      <c r="A15330" s="547" t="s">
        <v>1400</v>
      </c>
      <c r="B15330" s="547" t="s">
        <v>1808</v>
      </c>
      <c r="C15330" s="547" t="s">
        <v>19</v>
      </c>
      <c r="D15330" s="813" t="s">
        <v>155</v>
      </c>
      <c r="E15330" s="650" t="s">
        <v>323</v>
      </c>
      <c r="F15330" s="550">
        <v>9</v>
      </c>
      <c r="G15330" s="549" t="s">
        <v>61</v>
      </c>
      <c r="H15330" s="549" t="s">
        <v>262</v>
      </c>
      <c r="I15330" s="558">
        <v>5.37</v>
      </c>
      <c r="J15330" s="567">
        <v>12</v>
      </c>
      <c r="K15330" s="648">
        <v>23</v>
      </c>
      <c r="L15330" s="552">
        <f>(I15330*J15330*K15330/1000)</f>
        <v>1.4821199999999999</v>
      </c>
      <c r="M15330" s="549"/>
      <c r="N15330" s="549"/>
      <c r="O15330" s="549"/>
      <c r="P15330" s="549"/>
      <c r="Q15330" s="497">
        <v>10</v>
      </c>
      <c r="R15330" s="126">
        <f t="shared" ref="R15330" si="3084">J15330*Q15330*I15330/1000</f>
        <v>0.64439999999999997</v>
      </c>
    </row>
    <row r="15331" spans="1:18" ht="17.399999999999999">
      <c r="A15331" s="549"/>
      <c r="B15331" s="549" t="s">
        <v>439</v>
      </c>
      <c r="C15331" s="549"/>
      <c r="D15331" s="549"/>
      <c r="E15331" s="549"/>
      <c r="F15331" s="549"/>
      <c r="G15331" s="549"/>
      <c r="H15331" s="549"/>
      <c r="I15331" s="558"/>
      <c r="J15331" s="567"/>
      <c r="K15331" s="648">
        <f>SUM(K15330:K15330)</f>
        <v>23</v>
      </c>
      <c r="L15331" s="567">
        <f>SUM(L15330:L15330)</f>
        <v>1.4821199999999999</v>
      </c>
      <c r="M15331" s="549"/>
      <c r="N15331" s="549"/>
      <c r="O15331" s="549"/>
      <c r="P15331" s="549" t="s">
        <v>1838</v>
      </c>
      <c r="Q15331" s="648">
        <f>SUM(Q15330:Q15330)</f>
        <v>10</v>
      </c>
      <c r="R15331" s="567">
        <f>SUM(R15330:R15330)</f>
        <v>0.64439999999999997</v>
      </c>
    </row>
    <row r="15332" spans="1:18" ht="17.399999999999999">
      <c r="A15332" s="549"/>
      <c r="B15332" s="549"/>
      <c r="C15332" s="549"/>
      <c r="D15332" s="549"/>
      <c r="E15332" s="549"/>
      <c r="F15332" s="549"/>
      <c r="G15332" s="549"/>
      <c r="H15332" s="549"/>
      <c r="I15332" s="558"/>
      <c r="J15332" s="549"/>
      <c r="K15332" s="561"/>
      <c r="L15332" s="560"/>
      <c r="M15332" s="549"/>
      <c r="N15332" s="549"/>
      <c r="O15332" s="549"/>
      <c r="P15332" s="549"/>
    </row>
    <row r="15333" spans="1:18" s="1737" customFormat="1" ht="17.399999999999999">
      <c r="A15333" s="547" t="s">
        <v>272</v>
      </c>
      <c r="B15333" s="547" t="s">
        <v>1818</v>
      </c>
      <c r="C15333" s="547" t="s">
        <v>19</v>
      </c>
      <c r="D15333" s="813" t="s">
        <v>60</v>
      </c>
      <c r="E15333" s="547" t="s">
        <v>270</v>
      </c>
      <c r="F15333" s="550">
        <v>7</v>
      </c>
      <c r="G15333" s="549" t="s">
        <v>61</v>
      </c>
      <c r="H15333" s="549" t="s">
        <v>262</v>
      </c>
      <c r="I15333" s="558">
        <v>5.38</v>
      </c>
      <c r="J15333" s="567">
        <v>9.0500000000000007</v>
      </c>
      <c r="K15333" s="648">
        <v>8</v>
      </c>
      <c r="L15333" s="552">
        <f>(I15333*J15333*K15333/1000)</f>
        <v>0.38951200000000002</v>
      </c>
      <c r="M15333" s="549"/>
      <c r="N15333" s="549"/>
      <c r="O15333" s="549"/>
      <c r="P15333" s="549"/>
      <c r="Q15333" s="1737">
        <v>3</v>
      </c>
      <c r="R15333" s="126">
        <f t="shared" ref="R15333" si="3085">J15333*Q15333*I15333/1000</f>
        <v>0.146067</v>
      </c>
    </row>
    <row r="15334" spans="1:18" s="1737" customFormat="1" ht="17.399999999999999">
      <c r="A15334" s="549"/>
      <c r="B15334" s="549" t="s">
        <v>1027</v>
      </c>
      <c r="C15334" s="549"/>
      <c r="D15334" s="549"/>
      <c r="E15334" s="549"/>
      <c r="F15334" s="549"/>
      <c r="G15334" s="549"/>
      <c r="H15334" s="549"/>
      <c r="I15334" s="558"/>
      <c r="J15334" s="567"/>
      <c r="K15334" s="648">
        <f t="shared" ref="K15334:L15334" si="3086">SUM(K15333)</f>
        <v>8</v>
      </c>
      <c r="L15334" s="567">
        <f t="shared" si="3086"/>
        <v>0.38951200000000002</v>
      </c>
      <c r="M15334" s="549"/>
      <c r="N15334" s="549"/>
      <c r="O15334" s="549"/>
      <c r="P15334" s="549" t="s">
        <v>1839</v>
      </c>
      <c r="Q15334" s="648">
        <f t="shared" ref="Q15334:R15334" si="3087">SUM(Q15333)</f>
        <v>3</v>
      </c>
      <c r="R15334" s="567">
        <f t="shared" si="3087"/>
        <v>0.146067</v>
      </c>
    </row>
    <row r="15335" spans="1:18" s="1737" customFormat="1" ht="17.399999999999999">
      <c r="A15335" s="549"/>
      <c r="B15335" s="549"/>
      <c r="C15335" s="549"/>
      <c r="D15335" s="549"/>
      <c r="E15335" s="549"/>
      <c r="F15335" s="549"/>
      <c r="G15335" s="549"/>
      <c r="H15335" s="549"/>
      <c r="I15335" s="558"/>
      <c r="J15335" s="567"/>
      <c r="K15335" s="648"/>
      <c r="L15335" s="567"/>
      <c r="M15335" s="549"/>
      <c r="N15335" s="549"/>
      <c r="O15335" s="549"/>
      <c r="P15335" s="549"/>
    </row>
    <row r="15336" spans="1:18" ht="17.399999999999999">
      <c r="A15336" s="547" t="s">
        <v>272</v>
      </c>
      <c r="B15336" s="547" t="s">
        <v>1759</v>
      </c>
      <c r="C15336" s="547" t="s">
        <v>19</v>
      </c>
      <c r="D15336" s="813" t="s">
        <v>60</v>
      </c>
      <c r="E15336" s="547" t="s">
        <v>1104</v>
      </c>
      <c r="F15336" s="550">
        <v>7</v>
      </c>
      <c r="G15336" s="549" t="s">
        <v>61</v>
      </c>
      <c r="H15336" s="549" t="s">
        <v>262</v>
      </c>
      <c r="I15336" s="558">
        <v>5.38</v>
      </c>
      <c r="J15336" s="567">
        <v>11.5</v>
      </c>
      <c r="K15336" s="648">
        <v>3</v>
      </c>
      <c r="L15336" s="552">
        <f>(I15336*J15336*K15336/1000)</f>
        <v>0.18561</v>
      </c>
      <c r="M15336" s="549"/>
      <c r="N15336" s="549"/>
      <c r="O15336" s="549"/>
      <c r="P15336" s="549"/>
    </row>
    <row r="15337" spans="1:18" ht="17.399999999999999">
      <c r="A15337" s="549"/>
      <c r="B15337" s="549" t="s">
        <v>1027</v>
      </c>
      <c r="C15337" s="549"/>
      <c r="D15337" s="549"/>
      <c r="E15337" s="549"/>
      <c r="F15337" s="549"/>
      <c r="G15337" s="549"/>
      <c r="H15337" s="549"/>
      <c r="I15337" s="558"/>
      <c r="J15337" s="567"/>
      <c r="K15337" s="648">
        <f t="shared" ref="K15337" si="3088">SUM(K15336)</f>
        <v>3</v>
      </c>
      <c r="L15337" s="567">
        <f>SUM(L15336)</f>
        <v>0.18561</v>
      </c>
      <c r="M15337" s="549"/>
      <c r="N15337" s="549"/>
      <c r="O15337" s="549"/>
      <c r="P15337" s="549" t="s">
        <v>1840</v>
      </c>
    </row>
    <row r="15338" spans="1:18" ht="17.399999999999999">
      <c r="A15338" s="549"/>
      <c r="B15338" s="549"/>
      <c r="C15338" s="549"/>
      <c r="D15338" s="549"/>
      <c r="E15338" s="549"/>
      <c r="F15338" s="549"/>
      <c r="G15338" s="549"/>
      <c r="H15338" s="549"/>
      <c r="I15338" s="558"/>
      <c r="J15338" s="549"/>
      <c r="K15338" s="561"/>
      <c r="L15338" s="560"/>
      <c r="M15338" s="549"/>
      <c r="N15338" s="549"/>
      <c r="O15338" s="549"/>
      <c r="P15338" s="549"/>
    </row>
    <row r="15339" spans="1:18" ht="17.399999999999999">
      <c r="A15339" s="547" t="s">
        <v>272</v>
      </c>
      <c r="B15339" s="547" t="s">
        <v>1809</v>
      </c>
      <c r="C15339" s="547" t="s">
        <v>19</v>
      </c>
      <c r="D15339" s="813" t="s">
        <v>60</v>
      </c>
      <c r="E15339" s="547" t="s">
        <v>1104</v>
      </c>
      <c r="F15339" s="550">
        <v>7</v>
      </c>
      <c r="G15339" s="549" t="s">
        <v>61</v>
      </c>
      <c r="H15339" s="549" t="s">
        <v>262</v>
      </c>
      <c r="I15339" s="558">
        <v>5.38</v>
      </c>
      <c r="J15339" s="710">
        <v>6</v>
      </c>
      <c r="K15339" s="648">
        <v>1</v>
      </c>
      <c r="L15339" s="552">
        <f>(I15339*J15339*K15339/1000)</f>
        <v>3.2280000000000003E-2</v>
      </c>
      <c r="M15339" s="549"/>
      <c r="N15339" s="549"/>
      <c r="O15339" s="549"/>
      <c r="P15339" s="549"/>
      <c r="Q15339" s="497">
        <v>1</v>
      </c>
      <c r="R15339" s="126">
        <f t="shared" ref="R15339" si="3089">J15339*Q15339*I15339/1000</f>
        <v>3.2280000000000003E-2</v>
      </c>
    </row>
    <row r="15340" spans="1:18" ht="17.399999999999999">
      <c r="A15340" s="549"/>
      <c r="B15340" s="549" t="s">
        <v>1027</v>
      </c>
      <c r="C15340" s="549"/>
      <c r="D15340" s="549"/>
      <c r="E15340" s="549"/>
      <c r="F15340" s="549"/>
      <c r="G15340" s="549"/>
      <c r="H15340" s="650"/>
      <c r="I15340" s="558"/>
      <c r="J15340" s="710"/>
      <c r="K15340" s="648">
        <f>SUM(K15339:K15339)</f>
        <v>1</v>
      </c>
      <c r="L15340" s="765">
        <f>SUM(L15339:L15339)</f>
        <v>3.2280000000000003E-2</v>
      </c>
      <c r="M15340" s="549"/>
      <c r="N15340" s="549"/>
      <c r="O15340" s="549"/>
      <c r="P15340" s="549" t="s">
        <v>1840</v>
      </c>
      <c r="Q15340" s="648">
        <f>SUM(Q15339:Q15339)</f>
        <v>1</v>
      </c>
      <c r="R15340" s="765">
        <f>SUM(R15339:R15339)</f>
        <v>3.2280000000000003E-2</v>
      </c>
    </row>
    <row r="15341" spans="1:18" ht="17.399999999999999">
      <c r="A15341" s="549"/>
      <c r="B15341" s="549"/>
      <c r="C15341" s="549"/>
      <c r="D15341" s="549"/>
      <c r="E15341" s="549"/>
      <c r="F15341" s="549"/>
      <c r="G15341" s="549"/>
      <c r="H15341" s="549"/>
      <c r="I15341" s="558"/>
      <c r="J15341" s="549"/>
      <c r="K15341" s="561"/>
      <c r="L15341" s="560"/>
      <c r="M15341" s="549"/>
      <c r="N15341" s="549"/>
      <c r="O15341" s="549"/>
      <c r="P15341" s="549"/>
    </row>
    <row r="15342" spans="1:18" ht="17.399999999999999">
      <c r="A15342" s="547" t="s">
        <v>83</v>
      </c>
      <c r="B15342" s="547" t="s">
        <v>1783</v>
      </c>
      <c r="C15342" s="547" t="s">
        <v>19</v>
      </c>
      <c r="D15342" s="813" t="s">
        <v>60</v>
      </c>
      <c r="E15342" s="547" t="s">
        <v>270</v>
      </c>
      <c r="F15342" s="550">
        <v>7</v>
      </c>
      <c r="G15342" s="549" t="s">
        <v>61</v>
      </c>
      <c r="H15342" s="549" t="s">
        <v>262</v>
      </c>
      <c r="I15342" s="558">
        <v>5.38</v>
      </c>
      <c r="J15342" s="567">
        <v>10</v>
      </c>
      <c r="K15342" s="648">
        <v>7</v>
      </c>
      <c r="L15342" s="552">
        <f>(I15342*J15342*K15342/1000)</f>
        <v>0.37659999999999999</v>
      </c>
      <c r="M15342" s="549"/>
      <c r="N15342" s="549"/>
      <c r="O15342" s="549"/>
      <c r="P15342" s="549"/>
    </row>
    <row r="15343" spans="1:18" ht="17.399999999999999">
      <c r="A15343" s="549"/>
      <c r="B15343" s="549" t="s">
        <v>1325</v>
      </c>
      <c r="C15343" s="549"/>
      <c r="D15343" s="549"/>
      <c r="E15343" s="549"/>
      <c r="F15343" s="549"/>
      <c r="G15343" s="549"/>
      <c r="H15343" s="549"/>
      <c r="I15343" s="558"/>
      <c r="J15343" s="567"/>
      <c r="K15343" s="648">
        <f>SUM(K15342)</f>
        <v>7</v>
      </c>
      <c r="L15343" s="567">
        <f>SUM(L15342)</f>
        <v>0.37659999999999999</v>
      </c>
      <c r="M15343" s="549"/>
      <c r="N15343" s="549"/>
      <c r="O15343" s="549"/>
      <c r="P15343" s="549" t="s">
        <v>1839</v>
      </c>
    </row>
    <row r="15344" spans="1:18" s="1737" customFormat="1" ht="17.399999999999999">
      <c r="A15344" s="549"/>
      <c r="B15344" s="549"/>
      <c r="C15344" s="549"/>
      <c r="D15344" s="549"/>
      <c r="E15344" s="549"/>
      <c r="F15344" s="549"/>
      <c r="G15344" s="549"/>
      <c r="H15344" s="549"/>
      <c r="I15344" s="558"/>
      <c r="J15344" s="567"/>
      <c r="K15344" s="648"/>
      <c r="L15344" s="567"/>
      <c r="M15344" s="549"/>
      <c r="N15344" s="549"/>
      <c r="O15344" s="549"/>
      <c r="P15344" s="549"/>
    </row>
    <row r="15345" spans="1:16" ht="17.399999999999999">
      <c r="A15345" s="547" t="s">
        <v>272</v>
      </c>
      <c r="B15345" s="547" t="s">
        <v>1725</v>
      </c>
      <c r="C15345" s="547" t="s">
        <v>19</v>
      </c>
      <c r="D15345" s="813" t="s">
        <v>60</v>
      </c>
      <c r="E15345" s="547" t="s">
        <v>270</v>
      </c>
      <c r="F15345" s="550">
        <v>7</v>
      </c>
      <c r="G15345" s="549" t="s">
        <v>61</v>
      </c>
      <c r="H15345" s="549" t="s">
        <v>262</v>
      </c>
      <c r="I15345" s="558">
        <v>5.38</v>
      </c>
      <c r="J15345" s="567">
        <v>7.5</v>
      </c>
      <c r="K15345" s="648">
        <v>5</v>
      </c>
      <c r="L15345" s="552">
        <f t="shared" ref="L15345:L15346" si="3090">(I15345*J15345*K15345/1000)</f>
        <v>0.20175000000000001</v>
      </c>
      <c r="M15345" s="549">
        <v>5</v>
      </c>
      <c r="N15345" s="567">
        <f>J15345*M15345*I15345/1000</f>
        <v>0.20175000000000001</v>
      </c>
      <c r="O15345" s="549"/>
      <c r="P15345" s="549"/>
    </row>
    <row r="15346" spans="1:16" ht="17.399999999999999">
      <c r="A15346" s="549"/>
      <c r="B15346" s="549" t="s">
        <v>1780</v>
      </c>
      <c r="C15346" s="549"/>
      <c r="D15346" s="549"/>
      <c r="E15346" s="549"/>
      <c r="F15346" s="549"/>
      <c r="G15346" s="549" t="s">
        <v>61</v>
      </c>
      <c r="H15346" s="549" t="s">
        <v>262</v>
      </c>
      <c r="I15346" s="558">
        <v>5.38</v>
      </c>
      <c r="J15346" s="567">
        <v>12</v>
      </c>
      <c r="K15346" s="648">
        <v>14</v>
      </c>
      <c r="L15346" s="552">
        <f t="shared" si="3090"/>
        <v>0.90383999999999998</v>
      </c>
      <c r="M15346" s="549">
        <v>14</v>
      </c>
      <c r="N15346" s="567">
        <f>J15346*M15346*I15346/1000</f>
        <v>0.90383999999999998</v>
      </c>
      <c r="O15346" s="549"/>
      <c r="P15346" s="549"/>
    </row>
    <row r="15347" spans="1:16" ht="17.399999999999999">
      <c r="A15347" s="549"/>
      <c r="B15347" s="549"/>
      <c r="C15347" s="549"/>
      <c r="D15347" s="549"/>
      <c r="E15347" s="549"/>
      <c r="F15347" s="549"/>
      <c r="G15347" s="549"/>
      <c r="H15347" s="549"/>
      <c r="I15347" s="558"/>
      <c r="J15347" s="567"/>
      <c r="K15347" s="648">
        <f t="shared" ref="K15347:M15347" si="3091">SUM(K15345:K15346)</f>
        <v>19</v>
      </c>
      <c r="L15347" s="567">
        <f>SUM(L15345:L15346)</f>
        <v>1.1055900000000001</v>
      </c>
      <c r="M15347" s="648">
        <f t="shared" si="3091"/>
        <v>19</v>
      </c>
      <c r="N15347" s="567">
        <f>SUM(N15345:N15346)</f>
        <v>1.1055900000000001</v>
      </c>
      <c r="O15347" s="549"/>
      <c r="P15347" s="549"/>
    </row>
    <row r="15348" spans="1:16" s="1737" customFormat="1" ht="17.399999999999999">
      <c r="A15348" s="549"/>
      <c r="B15348" s="549"/>
      <c r="C15348" s="549"/>
      <c r="D15348" s="549"/>
      <c r="E15348" s="549"/>
      <c r="F15348" s="549"/>
      <c r="G15348" s="549"/>
      <c r="H15348" s="549"/>
      <c r="I15348" s="558"/>
      <c r="J15348" s="567"/>
      <c r="K15348" s="648"/>
      <c r="L15348" s="567"/>
      <c r="M15348" s="549"/>
      <c r="N15348" s="549"/>
      <c r="O15348" s="549"/>
      <c r="P15348" s="549"/>
    </row>
    <row r="15349" spans="1:16" ht="17.399999999999999">
      <c r="A15349" s="547" t="s">
        <v>272</v>
      </c>
      <c r="B15349" s="547" t="s">
        <v>1809</v>
      </c>
      <c r="C15349" s="547" t="s">
        <v>19</v>
      </c>
      <c r="D15349" s="813" t="s">
        <v>60</v>
      </c>
      <c r="E15349" s="547" t="s">
        <v>270</v>
      </c>
      <c r="F15349" s="550">
        <v>7</v>
      </c>
      <c r="G15349" s="549" t="s">
        <v>61</v>
      </c>
      <c r="H15349" s="549" t="s">
        <v>262</v>
      </c>
      <c r="I15349" s="558">
        <v>5.38</v>
      </c>
      <c r="J15349" s="710">
        <v>12</v>
      </c>
      <c r="K15349" s="648">
        <v>3</v>
      </c>
      <c r="L15349" s="552">
        <f>(I15349*J15349*K15349/1000)</f>
        <v>0.19368000000000002</v>
      </c>
      <c r="M15349" s="549">
        <v>3</v>
      </c>
      <c r="N15349" s="567">
        <f>J15349*M15349*I15349/1000</f>
        <v>0.19368000000000002</v>
      </c>
      <c r="O15349" s="549"/>
      <c r="P15349" s="549"/>
    </row>
    <row r="15350" spans="1:16" ht="17.399999999999999">
      <c r="A15350" s="549"/>
      <c r="B15350" s="549" t="s">
        <v>1027</v>
      </c>
      <c r="C15350" s="549"/>
      <c r="D15350" s="549"/>
      <c r="E15350" s="549"/>
      <c r="F15350" s="549"/>
      <c r="G15350" s="549"/>
      <c r="H15350" s="650"/>
      <c r="I15350" s="558"/>
      <c r="J15350" s="710"/>
      <c r="K15350" s="648">
        <f>SUM(K15349:K15349)</f>
        <v>3</v>
      </c>
      <c r="L15350" s="765">
        <f>SUM(L15349:L15349)</f>
        <v>0.19368000000000002</v>
      </c>
      <c r="M15350" s="648">
        <f>SUM(M15349:M15349)</f>
        <v>3</v>
      </c>
      <c r="N15350" s="765">
        <f>SUM(N15349:N15349)</f>
        <v>0.19368000000000002</v>
      </c>
      <c r="O15350" s="549"/>
      <c r="P15350" s="549"/>
    </row>
    <row r="15351" spans="1:16" s="1737" customFormat="1" ht="17.399999999999999">
      <c r="A15351" s="549"/>
      <c r="B15351" s="549"/>
      <c r="C15351" s="549"/>
      <c r="D15351" s="549"/>
      <c r="E15351" s="549"/>
      <c r="F15351" s="549"/>
      <c r="G15351" s="549"/>
      <c r="H15351" s="650"/>
      <c r="I15351" s="558"/>
      <c r="J15351" s="710"/>
      <c r="K15351" s="766">
        <f>SUM(K15321:K15350)/2</f>
        <v>159</v>
      </c>
      <c r="L15351" s="765">
        <f>SUM(L15321:L15350)/2</f>
        <v>9.3340820000000004</v>
      </c>
      <c r="M15351" s="766">
        <f>SUM(M15321:M15350)/2</f>
        <v>37</v>
      </c>
      <c r="N15351" s="765">
        <f>SUM(N15321:N15350)/2</f>
        <v>2.1477299999999997</v>
      </c>
      <c r="O15351" s="549"/>
      <c r="P15351" s="549"/>
    </row>
    <row r="15352" spans="1:16" s="1737" customFormat="1" ht="17.399999999999999">
      <c r="A15352" s="549"/>
      <c r="B15352" s="549"/>
      <c r="C15352" s="549"/>
      <c r="D15352" s="549"/>
      <c r="E15352" s="549"/>
      <c r="F15352" s="549"/>
      <c r="G15352" s="549"/>
      <c r="H15352" s="549"/>
      <c r="I15352" s="558"/>
      <c r="J15352" s="567"/>
      <c r="K15352" s="648"/>
      <c r="L15352" s="567"/>
      <c r="M15352" s="549"/>
      <c r="N15352" s="549"/>
      <c r="O15352" s="549"/>
      <c r="P15352" s="549"/>
    </row>
    <row r="15353" spans="1:16" s="1737" customFormat="1" ht="17.399999999999999">
      <c r="A15353" s="549"/>
      <c r="B15353" s="549"/>
      <c r="C15353" s="549"/>
      <c r="D15353" s="549"/>
      <c r="E15353" s="549"/>
      <c r="F15353" s="549"/>
      <c r="G15353" s="549"/>
      <c r="H15353" s="549"/>
      <c r="I15353" s="558"/>
      <c r="J15353" s="567"/>
      <c r="K15353" s="648"/>
      <c r="L15353" s="567"/>
      <c r="M15353" s="549"/>
      <c r="N15353" s="549"/>
      <c r="O15353" s="549"/>
      <c r="P15353" s="549"/>
    </row>
    <row r="15354" spans="1:16" ht="17.399999999999999">
      <c r="A15354" s="547" t="s">
        <v>272</v>
      </c>
      <c r="B15354" s="547" t="s">
        <v>1665</v>
      </c>
      <c r="C15354" s="547" t="s">
        <v>446</v>
      </c>
      <c r="D15354" s="813" t="s">
        <v>450</v>
      </c>
      <c r="E15354" s="547" t="s">
        <v>270</v>
      </c>
      <c r="F15354" s="550">
        <v>9</v>
      </c>
      <c r="G15354" s="549" t="s">
        <v>61</v>
      </c>
      <c r="H15354" s="549" t="s">
        <v>262</v>
      </c>
      <c r="I15354" s="558">
        <v>5.38</v>
      </c>
      <c r="J15354" s="567">
        <v>10.5</v>
      </c>
      <c r="K15354" s="648">
        <v>21</v>
      </c>
      <c r="L15354" s="552">
        <f>(I15354*J15354*K15354/1000)</f>
        <v>1.1862900000000001</v>
      </c>
      <c r="M15354" s="549"/>
      <c r="N15354" s="549"/>
      <c r="O15354" s="549"/>
      <c r="P15354" s="549"/>
    </row>
    <row r="15355" spans="1:16" ht="17.399999999999999">
      <c r="A15355" s="549"/>
      <c r="B15355" s="549"/>
      <c r="C15355" s="549"/>
      <c r="D15355" s="549"/>
      <c r="E15355" s="549"/>
      <c r="F15355" s="549"/>
      <c r="G15355" s="549" t="s">
        <v>61</v>
      </c>
      <c r="H15355" s="549" t="s">
        <v>262</v>
      </c>
      <c r="I15355" s="558">
        <v>5.38</v>
      </c>
      <c r="J15355" s="567">
        <v>11.5</v>
      </c>
      <c r="K15355" s="648">
        <v>80</v>
      </c>
      <c r="L15355" s="552">
        <f>(I15355*J15355*K15355/1000)</f>
        <v>4.9495999999999993</v>
      </c>
      <c r="M15355" s="549"/>
      <c r="N15355" s="549"/>
      <c r="O15355" s="549"/>
      <c r="P15355" s="549"/>
    </row>
    <row r="15356" spans="1:16" ht="17.399999999999999">
      <c r="A15356" s="549"/>
      <c r="B15356" s="549"/>
      <c r="C15356" s="549"/>
      <c r="D15356" s="549"/>
      <c r="E15356" s="549"/>
      <c r="F15356" s="549"/>
      <c r="G15356" s="549" t="s">
        <v>61</v>
      </c>
      <c r="H15356" s="549" t="s">
        <v>262</v>
      </c>
      <c r="I15356" s="558">
        <v>5.38</v>
      </c>
      <c r="J15356" s="567">
        <v>12</v>
      </c>
      <c r="K15356" s="648">
        <v>20</v>
      </c>
      <c r="L15356" s="552">
        <f>(I15356*J15356*K15356/1000)</f>
        <v>1.2912000000000001</v>
      </c>
      <c r="M15356" s="549"/>
      <c r="N15356" s="549"/>
      <c r="O15356" s="549"/>
      <c r="P15356" s="549"/>
    </row>
    <row r="15357" spans="1:16" ht="17.399999999999999">
      <c r="A15357" s="549"/>
      <c r="B15357" s="549"/>
      <c r="C15357" s="549"/>
      <c r="D15357" s="549"/>
      <c r="E15357" s="549"/>
      <c r="F15357" s="549"/>
      <c r="G15357" s="549"/>
      <c r="H15357" s="549"/>
      <c r="I15357" s="560"/>
      <c r="J15357" s="567"/>
      <c r="K15357" s="648">
        <f>SUM(K15354:K15356)</f>
        <v>121</v>
      </c>
      <c r="L15357" s="567">
        <f>SUM(L15354:L15356)</f>
        <v>7.4270899999999997</v>
      </c>
      <c r="M15357" s="648">
        <f t="shared" ref="M15357:N15357" si="3092">SUM(M15354:M15356)</f>
        <v>0</v>
      </c>
      <c r="N15357" s="567">
        <f t="shared" si="3092"/>
        <v>0</v>
      </c>
      <c r="O15357" s="549"/>
      <c r="P15357" s="549" t="s">
        <v>1841</v>
      </c>
    </row>
    <row r="15358" spans="1:16" s="1737" customFormat="1" ht="17.399999999999999">
      <c r="A15358" s="549"/>
      <c r="B15358" s="549"/>
      <c r="C15358" s="549"/>
      <c r="D15358" s="549"/>
      <c r="E15358" s="549"/>
      <c r="F15358" s="549"/>
      <c r="G15358" s="549"/>
      <c r="H15358" s="549"/>
      <c r="I15358" s="560"/>
      <c r="J15358" s="567"/>
      <c r="K15358" s="648"/>
      <c r="L15358" s="567"/>
      <c r="M15358" s="648"/>
      <c r="N15358" s="567"/>
      <c r="O15358" s="549"/>
      <c r="P15358" s="549"/>
    </row>
    <row r="15359" spans="1:16" s="1737" customFormat="1" ht="17.399999999999999">
      <c r="A15359" s="549"/>
      <c r="B15359" s="549"/>
      <c r="C15359" s="549"/>
      <c r="D15359" s="549"/>
      <c r="E15359" s="549"/>
      <c r="F15359" s="549"/>
      <c r="G15359" s="549"/>
      <c r="H15359" s="549"/>
      <c r="I15359" s="560"/>
      <c r="J15359" s="567"/>
      <c r="K15359" s="648"/>
      <c r="L15359" s="567"/>
      <c r="M15359" s="648"/>
      <c r="N15359" s="567"/>
      <c r="O15359" s="549"/>
      <c r="P15359" s="549"/>
    </row>
    <row r="15360" spans="1:16" ht="17.399999999999999">
      <c r="A15360" s="549"/>
      <c r="B15360" s="549"/>
      <c r="C15360" s="549"/>
      <c r="D15360" s="549"/>
      <c r="E15360" s="549"/>
      <c r="F15360" s="549"/>
      <c r="G15360" s="549"/>
      <c r="H15360" s="549"/>
      <c r="I15360" s="560"/>
      <c r="J15360" s="549"/>
      <c r="K15360" s="561"/>
      <c r="L15360" s="560"/>
      <c r="M15360" s="549"/>
      <c r="N15360" s="549"/>
      <c r="O15360" s="549"/>
      <c r="P15360" s="549"/>
    </row>
    <row r="15361" spans="1:16" ht="17.399999999999999">
      <c r="A15361" s="547" t="s">
        <v>272</v>
      </c>
      <c r="B15361" s="547" t="s">
        <v>1725</v>
      </c>
      <c r="C15361" s="547" t="s">
        <v>19</v>
      </c>
      <c r="D15361" s="813" t="s">
        <v>60</v>
      </c>
      <c r="E15361" s="547" t="s">
        <v>270</v>
      </c>
      <c r="F15361" s="550">
        <v>7</v>
      </c>
      <c r="G15361" s="549" t="s">
        <v>61</v>
      </c>
      <c r="H15361" s="549" t="s">
        <v>263</v>
      </c>
      <c r="I15361" s="558">
        <v>6.39</v>
      </c>
      <c r="J15361" s="567">
        <v>6</v>
      </c>
      <c r="K15361" s="648">
        <v>1</v>
      </c>
      <c r="L15361" s="552">
        <f t="shared" ref="L15361:L15362" si="3093">(I15361*J15361*K15361/1000)</f>
        <v>3.8339999999999999E-2</v>
      </c>
      <c r="M15361" s="549">
        <v>1</v>
      </c>
      <c r="N15361" s="567">
        <f>J15361*M15361*I15361/1000</f>
        <v>3.8339999999999999E-2</v>
      </c>
      <c r="O15361" s="549"/>
      <c r="P15361" s="549"/>
    </row>
    <row r="15362" spans="1:16" ht="17.399999999999999">
      <c r="A15362" s="549"/>
      <c r="B15362" s="549" t="s">
        <v>1780</v>
      </c>
      <c r="C15362" s="549"/>
      <c r="D15362" s="549"/>
      <c r="E15362" s="549"/>
      <c r="F15362" s="549"/>
      <c r="G15362" s="549" t="s">
        <v>61</v>
      </c>
      <c r="H15362" s="549" t="s">
        <v>263</v>
      </c>
      <c r="I15362" s="558">
        <v>6.39</v>
      </c>
      <c r="J15362" s="567">
        <v>7.25</v>
      </c>
      <c r="K15362" s="648">
        <v>8</v>
      </c>
      <c r="L15362" s="552">
        <f t="shared" si="3093"/>
        <v>0.37062</v>
      </c>
      <c r="M15362" s="549">
        <v>8</v>
      </c>
      <c r="N15362" s="567">
        <f>J15362*M15362*I15362/1000</f>
        <v>0.37062</v>
      </c>
      <c r="O15362" s="549"/>
      <c r="P15362" s="549"/>
    </row>
    <row r="15363" spans="1:16" ht="17.399999999999999">
      <c r="A15363" s="549"/>
      <c r="B15363" s="549"/>
      <c r="C15363" s="549"/>
      <c r="D15363" s="549"/>
      <c r="E15363" s="549"/>
      <c r="F15363" s="549"/>
      <c r="G15363" s="549"/>
      <c r="H15363" s="549"/>
      <c r="I15363" s="558"/>
      <c r="J15363" s="567"/>
      <c r="K15363" s="648">
        <f t="shared" ref="K15363:N15363" si="3094">SUM(K15361:K15362)</f>
        <v>9</v>
      </c>
      <c r="L15363" s="567">
        <f t="shared" si="3094"/>
        <v>0.40895999999999999</v>
      </c>
      <c r="M15363" s="648">
        <f t="shared" si="3094"/>
        <v>9</v>
      </c>
      <c r="N15363" s="567">
        <f t="shared" si="3094"/>
        <v>0.40895999999999999</v>
      </c>
      <c r="O15363" s="549"/>
      <c r="P15363" s="549"/>
    </row>
    <row r="15364" spans="1:16" ht="17.399999999999999">
      <c r="A15364" s="549"/>
      <c r="B15364" s="549"/>
      <c r="C15364" s="549"/>
      <c r="D15364" s="549"/>
      <c r="E15364" s="549"/>
      <c r="F15364" s="549"/>
      <c r="G15364" s="549"/>
      <c r="H15364" s="549"/>
      <c r="I15364" s="558"/>
      <c r="J15364" s="549"/>
      <c r="K15364" s="561"/>
      <c r="L15364" s="560"/>
      <c r="M15364" s="549"/>
      <c r="N15364" s="549"/>
      <c r="O15364" s="549"/>
      <c r="P15364" s="549"/>
    </row>
    <row r="15365" spans="1:16" ht="17.399999999999999">
      <c r="A15365" s="547" t="s">
        <v>83</v>
      </c>
      <c r="B15365" s="547" t="s">
        <v>1783</v>
      </c>
      <c r="C15365" s="547" t="s">
        <v>19</v>
      </c>
      <c r="D15365" s="813" t="s">
        <v>60</v>
      </c>
      <c r="E15365" s="547" t="s">
        <v>270</v>
      </c>
      <c r="F15365" s="550">
        <v>7</v>
      </c>
      <c r="G15365" s="549" t="s">
        <v>61</v>
      </c>
      <c r="H15365" s="549" t="s">
        <v>263</v>
      </c>
      <c r="I15365" s="558">
        <v>6.3</v>
      </c>
      <c r="J15365" s="567">
        <v>6.6</v>
      </c>
      <c r="K15365" s="648">
        <v>4</v>
      </c>
      <c r="L15365" s="552">
        <f>(I15365*J15365*K15365/1000)</f>
        <v>0.16632</v>
      </c>
      <c r="M15365" s="549">
        <v>4</v>
      </c>
      <c r="N15365" s="567">
        <f>J15365*M15365*I15365/1000</f>
        <v>0.16632</v>
      </c>
      <c r="O15365" s="549"/>
      <c r="P15365" s="549"/>
    </row>
    <row r="15366" spans="1:16" ht="17.399999999999999">
      <c r="A15366" s="549"/>
      <c r="B15366" s="549" t="s">
        <v>1325</v>
      </c>
      <c r="C15366" s="549"/>
      <c r="D15366" s="549"/>
      <c r="E15366" s="549"/>
      <c r="F15366" s="549"/>
      <c r="G15366" s="549"/>
      <c r="H15366" s="549"/>
      <c r="I15366" s="558"/>
      <c r="J15366" s="567"/>
      <c r="K15366" s="648">
        <f>SUM(K15365)</f>
        <v>4</v>
      </c>
      <c r="L15366" s="567">
        <f>SUM(L15365)</f>
        <v>0.16632</v>
      </c>
      <c r="M15366" s="648">
        <f>SUM(M15365)</f>
        <v>4</v>
      </c>
      <c r="N15366" s="567">
        <f>SUM(N15365)</f>
        <v>0.16632</v>
      </c>
      <c r="O15366" s="549"/>
      <c r="P15366" s="549"/>
    </row>
    <row r="15367" spans="1:16" s="1737" customFormat="1" ht="17.399999999999999">
      <c r="A15367" s="549"/>
      <c r="B15367" s="549"/>
      <c r="C15367" s="549"/>
      <c r="D15367" s="549"/>
      <c r="E15367" s="549"/>
      <c r="F15367" s="549"/>
      <c r="G15367" s="549"/>
      <c r="H15367" s="549"/>
      <c r="I15367" s="558"/>
      <c r="J15367" s="567"/>
      <c r="K15367" s="648"/>
      <c r="L15367" s="567"/>
      <c r="M15367" s="549"/>
      <c r="N15367" s="549"/>
      <c r="O15367" s="549"/>
      <c r="P15367" s="549"/>
    </row>
    <row r="15368" spans="1:16" s="1737" customFormat="1" ht="17.399999999999999">
      <c r="A15368" s="547" t="s">
        <v>272</v>
      </c>
      <c r="B15368" s="547" t="s">
        <v>1818</v>
      </c>
      <c r="C15368" s="547" t="s">
        <v>19</v>
      </c>
      <c r="D15368" s="813" t="s">
        <v>60</v>
      </c>
      <c r="E15368" s="547" t="s">
        <v>270</v>
      </c>
      <c r="F15368" s="550">
        <v>7</v>
      </c>
      <c r="G15368" s="549" t="s">
        <v>61</v>
      </c>
      <c r="H15368" s="549" t="s">
        <v>263</v>
      </c>
      <c r="I15368" s="558">
        <v>6.39</v>
      </c>
      <c r="J15368" s="567">
        <v>7.5</v>
      </c>
      <c r="K15368" s="648">
        <v>1</v>
      </c>
      <c r="L15368" s="552">
        <f>(I15368*J15368*K15368/1000)</f>
        <v>4.7924999999999995E-2</v>
      </c>
      <c r="M15368" s="549">
        <v>1</v>
      </c>
      <c r="N15368" s="567">
        <f>J15368*M15368*I15368/1000</f>
        <v>4.7924999999999995E-2</v>
      </c>
      <c r="O15368" s="549"/>
      <c r="P15368" s="549"/>
    </row>
    <row r="15369" spans="1:16" s="1737" customFormat="1" ht="17.399999999999999">
      <c r="A15369" s="549"/>
      <c r="B15369" s="549" t="s">
        <v>1027</v>
      </c>
      <c r="C15369" s="549"/>
      <c r="D15369" s="549"/>
      <c r="E15369" s="549"/>
      <c r="F15369" s="549"/>
      <c r="G15369" s="549"/>
      <c r="H15369" s="549"/>
      <c r="I15369" s="558"/>
      <c r="J15369" s="567"/>
      <c r="K15369" s="648">
        <f t="shared" ref="K15369:N15369" si="3095">SUM(K15368)</f>
        <v>1</v>
      </c>
      <c r="L15369" s="567">
        <f t="shared" si="3095"/>
        <v>4.7924999999999995E-2</v>
      </c>
      <c r="M15369" s="648">
        <f t="shared" si="3095"/>
        <v>1</v>
      </c>
      <c r="N15369" s="567">
        <f t="shared" si="3095"/>
        <v>4.7924999999999995E-2</v>
      </c>
      <c r="O15369" s="549"/>
      <c r="P15369" s="549"/>
    </row>
    <row r="15370" spans="1:16" s="1737" customFormat="1" ht="17.399999999999999">
      <c r="A15370" s="549"/>
      <c r="B15370" s="549"/>
      <c r="C15370" s="549"/>
      <c r="D15370" s="549"/>
      <c r="E15370" s="549"/>
      <c r="F15370" s="549"/>
      <c r="G15370" s="549"/>
      <c r="H15370" s="549"/>
      <c r="I15370" s="560"/>
      <c r="J15370" s="549"/>
      <c r="K15370" s="561"/>
      <c r="L15370" s="560"/>
      <c r="M15370" s="549"/>
      <c r="N15370" s="549"/>
      <c r="O15370" s="549"/>
      <c r="P15370" s="549"/>
    </row>
    <row r="15371" spans="1:16" s="1737" customFormat="1" ht="17.399999999999999">
      <c r="A15371" s="547" t="s">
        <v>83</v>
      </c>
      <c r="B15371" s="547" t="s">
        <v>1819</v>
      </c>
      <c r="C15371" s="547" t="s">
        <v>19</v>
      </c>
      <c r="D15371" s="813" t="s">
        <v>60</v>
      </c>
      <c r="E15371" s="547" t="s">
        <v>270</v>
      </c>
      <c r="F15371" s="550">
        <v>7</v>
      </c>
      <c r="G15371" s="549" t="s">
        <v>61</v>
      </c>
      <c r="H15371" s="549" t="s">
        <v>263</v>
      </c>
      <c r="I15371" s="558">
        <v>6.39</v>
      </c>
      <c r="J15371" s="567">
        <v>10</v>
      </c>
      <c r="K15371" s="648">
        <v>1</v>
      </c>
      <c r="L15371" s="552">
        <f>(I15371*J15371*K15371/1000)</f>
        <v>6.3899999999999998E-2</v>
      </c>
      <c r="M15371" s="549">
        <v>1</v>
      </c>
      <c r="N15371" s="567">
        <f>J15371*M15371*I15371/1000</f>
        <v>6.3899999999999998E-2</v>
      </c>
      <c r="O15371" s="549"/>
      <c r="P15371" s="549"/>
    </row>
    <row r="15372" spans="1:16" s="1737" customFormat="1" ht="17.399999999999999">
      <c r="A15372" s="549"/>
      <c r="B15372" s="549" t="s">
        <v>1820</v>
      </c>
      <c r="C15372" s="549"/>
      <c r="D15372" s="549"/>
      <c r="E15372" s="549"/>
      <c r="F15372" s="549"/>
      <c r="G15372" s="549"/>
      <c r="H15372" s="549"/>
      <c r="I15372" s="558"/>
      <c r="J15372" s="567"/>
      <c r="K15372" s="648">
        <f t="shared" ref="K15372:N15372" si="3096">SUM(K15371)</f>
        <v>1</v>
      </c>
      <c r="L15372" s="567">
        <f t="shared" si="3096"/>
        <v>6.3899999999999998E-2</v>
      </c>
      <c r="M15372" s="648">
        <f t="shared" si="3096"/>
        <v>1</v>
      </c>
      <c r="N15372" s="567">
        <f t="shared" si="3096"/>
        <v>6.3899999999999998E-2</v>
      </c>
      <c r="O15372" s="549"/>
      <c r="P15372" s="549"/>
    </row>
    <row r="15373" spans="1:16" s="1737" customFormat="1" ht="17.399999999999999">
      <c r="A15373" s="549"/>
      <c r="B15373" s="549"/>
      <c r="C15373" s="549"/>
      <c r="D15373" s="549"/>
      <c r="E15373" s="549"/>
      <c r="F15373" s="549"/>
      <c r="G15373" s="549"/>
      <c r="H15373" s="549"/>
      <c r="I15373" s="558"/>
      <c r="J15373" s="567"/>
      <c r="K15373" s="648"/>
      <c r="L15373" s="567"/>
      <c r="M15373" s="549"/>
      <c r="N15373" s="549"/>
      <c r="O15373" s="549"/>
      <c r="P15373" s="549"/>
    </row>
    <row r="15374" spans="1:16" s="1737" customFormat="1" ht="17.399999999999999">
      <c r="A15374" s="547" t="s">
        <v>83</v>
      </c>
      <c r="B15374" s="547" t="s">
        <v>1822</v>
      </c>
      <c r="C15374" s="547" t="s">
        <v>19</v>
      </c>
      <c r="D15374" s="813" t="s">
        <v>60</v>
      </c>
      <c r="E15374" s="547" t="s">
        <v>247</v>
      </c>
      <c r="F15374" s="550">
        <v>9</v>
      </c>
      <c r="G15374" s="549" t="s">
        <v>61</v>
      </c>
      <c r="H15374" s="549" t="s">
        <v>263</v>
      </c>
      <c r="I15374" s="558">
        <v>6.38</v>
      </c>
      <c r="J15374" s="567">
        <v>9</v>
      </c>
      <c r="K15374" s="648">
        <v>80</v>
      </c>
      <c r="L15374" s="552">
        <f>(I15374*J15374*K15374/1000)</f>
        <v>4.5936000000000003</v>
      </c>
      <c r="M15374" s="549">
        <f>56+2+22</f>
        <v>80</v>
      </c>
      <c r="N15374" s="567">
        <f>J15374*M15374*I15374/1000</f>
        <v>4.5936000000000003</v>
      </c>
      <c r="O15374" s="648" t="s">
        <v>1823</v>
      </c>
      <c r="P15374" s="549"/>
    </row>
    <row r="15375" spans="1:16" s="1737" customFormat="1" ht="17.399999999999999">
      <c r="A15375" s="549"/>
      <c r="B15375" s="549" t="s">
        <v>52</v>
      </c>
      <c r="C15375" s="549"/>
      <c r="D15375" s="549"/>
      <c r="E15375" s="549"/>
      <c r="F15375" s="549"/>
      <c r="G15375" s="549"/>
      <c r="H15375" s="549"/>
      <c r="I15375" s="558"/>
      <c r="J15375" s="567"/>
      <c r="K15375" s="648">
        <f t="shared" ref="K15375:M15375" si="3097">SUM(K15374)</f>
        <v>80</v>
      </c>
      <c r="L15375" s="567">
        <f>SUM(L15374)</f>
        <v>4.5936000000000003</v>
      </c>
      <c r="M15375" s="648">
        <f t="shared" si="3097"/>
        <v>80</v>
      </c>
      <c r="N15375" s="567">
        <f>SUM(N15374)</f>
        <v>4.5936000000000003</v>
      </c>
      <c r="O15375" s="549"/>
      <c r="P15375" s="549"/>
    </row>
    <row r="15376" spans="1:16" s="1737" customFormat="1" ht="17.399999999999999">
      <c r="A15376" s="549"/>
      <c r="B15376" s="549"/>
      <c r="C15376" s="549"/>
      <c r="D15376" s="549"/>
      <c r="E15376" s="549"/>
      <c r="F15376" s="549"/>
      <c r="G15376" s="549"/>
      <c r="H15376" s="549"/>
      <c r="I15376" s="558"/>
      <c r="J15376" s="567"/>
      <c r="K15376" s="648">
        <f>SUM(K15361:K15375)/2</f>
        <v>95</v>
      </c>
      <c r="L15376" s="567">
        <f>SUM(L15361:L15375)/2</f>
        <v>5.2807050000000002</v>
      </c>
      <c r="M15376" s="648">
        <f>SUM(M15361:M15375)/2</f>
        <v>95</v>
      </c>
      <c r="N15376" s="567">
        <f>SUM(N15361:N15375)/2</f>
        <v>5.2807050000000002</v>
      </c>
      <c r="O15376" s="549"/>
      <c r="P15376" s="549"/>
    </row>
    <row r="15377" spans="1:16" ht="17.399999999999999">
      <c r="A15377" s="549"/>
      <c r="B15377" s="549"/>
      <c r="C15377" s="549"/>
      <c r="D15377" s="549"/>
      <c r="E15377" s="549"/>
      <c r="F15377" s="549"/>
      <c r="G15377" s="549"/>
      <c r="H15377" s="549"/>
      <c r="I15377" s="558"/>
      <c r="J15377" s="549"/>
      <c r="K15377" s="561"/>
      <c r="L15377" s="560"/>
      <c r="M15377" s="549"/>
      <c r="N15377" s="549"/>
      <c r="O15377" s="549"/>
      <c r="P15377" s="549"/>
    </row>
    <row r="15378" spans="1:16" ht="17.399999999999999">
      <c r="A15378" s="549"/>
      <c r="B15378" s="549"/>
      <c r="C15378" s="549"/>
      <c r="D15378" s="549"/>
      <c r="E15378" s="549"/>
      <c r="F15378" s="549"/>
      <c r="G15378" s="549"/>
      <c r="H15378" s="549"/>
      <c r="I15378" s="558"/>
      <c r="J15378" s="549"/>
      <c r="K15378" s="561"/>
      <c r="L15378" s="560"/>
      <c r="M15378" s="549"/>
      <c r="N15378" s="549"/>
      <c r="O15378" s="549"/>
      <c r="P15378" s="549"/>
    </row>
    <row r="15379" spans="1:16" ht="17.399999999999999">
      <c r="A15379" s="549"/>
      <c r="B15379" s="549"/>
      <c r="C15379" s="549"/>
      <c r="D15379" s="549"/>
      <c r="E15379" s="549"/>
      <c r="F15379" s="549"/>
      <c r="G15379" s="549"/>
      <c r="H15379" s="549"/>
      <c r="I15379" s="560"/>
      <c r="J15379" s="549"/>
      <c r="K15379" s="561"/>
      <c r="L15379" s="560"/>
      <c r="M15379" s="549"/>
      <c r="N15379" s="549"/>
      <c r="O15379" s="549"/>
      <c r="P15379" s="549"/>
    </row>
    <row r="15380" spans="1:16" ht="17.399999999999999">
      <c r="A15380" s="547" t="s">
        <v>83</v>
      </c>
      <c r="B15380" s="547" t="s">
        <v>1822</v>
      </c>
      <c r="C15380" s="547" t="s">
        <v>19</v>
      </c>
      <c r="D15380" s="813" t="s">
        <v>60</v>
      </c>
      <c r="E15380" s="547" t="s">
        <v>247</v>
      </c>
      <c r="F15380" s="550">
        <v>9</v>
      </c>
      <c r="G15380" s="549" t="s">
        <v>61</v>
      </c>
      <c r="H15380" s="549" t="s">
        <v>262</v>
      </c>
      <c r="I15380" s="558">
        <v>5.37</v>
      </c>
      <c r="J15380" s="567">
        <v>7.95</v>
      </c>
      <c r="K15380" s="648">
        <v>260</v>
      </c>
      <c r="L15380" s="552">
        <f>(I15380*J15380*K15380/1000)</f>
        <v>11.09979</v>
      </c>
      <c r="M15380" s="549">
        <v>34</v>
      </c>
      <c r="N15380" s="567">
        <f t="shared" ref="N15380:N15384" si="3098">J15380*M15380*I15380/1000</f>
        <v>1.4515110000000002</v>
      </c>
      <c r="O15380" s="549"/>
      <c r="P15380" s="549"/>
    </row>
    <row r="15381" spans="1:16" ht="17.399999999999999">
      <c r="A15381" s="549"/>
      <c r="B15381" s="549" t="s">
        <v>52</v>
      </c>
      <c r="C15381" s="549"/>
      <c r="D15381" s="549"/>
      <c r="E15381" s="549"/>
      <c r="F15381" s="549"/>
      <c r="G15381" s="549" t="s">
        <v>61</v>
      </c>
      <c r="H15381" s="549" t="s">
        <v>262</v>
      </c>
      <c r="I15381" s="558">
        <v>5.37</v>
      </c>
      <c r="J15381" s="567">
        <v>9.25</v>
      </c>
      <c r="K15381" s="648">
        <v>48</v>
      </c>
      <c r="L15381" s="552">
        <f>(I15381*J15381*K15381/1000)</f>
        <v>2.38428</v>
      </c>
      <c r="M15381" s="549"/>
      <c r="N15381" s="567">
        <f t="shared" si="3098"/>
        <v>0</v>
      </c>
      <c r="O15381" s="549"/>
      <c r="P15381" s="549"/>
    </row>
    <row r="15382" spans="1:16" ht="17.399999999999999">
      <c r="A15382" s="549"/>
      <c r="B15382" s="549"/>
      <c r="C15382" s="549"/>
      <c r="D15382" s="549"/>
      <c r="E15382" s="549"/>
      <c r="F15382" s="549"/>
      <c r="G15382" s="549" t="s">
        <v>61</v>
      </c>
      <c r="H15382" s="549" t="s">
        <v>262</v>
      </c>
      <c r="I15382" s="558">
        <v>5.37</v>
      </c>
      <c r="J15382" s="567">
        <v>11.4</v>
      </c>
      <c r="K15382" s="648">
        <v>48</v>
      </c>
      <c r="L15382" s="552">
        <f>(I15382*J15382*K15382/1000)</f>
        <v>2.9384639999999997</v>
      </c>
      <c r="M15382" s="549"/>
      <c r="N15382" s="567">
        <f t="shared" si="3098"/>
        <v>0</v>
      </c>
      <c r="O15382" s="549"/>
      <c r="P15382" s="549"/>
    </row>
    <row r="15383" spans="1:16" ht="17.399999999999999">
      <c r="A15383" s="549"/>
      <c r="B15383" s="549"/>
      <c r="C15383" s="549"/>
      <c r="D15383" s="549"/>
      <c r="E15383" s="549"/>
      <c r="F15383" s="549"/>
      <c r="G15383" s="549" t="s">
        <v>61</v>
      </c>
      <c r="H15383" s="549" t="s">
        <v>262</v>
      </c>
      <c r="I15383" s="558">
        <v>5.37</v>
      </c>
      <c r="J15383" s="567">
        <v>11.5</v>
      </c>
      <c r="K15383" s="648">
        <v>240</v>
      </c>
      <c r="L15383" s="552">
        <f>(I15383*J15383*K15383/1000)</f>
        <v>14.821200000000001</v>
      </c>
      <c r="M15383" s="549"/>
      <c r="N15383" s="567">
        <f t="shared" si="3098"/>
        <v>0</v>
      </c>
      <c r="O15383" s="549"/>
      <c r="P15383" s="549"/>
    </row>
    <row r="15384" spans="1:16" ht="17.399999999999999">
      <c r="A15384" s="549"/>
      <c r="B15384" s="549"/>
      <c r="C15384" s="549"/>
      <c r="D15384" s="549"/>
      <c r="E15384" s="549"/>
      <c r="F15384" s="549"/>
      <c r="G15384" s="549" t="s">
        <v>61</v>
      </c>
      <c r="H15384" s="549" t="s">
        <v>262</v>
      </c>
      <c r="I15384" s="558">
        <v>5.37</v>
      </c>
      <c r="J15384" s="567">
        <v>12</v>
      </c>
      <c r="K15384" s="648">
        <v>240</v>
      </c>
      <c r="L15384" s="552">
        <f>(I15384*J15384*K15384/1000)</f>
        <v>15.465599999999998</v>
      </c>
      <c r="M15384" s="549"/>
      <c r="N15384" s="567">
        <f t="shared" si="3098"/>
        <v>0</v>
      </c>
      <c r="O15384" s="549"/>
      <c r="P15384" s="549"/>
    </row>
    <row r="15385" spans="1:16" ht="17.399999999999999">
      <c r="A15385" s="549"/>
      <c r="B15385" s="549"/>
      <c r="C15385" s="549"/>
      <c r="D15385" s="549"/>
      <c r="E15385" s="549"/>
      <c r="F15385" s="549"/>
      <c r="G15385" s="549"/>
      <c r="H15385" s="549"/>
      <c r="I15385" s="558"/>
      <c r="J15385" s="567"/>
      <c r="K15385" s="648">
        <f t="shared" ref="K15385" si="3099">SUM(K15380:K15384)</f>
        <v>836</v>
      </c>
      <c r="L15385" s="567">
        <f>SUM(L15380:L15384)</f>
        <v>46.709333999999998</v>
      </c>
      <c r="M15385" s="648">
        <f>SUM(M15380:M15384)</f>
        <v>34</v>
      </c>
      <c r="N15385" s="567">
        <f>SUM(N15380:N15384)</f>
        <v>1.4515110000000002</v>
      </c>
      <c r="O15385" s="964" t="s">
        <v>544</v>
      </c>
      <c r="P15385" s="964"/>
    </row>
    <row r="15386" spans="1:16" ht="17.399999999999999">
      <c r="A15386" s="549"/>
      <c r="B15386" s="549"/>
      <c r="C15386" s="549"/>
      <c r="D15386" s="549"/>
      <c r="E15386" s="549"/>
      <c r="F15386" s="549"/>
      <c r="G15386" s="549"/>
      <c r="H15386" s="549"/>
      <c r="I15386" s="560"/>
      <c r="J15386" s="549"/>
      <c r="K15386" s="561"/>
      <c r="L15386" s="560"/>
      <c r="M15386" s="549"/>
      <c r="N15386" s="549"/>
      <c r="O15386" s="549"/>
      <c r="P15386" s="549"/>
    </row>
    <row r="15387" spans="1:16" s="1737" customFormat="1" ht="17.399999999999999">
      <c r="A15387" s="549"/>
      <c r="B15387" s="549"/>
      <c r="C15387" s="549"/>
      <c r="D15387" s="549"/>
      <c r="E15387" s="549"/>
      <c r="F15387" s="549"/>
      <c r="G15387" s="549"/>
      <c r="H15387" s="549"/>
      <c r="I15387" s="560"/>
      <c r="J15387" s="549"/>
      <c r="K15387" s="561"/>
      <c r="L15387" s="560"/>
      <c r="M15387" s="549"/>
      <c r="N15387" s="549"/>
      <c r="O15387" s="549"/>
      <c r="P15387" s="549"/>
    </row>
    <row r="15388" spans="1:16" s="1737" customFormat="1" ht="17.399999999999999">
      <c r="A15388" s="549"/>
      <c r="B15388" s="549"/>
      <c r="C15388" s="549"/>
      <c r="D15388" s="549"/>
      <c r="E15388" s="549"/>
      <c r="F15388" s="549"/>
      <c r="G15388" s="549"/>
      <c r="H15388" s="549"/>
      <c r="I15388" s="560"/>
      <c r="J15388" s="549"/>
      <c r="K15388" s="561"/>
      <c r="L15388" s="560"/>
      <c r="M15388" s="549"/>
      <c r="N15388" s="549"/>
      <c r="O15388" s="549"/>
      <c r="P15388" s="549"/>
    </row>
    <row r="15389" spans="1:16" ht="17.399999999999999">
      <c r="A15389" s="549"/>
      <c r="B15389" s="549"/>
      <c r="C15389" s="549"/>
      <c r="D15389" s="549"/>
      <c r="E15389" s="549"/>
      <c r="F15389" s="549"/>
      <c r="G15389" s="549"/>
      <c r="H15389" s="549"/>
      <c r="I15389" s="560"/>
      <c r="J15389" s="549"/>
      <c r="K15389" s="561"/>
      <c r="L15389" s="560"/>
      <c r="M15389" s="549"/>
      <c r="N15389" s="549"/>
      <c r="O15389" s="549"/>
      <c r="P15389" s="549"/>
    </row>
    <row r="15390" spans="1:16" ht="17.399999999999999">
      <c r="A15390" s="549"/>
      <c r="B15390" s="549"/>
      <c r="C15390" s="549"/>
      <c r="D15390" s="549"/>
      <c r="E15390" s="549"/>
      <c r="F15390" s="549"/>
      <c r="G15390" s="549"/>
      <c r="H15390" s="549"/>
      <c r="I15390" s="560"/>
      <c r="J15390" s="549"/>
      <c r="K15390" s="652">
        <f>+K15357+K15317+K15376+K15351+K15306+K15300+K15258+K15232</f>
        <v>2464</v>
      </c>
      <c r="L15390" s="568">
        <f>+L15357+L15317+L15376+L15351+L15306+L15300+L15258+L15232</f>
        <v>159.34119400000003</v>
      </c>
      <c r="M15390" s="564">
        <f>+M15357+M15317+M15376+M15351+M15306+M15300+M15258+M15232</f>
        <v>153</v>
      </c>
      <c r="N15390" s="568">
        <f>+N15357+N15317+N15376+N15351+N15306+N15300+N15258+N15232</f>
        <v>8.656922999999999</v>
      </c>
      <c r="O15390" s="549"/>
      <c r="P15390" s="549"/>
    </row>
    <row r="15391" spans="1:16" ht="18">
      <c r="A15391" s="653" t="s">
        <v>48</v>
      </c>
      <c r="B15391" s="653"/>
      <c r="C15391" s="654"/>
      <c r="D15391" s="654"/>
      <c r="E15391" s="654"/>
      <c r="F15391" s="1853"/>
      <c r="G15391" s="654"/>
      <c r="H15391" s="1853"/>
      <c r="I15391" s="656"/>
      <c r="J15391" s="654"/>
      <c r="K15391" s="657"/>
      <c r="L15391" s="2003" t="s">
        <v>0</v>
      </c>
      <c r="M15391" s="2003"/>
      <c r="N15391" s="2003"/>
      <c r="O15391" s="2004"/>
      <c r="P15391" s="1097"/>
    </row>
    <row r="15392" spans="1:16" ht="18">
      <c r="A15392" s="658" t="s">
        <v>1</v>
      </c>
      <c r="B15392" s="658"/>
      <c r="C15392" s="658"/>
      <c r="D15392" s="659" t="s">
        <v>2</v>
      </c>
      <c r="E15392" s="659"/>
      <c r="F15392" s="660"/>
      <c r="G15392" s="660"/>
      <c r="H15392" s="660"/>
      <c r="I15392" s="661"/>
      <c r="J15392" s="660"/>
      <c r="K15392" s="662" t="s">
        <v>3</v>
      </c>
      <c r="L15392" s="660"/>
      <c r="M15392" s="658"/>
      <c r="N15392" s="660"/>
      <c r="O15392" s="663"/>
      <c r="P15392" s="1098"/>
    </row>
    <row r="15393" spans="1:16" ht="18">
      <c r="A15393" s="1853" t="s">
        <v>22</v>
      </c>
      <c r="B15393" s="1990" t="s">
        <v>23</v>
      </c>
      <c r="C15393" s="2005"/>
      <c r="D15393" s="1989"/>
      <c r="E15393" s="1853" t="s">
        <v>24</v>
      </c>
      <c r="F15393" s="1990" t="s">
        <v>25</v>
      </c>
      <c r="G15393" s="1989"/>
      <c r="H15393" s="1990" t="s">
        <v>26</v>
      </c>
      <c r="I15393" s="2005"/>
      <c r="J15393" s="2005"/>
      <c r="K15393" s="1989"/>
      <c r="L15393" s="2006" t="s">
        <v>27</v>
      </c>
      <c r="M15393" s="2006"/>
      <c r="N15393" s="2006"/>
      <c r="O15393" s="1990"/>
      <c r="P15393" s="1098"/>
    </row>
    <row r="15394" spans="1:16" ht="18">
      <c r="A15394" s="664"/>
      <c r="B15394" s="1975"/>
      <c r="C15394" s="1976"/>
      <c r="D15394" s="1977"/>
      <c r="E15394" s="665"/>
      <c r="F15394" s="1975"/>
      <c r="G15394" s="1977"/>
      <c r="H15394" s="1975"/>
      <c r="I15394" s="1976"/>
      <c r="J15394" s="1976"/>
      <c r="K15394" s="1977"/>
      <c r="L15394" s="1975"/>
      <c r="M15394" s="1976"/>
      <c r="N15394" s="1976"/>
      <c r="O15394" s="1976"/>
      <c r="P15394" s="1098"/>
    </row>
    <row r="15395" spans="1:16" s="1737" customFormat="1" ht="18">
      <c r="A15395" s="664"/>
      <c r="B15395" s="1841"/>
      <c r="C15395" s="1842"/>
      <c r="D15395" s="1843"/>
      <c r="E15395" s="665"/>
      <c r="F15395" s="1841"/>
      <c r="G15395" s="1843"/>
      <c r="H15395" s="1841"/>
      <c r="I15395" s="1842"/>
      <c r="J15395" s="1842"/>
      <c r="K15395" s="1843"/>
      <c r="L15395" s="1841"/>
      <c r="M15395" s="1842"/>
      <c r="N15395" s="1842"/>
      <c r="O15395" s="1842"/>
      <c r="P15395" s="1098"/>
    </row>
    <row r="15396" spans="1:16" s="1737" customFormat="1" ht="18">
      <c r="A15396" s="664" t="s">
        <v>28</v>
      </c>
      <c r="B15396" s="1975" t="s">
        <v>353</v>
      </c>
      <c r="C15396" s="1976"/>
      <c r="D15396" s="1977"/>
      <c r="E15396" s="665">
        <f>+L15232+L15258-0.485</f>
        <v>93.090588000000025</v>
      </c>
      <c r="F15396" s="1973">
        <v>9</v>
      </c>
      <c r="G15396" s="1974"/>
      <c r="H15396" s="1975" t="s">
        <v>49</v>
      </c>
      <c r="I15396" s="1976"/>
      <c r="J15396" s="1976"/>
      <c r="K15396" s="1977"/>
      <c r="L15396" s="1975" t="s">
        <v>1824</v>
      </c>
      <c r="M15396" s="1976"/>
      <c r="N15396" s="1976"/>
      <c r="O15396" s="2008"/>
      <c r="P15396" s="1098"/>
    </row>
    <row r="15397" spans="1:16" s="1737" customFormat="1" ht="18">
      <c r="A15397" s="664" t="s">
        <v>29</v>
      </c>
      <c r="B15397" s="1975" t="s">
        <v>352</v>
      </c>
      <c r="C15397" s="1976"/>
      <c r="D15397" s="1977"/>
      <c r="E15397" s="665">
        <f>+L15300+L15306-0.743</f>
        <v>16.390079000000004</v>
      </c>
      <c r="F15397" s="1973">
        <v>9</v>
      </c>
      <c r="G15397" s="1974"/>
      <c r="H15397" s="1975" t="s">
        <v>49</v>
      </c>
      <c r="I15397" s="1976"/>
      <c r="J15397" s="1976"/>
      <c r="K15397" s="1977"/>
      <c r="L15397" s="1975" t="s">
        <v>1854</v>
      </c>
      <c r="M15397" s="1976"/>
      <c r="N15397" s="1976"/>
      <c r="O15397" s="2008"/>
      <c r="P15397" s="1098"/>
    </row>
    <row r="15398" spans="1:16" s="1737" customFormat="1" ht="18">
      <c r="A15398" s="664"/>
      <c r="B15398" s="1975"/>
      <c r="C15398" s="1976"/>
      <c r="D15398" s="1977"/>
      <c r="E15398" s="665"/>
      <c r="F15398" s="1973"/>
      <c r="G15398" s="1974"/>
      <c r="H15398" s="1975"/>
      <c r="I15398" s="1976"/>
      <c r="J15398" s="1976"/>
      <c r="K15398" s="1977"/>
      <c r="L15398" s="1975"/>
      <c r="M15398" s="1976"/>
      <c r="N15398" s="1976"/>
      <c r="O15398" s="2008"/>
      <c r="P15398" s="1098"/>
    </row>
    <row r="15399" spans="1:16" s="1737" customFormat="1" ht="18">
      <c r="A15399" s="664"/>
      <c r="B15399" s="1841"/>
      <c r="C15399" s="1842"/>
      <c r="D15399" s="1843"/>
      <c r="E15399" s="665"/>
      <c r="F15399" s="1844"/>
      <c r="G15399" s="1845"/>
      <c r="H15399" s="1841"/>
      <c r="I15399" s="1842"/>
      <c r="J15399" s="1842"/>
      <c r="K15399" s="1843"/>
      <c r="L15399" s="1841"/>
      <c r="M15399" s="1842"/>
      <c r="N15399" s="1842"/>
      <c r="O15399" s="1846"/>
      <c r="P15399" s="1098"/>
    </row>
    <row r="15400" spans="1:16" ht="18">
      <c r="A15400" s="664" t="s">
        <v>30</v>
      </c>
      <c r="B15400" s="1975" t="s">
        <v>352</v>
      </c>
      <c r="C15400" s="1976"/>
      <c r="D15400" s="1977"/>
      <c r="E15400" s="665">
        <f>+L15317</f>
        <v>26.59065</v>
      </c>
      <c r="F15400" s="1973">
        <v>9</v>
      </c>
      <c r="G15400" s="1974"/>
      <c r="H15400" s="1975" t="s">
        <v>447</v>
      </c>
      <c r="I15400" s="1976"/>
      <c r="J15400" s="1976"/>
      <c r="K15400" s="1977"/>
      <c r="L15400" s="1975" t="s">
        <v>65</v>
      </c>
      <c r="M15400" s="1976"/>
      <c r="N15400" s="1976"/>
      <c r="O15400" s="2008"/>
      <c r="P15400" s="1098"/>
    </row>
    <row r="15401" spans="1:16" s="1737" customFormat="1" ht="18">
      <c r="A15401" s="664"/>
      <c r="B15401" s="1841"/>
      <c r="C15401" s="1842"/>
      <c r="D15401" s="1843"/>
      <c r="E15401" s="665"/>
      <c r="F15401" s="1844"/>
      <c r="G15401" s="1845"/>
      <c r="H15401" s="1841"/>
      <c r="I15401" s="1842"/>
      <c r="J15401" s="1842"/>
      <c r="K15401" s="1843"/>
      <c r="L15401" s="1841"/>
      <c r="M15401" s="1842"/>
      <c r="N15401" s="1842"/>
      <c r="O15401" s="1846"/>
      <c r="P15401" s="1098"/>
    </row>
    <row r="15402" spans="1:16" ht="18">
      <c r="A15402" s="664"/>
      <c r="B15402" s="1841"/>
      <c r="C15402" s="1842"/>
      <c r="D15402" s="1843"/>
      <c r="E15402" s="665"/>
      <c r="F15402" s="1844"/>
      <c r="G15402" s="1845"/>
      <c r="H15402" s="1841"/>
      <c r="I15402" s="1842"/>
      <c r="J15402" s="1842"/>
      <c r="K15402" s="1843"/>
      <c r="L15402" s="1841"/>
      <c r="M15402" s="1842"/>
      <c r="N15402" s="1842"/>
      <c r="O15402" s="1846"/>
      <c r="P15402" s="1098"/>
    </row>
    <row r="15403" spans="1:16" ht="18">
      <c r="A15403" s="664" t="s">
        <v>46</v>
      </c>
      <c r="B15403" s="1975" t="s">
        <v>1825</v>
      </c>
      <c r="C15403" s="1976"/>
      <c r="D15403" s="1977"/>
      <c r="E15403" s="665">
        <f>+L15351-2.148</f>
        <v>7.1860820000000007</v>
      </c>
      <c r="F15403" s="1973">
        <v>9</v>
      </c>
      <c r="G15403" s="1974"/>
      <c r="H15403" s="1975" t="s">
        <v>155</v>
      </c>
      <c r="I15403" s="1976"/>
      <c r="J15403" s="1976"/>
      <c r="K15403" s="1977"/>
      <c r="L15403" s="1975" t="s">
        <v>64</v>
      </c>
      <c r="M15403" s="1976"/>
      <c r="N15403" s="1976"/>
      <c r="O15403" s="2008"/>
      <c r="P15403" s="1098"/>
    </row>
    <row r="15404" spans="1:16" s="1737" customFormat="1" ht="18">
      <c r="A15404" s="664"/>
      <c r="B15404" s="1841"/>
      <c r="C15404" s="1842"/>
      <c r="D15404" s="1843"/>
      <c r="E15404" s="665"/>
      <c r="F15404" s="1844"/>
      <c r="G15404" s="1845"/>
      <c r="H15404" s="1841"/>
      <c r="I15404" s="1842"/>
      <c r="J15404" s="1842"/>
      <c r="K15404" s="1843"/>
      <c r="L15404" s="1841"/>
      <c r="M15404" s="1842"/>
      <c r="N15404" s="1842"/>
      <c r="O15404" s="1846"/>
      <c r="P15404" s="1098"/>
    </row>
    <row r="15405" spans="1:16" ht="18">
      <c r="A15405" s="664" t="s">
        <v>58</v>
      </c>
      <c r="B15405" s="1975" t="s">
        <v>1825</v>
      </c>
      <c r="C15405" s="1976"/>
      <c r="D15405" s="1977"/>
      <c r="E15405" s="665">
        <f>+L15357</f>
        <v>7.4270899999999997</v>
      </c>
      <c r="F15405" s="1973">
        <v>9</v>
      </c>
      <c r="G15405" s="1974"/>
      <c r="H15405" s="1975" t="s">
        <v>450</v>
      </c>
      <c r="I15405" s="1976"/>
      <c r="J15405" s="1976"/>
      <c r="K15405" s="1977"/>
      <c r="L15405" s="1975" t="s">
        <v>64</v>
      </c>
      <c r="M15405" s="1976"/>
      <c r="N15405" s="1976"/>
      <c r="O15405" s="2008"/>
      <c r="P15405" s="1098"/>
    </row>
    <row r="15406" spans="1:16" ht="18">
      <c r="A15406" s="664"/>
      <c r="B15406" s="1841"/>
      <c r="C15406" s="1842"/>
      <c r="D15406" s="1843"/>
      <c r="E15406" s="665"/>
      <c r="F15406" s="1844"/>
      <c r="G15406" s="1845"/>
      <c r="H15406" s="1841"/>
      <c r="I15406" s="1842"/>
      <c r="J15406" s="1842"/>
      <c r="K15406" s="1843"/>
      <c r="L15406" s="1842"/>
      <c r="M15406" s="1842"/>
      <c r="N15406" s="1842"/>
      <c r="O15406" s="1842"/>
      <c r="P15406" s="1098"/>
    </row>
    <row r="15407" spans="1:16" ht="18">
      <c r="A15407" s="664"/>
      <c r="B15407" s="1841"/>
      <c r="C15407" s="1842"/>
      <c r="D15407" s="1843"/>
      <c r="E15407" s="665"/>
      <c r="F15407" s="1844"/>
      <c r="G15407" s="1845"/>
      <c r="H15407" s="1841"/>
      <c r="I15407" s="1842"/>
      <c r="J15407" s="1842"/>
      <c r="K15407" s="1843"/>
      <c r="L15407" s="1842"/>
      <c r="M15407" s="1842"/>
      <c r="N15407" s="1842"/>
      <c r="O15407" s="1842"/>
      <c r="P15407" s="1098"/>
    </row>
    <row r="15408" spans="1:16" ht="18.600000000000001" thickBot="1">
      <c r="A15408" s="664"/>
      <c r="B15408" s="1841"/>
      <c r="C15408" s="1842"/>
      <c r="D15408" s="1842"/>
      <c r="E15408" s="665"/>
      <c r="F15408" s="1842"/>
      <c r="G15408" s="1843"/>
      <c r="H15408" s="1841"/>
      <c r="I15408" s="1842"/>
      <c r="J15408" s="1842"/>
      <c r="K15408" s="669"/>
      <c r="L15408" s="672"/>
      <c r="M15408" s="673"/>
      <c r="N15408" s="673"/>
      <c r="O15408" s="673"/>
      <c r="P15408" s="1098"/>
    </row>
    <row r="15409" spans="1:16" ht="18">
      <c r="A15409" s="674"/>
      <c r="B15409" s="675"/>
      <c r="C15409" s="676"/>
      <c r="D15409" s="676"/>
      <c r="E15409" s="1980">
        <f>SUM(E15394:E15408)</f>
        <v>150.68448900000001</v>
      </c>
      <c r="F15409" s="677"/>
      <c r="G15409" s="678"/>
      <c r="H15409" s="679"/>
      <c r="I15409" s="1848"/>
      <c r="J15409" s="676"/>
      <c r="K15409" s="680"/>
      <c r="L15409" s="679"/>
      <c r="M15409" s="676"/>
      <c r="N15409" s="677"/>
      <c r="O15409" s="676"/>
      <c r="P15409" s="1098"/>
    </row>
    <row r="15410" spans="1:16" ht="18.600000000000001" thickBot="1">
      <c r="A15410" s="681"/>
      <c r="B15410" s="682"/>
      <c r="C15410" s="683"/>
      <c r="D15410" s="683"/>
      <c r="E15410" s="1981"/>
      <c r="F15410" s="684"/>
      <c r="G15410" s="685"/>
      <c r="H15410" s="686"/>
      <c r="I15410" s="1850"/>
      <c r="J15410" s="683"/>
      <c r="K15410" s="687"/>
      <c r="L15410" s="686"/>
      <c r="M15410" s="683"/>
      <c r="N15410" s="684"/>
      <c r="O15410" s="683"/>
      <c r="P15410" s="1098"/>
    </row>
    <row r="15411" spans="1:16" ht="18">
      <c r="A15411" s="688" t="s">
        <v>31</v>
      </c>
      <c r="B15411" s="676"/>
      <c r="C15411" s="676"/>
      <c r="D15411" s="676"/>
      <c r="E15411" s="676"/>
      <c r="F15411" s="677"/>
      <c r="G15411" s="676"/>
      <c r="H15411" s="677"/>
      <c r="I15411" s="1848"/>
      <c r="J15411" s="676"/>
      <c r="K15411" s="689"/>
      <c r="L15411" s="677"/>
      <c r="M15411" s="676"/>
      <c r="N15411" s="677"/>
      <c r="O15411" s="676"/>
      <c r="P15411" s="1098"/>
    </row>
    <row r="15412" spans="1:16" ht="18">
      <c r="A15412" s="690"/>
      <c r="B15412" s="691"/>
      <c r="C15412" s="691"/>
      <c r="D15412" s="691"/>
      <c r="E15412" s="691"/>
      <c r="F15412" s="1840"/>
      <c r="G15412" s="691"/>
      <c r="H15412" s="1840"/>
      <c r="I15412" s="1849"/>
      <c r="J15412" s="691"/>
      <c r="K15412" s="693"/>
      <c r="L15412" s="1840"/>
      <c r="M15412" s="691"/>
      <c r="N15412" s="1840"/>
      <c r="O15412" s="691"/>
      <c r="P15412" s="1098"/>
    </row>
    <row r="15413" spans="1:16" ht="18.600000000000001" thickBot="1">
      <c r="A15413" s="1982" t="s">
        <v>32</v>
      </c>
      <c r="B15413" s="1983"/>
      <c r="C15413" s="1984" t="s">
        <v>33</v>
      </c>
      <c r="D15413" s="1985"/>
      <c r="E15413" s="694" t="s">
        <v>34</v>
      </c>
      <c r="F15413" s="694" t="s">
        <v>35</v>
      </c>
      <c r="G15413" s="1986" t="s">
        <v>36</v>
      </c>
      <c r="H15413" s="1987"/>
      <c r="I15413" s="1987"/>
      <c r="J15413" s="1987"/>
      <c r="K15413" s="1987"/>
      <c r="L15413" s="1987"/>
      <c r="M15413" s="1987"/>
      <c r="N15413" s="1987"/>
      <c r="O15413" s="1987"/>
      <c r="P15413" s="1098"/>
    </row>
    <row r="15414" spans="1:16" ht="18">
      <c r="A15414" s="1988"/>
      <c r="B15414" s="1989"/>
      <c r="C15414" s="1990"/>
      <c r="D15414" s="1989"/>
      <c r="E15414" s="1853"/>
      <c r="F15414" s="1847"/>
      <c r="G15414" s="1991"/>
      <c r="H15414" s="1992"/>
      <c r="I15414" s="1992"/>
      <c r="J15414" s="1992"/>
      <c r="K15414" s="1992"/>
      <c r="L15414" s="1992"/>
      <c r="M15414" s="1992"/>
      <c r="N15414" s="1992"/>
      <c r="O15414" s="1992"/>
      <c r="P15414" s="1098"/>
    </row>
    <row r="15415" spans="1:16" ht="18">
      <c r="A15415" s="1997" t="s">
        <v>37</v>
      </c>
      <c r="B15415" s="1998"/>
      <c r="C15415" s="1990"/>
      <c r="D15415" s="1989"/>
      <c r="E15415" s="1853"/>
      <c r="F15415" s="1847"/>
      <c r="G15415" s="1993"/>
      <c r="H15415" s="1994"/>
      <c r="I15415" s="1994"/>
      <c r="J15415" s="1994"/>
      <c r="K15415" s="1994"/>
      <c r="L15415" s="1994"/>
      <c r="M15415" s="1994"/>
      <c r="N15415" s="1994"/>
      <c r="O15415" s="1994"/>
      <c r="P15415" s="1098"/>
    </row>
    <row r="15416" spans="1:16" ht="18">
      <c r="A15416" s="1997" t="s">
        <v>38</v>
      </c>
      <c r="B15416" s="1998"/>
      <c r="C15416" s="1990"/>
      <c r="D15416" s="1989"/>
      <c r="E15416" s="1853"/>
      <c r="F15416" s="1847"/>
      <c r="G15416" s="1993"/>
      <c r="H15416" s="1994"/>
      <c r="I15416" s="1994"/>
      <c r="J15416" s="1994"/>
      <c r="K15416" s="1994"/>
      <c r="L15416" s="1994"/>
      <c r="M15416" s="1994"/>
      <c r="N15416" s="1994"/>
      <c r="O15416" s="1994"/>
      <c r="P15416" s="1098"/>
    </row>
    <row r="15417" spans="1:16" ht="18">
      <c r="A15417" s="1997" t="s">
        <v>39</v>
      </c>
      <c r="B15417" s="1998"/>
      <c r="C15417" s="1990"/>
      <c r="D15417" s="1989"/>
      <c r="E15417" s="1853"/>
      <c r="F15417" s="1847"/>
      <c r="G15417" s="1993"/>
      <c r="H15417" s="1994"/>
      <c r="I15417" s="1994"/>
      <c r="J15417" s="1994"/>
      <c r="K15417" s="1994"/>
      <c r="L15417" s="1994"/>
      <c r="M15417" s="1994"/>
      <c r="N15417" s="1994"/>
      <c r="O15417" s="1994"/>
      <c r="P15417" s="1098"/>
    </row>
    <row r="15418" spans="1:16" ht="18">
      <c r="A15418" s="1997" t="s">
        <v>40</v>
      </c>
      <c r="B15418" s="1998"/>
      <c r="C15418" s="1990"/>
      <c r="D15418" s="1989"/>
      <c r="E15418" s="1853"/>
      <c r="F15418" s="1847"/>
      <c r="G15418" s="1993"/>
      <c r="H15418" s="1994"/>
      <c r="I15418" s="1994"/>
      <c r="J15418" s="1994"/>
      <c r="K15418" s="1994"/>
      <c r="L15418" s="1994"/>
      <c r="M15418" s="1994"/>
      <c r="N15418" s="1994"/>
      <c r="O15418" s="1994"/>
      <c r="P15418" s="1098"/>
    </row>
    <row r="15419" spans="1:16" ht="18.600000000000001" thickBot="1">
      <c r="A15419" s="1999" t="s">
        <v>41</v>
      </c>
      <c r="B15419" s="2000"/>
      <c r="C15419" s="2001"/>
      <c r="D15419" s="2002"/>
      <c r="E15419" s="696"/>
      <c r="F15419" s="1851"/>
      <c r="G15419" s="1995"/>
      <c r="H15419" s="1996"/>
      <c r="I15419" s="1996"/>
      <c r="J15419" s="1996"/>
      <c r="K15419" s="1996"/>
      <c r="L15419" s="1996"/>
      <c r="M15419" s="1996"/>
      <c r="N15419" s="1996"/>
      <c r="O15419" s="1996"/>
      <c r="P15419" s="1098"/>
    </row>
    <row r="15420" spans="1:16" ht="18">
      <c r="A15420" s="690"/>
      <c r="B15420" s="691"/>
      <c r="C15420" s="691"/>
      <c r="D15420" s="691"/>
      <c r="E15420" s="691"/>
      <c r="F15420" s="1840"/>
      <c r="G15420" s="691"/>
      <c r="H15420" s="698"/>
      <c r="I15420" s="699"/>
      <c r="J15420" s="700"/>
      <c r="K15420" s="701"/>
      <c r="L15420" s="702"/>
      <c r="M15420" s="691"/>
      <c r="N15420" s="1840"/>
      <c r="O15420" s="691"/>
      <c r="P15420" s="1098"/>
    </row>
    <row r="15421" spans="1:16" ht="18">
      <c r="A15421" s="703" t="s">
        <v>42</v>
      </c>
      <c r="B15421" s="704"/>
      <c r="C15421" s="691"/>
      <c r="D15421" s="691"/>
      <c r="E15421" s="691"/>
      <c r="F15421" s="1840"/>
      <c r="G15421" s="704"/>
      <c r="H15421" s="698"/>
      <c r="I15421" s="699"/>
      <c r="J15421" s="700"/>
      <c r="K15421" s="693"/>
      <c r="L15421" s="705"/>
      <c r="M15421" s="691"/>
      <c r="N15421" s="1979" t="s">
        <v>43</v>
      </c>
      <c r="O15421" s="1979"/>
      <c r="P15421" s="1098"/>
    </row>
    <row r="15422" spans="1:16" ht="18">
      <c r="A15422" s="703"/>
      <c r="B15422" s="704"/>
      <c r="C15422" s="691"/>
      <c r="D15422" s="691"/>
      <c r="E15422" s="691"/>
      <c r="F15422" s="1840"/>
      <c r="G15422" s="691"/>
      <c r="H15422" s="1840"/>
      <c r="I15422" s="1849"/>
      <c r="J15422" s="691"/>
      <c r="K15422" s="693"/>
      <c r="L15422" s="1840"/>
      <c r="M15422" s="691"/>
      <c r="N15422" s="1840"/>
      <c r="O15422" s="704"/>
      <c r="P15422" s="1098"/>
    </row>
    <row r="15423" spans="1:16" ht="18">
      <c r="A15423" s="703" t="s">
        <v>44</v>
      </c>
      <c r="B15423" s="704"/>
      <c r="C15423" s="691"/>
      <c r="D15423" s="691"/>
      <c r="E15423" s="691"/>
      <c r="F15423" s="1840"/>
      <c r="G15423" s="691"/>
      <c r="H15423" s="1840"/>
      <c r="I15423" s="1849"/>
      <c r="J15423" s="691"/>
      <c r="K15423" s="693"/>
      <c r="L15423" s="1840"/>
      <c r="M15423" s="691"/>
      <c r="N15423" s="1979" t="s">
        <v>45</v>
      </c>
      <c r="O15423" s="1979"/>
      <c r="P15423" s="1098"/>
    </row>
    <row r="15424" spans="1:16" ht="18.600000000000001" thickBot="1">
      <c r="A15424" s="682"/>
      <c r="B15424" s="683"/>
      <c r="C15424" s="683"/>
      <c r="D15424" s="683"/>
      <c r="E15424" s="683"/>
      <c r="F15424" s="684"/>
      <c r="G15424" s="683"/>
      <c r="H15424" s="684"/>
      <c r="I15424" s="1850"/>
      <c r="J15424" s="683"/>
      <c r="K15424" s="706"/>
      <c r="L15424" s="684"/>
      <c r="M15424" s="683"/>
      <c r="N15424" s="684"/>
      <c r="O15424" s="683"/>
      <c r="P15424" s="1099"/>
    </row>
    <row r="15429" spans="1:16" ht="18">
      <c r="A15429" s="653" t="s">
        <v>48</v>
      </c>
      <c r="B15429" s="653"/>
      <c r="C15429" s="654"/>
      <c r="D15429" s="654"/>
      <c r="E15429" s="654"/>
      <c r="F15429" s="1853"/>
      <c r="G15429" s="654"/>
      <c r="H15429" s="1853"/>
      <c r="I15429" s="656"/>
      <c r="J15429" s="654"/>
      <c r="K15429" s="657"/>
      <c r="L15429" s="2003" t="s">
        <v>0</v>
      </c>
      <c r="M15429" s="2003"/>
      <c r="N15429" s="2003"/>
      <c r="O15429" s="2004"/>
      <c r="P15429" s="1097"/>
    </row>
    <row r="15430" spans="1:16" ht="18">
      <c r="A15430" s="658" t="s">
        <v>1</v>
      </c>
      <c r="B15430" s="658"/>
      <c r="C15430" s="658"/>
      <c r="D15430" s="659" t="s">
        <v>2</v>
      </c>
      <c r="E15430" s="659"/>
      <c r="F15430" s="660"/>
      <c r="G15430" s="660"/>
      <c r="H15430" s="660"/>
      <c r="I15430" s="661"/>
      <c r="J15430" s="660"/>
      <c r="K15430" s="662" t="s">
        <v>3</v>
      </c>
      <c r="L15430" s="660"/>
      <c r="M15430" s="658"/>
      <c r="N15430" s="660"/>
      <c r="O15430" s="663"/>
      <c r="P15430" s="1098"/>
    </row>
    <row r="15431" spans="1:16" ht="18">
      <c r="A15431" s="1853" t="s">
        <v>22</v>
      </c>
      <c r="B15431" s="1990" t="s">
        <v>23</v>
      </c>
      <c r="C15431" s="2005"/>
      <c r="D15431" s="1989"/>
      <c r="E15431" s="1853" t="s">
        <v>24</v>
      </c>
      <c r="F15431" s="1990" t="s">
        <v>25</v>
      </c>
      <c r="G15431" s="1989"/>
      <c r="H15431" s="1990" t="s">
        <v>26</v>
      </c>
      <c r="I15431" s="2005"/>
      <c r="J15431" s="2005"/>
      <c r="K15431" s="1989"/>
      <c r="L15431" s="2006" t="s">
        <v>27</v>
      </c>
      <c r="M15431" s="2006"/>
      <c r="N15431" s="2006"/>
      <c r="O15431" s="1990"/>
      <c r="P15431" s="1098"/>
    </row>
    <row r="15432" spans="1:16" ht="18">
      <c r="A15432" s="664"/>
      <c r="B15432" s="1975"/>
      <c r="C15432" s="1976"/>
      <c r="D15432" s="1977"/>
      <c r="E15432" s="665"/>
      <c r="F15432" s="1975"/>
      <c r="G15432" s="1977"/>
      <c r="H15432" s="1975"/>
      <c r="I15432" s="1976"/>
      <c r="J15432" s="1976"/>
      <c r="K15432" s="1977"/>
      <c r="L15432" s="1975"/>
      <c r="M15432" s="1976"/>
      <c r="N15432" s="1976"/>
      <c r="O15432" s="1976"/>
      <c r="P15432" s="1098"/>
    </row>
    <row r="15433" spans="1:16" ht="18">
      <c r="A15433" s="664"/>
      <c r="B15433" s="1841"/>
      <c r="C15433" s="1842"/>
      <c r="D15433" s="1843"/>
      <c r="E15433" s="665"/>
      <c r="F15433" s="1841"/>
      <c r="G15433" s="1843"/>
      <c r="H15433" s="1841"/>
      <c r="I15433" s="1842"/>
      <c r="J15433" s="1842"/>
      <c r="K15433" s="1843"/>
      <c r="L15433" s="1842"/>
      <c r="M15433" s="1842"/>
      <c r="N15433" s="1842"/>
      <c r="O15433" s="1842"/>
      <c r="P15433" s="1098"/>
    </row>
    <row r="15434" spans="1:16" ht="18">
      <c r="A15434" s="664" t="s">
        <v>28</v>
      </c>
      <c r="B15434" s="1975" t="s">
        <v>301</v>
      </c>
      <c r="C15434" s="1976"/>
      <c r="D15434" s="1977"/>
      <c r="E15434" s="665">
        <f>27.34+3.035</f>
        <v>30.375</v>
      </c>
      <c r="F15434" s="1973">
        <v>16</v>
      </c>
      <c r="G15434" s="1974"/>
      <c r="H15434" s="1975" t="s">
        <v>49</v>
      </c>
      <c r="I15434" s="1976"/>
      <c r="J15434" s="1976"/>
      <c r="K15434" s="1977"/>
      <c r="L15434" s="1976" t="s">
        <v>557</v>
      </c>
      <c r="M15434" s="1976"/>
      <c r="N15434" s="1976"/>
      <c r="O15434" s="1976"/>
      <c r="P15434" s="1098"/>
    </row>
    <row r="15435" spans="1:16" ht="18">
      <c r="A15435" s="664" t="s">
        <v>29</v>
      </c>
      <c r="B15435" s="1975" t="s">
        <v>183</v>
      </c>
      <c r="C15435" s="1976"/>
      <c r="D15435" s="1977"/>
      <c r="E15435" s="665">
        <v>20.94</v>
      </c>
      <c r="F15435" s="1973">
        <v>16</v>
      </c>
      <c r="G15435" s="1974"/>
      <c r="H15435" s="1975" t="s">
        <v>49</v>
      </c>
      <c r="I15435" s="1976"/>
      <c r="J15435" s="1976"/>
      <c r="K15435" s="1977"/>
      <c r="L15435" s="1976" t="s">
        <v>557</v>
      </c>
      <c r="M15435" s="1976"/>
      <c r="N15435" s="1976"/>
      <c r="O15435" s="1976"/>
      <c r="P15435" s="1098"/>
    </row>
    <row r="15436" spans="1:16" ht="18">
      <c r="A15436" s="664" t="s">
        <v>30</v>
      </c>
      <c r="B15436" s="1975" t="s">
        <v>184</v>
      </c>
      <c r="C15436" s="1976"/>
      <c r="D15436" s="1977"/>
      <c r="E15436" s="665">
        <v>6.1070000000000002</v>
      </c>
      <c r="F15436" s="1973">
        <v>16</v>
      </c>
      <c r="G15436" s="1974"/>
      <c r="H15436" s="1975" t="s">
        <v>49</v>
      </c>
      <c r="I15436" s="1976"/>
      <c r="J15436" s="1976"/>
      <c r="K15436" s="1977"/>
      <c r="L15436" s="1976" t="s">
        <v>557</v>
      </c>
      <c r="M15436" s="1976"/>
      <c r="N15436" s="1976"/>
      <c r="O15436" s="1976"/>
      <c r="P15436" s="1098"/>
    </row>
    <row r="15437" spans="1:16" ht="18">
      <c r="A15437" s="664" t="s">
        <v>46</v>
      </c>
      <c r="B15437" s="1975" t="s">
        <v>185</v>
      </c>
      <c r="C15437" s="1976"/>
      <c r="D15437" s="1977"/>
      <c r="E15437" s="665">
        <f>45.072+1.08</f>
        <v>46.152000000000001</v>
      </c>
      <c r="F15437" s="1973">
        <v>16</v>
      </c>
      <c r="G15437" s="1974"/>
      <c r="H15437" s="1975" t="s">
        <v>49</v>
      </c>
      <c r="I15437" s="1976"/>
      <c r="J15437" s="1976"/>
      <c r="K15437" s="1977"/>
      <c r="L15437" s="1976" t="s">
        <v>557</v>
      </c>
      <c r="M15437" s="1976"/>
      <c r="N15437" s="1976"/>
      <c r="O15437" s="1976"/>
      <c r="P15437" s="1098"/>
    </row>
    <row r="15438" spans="1:16" ht="18">
      <c r="A15438" s="664" t="s">
        <v>58</v>
      </c>
      <c r="B15438" s="1975" t="s">
        <v>186</v>
      </c>
      <c r="C15438" s="1976"/>
      <c r="D15438" s="1977"/>
      <c r="E15438" s="665">
        <v>23.370999999999999</v>
      </c>
      <c r="F15438" s="1973">
        <v>16</v>
      </c>
      <c r="G15438" s="1974"/>
      <c r="H15438" s="1975" t="s">
        <v>49</v>
      </c>
      <c r="I15438" s="1976"/>
      <c r="J15438" s="1976"/>
      <c r="K15438" s="1977"/>
      <c r="L15438" s="1976" t="s">
        <v>557</v>
      </c>
      <c r="M15438" s="1976"/>
      <c r="N15438" s="1976"/>
      <c r="O15438" s="1976"/>
      <c r="P15438" s="1098"/>
    </row>
    <row r="15439" spans="1:16" ht="18">
      <c r="A15439" s="664" t="s">
        <v>163</v>
      </c>
      <c r="B15439" s="1975" t="s">
        <v>187</v>
      </c>
      <c r="C15439" s="1976"/>
      <c r="D15439" s="1977"/>
      <c r="E15439" s="665">
        <f>29.672+1.43+4.94</f>
        <v>36.042000000000002</v>
      </c>
      <c r="F15439" s="1973">
        <v>16</v>
      </c>
      <c r="G15439" s="1974"/>
      <c r="H15439" s="1975" t="s">
        <v>49</v>
      </c>
      <c r="I15439" s="1976"/>
      <c r="J15439" s="1976"/>
      <c r="K15439" s="1977"/>
      <c r="L15439" s="1976" t="s">
        <v>557</v>
      </c>
      <c r="M15439" s="1976"/>
      <c r="N15439" s="1976"/>
      <c r="O15439" s="1976"/>
      <c r="P15439" s="1098"/>
    </row>
    <row r="15440" spans="1:16" s="1737" customFormat="1" ht="18">
      <c r="A15440" s="664" t="s">
        <v>302</v>
      </c>
      <c r="B15440" s="1975" t="s">
        <v>188</v>
      </c>
      <c r="C15440" s="1976"/>
      <c r="D15440" s="1977"/>
      <c r="E15440" s="665">
        <f>12.118+0.75</f>
        <v>12.868</v>
      </c>
      <c r="F15440" s="1973">
        <v>16</v>
      </c>
      <c r="G15440" s="1974"/>
      <c r="H15440" s="1975" t="s">
        <v>49</v>
      </c>
      <c r="I15440" s="1976"/>
      <c r="J15440" s="1976"/>
      <c r="K15440" s="1977"/>
      <c r="L15440" s="1976" t="s">
        <v>557</v>
      </c>
      <c r="M15440" s="1976"/>
      <c r="N15440" s="1976"/>
      <c r="O15440" s="1976"/>
      <c r="P15440" s="1098"/>
    </row>
    <row r="15441" spans="1:16" s="1737" customFormat="1" ht="18">
      <c r="A15441" s="664"/>
      <c r="B15441" s="1841"/>
      <c r="C15441" s="1842"/>
      <c r="D15441" s="1843"/>
      <c r="E15441" s="665"/>
      <c r="F15441" s="1844"/>
      <c r="G15441" s="1845"/>
      <c r="H15441" s="1841"/>
      <c r="I15441" s="1842"/>
      <c r="J15441" s="1842"/>
      <c r="K15441" s="1843"/>
      <c r="L15441" s="1842"/>
      <c r="M15441" s="1842"/>
      <c r="N15441" s="1842"/>
      <c r="O15441" s="1842"/>
      <c r="P15441" s="1098"/>
    </row>
    <row r="15442" spans="1:16" s="1737" customFormat="1" ht="18">
      <c r="A15442" s="664"/>
      <c r="B15442" s="1841"/>
      <c r="C15442" s="1842"/>
      <c r="D15442" s="1843"/>
      <c r="E15442" s="665"/>
      <c r="F15442" s="1844"/>
      <c r="G15442" s="1845"/>
      <c r="H15442" s="1841"/>
      <c r="I15442" s="1842"/>
      <c r="J15442" s="1842"/>
      <c r="K15442" s="1843"/>
      <c r="L15442" s="1842"/>
      <c r="M15442" s="1842"/>
      <c r="N15442" s="1842"/>
      <c r="O15442" s="1842"/>
      <c r="P15442" s="1098"/>
    </row>
    <row r="15443" spans="1:16" s="1737" customFormat="1" ht="18">
      <c r="A15443" s="664" t="s">
        <v>380</v>
      </c>
      <c r="B15443" s="1975" t="s">
        <v>556</v>
      </c>
      <c r="C15443" s="1976"/>
      <c r="D15443" s="1977"/>
      <c r="E15443" s="665">
        <v>87.516999999999996</v>
      </c>
      <c r="F15443" s="1973">
        <v>16</v>
      </c>
      <c r="G15443" s="1974"/>
      <c r="H15443" s="1975" t="s">
        <v>447</v>
      </c>
      <c r="I15443" s="1976"/>
      <c r="J15443" s="1976"/>
      <c r="K15443" s="1977"/>
      <c r="L15443" s="1976" t="s">
        <v>1842</v>
      </c>
      <c r="M15443" s="1976"/>
      <c r="N15443" s="1976"/>
      <c r="O15443" s="1976"/>
      <c r="P15443" s="1098"/>
    </row>
    <row r="15444" spans="1:16" s="1737" customFormat="1" ht="18">
      <c r="A15444" s="664" t="s">
        <v>434</v>
      </c>
      <c r="B15444" s="1975" t="s">
        <v>187</v>
      </c>
      <c r="C15444" s="1976"/>
      <c r="D15444" s="1977"/>
      <c r="E15444" s="665">
        <v>23.722000000000001</v>
      </c>
      <c r="F15444" s="1973">
        <v>16</v>
      </c>
      <c r="G15444" s="1974"/>
      <c r="H15444" s="1975" t="s">
        <v>447</v>
      </c>
      <c r="I15444" s="1976"/>
      <c r="J15444" s="1976"/>
      <c r="K15444" s="1977"/>
      <c r="L15444" s="1976" t="s">
        <v>1842</v>
      </c>
      <c r="M15444" s="1976"/>
      <c r="N15444" s="1976"/>
      <c r="O15444" s="1976"/>
      <c r="P15444" s="1098"/>
    </row>
    <row r="15445" spans="1:16" s="1737" customFormat="1" ht="18">
      <c r="A15445" s="664" t="s">
        <v>474</v>
      </c>
      <c r="B15445" s="1975" t="s">
        <v>186</v>
      </c>
      <c r="C15445" s="1976"/>
      <c r="D15445" s="1977"/>
      <c r="E15445" s="665">
        <v>68.114999999999995</v>
      </c>
      <c r="F15445" s="1973">
        <v>16</v>
      </c>
      <c r="G15445" s="1974"/>
      <c r="H15445" s="1975" t="s">
        <v>447</v>
      </c>
      <c r="I15445" s="1976"/>
      <c r="J15445" s="1976"/>
      <c r="K15445" s="1977"/>
      <c r="L15445" s="1976" t="s">
        <v>1842</v>
      </c>
      <c r="M15445" s="1976"/>
      <c r="N15445" s="1976"/>
      <c r="O15445" s="1976"/>
      <c r="P15445" s="1098"/>
    </row>
    <row r="15446" spans="1:16" ht="18">
      <c r="A15446" s="664" t="s">
        <v>475</v>
      </c>
      <c r="B15446" s="1975" t="s">
        <v>185</v>
      </c>
      <c r="C15446" s="1976"/>
      <c r="D15446" s="1977"/>
      <c r="E15446" s="665">
        <v>7.85</v>
      </c>
      <c r="F15446" s="1973">
        <v>16</v>
      </c>
      <c r="G15446" s="1974"/>
      <c r="H15446" s="1975" t="s">
        <v>447</v>
      </c>
      <c r="I15446" s="1976"/>
      <c r="J15446" s="1976"/>
      <c r="K15446" s="1977"/>
      <c r="L15446" s="1976" t="s">
        <v>1842</v>
      </c>
      <c r="M15446" s="1976"/>
      <c r="N15446" s="1976"/>
      <c r="O15446" s="1976"/>
      <c r="P15446" s="1098"/>
    </row>
    <row r="15447" spans="1:16" ht="18">
      <c r="A15447" s="664" t="s">
        <v>476</v>
      </c>
      <c r="B15447" s="1975" t="s">
        <v>835</v>
      </c>
      <c r="C15447" s="1976"/>
      <c r="D15447" s="1977"/>
      <c r="E15447" s="665">
        <v>72.869</v>
      </c>
      <c r="F15447" s="1973">
        <v>16</v>
      </c>
      <c r="G15447" s="1974"/>
      <c r="H15447" s="1975" t="s">
        <v>447</v>
      </c>
      <c r="I15447" s="1976"/>
      <c r="J15447" s="1976"/>
      <c r="K15447" s="1977"/>
      <c r="L15447" s="1976" t="s">
        <v>1842</v>
      </c>
      <c r="M15447" s="1976"/>
      <c r="N15447" s="1976"/>
      <c r="O15447" s="1976"/>
      <c r="P15447" s="1098"/>
    </row>
    <row r="15448" spans="1:16" ht="18">
      <c r="A15448" s="664" t="s">
        <v>477</v>
      </c>
      <c r="B15448" s="1975" t="s">
        <v>183</v>
      </c>
      <c r="C15448" s="1976"/>
      <c r="D15448" s="1977"/>
      <c r="E15448" s="665">
        <f>1.568+3.484</f>
        <v>5.0519999999999996</v>
      </c>
      <c r="F15448" s="1973">
        <v>16</v>
      </c>
      <c r="G15448" s="1974"/>
      <c r="H15448" s="1975" t="s">
        <v>447</v>
      </c>
      <c r="I15448" s="1976"/>
      <c r="J15448" s="1976"/>
      <c r="K15448" s="1977"/>
      <c r="L15448" s="1976" t="s">
        <v>1842</v>
      </c>
      <c r="M15448" s="1976"/>
      <c r="N15448" s="1976"/>
      <c r="O15448" s="1976"/>
      <c r="P15448" s="1098"/>
    </row>
    <row r="15449" spans="1:16" s="1737" customFormat="1" ht="18">
      <c r="A15449" s="664"/>
      <c r="B15449" s="1841"/>
      <c r="C15449" s="1842"/>
      <c r="D15449" s="1843"/>
      <c r="E15449" s="665"/>
      <c r="F15449" s="1844"/>
      <c r="G15449" s="1845"/>
      <c r="H15449" s="1841"/>
      <c r="I15449" s="1842"/>
      <c r="J15449" s="1842"/>
      <c r="K15449" s="1843"/>
      <c r="L15449" s="1842"/>
      <c r="M15449" s="1842"/>
      <c r="N15449" s="1842"/>
      <c r="O15449" s="1842"/>
      <c r="P15449" s="1098"/>
    </row>
    <row r="15450" spans="1:16" s="1737" customFormat="1" ht="18">
      <c r="A15450" s="664"/>
      <c r="B15450" s="1841"/>
      <c r="C15450" s="1842"/>
      <c r="D15450" s="1843"/>
      <c r="E15450" s="665"/>
      <c r="F15450" s="1844"/>
      <c r="G15450" s="1845"/>
      <c r="H15450" s="1841"/>
      <c r="I15450" s="1842"/>
      <c r="J15450" s="1842"/>
      <c r="K15450" s="1843"/>
      <c r="L15450" s="1842"/>
      <c r="M15450" s="1842"/>
      <c r="N15450" s="1842"/>
      <c r="O15450" s="1842"/>
      <c r="P15450" s="1098"/>
    </row>
    <row r="15451" spans="1:16" ht="18.600000000000001" thickBot="1">
      <c r="A15451" s="664"/>
      <c r="B15451" s="1841"/>
      <c r="C15451" s="1842"/>
      <c r="D15451" s="1842"/>
      <c r="E15451" s="665"/>
      <c r="F15451" s="1842"/>
      <c r="G15451" s="1843"/>
      <c r="H15451" s="1841"/>
      <c r="I15451" s="1842"/>
      <c r="J15451" s="1842"/>
      <c r="K15451" s="669"/>
      <c r="L15451" s="672"/>
      <c r="M15451" s="673"/>
      <c r="N15451" s="673"/>
      <c r="O15451" s="673"/>
      <c r="P15451" s="1098"/>
    </row>
    <row r="15452" spans="1:16" ht="18">
      <c r="A15452" s="674"/>
      <c r="B15452" s="675"/>
      <c r="C15452" s="676"/>
      <c r="D15452" s="676"/>
      <c r="E15452" s="1980">
        <f>SUM(E15432:E15451)</f>
        <v>440.98</v>
      </c>
      <c r="F15452" s="677"/>
      <c r="G15452" s="678"/>
      <c r="H15452" s="679"/>
      <c r="I15452" s="1848"/>
      <c r="J15452" s="676"/>
      <c r="K15452" s="680"/>
      <c r="L15452" s="679"/>
      <c r="M15452" s="676"/>
      <c r="N15452" s="677"/>
      <c r="O15452" s="676"/>
      <c r="P15452" s="1098"/>
    </row>
    <row r="15453" spans="1:16" ht="18.600000000000001" thickBot="1">
      <c r="A15453" s="681"/>
      <c r="B15453" s="682"/>
      <c r="C15453" s="683"/>
      <c r="D15453" s="683"/>
      <c r="E15453" s="1981"/>
      <c r="F15453" s="684"/>
      <c r="G15453" s="685"/>
      <c r="H15453" s="686"/>
      <c r="I15453" s="1850"/>
      <c r="J15453" s="683"/>
      <c r="K15453" s="687"/>
      <c r="L15453" s="686"/>
      <c r="M15453" s="683"/>
      <c r="N15453" s="684"/>
      <c r="O15453" s="683"/>
      <c r="P15453" s="1098"/>
    </row>
    <row r="15454" spans="1:16" ht="18">
      <c r="A15454" s="688" t="s">
        <v>31</v>
      </c>
      <c r="B15454" s="676"/>
      <c r="C15454" s="676"/>
      <c r="D15454" s="676"/>
      <c r="E15454" s="676"/>
      <c r="F15454" s="677"/>
      <c r="G15454" s="676"/>
      <c r="H15454" s="677"/>
      <c r="I15454" s="1848"/>
      <c r="J15454" s="676"/>
      <c r="K15454" s="689"/>
      <c r="L15454" s="677"/>
      <c r="M15454" s="676"/>
      <c r="N15454" s="677"/>
      <c r="O15454" s="676"/>
      <c r="P15454" s="1098"/>
    </row>
    <row r="15455" spans="1:16" ht="18">
      <c r="A15455" s="690"/>
      <c r="B15455" s="691"/>
      <c r="C15455" s="691"/>
      <c r="D15455" s="691"/>
      <c r="E15455" s="691"/>
      <c r="F15455" s="1840"/>
      <c r="G15455" s="691"/>
      <c r="H15455" s="1840"/>
      <c r="I15455" s="1849"/>
      <c r="J15455" s="691"/>
      <c r="K15455" s="693"/>
      <c r="L15455" s="1840"/>
      <c r="M15455" s="691"/>
      <c r="N15455" s="1840"/>
      <c r="O15455" s="691"/>
      <c r="P15455" s="1098"/>
    </row>
    <row r="15456" spans="1:16" ht="18.600000000000001" thickBot="1">
      <c r="A15456" s="1982" t="s">
        <v>32</v>
      </c>
      <c r="B15456" s="1983"/>
      <c r="C15456" s="1984" t="s">
        <v>33</v>
      </c>
      <c r="D15456" s="1985"/>
      <c r="E15456" s="694" t="s">
        <v>34</v>
      </c>
      <c r="F15456" s="694" t="s">
        <v>35</v>
      </c>
      <c r="G15456" s="1986" t="s">
        <v>36</v>
      </c>
      <c r="H15456" s="1987"/>
      <c r="I15456" s="1987"/>
      <c r="J15456" s="1987"/>
      <c r="K15456" s="1987"/>
      <c r="L15456" s="1987"/>
      <c r="M15456" s="1987"/>
      <c r="N15456" s="1987"/>
      <c r="O15456" s="1987"/>
      <c r="P15456" s="1098"/>
    </row>
    <row r="15457" spans="1:16" ht="18">
      <c r="A15457" s="1988"/>
      <c r="B15457" s="1989"/>
      <c r="C15457" s="1990"/>
      <c r="D15457" s="1989"/>
      <c r="E15457" s="1853"/>
      <c r="F15457" s="1847"/>
      <c r="G15457" s="1991"/>
      <c r="H15457" s="1992"/>
      <c r="I15457" s="1992"/>
      <c r="J15457" s="1992"/>
      <c r="K15457" s="1992"/>
      <c r="L15457" s="1992"/>
      <c r="M15457" s="1992"/>
      <c r="N15457" s="1992"/>
      <c r="O15457" s="1992"/>
      <c r="P15457" s="1098"/>
    </row>
    <row r="15458" spans="1:16" ht="18">
      <c r="A15458" s="1997" t="s">
        <v>37</v>
      </c>
      <c r="B15458" s="1998"/>
      <c r="C15458" s="1990"/>
      <c r="D15458" s="1989"/>
      <c r="E15458" s="1853"/>
      <c r="F15458" s="1847"/>
      <c r="G15458" s="1993"/>
      <c r="H15458" s="1994"/>
      <c r="I15458" s="1994"/>
      <c r="J15458" s="1994"/>
      <c r="K15458" s="1994"/>
      <c r="L15458" s="1994"/>
      <c r="M15458" s="1994"/>
      <c r="N15458" s="1994"/>
      <c r="O15458" s="1994"/>
      <c r="P15458" s="1098"/>
    </row>
    <row r="15459" spans="1:16" ht="18">
      <c r="A15459" s="1997" t="s">
        <v>38</v>
      </c>
      <c r="B15459" s="1998"/>
      <c r="C15459" s="1990"/>
      <c r="D15459" s="1989"/>
      <c r="E15459" s="1853"/>
      <c r="F15459" s="1847"/>
      <c r="G15459" s="1993"/>
      <c r="H15459" s="1994"/>
      <c r="I15459" s="1994"/>
      <c r="J15459" s="1994"/>
      <c r="K15459" s="1994"/>
      <c r="L15459" s="1994"/>
      <c r="M15459" s="1994"/>
      <c r="N15459" s="1994"/>
      <c r="O15459" s="1994"/>
      <c r="P15459" s="1098"/>
    </row>
    <row r="15460" spans="1:16" ht="18">
      <c r="A15460" s="1997" t="s">
        <v>39</v>
      </c>
      <c r="B15460" s="1998"/>
      <c r="C15460" s="1990"/>
      <c r="D15460" s="1989"/>
      <c r="E15460" s="1853"/>
      <c r="F15460" s="1847"/>
      <c r="G15460" s="1993"/>
      <c r="H15460" s="1994"/>
      <c r="I15460" s="1994"/>
      <c r="J15460" s="1994"/>
      <c r="K15460" s="1994"/>
      <c r="L15460" s="1994"/>
      <c r="M15460" s="1994"/>
      <c r="N15460" s="1994"/>
      <c r="O15460" s="1994"/>
      <c r="P15460" s="1098"/>
    </row>
    <row r="15461" spans="1:16" ht="18">
      <c r="A15461" s="1997" t="s">
        <v>40</v>
      </c>
      <c r="B15461" s="1998"/>
      <c r="C15461" s="1990"/>
      <c r="D15461" s="1989"/>
      <c r="E15461" s="1853"/>
      <c r="F15461" s="1847"/>
      <c r="G15461" s="1993"/>
      <c r="H15461" s="1994"/>
      <c r="I15461" s="1994"/>
      <c r="J15461" s="1994"/>
      <c r="K15461" s="1994"/>
      <c r="L15461" s="1994"/>
      <c r="M15461" s="1994"/>
      <c r="N15461" s="1994"/>
      <c r="O15461" s="1994"/>
      <c r="P15461" s="1098"/>
    </row>
    <row r="15462" spans="1:16" ht="18.600000000000001" thickBot="1">
      <c r="A15462" s="1999" t="s">
        <v>41</v>
      </c>
      <c r="B15462" s="2000"/>
      <c r="C15462" s="2001"/>
      <c r="D15462" s="2002"/>
      <c r="E15462" s="696"/>
      <c r="F15462" s="1851"/>
      <c r="G15462" s="1995"/>
      <c r="H15462" s="1996"/>
      <c r="I15462" s="1996"/>
      <c r="J15462" s="1996"/>
      <c r="K15462" s="1996"/>
      <c r="L15462" s="1996"/>
      <c r="M15462" s="1996"/>
      <c r="N15462" s="1996"/>
      <c r="O15462" s="1996"/>
      <c r="P15462" s="1098"/>
    </row>
    <row r="15463" spans="1:16" ht="18">
      <c r="A15463" s="690"/>
      <c r="B15463" s="691"/>
      <c r="C15463" s="691"/>
      <c r="D15463" s="691"/>
      <c r="E15463" s="691"/>
      <c r="F15463" s="1840"/>
      <c r="G15463" s="691"/>
      <c r="H15463" s="698"/>
      <c r="I15463" s="699"/>
      <c r="J15463" s="700"/>
      <c r="K15463" s="701"/>
      <c r="L15463" s="702"/>
      <c r="M15463" s="691"/>
      <c r="N15463" s="1840"/>
      <c r="O15463" s="691"/>
      <c r="P15463" s="1098"/>
    </row>
    <row r="15464" spans="1:16" ht="18">
      <c r="A15464" s="703" t="s">
        <v>42</v>
      </c>
      <c r="B15464" s="704"/>
      <c r="C15464" s="691"/>
      <c r="D15464" s="691"/>
      <c r="E15464" s="691"/>
      <c r="F15464" s="1840"/>
      <c r="G15464" s="704"/>
      <c r="H15464" s="698"/>
      <c r="I15464" s="699"/>
      <c r="J15464" s="700"/>
      <c r="K15464" s="693"/>
      <c r="L15464" s="705"/>
      <c r="M15464" s="691"/>
      <c r="N15464" s="1979" t="s">
        <v>43</v>
      </c>
      <c r="O15464" s="1979"/>
      <c r="P15464" s="1098"/>
    </row>
    <row r="15465" spans="1:16" ht="18">
      <c r="A15465" s="703"/>
      <c r="B15465" s="704"/>
      <c r="C15465" s="691"/>
      <c r="D15465" s="691"/>
      <c r="E15465" s="691"/>
      <c r="F15465" s="1840"/>
      <c r="G15465" s="691"/>
      <c r="H15465" s="1840"/>
      <c r="I15465" s="1849"/>
      <c r="J15465" s="691"/>
      <c r="K15465" s="693"/>
      <c r="L15465" s="1840"/>
      <c r="M15465" s="691"/>
      <c r="N15465" s="1840"/>
      <c r="O15465" s="704"/>
      <c r="P15465" s="1098"/>
    </row>
    <row r="15466" spans="1:16" ht="18">
      <c r="A15466" s="703" t="s">
        <v>44</v>
      </c>
      <c r="B15466" s="704"/>
      <c r="C15466" s="691"/>
      <c r="D15466" s="691"/>
      <c r="E15466" s="691"/>
      <c r="F15466" s="1840"/>
      <c r="G15466" s="691"/>
      <c r="H15466" s="1840"/>
      <c r="I15466" s="1849"/>
      <c r="J15466" s="691"/>
      <c r="K15466" s="693"/>
      <c r="L15466" s="1840"/>
      <c r="M15466" s="691"/>
      <c r="N15466" s="1979" t="s">
        <v>45</v>
      </c>
      <c r="O15466" s="1979"/>
      <c r="P15466" s="1098"/>
    </row>
    <row r="15467" spans="1:16" ht="18.600000000000001" thickBot="1">
      <c r="A15467" s="682"/>
      <c r="B15467" s="683"/>
      <c r="C15467" s="683"/>
      <c r="D15467" s="683"/>
      <c r="E15467" s="683"/>
      <c r="F15467" s="684"/>
      <c r="G15467" s="683"/>
      <c r="H15467" s="684"/>
      <c r="I15467" s="1850"/>
      <c r="J15467" s="683"/>
      <c r="K15467" s="706"/>
      <c r="L15467" s="684"/>
      <c r="M15467" s="683"/>
      <c r="N15467" s="684"/>
      <c r="O15467" s="683"/>
      <c r="P15467" s="1099"/>
    </row>
    <row r="15471" spans="1:16" ht="17.399999999999999">
      <c r="A15471" s="711" t="s">
        <v>48</v>
      </c>
      <c r="B15471" s="711"/>
      <c r="C15471" s="712"/>
      <c r="D15471" s="712"/>
      <c r="E15471" s="712"/>
      <c r="F15471" s="713"/>
      <c r="G15471" s="712"/>
      <c r="H15471" s="712"/>
      <c r="I15471" s="714"/>
      <c r="J15471" s="715"/>
      <c r="K15471" s="716"/>
      <c r="L15471" s="1978" t="s">
        <v>0</v>
      </c>
      <c r="M15471" s="1978"/>
      <c r="N15471" s="1978"/>
      <c r="O15471" s="1978"/>
      <c r="P15471" s="717"/>
    </row>
    <row r="15472" spans="1:16" ht="17.399999999999999">
      <c r="A15472" s="718" t="s">
        <v>1</v>
      </c>
      <c r="B15472" s="718"/>
      <c r="C15472" s="718"/>
      <c r="D15472" s="719" t="s">
        <v>2</v>
      </c>
      <c r="E15472" s="719"/>
      <c r="F15472" s="720"/>
      <c r="G15472" s="720"/>
      <c r="H15472" s="720"/>
      <c r="I15472" s="721"/>
      <c r="J15472" s="1839"/>
      <c r="K15472" s="723" t="s">
        <v>3</v>
      </c>
      <c r="L15472" s="1839"/>
      <c r="M15472" s="718"/>
      <c r="N15472" s="720"/>
      <c r="O15472" s="718"/>
      <c r="P15472" s="724"/>
    </row>
    <row r="15473" spans="1:18" ht="52.2">
      <c r="A15473" s="640" t="s">
        <v>4</v>
      </c>
      <c r="B15473" s="640" t="s">
        <v>5</v>
      </c>
      <c r="C15473" s="640" t="s">
        <v>6</v>
      </c>
      <c r="D15473" s="640" t="s">
        <v>7</v>
      </c>
      <c r="E15473" s="640" t="s">
        <v>8</v>
      </c>
      <c r="F15473" s="641" t="s">
        <v>9</v>
      </c>
      <c r="G15473" s="642" t="s">
        <v>10</v>
      </c>
      <c r="H15473" s="642" t="s">
        <v>11</v>
      </c>
      <c r="I15473" s="643" t="s">
        <v>12</v>
      </c>
      <c r="J15473" s="644" t="s">
        <v>13</v>
      </c>
      <c r="K15473" s="645" t="s">
        <v>14</v>
      </c>
      <c r="L15473" s="646" t="s">
        <v>15</v>
      </c>
      <c r="M15473" s="641" t="s">
        <v>16</v>
      </c>
      <c r="N15473" s="641" t="s">
        <v>17</v>
      </c>
      <c r="O15473" s="642" t="s">
        <v>18</v>
      </c>
      <c r="P15473" s="641" t="s">
        <v>192</v>
      </c>
    </row>
    <row r="15474" spans="1:18" ht="17.399999999999999">
      <c r="A15474" s="547" t="s">
        <v>395</v>
      </c>
      <c r="B15474" s="547" t="s">
        <v>1745</v>
      </c>
      <c r="C15474" s="547" t="s">
        <v>19</v>
      </c>
      <c r="D15474" s="813" t="s">
        <v>854</v>
      </c>
      <c r="E15474" s="547" t="s">
        <v>359</v>
      </c>
      <c r="F15474" s="549">
        <v>16</v>
      </c>
      <c r="G15474" s="549" t="s">
        <v>21</v>
      </c>
      <c r="H15474" s="549" t="s">
        <v>182</v>
      </c>
      <c r="I15474" s="647">
        <v>44.12</v>
      </c>
      <c r="J15474" s="567">
        <v>8.6</v>
      </c>
      <c r="K15474" s="648">
        <v>8</v>
      </c>
      <c r="L15474" s="552">
        <f>(I15474*J15474*K15474/1000)</f>
        <v>3.0354559999999995</v>
      </c>
      <c r="M15474" s="549"/>
      <c r="N15474" s="549"/>
      <c r="O15474" s="549"/>
      <c r="P15474" s="549"/>
      <c r="Q15474" s="497">
        <f>6+1</f>
        <v>7</v>
      </c>
      <c r="R15474" s="126">
        <f>J15474*Q15474*I15474/1000</f>
        <v>2.6560239999999995</v>
      </c>
    </row>
    <row r="15475" spans="1:18" ht="17.399999999999999">
      <c r="A15475" s="549"/>
      <c r="B15475" s="549" t="s">
        <v>1027</v>
      </c>
      <c r="C15475" s="549"/>
      <c r="D15475" s="549"/>
      <c r="E15475" s="549"/>
      <c r="F15475" s="549"/>
      <c r="G15475" s="549"/>
      <c r="H15475" s="549"/>
      <c r="I15475" s="647"/>
      <c r="J15475" s="567"/>
      <c r="K15475" s="648">
        <f>SUM(K15474)</f>
        <v>8</v>
      </c>
      <c r="L15475" s="567">
        <f>SUM(L15474)</f>
        <v>3.0354559999999995</v>
      </c>
      <c r="M15475" s="549"/>
      <c r="N15475" s="549"/>
      <c r="O15475" s="549"/>
      <c r="P15475" s="549" t="s">
        <v>1855</v>
      </c>
      <c r="Q15475" s="648">
        <f>SUM(Q15474)</f>
        <v>7</v>
      </c>
      <c r="R15475" s="567">
        <f>SUM(R15474)</f>
        <v>2.6560239999999995</v>
      </c>
    </row>
    <row r="15476" spans="1:18" ht="17.399999999999999">
      <c r="A15476" s="549"/>
      <c r="B15476" s="549"/>
      <c r="C15476" s="549"/>
      <c r="D15476" s="549"/>
      <c r="E15476" s="549"/>
      <c r="F15476" s="549"/>
      <c r="G15476" s="549"/>
      <c r="H15476" s="549"/>
      <c r="I15476" s="558"/>
      <c r="J15476" s="549"/>
      <c r="K15476" s="561"/>
      <c r="L15476" s="568"/>
      <c r="M15476" s="549"/>
      <c r="N15476" s="549"/>
      <c r="O15476" s="549"/>
      <c r="P15476" s="549"/>
    </row>
    <row r="15477" spans="1:18" ht="17.399999999999999">
      <c r="A15477" s="547" t="s">
        <v>395</v>
      </c>
      <c r="B15477" s="547" t="s">
        <v>1725</v>
      </c>
      <c r="C15477" s="547" t="s">
        <v>19</v>
      </c>
      <c r="D15477" s="813" t="s">
        <v>854</v>
      </c>
      <c r="E15477" s="547" t="s">
        <v>359</v>
      </c>
      <c r="F15477" s="549">
        <v>16</v>
      </c>
      <c r="G15477" s="549" t="s">
        <v>21</v>
      </c>
      <c r="H15477" s="549" t="s">
        <v>182</v>
      </c>
      <c r="I15477" s="647">
        <v>44.12</v>
      </c>
      <c r="J15477" s="567">
        <v>8.25</v>
      </c>
      <c r="K15477" s="648">
        <v>5</v>
      </c>
      <c r="L15477" s="552">
        <f>(I15477*J15477*K15477/1000)</f>
        <v>1.8199499999999997</v>
      </c>
      <c r="M15477" s="549">
        <v>5</v>
      </c>
      <c r="N15477" s="567">
        <f>J15477*M15477*I15477/1000</f>
        <v>1.8199499999999997</v>
      </c>
      <c r="O15477" s="549" t="s">
        <v>1853</v>
      </c>
      <c r="P15477" s="549"/>
    </row>
    <row r="15478" spans="1:18" ht="17.399999999999999">
      <c r="A15478" s="549"/>
      <c r="B15478" s="549" t="s">
        <v>1027</v>
      </c>
      <c r="C15478" s="549"/>
      <c r="D15478" s="549"/>
      <c r="E15478" s="549"/>
      <c r="F15478" s="549"/>
      <c r="G15478" s="549"/>
      <c r="H15478" s="549"/>
      <c r="I15478" s="647"/>
      <c r="J15478" s="567"/>
      <c r="K15478" s="648">
        <f t="shared" ref="K15478:M15478" si="3100">SUM(K15477)</f>
        <v>5</v>
      </c>
      <c r="L15478" s="567">
        <f t="shared" si="3100"/>
        <v>1.8199499999999997</v>
      </c>
      <c r="M15478" s="648">
        <f t="shared" si="3100"/>
        <v>5</v>
      </c>
      <c r="N15478" s="567">
        <f>SUM(N15477)</f>
        <v>1.8199499999999997</v>
      </c>
      <c r="O15478" s="599" t="s">
        <v>1914</v>
      </c>
      <c r="P15478" s="549"/>
    </row>
    <row r="15479" spans="1:18" ht="17.399999999999999">
      <c r="A15479" s="549"/>
      <c r="B15479" s="549"/>
      <c r="C15479" s="549"/>
      <c r="D15479" s="549"/>
      <c r="E15479" s="549"/>
      <c r="F15479" s="549"/>
      <c r="G15479" s="549"/>
      <c r="H15479" s="549"/>
      <c r="I15479" s="558"/>
      <c r="J15479" s="549"/>
      <c r="K15479" s="561"/>
      <c r="L15479" s="568"/>
      <c r="M15479" s="549"/>
      <c r="N15479" s="549"/>
      <c r="O15479" s="549"/>
      <c r="P15479" s="549"/>
    </row>
    <row r="15480" spans="1:18" ht="17.399999999999999">
      <c r="A15480" s="547" t="s">
        <v>541</v>
      </c>
      <c r="B15480" s="547" t="s">
        <v>1846</v>
      </c>
      <c r="C15480" s="547" t="s">
        <v>19</v>
      </c>
      <c r="D15480" s="813" t="s">
        <v>854</v>
      </c>
      <c r="E15480" s="650" t="s">
        <v>990</v>
      </c>
      <c r="F15480" s="549">
        <v>16</v>
      </c>
      <c r="G15480" s="549" t="s">
        <v>21</v>
      </c>
      <c r="H15480" s="549" t="s">
        <v>182</v>
      </c>
      <c r="I15480" s="647">
        <v>44.2</v>
      </c>
      <c r="J15480" s="567">
        <v>6.3</v>
      </c>
      <c r="K15480" s="648">
        <v>19</v>
      </c>
      <c r="L15480" s="552">
        <f t="shared" ref="L15480:L15483" si="3101">(I15480*J15480*K15480/1000)</f>
        <v>5.2907400000000004</v>
      </c>
      <c r="M15480" s="549">
        <v>4</v>
      </c>
      <c r="N15480" s="567">
        <f>J15480*M15480*I15480/1000</f>
        <v>1.1138400000000002</v>
      </c>
      <c r="O15480" s="549"/>
      <c r="P15480" s="549"/>
      <c r="Q15480" s="497">
        <f>6+6+2</f>
        <v>14</v>
      </c>
      <c r="R15480" s="126">
        <f>J15480*Q15480*I15480/1000</f>
        <v>3.8984400000000003</v>
      </c>
    </row>
    <row r="15481" spans="1:18" ht="17.399999999999999">
      <c r="A15481" s="547"/>
      <c r="B15481" s="549" t="s">
        <v>1845</v>
      </c>
      <c r="C15481" s="547"/>
      <c r="D15481" s="813"/>
      <c r="E15481" s="547"/>
      <c r="F15481" s="550"/>
      <c r="G15481" s="549" t="s">
        <v>21</v>
      </c>
      <c r="H15481" s="549" t="s">
        <v>182</v>
      </c>
      <c r="I15481" s="647">
        <v>44.2</v>
      </c>
      <c r="J15481" s="567">
        <v>7.4</v>
      </c>
      <c r="K15481" s="648">
        <v>32</v>
      </c>
      <c r="L15481" s="552">
        <f t="shared" si="3101"/>
        <v>10.466560000000001</v>
      </c>
      <c r="M15481" s="549">
        <v>1</v>
      </c>
      <c r="N15481" s="567">
        <f>J15481*M15481*I15481/1000</f>
        <v>0.32708000000000004</v>
      </c>
      <c r="O15481" s="549"/>
      <c r="P15481" s="549"/>
      <c r="Q15481" s="497">
        <f>6+6+6+6</f>
        <v>24</v>
      </c>
      <c r="R15481" s="126">
        <f t="shared" ref="R15481:R15483" si="3102">J15481*Q15481*I15481/1000</f>
        <v>7.8499200000000018</v>
      </c>
    </row>
    <row r="15482" spans="1:18" s="1737" customFormat="1" ht="17.399999999999999">
      <c r="A15482" s="547"/>
      <c r="B15482" s="549"/>
      <c r="C15482" s="547"/>
      <c r="D15482" s="813"/>
      <c r="E15482" s="547"/>
      <c r="F15482" s="550"/>
      <c r="G15482" s="549" t="s">
        <v>21</v>
      </c>
      <c r="H15482" s="549" t="s">
        <v>182</v>
      </c>
      <c r="I15482" s="647">
        <v>44.2</v>
      </c>
      <c r="J15482" s="567">
        <v>9.1</v>
      </c>
      <c r="K15482" s="648">
        <v>20</v>
      </c>
      <c r="L15482" s="552">
        <f t="shared" si="3101"/>
        <v>8.0444000000000013</v>
      </c>
      <c r="M15482" s="549"/>
      <c r="N15482" s="549"/>
      <c r="O15482" s="549"/>
      <c r="P15482" s="549"/>
      <c r="Q15482" s="1737">
        <f>6+6+7</f>
        <v>19</v>
      </c>
      <c r="R15482" s="126">
        <f t="shared" si="3102"/>
        <v>7.6421800000000006</v>
      </c>
    </row>
    <row r="15483" spans="1:18" ht="17.399999999999999">
      <c r="A15483" s="549"/>
      <c r="B15483" s="549"/>
      <c r="C15483" s="549"/>
      <c r="D15483" s="549"/>
      <c r="E15483" s="549"/>
      <c r="F15483" s="549"/>
      <c r="G15483" s="549" t="s">
        <v>21</v>
      </c>
      <c r="H15483" s="549" t="s">
        <v>182</v>
      </c>
      <c r="I15483" s="647">
        <v>44.2</v>
      </c>
      <c r="J15483" s="567">
        <v>10</v>
      </c>
      <c r="K15483" s="648">
        <v>8</v>
      </c>
      <c r="L15483" s="552">
        <f t="shared" si="3101"/>
        <v>3.536</v>
      </c>
      <c r="M15483" s="549"/>
      <c r="N15483" s="549"/>
      <c r="O15483" s="549"/>
      <c r="P15483" s="549"/>
      <c r="Q15483" s="497">
        <v>6</v>
      </c>
      <c r="R15483" s="126">
        <f t="shared" si="3102"/>
        <v>2.6520000000000001</v>
      </c>
    </row>
    <row r="15484" spans="1:18" ht="17.399999999999999">
      <c r="A15484" s="549"/>
      <c r="B15484" s="549"/>
      <c r="C15484" s="549"/>
      <c r="D15484" s="549"/>
      <c r="E15484" s="549"/>
      <c r="F15484" s="549"/>
      <c r="G15484" s="549"/>
      <c r="H15484" s="549"/>
      <c r="I15484" s="647"/>
      <c r="J15484" s="567"/>
      <c r="K15484" s="648">
        <f>SUM(K15480:K15483)</f>
        <v>79</v>
      </c>
      <c r="L15484" s="567">
        <f>SUM(L15480:L15483)</f>
        <v>27.337700000000005</v>
      </c>
      <c r="M15484" s="648">
        <f>SUM(M15480:M15483)</f>
        <v>5</v>
      </c>
      <c r="N15484" s="567">
        <f>SUM(N15480:N15483)</f>
        <v>1.4409200000000002</v>
      </c>
      <c r="O15484" s="549"/>
      <c r="P15484" s="549" t="s">
        <v>1856</v>
      </c>
      <c r="Q15484" s="648">
        <f>SUM(Q15480:Q15483)</f>
        <v>63</v>
      </c>
      <c r="R15484" s="567">
        <f>SUM(R15480:R15483)</f>
        <v>22.042540000000002</v>
      </c>
    </row>
    <row r="15485" spans="1:18" ht="17.399999999999999">
      <c r="A15485" s="549"/>
      <c r="B15485" s="549"/>
      <c r="C15485" s="549"/>
      <c r="D15485" s="549"/>
      <c r="E15485" s="549"/>
      <c r="F15485" s="549"/>
      <c r="G15485" s="549"/>
      <c r="H15485" s="549"/>
      <c r="I15485" s="558"/>
      <c r="J15485" s="549"/>
      <c r="K15485" s="652">
        <f>SUM(K15474:K15484)/2</f>
        <v>92</v>
      </c>
      <c r="L15485" s="565">
        <f>SUM(L15474:L15484)/2</f>
        <v>32.193106</v>
      </c>
      <c r="M15485" s="652">
        <f>SUM(M15474:M15484)/2</f>
        <v>10</v>
      </c>
      <c r="N15485" s="565">
        <f>SUM(N15474:N15484)/2</f>
        <v>3.2608699999999997</v>
      </c>
      <c r="O15485" s="549"/>
      <c r="P15485" s="549"/>
      <c r="Q15485" s="652">
        <f>SUM(Q15474:Q15484)/2</f>
        <v>70</v>
      </c>
      <c r="R15485" s="565">
        <f>SUM(R15474:R15484)/2</f>
        <v>24.698564000000005</v>
      </c>
    </row>
    <row r="15486" spans="1:18" s="1737" customFormat="1" ht="17.399999999999999">
      <c r="A15486" s="549"/>
      <c r="B15486" s="549"/>
      <c r="C15486" s="549"/>
      <c r="D15486" s="549"/>
      <c r="E15486" s="549"/>
      <c r="F15486" s="549"/>
      <c r="G15486" s="549"/>
      <c r="H15486" s="549"/>
      <c r="I15486" s="558"/>
      <c r="J15486" s="549"/>
      <c r="K15486" s="652"/>
      <c r="L15486" s="565"/>
      <c r="M15486" s="549"/>
      <c r="N15486" s="549"/>
      <c r="O15486" s="549"/>
      <c r="P15486" s="549"/>
    </row>
    <row r="15487" spans="1:18" s="1737" customFormat="1" ht="17.399999999999999">
      <c r="A15487" s="549"/>
      <c r="B15487" s="549"/>
      <c r="C15487" s="549"/>
      <c r="D15487" s="549"/>
      <c r="E15487" s="549"/>
      <c r="F15487" s="549"/>
      <c r="G15487" s="549"/>
      <c r="H15487" s="549"/>
      <c r="I15487" s="558"/>
      <c r="J15487" s="549"/>
      <c r="K15487" s="652"/>
      <c r="L15487" s="565"/>
      <c r="M15487" s="549"/>
      <c r="N15487" s="549"/>
      <c r="O15487" s="549"/>
      <c r="P15487" s="549"/>
    </row>
    <row r="15488" spans="1:18" ht="17.399999999999999">
      <c r="A15488" s="547" t="s">
        <v>395</v>
      </c>
      <c r="B15488" s="547" t="s">
        <v>1725</v>
      </c>
      <c r="C15488" s="547" t="s">
        <v>19</v>
      </c>
      <c r="D15488" s="813" t="s">
        <v>854</v>
      </c>
      <c r="E15488" s="547" t="s">
        <v>359</v>
      </c>
      <c r="F15488" s="549">
        <v>16</v>
      </c>
      <c r="G15488" s="549" t="s">
        <v>21</v>
      </c>
      <c r="H15488" s="549" t="s">
        <v>181</v>
      </c>
      <c r="I15488" s="647">
        <v>40.01</v>
      </c>
      <c r="J15488" s="567">
        <v>8.1</v>
      </c>
      <c r="K15488" s="648">
        <v>2</v>
      </c>
      <c r="L15488" s="552">
        <f>(I15488*J15488*K15488/1000)</f>
        <v>0.6481619999999999</v>
      </c>
      <c r="M15488" s="549">
        <v>2</v>
      </c>
      <c r="N15488" s="567">
        <f>J15488*M15488*I15488/1000</f>
        <v>0.6481619999999999</v>
      </c>
      <c r="O15488" s="549" t="s">
        <v>1853</v>
      </c>
      <c r="P15488" s="549"/>
    </row>
    <row r="15489" spans="1:16" ht="17.399999999999999">
      <c r="A15489" s="549"/>
      <c r="B15489" s="549" t="s">
        <v>1027</v>
      </c>
      <c r="C15489" s="549"/>
      <c r="D15489" s="549"/>
      <c r="E15489" s="549"/>
      <c r="F15489" s="549"/>
      <c r="G15489" s="549"/>
      <c r="H15489" s="549"/>
      <c r="I15489" s="647"/>
      <c r="J15489" s="567"/>
      <c r="K15489" s="648">
        <f t="shared" ref="K15489:M15489" si="3103">SUM(K15488)</f>
        <v>2</v>
      </c>
      <c r="L15489" s="765">
        <f t="shared" si="3103"/>
        <v>0.6481619999999999</v>
      </c>
      <c r="M15489" s="648">
        <f t="shared" si="3103"/>
        <v>2</v>
      </c>
      <c r="N15489" s="765">
        <f>SUM(N15488)</f>
        <v>0.6481619999999999</v>
      </c>
      <c r="O15489" s="549"/>
      <c r="P15489" s="549"/>
    </row>
    <row r="15490" spans="1:16" s="1737" customFormat="1" ht="17.399999999999999">
      <c r="A15490" s="549"/>
      <c r="B15490" s="549"/>
      <c r="C15490" s="549"/>
      <c r="D15490" s="549"/>
      <c r="E15490" s="549"/>
      <c r="F15490" s="549"/>
      <c r="G15490" s="549"/>
      <c r="H15490" s="549"/>
      <c r="I15490" s="647"/>
      <c r="J15490" s="567"/>
      <c r="K15490" s="648"/>
      <c r="L15490" s="765"/>
      <c r="M15490" s="549"/>
      <c r="N15490" s="549"/>
      <c r="O15490" s="549"/>
      <c r="P15490" s="549"/>
    </row>
    <row r="15491" spans="1:16" ht="17.399999999999999">
      <c r="A15491" s="547" t="s">
        <v>83</v>
      </c>
      <c r="B15491" s="547" t="s">
        <v>1783</v>
      </c>
      <c r="C15491" s="547" t="s">
        <v>19</v>
      </c>
      <c r="D15491" s="813" t="s">
        <v>854</v>
      </c>
      <c r="E15491" s="547" t="s">
        <v>359</v>
      </c>
      <c r="F15491" s="549">
        <v>16</v>
      </c>
      <c r="G15491" s="549" t="s">
        <v>21</v>
      </c>
      <c r="H15491" s="549" t="s">
        <v>181</v>
      </c>
      <c r="I15491" s="647">
        <v>40.1</v>
      </c>
      <c r="J15491" s="567">
        <v>8.1</v>
      </c>
      <c r="K15491" s="648">
        <v>5</v>
      </c>
      <c r="L15491" s="552">
        <f>(I15491*J15491*K15491/1000)</f>
        <v>1.62405</v>
      </c>
      <c r="M15491" s="549">
        <v>5</v>
      </c>
      <c r="N15491" s="567">
        <f>J15491*M15491*I15491/1000</f>
        <v>1.62405</v>
      </c>
      <c r="O15491" s="549"/>
      <c r="P15491" s="549"/>
    </row>
    <row r="15492" spans="1:16" ht="17.399999999999999">
      <c r="A15492" s="549"/>
      <c r="B15492" s="549" t="s">
        <v>1325</v>
      </c>
      <c r="C15492" s="549"/>
      <c r="D15492" s="549"/>
      <c r="E15492" s="549"/>
      <c r="F15492" s="549"/>
      <c r="G15492" s="549"/>
      <c r="H15492" s="549"/>
      <c r="I15492" s="647"/>
      <c r="J15492" s="567"/>
      <c r="K15492" s="648">
        <f>SUM(K15491)</f>
        <v>5</v>
      </c>
      <c r="L15492" s="567">
        <f>SUM(L15491)</f>
        <v>1.62405</v>
      </c>
      <c r="M15492" s="648">
        <f>SUM(M15491)</f>
        <v>5</v>
      </c>
      <c r="N15492" s="567">
        <f>SUM(N15491)</f>
        <v>1.62405</v>
      </c>
      <c r="O15492" s="549"/>
      <c r="P15492" s="549"/>
    </row>
    <row r="15493" spans="1:16" s="1737" customFormat="1" ht="17.399999999999999">
      <c r="A15493" s="549"/>
      <c r="B15493" s="549"/>
      <c r="C15493" s="549"/>
      <c r="D15493" s="549"/>
      <c r="E15493" s="549"/>
      <c r="F15493" s="549"/>
      <c r="G15493" s="549"/>
      <c r="H15493" s="549"/>
      <c r="I15493" s="647"/>
      <c r="J15493" s="567"/>
      <c r="K15493" s="648"/>
      <c r="L15493" s="567"/>
      <c r="M15493" s="549"/>
      <c r="N15493" s="549"/>
      <c r="O15493" s="549"/>
      <c r="P15493" s="549"/>
    </row>
    <row r="15494" spans="1:16" s="1737" customFormat="1" ht="17.399999999999999">
      <c r="A15494" s="547" t="s">
        <v>541</v>
      </c>
      <c r="B15494" s="547" t="s">
        <v>1846</v>
      </c>
      <c r="C15494" s="547" t="s">
        <v>19</v>
      </c>
      <c r="D15494" s="813" t="s">
        <v>854</v>
      </c>
      <c r="E15494" s="650" t="s">
        <v>990</v>
      </c>
      <c r="F15494" s="549">
        <v>16</v>
      </c>
      <c r="G15494" s="549" t="s">
        <v>21</v>
      </c>
      <c r="H15494" s="549" t="s">
        <v>181</v>
      </c>
      <c r="I15494" s="647">
        <v>40.1</v>
      </c>
      <c r="J15494" s="567">
        <v>7.5</v>
      </c>
      <c r="K15494" s="648">
        <v>18</v>
      </c>
      <c r="L15494" s="552">
        <f>(I15494*J15494*K15494/1000)</f>
        <v>5.4135</v>
      </c>
      <c r="M15494" s="549"/>
      <c r="N15494" s="567">
        <f>J15494*M15494*I15494/1000</f>
        <v>0</v>
      </c>
      <c r="O15494" s="549"/>
      <c r="P15494" s="549"/>
    </row>
    <row r="15495" spans="1:16" s="1737" customFormat="1" ht="17.399999999999999">
      <c r="A15495" s="547"/>
      <c r="B15495" s="549" t="s">
        <v>1845</v>
      </c>
      <c r="C15495" s="547"/>
      <c r="D15495" s="813"/>
      <c r="E15495" s="547"/>
      <c r="F15495" s="550"/>
      <c r="G15495" s="549" t="s">
        <v>21</v>
      </c>
      <c r="H15495" s="549" t="s">
        <v>181</v>
      </c>
      <c r="I15495" s="647">
        <v>40.1</v>
      </c>
      <c r="J15495" s="567">
        <v>8.8000000000000007</v>
      </c>
      <c r="K15495" s="648">
        <v>44</v>
      </c>
      <c r="L15495" s="552">
        <f>(I15495*J15495*K15495/1000)</f>
        <v>15.526720000000003</v>
      </c>
      <c r="M15495" s="549">
        <v>4</v>
      </c>
      <c r="N15495" s="567">
        <f>J15495*M15495*I15495/1000</f>
        <v>1.4115200000000001</v>
      </c>
      <c r="O15495" s="549"/>
      <c r="P15495" s="549"/>
    </row>
    <row r="15496" spans="1:16" s="1737" customFormat="1" ht="17.399999999999999">
      <c r="A15496" s="549"/>
      <c r="B15496" s="549"/>
      <c r="C15496" s="549"/>
      <c r="D15496" s="549"/>
      <c r="E15496" s="549"/>
      <c r="F15496" s="549"/>
      <c r="G15496" s="549"/>
      <c r="H15496" s="549"/>
      <c r="I15496" s="647"/>
      <c r="J15496" s="567"/>
      <c r="K15496" s="648">
        <f>SUM(K15494:K15495)</f>
        <v>62</v>
      </c>
      <c r="L15496" s="567">
        <f>SUM(L15494:L15495)</f>
        <v>20.940220000000004</v>
      </c>
      <c r="M15496" s="648">
        <f>SUM(M15494:M15495)</f>
        <v>4</v>
      </c>
      <c r="N15496" s="567">
        <f>SUM(N15494:N15495)</f>
        <v>1.4115200000000001</v>
      </c>
      <c r="O15496" s="549"/>
      <c r="P15496" s="549" t="s">
        <v>1857</v>
      </c>
    </row>
    <row r="15497" spans="1:16" s="1737" customFormat="1" ht="17.399999999999999">
      <c r="A15497" s="549"/>
      <c r="B15497" s="549"/>
      <c r="C15497" s="549"/>
      <c r="D15497" s="549"/>
      <c r="E15497" s="549"/>
      <c r="F15497" s="549"/>
      <c r="G15497" s="549"/>
      <c r="H15497" s="549"/>
      <c r="I15497" s="647"/>
      <c r="J15497" s="567"/>
      <c r="K15497" s="648">
        <f>SUM(K15488:K15496)/2</f>
        <v>69</v>
      </c>
      <c r="L15497" s="567">
        <f>SUM(L15488:L15496)/2</f>
        <v>23.212432000000003</v>
      </c>
      <c r="M15497" s="648">
        <f>SUM(M15488:M15496)/2</f>
        <v>11</v>
      </c>
      <c r="N15497" s="567">
        <f>SUM(N15488:N15496)/2</f>
        <v>3.683732</v>
      </c>
      <c r="O15497" s="549"/>
      <c r="P15497" s="549"/>
    </row>
    <row r="15498" spans="1:16" s="1737" customFormat="1" ht="17.399999999999999">
      <c r="A15498" s="549"/>
      <c r="B15498" s="549"/>
      <c r="C15498" s="549"/>
      <c r="D15498" s="549"/>
      <c r="E15498" s="549"/>
      <c r="F15498" s="549"/>
      <c r="G15498" s="549"/>
      <c r="H15498" s="549"/>
      <c r="I15498" s="647"/>
      <c r="J15498" s="567"/>
      <c r="K15498" s="648"/>
      <c r="L15498" s="567"/>
      <c r="M15498" s="549"/>
      <c r="N15498" s="549"/>
      <c r="O15498" s="549"/>
      <c r="P15498" s="549"/>
    </row>
    <row r="15499" spans="1:16" s="1737" customFormat="1" ht="17.399999999999999">
      <c r="A15499" s="549"/>
      <c r="B15499" s="549"/>
      <c r="C15499" s="549"/>
      <c r="D15499" s="549"/>
      <c r="E15499" s="549"/>
      <c r="F15499" s="549"/>
      <c r="G15499" s="549"/>
      <c r="H15499" s="549"/>
      <c r="I15499" s="647"/>
      <c r="J15499" s="567"/>
      <c r="K15499" s="648"/>
      <c r="L15499" s="567"/>
      <c r="M15499" s="549"/>
      <c r="N15499" s="549"/>
      <c r="O15499" s="549"/>
      <c r="P15499" s="549"/>
    </row>
    <row r="15500" spans="1:16" ht="17.399999999999999">
      <c r="A15500" s="547" t="s">
        <v>395</v>
      </c>
      <c r="B15500" s="547" t="s">
        <v>1745</v>
      </c>
      <c r="C15500" s="547" t="s">
        <v>19</v>
      </c>
      <c r="D15500" s="813" t="s">
        <v>854</v>
      </c>
      <c r="E15500" s="547" t="s">
        <v>359</v>
      </c>
      <c r="F15500" s="549">
        <v>16</v>
      </c>
      <c r="G15500" s="549" t="s">
        <v>21</v>
      </c>
      <c r="H15500" s="549" t="s">
        <v>180</v>
      </c>
      <c r="I15500" s="647">
        <v>35.840000000000003</v>
      </c>
      <c r="J15500" s="567">
        <v>7.05</v>
      </c>
      <c r="K15500" s="648">
        <v>2</v>
      </c>
      <c r="L15500" s="552">
        <f>(I15500*J15500*K15500/1000)</f>
        <v>0.50534400000000002</v>
      </c>
      <c r="M15500" s="549">
        <f>1+1</f>
        <v>2</v>
      </c>
      <c r="N15500" s="567">
        <f>J15500*M15500*I15500/1000</f>
        <v>0.50534400000000002</v>
      </c>
      <c r="O15500" s="549"/>
      <c r="P15500" s="549"/>
    </row>
    <row r="15501" spans="1:16" ht="17.399999999999999">
      <c r="A15501" s="549"/>
      <c r="B15501" s="549" t="s">
        <v>1027</v>
      </c>
      <c r="C15501" s="549"/>
      <c r="D15501" s="549"/>
      <c r="E15501" s="549"/>
      <c r="F15501" s="549"/>
      <c r="G15501" s="549"/>
      <c r="H15501" s="549"/>
      <c r="I15501" s="647"/>
      <c r="J15501" s="567"/>
      <c r="K15501" s="648">
        <f t="shared" ref="K15501:N15501" si="3104">SUM(K15500)</f>
        <v>2</v>
      </c>
      <c r="L15501" s="567">
        <f t="shared" si="3104"/>
        <v>0.50534400000000002</v>
      </c>
      <c r="M15501" s="648">
        <f t="shared" si="3104"/>
        <v>2</v>
      </c>
      <c r="N15501" s="567">
        <f t="shared" si="3104"/>
        <v>0.50534400000000002</v>
      </c>
      <c r="O15501" s="549"/>
      <c r="P15501" s="549"/>
    </row>
    <row r="15502" spans="1:16" s="1737" customFormat="1" ht="17.399999999999999">
      <c r="A15502" s="549"/>
      <c r="B15502" s="549"/>
      <c r="C15502" s="549"/>
      <c r="D15502" s="549"/>
      <c r="E15502" s="549"/>
      <c r="F15502" s="549"/>
      <c r="G15502" s="549"/>
      <c r="H15502" s="549"/>
      <c r="I15502" s="647"/>
      <c r="J15502" s="567"/>
      <c r="K15502" s="648"/>
      <c r="L15502" s="567"/>
      <c r="M15502" s="549"/>
      <c r="N15502" s="549"/>
      <c r="O15502" s="549"/>
      <c r="P15502" s="549"/>
    </row>
    <row r="15503" spans="1:16" ht="17.399999999999999">
      <c r="A15503" s="547" t="s">
        <v>395</v>
      </c>
      <c r="B15503" s="547" t="s">
        <v>1725</v>
      </c>
      <c r="C15503" s="547" t="s">
        <v>19</v>
      </c>
      <c r="D15503" s="813" t="s">
        <v>854</v>
      </c>
      <c r="E15503" s="547" t="s">
        <v>359</v>
      </c>
      <c r="F15503" s="549">
        <v>16</v>
      </c>
      <c r="G15503" s="549" t="s">
        <v>21</v>
      </c>
      <c r="H15503" s="549" t="s">
        <v>180</v>
      </c>
      <c r="I15503" s="647">
        <v>35.840000000000003</v>
      </c>
      <c r="J15503" s="567">
        <v>8</v>
      </c>
      <c r="K15503" s="648">
        <v>2</v>
      </c>
      <c r="L15503" s="552">
        <f>(I15503*J15503*K15503/1000)</f>
        <v>0.57344000000000006</v>
      </c>
      <c r="M15503" s="549">
        <v>2</v>
      </c>
      <c r="N15503" s="567">
        <f>J15503*M15503*I15503/1000</f>
        <v>0.57344000000000006</v>
      </c>
      <c r="O15503" s="549" t="s">
        <v>1853</v>
      </c>
      <c r="P15503" s="549"/>
    </row>
    <row r="15504" spans="1:16" ht="17.399999999999999">
      <c r="A15504" s="549"/>
      <c r="B15504" s="549" t="s">
        <v>1027</v>
      </c>
      <c r="C15504" s="549"/>
      <c r="D15504" s="549"/>
      <c r="E15504" s="549"/>
      <c r="F15504" s="549"/>
      <c r="G15504" s="549"/>
      <c r="H15504" s="549"/>
      <c r="I15504" s="647"/>
      <c r="J15504" s="567"/>
      <c r="K15504" s="648">
        <f t="shared" ref="K15504:M15504" si="3105">SUM(K15503)</f>
        <v>2</v>
      </c>
      <c r="L15504" s="567">
        <f>SUM(L15503)</f>
        <v>0.57344000000000006</v>
      </c>
      <c r="M15504" s="648">
        <f t="shared" si="3105"/>
        <v>2</v>
      </c>
      <c r="N15504" s="567">
        <f>SUM(N15503)</f>
        <v>0.57344000000000006</v>
      </c>
      <c r="O15504" s="599" t="s">
        <v>1914</v>
      </c>
      <c r="P15504" s="549"/>
    </row>
    <row r="15505" spans="1:20" s="1737" customFormat="1" ht="17.399999999999999">
      <c r="A15505" s="549"/>
      <c r="B15505" s="549"/>
      <c r="C15505" s="549"/>
      <c r="D15505" s="549"/>
      <c r="E15505" s="549"/>
      <c r="F15505" s="549"/>
      <c r="G15505" s="549"/>
      <c r="H15505" s="549"/>
      <c r="I15505" s="647"/>
      <c r="J15505" s="567"/>
      <c r="K15505" s="648"/>
      <c r="L15505" s="567"/>
      <c r="M15505" s="549"/>
      <c r="N15505" s="549"/>
      <c r="O15505" s="549"/>
      <c r="P15505" s="549"/>
    </row>
    <row r="15506" spans="1:20" ht="17.399999999999999">
      <c r="A15506" s="547" t="s">
        <v>395</v>
      </c>
      <c r="B15506" s="547" t="s">
        <v>1847</v>
      </c>
      <c r="C15506" s="547" t="s">
        <v>19</v>
      </c>
      <c r="D15506" s="813" t="s">
        <v>854</v>
      </c>
      <c r="E15506" s="547" t="s">
        <v>359</v>
      </c>
      <c r="F15506" s="549">
        <v>16</v>
      </c>
      <c r="G15506" s="549" t="s">
        <v>21</v>
      </c>
      <c r="H15506" s="549" t="s">
        <v>180</v>
      </c>
      <c r="I15506" s="647">
        <v>35.840000000000003</v>
      </c>
      <c r="J15506" s="567">
        <v>6</v>
      </c>
      <c r="K15506" s="648">
        <v>1</v>
      </c>
      <c r="L15506" s="552">
        <f>(I15506*J15506*K15506/1000)</f>
        <v>0.21504000000000001</v>
      </c>
      <c r="M15506" s="549">
        <v>1</v>
      </c>
      <c r="N15506" s="567">
        <f>J15506*M15506*I15506/1000</f>
        <v>0.21504000000000001</v>
      </c>
      <c r="O15506" s="549"/>
      <c r="P15506" s="549"/>
    </row>
    <row r="15507" spans="1:20" ht="17.399999999999999">
      <c r="A15507" s="549"/>
      <c r="B15507" s="549" t="s">
        <v>1027</v>
      </c>
      <c r="C15507" s="549"/>
      <c r="D15507" s="549"/>
      <c r="E15507" s="549"/>
      <c r="F15507" s="549"/>
      <c r="G15507" s="549"/>
      <c r="H15507" s="549"/>
      <c r="I15507" s="647"/>
      <c r="J15507" s="567"/>
      <c r="K15507" s="648">
        <f t="shared" ref="K15507:N15507" si="3106">SUM(K15506)</f>
        <v>1</v>
      </c>
      <c r="L15507" s="567">
        <f t="shared" si="3106"/>
        <v>0.21504000000000001</v>
      </c>
      <c r="M15507" s="648">
        <f t="shared" si="3106"/>
        <v>1</v>
      </c>
      <c r="N15507" s="567">
        <f t="shared" si="3106"/>
        <v>0.21504000000000001</v>
      </c>
      <c r="O15507" s="549"/>
      <c r="P15507" s="549"/>
    </row>
    <row r="15508" spans="1:20" ht="17.399999999999999">
      <c r="A15508" s="549"/>
      <c r="B15508" s="549"/>
      <c r="C15508" s="549"/>
      <c r="D15508" s="549"/>
      <c r="E15508" s="549"/>
      <c r="F15508" s="549"/>
      <c r="G15508" s="549"/>
      <c r="H15508" s="549"/>
      <c r="I15508" s="558"/>
      <c r="J15508" s="549"/>
      <c r="K15508" s="561"/>
      <c r="L15508" s="568"/>
      <c r="M15508" s="549"/>
      <c r="N15508" s="549"/>
      <c r="O15508" s="549"/>
      <c r="P15508" s="549"/>
    </row>
    <row r="15509" spans="1:20" ht="17.399999999999999">
      <c r="A15509" s="547" t="s">
        <v>541</v>
      </c>
      <c r="B15509" s="547" t="s">
        <v>1846</v>
      </c>
      <c r="C15509" s="547" t="s">
        <v>19</v>
      </c>
      <c r="D15509" s="813" t="s">
        <v>854</v>
      </c>
      <c r="E15509" s="650" t="s">
        <v>990</v>
      </c>
      <c r="F15509" s="549">
        <v>16</v>
      </c>
      <c r="G15509" s="549" t="s">
        <v>21</v>
      </c>
      <c r="H15509" s="549" t="s">
        <v>180</v>
      </c>
      <c r="I15509" s="647">
        <v>35.9</v>
      </c>
      <c r="J15509" s="567">
        <v>6.3</v>
      </c>
      <c r="K15509" s="648">
        <v>27</v>
      </c>
      <c r="L15509" s="552">
        <f>(I15509*J15509*K15509/1000)</f>
        <v>6.1065899999999989</v>
      </c>
      <c r="M15509" s="549">
        <f>6+1</f>
        <v>7</v>
      </c>
      <c r="N15509" s="567">
        <f>J15509*M15509*I15509/1000</f>
        <v>1.5831900000000001</v>
      </c>
      <c r="O15509" s="549"/>
      <c r="P15509" s="549"/>
    </row>
    <row r="15510" spans="1:20" ht="17.399999999999999">
      <c r="A15510" s="547"/>
      <c r="B15510" s="549" t="s">
        <v>1845</v>
      </c>
      <c r="C15510" s="547"/>
      <c r="D15510" s="813"/>
      <c r="E15510" s="547"/>
      <c r="F15510" s="550"/>
      <c r="G15510" s="549"/>
      <c r="H15510" s="549"/>
      <c r="I15510" s="647"/>
      <c r="J15510" s="567"/>
      <c r="K15510" s="648">
        <f>SUM(K15509)</f>
        <v>27</v>
      </c>
      <c r="L15510" s="567">
        <f>SUM(L15509)</f>
        <v>6.1065899999999989</v>
      </c>
      <c r="M15510" s="648">
        <f>SUM(M15509)</f>
        <v>7</v>
      </c>
      <c r="N15510" s="567">
        <f>SUM(N15509)</f>
        <v>1.5831900000000001</v>
      </c>
      <c r="O15510" s="549"/>
      <c r="P15510" s="549" t="s">
        <v>1858</v>
      </c>
    </row>
    <row r="15511" spans="1:20" s="1737" customFormat="1" ht="17.399999999999999">
      <c r="A15511" s="547"/>
      <c r="B15511" s="549"/>
      <c r="C15511" s="547"/>
      <c r="D15511" s="813"/>
      <c r="E15511" s="547"/>
      <c r="F15511" s="550"/>
      <c r="G15511" s="549"/>
      <c r="H15511" s="549"/>
      <c r="I15511" s="647"/>
      <c r="J15511" s="567"/>
      <c r="K15511" s="648">
        <f>SUM(K15500:K15510)/2</f>
        <v>32</v>
      </c>
      <c r="L15511" s="567">
        <f>SUM(L15500:L15510)/2</f>
        <v>7.4004139999999987</v>
      </c>
      <c r="M15511" s="648">
        <f>SUM(M15500:M15510)/2</f>
        <v>12</v>
      </c>
      <c r="N15511" s="567">
        <f>SUM(N15500:N15510)/2</f>
        <v>2.8770140000000004</v>
      </c>
      <c r="O15511" s="549"/>
      <c r="P15511" s="549"/>
    </row>
    <row r="15512" spans="1:20" s="1737" customFormat="1" ht="17.399999999999999">
      <c r="A15512" s="547"/>
      <c r="B15512" s="549"/>
      <c r="C15512" s="547"/>
      <c r="D15512" s="813"/>
      <c r="E15512" s="547"/>
      <c r="F15512" s="550"/>
      <c r="G15512" s="549"/>
      <c r="H15512" s="549"/>
      <c r="I15512" s="647"/>
      <c r="J15512" s="567"/>
      <c r="K15512" s="648"/>
      <c r="L15512" s="567"/>
      <c r="M15512" s="549"/>
      <c r="N15512" s="549"/>
      <c r="O15512" s="549"/>
      <c r="P15512" s="549"/>
    </row>
    <row r="15513" spans="1:20" s="1737" customFormat="1" ht="17.399999999999999">
      <c r="A15513" s="547"/>
      <c r="B15513" s="549"/>
      <c r="C15513" s="547"/>
      <c r="D15513" s="813"/>
      <c r="E15513" s="547"/>
      <c r="F15513" s="550"/>
      <c r="G15513" s="549"/>
      <c r="H15513" s="549"/>
      <c r="I15513" s="647"/>
      <c r="J15513" s="567"/>
      <c r="K15513" s="648"/>
      <c r="L15513" s="567"/>
      <c r="M15513" s="549"/>
      <c r="N15513" s="549"/>
      <c r="O15513" s="549"/>
      <c r="P15513" s="549"/>
    </row>
    <row r="15514" spans="1:20" ht="17.399999999999999">
      <c r="A15514" s="547" t="s">
        <v>83</v>
      </c>
      <c r="B15514" s="547" t="s">
        <v>1775</v>
      </c>
      <c r="C15514" s="547" t="s">
        <v>19</v>
      </c>
      <c r="D15514" s="813" t="s">
        <v>854</v>
      </c>
      <c r="E15514" s="832" t="s">
        <v>464</v>
      </c>
      <c r="F15514" s="549">
        <v>16</v>
      </c>
      <c r="G15514" s="549" t="s">
        <v>21</v>
      </c>
      <c r="H15514" s="549" t="s">
        <v>179</v>
      </c>
      <c r="I15514" s="647">
        <v>33.799999999999997</v>
      </c>
      <c r="J15514" s="567">
        <v>11.4</v>
      </c>
      <c r="K15514" s="648">
        <v>82</v>
      </c>
      <c r="L15514" s="552">
        <f>(I15514*J15514*K15514/1000)</f>
        <v>31.596239999999998</v>
      </c>
      <c r="M15514" s="549"/>
      <c r="N15514" s="549"/>
      <c r="O15514" s="549"/>
      <c r="P15514" s="549"/>
      <c r="Q15514" s="497">
        <f>6+6+6+6+6+6</f>
        <v>36</v>
      </c>
      <c r="R15514" s="126">
        <f>J15514*Q15514*I15514/1000</f>
        <v>13.87152</v>
      </c>
      <c r="S15514">
        <f>5+4</f>
        <v>9</v>
      </c>
      <c r="T15514" s="126">
        <f>J15514*S15514*I15514/1000</f>
        <v>3.4678800000000001</v>
      </c>
    </row>
    <row r="15515" spans="1:20" ht="17.399999999999999">
      <c r="A15515" s="547"/>
      <c r="B15515" s="549" t="s">
        <v>439</v>
      </c>
      <c r="C15515" s="547"/>
      <c r="D15515" s="813"/>
      <c r="E15515" s="547"/>
      <c r="F15515" s="550"/>
      <c r="G15515" s="549" t="s">
        <v>21</v>
      </c>
      <c r="H15515" s="549" t="s">
        <v>179</v>
      </c>
      <c r="I15515" s="647">
        <v>33.799999999999997</v>
      </c>
      <c r="J15515" s="567">
        <v>12</v>
      </c>
      <c r="K15515" s="648">
        <v>10</v>
      </c>
      <c r="L15515" s="552">
        <f>(I15515*J15515*K15515/1000)</f>
        <v>4.0559999999999992</v>
      </c>
      <c r="M15515" s="549"/>
      <c r="N15515" s="549"/>
      <c r="O15515" s="549"/>
      <c r="P15515" s="549"/>
      <c r="Q15515" s="497">
        <v>6</v>
      </c>
      <c r="R15515" s="126">
        <f>J15515*Q15515*I15515/1000</f>
        <v>2.4335999999999998</v>
      </c>
      <c r="S15515">
        <v>4</v>
      </c>
      <c r="T15515" s="126">
        <f>J15515*S15515*I15515/1000</f>
        <v>1.6223999999999998</v>
      </c>
    </row>
    <row r="15516" spans="1:20" ht="17.399999999999999">
      <c r="A15516" s="549"/>
      <c r="B15516" s="549"/>
      <c r="C15516" s="549"/>
      <c r="D15516" s="549"/>
      <c r="E15516" s="549"/>
      <c r="F15516" s="549"/>
      <c r="G15516" s="549"/>
      <c r="H15516" s="549"/>
      <c r="I15516" s="647"/>
      <c r="J15516" s="567"/>
      <c r="K15516" s="648">
        <f t="shared" ref="K15516" si="3107">SUM(K15514:K15515)</f>
        <v>92</v>
      </c>
      <c r="L15516" s="567">
        <f>SUM(L15514:L15515)</f>
        <v>35.652239999999999</v>
      </c>
      <c r="M15516" s="549"/>
      <c r="N15516" s="549"/>
      <c r="O15516" s="549"/>
      <c r="P15516" s="549" t="s">
        <v>1859</v>
      </c>
      <c r="Q15516" s="648">
        <f t="shared" ref="Q15516:S15516" si="3108">SUM(Q15514:Q15515)</f>
        <v>42</v>
      </c>
      <c r="R15516" s="567">
        <f>SUM(R15514:R15515)</f>
        <v>16.305119999999999</v>
      </c>
      <c r="S15516" s="648">
        <f t="shared" si="3108"/>
        <v>13</v>
      </c>
      <c r="T15516" s="567">
        <f>SUM(T15514:T15515)</f>
        <v>5.0902799999999999</v>
      </c>
    </row>
    <row r="15517" spans="1:20" ht="17.399999999999999">
      <c r="A15517" s="549"/>
      <c r="B15517" s="549"/>
      <c r="C15517" s="549"/>
      <c r="D15517" s="549"/>
      <c r="E15517" s="549"/>
      <c r="F15517" s="549"/>
      <c r="G15517" s="549"/>
      <c r="H15517" s="549"/>
      <c r="I15517" s="558"/>
      <c r="J15517" s="549"/>
      <c r="K15517" s="561"/>
      <c r="L15517" s="568"/>
      <c r="M15517" s="549"/>
      <c r="N15517" s="549"/>
      <c r="O15517" s="549"/>
      <c r="P15517" s="549"/>
    </row>
    <row r="15518" spans="1:20" ht="17.399999999999999">
      <c r="A15518" s="547" t="s">
        <v>541</v>
      </c>
      <c r="B15518" s="547" t="s">
        <v>1846</v>
      </c>
      <c r="C15518" s="547" t="s">
        <v>19</v>
      </c>
      <c r="D15518" s="813" t="s">
        <v>854</v>
      </c>
      <c r="E15518" s="650" t="s">
        <v>990</v>
      </c>
      <c r="F15518" s="549">
        <v>16</v>
      </c>
      <c r="G15518" s="549" t="s">
        <v>21</v>
      </c>
      <c r="H15518" s="549" t="s">
        <v>179</v>
      </c>
      <c r="I15518" s="647">
        <v>33.799999999999997</v>
      </c>
      <c r="J15518" s="567">
        <v>6.8</v>
      </c>
      <c r="K15518" s="648">
        <v>5</v>
      </c>
      <c r="L15518" s="552">
        <f t="shared" ref="L15518" si="3109">(I15518*J15518*K15518/1000)</f>
        <v>1.1491999999999998</v>
      </c>
      <c r="M15518" s="549"/>
      <c r="N15518" s="549"/>
      <c r="O15518" s="549"/>
      <c r="P15518" s="549"/>
      <c r="Q15518" s="432"/>
      <c r="S15518" s="432"/>
    </row>
    <row r="15519" spans="1:20" ht="17.399999999999999">
      <c r="A15519" s="547"/>
      <c r="B15519" s="549" t="s">
        <v>1845</v>
      </c>
      <c r="C15519" s="547"/>
      <c r="D15519" s="813"/>
      <c r="E15519" s="547"/>
      <c r="F15519" s="550"/>
      <c r="G15519" s="549" t="s">
        <v>21</v>
      </c>
      <c r="H15519" s="549" t="s">
        <v>179</v>
      </c>
      <c r="I15519" s="647">
        <v>33.799999999999997</v>
      </c>
      <c r="J15519" s="567">
        <v>6.8</v>
      </c>
      <c r="K15519" s="648">
        <v>36</v>
      </c>
      <c r="L15519" s="552">
        <f>(I15519*J15519*K15519/1000)</f>
        <v>8.2742399999999989</v>
      </c>
      <c r="M15519" s="549"/>
      <c r="N15519" s="549"/>
      <c r="O15519" s="549"/>
      <c r="P15519" s="549"/>
      <c r="Q15519" s="168">
        <f>6+3</f>
        <v>9</v>
      </c>
      <c r="R15519" s="126">
        <f>J15519*Q15519*I15519/1000</f>
        <v>2.0685599999999993</v>
      </c>
      <c r="S15519" s="168">
        <f>12+12</f>
        <v>24</v>
      </c>
      <c r="T15519" s="126">
        <f>J15519*S15519*I15519/1000</f>
        <v>5.5161599999999993</v>
      </c>
    </row>
    <row r="15520" spans="1:20" ht="17.399999999999999">
      <c r="A15520" s="549"/>
      <c r="B15520" s="549"/>
      <c r="C15520" s="549"/>
      <c r="D15520" s="549"/>
      <c r="E15520" s="549"/>
      <c r="F15520" s="549"/>
      <c r="G15520" s="549"/>
      <c r="H15520" s="549"/>
      <c r="I15520" s="647"/>
      <c r="J15520" s="567"/>
      <c r="K15520" s="648">
        <f>SUM(K15518:K15519)</f>
        <v>41</v>
      </c>
      <c r="L15520" s="567">
        <f>SUM(L15518:L15519)</f>
        <v>9.4234399999999994</v>
      </c>
      <c r="M15520" s="549"/>
      <c r="N15520" s="549"/>
      <c r="O15520" s="549"/>
      <c r="P15520" s="549" t="s">
        <v>1860</v>
      </c>
      <c r="Q15520" s="648">
        <f>SUM(Q15518:Q15519)</f>
        <v>9</v>
      </c>
      <c r="R15520" s="567">
        <f>SUM(R15518:R15519)</f>
        <v>2.0685599999999993</v>
      </c>
      <c r="S15520" s="648">
        <f>SUM(S15518:S15519)</f>
        <v>24</v>
      </c>
      <c r="T15520" s="567">
        <f>SUM(T15518:T15519)</f>
        <v>5.5161599999999993</v>
      </c>
    </row>
    <row r="15521" spans="1:19" ht="17.399999999999999">
      <c r="A15521" s="549"/>
      <c r="B15521" s="549"/>
      <c r="C15521" s="549"/>
      <c r="D15521" s="549"/>
      <c r="E15521" s="549"/>
      <c r="F15521" s="549"/>
      <c r="G15521" s="549"/>
      <c r="H15521" s="549"/>
      <c r="I15521" s="647"/>
      <c r="J15521" s="567"/>
      <c r="K15521" s="648"/>
      <c r="L15521" s="567"/>
      <c r="M15521" s="549"/>
      <c r="N15521" s="549"/>
      <c r="O15521" s="549"/>
      <c r="P15521" s="549"/>
      <c r="Q15521" s="432"/>
      <c r="S15521" s="432"/>
    </row>
    <row r="15522" spans="1:19" ht="17.399999999999999">
      <c r="A15522" s="547" t="s">
        <v>83</v>
      </c>
      <c r="B15522" s="547" t="s">
        <v>1851</v>
      </c>
      <c r="C15522" s="547" t="s">
        <v>19</v>
      </c>
      <c r="D15522" s="813" t="s">
        <v>854</v>
      </c>
      <c r="E15522" s="650" t="s">
        <v>990</v>
      </c>
      <c r="F15522" s="549">
        <v>16</v>
      </c>
      <c r="G15522" s="549" t="s">
        <v>21</v>
      </c>
      <c r="H15522" s="549" t="s">
        <v>179</v>
      </c>
      <c r="I15522" s="647">
        <v>33.799999999999997</v>
      </c>
      <c r="J15522" s="567">
        <v>12</v>
      </c>
      <c r="K15522" s="648">
        <v>1</v>
      </c>
      <c r="L15522" s="552">
        <f>(I15522*J15522*K15522/1000)</f>
        <v>0.40559999999999996</v>
      </c>
      <c r="M15522" s="549"/>
      <c r="N15522" s="549"/>
      <c r="O15522" s="549"/>
      <c r="P15522" s="549"/>
      <c r="Q15522" s="432"/>
      <c r="S15522" s="432"/>
    </row>
    <row r="15523" spans="1:19" ht="17.399999999999999">
      <c r="A15523" s="547"/>
      <c r="B15523" s="549" t="s">
        <v>1815</v>
      </c>
      <c r="C15523" s="547"/>
      <c r="D15523" s="813"/>
      <c r="E15523" s="547"/>
      <c r="F15523" s="550"/>
      <c r="G15523" s="549" t="s">
        <v>21</v>
      </c>
      <c r="H15523" s="549" t="s">
        <v>179</v>
      </c>
      <c r="I15523" s="647">
        <v>33.799999999999997</v>
      </c>
      <c r="J15523" s="567">
        <v>10</v>
      </c>
      <c r="K15523" s="648">
        <v>2</v>
      </c>
      <c r="L15523" s="552">
        <f>(I15523*J15523*K15523/1000)</f>
        <v>0.67600000000000005</v>
      </c>
      <c r="M15523" s="549"/>
      <c r="N15523" s="549"/>
      <c r="O15523" s="549"/>
      <c r="P15523" s="549"/>
    </row>
    <row r="15524" spans="1:19" ht="17.399999999999999">
      <c r="A15524" s="549"/>
      <c r="B15524" s="549"/>
      <c r="C15524" s="549"/>
      <c r="D15524" s="549"/>
      <c r="E15524" s="549"/>
      <c r="F15524" s="549"/>
      <c r="G15524" s="549"/>
      <c r="H15524" s="549"/>
      <c r="I15524" s="647"/>
      <c r="J15524" s="567"/>
      <c r="K15524" s="648">
        <f>SUM(K15522:K15523)</f>
        <v>3</v>
      </c>
      <c r="L15524" s="567">
        <f>SUM(L15522:L15523)</f>
        <v>1.0815999999999999</v>
      </c>
      <c r="M15524" s="549"/>
      <c r="N15524" s="549"/>
      <c r="O15524" s="549"/>
      <c r="P15524" s="549" t="s">
        <v>1860</v>
      </c>
    </row>
    <row r="15525" spans="1:19" s="1737" customFormat="1" ht="17.399999999999999">
      <c r="A15525" s="549"/>
      <c r="B15525" s="549"/>
      <c r="C15525" s="549"/>
      <c r="D15525" s="549"/>
      <c r="E15525" s="549"/>
      <c r="F15525" s="549"/>
      <c r="G15525" s="549"/>
      <c r="H15525" s="549"/>
      <c r="I15525" s="647"/>
      <c r="J15525" s="567"/>
      <c r="K15525" s="648">
        <f>SUM(K15514:K15524)/2</f>
        <v>136</v>
      </c>
      <c r="L15525" s="567">
        <f>SUM(L15514:L15524)/2</f>
        <v>46.157279999999993</v>
      </c>
      <c r="M15525" s="549"/>
      <c r="N15525" s="549"/>
      <c r="O15525" s="549"/>
      <c r="P15525" s="549"/>
      <c r="Q15525" s="648">
        <f>SUM(Q15514:Q15524)/2</f>
        <v>51</v>
      </c>
      <c r="R15525" s="567">
        <f>SUM(R15514:R15524)/2</f>
        <v>18.373679999999997</v>
      </c>
    </row>
    <row r="15526" spans="1:19" s="1737" customFormat="1" ht="17.399999999999999">
      <c r="A15526" s="549"/>
      <c r="B15526" s="549"/>
      <c r="C15526" s="549"/>
      <c r="D15526" s="549"/>
      <c r="E15526" s="549"/>
      <c r="F15526" s="549"/>
      <c r="G15526" s="549"/>
      <c r="H15526" s="549"/>
      <c r="I15526" s="647"/>
      <c r="J15526" s="567"/>
      <c r="K15526" s="648"/>
      <c r="L15526" s="567"/>
      <c r="M15526" s="549"/>
      <c r="N15526" s="549"/>
      <c r="O15526" s="549"/>
      <c r="P15526" s="549"/>
    </row>
    <row r="15527" spans="1:19" ht="17.399999999999999">
      <c r="A15527" s="549"/>
      <c r="B15527" s="549"/>
      <c r="C15527" s="549"/>
      <c r="D15527" s="549"/>
      <c r="E15527" s="549"/>
      <c r="F15527" s="549"/>
      <c r="G15527" s="549"/>
      <c r="H15527" s="549"/>
      <c r="I15527" s="558"/>
      <c r="J15527" s="549"/>
      <c r="K15527" s="561"/>
      <c r="L15527" s="568"/>
      <c r="M15527" s="549"/>
      <c r="N15527" s="549"/>
      <c r="O15527" s="549"/>
      <c r="P15527" s="549"/>
    </row>
    <row r="15528" spans="1:19" ht="17.399999999999999">
      <c r="A15528" s="547" t="s">
        <v>395</v>
      </c>
      <c r="B15528" s="547" t="s">
        <v>1725</v>
      </c>
      <c r="C15528" s="547" t="s">
        <v>19</v>
      </c>
      <c r="D15528" s="813" t="s">
        <v>854</v>
      </c>
      <c r="E15528" s="547" t="s">
        <v>359</v>
      </c>
      <c r="F15528" s="549">
        <v>16</v>
      </c>
      <c r="G15528" s="549" t="s">
        <v>21</v>
      </c>
      <c r="H15528" s="549" t="s">
        <v>178</v>
      </c>
      <c r="I15528" s="647">
        <v>31.6</v>
      </c>
      <c r="J15528" s="567">
        <v>8</v>
      </c>
      <c r="K15528" s="648">
        <v>10</v>
      </c>
      <c r="L15528" s="552">
        <f>(I15528*J15528*K15528/1000)</f>
        <v>2.528</v>
      </c>
      <c r="M15528" s="549">
        <v>10</v>
      </c>
      <c r="N15528" s="567">
        <f>J15528*M15528*I15528/1000</f>
        <v>2.528</v>
      </c>
      <c r="O15528" s="549" t="s">
        <v>1853</v>
      </c>
      <c r="P15528" s="549"/>
    </row>
    <row r="15529" spans="1:19" ht="17.399999999999999">
      <c r="A15529" s="549"/>
      <c r="B15529" s="549" t="s">
        <v>1027</v>
      </c>
      <c r="C15529" s="549"/>
      <c r="D15529" s="549"/>
      <c r="E15529" s="549"/>
      <c r="F15529" s="549"/>
      <c r="G15529" s="549"/>
      <c r="H15529" s="549"/>
      <c r="I15529" s="647"/>
      <c r="J15529" s="567"/>
      <c r="K15529" s="648">
        <f t="shared" ref="K15529:N15529" si="3110">SUM(K15528)</f>
        <v>10</v>
      </c>
      <c r="L15529" s="567">
        <f t="shared" si="3110"/>
        <v>2.528</v>
      </c>
      <c r="M15529" s="648">
        <f t="shared" si="3110"/>
        <v>10</v>
      </c>
      <c r="N15529" s="567">
        <f t="shared" si="3110"/>
        <v>2.528</v>
      </c>
      <c r="O15529" s="549"/>
      <c r="P15529" s="549"/>
    </row>
    <row r="15530" spans="1:19" s="1737" customFormat="1" ht="17.399999999999999">
      <c r="A15530" s="549"/>
      <c r="B15530" s="549"/>
      <c r="C15530" s="549"/>
      <c r="D15530" s="549"/>
      <c r="E15530" s="549"/>
      <c r="F15530" s="549"/>
      <c r="G15530" s="549"/>
      <c r="H15530" s="549"/>
      <c r="I15530" s="647"/>
      <c r="J15530" s="567"/>
      <c r="K15530" s="648"/>
      <c r="L15530" s="567"/>
      <c r="M15530" s="549"/>
      <c r="N15530" s="549"/>
      <c r="O15530" s="549"/>
      <c r="P15530" s="549"/>
    </row>
    <row r="15531" spans="1:19" ht="17.399999999999999">
      <c r="A15531" s="547" t="s">
        <v>83</v>
      </c>
      <c r="B15531" s="547" t="s">
        <v>1852</v>
      </c>
      <c r="C15531" s="547" t="s">
        <v>19</v>
      </c>
      <c r="D15531" s="813" t="s">
        <v>854</v>
      </c>
      <c r="E15531" s="650" t="s">
        <v>878</v>
      </c>
      <c r="F15531" s="549">
        <v>16</v>
      </c>
      <c r="G15531" s="549" t="s">
        <v>21</v>
      </c>
      <c r="H15531" s="549" t="s">
        <v>178</v>
      </c>
      <c r="I15531" s="647">
        <v>31.6</v>
      </c>
      <c r="J15531" s="567">
        <v>6</v>
      </c>
      <c r="K15531" s="648">
        <v>2</v>
      </c>
      <c r="L15531" s="552">
        <f>(I15531*J15531*K15531/1000)</f>
        <v>0.37920000000000004</v>
      </c>
      <c r="M15531" s="549">
        <v>2</v>
      </c>
      <c r="N15531" s="567">
        <f>J15531*M15531*I15531/1000</f>
        <v>0.37920000000000004</v>
      </c>
      <c r="O15531" s="549"/>
      <c r="P15531" s="549"/>
    </row>
    <row r="15532" spans="1:19" ht="17.399999999999999">
      <c r="A15532" s="547"/>
      <c r="B15532" s="549" t="s">
        <v>1135</v>
      </c>
      <c r="C15532" s="547"/>
      <c r="D15532" s="813"/>
      <c r="E15532" s="547"/>
      <c r="F15532" s="550"/>
      <c r="G15532" s="549"/>
      <c r="H15532" s="549"/>
      <c r="I15532" s="647"/>
      <c r="J15532" s="567"/>
      <c r="K15532" s="648">
        <f t="shared" ref="K15532:M15532" si="3111">SUM(K15531)</f>
        <v>2</v>
      </c>
      <c r="L15532" s="567">
        <f>SUM(L15531)</f>
        <v>0.37920000000000004</v>
      </c>
      <c r="M15532" s="648">
        <f t="shared" si="3111"/>
        <v>2</v>
      </c>
      <c r="N15532" s="567">
        <f>SUM(N15531)</f>
        <v>0.37920000000000004</v>
      </c>
      <c r="O15532" s="549"/>
      <c r="P15532" s="549"/>
    </row>
    <row r="15533" spans="1:19" ht="17.399999999999999">
      <c r="A15533" s="549"/>
      <c r="B15533" s="549"/>
      <c r="C15533" s="549"/>
      <c r="D15533" s="549"/>
      <c r="E15533" s="549"/>
      <c r="F15533" s="549"/>
      <c r="G15533" s="549"/>
      <c r="H15533" s="549"/>
      <c r="I15533" s="558"/>
      <c r="J15533" s="549"/>
      <c r="K15533" s="561"/>
      <c r="L15533" s="568"/>
      <c r="M15533" s="549"/>
      <c r="N15533" s="549"/>
      <c r="O15533" s="549"/>
      <c r="P15533" s="549"/>
    </row>
    <row r="15534" spans="1:19" ht="17.399999999999999">
      <c r="A15534" s="547" t="s">
        <v>83</v>
      </c>
      <c r="B15534" s="547" t="s">
        <v>1775</v>
      </c>
      <c r="C15534" s="547" t="s">
        <v>19</v>
      </c>
      <c r="D15534" s="813" t="s">
        <v>854</v>
      </c>
      <c r="E15534" s="832" t="s">
        <v>464</v>
      </c>
      <c r="F15534" s="549">
        <v>16</v>
      </c>
      <c r="G15534" s="549" t="s">
        <v>21</v>
      </c>
      <c r="H15534" s="549" t="s">
        <v>178</v>
      </c>
      <c r="I15534" s="647">
        <v>31.6</v>
      </c>
      <c r="J15534" s="567">
        <v>9.6999999999999993</v>
      </c>
      <c r="K15534" s="648">
        <v>6</v>
      </c>
      <c r="L15534" s="552">
        <f>(I15534*J15534*K15534/1000)</f>
        <v>1.8391199999999999</v>
      </c>
      <c r="M15534" s="549"/>
      <c r="N15534" s="549"/>
      <c r="O15534" s="549"/>
      <c r="P15534" s="549"/>
      <c r="Q15534" s="497">
        <v>3</v>
      </c>
      <c r="R15534" s="126">
        <f t="shared" ref="R15534:R15536" si="3112">J15534*Q15534*I15534/1000</f>
        <v>0.91955999999999993</v>
      </c>
    </row>
    <row r="15535" spans="1:19" ht="17.399999999999999">
      <c r="A15535" s="547"/>
      <c r="B15535" s="549" t="s">
        <v>439</v>
      </c>
      <c r="C15535" s="547"/>
      <c r="D15535" s="813"/>
      <c r="E15535" s="547"/>
      <c r="F15535" s="550"/>
      <c r="G15535" s="549" t="s">
        <v>21</v>
      </c>
      <c r="H15535" s="549" t="s">
        <v>178</v>
      </c>
      <c r="I15535" s="647">
        <v>31.6</v>
      </c>
      <c r="J15535" s="567">
        <v>10.3</v>
      </c>
      <c r="K15535" s="648">
        <v>8</v>
      </c>
      <c r="L15535" s="552">
        <f>(I15535*J15535*K15535/1000)</f>
        <v>2.6038399999999999</v>
      </c>
      <c r="M15535" s="549"/>
      <c r="N15535" s="549"/>
      <c r="O15535" s="549"/>
      <c r="P15535" s="549"/>
      <c r="Q15535" s="497">
        <v>5</v>
      </c>
      <c r="R15535" s="126">
        <f t="shared" si="3112"/>
        <v>1.6274000000000002</v>
      </c>
    </row>
    <row r="15536" spans="1:19" ht="17.399999999999999">
      <c r="A15536" s="549"/>
      <c r="B15536" s="549"/>
      <c r="C15536" s="549"/>
      <c r="D15536" s="549"/>
      <c r="E15536" s="549"/>
      <c r="F15536" s="549"/>
      <c r="G15536" s="549" t="s">
        <v>21</v>
      </c>
      <c r="H15536" s="549" t="s">
        <v>178</v>
      </c>
      <c r="I15536" s="647">
        <v>31.6</v>
      </c>
      <c r="J15536" s="567">
        <v>11.6</v>
      </c>
      <c r="K15536" s="648">
        <v>12</v>
      </c>
      <c r="L15536" s="552">
        <f>(I15536*J15536*K15536/1000)</f>
        <v>4.39872</v>
      </c>
      <c r="M15536" s="549"/>
      <c r="N15536" s="549"/>
      <c r="O15536" s="549"/>
      <c r="P15536" s="549"/>
      <c r="Q15536" s="497">
        <v>6</v>
      </c>
      <c r="R15536" s="126">
        <f t="shared" si="3112"/>
        <v>2.19936</v>
      </c>
    </row>
    <row r="15537" spans="1:18" ht="17.399999999999999">
      <c r="A15537" s="549"/>
      <c r="B15537" s="549"/>
      <c r="C15537" s="549"/>
      <c r="D15537" s="549"/>
      <c r="E15537" s="549"/>
      <c r="F15537" s="549"/>
      <c r="G15537" s="549"/>
      <c r="H15537" s="549"/>
      <c r="I15537" s="647"/>
      <c r="J15537" s="567"/>
      <c r="K15537" s="648">
        <f t="shared" ref="K15537:N15537" si="3113">SUM(K15534:K15536)</f>
        <v>26</v>
      </c>
      <c r="L15537" s="567">
        <f t="shared" si="3113"/>
        <v>8.8416800000000002</v>
      </c>
      <c r="M15537" s="648">
        <f t="shared" si="3113"/>
        <v>0</v>
      </c>
      <c r="N15537" s="567">
        <f t="shared" si="3113"/>
        <v>0</v>
      </c>
      <c r="O15537" s="549"/>
      <c r="P15537" s="549" t="s">
        <v>1861</v>
      </c>
      <c r="Q15537" s="648">
        <f t="shared" ref="Q15537:R15537" si="3114">SUM(Q15534:Q15536)</f>
        <v>14</v>
      </c>
      <c r="R15537" s="567">
        <f t="shared" si="3114"/>
        <v>4.7463200000000008</v>
      </c>
    </row>
    <row r="15538" spans="1:18" s="1737" customFormat="1" ht="17.399999999999999">
      <c r="A15538" s="549"/>
      <c r="B15538" s="549"/>
      <c r="C15538" s="549"/>
      <c r="D15538" s="549"/>
      <c r="E15538" s="549"/>
      <c r="F15538" s="549"/>
      <c r="G15538" s="549"/>
      <c r="H15538" s="549"/>
      <c r="I15538" s="647"/>
      <c r="J15538" s="567"/>
      <c r="K15538" s="648"/>
      <c r="L15538" s="567"/>
      <c r="M15538" s="549"/>
      <c r="N15538" s="549"/>
      <c r="O15538" s="549"/>
      <c r="P15538" s="549"/>
    </row>
    <row r="15539" spans="1:18" ht="17.399999999999999">
      <c r="A15539" s="547" t="s">
        <v>541</v>
      </c>
      <c r="B15539" s="547" t="s">
        <v>1846</v>
      </c>
      <c r="C15539" s="547" t="s">
        <v>19</v>
      </c>
      <c r="D15539" s="813" t="s">
        <v>854</v>
      </c>
      <c r="E15539" s="650" t="s">
        <v>990</v>
      </c>
      <c r="F15539" s="549">
        <v>16</v>
      </c>
      <c r="G15539" s="549" t="s">
        <v>21</v>
      </c>
      <c r="H15539" s="549" t="s">
        <v>178</v>
      </c>
      <c r="I15539" s="647">
        <v>31.6</v>
      </c>
      <c r="J15539" s="567">
        <v>11.8</v>
      </c>
      <c r="K15539" s="648">
        <v>17</v>
      </c>
      <c r="L15539" s="552">
        <f t="shared" ref="L15539:L15540" si="3115">(I15539*J15539*K15539/1000)</f>
        <v>6.338960000000001</v>
      </c>
      <c r="M15539" s="549"/>
      <c r="N15539" s="567">
        <f>J15539*M15539*I15539/1000</f>
        <v>0</v>
      </c>
      <c r="O15539" s="549"/>
      <c r="P15539" s="549"/>
      <c r="Q15539" s="497">
        <v>3</v>
      </c>
      <c r="R15539" s="126">
        <f>J15539*Q15539*I15539/1000</f>
        <v>1.1186400000000003</v>
      </c>
    </row>
    <row r="15540" spans="1:18" ht="17.399999999999999">
      <c r="A15540" s="547"/>
      <c r="B15540" s="549" t="s">
        <v>1845</v>
      </c>
      <c r="C15540" s="547"/>
      <c r="D15540" s="813"/>
      <c r="E15540" s="547"/>
      <c r="F15540" s="550"/>
      <c r="G15540" s="549" t="s">
        <v>21</v>
      </c>
      <c r="H15540" s="549" t="s">
        <v>178</v>
      </c>
      <c r="I15540" s="647">
        <v>31.6</v>
      </c>
      <c r="J15540" s="567">
        <v>7.2</v>
      </c>
      <c r="K15540" s="648">
        <v>36</v>
      </c>
      <c r="L15540" s="552">
        <f t="shared" si="3115"/>
        <v>8.1907200000000007</v>
      </c>
      <c r="M15540" s="549">
        <f>4+1+4+2+2</f>
        <v>13</v>
      </c>
      <c r="N15540" s="567">
        <f>J15540*M15540*I15540/1000</f>
        <v>2.9577600000000004</v>
      </c>
      <c r="O15540" s="549"/>
      <c r="P15540" s="549"/>
      <c r="Q15540" s="497">
        <f>7+4</f>
        <v>11</v>
      </c>
      <c r="R15540" s="126">
        <f>J15540*Q15540*I15540/1000</f>
        <v>2.5027200000000001</v>
      </c>
    </row>
    <row r="15541" spans="1:18" ht="17.399999999999999">
      <c r="A15541" s="549"/>
      <c r="B15541" s="549"/>
      <c r="C15541" s="549"/>
      <c r="D15541" s="549"/>
      <c r="E15541" s="549"/>
      <c r="F15541" s="549"/>
      <c r="G15541" s="549"/>
      <c r="H15541" s="549"/>
      <c r="I15541" s="647"/>
      <c r="J15541" s="567"/>
      <c r="K15541" s="648">
        <f>SUM(K15539:K15540)</f>
        <v>53</v>
      </c>
      <c r="L15541" s="567">
        <f>SUM(L15539:L15540)</f>
        <v>14.529680000000003</v>
      </c>
      <c r="M15541" s="648">
        <f>SUM(M15539:M15540)</f>
        <v>13</v>
      </c>
      <c r="N15541" s="567">
        <f>SUM(N15539:N15540)</f>
        <v>2.9577600000000004</v>
      </c>
      <c r="O15541" s="549"/>
      <c r="P15541" s="549" t="s">
        <v>1862</v>
      </c>
      <c r="Q15541" s="648">
        <f>SUM(Q15539:Q15540)</f>
        <v>14</v>
      </c>
      <c r="R15541" s="567">
        <f>SUM(R15539:R15540)</f>
        <v>3.6213600000000001</v>
      </c>
    </row>
    <row r="15542" spans="1:18" s="1737" customFormat="1" ht="17.399999999999999">
      <c r="A15542" s="549"/>
      <c r="B15542" s="549"/>
      <c r="C15542" s="549"/>
      <c r="D15542" s="549"/>
      <c r="E15542" s="549"/>
      <c r="F15542" s="549"/>
      <c r="G15542" s="549"/>
      <c r="H15542" s="549"/>
      <c r="I15542" s="647"/>
      <c r="J15542" s="567"/>
      <c r="K15542" s="648">
        <f>SUM(K15528:K15541)/2</f>
        <v>91</v>
      </c>
      <c r="L15542" s="567">
        <f>SUM(L15528:L15541)/2</f>
        <v>26.278559999999999</v>
      </c>
      <c r="M15542" s="648">
        <f>SUM(M15528:M15541)/2</f>
        <v>25</v>
      </c>
      <c r="N15542" s="567">
        <f>SUM(N15528:N15541)/2</f>
        <v>5.86496</v>
      </c>
      <c r="O15542" s="549"/>
      <c r="P15542" s="549"/>
      <c r="Q15542" s="648">
        <f>SUM(Q15528:Q15541)/2</f>
        <v>28</v>
      </c>
      <c r="R15542" s="567">
        <f>SUM(R15528:R15541)/2</f>
        <v>8.3676800000000018</v>
      </c>
    </row>
    <row r="15543" spans="1:18" s="1737" customFormat="1" ht="17.399999999999999">
      <c r="A15543" s="549"/>
      <c r="B15543" s="549"/>
      <c r="C15543" s="549"/>
      <c r="D15543" s="549"/>
      <c r="E15543" s="549"/>
      <c r="F15543" s="549"/>
      <c r="G15543" s="549"/>
      <c r="H15543" s="549"/>
      <c r="I15543" s="647"/>
      <c r="J15543" s="567"/>
      <c r="K15543" s="648"/>
      <c r="L15543" s="567"/>
      <c r="M15543" s="549"/>
      <c r="N15543" s="549"/>
      <c r="O15543" s="549"/>
      <c r="P15543" s="549"/>
    </row>
    <row r="15544" spans="1:18" ht="17.399999999999999">
      <c r="A15544" s="549"/>
      <c r="B15544" s="549"/>
      <c r="C15544" s="549"/>
      <c r="D15544" s="549"/>
      <c r="E15544" s="549"/>
      <c r="F15544" s="549"/>
      <c r="G15544" s="549"/>
      <c r="H15544" s="549"/>
      <c r="I15544" s="647"/>
      <c r="J15544" s="567"/>
      <c r="K15544" s="648"/>
      <c r="L15544" s="567"/>
      <c r="M15544" s="549"/>
      <c r="N15544" s="549"/>
      <c r="O15544" s="549"/>
      <c r="P15544" s="549"/>
    </row>
    <row r="15545" spans="1:18" ht="17.399999999999999">
      <c r="A15545" s="547" t="s">
        <v>395</v>
      </c>
      <c r="B15545" s="547" t="s">
        <v>1725</v>
      </c>
      <c r="C15545" s="547" t="s">
        <v>19</v>
      </c>
      <c r="D15545" s="813" t="s">
        <v>854</v>
      </c>
      <c r="E15545" s="547" t="s">
        <v>359</v>
      </c>
      <c r="F15545" s="549">
        <v>16</v>
      </c>
      <c r="G15545" s="549" t="s">
        <v>21</v>
      </c>
      <c r="H15545" s="549" t="s">
        <v>177</v>
      </c>
      <c r="I15545" s="647">
        <v>27.29</v>
      </c>
      <c r="J15545" s="567">
        <v>8.1999999999999993</v>
      </c>
      <c r="K15545" s="648">
        <v>7</v>
      </c>
      <c r="L15545" s="552">
        <f>(I15545*J15545*K15545/1000)</f>
        <v>1.5664459999999998</v>
      </c>
      <c r="M15545" s="549"/>
      <c r="N15545" s="549"/>
      <c r="O15545" s="549"/>
      <c r="P15545" s="549"/>
    </row>
    <row r="15546" spans="1:18" ht="17.399999999999999">
      <c r="A15546" s="549"/>
      <c r="B15546" s="549" t="s">
        <v>1027</v>
      </c>
      <c r="C15546" s="549"/>
      <c r="D15546" s="549"/>
      <c r="E15546" s="549"/>
      <c r="F15546" s="549"/>
      <c r="G15546" s="549"/>
      <c r="H15546" s="549"/>
      <c r="I15546" s="647"/>
      <c r="J15546" s="567"/>
      <c r="K15546" s="648">
        <f t="shared" ref="K15546:L15546" si="3116">SUM(K15545)</f>
        <v>7</v>
      </c>
      <c r="L15546" s="567">
        <f t="shared" si="3116"/>
        <v>1.5664459999999998</v>
      </c>
      <c r="M15546" s="549"/>
      <c r="N15546" s="549"/>
      <c r="O15546" s="549"/>
      <c r="P15546" s="549" t="s">
        <v>1863</v>
      </c>
    </row>
    <row r="15547" spans="1:18" s="1737" customFormat="1" ht="17.399999999999999">
      <c r="A15547" s="549"/>
      <c r="B15547" s="549"/>
      <c r="C15547" s="549"/>
      <c r="D15547" s="549"/>
      <c r="E15547" s="549"/>
      <c r="F15547" s="549"/>
      <c r="G15547" s="549"/>
      <c r="H15547" s="549"/>
      <c r="I15547" s="647"/>
      <c r="J15547" s="567"/>
      <c r="K15547" s="648"/>
      <c r="L15547" s="567"/>
      <c r="M15547" s="549"/>
      <c r="N15547" s="549"/>
      <c r="O15547" s="549"/>
      <c r="P15547" s="549"/>
    </row>
    <row r="15548" spans="1:18" ht="17.399999999999999">
      <c r="A15548" s="547" t="s">
        <v>395</v>
      </c>
      <c r="B15548" s="547" t="s">
        <v>1847</v>
      </c>
      <c r="C15548" s="547" t="s">
        <v>19</v>
      </c>
      <c r="D15548" s="813" t="s">
        <v>854</v>
      </c>
      <c r="E15548" s="547" t="s">
        <v>359</v>
      </c>
      <c r="F15548" s="549">
        <v>16</v>
      </c>
      <c r="G15548" s="549" t="s">
        <v>21</v>
      </c>
      <c r="H15548" s="549" t="s">
        <v>177</v>
      </c>
      <c r="I15548" s="647">
        <v>27.29</v>
      </c>
      <c r="J15548" s="567">
        <v>6</v>
      </c>
      <c r="K15548" s="648">
        <v>1</v>
      </c>
      <c r="L15548" s="552">
        <f>(I15548*J15548*K15548/1000)</f>
        <v>0.16374</v>
      </c>
      <c r="M15548" s="549">
        <v>1</v>
      </c>
      <c r="N15548" s="567">
        <f>J15548*M15548*I15548/1000</f>
        <v>0.16374</v>
      </c>
      <c r="O15548" s="549"/>
      <c r="P15548" s="549"/>
    </row>
    <row r="15549" spans="1:18" ht="17.399999999999999">
      <c r="A15549" s="549"/>
      <c r="B15549" s="549" t="s">
        <v>1027</v>
      </c>
      <c r="C15549" s="549"/>
      <c r="D15549" s="549"/>
      <c r="E15549" s="549"/>
      <c r="F15549" s="549"/>
      <c r="G15549" s="549"/>
      <c r="H15549" s="549"/>
      <c r="I15549" s="647"/>
      <c r="J15549" s="567"/>
      <c r="K15549" s="648">
        <f t="shared" ref="K15549:N15549" si="3117">SUM(K15548)</f>
        <v>1</v>
      </c>
      <c r="L15549" s="567">
        <f t="shared" si="3117"/>
        <v>0.16374</v>
      </c>
      <c r="M15549" s="648">
        <f t="shared" si="3117"/>
        <v>1</v>
      </c>
      <c r="N15549" s="567">
        <f t="shared" si="3117"/>
        <v>0.16374</v>
      </c>
      <c r="O15549" s="549"/>
      <c r="P15549" s="549"/>
    </row>
    <row r="15550" spans="1:18" s="1737" customFormat="1" ht="17.399999999999999">
      <c r="A15550" s="549"/>
      <c r="B15550" s="549"/>
      <c r="C15550" s="549"/>
      <c r="D15550" s="549"/>
      <c r="E15550" s="549"/>
      <c r="F15550" s="549"/>
      <c r="G15550" s="549"/>
      <c r="H15550" s="549"/>
      <c r="I15550" s="647"/>
      <c r="J15550" s="567"/>
      <c r="K15550" s="648"/>
      <c r="L15550" s="567"/>
      <c r="M15550" s="549"/>
      <c r="N15550" s="549"/>
      <c r="O15550" s="549"/>
      <c r="P15550" s="549"/>
    </row>
    <row r="15551" spans="1:18" ht="17.399999999999999">
      <c r="A15551" s="547" t="s">
        <v>83</v>
      </c>
      <c r="B15551" s="547" t="s">
        <v>1783</v>
      </c>
      <c r="C15551" s="547" t="s">
        <v>19</v>
      </c>
      <c r="D15551" s="813" t="s">
        <v>854</v>
      </c>
      <c r="E15551" s="547" t="s">
        <v>359</v>
      </c>
      <c r="F15551" s="549">
        <v>16</v>
      </c>
      <c r="G15551" s="549" t="s">
        <v>21</v>
      </c>
      <c r="H15551" s="549" t="s">
        <v>177</v>
      </c>
      <c r="I15551" s="647">
        <v>27.3</v>
      </c>
      <c r="J15551" s="567">
        <v>6.7</v>
      </c>
      <c r="K15551" s="648">
        <v>3</v>
      </c>
      <c r="L15551" s="552">
        <f>(I15551*J15551*K15551/1000)</f>
        <v>0.54873000000000005</v>
      </c>
      <c r="M15551" s="549"/>
      <c r="N15551" s="549"/>
      <c r="O15551" s="549"/>
      <c r="P15551" s="549"/>
    </row>
    <row r="15552" spans="1:18" ht="17.399999999999999">
      <c r="A15552" s="549"/>
      <c r="B15552" s="549" t="s">
        <v>1325</v>
      </c>
      <c r="C15552" s="549"/>
      <c r="D15552" s="549"/>
      <c r="E15552" s="549"/>
      <c r="F15552" s="549"/>
      <c r="G15552" s="549"/>
      <c r="H15552" s="549"/>
      <c r="I15552" s="647"/>
      <c r="J15552" s="567"/>
      <c r="K15552" s="648">
        <f>SUM(K15551)</f>
        <v>3</v>
      </c>
      <c r="L15552" s="567">
        <f>SUM(L15551)</f>
        <v>0.54873000000000005</v>
      </c>
      <c r="M15552" s="549"/>
      <c r="N15552" s="549"/>
      <c r="O15552" s="549"/>
      <c r="P15552" s="549" t="s">
        <v>1863</v>
      </c>
    </row>
    <row r="15553" spans="1:16" s="1737" customFormat="1" ht="17.399999999999999">
      <c r="A15553" s="549"/>
      <c r="B15553" s="549"/>
      <c r="C15553" s="549"/>
      <c r="D15553" s="549"/>
      <c r="E15553" s="549"/>
      <c r="F15553" s="549"/>
      <c r="G15553" s="549"/>
      <c r="H15553" s="549"/>
      <c r="I15553" s="647"/>
      <c r="J15553" s="567"/>
      <c r="K15553" s="648"/>
      <c r="L15553" s="567"/>
      <c r="M15553" s="549"/>
      <c r="N15553" s="549"/>
      <c r="O15553" s="549"/>
      <c r="P15553" s="549"/>
    </row>
    <row r="15554" spans="1:16" ht="17.399999999999999">
      <c r="A15554" s="547" t="s">
        <v>83</v>
      </c>
      <c r="B15554" s="547" t="s">
        <v>1852</v>
      </c>
      <c r="C15554" s="547" t="s">
        <v>19</v>
      </c>
      <c r="D15554" s="813" t="s">
        <v>854</v>
      </c>
      <c r="E15554" s="650" t="s">
        <v>878</v>
      </c>
      <c r="F15554" s="549">
        <v>16</v>
      </c>
      <c r="G15554" s="549" t="s">
        <v>21</v>
      </c>
      <c r="H15554" s="549" t="s">
        <v>177</v>
      </c>
      <c r="I15554" s="647">
        <v>27.3</v>
      </c>
      <c r="J15554" s="567">
        <v>6</v>
      </c>
      <c r="K15554" s="648">
        <v>1</v>
      </c>
      <c r="L15554" s="552">
        <f>(I15554*J15554*K15554/1000)</f>
        <v>0.1638</v>
      </c>
      <c r="M15554" s="549">
        <v>1</v>
      </c>
      <c r="N15554" s="567">
        <f>J15554*M15554*I15554/1000</f>
        <v>0.1638</v>
      </c>
      <c r="O15554" s="549"/>
      <c r="P15554" s="549"/>
    </row>
    <row r="15555" spans="1:16" ht="17.399999999999999">
      <c r="A15555" s="547"/>
      <c r="B15555" s="549" t="s">
        <v>1135</v>
      </c>
      <c r="C15555" s="547"/>
      <c r="D15555" s="813"/>
      <c r="E15555" s="547"/>
      <c r="F15555" s="550"/>
      <c r="G15555" s="549"/>
      <c r="H15555" s="549"/>
      <c r="I15555" s="647"/>
      <c r="J15555" s="567"/>
      <c r="K15555" s="648">
        <f>SUM(K15554)</f>
        <v>1</v>
      </c>
      <c r="L15555" s="567">
        <f>SUM(L15554)</f>
        <v>0.1638</v>
      </c>
      <c r="M15555" s="648">
        <f>SUM(M15554)</f>
        <v>1</v>
      </c>
      <c r="N15555" s="567">
        <f>SUM(N15554)</f>
        <v>0.1638</v>
      </c>
      <c r="O15555" s="549"/>
      <c r="P15555" s="549"/>
    </row>
    <row r="15556" spans="1:16" s="1737" customFormat="1" ht="17.399999999999999">
      <c r="A15556" s="547"/>
      <c r="B15556" s="549"/>
      <c r="C15556" s="547"/>
      <c r="D15556" s="813"/>
      <c r="E15556" s="547"/>
      <c r="F15556" s="550"/>
      <c r="G15556" s="549"/>
      <c r="H15556" s="549"/>
      <c r="I15556" s="647"/>
      <c r="J15556" s="567"/>
      <c r="K15556" s="648"/>
      <c r="L15556" s="567"/>
      <c r="M15556" s="549"/>
      <c r="N15556" s="549"/>
      <c r="O15556" s="549"/>
      <c r="P15556" s="549"/>
    </row>
    <row r="15557" spans="1:16" ht="17.399999999999999">
      <c r="A15557" s="547" t="s">
        <v>395</v>
      </c>
      <c r="B15557" s="547" t="s">
        <v>1843</v>
      </c>
      <c r="C15557" s="547" t="s">
        <v>19</v>
      </c>
      <c r="D15557" s="813" t="s">
        <v>854</v>
      </c>
      <c r="E15557" s="547" t="s">
        <v>1028</v>
      </c>
      <c r="F15557" s="549">
        <v>16</v>
      </c>
      <c r="G15557" s="549" t="s">
        <v>21</v>
      </c>
      <c r="H15557" s="549" t="s">
        <v>177</v>
      </c>
      <c r="I15557" s="647">
        <v>27.29</v>
      </c>
      <c r="J15557" s="647">
        <v>7.3</v>
      </c>
      <c r="K15557" s="648">
        <v>1</v>
      </c>
      <c r="L15557" s="552">
        <f>(I15557*J15557*K15557/1000)</f>
        <v>0.19921699999999998</v>
      </c>
      <c r="M15557" s="549"/>
      <c r="N15557" s="549"/>
      <c r="O15557" s="549"/>
      <c r="P15557" s="549"/>
    </row>
    <row r="15558" spans="1:16" ht="17.399999999999999">
      <c r="A15558" s="549"/>
      <c r="B15558" s="549" t="s">
        <v>1027</v>
      </c>
      <c r="C15558" s="549"/>
      <c r="D15558" s="549"/>
      <c r="E15558" s="549"/>
      <c r="F15558" s="549"/>
      <c r="G15558" s="549"/>
      <c r="H15558" s="549"/>
      <c r="I15558" s="647"/>
      <c r="J15558" s="647"/>
      <c r="K15558" s="648">
        <f t="shared" ref="K15558:L15558" si="3118">SUM(K15557)</f>
        <v>1</v>
      </c>
      <c r="L15558" s="567">
        <f t="shared" si="3118"/>
        <v>0.19921699999999998</v>
      </c>
      <c r="M15558" s="549"/>
      <c r="N15558" s="549"/>
      <c r="O15558" s="549"/>
      <c r="P15558" s="549" t="s">
        <v>1864</v>
      </c>
    </row>
    <row r="15559" spans="1:16" ht="17.399999999999999">
      <c r="A15559" s="549"/>
      <c r="B15559" s="549"/>
      <c r="C15559" s="549"/>
      <c r="D15559" s="549"/>
      <c r="E15559" s="549"/>
      <c r="F15559" s="549"/>
      <c r="G15559" s="549"/>
      <c r="H15559" s="549"/>
      <c r="I15559" s="558"/>
      <c r="J15559" s="549"/>
      <c r="K15559" s="561"/>
      <c r="L15559" s="568"/>
      <c r="M15559" s="549"/>
      <c r="N15559" s="549"/>
      <c r="O15559" s="549"/>
      <c r="P15559" s="549"/>
    </row>
    <row r="15560" spans="1:16" ht="17.399999999999999">
      <c r="A15560" s="547" t="s">
        <v>83</v>
      </c>
      <c r="B15560" s="547" t="s">
        <v>1732</v>
      </c>
      <c r="C15560" s="547" t="s">
        <v>19</v>
      </c>
      <c r="D15560" s="813" t="s">
        <v>854</v>
      </c>
      <c r="E15560" s="832" t="s">
        <v>464</v>
      </c>
      <c r="F15560" s="549">
        <v>16</v>
      </c>
      <c r="G15560" s="549" t="s">
        <v>21</v>
      </c>
      <c r="H15560" s="549" t="s">
        <v>177</v>
      </c>
      <c r="I15560" s="647">
        <v>27.3</v>
      </c>
      <c r="J15560" s="567">
        <v>12.75</v>
      </c>
      <c r="K15560" s="648">
        <v>4</v>
      </c>
      <c r="L15560" s="552">
        <f t="shared" ref="L15560" si="3119">(I15560*J15560*K15560/1000)</f>
        <v>1.3922999999999999</v>
      </c>
      <c r="M15560" s="549"/>
      <c r="N15560" s="549"/>
      <c r="O15560" s="549"/>
      <c r="P15560" s="549"/>
    </row>
    <row r="15561" spans="1:16" ht="17.399999999999999">
      <c r="A15561" s="547"/>
      <c r="B15561" s="549" t="s">
        <v>1407</v>
      </c>
      <c r="C15561" s="547"/>
      <c r="D15561" s="813"/>
      <c r="E15561" s="547"/>
      <c r="F15561" s="550"/>
      <c r="G15561" s="549"/>
      <c r="H15561" s="549"/>
      <c r="I15561" s="647"/>
      <c r="J15561" s="567"/>
      <c r="K15561" s="648">
        <f>SUM(K15560:K15560)</f>
        <v>4</v>
      </c>
      <c r="L15561" s="567">
        <f>SUM(L15560:L15560)</f>
        <v>1.3922999999999999</v>
      </c>
      <c r="M15561" s="549"/>
      <c r="N15561" s="549"/>
      <c r="O15561" s="549"/>
      <c r="P15561" s="549" t="s">
        <v>1865</v>
      </c>
    </row>
    <row r="15562" spans="1:16" s="1737" customFormat="1" ht="17.399999999999999">
      <c r="A15562" s="547"/>
      <c r="B15562" s="549"/>
      <c r="C15562" s="547"/>
      <c r="D15562" s="813"/>
      <c r="E15562" s="547"/>
      <c r="F15562" s="550"/>
      <c r="G15562" s="549"/>
      <c r="H15562" s="549"/>
      <c r="I15562" s="647"/>
      <c r="J15562" s="567"/>
      <c r="K15562" s="648"/>
      <c r="L15562" s="567"/>
      <c r="M15562" s="549"/>
      <c r="N15562" s="549"/>
      <c r="O15562" s="549"/>
      <c r="P15562" s="549"/>
    </row>
    <row r="15563" spans="1:16" ht="17.399999999999999">
      <c r="A15563" s="547" t="s">
        <v>83</v>
      </c>
      <c r="B15563" s="547" t="s">
        <v>1775</v>
      </c>
      <c r="C15563" s="547" t="s">
        <v>19</v>
      </c>
      <c r="D15563" s="813" t="s">
        <v>854</v>
      </c>
      <c r="E15563" s="832" t="s">
        <v>464</v>
      </c>
      <c r="F15563" s="549">
        <v>16</v>
      </c>
      <c r="G15563" s="549" t="s">
        <v>21</v>
      </c>
      <c r="H15563" s="549" t="s">
        <v>177</v>
      </c>
      <c r="I15563" s="647">
        <v>27.3</v>
      </c>
      <c r="J15563" s="567">
        <v>7.3</v>
      </c>
      <c r="K15563" s="648">
        <v>9</v>
      </c>
      <c r="L15563" s="552">
        <f>(I15563*J15563*K15563/1000)</f>
        <v>1.7936099999999999</v>
      </c>
      <c r="M15563" s="549"/>
      <c r="N15563" s="549"/>
      <c r="O15563" s="549"/>
      <c r="P15563" s="549"/>
    </row>
    <row r="15564" spans="1:16" ht="17.399999999999999">
      <c r="A15564" s="547"/>
      <c r="B15564" s="549" t="s">
        <v>439</v>
      </c>
      <c r="C15564" s="547"/>
      <c r="D15564" s="813"/>
      <c r="E15564" s="547"/>
      <c r="F15564" s="550"/>
      <c r="G15564" s="549" t="s">
        <v>21</v>
      </c>
      <c r="H15564" s="549" t="s">
        <v>177</v>
      </c>
      <c r="I15564" s="647">
        <v>27.3</v>
      </c>
      <c r="J15564" s="567">
        <v>9.8000000000000007</v>
      </c>
      <c r="K15564" s="648">
        <v>14</v>
      </c>
      <c r="L15564" s="552">
        <f>(I15564*J15564*K15564/1000)</f>
        <v>3.7455600000000002</v>
      </c>
      <c r="M15564" s="549"/>
      <c r="N15564" s="549"/>
      <c r="O15564" s="549"/>
      <c r="P15564" s="549"/>
    </row>
    <row r="15565" spans="1:16" ht="17.399999999999999">
      <c r="A15565" s="549"/>
      <c r="B15565" s="549"/>
      <c r="C15565" s="549"/>
      <c r="D15565" s="549"/>
      <c r="E15565" s="549"/>
      <c r="F15565" s="549"/>
      <c r="G15565" s="549" t="s">
        <v>21</v>
      </c>
      <c r="H15565" s="549" t="s">
        <v>177</v>
      </c>
      <c r="I15565" s="647">
        <v>27.3</v>
      </c>
      <c r="J15565" s="567">
        <v>12</v>
      </c>
      <c r="K15565" s="648">
        <v>16</v>
      </c>
      <c r="L15565" s="552">
        <f>(I15565*J15565*K15565/1000)</f>
        <v>5.2416</v>
      </c>
      <c r="M15565" s="549"/>
      <c r="N15565" s="549"/>
      <c r="O15565" s="549"/>
      <c r="P15565" s="549"/>
    </row>
    <row r="15566" spans="1:16" ht="17.399999999999999">
      <c r="A15566" s="549"/>
      <c r="B15566" s="549"/>
      <c r="C15566" s="549"/>
      <c r="D15566" s="549"/>
      <c r="E15566" s="549"/>
      <c r="F15566" s="549"/>
      <c r="G15566" s="549"/>
      <c r="H15566" s="549"/>
      <c r="I15566" s="647"/>
      <c r="J15566" s="567"/>
      <c r="K15566" s="648">
        <f t="shared" ref="K15566:L15566" si="3120">SUM(K15563:K15565)</f>
        <v>39</v>
      </c>
      <c r="L15566" s="567">
        <f t="shared" si="3120"/>
        <v>10.78077</v>
      </c>
      <c r="M15566" s="549"/>
      <c r="N15566" s="549"/>
      <c r="O15566" s="549"/>
      <c r="P15566" s="549" t="s">
        <v>1865</v>
      </c>
    </row>
    <row r="15567" spans="1:16" s="1737" customFormat="1" ht="17.399999999999999">
      <c r="A15567" s="549"/>
      <c r="B15567" s="549"/>
      <c r="C15567" s="549"/>
      <c r="D15567" s="549"/>
      <c r="E15567" s="549"/>
      <c r="F15567" s="549"/>
      <c r="G15567" s="549"/>
      <c r="H15567" s="549"/>
      <c r="I15567" s="647"/>
      <c r="J15567" s="567"/>
      <c r="K15567" s="648"/>
      <c r="L15567" s="567"/>
      <c r="M15567" s="549"/>
      <c r="N15567" s="549"/>
      <c r="O15567" s="549"/>
      <c r="P15567" s="549"/>
    </row>
    <row r="15568" spans="1:16" ht="17.399999999999999">
      <c r="A15568" s="547" t="s">
        <v>541</v>
      </c>
      <c r="B15568" s="547" t="s">
        <v>1846</v>
      </c>
      <c r="C15568" s="547" t="s">
        <v>19</v>
      </c>
      <c r="D15568" s="813" t="s">
        <v>854</v>
      </c>
      <c r="E15568" s="650" t="s">
        <v>990</v>
      </c>
      <c r="F15568" s="549">
        <v>16</v>
      </c>
      <c r="G15568" s="549" t="s">
        <v>21</v>
      </c>
      <c r="H15568" s="549" t="s">
        <v>177</v>
      </c>
      <c r="I15568" s="647">
        <v>27.3</v>
      </c>
      <c r="J15568" s="567">
        <v>7.4</v>
      </c>
      <c r="K15568" s="648">
        <v>24</v>
      </c>
      <c r="L15568" s="552">
        <f t="shared" ref="L15568:L15570" si="3121">(I15568*J15568*K15568/1000)</f>
        <v>4.8484800000000003</v>
      </c>
      <c r="M15568" s="549"/>
      <c r="N15568" s="567">
        <f t="shared" ref="N15568:N15570" si="3122">J15568*M15568*I15568/1000</f>
        <v>0</v>
      </c>
      <c r="O15568" s="549"/>
      <c r="P15568" s="549"/>
    </row>
    <row r="15569" spans="1:18" ht="17.399999999999999">
      <c r="A15569" s="547"/>
      <c r="B15569" s="549" t="s">
        <v>1845</v>
      </c>
      <c r="C15569" s="547"/>
      <c r="D15569" s="813"/>
      <c r="E15569" s="547"/>
      <c r="F15569" s="550"/>
      <c r="G15569" s="549" t="s">
        <v>21</v>
      </c>
      <c r="H15569" s="549" t="s">
        <v>177</v>
      </c>
      <c r="I15569" s="647">
        <v>27.3</v>
      </c>
      <c r="J15569" s="567">
        <v>8.9</v>
      </c>
      <c r="K15569" s="648">
        <v>22</v>
      </c>
      <c r="L15569" s="552">
        <f t="shared" si="3121"/>
        <v>5.3453400000000002</v>
      </c>
      <c r="M15569" s="549">
        <v>4</v>
      </c>
      <c r="N15569" s="567">
        <f t="shared" si="3122"/>
        <v>0.97188000000000008</v>
      </c>
      <c r="O15569" s="549"/>
      <c r="P15569" s="549"/>
      <c r="R15569" s="126"/>
    </row>
    <row r="15570" spans="1:18" ht="17.399999999999999">
      <c r="A15570" s="549"/>
      <c r="B15570" s="549"/>
      <c r="C15570" s="549"/>
      <c r="D15570" s="549"/>
      <c r="E15570" s="549"/>
      <c r="F15570" s="549"/>
      <c r="G15570" s="549" t="s">
        <v>21</v>
      </c>
      <c r="H15570" s="549" t="s">
        <v>177</v>
      </c>
      <c r="I15570" s="647">
        <v>27.3</v>
      </c>
      <c r="J15570" s="567">
        <v>6.3</v>
      </c>
      <c r="K15570" s="648">
        <v>41</v>
      </c>
      <c r="L15570" s="552">
        <f t="shared" si="3121"/>
        <v>7.05159</v>
      </c>
      <c r="M15570" s="549">
        <v>1</v>
      </c>
      <c r="N15570" s="567">
        <f t="shared" si="3122"/>
        <v>0.17199</v>
      </c>
      <c r="O15570" s="549"/>
      <c r="P15570" s="549"/>
    </row>
    <row r="15571" spans="1:18" ht="17.399999999999999">
      <c r="A15571" s="549"/>
      <c r="B15571" s="549"/>
      <c r="C15571" s="549"/>
      <c r="D15571" s="549"/>
      <c r="E15571" s="549"/>
      <c r="F15571" s="549"/>
      <c r="G15571" s="549"/>
      <c r="H15571" s="549"/>
      <c r="I15571" s="647"/>
      <c r="J15571" s="567"/>
      <c r="K15571" s="648">
        <f>SUM(K15568:K15570)</f>
        <v>87</v>
      </c>
      <c r="L15571" s="567">
        <f>SUM(L15568:L15570)</f>
        <v>17.24541</v>
      </c>
      <c r="M15571" s="648">
        <f>SUM(M15568:M15570)</f>
        <v>5</v>
      </c>
      <c r="N15571" s="567">
        <f>SUM(N15568:N15570)</f>
        <v>1.1438700000000002</v>
      </c>
      <c r="O15571" s="549"/>
      <c r="P15571" s="549" t="s">
        <v>1866</v>
      </c>
    </row>
    <row r="15572" spans="1:18" ht="17.399999999999999">
      <c r="A15572" s="549"/>
      <c r="B15572" s="549"/>
      <c r="C15572" s="549"/>
      <c r="D15572" s="549"/>
      <c r="E15572" s="549"/>
      <c r="F15572" s="549"/>
      <c r="G15572" s="549"/>
      <c r="H15572" s="549"/>
      <c r="I15572" s="647"/>
      <c r="J15572" s="567"/>
      <c r="K15572" s="648"/>
      <c r="L15572" s="567"/>
      <c r="M15572" s="549"/>
      <c r="N15572" s="549"/>
      <c r="O15572" s="549"/>
      <c r="P15572" s="549"/>
    </row>
    <row r="15573" spans="1:18" ht="17.399999999999999">
      <c r="A15573" s="547" t="s">
        <v>395</v>
      </c>
      <c r="B15573" s="547" t="s">
        <v>1850</v>
      </c>
      <c r="C15573" s="547" t="s">
        <v>19</v>
      </c>
      <c r="D15573" s="813" t="s">
        <v>854</v>
      </c>
      <c r="E15573" s="547" t="s">
        <v>1028</v>
      </c>
      <c r="F15573" s="549">
        <v>16</v>
      </c>
      <c r="G15573" s="549" t="s">
        <v>21</v>
      </c>
      <c r="H15573" s="549" t="s">
        <v>177</v>
      </c>
      <c r="I15573" s="647">
        <v>27.29</v>
      </c>
      <c r="J15573" s="567">
        <v>6</v>
      </c>
      <c r="K15573" s="648">
        <v>1</v>
      </c>
      <c r="L15573" s="552">
        <f>(I15573*J15573*K15573/1000)</f>
        <v>0.16374</v>
      </c>
      <c r="M15573" s="549">
        <v>1</v>
      </c>
      <c r="N15573" s="567">
        <f>J15573*M15573*I15573/1000</f>
        <v>0.16374</v>
      </c>
      <c r="O15573" s="549"/>
      <c r="P15573" s="549"/>
    </row>
    <row r="15574" spans="1:18" ht="17.399999999999999">
      <c r="A15574" s="549"/>
      <c r="B15574" s="549" t="s">
        <v>1027</v>
      </c>
      <c r="C15574" s="549"/>
      <c r="D15574" s="549"/>
      <c r="E15574" s="549"/>
      <c r="F15574" s="549"/>
      <c r="G15574" s="549"/>
      <c r="H15574" s="549"/>
      <c r="I15574" s="647"/>
      <c r="J15574" s="567"/>
      <c r="K15574" s="648">
        <f t="shared" ref="K15574:M15574" si="3123">SUM(K15573)</f>
        <v>1</v>
      </c>
      <c r="L15574" s="567">
        <f>SUM(L15573)</f>
        <v>0.16374</v>
      </c>
      <c r="M15574" s="648">
        <f t="shared" si="3123"/>
        <v>1</v>
      </c>
      <c r="N15574" s="567">
        <f>SUM(N15573)</f>
        <v>0.16374</v>
      </c>
      <c r="O15574" s="549"/>
      <c r="P15574" s="549"/>
    </row>
    <row r="15575" spans="1:18" ht="17.399999999999999">
      <c r="A15575" s="549"/>
      <c r="B15575" s="549"/>
      <c r="C15575" s="549"/>
      <c r="D15575" s="549"/>
      <c r="E15575" s="549"/>
      <c r="F15575" s="549"/>
      <c r="G15575" s="549"/>
      <c r="H15575" s="549"/>
      <c r="I15575" s="558"/>
      <c r="J15575" s="549"/>
      <c r="K15575" s="561"/>
      <c r="L15575" s="568"/>
      <c r="M15575" s="549"/>
      <c r="N15575" s="549"/>
      <c r="O15575" s="549"/>
      <c r="P15575" s="549"/>
    </row>
    <row r="15576" spans="1:18" ht="17.399999999999999">
      <c r="A15576" s="547" t="s">
        <v>83</v>
      </c>
      <c r="B15576" s="547" t="s">
        <v>1851</v>
      </c>
      <c r="C15576" s="547" t="s">
        <v>19</v>
      </c>
      <c r="D15576" s="813" t="s">
        <v>854</v>
      </c>
      <c r="E15576" s="650" t="s">
        <v>990</v>
      </c>
      <c r="F15576" s="549">
        <v>16</v>
      </c>
      <c r="G15576" s="549" t="s">
        <v>21</v>
      </c>
      <c r="H15576" s="549" t="s">
        <v>177</v>
      </c>
      <c r="I15576" s="647">
        <v>27.3</v>
      </c>
      <c r="J15576" s="567">
        <v>10</v>
      </c>
      <c r="K15576" s="648">
        <v>5</v>
      </c>
      <c r="L15576" s="552">
        <f>(I15576*J15576*K15576/1000)</f>
        <v>1.365</v>
      </c>
      <c r="M15576" s="549"/>
      <c r="N15576" s="549"/>
      <c r="O15576" s="549"/>
      <c r="P15576" s="549"/>
    </row>
    <row r="15577" spans="1:18" ht="17.399999999999999">
      <c r="A15577" s="547"/>
      <c r="B15577" s="549" t="s">
        <v>1815</v>
      </c>
      <c r="C15577" s="547"/>
      <c r="D15577" s="813"/>
      <c r="E15577" s="547"/>
      <c r="F15577" s="550"/>
      <c r="G15577" s="549"/>
      <c r="H15577" s="549"/>
      <c r="I15577" s="647"/>
      <c r="J15577" s="567"/>
      <c r="K15577" s="648">
        <f t="shared" ref="K15577" si="3124">SUM(K15576)</f>
        <v>5</v>
      </c>
      <c r="L15577" s="567">
        <f>SUM(L15576)</f>
        <v>1.365</v>
      </c>
      <c r="M15577" s="549"/>
      <c r="N15577" s="549"/>
      <c r="O15577" s="549"/>
      <c r="P15577" s="549" t="s">
        <v>1866</v>
      </c>
    </row>
    <row r="15578" spans="1:18" s="1737" customFormat="1" ht="17.399999999999999">
      <c r="A15578" s="547"/>
      <c r="B15578" s="549"/>
      <c r="C15578" s="547"/>
      <c r="D15578" s="813"/>
      <c r="E15578" s="547"/>
      <c r="F15578" s="550"/>
      <c r="G15578" s="549"/>
      <c r="H15578" s="549"/>
      <c r="I15578" s="647"/>
      <c r="J15578" s="567"/>
      <c r="K15578" s="648">
        <f>SUM(K15545:K15577)/2</f>
        <v>149</v>
      </c>
      <c r="L15578" s="567">
        <f>SUM(L15545:L15577)/2</f>
        <v>33.589152999999996</v>
      </c>
      <c r="M15578" s="648">
        <f>SUM(M15545:M15577)/2</f>
        <v>8</v>
      </c>
      <c r="N15578" s="567">
        <f>SUM(N15545:N15577)/2</f>
        <v>1.6351499999999999</v>
      </c>
      <c r="O15578" s="549"/>
      <c r="P15578" s="549"/>
    </row>
    <row r="15579" spans="1:18" s="1737" customFormat="1" ht="17.399999999999999">
      <c r="A15579" s="547"/>
      <c r="B15579" s="549"/>
      <c r="C15579" s="547"/>
      <c r="D15579" s="813"/>
      <c r="E15579" s="547"/>
      <c r="F15579" s="550"/>
      <c r="G15579" s="549"/>
      <c r="H15579" s="549"/>
      <c r="I15579" s="647"/>
      <c r="J15579" s="567"/>
      <c r="K15579" s="648"/>
      <c r="L15579" s="567"/>
      <c r="M15579" s="549"/>
      <c r="N15579" s="549"/>
      <c r="O15579" s="549"/>
      <c r="P15579" s="549"/>
    </row>
    <row r="15580" spans="1:18" s="1737" customFormat="1" ht="17.399999999999999">
      <c r="A15580" s="547"/>
      <c r="B15580" s="549"/>
      <c r="C15580" s="547"/>
      <c r="D15580" s="813"/>
      <c r="E15580" s="547"/>
      <c r="F15580" s="550"/>
      <c r="G15580" s="549"/>
      <c r="H15580" s="549"/>
      <c r="I15580" s="647"/>
      <c r="J15580" s="567"/>
      <c r="K15580" s="648"/>
      <c r="L15580" s="567"/>
      <c r="M15580" s="549"/>
      <c r="N15580" s="549"/>
      <c r="O15580" s="549"/>
      <c r="P15580" s="549"/>
    </row>
    <row r="15581" spans="1:18" ht="17.399999999999999">
      <c r="A15581" s="547" t="s">
        <v>395</v>
      </c>
      <c r="B15581" s="547" t="s">
        <v>1847</v>
      </c>
      <c r="C15581" s="547" t="s">
        <v>19</v>
      </c>
      <c r="D15581" s="813" t="s">
        <v>854</v>
      </c>
      <c r="E15581" s="547" t="s">
        <v>359</v>
      </c>
      <c r="F15581" s="549">
        <v>16</v>
      </c>
      <c r="G15581" s="549" t="s">
        <v>21</v>
      </c>
      <c r="H15581" s="549" t="s">
        <v>176</v>
      </c>
      <c r="I15581" s="647">
        <v>22.93</v>
      </c>
      <c r="J15581" s="567">
        <v>6</v>
      </c>
      <c r="K15581" s="648">
        <v>1</v>
      </c>
      <c r="L15581" s="552">
        <f>(I15581*J15581*K15581/1000)</f>
        <v>0.13757999999999998</v>
      </c>
      <c r="M15581" s="549">
        <v>1</v>
      </c>
      <c r="N15581" s="567">
        <f>J15581*M15581*I15581/1000</f>
        <v>0.13757999999999998</v>
      </c>
      <c r="O15581" s="549"/>
      <c r="P15581" s="549"/>
    </row>
    <row r="15582" spans="1:18" ht="17.399999999999999">
      <c r="A15582" s="549"/>
      <c r="B15582" s="549" t="s">
        <v>1027</v>
      </c>
      <c r="C15582" s="549"/>
      <c r="D15582" s="549"/>
      <c r="E15582" s="549"/>
      <c r="F15582" s="549"/>
      <c r="G15582" s="549"/>
      <c r="H15582" s="549"/>
      <c r="I15582" s="647"/>
      <c r="J15582" s="567"/>
      <c r="K15582" s="648">
        <f t="shared" ref="K15582:N15582" si="3125">SUM(K15581)</f>
        <v>1</v>
      </c>
      <c r="L15582" s="567">
        <f t="shared" si="3125"/>
        <v>0.13757999999999998</v>
      </c>
      <c r="M15582" s="648">
        <f t="shared" si="3125"/>
        <v>1</v>
      </c>
      <c r="N15582" s="567">
        <f t="shared" si="3125"/>
        <v>0.13757999999999998</v>
      </c>
      <c r="O15582" s="549"/>
      <c r="P15582" s="549"/>
    </row>
    <row r="15583" spans="1:18" ht="17.399999999999999">
      <c r="A15583" s="549"/>
      <c r="B15583" s="549"/>
      <c r="C15583" s="549"/>
      <c r="D15583" s="549"/>
      <c r="E15583" s="549"/>
      <c r="F15583" s="549"/>
      <c r="G15583" s="549"/>
      <c r="H15583" s="549"/>
      <c r="I15583" s="558"/>
      <c r="J15583" s="549"/>
      <c r="K15583" s="561"/>
      <c r="L15583" s="568"/>
      <c r="M15583" s="549"/>
      <c r="N15583" s="549"/>
      <c r="O15583" s="549"/>
      <c r="P15583" s="549"/>
    </row>
    <row r="15584" spans="1:18" ht="17.399999999999999">
      <c r="A15584" s="547" t="s">
        <v>395</v>
      </c>
      <c r="B15584" s="547" t="s">
        <v>1745</v>
      </c>
      <c r="C15584" s="547" t="s">
        <v>19</v>
      </c>
      <c r="D15584" s="813" t="s">
        <v>854</v>
      </c>
      <c r="E15584" s="547" t="s">
        <v>359</v>
      </c>
      <c r="F15584" s="549">
        <v>16</v>
      </c>
      <c r="G15584" s="549" t="s">
        <v>21</v>
      </c>
      <c r="H15584" s="549" t="s">
        <v>176</v>
      </c>
      <c r="I15584" s="647">
        <v>22.93</v>
      </c>
      <c r="J15584" s="567">
        <v>6</v>
      </c>
      <c r="K15584" s="648">
        <v>5</v>
      </c>
      <c r="L15584" s="552">
        <f>(I15584*J15584*K15584/1000)</f>
        <v>0.68789999999999984</v>
      </c>
      <c r="M15584" s="549">
        <f>5-2</f>
        <v>3</v>
      </c>
      <c r="N15584" s="567">
        <f>J15584*M15584*I15584/1000</f>
        <v>0.41274</v>
      </c>
      <c r="O15584" s="549"/>
      <c r="P15584" s="549"/>
      <c r="Q15584" s="1929"/>
      <c r="R15584" s="126"/>
    </row>
    <row r="15585" spans="1:18" ht="17.399999999999999">
      <c r="A15585" s="549"/>
      <c r="B15585" s="549" t="s">
        <v>1027</v>
      </c>
      <c r="C15585" s="549"/>
      <c r="D15585" s="549"/>
      <c r="E15585" s="549"/>
      <c r="F15585" s="549"/>
      <c r="G15585" s="549"/>
      <c r="H15585" s="549"/>
      <c r="I15585" s="647"/>
      <c r="J15585" s="567"/>
      <c r="K15585" s="648">
        <f t="shared" ref="K15585:N15585" si="3126">SUM(K15584)</f>
        <v>5</v>
      </c>
      <c r="L15585" s="765">
        <f t="shared" si="3126"/>
        <v>0.68789999999999984</v>
      </c>
      <c r="M15585" s="648">
        <f>SUM(M15584)</f>
        <v>3</v>
      </c>
      <c r="N15585" s="765">
        <f t="shared" si="3126"/>
        <v>0.41274</v>
      </c>
      <c r="O15585" s="549"/>
      <c r="P15585" s="549"/>
      <c r="Q15585" s="1929"/>
      <c r="R15585" s="126"/>
    </row>
    <row r="15586" spans="1:18" s="1737" customFormat="1" ht="17.399999999999999">
      <c r="A15586" s="549"/>
      <c r="B15586" s="549"/>
      <c r="C15586" s="549"/>
      <c r="D15586" s="549"/>
      <c r="E15586" s="549"/>
      <c r="F15586" s="549"/>
      <c r="G15586" s="549"/>
      <c r="H15586" s="549"/>
      <c r="I15586" s="647"/>
      <c r="J15586" s="567"/>
      <c r="K15586" s="648"/>
      <c r="L15586" s="765"/>
      <c r="M15586" s="549"/>
      <c r="N15586" s="549"/>
      <c r="O15586" s="549"/>
      <c r="P15586" s="549"/>
      <c r="Q15586" s="1929"/>
      <c r="R15586" s="126"/>
    </row>
    <row r="15587" spans="1:18" ht="17.399999999999999">
      <c r="A15587" s="547" t="s">
        <v>395</v>
      </c>
      <c r="B15587" s="547" t="s">
        <v>1745</v>
      </c>
      <c r="C15587" s="547" t="s">
        <v>19</v>
      </c>
      <c r="D15587" s="813" t="s">
        <v>854</v>
      </c>
      <c r="E15587" s="547" t="s">
        <v>1028</v>
      </c>
      <c r="F15587" s="549">
        <v>16</v>
      </c>
      <c r="G15587" s="549" t="s">
        <v>21</v>
      </c>
      <c r="H15587" s="549" t="s">
        <v>176</v>
      </c>
      <c r="I15587" s="647">
        <v>22.93</v>
      </c>
      <c r="J15587" s="567">
        <v>7.95</v>
      </c>
      <c r="K15587" s="648">
        <v>2</v>
      </c>
      <c r="L15587" s="552">
        <f>(I15587*J15587*K15587/1000)</f>
        <v>0.36458699999999999</v>
      </c>
      <c r="M15587" s="549"/>
      <c r="N15587" s="567">
        <f>J15587*M15587*I15587/1000</f>
        <v>0</v>
      </c>
      <c r="O15587" s="549"/>
      <c r="P15587" s="549"/>
      <c r="Q15587" s="1929"/>
      <c r="R15587" s="126"/>
    </row>
    <row r="15588" spans="1:18" ht="17.399999999999999">
      <c r="A15588" s="549"/>
      <c r="B15588" s="549" t="s">
        <v>1027</v>
      </c>
      <c r="C15588" s="549"/>
      <c r="D15588" s="549"/>
      <c r="E15588" s="549"/>
      <c r="F15588" s="549"/>
      <c r="G15588" s="549"/>
      <c r="H15588" s="549"/>
      <c r="I15588" s="647"/>
      <c r="J15588" s="567"/>
      <c r="K15588" s="648">
        <f t="shared" ref="K15588:N15588" si="3127">SUM(K15587)</f>
        <v>2</v>
      </c>
      <c r="L15588" s="765">
        <f t="shared" si="3127"/>
        <v>0.36458699999999999</v>
      </c>
      <c r="M15588" s="648">
        <f t="shared" si="3127"/>
        <v>0</v>
      </c>
      <c r="N15588" s="765">
        <f t="shared" si="3127"/>
        <v>0</v>
      </c>
      <c r="O15588" s="549"/>
      <c r="P15588" s="549"/>
      <c r="Q15588" s="1929"/>
      <c r="R15588" s="126"/>
    </row>
    <row r="15589" spans="1:18" s="1737" customFormat="1" ht="17.399999999999999">
      <c r="A15589" s="549"/>
      <c r="B15589" s="549"/>
      <c r="C15589" s="549"/>
      <c r="D15589" s="549"/>
      <c r="E15589" s="549"/>
      <c r="F15589" s="549"/>
      <c r="G15589" s="549"/>
      <c r="H15589" s="549"/>
      <c r="I15589" s="647"/>
      <c r="J15589" s="567"/>
      <c r="K15589" s="648"/>
      <c r="L15589" s="765"/>
      <c r="M15589" s="549"/>
      <c r="N15589" s="549"/>
      <c r="O15589" s="549"/>
      <c r="P15589" s="549"/>
      <c r="Q15589" s="1929"/>
      <c r="R15589" s="126"/>
    </row>
    <row r="15590" spans="1:18" ht="17.399999999999999">
      <c r="A15590" s="547" t="s">
        <v>541</v>
      </c>
      <c r="B15590" s="547" t="s">
        <v>1846</v>
      </c>
      <c r="C15590" s="547" t="s">
        <v>19</v>
      </c>
      <c r="D15590" s="813" t="s">
        <v>854</v>
      </c>
      <c r="E15590" s="650" t="s">
        <v>990</v>
      </c>
      <c r="F15590" s="549">
        <v>16</v>
      </c>
      <c r="G15590" s="549" t="s">
        <v>21</v>
      </c>
      <c r="H15590" s="549" t="s">
        <v>176</v>
      </c>
      <c r="I15590" s="647">
        <v>23</v>
      </c>
      <c r="J15590" s="567">
        <v>10.5</v>
      </c>
      <c r="K15590" s="648">
        <v>34</v>
      </c>
      <c r="L15590" s="552">
        <f>(I15590*J15590*K15590/1000)</f>
        <v>8.2110000000000003</v>
      </c>
      <c r="M15590" s="549"/>
      <c r="N15590" s="567">
        <f>J15590*M15590*I15590/1000</f>
        <v>0</v>
      </c>
      <c r="O15590" s="549"/>
      <c r="P15590" s="549"/>
      <c r="Q15590" s="1929"/>
      <c r="R15590" s="126"/>
    </row>
    <row r="15591" spans="1:18" ht="17.399999999999999">
      <c r="A15591" s="547"/>
      <c r="B15591" s="549" t="s">
        <v>1845</v>
      </c>
      <c r="C15591" s="547"/>
      <c r="D15591" s="813"/>
      <c r="E15591" s="547"/>
      <c r="F15591" s="550"/>
      <c r="G15591" s="549" t="s">
        <v>21</v>
      </c>
      <c r="H15591" s="549" t="s">
        <v>176</v>
      </c>
      <c r="I15591" s="647">
        <v>23</v>
      </c>
      <c r="J15591" s="567">
        <v>11</v>
      </c>
      <c r="K15591" s="648">
        <v>14</v>
      </c>
      <c r="L15591" s="552">
        <f>(I15591*J15591*K15591/1000)</f>
        <v>3.5419999999999998</v>
      </c>
      <c r="M15591" s="549">
        <v>2</v>
      </c>
      <c r="N15591" s="567">
        <f>J15591*M15591*I15591/1000</f>
        <v>0.50600000000000001</v>
      </c>
      <c r="O15591" s="549"/>
      <c r="P15591" s="549"/>
      <c r="Q15591" s="1929"/>
      <c r="R15591" s="126"/>
    </row>
    <row r="15592" spans="1:18" ht="17.399999999999999">
      <c r="A15592" s="549"/>
      <c r="B15592" s="549"/>
      <c r="C15592" s="549"/>
      <c r="D15592" s="549"/>
      <c r="E15592" s="549"/>
      <c r="F15592" s="549"/>
      <c r="G15592" s="549"/>
      <c r="H15592" s="549"/>
      <c r="I15592" s="647"/>
      <c r="J15592" s="567"/>
      <c r="K15592" s="648">
        <f>SUM(K15590:K15591)</f>
        <v>48</v>
      </c>
      <c r="L15592" s="567">
        <f>SUM(L15590:L15591)</f>
        <v>11.753</v>
      </c>
      <c r="M15592" s="648">
        <f>SUM(M15590:M15591)</f>
        <v>2</v>
      </c>
      <c r="N15592" s="567">
        <f>SUM(N15590:N15591)</f>
        <v>0.50600000000000001</v>
      </c>
      <c r="O15592" s="549"/>
      <c r="P15592" s="549" t="s">
        <v>1867</v>
      </c>
    </row>
    <row r="15593" spans="1:18" s="1737" customFormat="1" ht="17.399999999999999">
      <c r="A15593" s="549"/>
      <c r="B15593" s="549"/>
      <c r="C15593" s="549"/>
      <c r="D15593" s="549"/>
      <c r="E15593" s="549"/>
      <c r="F15593" s="549"/>
      <c r="G15593" s="549"/>
      <c r="H15593" s="549"/>
      <c r="I15593" s="647"/>
      <c r="J15593" s="567"/>
      <c r="K15593" s="648">
        <f>SUM(K15581:K15592)/2</f>
        <v>56</v>
      </c>
      <c r="L15593" s="567">
        <f>SUM(L15581:L15592)/2</f>
        <v>12.943066999999999</v>
      </c>
      <c r="M15593" s="648">
        <f>SUM(M15581:M15592)/2</f>
        <v>6</v>
      </c>
      <c r="N15593" s="567">
        <f>SUM(N15581:N15592)/2</f>
        <v>1.0563199999999999</v>
      </c>
      <c r="O15593" s="549"/>
      <c r="P15593" s="549"/>
    </row>
    <row r="15594" spans="1:18" s="1737" customFormat="1" ht="17.399999999999999">
      <c r="A15594" s="549"/>
      <c r="B15594" s="549"/>
      <c r="C15594" s="549"/>
      <c r="D15594" s="549"/>
      <c r="E15594" s="549"/>
      <c r="F15594" s="549"/>
      <c r="G15594" s="549"/>
      <c r="H15594" s="549"/>
      <c r="I15594" s="647"/>
      <c r="J15594" s="567"/>
      <c r="K15594" s="648"/>
      <c r="L15594" s="567"/>
      <c r="M15594" s="549"/>
      <c r="N15594" s="549"/>
      <c r="O15594" s="549"/>
      <c r="P15594" s="549"/>
    </row>
    <row r="15595" spans="1:18" s="1737" customFormat="1" ht="17.399999999999999">
      <c r="A15595" s="547" t="s">
        <v>83</v>
      </c>
      <c r="B15595" s="547" t="s">
        <v>1848</v>
      </c>
      <c r="C15595" s="547" t="s">
        <v>446</v>
      </c>
      <c r="D15595" s="813" t="s">
        <v>447</v>
      </c>
      <c r="E15595" s="547" t="s">
        <v>359</v>
      </c>
      <c r="F15595" s="549">
        <v>16</v>
      </c>
      <c r="G15595" s="549" t="s">
        <v>21</v>
      </c>
      <c r="H15595" s="549" t="s">
        <v>176</v>
      </c>
      <c r="I15595" s="647">
        <v>22.93</v>
      </c>
      <c r="J15595" s="567">
        <v>6</v>
      </c>
      <c r="K15595" s="648">
        <v>2</v>
      </c>
      <c r="L15595" s="552">
        <f>(I15595*J15595*K15595/1000)</f>
        <v>0.27515999999999996</v>
      </c>
      <c r="M15595" s="549">
        <v>2</v>
      </c>
      <c r="N15595" s="567">
        <f t="shared" ref="N15595" si="3128">J15595*M15595*I15595/1000</f>
        <v>0.27515999999999996</v>
      </c>
      <c r="O15595" s="549"/>
      <c r="P15595" s="549"/>
    </row>
    <row r="15596" spans="1:18" s="1737" customFormat="1" ht="17.399999999999999">
      <c r="A15596" s="549"/>
      <c r="B15596" s="549"/>
      <c r="C15596" s="549"/>
      <c r="D15596" s="549"/>
      <c r="E15596" s="549"/>
      <c r="F15596" s="549"/>
      <c r="G15596" s="549"/>
      <c r="H15596" s="549"/>
      <c r="I15596" s="647"/>
      <c r="J15596" s="567"/>
      <c r="K15596" s="648">
        <f>SUM(K15595)</f>
        <v>2</v>
      </c>
      <c r="L15596" s="567">
        <f>SUM(L15595)</f>
        <v>0.27515999999999996</v>
      </c>
      <c r="M15596" s="648">
        <f>SUM(M15595)</f>
        <v>2</v>
      </c>
      <c r="N15596" s="567">
        <f>SUM(N15595)</f>
        <v>0.27515999999999996</v>
      </c>
      <c r="O15596" s="549"/>
      <c r="P15596" s="549"/>
    </row>
    <row r="15597" spans="1:18" s="1737" customFormat="1" ht="17.399999999999999">
      <c r="A15597" s="549"/>
      <c r="B15597" s="549"/>
      <c r="C15597" s="549"/>
      <c r="D15597" s="549"/>
      <c r="E15597" s="549"/>
      <c r="F15597" s="549"/>
      <c r="G15597" s="549"/>
      <c r="H15597" s="549"/>
      <c r="I15597" s="558"/>
      <c r="J15597" s="549"/>
      <c r="K15597" s="561"/>
      <c r="L15597" s="568"/>
      <c r="M15597" s="549"/>
      <c r="N15597" s="549"/>
      <c r="O15597" s="549"/>
      <c r="P15597" s="549"/>
    </row>
    <row r="15598" spans="1:18" s="1737" customFormat="1" ht="17.399999999999999">
      <c r="A15598" s="549"/>
      <c r="B15598" s="549"/>
      <c r="C15598" s="549"/>
      <c r="D15598" s="549"/>
      <c r="E15598" s="549"/>
      <c r="F15598" s="549"/>
      <c r="G15598" s="549"/>
      <c r="H15598" s="549"/>
      <c r="I15598" s="647"/>
      <c r="J15598" s="567"/>
      <c r="K15598" s="648"/>
      <c r="L15598" s="567"/>
      <c r="M15598" s="549"/>
      <c r="N15598" s="549"/>
      <c r="O15598" s="549"/>
      <c r="P15598" s="549"/>
    </row>
    <row r="15599" spans="1:18" ht="17.399999999999999">
      <c r="A15599" s="549"/>
      <c r="B15599" s="549"/>
      <c r="C15599" s="549"/>
      <c r="D15599" s="549"/>
      <c r="E15599" s="549"/>
      <c r="F15599" s="549"/>
      <c r="G15599" s="549"/>
      <c r="H15599" s="549"/>
      <c r="I15599" s="558"/>
      <c r="J15599" s="549"/>
      <c r="K15599" s="561"/>
      <c r="L15599" s="568"/>
      <c r="M15599" s="549"/>
      <c r="N15599" s="549"/>
      <c r="O15599" s="549"/>
      <c r="P15599" s="549"/>
    </row>
    <row r="15600" spans="1:18" ht="17.399999999999999">
      <c r="A15600" s="547" t="s">
        <v>272</v>
      </c>
      <c r="B15600" s="547" t="s">
        <v>1844</v>
      </c>
      <c r="C15600" s="547" t="s">
        <v>446</v>
      </c>
      <c r="D15600" s="813" t="s">
        <v>447</v>
      </c>
      <c r="E15600" s="547" t="s">
        <v>359</v>
      </c>
      <c r="F15600" s="549">
        <v>16</v>
      </c>
      <c r="G15600" s="549" t="s">
        <v>21</v>
      </c>
      <c r="H15600" s="549" t="s">
        <v>510</v>
      </c>
      <c r="I15600" s="647">
        <v>25.2</v>
      </c>
      <c r="J15600" s="565">
        <v>9.6</v>
      </c>
      <c r="K15600" s="561">
        <v>4</v>
      </c>
      <c r="L15600" s="552">
        <f t="shared" ref="L15600:L15601" si="3129">(I15600*J15600*K15600/1000)</f>
        <v>0.96767999999999998</v>
      </c>
      <c r="M15600" s="549"/>
      <c r="N15600" s="549"/>
      <c r="O15600" s="549"/>
      <c r="P15600" s="549"/>
    </row>
    <row r="15601" spans="1:16" ht="17.399999999999999">
      <c r="A15601" s="549"/>
      <c r="B15601" s="549"/>
      <c r="C15601" s="549"/>
      <c r="D15601" s="549"/>
      <c r="E15601" s="549"/>
      <c r="F15601" s="549"/>
      <c r="G15601" s="549" t="s">
        <v>21</v>
      </c>
      <c r="H15601" s="549" t="s">
        <v>510</v>
      </c>
      <c r="I15601" s="647">
        <v>25.2</v>
      </c>
      <c r="J15601" s="565">
        <v>11.6</v>
      </c>
      <c r="K15601" s="561">
        <v>4</v>
      </c>
      <c r="L15601" s="552">
        <f t="shared" si="3129"/>
        <v>1.1692799999999999</v>
      </c>
      <c r="M15601" s="549"/>
      <c r="N15601" s="549"/>
      <c r="O15601" s="549"/>
      <c r="P15601" s="549"/>
    </row>
    <row r="15602" spans="1:16" ht="17.399999999999999">
      <c r="A15602" s="549"/>
      <c r="B15602" s="549"/>
      <c r="C15602" s="549"/>
      <c r="D15602" s="549"/>
      <c r="E15602" s="549"/>
      <c r="F15602" s="549"/>
      <c r="G15602" s="549"/>
      <c r="H15602" s="549"/>
      <c r="I15602" s="647"/>
      <c r="J15602" s="565"/>
      <c r="K15602" s="561">
        <f>SUM(K15600:K15601)</f>
        <v>8</v>
      </c>
      <c r="L15602" s="565">
        <f>SUM(L15600:L15601)</f>
        <v>2.1369599999999997</v>
      </c>
      <c r="M15602" s="549"/>
      <c r="N15602" s="549"/>
      <c r="O15602" s="549"/>
      <c r="P15602" s="549"/>
    </row>
    <row r="15603" spans="1:16" ht="17.399999999999999">
      <c r="A15603" s="549"/>
      <c r="B15603" s="549"/>
      <c r="C15603" s="549"/>
      <c r="D15603" s="549"/>
      <c r="E15603" s="549"/>
      <c r="F15603" s="549"/>
      <c r="G15603" s="549"/>
      <c r="H15603" s="549"/>
      <c r="I15603" s="558"/>
      <c r="J15603" s="549"/>
      <c r="K15603" s="561"/>
      <c r="L15603" s="568"/>
      <c r="M15603" s="549"/>
      <c r="N15603" s="549"/>
      <c r="O15603" s="549"/>
      <c r="P15603" s="549"/>
    </row>
    <row r="15604" spans="1:16" ht="17.399999999999999">
      <c r="A15604" s="547" t="s">
        <v>272</v>
      </c>
      <c r="B15604" s="547" t="s">
        <v>1665</v>
      </c>
      <c r="C15604" s="547" t="s">
        <v>446</v>
      </c>
      <c r="D15604" s="813" t="s">
        <v>447</v>
      </c>
      <c r="E15604" s="547" t="s">
        <v>359</v>
      </c>
      <c r="F15604" s="549">
        <v>16</v>
      </c>
      <c r="G15604" s="549" t="s">
        <v>21</v>
      </c>
      <c r="H15604" s="549" t="s">
        <v>510</v>
      </c>
      <c r="I15604" s="647">
        <v>25.2</v>
      </c>
      <c r="J15604" s="567">
        <v>6.15</v>
      </c>
      <c r="K15604" s="648">
        <v>152</v>
      </c>
      <c r="L15604" s="552">
        <f t="shared" ref="L15604:L15609" si="3130">(I15604*J15604*K15604/1000)</f>
        <v>23.556960000000004</v>
      </c>
      <c r="M15604" s="549"/>
      <c r="N15604" s="567">
        <f t="shared" ref="N15604:N15609" si="3131">J15604*M15604*I15604/1000</f>
        <v>0</v>
      </c>
      <c r="O15604" s="549"/>
      <c r="P15604" s="549"/>
    </row>
    <row r="15605" spans="1:16" ht="17.399999999999999">
      <c r="A15605" s="549"/>
      <c r="B15605" s="549"/>
      <c r="C15605" s="549"/>
      <c r="D15605" s="549"/>
      <c r="E15605" s="549"/>
      <c r="F15605" s="549"/>
      <c r="G15605" s="549" t="s">
        <v>21</v>
      </c>
      <c r="H15605" s="549" t="s">
        <v>510</v>
      </c>
      <c r="I15605" s="647">
        <v>25.2</v>
      </c>
      <c r="J15605" s="567">
        <v>6.35</v>
      </c>
      <c r="K15605" s="648">
        <v>42</v>
      </c>
      <c r="L15605" s="552">
        <f t="shared" si="3130"/>
        <v>6.720839999999999</v>
      </c>
      <c r="M15605" s="549"/>
      <c r="N15605" s="567">
        <f t="shared" si="3131"/>
        <v>0</v>
      </c>
      <c r="O15605" s="549"/>
      <c r="P15605" s="549"/>
    </row>
    <row r="15606" spans="1:16" ht="17.399999999999999">
      <c r="A15606" s="549"/>
      <c r="B15606" s="549"/>
      <c r="C15606" s="549"/>
      <c r="D15606" s="549"/>
      <c r="E15606" s="549"/>
      <c r="F15606" s="549"/>
      <c r="G15606" s="549" t="s">
        <v>21</v>
      </c>
      <c r="H15606" s="549" t="s">
        <v>510</v>
      </c>
      <c r="I15606" s="647">
        <v>25.2</v>
      </c>
      <c r="J15606" s="567">
        <v>7.5</v>
      </c>
      <c r="K15606" s="648">
        <v>42</v>
      </c>
      <c r="L15606" s="552">
        <f t="shared" si="3130"/>
        <v>7.9379999999999997</v>
      </c>
      <c r="M15606" s="549"/>
      <c r="N15606" s="567">
        <f t="shared" si="3131"/>
        <v>0</v>
      </c>
      <c r="O15606" s="549"/>
      <c r="P15606" s="549"/>
    </row>
    <row r="15607" spans="1:16" ht="17.399999999999999">
      <c r="A15607" s="549"/>
      <c r="B15607" s="549"/>
      <c r="C15607" s="549"/>
      <c r="D15607" s="549"/>
      <c r="E15607" s="549"/>
      <c r="F15607" s="549"/>
      <c r="G15607" s="549" t="s">
        <v>21</v>
      </c>
      <c r="H15607" s="549" t="s">
        <v>510</v>
      </c>
      <c r="I15607" s="647">
        <v>25.2</v>
      </c>
      <c r="J15607" s="567">
        <v>9.6</v>
      </c>
      <c r="K15607" s="648">
        <v>110</v>
      </c>
      <c r="L15607" s="552">
        <f t="shared" si="3130"/>
        <v>26.611199999999997</v>
      </c>
      <c r="M15607" s="549">
        <v>1</v>
      </c>
      <c r="N15607" s="567">
        <f t="shared" si="3131"/>
        <v>0.24192</v>
      </c>
      <c r="O15607" s="549"/>
      <c r="P15607" s="549"/>
    </row>
    <row r="15608" spans="1:16" ht="17.399999999999999">
      <c r="A15608" s="549"/>
      <c r="B15608" s="549"/>
      <c r="C15608" s="549"/>
      <c r="D15608" s="549"/>
      <c r="E15608" s="549"/>
      <c r="F15608" s="549"/>
      <c r="G15608" s="549" t="s">
        <v>21</v>
      </c>
      <c r="H15608" s="549" t="s">
        <v>510</v>
      </c>
      <c r="I15608" s="647">
        <v>25.2</v>
      </c>
      <c r="J15608" s="567">
        <v>11.6</v>
      </c>
      <c r="K15608" s="648">
        <v>31</v>
      </c>
      <c r="L15608" s="552">
        <f t="shared" si="3130"/>
        <v>9.0619200000000006</v>
      </c>
      <c r="M15608" s="549">
        <v>2</v>
      </c>
      <c r="N15608" s="567">
        <f t="shared" si="3131"/>
        <v>0.58463999999999994</v>
      </c>
      <c r="O15608" s="549"/>
      <c r="P15608" s="549"/>
    </row>
    <row r="15609" spans="1:16" ht="17.399999999999999">
      <c r="A15609" s="549"/>
      <c r="B15609" s="549"/>
      <c r="C15609" s="549"/>
      <c r="D15609" s="549"/>
      <c r="E15609" s="549"/>
      <c r="F15609" s="549"/>
      <c r="G15609" s="549" t="s">
        <v>21</v>
      </c>
      <c r="H15609" s="549" t="s">
        <v>510</v>
      </c>
      <c r="I15609" s="647">
        <v>25.2</v>
      </c>
      <c r="J15609" s="567">
        <v>12</v>
      </c>
      <c r="K15609" s="648">
        <v>38</v>
      </c>
      <c r="L15609" s="552">
        <f t="shared" si="3130"/>
        <v>11.491199999999999</v>
      </c>
      <c r="M15609" s="549"/>
      <c r="N15609" s="567">
        <f t="shared" si="3131"/>
        <v>0</v>
      </c>
      <c r="O15609" s="549"/>
      <c r="P15609" s="549"/>
    </row>
    <row r="15610" spans="1:16" ht="17.399999999999999">
      <c r="A15610" s="549"/>
      <c r="B15610" s="549"/>
      <c r="C15610" s="549"/>
      <c r="D15610" s="549"/>
      <c r="E15610" s="549"/>
      <c r="F15610" s="549"/>
      <c r="G15610" s="549"/>
      <c r="H15610" s="549"/>
      <c r="I15610" s="647"/>
      <c r="J15610" s="567"/>
      <c r="K15610" s="648">
        <f t="shared" ref="K15610:M15610" si="3132">SUM(K15604:K15609)</f>
        <v>415</v>
      </c>
      <c r="L15610" s="567">
        <f t="shared" si="3132"/>
        <v>85.380120000000005</v>
      </c>
      <c r="M15610" s="648">
        <f t="shared" si="3132"/>
        <v>3</v>
      </c>
      <c r="N15610" s="567">
        <f>SUM(N15604:N15609)</f>
        <v>0.82655999999999996</v>
      </c>
      <c r="O15610" s="549"/>
      <c r="P15610" s="549"/>
    </row>
    <row r="15611" spans="1:16" s="1737" customFormat="1" ht="17.399999999999999">
      <c r="A15611" s="549"/>
      <c r="B15611" s="549"/>
      <c r="C15611" s="549"/>
      <c r="D15611" s="549"/>
      <c r="E15611" s="549"/>
      <c r="F15611" s="549"/>
      <c r="G15611" s="549"/>
      <c r="H15611" s="549"/>
      <c r="I15611" s="647"/>
      <c r="J15611" s="567"/>
      <c r="K15611" s="648">
        <f>SUM(K15600:K15610)/2</f>
        <v>423</v>
      </c>
      <c r="L15611" s="567">
        <f>SUM(L15600:L15610)/2</f>
        <v>87.517080000000007</v>
      </c>
      <c r="M15611" s="648">
        <f>SUM(M15600:M15610)/2</f>
        <v>3</v>
      </c>
      <c r="N15611" s="567">
        <f>SUM(N15600:N15610)/2</f>
        <v>0.82655999999999996</v>
      </c>
      <c r="O15611" s="549"/>
      <c r="P15611" s="549" t="s">
        <v>1868</v>
      </c>
    </row>
    <row r="15612" spans="1:16" s="1737" customFormat="1" ht="17.399999999999999">
      <c r="A15612" s="549"/>
      <c r="B15612" s="549"/>
      <c r="C15612" s="549"/>
      <c r="D15612" s="549"/>
      <c r="E15612" s="549"/>
      <c r="F15612" s="549"/>
      <c r="G15612" s="549"/>
      <c r="H15612" s="549"/>
      <c r="I15612" s="647"/>
      <c r="J15612" s="567"/>
      <c r="K15612" s="648"/>
      <c r="L15612" s="567"/>
      <c r="M15612" s="549"/>
      <c r="N15612" s="549"/>
      <c r="O15612" s="549"/>
      <c r="P15612" s="549"/>
    </row>
    <row r="15613" spans="1:16" s="1737" customFormat="1" ht="17.399999999999999">
      <c r="A15613" s="549"/>
      <c r="B15613" s="549"/>
      <c r="C15613" s="549"/>
      <c r="D15613" s="549"/>
      <c r="E15613" s="549"/>
      <c r="F15613" s="549"/>
      <c r="G15613" s="549"/>
      <c r="H15613" s="549"/>
      <c r="I15613" s="647"/>
      <c r="J15613" s="567"/>
      <c r="K15613" s="648"/>
      <c r="L15613" s="567"/>
      <c r="M15613" s="549"/>
      <c r="N15613" s="549"/>
      <c r="O15613" s="549"/>
      <c r="P15613" s="549"/>
    </row>
    <row r="15614" spans="1:16" ht="17.399999999999999">
      <c r="A15614" s="547" t="s">
        <v>272</v>
      </c>
      <c r="B15614" s="547" t="s">
        <v>1665</v>
      </c>
      <c r="C15614" s="547" t="s">
        <v>446</v>
      </c>
      <c r="D15614" s="813" t="s">
        <v>447</v>
      </c>
      <c r="E15614" s="547" t="s">
        <v>359</v>
      </c>
      <c r="F15614" s="549">
        <v>16</v>
      </c>
      <c r="G15614" s="549" t="s">
        <v>21</v>
      </c>
      <c r="H15614" s="549" t="s">
        <v>177</v>
      </c>
      <c r="I15614" s="647">
        <v>27.29</v>
      </c>
      <c r="J15614" s="567">
        <v>7.5</v>
      </c>
      <c r="K15614" s="648">
        <v>42</v>
      </c>
      <c r="L15614" s="552">
        <f>(I15614*J15614*K15614/1000)</f>
        <v>8.5963499999999993</v>
      </c>
      <c r="M15614" s="549"/>
      <c r="N15614" s="549"/>
      <c r="O15614" s="549"/>
      <c r="P15614" s="549"/>
    </row>
    <row r="15615" spans="1:16" ht="17.399999999999999">
      <c r="A15615" s="549"/>
      <c r="B15615" s="549"/>
      <c r="C15615" s="549"/>
      <c r="D15615" s="549"/>
      <c r="E15615" s="549"/>
      <c r="F15615" s="549"/>
      <c r="G15615" s="549" t="s">
        <v>21</v>
      </c>
      <c r="H15615" s="549" t="s">
        <v>177</v>
      </c>
      <c r="I15615" s="647">
        <v>27.29</v>
      </c>
      <c r="J15615" s="567">
        <v>9.25</v>
      </c>
      <c r="K15615" s="648">
        <v>21</v>
      </c>
      <c r="L15615" s="552">
        <f>(I15615*J15615*K15615/1000)</f>
        <v>5.3010825000000006</v>
      </c>
      <c r="M15615" s="549"/>
      <c r="N15615" s="549"/>
      <c r="O15615" s="549"/>
      <c r="P15615" s="549"/>
    </row>
    <row r="15616" spans="1:16" ht="17.399999999999999">
      <c r="A15616" s="549"/>
      <c r="B15616" s="549"/>
      <c r="C15616" s="549"/>
      <c r="D15616" s="549"/>
      <c r="E15616" s="549"/>
      <c r="F15616" s="549"/>
      <c r="G15616" s="549" t="s">
        <v>21</v>
      </c>
      <c r="H15616" s="549" t="s">
        <v>177</v>
      </c>
      <c r="I15616" s="647">
        <v>27.29</v>
      </c>
      <c r="J15616" s="567">
        <v>12</v>
      </c>
      <c r="K15616" s="648">
        <v>30</v>
      </c>
      <c r="L15616" s="552">
        <f>(I15616*J15616*K15616/1000)</f>
        <v>9.8244000000000007</v>
      </c>
      <c r="M15616" s="549"/>
      <c r="N15616" s="549"/>
      <c r="O15616" s="549"/>
      <c r="P15616" s="549"/>
    </row>
    <row r="15617" spans="1:16" ht="17.399999999999999">
      <c r="A15617" s="549"/>
      <c r="B15617" s="549"/>
      <c r="C15617" s="549"/>
      <c r="D15617" s="549"/>
      <c r="E15617" s="549"/>
      <c r="F15617" s="549"/>
      <c r="G15617" s="549"/>
      <c r="H15617" s="549"/>
      <c r="I15617" s="647"/>
      <c r="J15617" s="567"/>
      <c r="K15617" s="648">
        <f t="shared" ref="K15617" si="3133">SUM(K15614:K15616)</f>
        <v>93</v>
      </c>
      <c r="L15617" s="567">
        <f>SUM(L15614:L15616)</f>
        <v>23.721832500000001</v>
      </c>
      <c r="M15617" s="549"/>
      <c r="N15617" s="549"/>
      <c r="O15617" s="549"/>
      <c r="P15617" s="549" t="s">
        <v>1869</v>
      </c>
    </row>
    <row r="15618" spans="1:16" s="1737" customFormat="1" ht="17.399999999999999">
      <c r="A15618" s="549"/>
      <c r="B15618" s="549"/>
      <c r="C15618" s="549"/>
      <c r="D15618" s="549"/>
      <c r="E15618" s="549"/>
      <c r="F15618" s="549"/>
      <c r="G15618" s="549"/>
      <c r="H15618" s="549"/>
      <c r="I15618" s="647"/>
      <c r="J15618" s="567"/>
      <c r="K15618" s="648"/>
      <c r="L15618" s="567"/>
      <c r="M15618" s="549"/>
      <c r="N15618" s="549"/>
      <c r="O15618" s="549"/>
      <c r="P15618" s="549"/>
    </row>
    <row r="15619" spans="1:16" s="1737" customFormat="1" ht="17.399999999999999">
      <c r="A15619" s="549"/>
      <c r="B15619" s="549"/>
      <c r="C15619" s="549"/>
      <c r="D15619" s="549"/>
      <c r="E15619" s="549"/>
      <c r="F15619" s="549"/>
      <c r="G15619" s="549"/>
      <c r="H15619" s="549"/>
      <c r="I15619" s="647"/>
      <c r="J15619" s="567"/>
      <c r="K15619" s="648"/>
      <c r="L15619" s="567"/>
      <c r="M15619" s="549"/>
      <c r="N15619" s="549"/>
      <c r="O15619" s="549"/>
      <c r="P15619" s="549"/>
    </row>
    <row r="15620" spans="1:16" ht="17.399999999999999">
      <c r="A15620" s="547" t="s">
        <v>272</v>
      </c>
      <c r="B15620" s="547" t="s">
        <v>1664</v>
      </c>
      <c r="C15620" s="547" t="s">
        <v>446</v>
      </c>
      <c r="D15620" s="813" t="s">
        <v>447</v>
      </c>
      <c r="E15620" s="547" t="s">
        <v>359</v>
      </c>
      <c r="F15620" s="549">
        <v>16</v>
      </c>
      <c r="G15620" s="549" t="s">
        <v>21</v>
      </c>
      <c r="H15620" s="549" t="s">
        <v>178</v>
      </c>
      <c r="I15620" s="647">
        <v>31.6</v>
      </c>
      <c r="J15620" s="567">
        <v>11.8</v>
      </c>
      <c r="K15620" s="648">
        <v>3</v>
      </c>
      <c r="L15620" s="552">
        <f>(I15620*J15620*K15620/1000)</f>
        <v>1.1186400000000001</v>
      </c>
      <c r="M15620" s="549"/>
      <c r="N15620" s="549"/>
      <c r="O15620" s="549"/>
      <c r="P15620" s="549"/>
    </row>
    <row r="15621" spans="1:16" ht="17.399999999999999">
      <c r="A15621" s="549"/>
      <c r="B15621" s="549"/>
      <c r="C15621" s="549"/>
      <c r="D15621" s="549"/>
      <c r="E15621" s="549"/>
      <c r="F15621" s="549"/>
      <c r="G15621" s="549"/>
      <c r="H15621" s="549"/>
      <c r="I15621" s="647"/>
      <c r="J15621" s="567"/>
      <c r="K15621" s="648">
        <f t="shared" ref="K15621:L15621" si="3134">SUM(K15620)</f>
        <v>3</v>
      </c>
      <c r="L15621" s="567">
        <f t="shared" si="3134"/>
        <v>1.1186400000000001</v>
      </c>
      <c r="M15621" s="549"/>
      <c r="N15621" s="549"/>
      <c r="O15621" s="549"/>
      <c r="P15621" s="549"/>
    </row>
    <row r="15622" spans="1:16" s="1737" customFormat="1" ht="17.399999999999999">
      <c r="A15622" s="549"/>
      <c r="B15622" s="549"/>
      <c r="C15622" s="549"/>
      <c r="D15622" s="549"/>
      <c r="E15622" s="549"/>
      <c r="F15622" s="549"/>
      <c r="G15622" s="549"/>
      <c r="H15622" s="549"/>
      <c r="I15622" s="647"/>
      <c r="J15622" s="567"/>
      <c r="K15622" s="648"/>
      <c r="L15622" s="567"/>
      <c r="M15622" s="549"/>
      <c r="N15622" s="549"/>
      <c r="O15622" s="549"/>
      <c r="P15622" s="549"/>
    </row>
    <row r="15623" spans="1:16" ht="17.399999999999999">
      <c r="A15623" s="547" t="s">
        <v>272</v>
      </c>
      <c r="B15623" s="547" t="s">
        <v>1665</v>
      </c>
      <c r="C15623" s="547" t="s">
        <v>446</v>
      </c>
      <c r="D15623" s="813" t="s">
        <v>447</v>
      </c>
      <c r="E15623" s="547" t="s">
        <v>359</v>
      </c>
      <c r="F15623" s="549">
        <v>16</v>
      </c>
      <c r="G15623" s="549" t="s">
        <v>21</v>
      </c>
      <c r="H15623" s="549" t="s">
        <v>178</v>
      </c>
      <c r="I15623" s="647">
        <v>31.6</v>
      </c>
      <c r="J15623" s="567">
        <v>6.35</v>
      </c>
      <c r="K15623" s="648">
        <v>109</v>
      </c>
      <c r="L15623" s="552">
        <f t="shared" ref="L15623:L15626" si="3135">(I15623*J15623*K15623/1000)</f>
        <v>21.871939999999999</v>
      </c>
      <c r="M15623" s="549"/>
      <c r="N15623" s="549"/>
      <c r="O15623" s="549"/>
      <c r="P15623" s="549"/>
    </row>
    <row r="15624" spans="1:16" ht="17.399999999999999">
      <c r="A15624" s="549"/>
      <c r="B15624" s="549"/>
      <c r="C15624" s="549"/>
      <c r="D15624" s="549"/>
      <c r="E15624" s="549"/>
      <c r="F15624" s="549"/>
      <c r="G15624" s="549" t="s">
        <v>21</v>
      </c>
      <c r="H15624" s="549" t="s">
        <v>178</v>
      </c>
      <c r="I15624" s="647">
        <v>31.6</v>
      </c>
      <c r="J15624" s="567">
        <v>7.35</v>
      </c>
      <c r="K15624" s="648">
        <v>84</v>
      </c>
      <c r="L15624" s="552">
        <f t="shared" si="3135"/>
        <v>19.509840000000001</v>
      </c>
      <c r="M15624" s="549"/>
      <c r="N15624" s="549"/>
      <c r="O15624" s="549"/>
      <c r="P15624" s="549"/>
    </row>
    <row r="15625" spans="1:16" ht="17.399999999999999">
      <c r="A15625" s="549"/>
      <c r="B15625" s="549"/>
      <c r="C15625" s="549"/>
      <c r="D15625" s="549"/>
      <c r="E15625" s="549"/>
      <c r="F15625" s="549"/>
      <c r="G15625" s="549" t="s">
        <v>21</v>
      </c>
      <c r="H15625" s="549" t="s">
        <v>178</v>
      </c>
      <c r="I15625" s="647">
        <v>31.6</v>
      </c>
      <c r="J15625" s="567">
        <v>10.5</v>
      </c>
      <c r="K15625" s="648">
        <v>30</v>
      </c>
      <c r="L15625" s="552">
        <f t="shared" si="3135"/>
        <v>9.9540000000000006</v>
      </c>
      <c r="M15625" s="549"/>
      <c r="N15625" s="549"/>
      <c r="O15625" s="549"/>
      <c r="P15625" s="549"/>
    </row>
    <row r="15626" spans="1:16" ht="17.399999999999999">
      <c r="A15626" s="549"/>
      <c r="B15626" s="549"/>
      <c r="C15626" s="549"/>
      <c r="D15626" s="549"/>
      <c r="E15626" s="549"/>
      <c r="F15626" s="549"/>
      <c r="G15626" s="549" t="s">
        <v>21</v>
      </c>
      <c r="H15626" s="549" t="s">
        <v>178</v>
      </c>
      <c r="I15626" s="647">
        <v>31.6</v>
      </c>
      <c r="J15626" s="567">
        <v>11.8</v>
      </c>
      <c r="K15626" s="648">
        <v>42</v>
      </c>
      <c r="L15626" s="552">
        <f t="shared" si="3135"/>
        <v>15.660960000000003</v>
      </c>
      <c r="M15626" s="549"/>
      <c r="N15626" s="549"/>
      <c r="O15626" s="549"/>
      <c r="P15626" s="549"/>
    </row>
    <row r="15627" spans="1:16" ht="17.399999999999999">
      <c r="A15627" s="549"/>
      <c r="B15627" s="549"/>
      <c r="C15627" s="549"/>
      <c r="D15627" s="549"/>
      <c r="E15627" s="549"/>
      <c r="F15627" s="549"/>
      <c r="G15627" s="549"/>
      <c r="H15627" s="549"/>
      <c r="I15627" s="647"/>
      <c r="J15627" s="567"/>
      <c r="K15627" s="648">
        <f t="shared" ref="K15627:L15627" si="3136">SUM(K15623:K15626)</f>
        <v>265</v>
      </c>
      <c r="L15627" s="567">
        <f t="shared" si="3136"/>
        <v>66.996740000000003</v>
      </c>
      <c r="M15627" s="549"/>
      <c r="N15627" s="549"/>
      <c r="O15627" s="549"/>
      <c r="P15627" s="549"/>
    </row>
    <row r="15628" spans="1:16" s="1737" customFormat="1" ht="17.399999999999999">
      <c r="A15628" s="549"/>
      <c r="B15628" s="549"/>
      <c r="C15628" s="549"/>
      <c r="D15628" s="549"/>
      <c r="E15628" s="549"/>
      <c r="F15628" s="549"/>
      <c r="G15628" s="549"/>
      <c r="H15628" s="549"/>
      <c r="I15628" s="647"/>
      <c r="J15628" s="567"/>
      <c r="K15628" s="648">
        <f>SUM(K15620:K15627)/2</f>
        <v>268</v>
      </c>
      <c r="L15628" s="567">
        <f>SUM(L15620:L15627)/2</f>
        <v>68.115380000000016</v>
      </c>
      <c r="M15628" s="549"/>
      <c r="N15628" s="549"/>
      <c r="O15628" s="549"/>
      <c r="P15628" s="549" t="s">
        <v>1870</v>
      </c>
    </row>
    <row r="15629" spans="1:16" s="1737" customFormat="1" ht="17.399999999999999">
      <c r="A15629" s="549"/>
      <c r="B15629" s="549"/>
      <c r="C15629" s="549"/>
      <c r="D15629" s="549"/>
      <c r="E15629" s="549"/>
      <c r="F15629" s="549"/>
      <c r="G15629" s="549"/>
      <c r="H15629" s="549"/>
      <c r="I15629" s="647"/>
      <c r="J15629" s="567"/>
      <c r="K15629" s="648"/>
      <c r="L15629" s="567"/>
      <c r="M15629" s="549"/>
      <c r="N15629" s="549"/>
      <c r="O15629" s="549"/>
      <c r="P15629" s="549"/>
    </row>
    <row r="15630" spans="1:16" s="1737" customFormat="1" ht="17.399999999999999">
      <c r="A15630" s="549"/>
      <c r="B15630" s="549"/>
      <c r="C15630" s="549"/>
      <c r="D15630" s="549"/>
      <c r="E15630" s="549"/>
      <c r="F15630" s="549"/>
      <c r="G15630" s="549"/>
      <c r="H15630" s="549"/>
      <c r="I15630" s="647"/>
      <c r="J15630" s="567"/>
      <c r="K15630" s="648"/>
      <c r="L15630" s="567"/>
      <c r="M15630" s="549"/>
      <c r="N15630" s="549"/>
      <c r="O15630" s="549"/>
      <c r="P15630" s="549"/>
    </row>
    <row r="15631" spans="1:16" ht="17.399999999999999">
      <c r="A15631" s="547" t="s">
        <v>272</v>
      </c>
      <c r="B15631" s="547" t="s">
        <v>1664</v>
      </c>
      <c r="C15631" s="547" t="s">
        <v>446</v>
      </c>
      <c r="D15631" s="813" t="s">
        <v>447</v>
      </c>
      <c r="E15631" s="547" t="s">
        <v>359</v>
      </c>
      <c r="F15631" s="549">
        <v>16</v>
      </c>
      <c r="G15631" s="549" t="s">
        <v>21</v>
      </c>
      <c r="H15631" s="549" t="s">
        <v>179</v>
      </c>
      <c r="I15631" s="647">
        <v>33.72</v>
      </c>
      <c r="J15631" s="567">
        <v>9.6999999999999993</v>
      </c>
      <c r="K15631" s="648">
        <v>24</v>
      </c>
      <c r="L15631" s="552">
        <f>(I15631*J15631*K15631/1000)</f>
        <v>7.8500159999999983</v>
      </c>
      <c r="M15631" s="549"/>
      <c r="N15631" s="549"/>
      <c r="O15631" s="549"/>
      <c r="P15631" s="549"/>
    </row>
    <row r="15632" spans="1:16" ht="17.399999999999999">
      <c r="A15632" s="549"/>
      <c r="B15632" s="549"/>
      <c r="C15632" s="549"/>
      <c r="D15632" s="549"/>
      <c r="E15632" s="549"/>
      <c r="F15632" s="549"/>
      <c r="G15632" s="549"/>
      <c r="H15632" s="549"/>
      <c r="I15632" s="647"/>
      <c r="J15632" s="567"/>
      <c r="K15632" s="648">
        <f t="shared" ref="K15632:L15632" si="3137">SUM(K15631)</f>
        <v>24</v>
      </c>
      <c r="L15632" s="567">
        <f t="shared" si="3137"/>
        <v>7.8500159999999983</v>
      </c>
      <c r="M15632" s="549"/>
      <c r="N15632" s="549"/>
      <c r="O15632" s="549"/>
      <c r="P15632" s="549" t="s">
        <v>1871</v>
      </c>
    </row>
    <row r="15633" spans="1:21" ht="17.399999999999999">
      <c r="A15633" s="549"/>
      <c r="B15633" s="549"/>
      <c r="C15633" s="549"/>
      <c r="D15633" s="549"/>
      <c r="E15633" s="549"/>
      <c r="F15633" s="549"/>
      <c r="G15633" s="549"/>
      <c r="H15633" s="549"/>
      <c r="I15633" s="558"/>
      <c r="J15633" s="549"/>
      <c r="K15633" s="561"/>
      <c r="L15633" s="568"/>
      <c r="M15633" s="549"/>
      <c r="N15633" s="549"/>
      <c r="O15633" s="549"/>
      <c r="P15633" s="549"/>
    </row>
    <row r="15634" spans="1:21" ht="17.399999999999999">
      <c r="A15634" s="549"/>
      <c r="B15634" s="549"/>
      <c r="C15634" s="549"/>
      <c r="D15634" s="549"/>
      <c r="E15634" s="549"/>
      <c r="F15634" s="549"/>
      <c r="G15634" s="549"/>
      <c r="H15634" s="549"/>
      <c r="I15634" s="558"/>
      <c r="J15634" s="549"/>
      <c r="K15634" s="561"/>
      <c r="L15634" s="568"/>
      <c r="M15634" s="549"/>
      <c r="N15634" s="549"/>
      <c r="O15634" s="549"/>
      <c r="P15634" s="549"/>
    </row>
    <row r="15635" spans="1:21" ht="17.399999999999999">
      <c r="A15635" s="547" t="s">
        <v>272</v>
      </c>
      <c r="B15635" s="547" t="s">
        <v>1758</v>
      </c>
      <c r="C15635" s="547" t="s">
        <v>446</v>
      </c>
      <c r="D15635" s="813" t="s">
        <v>447</v>
      </c>
      <c r="E15635" s="547" t="s">
        <v>359</v>
      </c>
      <c r="F15635" s="549">
        <v>16</v>
      </c>
      <c r="G15635" s="549" t="s">
        <v>21</v>
      </c>
      <c r="H15635" s="549" t="s">
        <v>260</v>
      </c>
      <c r="I15635" s="647">
        <v>38</v>
      </c>
      <c r="J15635" s="567">
        <v>6.2</v>
      </c>
      <c r="K15635" s="648">
        <v>4</v>
      </c>
      <c r="L15635" s="552">
        <f t="shared" ref="L15635" si="3138">(I15635*J15635*K15635/1000)</f>
        <v>0.94240000000000002</v>
      </c>
      <c r="M15635" s="549">
        <v>4</v>
      </c>
      <c r="N15635" s="567">
        <f t="shared" ref="N15635" si="3139">J15635*M15635*I15635/1000</f>
        <v>0.94240000000000002</v>
      </c>
      <c r="O15635" s="549"/>
      <c r="P15635" s="549"/>
    </row>
    <row r="15636" spans="1:21" ht="17.399999999999999">
      <c r="A15636" s="549"/>
      <c r="B15636" s="549"/>
      <c r="C15636" s="549"/>
      <c r="D15636" s="549"/>
      <c r="E15636" s="549"/>
      <c r="F15636" s="549"/>
      <c r="G15636" s="549"/>
      <c r="H15636" s="549"/>
      <c r="I15636" s="647"/>
      <c r="J15636" s="567"/>
      <c r="K15636" s="648">
        <f>SUM(K15635:K15635)</f>
        <v>4</v>
      </c>
      <c r="L15636" s="567">
        <f>SUM(L15635:L15635)</f>
        <v>0.94240000000000002</v>
      </c>
      <c r="M15636" s="648">
        <f>SUM(M15635:M15635)</f>
        <v>4</v>
      </c>
      <c r="N15636" s="567">
        <f>SUM(N15635:N15635)</f>
        <v>0.94240000000000002</v>
      </c>
      <c r="O15636" s="549"/>
      <c r="P15636" s="549"/>
    </row>
    <row r="15637" spans="1:21" ht="17.399999999999999">
      <c r="A15637" s="549"/>
      <c r="B15637" s="549"/>
      <c r="C15637" s="549"/>
      <c r="D15637" s="549"/>
      <c r="E15637" s="549"/>
      <c r="F15637" s="549"/>
      <c r="G15637" s="549"/>
      <c r="H15637" s="549"/>
      <c r="I15637" s="558"/>
      <c r="J15637" s="549"/>
      <c r="K15637" s="561"/>
      <c r="L15637" s="568"/>
      <c r="M15637" s="549"/>
      <c r="N15637" s="549"/>
      <c r="O15637" s="549"/>
      <c r="P15637" s="549"/>
    </row>
    <row r="15638" spans="1:21" ht="23.4">
      <c r="A15638" s="547" t="s">
        <v>272</v>
      </c>
      <c r="B15638" s="547" t="s">
        <v>1665</v>
      </c>
      <c r="C15638" s="547" t="s">
        <v>446</v>
      </c>
      <c r="D15638" s="813" t="s">
        <v>447</v>
      </c>
      <c r="E15638" s="547" t="s">
        <v>359</v>
      </c>
      <c r="F15638" s="549">
        <v>16</v>
      </c>
      <c r="G15638" s="549" t="s">
        <v>21</v>
      </c>
      <c r="H15638" s="549" t="s">
        <v>260</v>
      </c>
      <c r="I15638" s="647">
        <v>38</v>
      </c>
      <c r="J15638" s="567">
        <v>10.199999999999999</v>
      </c>
      <c r="K15638" s="648">
        <v>188</v>
      </c>
      <c r="L15638" s="552">
        <f>(I15638*J15638*K15638/1000)</f>
        <v>72.868799999999993</v>
      </c>
      <c r="M15638" s="549"/>
      <c r="N15638" s="549"/>
      <c r="O15638" s="549"/>
      <c r="P15638" s="549"/>
      <c r="Q15638" s="1945">
        <v>10.199999999999999</v>
      </c>
      <c r="R15638" s="1946">
        <v>60</v>
      </c>
      <c r="S15638" s="1946" t="s">
        <v>314</v>
      </c>
      <c r="T15638" s="1948" t="s">
        <v>335</v>
      </c>
      <c r="U15638" s="1946" t="s">
        <v>314</v>
      </c>
    </row>
    <row r="15639" spans="1:21" ht="23.4">
      <c r="A15639" s="549"/>
      <c r="B15639" s="549"/>
      <c r="C15639" s="549"/>
      <c r="D15639" s="549"/>
      <c r="E15639" s="549"/>
      <c r="F15639" s="549"/>
      <c r="G15639" s="549"/>
      <c r="H15639" s="549"/>
      <c r="I15639" s="647"/>
      <c r="J15639" s="567"/>
      <c r="K15639" s="648">
        <f t="shared" ref="K15639" si="3140">SUM(K15638)</f>
        <v>188</v>
      </c>
      <c r="L15639" s="567">
        <f>SUM(L15638)</f>
        <v>72.868799999999993</v>
      </c>
      <c r="M15639" s="549"/>
      <c r="N15639" s="549"/>
      <c r="O15639" s="549"/>
      <c r="P15639" s="549"/>
      <c r="Q15639" s="1946"/>
      <c r="R15639" s="1947">
        <v>5100</v>
      </c>
      <c r="S15639" s="1946">
        <v>150</v>
      </c>
      <c r="T15639" s="1949">
        <f>+S15639+R15639</f>
        <v>5250</v>
      </c>
      <c r="U15639" s="1946">
        <v>60</v>
      </c>
    </row>
    <row r="15640" spans="1:21" s="1737" customFormat="1" ht="23.4">
      <c r="A15640" s="549"/>
      <c r="B15640" s="549"/>
      <c r="C15640" s="549"/>
      <c r="D15640" s="549"/>
      <c r="E15640" s="549"/>
      <c r="F15640" s="549"/>
      <c r="G15640" s="549"/>
      <c r="H15640" s="549"/>
      <c r="I15640" s="647"/>
      <c r="J15640" s="567"/>
      <c r="K15640" s="648">
        <f>SUM(K15635:K15639)/2</f>
        <v>192</v>
      </c>
      <c r="L15640" s="565">
        <f>SUM(L15635:L15639)/2</f>
        <v>73.811199999999985</v>
      </c>
      <c r="M15640" s="648">
        <f>SUM(M15635:M15639)/2</f>
        <v>4</v>
      </c>
      <c r="N15640" s="565">
        <f>SUM(N15635:N15639)/2</f>
        <v>0.94240000000000002</v>
      </c>
      <c r="O15640" s="549"/>
      <c r="P15640" s="549" t="s">
        <v>1872</v>
      </c>
      <c r="Q15640" s="1946"/>
      <c r="R15640" s="1947">
        <v>4952</v>
      </c>
      <c r="S15640" s="1946">
        <v>150</v>
      </c>
      <c r="T15640" s="1949">
        <f>+S15640+R15640</f>
        <v>5102</v>
      </c>
      <c r="U15640" s="1946">
        <v>60</v>
      </c>
    </row>
    <row r="15641" spans="1:21" s="1737" customFormat="1" ht="17.399999999999999">
      <c r="A15641" s="549"/>
      <c r="B15641" s="549"/>
      <c r="C15641" s="549"/>
      <c r="D15641" s="549"/>
      <c r="E15641" s="549"/>
      <c r="F15641" s="549"/>
      <c r="G15641" s="549"/>
      <c r="H15641" s="549"/>
      <c r="I15641" s="647"/>
      <c r="J15641" s="567"/>
      <c r="K15641" s="648"/>
      <c r="L15641" s="567"/>
      <c r="M15641" s="549"/>
      <c r="N15641" s="549"/>
      <c r="O15641" s="549"/>
      <c r="P15641" s="549"/>
    </row>
    <row r="15642" spans="1:21" ht="17.399999999999999">
      <c r="A15642" s="549"/>
      <c r="B15642" s="549"/>
      <c r="C15642" s="549"/>
      <c r="D15642" s="549"/>
      <c r="E15642" s="549"/>
      <c r="F15642" s="549"/>
      <c r="G15642" s="549"/>
      <c r="H15642" s="549"/>
      <c r="I15642" s="558"/>
      <c r="J15642" s="549"/>
      <c r="K15642" s="561"/>
      <c r="L15642" s="568"/>
      <c r="M15642" s="549"/>
      <c r="N15642" s="549"/>
      <c r="O15642" s="549"/>
      <c r="P15642" s="549"/>
    </row>
    <row r="15643" spans="1:21" s="1737" customFormat="1" ht="17.399999999999999">
      <c r="A15643" s="549"/>
      <c r="B15643" s="549"/>
      <c r="C15643" s="549"/>
      <c r="D15643" s="549"/>
      <c r="E15643" s="549"/>
      <c r="F15643" s="549"/>
      <c r="G15643" s="549"/>
      <c r="H15643" s="549"/>
      <c r="I15643" s="647"/>
      <c r="J15643" s="567"/>
      <c r="K15643" s="648"/>
      <c r="L15643" s="567"/>
      <c r="M15643" s="549"/>
      <c r="N15643" s="549"/>
      <c r="O15643" s="549"/>
      <c r="P15643" s="549"/>
    </row>
    <row r="15644" spans="1:21" ht="17.399999999999999">
      <c r="A15644" s="547" t="s">
        <v>272</v>
      </c>
      <c r="B15644" s="547" t="s">
        <v>1665</v>
      </c>
      <c r="C15644" s="547" t="s">
        <v>446</v>
      </c>
      <c r="D15644" s="813" t="s">
        <v>447</v>
      </c>
      <c r="E15644" s="547" t="s">
        <v>359</v>
      </c>
      <c r="F15644" s="549">
        <v>16</v>
      </c>
      <c r="G15644" s="549" t="s">
        <v>21</v>
      </c>
      <c r="H15644" s="549" t="s">
        <v>181</v>
      </c>
      <c r="I15644" s="647">
        <v>40.01</v>
      </c>
      <c r="J15644" s="567">
        <v>9.8000000000000007</v>
      </c>
      <c r="K15644" s="648">
        <v>4</v>
      </c>
      <c r="L15644" s="552">
        <f>(I15644*J15644*K15644/1000)</f>
        <v>1.568392</v>
      </c>
      <c r="M15644" s="549"/>
      <c r="N15644" s="549"/>
      <c r="O15644" s="549"/>
      <c r="P15644" s="549"/>
    </row>
    <row r="15645" spans="1:21" ht="17.399999999999999">
      <c r="A15645" s="549"/>
      <c r="B15645" s="549"/>
      <c r="C15645" s="549"/>
      <c r="D15645" s="549"/>
      <c r="E15645" s="549"/>
      <c r="F15645" s="549"/>
      <c r="G15645" s="549"/>
      <c r="H15645" s="549"/>
      <c r="I15645" s="647"/>
      <c r="J15645" s="567"/>
      <c r="K15645" s="648">
        <f t="shared" ref="K15645" si="3141">SUM(K15644)</f>
        <v>4</v>
      </c>
      <c r="L15645" s="567">
        <f>SUM(L15644)</f>
        <v>1.568392</v>
      </c>
      <c r="M15645" s="549"/>
      <c r="N15645" s="549"/>
      <c r="O15645" s="549"/>
      <c r="P15645" s="549" t="s">
        <v>1873</v>
      </c>
    </row>
    <row r="15646" spans="1:21" ht="17.399999999999999">
      <c r="A15646" s="549"/>
      <c r="B15646" s="549"/>
      <c r="C15646" s="549"/>
      <c r="D15646" s="549"/>
      <c r="E15646" s="549"/>
      <c r="F15646" s="549"/>
      <c r="G15646" s="549"/>
      <c r="H15646" s="549"/>
      <c r="I15646" s="558"/>
      <c r="J15646" s="549"/>
      <c r="K15646" s="561"/>
      <c r="L15646" s="568"/>
      <c r="M15646" s="549"/>
      <c r="N15646" s="549"/>
      <c r="O15646" s="549"/>
      <c r="P15646" s="549"/>
    </row>
    <row r="15647" spans="1:21" s="1737" customFormat="1" ht="17.399999999999999">
      <c r="A15647" s="547" t="s">
        <v>83</v>
      </c>
      <c r="B15647" s="547" t="s">
        <v>1849</v>
      </c>
      <c r="C15647" s="547" t="s">
        <v>19</v>
      </c>
      <c r="D15647" s="813" t="s">
        <v>854</v>
      </c>
      <c r="E15647" s="650" t="s">
        <v>878</v>
      </c>
      <c r="F15647" s="549">
        <v>16</v>
      </c>
      <c r="G15647" s="549" t="s">
        <v>21</v>
      </c>
      <c r="H15647" s="549" t="s">
        <v>181</v>
      </c>
      <c r="I15647" s="647">
        <v>40.1</v>
      </c>
      <c r="J15647" s="567">
        <v>10</v>
      </c>
      <c r="K15647" s="648">
        <v>7</v>
      </c>
      <c r="L15647" s="552">
        <f>(I15647*J15647*K15647/1000)</f>
        <v>2.8069999999999999</v>
      </c>
      <c r="M15647" s="549"/>
      <c r="N15647" s="549"/>
      <c r="O15647" s="549"/>
      <c r="P15647" s="549"/>
    </row>
    <row r="15648" spans="1:21" s="1737" customFormat="1" ht="17.399999999999999">
      <c r="A15648" s="547"/>
      <c r="B15648" s="549" t="s">
        <v>1135</v>
      </c>
      <c r="C15648" s="547"/>
      <c r="D15648" s="813"/>
      <c r="E15648" s="547"/>
      <c r="F15648" s="550"/>
      <c r="G15648" s="549"/>
      <c r="H15648" s="549"/>
      <c r="I15648" s="647"/>
      <c r="J15648" s="567"/>
      <c r="K15648" s="648">
        <f t="shared" ref="K15648" si="3142">SUM(K15647)</f>
        <v>7</v>
      </c>
      <c r="L15648" s="567">
        <f>SUM(L15647)</f>
        <v>2.8069999999999999</v>
      </c>
      <c r="M15648" s="549"/>
      <c r="N15648" s="549"/>
      <c r="O15648" s="549"/>
      <c r="P15648" s="549" t="s">
        <v>1874</v>
      </c>
    </row>
    <row r="15649" spans="1:16" s="1737" customFormat="1" ht="17.399999999999999">
      <c r="A15649" s="549"/>
      <c r="B15649" s="549"/>
      <c r="C15649" s="549"/>
      <c r="D15649" s="549"/>
      <c r="E15649" s="549"/>
      <c r="F15649" s="549"/>
      <c r="G15649" s="549"/>
      <c r="H15649" s="549"/>
      <c r="I15649" s="558"/>
      <c r="J15649" s="549"/>
      <c r="K15649" s="561"/>
      <c r="L15649" s="568"/>
      <c r="M15649" s="549"/>
      <c r="N15649" s="549"/>
      <c r="O15649" s="549"/>
      <c r="P15649" s="549"/>
    </row>
    <row r="15650" spans="1:16" s="1737" customFormat="1" ht="17.399999999999999">
      <c r="A15650" s="547" t="s">
        <v>395</v>
      </c>
      <c r="B15650" s="547" t="s">
        <v>1745</v>
      </c>
      <c r="C15650" s="547" t="s">
        <v>19</v>
      </c>
      <c r="D15650" s="813" t="s">
        <v>854</v>
      </c>
      <c r="E15650" s="547" t="s">
        <v>359</v>
      </c>
      <c r="F15650" s="549">
        <v>16</v>
      </c>
      <c r="G15650" s="549" t="s">
        <v>21</v>
      </c>
      <c r="H15650" s="549" t="s">
        <v>181</v>
      </c>
      <c r="I15650" s="647">
        <v>40.01</v>
      </c>
      <c r="J15650" s="567">
        <v>8.5</v>
      </c>
      <c r="K15650" s="648">
        <v>2</v>
      </c>
      <c r="L15650" s="552">
        <f>(I15650*J15650*K15650/1000)</f>
        <v>0.68016999999999994</v>
      </c>
      <c r="M15650" s="549"/>
      <c r="N15650" s="549"/>
      <c r="O15650" s="549"/>
      <c r="P15650" s="549"/>
    </row>
    <row r="15651" spans="1:16" s="1737" customFormat="1" ht="17.399999999999999">
      <c r="A15651" s="549"/>
      <c r="B15651" s="549" t="s">
        <v>1027</v>
      </c>
      <c r="C15651" s="549"/>
      <c r="D15651" s="549"/>
      <c r="E15651" s="549"/>
      <c r="F15651" s="549"/>
      <c r="G15651" s="549"/>
      <c r="H15651" s="549"/>
      <c r="I15651" s="647"/>
      <c r="J15651" s="567"/>
      <c r="K15651" s="648">
        <f t="shared" ref="K15651:L15651" si="3143">SUM(K15650)</f>
        <v>2</v>
      </c>
      <c r="L15651" s="765">
        <f t="shared" si="3143"/>
        <v>0.68016999999999994</v>
      </c>
      <c r="M15651" s="549"/>
      <c r="N15651" s="549"/>
      <c r="O15651" s="549"/>
      <c r="P15651" s="549" t="s">
        <v>1875</v>
      </c>
    </row>
    <row r="15652" spans="1:16" s="1737" customFormat="1" ht="17.399999999999999">
      <c r="A15652" s="549"/>
      <c r="B15652" s="549"/>
      <c r="C15652" s="549"/>
      <c r="D15652" s="549"/>
      <c r="E15652" s="549"/>
      <c r="F15652" s="549"/>
      <c r="G15652" s="549"/>
      <c r="H15652" s="549"/>
      <c r="I15652" s="647"/>
      <c r="J15652" s="567"/>
      <c r="K15652" s="766">
        <f>SUM(K15644:K15651)/2</f>
        <v>13</v>
      </c>
      <c r="L15652" s="765">
        <f>SUM(L15644:L15651)/2</f>
        <v>5.0555620000000001</v>
      </c>
      <c r="M15652" s="549"/>
      <c r="N15652" s="549"/>
      <c r="O15652" s="549"/>
      <c r="P15652" s="549"/>
    </row>
    <row r="15653" spans="1:16" ht="17.399999999999999">
      <c r="A15653" s="549"/>
      <c r="B15653" s="549"/>
      <c r="C15653" s="549"/>
      <c r="D15653" s="549"/>
      <c r="E15653" s="549"/>
      <c r="F15653" s="549"/>
      <c r="G15653" s="549"/>
      <c r="H15653" s="549"/>
      <c r="I15653" s="558"/>
      <c r="J15653" s="549"/>
      <c r="K15653" s="561"/>
      <c r="L15653" s="568"/>
      <c r="M15653" s="549"/>
      <c r="N15653" s="549"/>
      <c r="O15653" s="549"/>
      <c r="P15653" s="549"/>
    </row>
    <row r="15654" spans="1:16" ht="17.399999999999999">
      <c r="A15654" s="549"/>
      <c r="B15654" s="549"/>
      <c r="C15654" s="549"/>
      <c r="D15654" s="549"/>
      <c r="E15654" s="549"/>
      <c r="F15654" s="549"/>
      <c r="G15654" s="549"/>
      <c r="H15654" s="549"/>
      <c r="I15654" s="558"/>
      <c r="J15654" s="549"/>
      <c r="K15654" s="561"/>
      <c r="L15654" s="568"/>
      <c r="M15654" s="549"/>
      <c r="N15654" s="549"/>
      <c r="O15654" s="549"/>
      <c r="P15654" s="549"/>
    </row>
    <row r="15655" spans="1:16" ht="17.399999999999999">
      <c r="A15655" s="547" t="s">
        <v>83</v>
      </c>
      <c r="B15655" s="547" t="s">
        <v>1848</v>
      </c>
      <c r="C15655" s="547" t="s">
        <v>446</v>
      </c>
      <c r="D15655" s="813" t="s">
        <v>447</v>
      </c>
      <c r="E15655" s="547" t="s">
        <v>359</v>
      </c>
      <c r="F15655" s="549">
        <v>16</v>
      </c>
      <c r="G15655" s="549" t="s">
        <v>21</v>
      </c>
      <c r="H15655" s="549" t="s">
        <v>176</v>
      </c>
      <c r="I15655" s="647">
        <v>22.93</v>
      </c>
      <c r="J15655" s="567">
        <v>6</v>
      </c>
      <c r="K15655" s="648">
        <v>2</v>
      </c>
      <c r="L15655" s="552">
        <f>(I15655*J15655*K15655/1000)</f>
        <v>0.27515999999999996</v>
      </c>
      <c r="M15655" s="549">
        <v>2</v>
      </c>
      <c r="N15655" s="567">
        <f t="shared" ref="N15655" si="3144">J15655*M15655*I15655/1000</f>
        <v>0.27515999999999996</v>
      </c>
      <c r="O15655" s="549"/>
      <c r="P15655" s="549"/>
    </row>
    <row r="15656" spans="1:16" ht="17.399999999999999">
      <c r="A15656" s="549"/>
      <c r="B15656" s="549"/>
      <c r="C15656" s="549"/>
      <c r="D15656" s="549"/>
      <c r="E15656" s="549"/>
      <c r="F15656" s="549"/>
      <c r="G15656" s="549"/>
      <c r="H15656" s="549"/>
      <c r="I15656" s="647"/>
      <c r="J15656" s="567"/>
      <c r="K15656" s="648">
        <f>SUM(K15655)</f>
        <v>2</v>
      </c>
      <c r="L15656" s="567">
        <f>SUM(L15655)</f>
        <v>0.27515999999999996</v>
      </c>
      <c r="M15656" s="648">
        <f>SUM(M15655)</f>
        <v>2</v>
      </c>
      <c r="N15656" s="567">
        <f>SUM(N15655)</f>
        <v>0.27515999999999996</v>
      </c>
      <c r="O15656" s="549"/>
      <c r="P15656" s="549"/>
    </row>
    <row r="15657" spans="1:16" ht="17.399999999999999">
      <c r="A15657" s="549"/>
      <c r="B15657" s="549"/>
      <c r="C15657" s="549"/>
      <c r="D15657" s="549"/>
      <c r="E15657" s="549"/>
      <c r="F15657" s="549"/>
      <c r="G15657" s="549"/>
      <c r="H15657" s="549"/>
      <c r="I15657" s="558"/>
      <c r="J15657" s="549"/>
      <c r="K15657" s="561"/>
      <c r="L15657" s="568"/>
      <c r="M15657" s="549"/>
      <c r="N15657" s="549"/>
      <c r="O15657" s="549"/>
      <c r="P15657" s="549"/>
    </row>
    <row r="15658" spans="1:16" ht="17.399999999999999">
      <c r="A15658" s="549"/>
      <c r="B15658" s="549"/>
      <c r="C15658" s="549"/>
      <c r="D15658" s="549"/>
      <c r="E15658" s="549"/>
      <c r="F15658" s="549"/>
      <c r="G15658" s="549"/>
      <c r="H15658" s="549"/>
      <c r="I15658" s="558"/>
      <c r="J15658" s="549"/>
      <c r="K15658" s="561"/>
      <c r="L15658" s="568"/>
      <c r="M15658" s="549"/>
      <c r="N15658" s="549"/>
      <c r="O15658" s="549"/>
      <c r="P15658" s="549"/>
    </row>
    <row r="15659" spans="1:16" ht="17.399999999999999">
      <c r="A15659" s="547" t="s">
        <v>83</v>
      </c>
      <c r="B15659" s="547" t="s">
        <v>1747</v>
      </c>
      <c r="C15659" s="547" t="s">
        <v>19</v>
      </c>
      <c r="D15659" s="813" t="s">
        <v>854</v>
      </c>
      <c r="E15659" s="832" t="s">
        <v>464</v>
      </c>
      <c r="F15659" s="549">
        <v>16</v>
      </c>
      <c r="G15659" s="549" t="s">
        <v>21</v>
      </c>
      <c r="H15659" s="549" t="s">
        <v>518</v>
      </c>
      <c r="I15659" s="647">
        <v>29.5</v>
      </c>
      <c r="J15659" s="567">
        <v>7.3</v>
      </c>
      <c r="K15659" s="648">
        <v>2</v>
      </c>
      <c r="L15659" s="552">
        <f>(I15659*J15659*K15659/1000)</f>
        <v>0.43069999999999997</v>
      </c>
      <c r="M15659" s="549">
        <v>2</v>
      </c>
      <c r="N15659" s="567">
        <f t="shared" ref="N15659" si="3145">J15659*M15659*I15659/1000</f>
        <v>0.43069999999999997</v>
      </c>
      <c r="O15659" s="549"/>
      <c r="P15659" s="549"/>
    </row>
    <row r="15660" spans="1:16" ht="17.399999999999999">
      <c r="A15660" s="547"/>
      <c r="B15660" s="549" t="s">
        <v>439</v>
      </c>
      <c r="C15660" s="547"/>
      <c r="D15660" s="813"/>
      <c r="E15660" s="547"/>
      <c r="F15660" s="550"/>
      <c r="G15660" s="549"/>
      <c r="H15660" s="549"/>
      <c r="I15660" s="647"/>
      <c r="J15660" s="567"/>
      <c r="K15660" s="648">
        <f t="shared" ref="K15660:M15660" si="3146">SUM(K15659)</f>
        <v>2</v>
      </c>
      <c r="L15660" s="567">
        <f>SUM(L15659)</f>
        <v>0.43069999999999997</v>
      </c>
      <c r="M15660" s="648">
        <f t="shared" si="3146"/>
        <v>2</v>
      </c>
      <c r="N15660" s="567">
        <f>SUM(N15659)</f>
        <v>0.43069999999999997</v>
      </c>
      <c r="O15660" s="549"/>
      <c r="P15660" s="549"/>
    </row>
    <row r="15661" spans="1:16" ht="17.399999999999999">
      <c r="A15661" s="549"/>
      <c r="B15661" s="549"/>
      <c r="C15661" s="549"/>
      <c r="D15661" s="549"/>
      <c r="E15661" s="549"/>
      <c r="F15661" s="549"/>
      <c r="G15661" s="549"/>
      <c r="H15661" s="549"/>
      <c r="I15661" s="560"/>
      <c r="J15661" s="549"/>
      <c r="K15661" s="561"/>
      <c r="L15661" s="560"/>
      <c r="M15661" s="549"/>
      <c r="N15661" s="549"/>
      <c r="O15661" s="549"/>
      <c r="P15661" s="549"/>
    </row>
    <row r="15662" spans="1:16" s="1737" customFormat="1" ht="17.399999999999999">
      <c r="A15662" s="549"/>
      <c r="B15662" s="549"/>
      <c r="C15662" s="549"/>
      <c r="D15662" s="549"/>
      <c r="E15662" s="549"/>
      <c r="F15662" s="549"/>
      <c r="G15662" s="549"/>
      <c r="H15662" s="549"/>
      <c r="I15662" s="560"/>
      <c r="J15662" s="549"/>
      <c r="K15662" s="561"/>
      <c r="L15662" s="560"/>
      <c r="M15662" s="549"/>
      <c r="N15662" s="549"/>
      <c r="O15662" s="549"/>
      <c r="P15662" s="549"/>
    </row>
    <row r="15663" spans="1:16" s="1737" customFormat="1" ht="17.399999999999999">
      <c r="A15663" s="549"/>
      <c r="B15663" s="549"/>
      <c r="C15663" s="549"/>
      <c r="D15663" s="549"/>
      <c r="E15663" s="549"/>
      <c r="F15663" s="549"/>
      <c r="G15663" s="549"/>
      <c r="H15663" s="549"/>
      <c r="I15663" s="560"/>
      <c r="J15663" s="549"/>
      <c r="K15663" s="561"/>
      <c r="L15663" s="560"/>
      <c r="M15663" s="549"/>
      <c r="N15663" s="549"/>
      <c r="O15663" s="549"/>
      <c r="P15663" s="549"/>
    </row>
    <row r="15664" spans="1:16" s="1737" customFormat="1" ht="17.399999999999999">
      <c r="A15664" s="549"/>
      <c r="B15664" s="549"/>
      <c r="C15664" s="549"/>
      <c r="D15664" s="549"/>
      <c r="E15664" s="549"/>
      <c r="F15664" s="549"/>
      <c r="G15664" s="549"/>
      <c r="H15664" s="549"/>
      <c r="I15664" s="560"/>
      <c r="J15664" s="549"/>
      <c r="K15664" s="561"/>
      <c r="L15664" s="560"/>
      <c r="M15664" s="549"/>
      <c r="N15664" s="549"/>
      <c r="O15664" s="549"/>
      <c r="P15664" s="549"/>
    </row>
    <row r="15665" spans="1:16" s="1737" customFormat="1" ht="17.399999999999999">
      <c r="A15665" s="549"/>
      <c r="B15665" s="549"/>
      <c r="C15665" s="549"/>
      <c r="D15665" s="549"/>
      <c r="E15665" s="549"/>
      <c r="F15665" s="549"/>
      <c r="G15665" s="549"/>
      <c r="H15665" s="549"/>
      <c r="I15665" s="560"/>
      <c r="J15665" s="549"/>
      <c r="K15665" s="561"/>
      <c r="L15665" s="560"/>
      <c r="M15665" s="549"/>
      <c r="N15665" s="549"/>
      <c r="O15665" s="549"/>
      <c r="P15665" s="549"/>
    </row>
    <row r="15666" spans="1:16" s="1737" customFormat="1" ht="17.399999999999999">
      <c r="A15666" s="549"/>
      <c r="B15666" s="549"/>
      <c r="C15666" s="549"/>
      <c r="D15666" s="549"/>
      <c r="E15666" s="549"/>
      <c r="F15666" s="549"/>
      <c r="G15666" s="549"/>
      <c r="H15666" s="549"/>
      <c r="I15666" s="560"/>
      <c r="J15666" s="549"/>
      <c r="K15666" s="561"/>
      <c r="L15666" s="560"/>
      <c r="M15666" s="549"/>
      <c r="N15666" s="549"/>
      <c r="O15666" s="549"/>
      <c r="P15666" s="549"/>
    </row>
    <row r="15667" spans="1:16" s="1737" customFormat="1" ht="17.399999999999999">
      <c r="A15667" s="547" t="s">
        <v>541</v>
      </c>
      <c r="B15667" s="547" t="s">
        <v>1846</v>
      </c>
      <c r="C15667" s="547" t="s">
        <v>19</v>
      </c>
      <c r="D15667" s="813" t="s">
        <v>854</v>
      </c>
      <c r="E15667" s="650" t="s">
        <v>990</v>
      </c>
      <c r="F15667" s="549">
        <v>16</v>
      </c>
      <c r="G15667" s="549" t="s">
        <v>21</v>
      </c>
      <c r="H15667" s="549" t="s">
        <v>177</v>
      </c>
      <c r="I15667" s="647">
        <v>27.3</v>
      </c>
      <c r="J15667" s="567">
        <v>8.9</v>
      </c>
      <c r="K15667" s="648">
        <v>1</v>
      </c>
      <c r="L15667" s="552">
        <f>(I15667*J15667*K15667/1000)</f>
        <v>0.24297000000000002</v>
      </c>
      <c r="M15667" s="549"/>
      <c r="N15667" s="567"/>
      <c r="O15667" s="549"/>
      <c r="P15667" s="549"/>
    </row>
    <row r="15668" spans="1:16" s="1737" customFormat="1" ht="17.399999999999999">
      <c r="A15668" s="549"/>
      <c r="B15668" s="549"/>
      <c r="C15668" s="549"/>
      <c r="D15668" s="549"/>
      <c r="E15668" s="549"/>
      <c r="F15668" s="549"/>
      <c r="G15668" s="549"/>
      <c r="H15668" s="549"/>
      <c r="I15668" s="647"/>
      <c r="J15668" s="567"/>
      <c r="K15668" s="648">
        <f>SUM(K15667:K15667)</f>
        <v>1</v>
      </c>
      <c r="L15668" s="567">
        <f>SUM(L15667:L15667)</f>
        <v>0.24297000000000002</v>
      </c>
      <c r="M15668" s="733" t="s">
        <v>73</v>
      </c>
      <c r="N15668" s="567"/>
      <c r="O15668" s="549"/>
      <c r="P15668" s="549"/>
    </row>
    <row r="15669" spans="1:16" s="1737" customFormat="1" ht="17.399999999999999">
      <c r="A15669" s="549"/>
      <c r="B15669" s="549"/>
      <c r="C15669" s="549"/>
      <c r="D15669" s="549"/>
      <c r="E15669" s="549"/>
      <c r="F15669" s="549"/>
      <c r="G15669" s="549"/>
      <c r="H15669" s="549"/>
      <c r="I15669" s="560"/>
      <c r="J15669" s="549"/>
      <c r="K15669" s="561"/>
      <c r="L15669" s="560"/>
      <c r="M15669" s="549"/>
      <c r="N15669" s="549"/>
      <c r="O15669" s="549"/>
      <c r="P15669" s="549"/>
    </row>
    <row r="15670" spans="1:16" s="1737" customFormat="1" ht="17.399999999999999">
      <c r="A15670" s="547" t="s">
        <v>541</v>
      </c>
      <c r="B15670" s="547" t="s">
        <v>1909</v>
      </c>
      <c r="C15670" s="547" t="s">
        <v>19</v>
      </c>
      <c r="D15670" s="813" t="s">
        <v>854</v>
      </c>
      <c r="E15670" s="650" t="s">
        <v>990</v>
      </c>
      <c r="F15670" s="549">
        <v>16</v>
      </c>
      <c r="G15670" s="549" t="s">
        <v>21</v>
      </c>
      <c r="H15670" s="549" t="s">
        <v>177</v>
      </c>
      <c r="I15670" s="647">
        <v>27.3</v>
      </c>
      <c r="J15670" s="567">
        <v>10.3</v>
      </c>
      <c r="K15670" s="648">
        <v>4</v>
      </c>
      <c r="L15670" s="552">
        <f>(I15670*J15670*K15670/1000)</f>
        <v>1.1247600000000002</v>
      </c>
      <c r="M15670" s="549"/>
      <c r="N15670" s="549"/>
      <c r="O15670" s="549"/>
      <c r="P15670" s="549"/>
    </row>
    <row r="15671" spans="1:16" s="1737" customFormat="1" ht="17.399999999999999">
      <c r="A15671" s="549"/>
      <c r="B15671" s="549" t="s">
        <v>1910</v>
      </c>
      <c r="C15671" s="549"/>
      <c r="D15671" s="549"/>
      <c r="E15671" s="549"/>
      <c r="F15671" s="549"/>
      <c r="G15671" s="549"/>
      <c r="H15671" s="549"/>
      <c r="I15671" s="647"/>
      <c r="J15671" s="567"/>
      <c r="K15671" s="648">
        <f>SUM(K15670:K15670)</f>
        <v>4</v>
      </c>
      <c r="L15671" s="567">
        <f>SUM(L15670:L15670)</f>
        <v>1.1247600000000002</v>
      </c>
      <c r="M15671" s="549"/>
      <c r="N15671" s="549"/>
      <c r="O15671" s="549"/>
      <c r="P15671" s="549" t="s">
        <v>1866</v>
      </c>
    </row>
    <row r="15672" spans="1:16" s="1737" customFormat="1" ht="17.399999999999999">
      <c r="A15672" s="549"/>
      <c r="B15672" s="549"/>
      <c r="C15672" s="549"/>
      <c r="D15672" s="549"/>
      <c r="E15672" s="549"/>
      <c r="F15672" s="549"/>
      <c r="G15672" s="549"/>
      <c r="H15672" s="549"/>
      <c r="I15672" s="560"/>
      <c r="J15672" s="549"/>
      <c r="K15672" s="652">
        <f>SUM(K15667:K15671)/2</f>
        <v>5</v>
      </c>
      <c r="L15672" s="565">
        <f>SUM(L15667:L15671)/2</f>
        <v>1.3677300000000003</v>
      </c>
      <c r="M15672" s="549"/>
      <c r="N15672" s="549"/>
      <c r="O15672" s="549"/>
      <c r="P15672" s="549"/>
    </row>
    <row r="15673" spans="1:16" s="1737" customFormat="1" ht="17.399999999999999">
      <c r="A15673" s="549"/>
      <c r="B15673" s="549"/>
      <c r="C15673" s="549"/>
      <c r="D15673" s="549"/>
      <c r="E15673" s="549"/>
      <c r="F15673" s="549"/>
      <c r="G15673" s="549"/>
      <c r="H15673" s="549"/>
      <c r="I15673" s="560"/>
      <c r="J15673" s="549"/>
      <c r="K15673" s="561"/>
      <c r="L15673" s="560"/>
      <c r="M15673" s="549"/>
      <c r="N15673" s="549"/>
      <c r="O15673" s="549"/>
      <c r="P15673" s="549"/>
    </row>
    <row r="15674" spans="1:16" s="1737" customFormat="1" ht="17.399999999999999">
      <c r="A15674" s="549"/>
      <c r="B15674" s="549"/>
      <c r="C15674" s="549"/>
      <c r="D15674" s="549"/>
      <c r="E15674" s="549"/>
      <c r="F15674" s="549"/>
      <c r="G15674" s="549"/>
      <c r="H15674" s="549"/>
      <c r="I15674" s="560"/>
      <c r="J15674" s="549"/>
      <c r="K15674" s="561"/>
      <c r="L15674" s="560"/>
      <c r="M15674" s="549"/>
      <c r="N15674" s="549"/>
      <c r="O15674" s="549"/>
      <c r="P15674" s="549"/>
    </row>
    <row r="15675" spans="1:16" s="1737" customFormat="1" ht="17.399999999999999">
      <c r="A15675" s="547" t="s">
        <v>541</v>
      </c>
      <c r="B15675" s="547" t="s">
        <v>1909</v>
      </c>
      <c r="C15675" s="547" t="s">
        <v>19</v>
      </c>
      <c r="D15675" s="813" t="s">
        <v>854</v>
      </c>
      <c r="E15675" s="650" t="s">
        <v>990</v>
      </c>
      <c r="F15675" s="549">
        <v>16</v>
      </c>
      <c r="G15675" s="549" t="s">
        <v>21</v>
      </c>
      <c r="H15675" s="549" t="s">
        <v>182</v>
      </c>
      <c r="I15675" s="647">
        <v>44.2</v>
      </c>
      <c r="J15675" s="567">
        <v>11.3</v>
      </c>
      <c r="K15675" s="648">
        <v>34</v>
      </c>
      <c r="L15675" s="552">
        <f>(I15675*J15675*K15675/1000)</f>
        <v>16.981639999999999</v>
      </c>
      <c r="M15675" s="549"/>
      <c r="N15675" s="549"/>
      <c r="O15675" s="549"/>
      <c r="P15675" s="549"/>
    </row>
    <row r="15676" spans="1:16" s="1737" customFormat="1" ht="17.399999999999999">
      <c r="A15676" s="549"/>
      <c r="B15676" s="549" t="s">
        <v>1910</v>
      </c>
      <c r="C15676" s="549"/>
      <c r="D15676" s="549"/>
      <c r="E15676" s="549"/>
      <c r="F15676" s="549"/>
      <c r="G15676" s="549" t="s">
        <v>21</v>
      </c>
      <c r="H15676" s="549" t="s">
        <v>182</v>
      </c>
      <c r="I15676" s="647">
        <v>44.2</v>
      </c>
      <c r="J15676" s="567">
        <v>6.2</v>
      </c>
      <c r="K15676" s="648">
        <v>260</v>
      </c>
      <c r="L15676" s="552">
        <f>(I15676*J15676*K15676/1000)</f>
        <v>71.250400000000013</v>
      </c>
      <c r="M15676" s="549"/>
      <c r="N15676" s="549"/>
      <c r="O15676" s="549"/>
      <c r="P15676" s="549"/>
    </row>
    <row r="15677" spans="1:16" s="1737" customFormat="1" ht="17.399999999999999">
      <c r="A15677" s="549"/>
      <c r="B15677" s="549"/>
      <c r="C15677" s="549"/>
      <c r="D15677" s="549"/>
      <c r="E15677" s="549"/>
      <c r="F15677" s="549"/>
      <c r="G15677" s="549"/>
      <c r="H15677" s="549"/>
      <c r="I15677" s="648"/>
      <c r="J15677" s="648"/>
      <c r="K15677" s="766">
        <f>SUM(K15675:K15676)</f>
        <v>294</v>
      </c>
      <c r="L15677" s="765">
        <f>SUM(L15675:L15676)</f>
        <v>88.232040000000012</v>
      </c>
      <c r="M15677" s="549"/>
      <c r="N15677" s="549"/>
      <c r="O15677" s="549"/>
      <c r="P15677" s="549" t="s">
        <v>1856</v>
      </c>
    </row>
    <row r="15678" spans="1:16" s="1737" customFormat="1" ht="17.399999999999999">
      <c r="A15678" s="549"/>
      <c r="B15678" s="549"/>
      <c r="C15678" s="549"/>
      <c r="D15678" s="549"/>
      <c r="E15678" s="549"/>
      <c r="F15678" s="549"/>
      <c r="G15678" s="549"/>
      <c r="H15678" s="549"/>
      <c r="I15678" s="560"/>
      <c r="J15678" s="549"/>
      <c r="K15678" s="561"/>
      <c r="L15678" s="560"/>
      <c r="M15678" s="549"/>
      <c r="N15678" s="549"/>
      <c r="O15678" s="549"/>
      <c r="P15678" s="549"/>
    </row>
    <row r="15679" spans="1:16" s="1737" customFormat="1" ht="17.399999999999999">
      <c r="A15679" s="549"/>
      <c r="B15679" s="549"/>
      <c r="C15679" s="549"/>
      <c r="D15679" s="549"/>
      <c r="E15679" s="549"/>
      <c r="F15679" s="549"/>
      <c r="G15679" s="549"/>
      <c r="H15679" s="549"/>
      <c r="I15679" s="560"/>
      <c r="J15679" s="549"/>
      <c r="K15679" s="561"/>
      <c r="L15679" s="560"/>
      <c r="M15679" s="549"/>
      <c r="N15679" s="549"/>
      <c r="O15679" s="549"/>
      <c r="P15679" s="549"/>
    </row>
    <row r="15680" spans="1:16" s="1737" customFormat="1" ht="18">
      <c r="A15680" s="547" t="s">
        <v>83</v>
      </c>
      <c r="B15680" s="547" t="s">
        <v>1748</v>
      </c>
      <c r="C15680" s="547" t="s">
        <v>19</v>
      </c>
      <c r="D15680" s="813" t="s">
        <v>854</v>
      </c>
      <c r="E15680" s="650" t="s">
        <v>1884</v>
      </c>
      <c r="F15680" s="549">
        <v>16</v>
      </c>
      <c r="G15680" s="898" t="s">
        <v>21</v>
      </c>
      <c r="H15680" s="898" t="s">
        <v>180</v>
      </c>
      <c r="I15680" s="913">
        <v>35.9</v>
      </c>
      <c r="J15680" s="914">
        <v>7.2</v>
      </c>
      <c r="K15680" s="915">
        <v>59</v>
      </c>
      <c r="L15680" s="552">
        <f t="shared" ref="L15680:L15684" si="3147">(I15680*J15680*K15680/1000)</f>
        <v>15.250320000000002</v>
      </c>
      <c r="M15680" s="549"/>
      <c r="N15680" s="549"/>
      <c r="O15680" s="549"/>
      <c r="P15680" s="549"/>
    </row>
    <row r="15681" spans="1:16" s="1737" customFormat="1" ht="18">
      <c r="A15681" s="549"/>
      <c r="B15681" s="549" t="s">
        <v>52</v>
      </c>
      <c r="C15681" s="549"/>
      <c r="D15681" s="549"/>
      <c r="E15681" s="549"/>
      <c r="F15681" s="549"/>
      <c r="G15681" s="898" t="s">
        <v>21</v>
      </c>
      <c r="H15681" s="898" t="s">
        <v>180</v>
      </c>
      <c r="I15681" s="913">
        <v>35.9</v>
      </c>
      <c r="J15681" s="914">
        <v>7.35</v>
      </c>
      <c r="K15681" s="915">
        <v>12</v>
      </c>
      <c r="L15681" s="552">
        <f t="shared" si="3147"/>
        <v>3.1663799999999993</v>
      </c>
      <c r="M15681" s="549"/>
      <c r="N15681" s="549"/>
      <c r="O15681" s="549"/>
      <c r="P15681" s="549"/>
    </row>
    <row r="15682" spans="1:16" s="1737" customFormat="1" ht="18">
      <c r="A15682" s="549"/>
      <c r="B15682" s="549"/>
      <c r="C15682" s="549"/>
      <c r="D15682" s="549"/>
      <c r="E15682" s="549"/>
      <c r="F15682" s="549"/>
      <c r="G15682" s="898" t="s">
        <v>21</v>
      </c>
      <c r="H15682" s="898" t="s">
        <v>180</v>
      </c>
      <c r="I15682" s="913">
        <v>35.9</v>
      </c>
      <c r="J15682" s="914">
        <v>7.85</v>
      </c>
      <c r="K15682" s="915">
        <v>160</v>
      </c>
      <c r="L15682" s="552">
        <f t="shared" si="3147"/>
        <v>45.090400000000002</v>
      </c>
      <c r="M15682" s="549"/>
      <c r="N15682" s="549"/>
      <c r="O15682" s="549"/>
      <c r="P15682" s="549"/>
    </row>
    <row r="15683" spans="1:16" s="1737" customFormat="1" ht="18">
      <c r="A15683" s="549"/>
      <c r="B15683" s="549"/>
      <c r="C15683" s="549"/>
      <c r="D15683" s="549"/>
      <c r="E15683" s="549"/>
      <c r="F15683" s="549"/>
      <c r="G15683" s="898" t="s">
        <v>21</v>
      </c>
      <c r="H15683" s="898" t="s">
        <v>180</v>
      </c>
      <c r="I15683" s="913">
        <v>35.9</v>
      </c>
      <c r="J15683" s="914">
        <v>8.1</v>
      </c>
      <c r="K15683" s="915">
        <v>80</v>
      </c>
      <c r="L15683" s="552">
        <f t="shared" si="3147"/>
        <v>23.263199999999998</v>
      </c>
      <c r="M15683" s="549"/>
      <c r="N15683" s="549"/>
      <c r="O15683" s="549"/>
      <c r="P15683" s="549"/>
    </row>
    <row r="15684" spans="1:16" s="1737" customFormat="1" ht="18">
      <c r="A15684" s="549"/>
      <c r="B15684" s="549"/>
      <c r="C15684" s="549"/>
      <c r="D15684" s="549"/>
      <c r="E15684" s="549"/>
      <c r="F15684" s="549"/>
      <c r="G15684" s="898" t="s">
        <v>21</v>
      </c>
      <c r="H15684" s="898" t="s">
        <v>180</v>
      </c>
      <c r="I15684" s="913">
        <v>35.9</v>
      </c>
      <c r="J15684" s="914">
        <v>11.95</v>
      </c>
      <c r="K15684" s="915">
        <v>130</v>
      </c>
      <c r="L15684" s="552">
        <f t="shared" si="3147"/>
        <v>55.770649999999996</v>
      </c>
      <c r="M15684" s="549"/>
      <c r="N15684" s="549"/>
      <c r="O15684" s="549"/>
      <c r="P15684" s="549"/>
    </row>
    <row r="15685" spans="1:16" s="1737" customFormat="1" ht="18">
      <c r="A15685" s="549"/>
      <c r="B15685" s="549"/>
      <c r="C15685" s="549"/>
      <c r="D15685" s="549"/>
      <c r="E15685" s="549"/>
      <c r="F15685" s="549"/>
      <c r="G15685" s="898"/>
      <c r="H15685" s="898"/>
      <c r="I15685" s="913"/>
      <c r="J15685" s="914"/>
      <c r="K15685" s="915">
        <f t="shared" ref="K15685:L15685" si="3148">SUM(K15680:K15684)</f>
        <v>441</v>
      </c>
      <c r="L15685" s="914">
        <f t="shared" si="3148"/>
        <v>142.54095000000001</v>
      </c>
      <c r="M15685" s="599" t="s">
        <v>1911</v>
      </c>
      <c r="N15685" s="549"/>
      <c r="O15685" s="549"/>
      <c r="P15685" s="549" t="s">
        <v>1912</v>
      </c>
    </row>
    <row r="15686" spans="1:16" s="1737" customFormat="1" ht="17.399999999999999">
      <c r="A15686" s="549"/>
      <c r="B15686" s="549"/>
      <c r="C15686" s="549"/>
      <c r="D15686" s="549"/>
      <c r="E15686" s="549"/>
      <c r="F15686" s="549"/>
      <c r="G15686" s="549"/>
      <c r="H15686" s="549"/>
      <c r="I15686" s="560"/>
      <c r="J15686" s="549"/>
      <c r="K15686" s="561"/>
      <c r="L15686" s="560"/>
      <c r="M15686" s="549"/>
      <c r="N15686" s="549"/>
      <c r="O15686" s="549"/>
      <c r="P15686" s="549"/>
    </row>
    <row r="15687" spans="1:16" s="1737" customFormat="1" ht="17.399999999999999">
      <c r="A15687" s="549"/>
      <c r="B15687" s="549"/>
      <c r="C15687" s="549"/>
      <c r="D15687" s="549"/>
      <c r="E15687" s="549"/>
      <c r="F15687" s="549"/>
      <c r="G15687" s="549"/>
      <c r="H15687" s="549"/>
      <c r="I15687" s="560"/>
      <c r="J15687" s="549"/>
      <c r="K15687" s="561"/>
      <c r="L15687" s="560"/>
      <c r="M15687" s="549"/>
      <c r="N15687" s="549"/>
      <c r="O15687" s="549"/>
      <c r="P15687" s="549"/>
    </row>
    <row r="15688" spans="1:16" s="1737" customFormat="1" ht="17.399999999999999">
      <c r="A15688" s="549"/>
      <c r="B15688" s="549"/>
      <c r="C15688" s="549"/>
      <c r="D15688" s="549"/>
      <c r="E15688" s="549"/>
      <c r="F15688" s="549"/>
      <c r="G15688" s="549"/>
      <c r="H15688" s="549"/>
      <c r="I15688" s="560"/>
      <c r="J15688" s="549"/>
      <c r="K15688" s="561"/>
      <c r="L15688" s="560"/>
      <c r="M15688" s="549"/>
      <c r="N15688" s="549"/>
      <c r="O15688" s="549"/>
      <c r="P15688" s="549"/>
    </row>
    <row r="15689" spans="1:16" s="1737" customFormat="1" ht="17.399999999999999">
      <c r="A15689" s="547" t="s">
        <v>395</v>
      </c>
      <c r="B15689" s="547" t="s">
        <v>1745</v>
      </c>
      <c r="C15689" s="547" t="s">
        <v>19</v>
      </c>
      <c r="D15689" s="813" t="s">
        <v>854</v>
      </c>
      <c r="E15689" s="547" t="s">
        <v>359</v>
      </c>
      <c r="F15689" s="549">
        <v>16</v>
      </c>
      <c r="G15689" s="549" t="s">
        <v>21</v>
      </c>
      <c r="H15689" s="549" t="s">
        <v>176</v>
      </c>
      <c r="I15689" s="647">
        <v>22.93</v>
      </c>
      <c r="J15689" s="567">
        <v>6</v>
      </c>
      <c r="K15689" s="648">
        <v>2</v>
      </c>
      <c r="L15689" s="552">
        <f>(I15689*J15689*K15689/1000)</f>
        <v>0.27515999999999996</v>
      </c>
      <c r="M15689" s="549"/>
      <c r="N15689" s="567"/>
      <c r="O15689" s="549"/>
      <c r="P15689" s="549"/>
    </row>
    <row r="15690" spans="1:16" s="1737" customFormat="1" ht="17.399999999999999">
      <c r="A15690" s="549"/>
      <c r="B15690" s="549" t="s">
        <v>1027</v>
      </c>
      <c r="C15690" s="549"/>
      <c r="D15690" s="549"/>
      <c r="E15690" s="549"/>
      <c r="F15690" s="549"/>
      <c r="G15690" s="549"/>
      <c r="H15690" s="549"/>
      <c r="I15690" s="647"/>
      <c r="J15690" s="567"/>
      <c r="K15690" s="648">
        <f t="shared" ref="K15690:L15690" si="3149">SUM(K15689)</f>
        <v>2</v>
      </c>
      <c r="L15690" s="765">
        <f t="shared" si="3149"/>
        <v>0.27515999999999996</v>
      </c>
      <c r="M15690" s="733" t="s">
        <v>73</v>
      </c>
      <c r="N15690" s="765"/>
      <c r="O15690" s="549"/>
      <c r="P15690" s="549"/>
    </row>
    <row r="15691" spans="1:16" s="1737" customFormat="1" ht="17.399999999999999">
      <c r="A15691" s="549"/>
      <c r="B15691" s="549"/>
      <c r="C15691" s="549"/>
      <c r="D15691" s="549"/>
      <c r="E15691" s="549"/>
      <c r="F15691" s="549"/>
      <c r="G15691" s="549"/>
      <c r="H15691" s="549"/>
      <c r="I15691" s="647"/>
      <c r="J15691" s="567"/>
      <c r="K15691" s="648"/>
      <c r="L15691" s="765"/>
      <c r="M15691" s="549"/>
      <c r="N15691" s="549"/>
      <c r="O15691" s="549"/>
      <c r="P15691" s="549"/>
    </row>
    <row r="15692" spans="1:16" s="1737" customFormat="1" ht="17.399999999999999">
      <c r="A15692" s="547" t="s">
        <v>395</v>
      </c>
      <c r="B15692" s="547" t="s">
        <v>1745</v>
      </c>
      <c r="C15692" s="547" t="s">
        <v>19</v>
      </c>
      <c r="D15692" s="813" t="s">
        <v>854</v>
      </c>
      <c r="E15692" s="547" t="s">
        <v>1028</v>
      </c>
      <c r="F15692" s="549">
        <v>16</v>
      </c>
      <c r="G15692" s="549" t="s">
        <v>21</v>
      </c>
      <c r="H15692" s="549" t="s">
        <v>176</v>
      </c>
      <c r="I15692" s="647">
        <v>22.93</v>
      </c>
      <c r="J15692" s="567">
        <v>7.95</v>
      </c>
      <c r="K15692" s="648">
        <v>2</v>
      </c>
      <c r="L15692" s="552">
        <f>(I15692*J15692*K15692/1000)</f>
        <v>0.36458699999999999</v>
      </c>
      <c r="M15692" s="549"/>
      <c r="N15692" s="567"/>
      <c r="O15692" s="549"/>
      <c r="P15692" s="549"/>
    </row>
    <row r="15693" spans="1:16" s="1737" customFormat="1" ht="17.399999999999999">
      <c r="A15693" s="549"/>
      <c r="B15693" s="549" t="s">
        <v>1027</v>
      </c>
      <c r="C15693" s="549"/>
      <c r="D15693" s="549"/>
      <c r="E15693" s="549"/>
      <c r="F15693" s="549"/>
      <c r="G15693" s="549"/>
      <c r="H15693" s="549"/>
      <c r="I15693" s="647"/>
      <c r="J15693" s="567"/>
      <c r="K15693" s="648">
        <f t="shared" ref="K15693:L15693" si="3150">SUM(K15692)</f>
        <v>2</v>
      </c>
      <c r="L15693" s="765">
        <f t="shared" si="3150"/>
        <v>0.36458699999999999</v>
      </c>
      <c r="M15693" s="733" t="s">
        <v>73</v>
      </c>
      <c r="N15693" s="765"/>
      <c r="O15693" s="549"/>
      <c r="P15693" s="549"/>
    </row>
    <row r="15694" spans="1:16" s="1737" customFormat="1" ht="17.399999999999999">
      <c r="A15694" s="549"/>
      <c r="B15694" s="549"/>
      <c r="C15694" s="549"/>
      <c r="D15694" s="549"/>
      <c r="E15694" s="549"/>
      <c r="F15694" s="549"/>
      <c r="G15694" s="549"/>
      <c r="H15694" s="549"/>
      <c r="I15694" s="647"/>
      <c r="J15694" s="567"/>
      <c r="K15694" s="648"/>
      <c r="L15694" s="765"/>
      <c r="M15694" s="549"/>
      <c r="N15694" s="549"/>
      <c r="O15694" s="549"/>
      <c r="P15694" s="549"/>
    </row>
    <row r="15695" spans="1:16" s="1737" customFormat="1" ht="17.399999999999999">
      <c r="A15695" s="547" t="s">
        <v>541</v>
      </c>
      <c r="B15695" s="547" t="s">
        <v>1846</v>
      </c>
      <c r="C15695" s="547" t="s">
        <v>19</v>
      </c>
      <c r="D15695" s="813" t="s">
        <v>854</v>
      </c>
      <c r="E15695" s="650" t="s">
        <v>990</v>
      </c>
      <c r="F15695" s="549">
        <v>16</v>
      </c>
      <c r="G15695" s="549" t="s">
        <v>21</v>
      </c>
      <c r="H15695" s="549" t="s">
        <v>176</v>
      </c>
      <c r="I15695" s="647">
        <v>23</v>
      </c>
      <c r="J15695" s="567">
        <v>11</v>
      </c>
      <c r="K15695" s="648">
        <v>1</v>
      </c>
      <c r="L15695" s="552">
        <f>(I15695*J15695*K15695/1000)</f>
        <v>0.253</v>
      </c>
      <c r="M15695" s="549"/>
      <c r="N15695" s="567"/>
      <c r="O15695" s="549"/>
      <c r="P15695" s="549"/>
    </row>
    <row r="15696" spans="1:16" s="1737" customFormat="1" ht="17.399999999999999">
      <c r="A15696" s="549"/>
      <c r="B15696" s="549" t="s">
        <v>1845</v>
      </c>
      <c r="C15696" s="549"/>
      <c r="D15696" s="549"/>
      <c r="E15696" s="549"/>
      <c r="F15696" s="549"/>
      <c r="G15696" s="549"/>
      <c r="H15696" s="549"/>
      <c r="I15696" s="647"/>
      <c r="J15696" s="567"/>
      <c r="K15696" s="648">
        <f>SUM(K15695:K15695)</f>
        <v>1</v>
      </c>
      <c r="L15696" s="567">
        <f>SUM(L15695:L15695)</f>
        <v>0.253</v>
      </c>
      <c r="M15696" s="733" t="s">
        <v>73</v>
      </c>
      <c r="N15696" s="567"/>
      <c r="O15696" s="549"/>
      <c r="P15696" s="549"/>
    </row>
    <row r="15697" spans="1:16" s="1737" customFormat="1" ht="17.399999999999999">
      <c r="A15697" s="549"/>
      <c r="B15697" s="549"/>
      <c r="C15697" s="549"/>
      <c r="D15697" s="549"/>
      <c r="E15697" s="549"/>
      <c r="F15697" s="549"/>
      <c r="G15697" s="549"/>
      <c r="H15697" s="549"/>
      <c r="I15697" s="560"/>
      <c r="J15697" s="549"/>
      <c r="K15697" s="561"/>
      <c r="L15697" s="560"/>
      <c r="M15697" s="549"/>
      <c r="N15697" s="549"/>
      <c r="O15697" s="549"/>
      <c r="P15697" s="549"/>
    </row>
    <row r="15698" spans="1:16" s="1737" customFormat="1" ht="17.399999999999999">
      <c r="A15698" s="547" t="s">
        <v>541</v>
      </c>
      <c r="B15698" s="547" t="s">
        <v>1909</v>
      </c>
      <c r="C15698" s="547" t="s">
        <v>19</v>
      </c>
      <c r="D15698" s="813" t="s">
        <v>854</v>
      </c>
      <c r="E15698" s="650" t="s">
        <v>990</v>
      </c>
      <c r="F15698" s="549">
        <v>16</v>
      </c>
      <c r="G15698" s="549" t="s">
        <v>21</v>
      </c>
      <c r="H15698" s="549" t="s">
        <v>176</v>
      </c>
      <c r="I15698" s="647">
        <v>23</v>
      </c>
      <c r="J15698" s="567">
        <v>8.4</v>
      </c>
      <c r="K15698" s="648">
        <v>65</v>
      </c>
      <c r="L15698" s="552">
        <f>(I15698*J15698*K15698/1000)</f>
        <v>12.558000000000002</v>
      </c>
      <c r="M15698" s="549"/>
      <c r="N15698" s="549"/>
      <c r="O15698" s="549"/>
      <c r="P15698" s="549"/>
    </row>
    <row r="15699" spans="1:16" s="1737" customFormat="1" ht="17.399999999999999">
      <c r="A15699" s="549"/>
      <c r="B15699" s="549" t="s">
        <v>1910</v>
      </c>
      <c r="C15699" s="549"/>
      <c r="D15699" s="549"/>
      <c r="E15699" s="549"/>
      <c r="F15699" s="549"/>
      <c r="G15699" s="549"/>
      <c r="H15699" s="549"/>
      <c r="I15699" s="647"/>
      <c r="J15699" s="567"/>
      <c r="K15699" s="648">
        <f>SUM(K15698:K15698)</f>
        <v>65</v>
      </c>
      <c r="L15699" s="567">
        <f>SUM(L15698:L15698)</f>
        <v>12.558000000000002</v>
      </c>
      <c r="M15699" s="549"/>
      <c r="N15699" s="549"/>
      <c r="O15699" s="549"/>
      <c r="P15699" s="549" t="s">
        <v>1867</v>
      </c>
    </row>
    <row r="15700" spans="1:16" s="1737" customFormat="1" ht="17.399999999999999">
      <c r="A15700" s="549"/>
      <c r="B15700" s="549"/>
      <c r="C15700" s="549"/>
      <c r="D15700" s="549"/>
      <c r="E15700" s="549"/>
      <c r="F15700" s="549"/>
      <c r="G15700" s="549"/>
      <c r="H15700" s="549"/>
      <c r="I15700" s="560"/>
      <c r="J15700" s="549"/>
      <c r="K15700" s="564">
        <f>SUM(K15689:K15699)/2</f>
        <v>70</v>
      </c>
      <c r="L15700" s="565">
        <f>SUM(L15689:L15699)/2</f>
        <v>13.450747000000002</v>
      </c>
      <c r="M15700" s="549"/>
      <c r="N15700" s="549"/>
      <c r="O15700" s="549"/>
      <c r="P15700" s="549"/>
    </row>
    <row r="15701" spans="1:16" s="1737" customFormat="1" ht="17.399999999999999">
      <c r="A15701" s="549"/>
      <c r="B15701" s="549"/>
      <c r="C15701" s="549"/>
      <c r="D15701" s="549"/>
      <c r="E15701" s="549"/>
      <c r="F15701" s="549"/>
      <c r="G15701" s="549"/>
      <c r="H15701" s="549"/>
      <c r="I15701" s="560"/>
      <c r="J15701" s="549"/>
      <c r="K15701" s="561"/>
      <c r="L15701" s="560"/>
      <c r="M15701" s="549"/>
      <c r="N15701" s="549"/>
      <c r="O15701" s="549"/>
      <c r="P15701" s="549"/>
    </row>
    <row r="15702" spans="1:16" s="1737" customFormat="1" ht="17.399999999999999">
      <c r="A15702" s="549"/>
      <c r="B15702" s="549"/>
      <c r="C15702" s="549"/>
      <c r="D15702" s="549"/>
      <c r="E15702" s="549"/>
      <c r="F15702" s="549"/>
      <c r="G15702" s="549"/>
      <c r="H15702" s="549"/>
      <c r="I15702" s="560"/>
      <c r="J15702" s="549"/>
      <c r="K15702" s="561"/>
      <c r="L15702" s="560"/>
      <c r="M15702" s="549"/>
      <c r="N15702" s="549"/>
      <c r="O15702" s="549"/>
      <c r="P15702" s="549"/>
    </row>
    <row r="15703" spans="1:16" s="1737" customFormat="1" ht="17.399999999999999">
      <c r="A15703" s="549"/>
      <c r="B15703" s="549"/>
      <c r="C15703" s="549"/>
      <c r="D15703" s="549"/>
      <c r="E15703" s="549"/>
      <c r="F15703" s="549"/>
      <c r="G15703" s="549"/>
      <c r="H15703" s="549"/>
      <c r="I15703" s="560"/>
      <c r="J15703" s="549"/>
      <c r="K15703" s="561"/>
      <c r="L15703" s="560"/>
      <c r="M15703" s="549"/>
      <c r="N15703" s="549"/>
      <c r="O15703" s="549"/>
      <c r="P15703" s="549"/>
    </row>
    <row r="15704" spans="1:16" s="1737" customFormat="1" ht="17.399999999999999">
      <c r="A15704" s="547"/>
      <c r="B15704" s="547"/>
      <c r="C15704" s="547"/>
      <c r="D15704" s="813"/>
      <c r="E15704" s="650"/>
      <c r="F15704" s="549"/>
      <c r="G15704" s="549"/>
      <c r="H15704" s="549"/>
      <c r="I15704" s="647"/>
      <c r="J15704" s="567"/>
      <c r="K15704" s="648"/>
      <c r="L15704" s="552">
        <f>+L15677+L15700+L15672+100</f>
        <v>203.05051700000001</v>
      </c>
      <c r="M15704" s="549"/>
      <c r="N15704" s="549"/>
      <c r="O15704" s="549"/>
      <c r="P15704" s="549"/>
    </row>
    <row r="15705" spans="1:16" s="1737" customFormat="1" ht="17.399999999999999">
      <c r="A15705" s="549"/>
      <c r="B15705" s="717"/>
      <c r="C15705" s="549"/>
      <c r="D15705" s="549"/>
      <c r="E15705" s="549"/>
      <c r="F15705" s="549"/>
      <c r="G15705" s="549"/>
      <c r="H15705" s="549"/>
      <c r="I15705" s="647"/>
      <c r="J15705" s="567"/>
      <c r="K15705" s="648"/>
      <c r="L15705" s="567"/>
      <c r="M15705" s="549"/>
      <c r="N15705" s="549"/>
      <c r="O15705" s="549"/>
      <c r="P15705" s="549"/>
    </row>
    <row r="15706" spans="1:16" ht="17.399999999999999">
      <c r="A15706" s="549"/>
      <c r="B15706" s="549"/>
      <c r="C15706" s="549"/>
      <c r="D15706" s="549"/>
      <c r="E15706" s="549"/>
      <c r="F15706" s="549"/>
      <c r="G15706" s="549"/>
      <c r="H15706" s="549"/>
      <c r="I15706" s="560"/>
      <c r="J15706" s="549"/>
      <c r="K15706" s="561"/>
      <c r="L15706" s="560"/>
      <c r="M15706" s="549"/>
      <c r="N15706" s="549"/>
      <c r="O15706" s="549"/>
      <c r="P15706" s="549"/>
    </row>
    <row r="15707" spans="1:16" ht="17.399999999999999">
      <c r="A15707" s="549"/>
      <c r="B15707" s="549"/>
      <c r="C15707" s="549"/>
      <c r="D15707" s="549"/>
      <c r="E15707" s="549"/>
      <c r="F15707" s="549"/>
      <c r="G15707" s="549"/>
      <c r="H15707" s="549"/>
      <c r="I15707" s="560"/>
      <c r="J15707" s="549"/>
      <c r="K15707" s="564">
        <f>+K15660+K15656+K15645+K15617+K15632+K15628+K15611+K15640+K15485+K15497+K15511+K15525+K15542+K15578+K15593+K15651+K15648</f>
        <v>1642</v>
      </c>
      <c r="L15707" s="568">
        <f>+L15660+L15656+L15645+L15617+L15632+L15628+L15611+L15640+L15485+L15497+L15511+L15525+L15542+L15578+L15593+L15651+L15648</f>
        <v>448.55094249999996</v>
      </c>
      <c r="M15707" s="652">
        <f>+M15660+M15656+M15645+M15617+M15632+M15628+M15611+M15640+M15485+M15497+M15511+M15525+M15542+M15578+M15593+M15651+M15648</f>
        <v>83</v>
      </c>
      <c r="N15707" s="568">
        <f>+N15660+N15656+N15645+N15617+N15632+N15628+N15611+N15640+N15485+N15497+N15511+N15525+N15542+N15578+N15593+N15651+N15648</f>
        <v>20.852866000000002</v>
      </c>
      <c r="O15707" s="549"/>
      <c r="P15707" s="549"/>
    </row>
    <row r="15708" spans="1:16" ht="18">
      <c r="A15708" s="653" t="s">
        <v>48</v>
      </c>
      <c r="B15708" s="653"/>
      <c r="C15708" s="654"/>
      <c r="D15708" s="654"/>
      <c r="E15708" s="654"/>
      <c r="F15708" s="1878"/>
      <c r="G15708" s="654"/>
      <c r="H15708" s="1878"/>
      <c r="I15708" s="656"/>
      <c r="J15708" s="654"/>
      <c r="K15708" s="657"/>
      <c r="L15708" s="2003" t="s">
        <v>0</v>
      </c>
      <c r="M15708" s="2003"/>
      <c r="N15708" s="2003"/>
      <c r="O15708" s="2004"/>
      <c r="P15708" s="1097"/>
    </row>
    <row r="15709" spans="1:16" ht="18">
      <c r="A15709" s="658" t="s">
        <v>1</v>
      </c>
      <c r="B15709" s="658"/>
      <c r="C15709" s="658"/>
      <c r="D15709" s="659" t="s">
        <v>2</v>
      </c>
      <c r="E15709" s="659"/>
      <c r="F15709" s="660"/>
      <c r="G15709" s="660"/>
      <c r="H15709" s="660"/>
      <c r="I15709" s="661"/>
      <c r="J15709" s="660"/>
      <c r="K15709" s="662" t="s">
        <v>3</v>
      </c>
      <c r="L15709" s="660"/>
      <c r="M15709" s="658"/>
      <c r="N15709" s="660"/>
      <c r="O15709" s="663"/>
      <c r="P15709" s="1098"/>
    </row>
    <row r="15710" spans="1:16" ht="18">
      <c r="A15710" s="1878" t="s">
        <v>22</v>
      </c>
      <c r="B15710" s="1990" t="s">
        <v>23</v>
      </c>
      <c r="C15710" s="2005"/>
      <c r="D15710" s="1989"/>
      <c r="E15710" s="1878" t="s">
        <v>24</v>
      </c>
      <c r="F15710" s="1990" t="s">
        <v>25</v>
      </c>
      <c r="G15710" s="1989"/>
      <c r="H15710" s="1990" t="s">
        <v>26</v>
      </c>
      <c r="I15710" s="2005"/>
      <c r="J15710" s="2005"/>
      <c r="K15710" s="1989"/>
      <c r="L15710" s="2006" t="s">
        <v>27</v>
      </c>
      <c r="M15710" s="2006"/>
      <c r="N15710" s="2006"/>
      <c r="O15710" s="1990"/>
      <c r="P15710" s="1098"/>
    </row>
    <row r="15711" spans="1:16" ht="18">
      <c r="A15711" s="664"/>
      <c r="B15711" s="1975"/>
      <c r="C15711" s="1976"/>
      <c r="D15711" s="1977"/>
      <c r="E15711" s="665"/>
      <c r="F15711" s="1975"/>
      <c r="G15711" s="1977"/>
      <c r="H15711" s="1975"/>
      <c r="I15711" s="1976"/>
      <c r="J15711" s="1976"/>
      <c r="K15711" s="1977"/>
      <c r="L15711" s="1975"/>
      <c r="M15711" s="1976"/>
      <c r="N15711" s="1976"/>
      <c r="O15711" s="1976"/>
      <c r="P15711" s="1098"/>
    </row>
    <row r="15712" spans="1:16" ht="18">
      <c r="A15712" s="664"/>
      <c r="B15712" s="1872"/>
      <c r="C15712" s="1873"/>
      <c r="D15712" s="1874"/>
      <c r="E15712" s="665"/>
      <c r="F15712" s="1872"/>
      <c r="G15712" s="1874"/>
      <c r="H15712" s="1872"/>
      <c r="I15712" s="1873"/>
      <c r="J15712" s="1873"/>
      <c r="K15712" s="1874"/>
      <c r="L15712" s="1873"/>
      <c r="M15712" s="1873"/>
      <c r="N15712" s="1873"/>
      <c r="O15712" s="1873"/>
      <c r="P15712" s="1098"/>
    </row>
    <row r="15713" spans="1:16" ht="18">
      <c r="A15713" s="664" t="s">
        <v>28</v>
      </c>
      <c r="B15713" s="1975" t="s">
        <v>301</v>
      </c>
      <c r="C15713" s="1976"/>
      <c r="D15713" s="1977"/>
      <c r="E15713" s="665">
        <f>+L15485-3.261</f>
        <v>28.932106000000001</v>
      </c>
      <c r="F15713" s="1973">
        <v>16</v>
      </c>
      <c r="G15713" s="1974"/>
      <c r="H15713" s="1975" t="s">
        <v>49</v>
      </c>
      <c r="I15713" s="1976"/>
      <c r="J15713" s="1976"/>
      <c r="K15713" s="1977"/>
      <c r="L15713" s="1976" t="s">
        <v>557</v>
      </c>
      <c r="M15713" s="1976"/>
      <c r="N15713" s="1976"/>
      <c r="O15713" s="1976"/>
      <c r="P15713" s="1098"/>
    </row>
    <row r="15714" spans="1:16" ht="18">
      <c r="A15714" s="664" t="s">
        <v>29</v>
      </c>
      <c r="B15714" s="1975" t="s">
        <v>183</v>
      </c>
      <c r="C15714" s="1976"/>
      <c r="D15714" s="1977"/>
      <c r="E15714" s="665">
        <f>+L15497-3.684</f>
        <v>19.528432000000002</v>
      </c>
      <c r="F15714" s="1973">
        <v>16</v>
      </c>
      <c r="G15714" s="1974"/>
      <c r="H15714" s="1975" t="s">
        <v>49</v>
      </c>
      <c r="I15714" s="1976"/>
      <c r="J15714" s="1976"/>
      <c r="K15714" s="1977"/>
      <c r="L15714" s="1976" t="s">
        <v>557</v>
      </c>
      <c r="M15714" s="1976"/>
      <c r="N15714" s="1976"/>
      <c r="O15714" s="1976"/>
      <c r="P15714" s="1098"/>
    </row>
    <row r="15715" spans="1:16" ht="18">
      <c r="A15715" s="664" t="s">
        <v>30</v>
      </c>
      <c r="B15715" s="1975" t="s">
        <v>184</v>
      </c>
      <c r="C15715" s="1976"/>
      <c r="D15715" s="1977"/>
      <c r="E15715" s="665">
        <f>+L15511-2.877</f>
        <v>4.5234139999999989</v>
      </c>
      <c r="F15715" s="1973">
        <v>16</v>
      </c>
      <c r="G15715" s="1974"/>
      <c r="H15715" s="1975" t="s">
        <v>49</v>
      </c>
      <c r="I15715" s="1976"/>
      <c r="J15715" s="1976"/>
      <c r="K15715" s="1977"/>
      <c r="L15715" s="1976" t="s">
        <v>557</v>
      </c>
      <c r="M15715" s="1976"/>
      <c r="N15715" s="1976"/>
      <c r="O15715" s="1976"/>
      <c r="P15715" s="1098"/>
    </row>
    <row r="15716" spans="1:16" ht="18">
      <c r="A15716" s="664" t="s">
        <v>46</v>
      </c>
      <c r="B15716" s="1975" t="s">
        <v>185</v>
      </c>
      <c r="C15716" s="1976"/>
      <c r="D15716" s="1977"/>
      <c r="E15716" s="665">
        <f>+L15525</f>
        <v>46.157279999999993</v>
      </c>
      <c r="F15716" s="1973">
        <v>16</v>
      </c>
      <c r="G15716" s="1974"/>
      <c r="H15716" s="1975" t="s">
        <v>49</v>
      </c>
      <c r="I15716" s="1976"/>
      <c r="J15716" s="1976"/>
      <c r="K15716" s="1977"/>
      <c r="L15716" s="1976" t="s">
        <v>557</v>
      </c>
      <c r="M15716" s="1976"/>
      <c r="N15716" s="1976"/>
      <c r="O15716" s="1976"/>
      <c r="P15716" s="1098"/>
    </row>
    <row r="15717" spans="1:16" ht="18">
      <c r="A15717" s="664" t="s">
        <v>58</v>
      </c>
      <c r="B15717" s="1975" t="s">
        <v>186</v>
      </c>
      <c r="C15717" s="1976"/>
      <c r="D15717" s="1977"/>
      <c r="E15717" s="665">
        <f>+L15542-5.865</f>
        <v>20.413559999999997</v>
      </c>
      <c r="F15717" s="1973">
        <v>16</v>
      </c>
      <c r="G15717" s="1974"/>
      <c r="H15717" s="1975" t="s">
        <v>49</v>
      </c>
      <c r="I15717" s="1976"/>
      <c r="J15717" s="1976"/>
      <c r="K15717" s="1977"/>
      <c r="L15717" s="1976" t="s">
        <v>557</v>
      </c>
      <c r="M15717" s="1976"/>
      <c r="N15717" s="1976"/>
      <c r="O15717" s="1976"/>
      <c r="P15717" s="1098"/>
    </row>
    <row r="15718" spans="1:16" ht="18">
      <c r="A15718" s="664" t="s">
        <v>163</v>
      </c>
      <c r="B15718" s="1975" t="s">
        <v>187</v>
      </c>
      <c r="C15718" s="1976"/>
      <c r="D15718" s="1977"/>
      <c r="E15718" s="665">
        <f>+L15578-1.878+1.125+0.243</f>
        <v>33.079152999999998</v>
      </c>
      <c r="F15718" s="1973">
        <v>16</v>
      </c>
      <c r="G15718" s="1974"/>
      <c r="H15718" s="1975" t="s">
        <v>49</v>
      </c>
      <c r="I15718" s="1976"/>
      <c r="J15718" s="1976"/>
      <c r="K15718" s="1977"/>
      <c r="L15718" s="1976" t="s">
        <v>557</v>
      </c>
      <c r="M15718" s="1976"/>
      <c r="N15718" s="1976"/>
      <c r="O15718" s="1976"/>
      <c r="P15718" s="1098"/>
    </row>
    <row r="15719" spans="1:16" ht="18">
      <c r="A15719" s="664" t="s">
        <v>302</v>
      </c>
      <c r="B15719" s="1975" t="s">
        <v>188</v>
      </c>
      <c r="C15719" s="1976"/>
      <c r="D15719" s="1977"/>
      <c r="E15719" s="665">
        <f>+L15593-1.056</f>
        <v>11.887066999999998</v>
      </c>
      <c r="F15719" s="1973">
        <v>16</v>
      </c>
      <c r="G15719" s="1974"/>
      <c r="H15719" s="1975" t="s">
        <v>49</v>
      </c>
      <c r="I15719" s="1976"/>
      <c r="J15719" s="1976"/>
      <c r="K15719" s="1977"/>
      <c r="L15719" s="1976" t="s">
        <v>557</v>
      </c>
      <c r="M15719" s="1976"/>
      <c r="N15719" s="1976"/>
      <c r="O15719" s="1976"/>
      <c r="P15719" s="1098"/>
    </row>
    <row r="15720" spans="1:16" ht="18">
      <c r="A15720" s="664"/>
      <c r="B15720" s="1872"/>
      <c r="C15720" s="1873"/>
      <c r="D15720" s="1874"/>
      <c r="E15720" s="665"/>
      <c r="F15720" s="1875"/>
      <c r="G15720" s="1876"/>
      <c r="H15720" s="1872"/>
      <c r="I15720" s="1873"/>
      <c r="J15720" s="1873"/>
      <c r="K15720" s="1874"/>
      <c r="L15720" s="1873"/>
      <c r="M15720" s="1873"/>
      <c r="N15720" s="1873"/>
      <c r="O15720" s="1873"/>
      <c r="P15720" s="1098"/>
    </row>
    <row r="15721" spans="1:16" ht="18">
      <c r="A15721" s="664"/>
      <c r="B15721" s="1872"/>
      <c r="C15721" s="1873"/>
      <c r="D15721" s="1874"/>
      <c r="E15721" s="665"/>
      <c r="F15721" s="1875"/>
      <c r="G15721" s="1876"/>
      <c r="H15721" s="1872"/>
      <c r="I15721" s="1873"/>
      <c r="J15721" s="1873"/>
      <c r="K15721" s="1874"/>
      <c r="L15721" s="1873"/>
      <c r="M15721" s="1873"/>
      <c r="N15721" s="1873"/>
      <c r="O15721" s="1873"/>
      <c r="P15721" s="1098"/>
    </row>
    <row r="15722" spans="1:16" ht="18">
      <c r="A15722" s="664" t="s">
        <v>380</v>
      </c>
      <c r="B15722" s="1975" t="s">
        <v>556</v>
      </c>
      <c r="C15722" s="1976"/>
      <c r="D15722" s="1977"/>
      <c r="E15722" s="665">
        <f>+L15611-0.827</f>
        <v>86.690080000000009</v>
      </c>
      <c r="F15722" s="1973">
        <v>16</v>
      </c>
      <c r="G15722" s="1974"/>
      <c r="H15722" s="1975" t="s">
        <v>447</v>
      </c>
      <c r="I15722" s="1976"/>
      <c r="J15722" s="1976"/>
      <c r="K15722" s="1977"/>
      <c r="L15722" s="1976" t="s">
        <v>1842</v>
      </c>
      <c r="M15722" s="1976"/>
      <c r="N15722" s="1976"/>
      <c r="O15722" s="1976"/>
      <c r="P15722" s="1098"/>
    </row>
    <row r="15723" spans="1:16" ht="18">
      <c r="A15723" s="664" t="s">
        <v>434</v>
      </c>
      <c r="B15723" s="1975" t="s">
        <v>187</v>
      </c>
      <c r="C15723" s="1976"/>
      <c r="D15723" s="1977"/>
      <c r="E15723" s="665">
        <f>+L15617</f>
        <v>23.721832500000001</v>
      </c>
      <c r="F15723" s="1973">
        <v>16</v>
      </c>
      <c r="G15723" s="1974"/>
      <c r="H15723" s="1975" t="s">
        <v>447</v>
      </c>
      <c r="I15723" s="1976"/>
      <c r="J15723" s="1976"/>
      <c r="K15723" s="1977"/>
      <c r="L15723" s="1976" t="s">
        <v>1842</v>
      </c>
      <c r="M15723" s="1976"/>
      <c r="N15723" s="1976"/>
      <c r="O15723" s="1976"/>
      <c r="P15723" s="1098"/>
    </row>
    <row r="15724" spans="1:16" ht="18">
      <c r="A15724" s="664" t="s">
        <v>474</v>
      </c>
      <c r="B15724" s="1975" t="s">
        <v>186</v>
      </c>
      <c r="C15724" s="1976"/>
      <c r="D15724" s="1977"/>
      <c r="E15724" s="665">
        <f>+L15628</f>
        <v>68.115380000000016</v>
      </c>
      <c r="F15724" s="1973">
        <v>16</v>
      </c>
      <c r="G15724" s="1974"/>
      <c r="H15724" s="1975" t="s">
        <v>447</v>
      </c>
      <c r="I15724" s="1976"/>
      <c r="J15724" s="1976"/>
      <c r="K15724" s="1977"/>
      <c r="L15724" s="1976" t="s">
        <v>1842</v>
      </c>
      <c r="M15724" s="1976"/>
      <c r="N15724" s="1976"/>
      <c r="O15724" s="1976"/>
      <c r="P15724" s="1098"/>
    </row>
    <row r="15725" spans="1:16" ht="18">
      <c r="A15725" s="664" t="s">
        <v>475</v>
      </c>
      <c r="B15725" s="1975" t="s">
        <v>185</v>
      </c>
      <c r="C15725" s="1976"/>
      <c r="D15725" s="1977"/>
      <c r="E15725" s="665">
        <f>+L15632</f>
        <v>7.8500159999999983</v>
      </c>
      <c r="F15725" s="1973">
        <v>16</v>
      </c>
      <c r="G15725" s="1974"/>
      <c r="H15725" s="1975" t="s">
        <v>447</v>
      </c>
      <c r="I15725" s="1976"/>
      <c r="J15725" s="1976"/>
      <c r="K15725" s="1977"/>
      <c r="L15725" s="1976" t="s">
        <v>1842</v>
      </c>
      <c r="M15725" s="1976"/>
      <c r="N15725" s="1976"/>
      <c r="O15725" s="1976"/>
      <c r="P15725" s="1098"/>
    </row>
    <row r="15726" spans="1:16" ht="18">
      <c r="A15726" s="664" t="s">
        <v>476</v>
      </c>
      <c r="B15726" s="1975" t="s">
        <v>835</v>
      </c>
      <c r="C15726" s="1976"/>
      <c r="D15726" s="1977"/>
      <c r="E15726" s="665">
        <f>+L15640-0.942</f>
        <v>72.869199999999992</v>
      </c>
      <c r="F15726" s="1973">
        <v>16</v>
      </c>
      <c r="G15726" s="1974"/>
      <c r="H15726" s="1975" t="s">
        <v>447</v>
      </c>
      <c r="I15726" s="1976"/>
      <c r="J15726" s="1976"/>
      <c r="K15726" s="1977"/>
      <c r="L15726" s="1976" t="s">
        <v>1842</v>
      </c>
      <c r="M15726" s="1976"/>
      <c r="N15726" s="1976"/>
      <c r="O15726" s="1976"/>
      <c r="P15726" s="1098"/>
    </row>
    <row r="15727" spans="1:16" ht="18">
      <c r="A15727" s="664" t="s">
        <v>477</v>
      </c>
      <c r="B15727" s="1975" t="s">
        <v>183</v>
      </c>
      <c r="C15727" s="1976"/>
      <c r="D15727" s="1977"/>
      <c r="E15727" s="665">
        <f>+L15652</f>
        <v>5.0555620000000001</v>
      </c>
      <c r="F15727" s="1973">
        <v>16</v>
      </c>
      <c r="G15727" s="1974"/>
      <c r="H15727" s="1975" t="s">
        <v>447</v>
      </c>
      <c r="I15727" s="1976"/>
      <c r="J15727" s="1976"/>
      <c r="K15727" s="1977"/>
      <c r="L15727" s="1976" t="s">
        <v>1842</v>
      </c>
      <c r="M15727" s="1976"/>
      <c r="N15727" s="1976"/>
      <c r="O15727" s="1976"/>
      <c r="P15727" s="1098"/>
    </row>
    <row r="15728" spans="1:16" s="1737" customFormat="1" ht="18">
      <c r="A15728" s="664"/>
      <c r="B15728" s="1930"/>
      <c r="C15728" s="1931"/>
      <c r="D15728" s="1932"/>
      <c r="E15728" s="665"/>
      <c r="F15728" s="1933"/>
      <c r="G15728" s="1934"/>
      <c r="H15728" s="1930"/>
      <c r="I15728" s="1931"/>
      <c r="J15728" s="1931"/>
      <c r="K15728" s="1932"/>
      <c r="L15728" s="1931"/>
      <c r="M15728" s="1931"/>
      <c r="N15728" s="1931"/>
      <c r="O15728" s="1931"/>
      <c r="P15728" s="1098"/>
    </row>
    <row r="15729" spans="1:16" s="1737" customFormat="1" ht="18">
      <c r="A15729" s="664"/>
      <c r="B15729" s="1930"/>
      <c r="C15729" s="1931"/>
      <c r="D15729" s="1932"/>
      <c r="E15729" s="665"/>
      <c r="F15729" s="1933"/>
      <c r="G15729" s="1934"/>
      <c r="H15729" s="1930"/>
      <c r="I15729" s="1931"/>
      <c r="J15729" s="1931"/>
      <c r="K15729" s="1932"/>
      <c r="L15729" s="1931"/>
      <c r="M15729" s="1931"/>
      <c r="N15729" s="1931"/>
      <c r="O15729" s="1931"/>
      <c r="P15729" s="1098"/>
    </row>
    <row r="15730" spans="1:16" s="1737" customFormat="1" ht="18">
      <c r="A15730" s="664" t="s">
        <v>501</v>
      </c>
      <c r="B15730" s="1975" t="s">
        <v>301</v>
      </c>
      <c r="C15730" s="1976"/>
      <c r="D15730" s="1977"/>
      <c r="E15730" s="665">
        <f>+L15677</f>
        <v>88.232040000000012</v>
      </c>
      <c r="F15730" s="1973">
        <v>16</v>
      </c>
      <c r="G15730" s="1974"/>
      <c r="H15730" s="1975" t="s">
        <v>49</v>
      </c>
      <c r="I15730" s="1976"/>
      <c r="J15730" s="1976"/>
      <c r="K15730" s="1977"/>
      <c r="L15730" s="1976" t="s">
        <v>557</v>
      </c>
      <c r="M15730" s="1976"/>
      <c r="N15730" s="1976"/>
      <c r="O15730" s="1976"/>
      <c r="P15730" s="1098"/>
    </row>
    <row r="15731" spans="1:16" s="1737" customFormat="1" ht="18">
      <c r="A15731" s="664" t="s">
        <v>504</v>
      </c>
      <c r="B15731" s="1975" t="s">
        <v>184</v>
      </c>
      <c r="C15731" s="1976"/>
      <c r="D15731" s="1977"/>
      <c r="E15731" s="665">
        <v>100</v>
      </c>
      <c r="F15731" s="1973">
        <v>16</v>
      </c>
      <c r="G15731" s="1974"/>
      <c r="H15731" s="1975" t="s">
        <v>49</v>
      </c>
      <c r="I15731" s="1976"/>
      <c r="J15731" s="1976"/>
      <c r="K15731" s="1977"/>
      <c r="L15731" s="1976" t="s">
        <v>557</v>
      </c>
      <c r="M15731" s="1976"/>
      <c r="N15731" s="1976"/>
      <c r="O15731" s="1976"/>
      <c r="P15731" s="1098"/>
    </row>
    <row r="15732" spans="1:16" s="1737" customFormat="1" ht="18">
      <c r="A15732" s="664" t="s">
        <v>1187</v>
      </c>
      <c r="B15732" s="1975" t="s">
        <v>188</v>
      </c>
      <c r="C15732" s="1976"/>
      <c r="D15732" s="1977"/>
      <c r="E15732" s="665">
        <f>12.558+0.893</f>
        <v>13.451000000000001</v>
      </c>
      <c r="F15732" s="1973">
        <v>16</v>
      </c>
      <c r="G15732" s="1974"/>
      <c r="H15732" s="1975" t="s">
        <v>49</v>
      </c>
      <c r="I15732" s="1976"/>
      <c r="J15732" s="1976"/>
      <c r="K15732" s="1977"/>
      <c r="L15732" s="1976" t="s">
        <v>557</v>
      </c>
      <c r="M15732" s="1976"/>
      <c r="N15732" s="1976"/>
      <c r="O15732" s="1976"/>
      <c r="P15732" s="1098"/>
    </row>
    <row r="15733" spans="1:16" s="1737" customFormat="1" ht="18">
      <c r="A15733" s="664"/>
      <c r="B15733" s="1930"/>
      <c r="C15733" s="1931"/>
      <c r="D15733" s="1932"/>
      <c r="E15733" s="665"/>
      <c r="F15733" s="1933"/>
      <c r="G15733" s="1934"/>
      <c r="H15733" s="1930"/>
      <c r="I15733" s="1931"/>
      <c r="J15733" s="1931"/>
      <c r="K15733" s="1932"/>
      <c r="L15733" s="1931"/>
      <c r="M15733" s="1931"/>
      <c r="N15733" s="1931"/>
      <c r="O15733" s="1931"/>
      <c r="P15733" s="1098"/>
    </row>
    <row r="15734" spans="1:16" ht="18">
      <c r="A15734" s="664"/>
      <c r="B15734" s="1872"/>
      <c r="C15734" s="1873"/>
      <c r="D15734" s="1874"/>
      <c r="E15734" s="665"/>
      <c r="F15734" s="1875"/>
      <c r="G15734" s="1876"/>
      <c r="H15734" s="1872"/>
      <c r="I15734" s="1873"/>
      <c r="J15734" s="1873"/>
      <c r="K15734" s="1874"/>
      <c r="L15734" s="1873"/>
      <c r="M15734" s="1873"/>
      <c r="N15734" s="1873"/>
      <c r="O15734" s="1873"/>
      <c r="P15734" s="1098"/>
    </row>
    <row r="15735" spans="1:16" ht="18.600000000000001" thickBot="1">
      <c r="A15735" s="664"/>
      <c r="B15735" s="1872"/>
      <c r="C15735" s="1873"/>
      <c r="D15735" s="1873"/>
      <c r="E15735" s="665"/>
      <c r="F15735" s="1873"/>
      <c r="G15735" s="1874"/>
      <c r="H15735" s="1872"/>
      <c r="I15735" s="1873"/>
      <c r="J15735" s="1873"/>
      <c r="K15735" s="669"/>
      <c r="L15735" s="672"/>
      <c r="M15735" s="673"/>
      <c r="N15735" s="673"/>
      <c r="O15735" s="673"/>
      <c r="P15735" s="1098"/>
    </row>
    <row r="15736" spans="1:16" ht="18">
      <c r="A15736" s="674"/>
      <c r="B15736" s="675"/>
      <c r="C15736" s="676"/>
      <c r="D15736" s="676"/>
      <c r="E15736" s="1980">
        <f>SUM(E15711:E15735)</f>
        <v>630.50612250000006</v>
      </c>
      <c r="F15736" s="677"/>
      <c r="G15736" s="678"/>
      <c r="H15736" s="679"/>
      <c r="I15736" s="1869"/>
      <c r="J15736" s="676"/>
      <c r="K15736" s="680"/>
      <c r="L15736" s="679"/>
      <c r="M15736" s="676"/>
      <c r="N15736" s="677"/>
      <c r="O15736" s="676"/>
      <c r="P15736" s="1098"/>
    </row>
    <row r="15737" spans="1:16" ht="18.600000000000001" thickBot="1">
      <c r="A15737" s="681"/>
      <c r="B15737" s="682"/>
      <c r="C15737" s="683"/>
      <c r="D15737" s="683"/>
      <c r="E15737" s="1981"/>
      <c r="F15737" s="684"/>
      <c r="G15737" s="685"/>
      <c r="H15737" s="686"/>
      <c r="I15737" s="1871"/>
      <c r="J15737" s="683"/>
      <c r="K15737" s="687"/>
      <c r="L15737" s="686"/>
      <c r="M15737" s="683"/>
      <c r="N15737" s="684"/>
      <c r="O15737" s="683"/>
      <c r="P15737" s="1098"/>
    </row>
    <row r="15738" spans="1:16" ht="18">
      <c r="A15738" s="688" t="s">
        <v>31</v>
      </c>
      <c r="B15738" s="676"/>
      <c r="C15738" s="676"/>
      <c r="D15738" s="676"/>
      <c r="E15738" s="676"/>
      <c r="F15738" s="677"/>
      <c r="G15738" s="676"/>
      <c r="H15738" s="677"/>
      <c r="I15738" s="1869"/>
      <c r="J15738" s="676"/>
      <c r="K15738" s="689"/>
      <c r="L15738" s="677"/>
      <c r="M15738" s="676"/>
      <c r="N15738" s="677"/>
      <c r="O15738" s="676"/>
      <c r="P15738" s="1098"/>
    </row>
    <row r="15739" spans="1:16" ht="18">
      <c r="A15739" s="690"/>
      <c r="B15739" s="691"/>
      <c r="C15739" s="691"/>
      <c r="D15739" s="691"/>
      <c r="E15739" s="691"/>
      <c r="F15739" s="1877"/>
      <c r="G15739" s="691"/>
      <c r="H15739" s="1877"/>
      <c r="I15739" s="1870"/>
      <c r="J15739" s="691"/>
      <c r="K15739" s="693"/>
      <c r="L15739" s="1877"/>
      <c r="M15739" s="691"/>
      <c r="N15739" s="1877"/>
      <c r="O15739" s="691"/>
      <c r="P15739" s="1098"/>
    </row>
    <row r="15740" spans="1:16" ht="18.600000000000001" thickBot="1">
      <c r="A15740" s="1982" t="s">
        <v>32</v>
      </c>
      <c r="B15740" s="1983"/>
      <c r="C15740" s="1984" t="s">
        <v>33</v>
      </c>
      <c r="D15740" s="1985"/>
      <c r="E15740" s="694" t="s">
        <v>34</v>
      </c>
      <c r="F15740" s="694" t="s">
        <v>35</v>
      </c>
      <c r="G15740" s="1986" t="s">
        <v>36</v>
      </c>
      <c r="H15740" s="1987"/>
      <c r="I15740" s="1987"/>
      <c r="J15740" s="1987"/>
      <c r="K15740" s="1987"/>
      <c r="L15740" s="1987"/>
      <c r="M15740" s="1987"/>
      <c r="N15740" s="1987"/>
      <c r="O15740" s="1987"/>
      <c r="P15740" s="1098"/>
    </row>
    <row r="15741" spans="1:16" ht="18">
      <c r="A15741" s="1988"/>
      <c r="B15741" s="1989"/>
      <c r="C15741" s="1990"/>
      <c r="D15741" s="1989"/>
      <c r="E15741" s="1878"/>
      <c r="F15741" s="1866"/>
      <c r="G15741" s="1991"/>
      <c r="H15741" s="1992"/>
      <c r="I15741" s="1992"/>
      <c r="J15741" s="1992"/>
      <c r="K15741" s="1992"/>
      <c r="L15741" s="1992"/>
      <c r="M15741" s="1992"/>
      <c r="N15741" s="1992"/>
      <c r="O15741" s="1992"/>
      <c r="P15741" s="1098"/>
    </row>
    <row r="15742" spans="1:16" ht="18">
      <c r="A15742" s="1997" t="s">
        <v>37</v>
      </c>
      <c r="B15742" s="1998"/>
      <c r="C15742" s="1990"/>
      <c r="D15742" s="1989"/>
      <c r="E15742" s="1878"/>
      <c r="F15742" s="1866"/>
      <c r="G15742" s="1993"/>
      <c r="H15742" s="1994"/>
      <c r="I15742" s="1994"/>
      <c r="J15742" s="1994"/>
      <c r="K15742" s="1994"/>
      <c r="L15742" s="1994"/>
      <c r="M15742" s="1994"/>
      <c r="N15742" s="1994"/>
      <c r="O15742" s="1994"/>
      <c r="P15742" s="1098"/>
    </row>
    <row r="15743" spans="1:16" ht="18">
      <c r="A15743" s="1997" t="s">
        <v>38</v>
      </c>
      <c r="B15743" s="1998"/>
      <c r="C15743" s="1990"/>
      <c r="D15743" s="1989"/>
      <c r="E15743" s="1878"/>
      <c r="F15743" s="1866"/>
      <c r="G15743" s="1993"/>
      <c r="H15743" s="1994"/>
      <c r="I15743" s="1994"/>
      <c r="J15743" s="1994"/>
      <c r="K15743" s="1994"/>
      <c r="L15743" s="1994"/>
      <c r="M15743" s="1994"/>
      <c r="N15743" s="1994"/>
      <c r="O15743" s="1994"/>
      <c r="P15743" s="1098"/>
    </row>
    <row r="15744" spans="1:16" ht="18">
      <c r="A15744" s="1997" t="s">
        <v>39</v>
      </c>
      <c r="B15744" s="1998"/>
      <c r="C15744" s="1990"/>
      <c r="D15744" s="1989"/>
      <c r="E15744" s="1878"/>
      <c r="F15744" s="1866"/>
      <c r="G15744" s="1993"/>
      <c r="H15744" s="1994"/>
      <c r="I15744" s="1994"/>
      <c r="J15744" s="1994"/>
      <c r="K15744" s="1994"/>
      <c r="L15744" s="1994"/>
      <c r="M15744" s="1994"/>
      <c r="N15744" s="1994"/>
      <c r="O15744" s="1994"/>
      <c r="P15744" s="1098"/>
    </row>
    <row r="15745" spans="1:16" ht="18">
      <c r="A15745" s="1997" t="s">
        <v>40</v>
      </c>
      <c r="B15745" s="1998"/>
      <c r="C15745" s="1990"/>
      <c r="D15745" s="1989"/>
      <c r="E15745" s="1878"/>
      <c r="F15745" s="1866"/>
      <c r="G15745" s="1993"/>
      <c r="H15745" s="1994"/>
      <c r="I15745" s="1994"/>
      <c r="J15745" s="1994"/>
      <c r="K15745" s="1994"/>
      <c r="L15745" s="1994"/>
      <c r="M15745" s="1994"/>
      <c r="N15745" s="1994"/>
      <c r="O15745" s="1994"/>
      <c r="P15745" s="1098"/>
    </row>
    <row r="15746" spans="1:16" ht="18.600000000000001" thickBot="1">
      <c r="A15746" s="1999" t="s">
        <v>41</v>
      </c>
      <c r="B15746" s="2000"/>
      <c r="C15746" s="2001"/>
      <c r="D15746" s="2002"/>
      <c r="E15746" s="696"/>
      <c r="F15746" s="1867"/>
      <c r="G15746" s="1995"/>
      <c r="H15746" s="1996"/>
      <c r="I15746" s="1996"/>
      <c r="J15746" s="1996"/>
      <c r="K15746" s="1996"/>
      <c r="L15746" s="1996"/>
      <c r="M15746" s="1996"/>
      <c r="N15746" s="1996"/>
      <c r="O15746" s="1996"/>
      <c r="P15746" s="1098"/>
    </row>
    <row r="15747" spans="1:16" ht="18">
      <c r="A15747" s="690"/>
      <c r="B15747" s="691"/>
      <c r="C15747" s="691"/>
      <c r="D15747" s="691"/>
      <c r="E15747" s="691"/>
      <c r="F15747" s="1877"/>
      <c r="G15747" s="691"/>
      <c r="H15747" s="698"/>
      <c r="I15747" s="699"/>
      <c r="J15747" s="700"/>
      <c r="K15747" s="701"/>
      <c r="L15747" s="702"/>
      <c r="M15747" s="691"/>
      <c r="N15747" s="1877"/>
      <c r="O15747" s="691"/>
      <c r="P15747" s="1098"/>
    </row>
    <row r="15748" spans="1:16" ht="18">
      <c r="A15748" s="703" t="s">
        <v>42</v>
      </c>
      <c r="B15748" s="704"/>
      <c r="C15748" s="691"/>
      <c r="D15748" s="691"/>
      <c r="E15748" s="691"/>
      <c r="F15748" s="1877"/>
      <c r="G15748" s="704"/>
      <c r="H15748" s="698"/>
      <c r="I15748" s="699"/>
      <c r="J15748" s="700"/>
      <c r="K15748" s="693"/>
      <c r="L15748" s="705"/>
      <c r="M15748" s="691"/>
      <c r="N15748" s="1979" t="s">
        <v>43</v>
      </c>
      <c r="O15748" s="1979"/>
      <c r="P15748" s="1098"/>
    </row>
    <row r="15749" spans="1:16" ht="18">
      <c r="A15749" s="703"/>
      <c r="B15749" s="704"/>
      <c r="C15749" s="691"/>
      <c r="D15749" s="691"/>
      <c r="E15749" s="691"/>
      <c r="F15749" s="1877"/>
      <c r="G15749" s="691"/>
      <c r="H15749" s="1877"/>
      <c r="I15749" s="1870"/>
      <c r="J15749" s="691"/>
      <c r="K15749" s="693"/>
      <c r="L15749" s="1877"/>
      <c r="M15749" s="691"/>
      <c r="N15749" s="1877"/>
      <c r="O15749" s="704"/>
      <c r="P15749" s="1098"/>
    </row>
    <row r="15750" spans="1:16" ht="18">
      <c r="A15750" s="703" t="s">
        <v>44</v>
      </c>
      <c r="B15750" s="704"/>
      <c r="C15750" s="691"/>
      <c r="D15750" s="691"/>
      <c r="E15750" s="691"/>
      <c r="F15750" s="1877"/>
      <c r="G15750" s="691"/>
      <c r="H15750" s="1877"/>
      <c r="I15750" s="1870"/>
      <c r="J15750" s="691"/>
      <c r="K15750" s="693"/>
      <c r="L15750" s="1877"/>
      <c r="M15750" s="691"/>
      <c r="N15750" s="1979" t="s">
        <v>45</v>
      </c>
      <c r="O15750" s="1979"/>
      <c r="P15750" s="1098"/>
    </row>
    <row r="15751" spans="1:16" ht="18.600000000000001" thickBot="1">
      <c r="A15751" s="682"/>
      <c r="B15751" s="683"/>
      <c r="C15751" s="683"/>
      <c r="D15751" s="683"/>
      <c r="E15751" s="683"/>
      <c r="F15751" s="684"/>
      <c r="G15751" s="683"/>
      <c r="H15751" s="684"/>
      <c r="I15751" s="1871"/>
      <c r="J15751" s="683"/>
      <c r="K15751" s="706"/>
      <c r="L15751" s="684"/>
      <c r="M15751" s="683"/>
      <c r="N15751" s="684"/>
      <c r="O15751" s="683"/>
      <c r="P15751" s="1099"/>
    </row>
    <row r="15755" spans="1:16" ht="17.399999999999999">
      <c r="A15755" s="711" t="s">
        <v>48</v>
      </c>
      <c r="B15755" s="711"/>
      <c r="C15755" s="712"/>
      <c r="D15755" s="712"/>
      <c r="E15755" s="712"/>
      <c r="F15755" s="713"/>
      <c r="G15755" s="712"/>
      <c r="H15755" s="712"/>
      <c r="I15755" s="714"/>
      <c r="J15755" s="715"/>
      <c r="K15755" s="716"/>
      <c r="L15755" s="1978" t="s">
        <v>0</v>
      </c>
      <c r="M15755" s="1978"/>
      <c r="N15755" s="1978"/>
      <c r="O15755" s="1978"/>
      <c r="P15755" s="717"/>
    </row>
    <row r="15756" spans="1:16" ht="17.399999999999999">
      <c r="A15756" s="718" t="s">
        <v>1</v>
      </c>
      <c r="B15756" s="718"/>
      <c r="C15756" s="718"/>
      <c r="D15756" s="719" t="s">
        <v>2</v>
      </c>
      <c r="E15756" s="719"/>
      <c r="F15756" s="720"/>
      <c r="G15756" s="720"/>
      <c r="H15756" s="720"/>
      <c r="I15756" s="721"/>
      <c r="J15756" s="1868"/>
      <c r="K15756" s="723" t="s">
        <v>3</v>
      </c>
      <c r="L15756" s="1868"/>
      <c r="M15756" s="718"/>
      <c r="N15756" s="720"/>
      <c r="O15756" s="718"/>
      <c r="P15756" s="724"/>
    </row>
    <row r="15757" spans="1:16" ht="52.2">
      <c r="A15757" s="640" t="s">
        <v>4</v>
      </c>
      <c r="B15757" s="640" t="s">
        <v>5</v>
      </c>
      <c r="C15757" s="640" t="s">
        <v>6</v>
      </c>
      <c r="D15757" s="640" t="s">
        <v>7</v>
      </c>
      <c r="E15757" s="640" t="s">
        <v>8</v>
      </c>
      <c r="F15757" s="641" t="s">
        <v>9</v>
      </c>
      <c r="G15757" s="642" t="s">
        <v>10</v>
      </c>
      <c r="H15757" s="642" t="s">
        <v>11</v>
      </c>
      <c r="I15757" s="643" t="s">
        <v>12</v>
      </c>
      <c r="J15757" s="644" t="s">
        <v>13</v>
      </c>
      <c r="K15757" s="645" t="s">
        <v>14</v>
      </c>
      <c r="L15757" s="646" t="s">
        <v>15</v>
      </c>
      <c r="M15757" s="641" t="s">
        <v>16</v>
      </c>
      <c r="N15757" s="641" t="s">
        <v>17</v>
      </c>
      <c r="O15757" s="642" t="s">
        <v>18</v>
      </c>
      <c r="P15757" s="641" t="s">
        <v>192</v>
      </c>
    </row>
    <row r="15758" spans="1:16" s="1737" customFormat="1" ht="17.399999999999999">
      <c r="A15758" s="549"/>
      <c r="B15758" s="549"/>
      <c r="C15758" s="549"/>
      <c r="D15758" s="549"/>
      <c r="E15758" s="549"/>
      <c r="F15758" s="549"/>
      <c r="G15758" s="549"/>
      <c r="H15758" s="549"/>
      <c r="I15758" s="558"/>
      <c r="J15758" s="567"/>
      <c r="K15758" s="648"/>
      <c r="L15758" s="567"/>
      <c r="M15758" s="549"/>
      <c r="N15758" s="549"/>
      <c r="O15758" s="549"/>
      <c r="P15758" s="549"/>
    </row>
    <row r="15759" spans="1:16" ht="17.399999999999999">
      <c r="A15759" s="547" t="s">
        <v>395</v>
      </c>
      <c r="B15759" s="547" t="s">
        <v>1781</v>
      </c>
      <c r="C15759" s="547" t="s">
        <v>19</v>
      </c>
      <c r="D15759" s="813" t="s">
        <v>155</v>
      </c>
      <c r="E15759" s="547" t="s">
        <v>270</v>
      </c>
      <c r="F15759" s="550">
        <v>7</v>
      </c>
      <c r="G15759" s="549" t="s">
        <v>61</v>
      </c>
      <c r="H15759" s="549" t="s">
        <v>274</v>
      </c>
      <c r="I15759" s="558">
        <v>9</v>
      </c>
      <c r="J15759" s="567">
        <v>11</v>
      </c>
      <c r="K15759" s="648">
        <v>123</v>
      </c>
      <c r="L15759" s="552">
        <f t="shared" ref="L15759:L15762" si="3151">(I15759*J15759*K15759/1000)</f>
        <v>12.177</v>
      </c>
      <c r="M15759" s="549"/>
      <c r="N15759" s="549"/>
      <c r="O15759" s="549"/>
      <c r="P15759" s="549"/>
    </row>
    <row r="15760" spans="1:16" ht="17.399999999999999">
      <c r="A15760" s="549"/>
      <c r="B15760" s="549" t="s">
        <v>271</v>
      </c>
      <c r="C15760" s="549"/>
      <c r="D15760" s="549"/>
      <c r="E15760" s="549"/>
      <c r="F15760" s="549"/>
      <c r="G15760" s="549" t="s">
        <v>61</v>
      </c>
      <c r="H15760" s="549" t="s">
        <v>274</v>
      </c>
      <c r="I15760" s="558">
        <v>9</v>
      </c>
      <c r="J15760" s="567">
        <v>11</v>
      </c>
      <c r="K15760" s="648">
        <v>10</v>
      </c>
      <c r="L15760" s="552">
        <f t="shared" si="3151"/>
        <v>0.99</v>
      </c>
      <c r="M15760" s="549"/>
      <c r="N15760" s="549"/>
      <c r="O15760" s="549"/>
      <c r="P15760" s="549"/>
    </row>
    <row r="15761" spans="1:16" ht="17.399999999999999">
      <c r="A15761" s="549"/>
      <c r="B15761" s="549"/>
      <c r="C15761" s="549"/>
      <c r="D15761" s="549"/>
      <c r="E15761" s="549"/>
      <c r="F15761" s="549"/>
      <c r="G15761" s="549" t="s">
        <v>61</v>
      </c>
      <c r="H15761" s="549" t="s">
        <v>274</v>
      </c>
      <c r="I15761" s="558">
        <v>9</v>
      </c>
      <c r="J15761" s="567">
        <v>11.5</v>
      </c>
      <c r="K15761" s="648">
        <v>405</v>
      </c>
      <c r="L15761" s="552">
        <f t="shared" si="3151"/>
        <v>41.917499999999997</v>
      </c>
      <c r="M15761" s="549"/>
      <c r="N15761" s="549"/>
      <c r="O15761" s="549"/>
      <c r="P15761" s="549"/>
    </row>
    <row r="15762" spans="1:16" ht="17.399999999999999">
      <c r="A15762" s="549"/>
      <c r="B15762" s="549"/>
      <c r="C15762" s="549"/>
      <c r="D15762" s="549"/>
      <c r="E15762" s="549"/>
      <c r="F15762" s="549"/>
      <c r="G15762" s="549" t="s">
        <v>61</v>
      </c>
      <c r="H15762" s="549" t="s">
        <v>274</v>
      </c>
      <c r="I15762" s="558">
        <v>9</v>
      </c>
      <c r="J15762" s="567">
        <v>12</v>
      </c>
      <c r="K15762" s="648">
        <v>29</v>
      </c>
      <c r="L15762" s="552">
        <f t="shared" si="3151"/>
        <v>3.1320000000000001</v>
      </c>
      <c r="M15762" s="549"/>
      <c r="N15762" s="549"/>
      <c r="O15762" s="549"/>
      <c r="P15762" s="549"/>
    </row>
    <row r="15763" spans="1:16" ht="17.399999999999999">
      <c r="A15763" s="549"/>
      <c r="B15763" s="549"/>
      <c r="C15763" s="549"/>
      <c r="D15763" s="549"/>
      <c r="E15763" s="549"/>
      <c r="F15763" s="549"/>
      <c r="G15763" s="549"/>
      <c r="H15763" s="549"/>
      <c r="I15763" s="558"/>
      <c r="J15763" s="565"/>
      <c r="K15763" s="652">
        <f t="shared" ref="K15763:L15763" si="3152">SUM(K15759:K15762)</f>
        <v>567</v>
      </c>
      <c r="L15763" s="565">
        <f t="shared" si="3152"/>
        <v>58.216499999999996</v>
      </c>
      <c r="M15763" s="549"/>
      <c r="N15763" s="549"/>
      <c r="O15763" s="549"/>
      <c r="P15763" s="549" t="s">
        <v>1891</v>
      </c>
    </row>
    <row r="15764" spans="1:16" ht="17.399999999999999">
      <c r="A15764" s="549"/>
      <c r="B15764" s="549"/>
      <c r="C15764" s="549"/>
      <c r="D15764" s="549"/>
      <c r="E15764" s="549"/>
      <c r="F15764" s="549"/>
      <c r="G15764" s="549"/>
      <c r="H15764" s="549"/>
      <c r="I15764" s="560"/>
      <c r="J15764" s="549"/>
      <c r="K15764" s="561"/>
      <c r="L15764" s="560"/>
      <c r="M15764" s="549"/>
      <c r="N15764" s="549"/>
      <c r="O15764" s="549"/>
      <c r="P15764" s="549"/>
    </row>
    <row r="15765" spans="1:16" ht="17.399999999999999">
      <c r="A15765" s="547" t="s">
        <v>395</v>
      </c>
      <c r="B15765" s="547" t="s">
        <v>1782</v>
      </c>
      <c r="C15765" s="547" t="s">
        <v>19</v>
      </c>
      <c r="D15765" s="813" t="s">
        <v>155</v>
      </c>
      <c r="E15765" s="547" t="s">
        <v>270</v>
      </c>
      <c r="F15765" s="550">
        <v>7</v>
      </c>
      <c r="G15765" s="549" t="s">
        <v>61</v>
      </c>
      <c r="H15765" s="549" t="s">
        <v>274</v>
      </c>
      <c r="I15765" s="558">
        <v>9</v>
      </c>
      <c r="J15765" s="567">
        <v>11</v>
      </c>
      <c r="K15765" s="648">
        <v>39</v>
      </c>
      <c r="L15765" s="552">
        <f>(I15765*J15765*K15765/1000)</f>
        <v>3.8610000000000002</v>
      </c>
      <c r="M15765" s="549"/>
      <c r="N15765" s="549"/>
      <c r="O15765" s="549"/>
      <c r="P15765" s="549"/>
    </row>
    <row r="15766" spans="1:16" ht="17.399999999999999">
      <c r="A15766" s="549"/>
      <c r="B15766" s="549" t="s">
        <v>271</v>
      </c>
      <c r="C15766" s="549"/>
      <c r="D15766" s="549"/>
      <c r="E15766" s="549"/>
      <c r="F15766" s="549"/>
      <c r="G15766" s="549" t="s">
        <v>61</v>
      </c>
      <c r="H15766" s="549" t="s">
        <v>274</v>
      </c>
      <c r="I15766" s="558">
        <v>9</v>
      </c>
      <c r="J15766" s="567">
        <v>11.5</v>
      </c>
      <c r="K15766" s="648">
        <v>103</v>
      </c>
      <c r="L15766" s="552">
        <f>(I15766*J15766*K15766/1000)</f>
        <v>10.660500000000001</v>
      </c>
      <c r="M15766" s="549"/>
      <c r="N15766" s="549"/>
      <c r="O15766" s="549"/>
      <c r="P15766" s="549"/>
    </row>
    <row r="15767" spans="1:16" ht="17.399999999999999">
      <c r="A15767" s="549"/>
      <c r="B15767" s="549"/>
      <c r="C15767" s="549"/>
      <c r="D15767" s="549"/>
      <c r="E15767" s="549"/>
      <c r="F15767" s="549"/>
      <c r="G15767" s="549" t="s">
        <v>61</v>
      </c>
      <c r="H15767" s="549" t="s">
        <v>274</v>
      </c>
      <c r="I15767" s="558">
        <v>9</v>
      </c>
      <c r="J15767" s="567">
        <v>13</v>
      </c>
      <c r="K15767" s="648">
        <v>69</v>
      </c>
      <c r="L15767" s="552">
        <f>(I15767*J15767*K15767/1000)</f>
        <v>8.0730000000000004</v>
      </c>
      <c r="M15767" s="549"/>
      <c r="N15767" s="549"/>
      <c r="O15767" s="549"/>
      <c r="P15767" s="549"/>
    </row>
    <row r="15768" spans="1:16" ht="17.399999999999999">
      <c r="A15768" s="549"/>
      <c r="B15768" s="549"/>
      <c r="C15768" s="549"/>
      <c r="D15768" s="549"/>
      <c r="E15768" s="549"/>
      <c r="F15768" s="549"/>
      <c r="G15768" s="549"/>
      <c r="H15768" s="549"/>
      <c r="I15768" s="558"/>
      <c r="J15768" s="565"/>
      <c r="K15768" s="652">
        <f>SUM(K15765:K15767)</f>
        <v>211</v>
      </c>
      <c r="L15768" s="565">
        <f>SUM(L15765:L15767)</f>
        <v>22.594500000000004</v>
      </c>
      <c r="M15768" s="549"/>
      <c r="N15768" s="549"/>
      <c r="O15768" s="549"/>
      <c r="P15768" s="549" t="s">
        <v>1891</v>
      </c>
    </row>
    <row r="15769" spans="1:16" ht="17.399999999999999">
      <c r="A15769" s="549"/>
      <c r="B15769" s="549"/>
      <c r="C15769" s="549"/>
      <c r="D15769" s="549"/>
      <c r="E15769" s="549"/>
      <c r="F15769" s="549"/>
      <c r="G15769" s="549"/>
      <c r="H15769" s="549"/>
      <c r="I15769" s="560"/>
      <c r="J15769" s="549"/>
      <c r="K15769" s="561"/>
      <c r="L15769" s="560"/>
      <c r="M15769" s="549"/>
      <c r="N15769" s="549"/>
      <c r="O15769" s="549"/>
      <c r="P15769" s="549"/>
    </row>
    <row r="15770" spans="1:16" ht="17.399999999999999">
      <c r="A15770" s="547" t="s">
        <v>395</v>
      </c>
      <c r="B15770" s="547" t="s">
        <v>1782</v>
      </c>
      <c r="C15770" s="547" t="s">
        <v>19</v>
      </c>
      <c r="D15770" s="813" t="s">
        <v>155</v>
      </c>
      <c r="E15770" s="547" t="s">
        <v>270</v>
      </c>
      <c r="F15770" s="550">
        <v>7</v>
      </c>
      <c r="G15770" s="549" t="s">
        <v>61</v>
      </c>
      <c r="H15770" s="549" t="s">
        <v>274</v>
      </c>
      <c r="I15770" s="558">
        <v>9</v>
      </c>
      <c r="J15770" s="567">
        <v>12</v>
      </c>
      <c r="K15770" s="648">
        <v>20</v>
      </c>
      <c r="L15770" s="552">
        <f>(I15770*J15770*K15770/1000)</f>
        <v>2.16</v>
      </c>
      <c r="M15770" s="549"/>
      <c r="N15770" s="549"/>
      <c r="O15770" s="549"/>
      <c r="P15770" s="549"/>
    </row>
    <row r="15771" spans="1:16" ht="17.399999999999999">
      <c r="A15771" s="549"/>
      <c r="B15771" s="549" t="s">
        <v>1876</v>
      </c>
      <c r="C15771" s="549"/>
      <c r="D15771" s="549"/>
      <c r="E15771" s="549"/>
      <c r="F15771" s="549"/>
      <c r="G15771" s="549"/>
      <c r="H15771" s="549"/>
      <c r="I15771" s="558"/>
      <c r="J15771" s="565"/>
      <c r="K15771" s="561">
        <f>SUM(K15770:K15770)</f>
        <v>20</v>
      </c>
      <c r="L15771" s="565">
        <f>SUM(L15770:L15770)</f>
        <v>2.16</v>
      </c>
      <c r="M15771" s="549"/>
      <c r="N15771" s="549"/>
      <c r="O15771" s="549"/>
      <c r="P15771" s="549" t="s">
        <v>1892</v>
      </c>
    </row>
    <row r="15772" spans="1:16" ht="17.399999999999999">
      <c r="A15772" s="549"/>
      <c r="B15772" s="549"/>
      <c r="C15772" s="549"/>
      <c r="D15772" s="549"/>
      <c r="E15772" s="549"/>
      <c r="F15772" s="549"/>
      <c r="G15772" s="549"/>
      <c r="H15772" s="549"/>
      <c r="I15772" s="560"/>
      <c r="J15772" s="549"/>
      <c r="K15772" s="652">
        <f>SUM(K15759:K15771)/2</f>
        <v>798</v>
      </c>
      <c r="L15772" s="710">
        <f>SUM(L15759:L15771)/2</f>
        <v>82.971000000000004</v>
      </c>
      <c r="M15772" s="652">
        <f>SUM(M15759:M15771)/2</f>
        <v>0</v>
      </c>
      <c r="N15772" s="710">
        <f>SUM(N15759:N15771)/2</f>
        <v>0</v>
      </c>
      <c r="O15772" s="549"/>
      <c r="P15772" s="549"/>
    </row>
    <row r="15773" spans="1:16" ht="17.399999999999999">
      <c r="A15773" s="549"/>
      <c r="B15773" s="549"/>
      <c r="C15773" s="549"/>
      <c r="D15773" s="549"/>
      <c r="E15773" s="549"/>
      <c r="F15773" s="549"/>
      <c r="G15773" s="549"/>
      <c r="H15773" s="549"/>
      <c r="I15773" s="560"/>
      <c r="J15773" s="549"/>
      <c r="K15773" s="561"/>
      <c r="L15773" s="728"/>
      <c r="M15773" s="549"/>
      <c r="N15773" s="549"/>
      <c r="O15773" s="549"/>
      <c r="P15773" s="549"/>
    </row>
    <row r="15774" spans="1:16" ht="17.399999999999999">
      <c r="A15774" s="549"/>
      <c r="B15774" s="549"/>
      <c r="C15774" s="549"/>
      <c r="D15774" s="549"/>
      <c r="E15774" s="549"/>
      <c r="F15774" s="549"/>
      <c r="G15774" s="549"/>
      <c r="H15774" s="549"/>
      <c r="I15774" s="560"/>
      <c r="J15774" s="549"/>
      <c r="K15774" s="561"/>
      <c r="L15774" s="560"/>
      <c r="M15774" s="549"/>
      <c r="N15774" s="549"/>
      <c r="O15774" s="549"/>
      <c r="P15774" s="549"/>
    </row>
    <row r="15775" spans="1:16" s="1737" customFormat="1" ht="17.399999999999999">
      <c r="A15775" s="547" t="s">
        <v>395</v>
      </c>
      <c r="B15775" s="547" t="s">
        <v>1781</v>
      </c>
      <c r="C15775" s="547" t="s">
        <v>19</v>
      </c>
      <c r="D15775" s="813" t="s">
        <v>155</v>
      </c>
      <c r="E15775" s="547" t="s">
        <v>270</v>
      </c>
      <c r="F15775" s="550">
        <v>7</v>
      </c>
      <c r="G15775" s="549" t="s">
        <v>61</v>
      </c>
      <c r="H15775" s="549" t="s">
        <v>69</v>
      </c>
      <c r="I15775" s="558">
        <v>6.86</v>
      </c>
      <c r="J15775" s="567">
        <v>11.5</v>
      </c>
      <c r="K15775" s="648">
        <v>23</v>
      </c>
      <c r="L15775" s="552">
        <f t="shared" ref="L15775" si="3153">(I15775*J15775*K15775/1000)</f>
        <v>1.81447</v>
      </c>
      <c r="M15775" s="549"/>
      <c r="N15775" s="549"/>
      <c r="O15775" s="549"/>
      <c r="P15775" s="549"/>
    </row>
    <row r="15776" spans="1:16" s="1737" customFormat="1" ht="17.399999999999999">
      <c r="A15776" s="549"/>
      <c r="B15776" s="754" t="s">
        <v>1913</v>
      </c>
      <c r="C15776" s="549"/>
      <c r="D15776" s="549"/>
      <c r="E15776" s="549"/>
      <c r="F15776" s="549"/>
      <c r="G15776" s="549"/>
      <c r="H15776" s="549"/>
      <c r="I15776" s="558"/>
      <c r="J15776" s="565"/>
      <c r="K15776" s="561">
        <f>SUM(K15775:K15775)</f>
        <v>23</v>
      </c>
      <c r="L15776" s="565">
        <f>SUM(L15775:L15775)</f>
        <v>1.81447</v>
      </c>
      <c r="M15776" s="549"/>
      <c r="N15776" s="549"/>
      <c r="O15776" s="549"/>
      <c r="P15776" s="549"/>
    </row>
    <row r="15777" spans="1:16" s="1737" customFormat="1" ht="17.399999999999999">
      <c r="A15777" s="549"/>
      <c r="B15777" s="549"/>
      <c r="C15777" s="549"/>
      <c r="D15777" s="549"/>
      <c r="E15777" s="549"/>
      <c r="F15777" s="549"/>
      <c r="G15777" s="549"/>
      <c r="H15777" s="549"/>
      <c r="I15777" s="558"/>
      <c r="J15777" s="565"/>
      <c r="K15777" s="561"/>
      <c r="L15777" s="565"/>
      <c r="M15777" s="549"/>
      <c r="N15777" s="549"/>
      <c r="O15777" s="549"/>
      <c r="P15777" s="549"/>
    </row>
    <row r="15778" spans="1:16" ht="17.399999999999999">
      <c r="A15778" s="547" t="s">
        <v>395</v>
      </c>
      <c r="B15778" s="547" t="s">
        <v>1781</v>
      </c>
      <c r="C15778" s="547" t="s">
        <v>19</v>
      </c>
      <c r="D15778" s="813" t="s">
        <v>155</v>
      </c>
      <c r="E15778" s="547" t="s">
        <v>270</v>
      </c>
      <c r="F15778" s="550">
        <v>7</v>
      </c>
      <c r="G15778" s="549" t="s">
        <v>61</v>
      </c>
      <c r="H15778" s="549" t="s">
        <v>69</v>
      </c>
      <c r="I15778" s="558">
        <v>6.86</v>
      </c>
      <c r="J15778" s="567">
        <v>6.1</v>
      </c>
      <c r="K15778" s="648">
        <v>1</v>
      </c>
      <c r="L15778" s="552">
        <f t="shared" ref="L15778" si="3154">(I15778*J15778*K15778/1000)</f>
        <v>4.1845999999999994E-2</v>
      </c>
      <c r="M15778" s="549"/>
      <c r="N15778" s="549"/>
      <c r="O15778" s="549"/>
      <c r="P15778" s="549"/>
    </row>
    <row r="15779" spans="1:16" ht="17.399999999999999">
      <c r="A15779" s="549"/>
      <c r="B15779" s="549" t="s">
        <v>271</v>
      </c>
      <c r="C15779" s="549"/>
      <c r="D15779" s="549"/>
      <c r="E15779" s="549"/>
      <c r="F15779" s="549"/>
      <c r="G15779" s="549"/>
      <c r="H15779" s="549"/>
      <c r="I15779" s="558"/>
      <c r="J15779" s="565"/>
      <c r="K15779" s="561">
        <f>SUM(K15778:K15778)</f>
        <v>1</v>
      </c>
      <c r="L15779" s="565">
        <f>SUM(L15778:L15778)</f>
        <v>4.1845999999999994E-2</v>
      </c>
      <c r="M15779" s="549"/>
      <c r="N15779" s="549"/>
      <c r="O15779" s="549"/>
      <c r="P15779" s="549"/>
    </row>
    <row r="15780" spans="1:16" s="1737" customFormat="1" ht="17.399999999999999">
      <c r="A15780" s="549"/>
      <c r="B15780" s="549"/>
      <c r="C15780" s="549"/>
      <c r="D15780" s="549"/>
      <c r="E15780" s="549"/>
      <c r="F15780" s="549"/>
      <c r="G15780" s="549"/>
      <c r="H15780" s="549"/>
      <c r="I15780" s="558"/>
      <c r="J15780" s="565"/>
      <c r="K15780" s="561"/>
      <c r="L15780" s="565"/>
      <c r="M15780" s="549"/>
      <c r="N15780" s="549"/>
      <c r="O15780" s="549"/>
      <c r="P15780" s="549"/>
    </row>
    <row r="15781" spans="1:16" ht="17.399999999999999">
      <c r="A15781" s="547" t="s">
        <v>395</v>
      </c>
      <c r="B15781" s="547" t="s">
        <v>1782</v>
      </c>
      <c r="C15781" s="547" t="s">
        <v>19</v>
      </c>
      <c r="D15781" s="813" t="s">
        <v>155</v>
      </c>
      <c r="E15781" s="547" t="s">
        <v>270</v>
      </c>
      <c r="F15781" s="550">
        <v>7</v>
      </c>
      <c r="G15781" s="549" t="s">
        <v>61</v>
      </c>
      <c r="H15781" s="549" t="s">
        <v>69</v>
      </c>
      <c r="I15781" s="558">
        <v>6.86</v>
      </c>
      <c r="J15781" s="567">
        <v>6.1</v>
      </c>
      <c r="K15781" s="648">
        <v>2</v>
      </c>
      <c r="L15781" s="552">
        <f t="shared" ref="L15781" si="3155">(I15781*J15781*K15781/1000)</f>
        <v>8.3691999999999989E-2</v>
      </c>
      <c r="M15781" s="549"/>
      <c r="N15781" s="549"/>
      <c r="O15781" s="549"/>
      <c r="P15781" s="549"/>
    </row>
    <row r="15782" spans="1:16" ht="17.399999999999999">
      <c r="A15782" s="549"/>
      <c r="B15782" s="549" t="s">
        <v>271</v>
      </c>
      <c r="C15782" s="549"/>
      <c r="D15782" s="549"/>
      <c r="E15782" s="549"/>
      <c r="F15782" s="549"/>
      <c r="G15782" s="549"/>
      <c r="H15782" s="549"/>
      <c r="I15782" s="558"/>
      <c r="J15782" s="565"/>
      <c r="K15782" s="561">
        <f>SUM(K15781:K15781)</f>
        <v>2</v>
      </c>
      <c r="L15782" s="565">
        <f>SUM(L15781:L15781)</f>
        <v>8.3691999999999989E-2</v>
      </c>
      <c r="M15782" s="549"/>
      <c r="N15782" s="549"/>
      <c r="O15782" s="549"/>
      <c r="P15782" s="549"/>
    </row>
    <row r="15783" spans="1:16" s="1737" customFormat="1" ht="17.399999999999999">
      <c r="A15783" s="549"/>
      <c r="B15783" s="549"/>
      <c r="C15783" s="549"/>
      <c r="D15783" s="549"/>
      <c r="E15783" s="549"/>
      <c r="F15783" s="549"/>
      <c r="G15783" s="549"/>
      <c r="H15783" s="549"/>
      <c r="I15783" s="558"/>
      <c r="J15783" s="565"/>
      <c r="K15783" s="561"/>
      <c r="L15783" s="565"/>
      <c r="M15783" s="549"/>
      <c r="N15783" s="549"/>
      <c r="O15783" s="549"/>
      <c r="P15783" s="549"/>
    </row>
    <row r="15784" spans="1:16" ht="17.399999999999999">
      <c r="A15784" s="547" t="s">
        <v>395</v>
      </c>
      <c r="B15784" s="547" t="s">
        <v>1877</v>
      </c>
      <c r="C15784" s="547" t="s">
        <v>19</v>
      </c>
      <c r="D15784" s="813" t="s">
        <v>155</v>
      </c>
      <c r="E15784" s="547" t="s">
        <v>270</v>
      </c>
      <c r="F15784" s="550">
        <v>7</v>
      </c>
      <c r="G15784" s="549" t="s">
        <v>61</v>
      </c>
      <c r="H15784" s="549" t="s">
        <v>69</v>
      </c>
      <c r="I15784" s="558">
        <v>6.86</v>
      </c>
      <c r="J15784" s="567">
        <v>10</v>
      </c>
      <c r="K15784" s="648">
        <v>1</v>
      </c>
      <c r="L15784" s="552">
        <f t="shared" ref="L15784" si="3156">(I15784*J15784*K15784/1000)</f>
        <v>6.8600000000000008E-2</v>
      </c>
      <c r="M15784" s="549"/>
      <c r="N15784" s="549"/>
      <c r="O15784" s="549"/>
      <c r="P15784" s="549"/>
    </row>
    <row r="15785" spans="1:16" ht="17.399999999999999">
      <c r="A15785" s="549"/>
      <c r="B15785" s="549" t="s">
        <v>271</v>
      </c>
      <c r="C15785" s="549"/>
      <c r="D15785" s="549"/>
      <c r="E15785" s="549"/>
      <c r="F15785" s="549"/>
      <c r="G15785" s="549"/>
      <c r="H15785" s="549"/>
      <c r="I15785" s="558"/>
      <c r="J15785" s="565"/>
      <c r="K15785" s="561">
        <f>SUM(K15784:K15784)</f>
        <v>1</v>
      </c>
      <c r="L15785" s="565">
        <f>SUM(L15784:L15784)</f>
        <v>6.8600000000000008E-2</v>
      </c>
      <c r="M15785" s="549"/>
      <c r="N15785" s="549"/>
      <c r="O15785" s="549"/>
      <c r="P15785" s="549"/>
    </row>
    <row r="15786" spans="1:16" ht="17.399999999999999">
      <c r="A15786" s="549"/>
      <c r="B15786" s="549"/>
      <c r="C15786" s="549"/>
      <c r="D15786" s="549"/>
      <c r="E15786" s="549"/>
      <c r="F15786" s="549"/>
      <c r="G15786" s="549"/>
      <c r="H15786" s="549"/>
      <c r="I15786" s="560"/>
      <c r="J15786" s="549"/>
      <c r="K15786" s="561"/>
      <c r="L15786" s="560"/>
      <c r="M15786" s="549"/>
      <c r="N15786" s="549"/>
      <c r="O15786" s="549"/>
      <c r="P15786" s="549"/>
    </row>
    <row r="15787" spans="1:16" ht="17.399999999999999">
      <c r="A15787" s="547" t="s">
        <v>395</v>
      </c>
      <c r="B15787" s="547" t="s">
        <v>1878</v>
      </c>
      <c r="C15787" s="547" t="s">
        <v>19</v>
      </c>
      <c r="D15787" s="813" t="s">
        <v>155</v>
      </c>
      <c r="E15787" s="547" t="s">
        <v>270</v>
      </c>
      <c r="F15787" s="550">
        <v>7</v>
      </c>
      <c r="G15787" s="549" t="s">
        <v>61</v>
      </c>
      <c r="H15787" s="549" t="s">
        <v>69</v>
      </c>
      <c r="I15787" s="558">
        <v>6.86</v>
      </c>
      <c r="J15787" s="567">
        <v>10</v>
      </c>
      <c r="K15787" s="648">
        <v>12</v>
      </c>
      <c r="L15787" s="552">
        <f t="shared" ref="L15787:L15793" si="3157">(I15787*J15787*K15787/1000)</f>
        <v>0.82320000000000004</v>
      </c>
      <c r="M15787" s="549"/>
      <c r="N15787" s="549"/>
      <c r="O15787" s="549"/>
      <c r="P15787" s="549"/>
    </row>
    <row r="15788" spans="1:16" ht="17.399999999999999">
      <c r="A15788" s="549"/>
      <c r="B15788" s="549" t="s">
        <v>271</v>
      </c>
      <c r="C15788" s="549"/>
      <c r="D15788" s="549"/>
      <c r="E15788" s="549"/>
      <c r="F15788" s="549"/>
      <c r="G15788" s="549" t="s">
        <v>61</v>
      </c>
      <c r="H15788" s="549" t="s">
        <v>69</v>
      </c>
      <c r="I15788" s="558">
        <v>6.86</v>
      </c>
      <c r="J15788" s="567">
        <v>10.25</v>
      </c>
      <c r="K15788" s="648">
        <v>5</v>
      </c>
      <c r="L15788" s="552">
        <f t="shared" si="3157"/>
        <v>0.35157499999999997</v>
      </c>
      <c r="M15788" s="549"/>
      <c r="N15788" s="549"/>
      <c r="O15788" s="549"/>
      <c r="P15788" s="549"/>
    </row>
    <row r="15789" spans="1:16" ht="17.399999999999999">
      <c r="A15789" s="549"/>
      <c r="B15789" s="549"/>
      <c r="C15789" s="549"/>
      <c r="D15789" s="549"/>
      <c r="E15789" s="549"/>
      <c r="F15789" s="549"/>
      <c r="G15789" s="549" t="s">
        <v>61</v>
      </c>
      <c r="H15789" s="549" t="s">
        <v>69</v>
      </c>
      <c r="I15789" s="558">
        <v>6.86</v>
      </c>
      <c r="J15789" s="567">
        <v>10.25</v>
      </c>
      <c r="K15789" s="648">
        <v>5</v>
      </c>
      <c r="L15789" s="552">
        <f t="shared" si="3157"/>
        <v>0.35157499999999997</v>
      </c>
      <c r="M15789" s="549"/>
      <c r="N15789" s="549"/>
      <c r="O15789" s="549"/>
      <c r="P15789" s="549"/>
    </row>
    <row r="15790" spans="1:16" s="1737" customFormat="1" ht="17.399999999999999">
      <c r="A15790" s="549"/>
      <c r="B15790" s="549"/>
      <c r="C15790" s="549"/>
      <c r="D15790" s="549"/>
      <c r="E15790" s="549"/>
      <c r="F15790" s="549"/>
      <c r="G15790" s="549" t="s">
        <v>61</v>
      </c>
      <c r="H15790" s="549" t="s">
        <v>69</v>
      </c>
      <c r="I15790" s="558">
        <v>6.86</v>
      </c>
      <c r="J15790" s="567">
        <v>10.5</v>
      </c>
      <c r="K15790" s="648">
        <v>3</v>
      </c>
      <c r="L15790" s="552">
        <f t="shared" ref="L15790:L15791" si="3158">(I15790*J15790*K15790/1000)</f>
        <v>0.21609</v>
      </c>
      <c r="M15790" s="549"/>
      <c r="N15790" s="549"/>
      <c r="O15790" s="549"/>
      <c r="P15790" s="549"/>
    </row>
    <row r="15791" spans="1:16" s="1737" customFormat="1" ht="17.399999999999999">
      <c r="A15791" s="549"/>
      <c r="B15791" s="549"/>
      <c r="C15791" s="549"/>
      <c r="D15791" s="549"/>
      <c r="E15791" s="549"/>
      <c r="F15791" s="549"/>
      <c r="G15791" s="549" t="s">
        <v>61</v>
      </c>
      <c r="H15791" s="549" t="s">
        <v>69</v>
      </c>
      <c r="I15791" s="558">
        <v>6.86</v>
      </c>
      <c r="J15791" s="567">
        <v>6</v>
      </c>
      <c r="K15791" s="648">
        <v>1</v>
      </c>
      <c r="L15791" s="552">
        <f t="shared" si="3158"/>
        <v>4.1160000000000002E-2</v>
      </c>
      <c r="M15791" s="549"/>
      <c r="N15791" s="549"/>
      <c r="O15791" s="549"/>
      <c r="P15791" s="549"/>
    </row>
    <row r="15792" spans="1:16" ht="17.399999999999999">
      <c r="A15792" s="549"/>
      <c r="B15792" s="549"/>
      <c r="C15792" s="549"/>
      <c r="D15792" s="549"/>
      <c r="E15792" s="549"/>
      <c r="F15792" s="549"/>
      <c r="G15792" s="549" t="s">
        <v>61</v>
      </c>
      <c r="H15792" s="549" t="s">
        <v>69</v>
      </c>
      <c r="I15792" s="558">
        <v>6.86</v>
      </c>
      <c r="J15792" s="567">
        <v>11.5</v>
      </c>
      <c r="K15792" s="648">
        <v>9</v>
      </c>
      <c r="L15792" s="552">
        <f t="shared" si="3157"/>
        <v>0.71001000000000003</v>
      </c>
      <c r="M15792" s="549"/>
      <c r="N15792" s="549"/>
      <c r="O15792" s="549"/>
      <c r="P15792" s="549"/>
    </row>
    <row r="15793" spans="1:16" ht="17.399999999999999">
      <c r="A15793" s="549"/>
      <c r="B15793" s="549"/>
      <c r="C15793" s="549"/>
      <c r="D15793" s="549"/>
      <c r="E15793" s="549"/>
      <c r="F15793" s="549"/>
      <c r="G15793" s="549" t="s">
        <v>61</v>
      </c>
      <c r="H15793" s="549" t="s">
        <v>69</v>
      </c>
      <c r="I15793" s="558">
        <v>6.86</v>
      </c>
      <c r="J15793" s="567">
        <v>12</v>
      </c>
      <c r="K15793" s="648">
        <v>1</v>
      </c>
      <c r="L15793" s="552">
        <f t="shared" si="3157"/>
        <v>8.2320000000000004E-2</v>
      </c>
      <c r="M15793" s="549"/>
      <c r="N15793" s="549"/>
      <c r="O15793" s="549"/>
      <c r="P15793" s="549"/>
    </row>
    <row r="15794" spans="1:16" ht="17.399999999999999">
      <c r="A15794" s="549"/>
      <c r="B15794" s="549"/>
      <c r="C15794" s="549"/>
      <c r="D15794" s="549"/>
      <c r="E15794" s="549"/>
      <c r="F15794" s="549"/>
      <c r="G15794" s="549"/>
      <c r="H15794" s="549"/>
      <c r="I15794" s="558"/>
      <c r="J15794" s="567"/>
      <c r="K15794" s="648">
        <f>SUM(K15787:K15793)</f>
        <v>36</v>
      </c>
      <c r="L15794" s="567">
        <f>SUM(L15787:L15793)</f>
        <v>2.5759300000000001</v>
      </c>
      <c r="M15794" s="549"/>
      <c r="N15794" s="549"/>
      <c r="O15794" s="549"/>
      <c r="P15794" s="549"/>
    </row>
    <row r="15795" spans="1:16" s="1737" customFormat="1" ht="17.399999999999999">
      <c r="A15795" s="549"/>
      <c r="B15795" s="549"/>
      <c r="C15795" s="549"/>
      <c r="D15795" s="549"/>
      <c r="E15795" s="549"/>
      <c r="F15795" s="549"/>
      <c r="G15795" s="549"/>
      <c r="H15795" s="549"/>
      <c r="I15795" s="558"/>
      <c r="J15795" s="567"/>
      <c r="K15795" s="648">
        <f>SUM(K15775:K15794)/2</f>
        <v>63</v>
      </c>
      <c r="L15795" s="567">
        <f>SUM(L15775:L15794)/2</f>
        <v>4.5845380000000002</v>
      </c>
      <c r="M15795" s="648">
        <f>SUM(M15778:M15794)/2</f>
        <v>0</v>
      </c>
      <c r="N15795" s="567">
        <f>SUM(N15778:N15794)/2</f>
        <v>0</v>
      </c>
      <c r="O15795" s="549"/>
      <c r="P15795" s="549" t="s">
        <v>1893</v>
      </c>
    </row>
    <row r="15796" spans="1:16" s="1737" customFormat="1" ht="17.399999999999999">
      <c r="A15796" s="549"/>
      <c r="B15796" s="549"/>
      <c r="C15796" s="549"/>
      <c r="D15796" s="549"/>
      <c r="E15796" s="549"/>
      <c r="F15796" s="549"/>
      <c r="G15796" s="549"/>
      <c r="H15796" s="549"/>
      <c r="I15796" s="558"/>
      <c r="J15796" s="567"/>
      <c r="K15796" s="648"/>
      <c r="L15796" s="567"/>
      <c r="M15796" s="648"/>
      <c r="N15796" s="567"/>
      <c r="O15796" s="549"/>
      <c r="P15796" s="549"/>
    </row>
    <row r="15797" spans="1:16" ht="17.399999999999999">
      <c r="A15797" s="549"/>
      <c r="B15797" s="549"/>
      <c r="C15797" s="549"/>
      <c r="D15797" s="549"/>
      <c r="E15797" s="549"/>
      <c r="F15797" s="549"/>
      <c r="G15797" s="549"/>
      <c r="H15797" s="549"/>
      <c r="I15797" s="560"/>
      <c r="J15797" s="549"/>
      <c r="K15797" s="561"/>
      <c r="L15797" s="560"/>
      <c r="M15797" s="549"/>
      <c r="N15797" s="549"/>
      <c r="O15797" s="549"/>
      <c r="P15797" s="549"/>
    </row>
    <row r="15798" spans="1:16" ht="17.399999999999999">
      <c r="A15798" s="547" t="s">
        <v>83</v>
      </c>
      <c r="B15798" s="547" t="s">
        <v>1881</v>
      </c>
      <c r="C15798" s="547" t="s">
        <v>19</v>
      </c>
      <c r="D15798" s="813" t="s">
        <v>155</v>
      </c>
      <c r="E15798" s="547" t="s">
        <v>270</v>
      </c>
      <c r="F15798" s="550">
        <v>7</v>
      </c>
      <c r="G15798" s="549" t="s">
        <v>61</v>
      </c>
      <c r="H15798" s="549" t="s">
        <v>69</v>
      </c>
      <c r="I15798" s="558">
        <v>6.86</v>
      </c>
      <c r="J15798" s="567">
        <v>12</v>
      </c>
      <c r="K15798" s="648">
        <v>12</v>
      </c>
      <c r="L15798" s="552">
        <f>(I15798*J15798*K15798/1000)</f>
        <v>0.98784000000000016</v>
      </c>
      <c r="M15798" s="549"/>
      <c r="N15798" s="549"/>
      <c r="O15798" s="549"/>
      <c r="P15798" s="549"/>
    </row>
    <row r="15799" spans="1:16" ht="17.399999999999999">
      <c r="A15799" s="549"/>
      <c r="B15799" s="549" t="s">
        <v>1820</v>
      </c>
      <c r="C15799" s="549"/>
      <c r="D15799" s="549"/>
      <c r="E15799" s="549"/>
      <c r="F15799" s="549"/>
      <c r="G15799" s="549"/>
      <c r="H15799" s="549"/>
      <c r="I15799" s="558"/>
      <c r="J15799" s="567"/>
      <c r="K15799" s="648">
        <f t="shared" ref="K15799:L15799" si="3159">SUM(K15798)</f>
        <v>12</v>
      </c>
      <c r="L15799" s="567">
        <f t="shared" si="3159"/>
        <v>0.98784000000000016</v>
      </c>
      <c r="M15799" s="549"/>
      <c r="N15799" s="549"/>
      <c r="O15799" s="549"/>
      <c r="P15799" s="549" t="s">
        <v>1894</v>
      </c>
    </row>
    <row r="15800" spans="1:16" s="1737" customFormat="1" ht="17.399999999999999">
      <c r="A15800" s="549"/>
      <c r="B15800" s="549"/>
      <c r="C15800" s="549"/>
      <c r="D15800" s="549"/>
      <c r="E15800" s="549"/>
      <c r="F15800" s="549"/>
      <c r="G15800" s="549"/>
      <c r="H15800" s="549"/>
      <c r="I15800" s="558"/>
      <c r="J15800" s="567"/>
      <c r="K15800" s="648"/>
      <c r="L15800" s="567"/>
      <c r="M15800" s="549"/>
      <c r="N15800" s="549"/>
      <c r="O15800" s="549"/>
      <c r="P15800" s="549"/>
    </row>
    <row r="15801" spans="1:16" ht="17.399999999999999">
      <c r="A15801" s="547" t="s">
        <v>395</v>
      </c>
      <c r="B15801" s="547" t="s">
        <v>1759</v>
      </c>
      <c r="C15801" s="547" t="s">
        <v>19</v>
      </c>
      <c r="D15801" s="813" t="s">
        <v>155</v>
      </c>
      <c r="E15801" s="547" t="s">
        <v>1104</v>
      </c>
      <c r="F15801" s="550">
        <v>7</v>
      </c>
      <c r="G15801" s="549" t="s">
        <v>61</v>
      </c>
      <c r="H15801" s="549" t="s">
        <v>69</v>
      </c>
      <c r="I15801" s="558">
        <v>6.86</v>
      </c>
      <c r="J15801" s="567">
        <v>12</v>
      </c>
      <c r="K15801" s="648">
        <v>2</v>
      </c>
      <c r="L15801" s="552">
        <f>(I15801*J15801*K15801/1000)</f>
        <v>0.16464000000000001</v>
      </c>
      <c r="M15801" s="549">
        <v>2</v>
      </c>
      <c r="N15801" s="567">
        <f>J15801*M15801*I15801/1000</f>
        <v>0.16464000000000001</v>
      </c>
      <c r="O15801" s="549" t="s">
        <v>1882</v>
      </c>
      <c r="P15801" s="549"/>
    </row>
    <row r="15802" spans="1:16" ht="17.399999999999999">
      <c r="A15802" s="549"/>
      <c r="B15802" s="549" t="s">
        <v>1027</v>
      </c>
      <c r="C15802" s="549"/>
      <c r="D15802" s="549"/>
      <c r="E15802" s="549"/>
      <c r="F15802" s="549"/>
      <c r="G15802" s="549"/>
      <c r="H15802" s="549"/>
      <c r="I15802" s="558"/>
      <c r="J15802" s="567"/>
      <c r="K15802" s="648">
        <f t="shared" ref="K15802:N15802" si="3160">SUM(K15801)</f>
        <v>2</v>
      </c>
      <c r="L15802" s="567">
        <f t="shared" si="3160"/>
        <v>0.16464000000000001</v>
      </c>
      <c r="M15802" s="648">
        <f t="shared" si="3160"/>
        <v>2</v>
      </c>
      <c r="N15802" s="567">
        <f t="shared" si="3160"/>
        <v>0.16464000000000001</v>
      </c>
      <c r="O15802" s="549"/>
      <c r="P15802" s="549"/>
    </row>
    <row r="15803" spans="1:16" ht="17.399999999999999">
      <c r="A15803" s="549"/>
      <c r="B15803" s="549"/>
      <c r="C15803" s="549"/>
      <c r="D15803" s="549"/>
      <c r="E15803" s="549"/>
      <c r="F15803" s="549"/>
      <c r="G15803" s="549"/>
      <c r="H15803" s="549"/>
      <c r="I15803" s="560"/>
      <c r="J15803" s="549"/>
      <c r="K15803" s="561"/>
      <c r="L15803" s="560"/>
      <c r="M15803" s="549"/>
      <c r="N15803" s="549"/>
      <c r="O15803" s="549"/>
      <c r="P15803" s="549"/>
    </row>
    <row r="15804" spans="1:16" ht="17.399999999999999">
      <c r="A15804" s="547" t="s">
        <v>395</v>
      </c>
      <c r="B15804" s="547" t="s">
        <v>1782</v>
      </c>
      <c r="C15804" s="547" t="s">
        <v>19</v>
      </c>
      <c r="D15804" s="813" t="s">
        <v>155</v>
      </c>
      <c r="E15804" s="547" t="s">
        <v>270</v>
      </c>
      <c r="F15804" s="550">
        <v>7</v>
      </c>
      <c r="G15804" s="549" t="s">
        <v>61</v>
      </c>
      <c r="H15804" s="549" t="s">
        <v>69</v>
      </c>
      <c r="I15804" s="558">
        <v>6.86</v>
      </c>
      <c r="J15804" s="567">
        <v>10</v>
      </c>
      <c r="K15804" s="648">
        <v>8</v>
      </c>
      <c r="L15804" s="552">
        <f t="shared" ref="L15804" si="3161">(I15804*J15804*K15804/1000)</f>
        <v>0.54880000000000007</v>
      </c>
      <c r="M15804" s="549">
        <f>2+2+3</f>
        <v>7</v>
      </c>
      <c r="N15804" s="567">
        <f>J15804*M15804*I15804/1000</f>
        <v>0.48020000000000007</v>
      </c>
      <c r="O15804" s="549"/>
      <c r="P15804" s="549"/>
    </row>
    <row r="15805" spans="1:16" ht="17.399999999999999">
      <c r="A15805" s="549"/>
      <c r="B15805" s="549" t="s">
        <v>1876</v>
      </c>
      <c r="C15805" s="549"/>
      <c r="D15805" s="549"/>
      <c r="E15805" s="549"/>
      <c r="F15805" s="549"/>
      <c r="G15805" s="549"/>
      <c r="H15805" s="549"/>
      <c r="I15805" s="558"/>
      <c r="J15805" s="565"/>
      <c r="K15805" s="561">
        <f>SUM(K15804:K15804)</f>
        <v>8</v>
      </c>
      <c r="L15805" s="565">
        <f>SUM(L15804:L15804)</f>
        <v>0.54880000000000007</v>
      </c>
      <c r="M15805" s="561">
        <f>SUM(M15804:M15804)</f>
        <v>7</v>
      </c>
      <c r="N15805" s="565">
        <f>SUM(N15804:N15804)</f>
        <v>0.48020000000000007</v>
      </c>
      <c r="O15805" s="549"/>
      <c r="P15805" s="549" t="s">
        <v>1894</v>
      </c>
    </row>
    <row r="15806" spans="1:16" s="1737" customFormat="1" ht="17.399999999999999">
      <c r="A15806" s="549"/>
      <c r="B15806" s="549"/>
      <c r="C15806" s="549"/>
      <c r="D15806" s="549"/>
      <c r="E15806" s="549"/>
      <c r="F15806" s="549"/>
      <c r="G15806" s="549"/>
      <c r="H15806" s="549"/>
      <c r="I15806" s="558"/>
      <c r="J15806" s="565"/>
      <c r="K15806" s="561"/>
      <c r="L15806" s="565"/>
      <c r="M15806" s="549"/>
      <c r="N15806" s="549"/>
      <c r="O15806" s="549"/>
      <c r="P15806" s="549"/>
    </row>
    <row r="15807" spans="1:16" ht="17.399999999999999">
      <c r="A15807" s="547" t="s">
        <v>395</v>
      </c>
      <c r="B15807" s="547" t="s">
        <v>1725</v>
      </c>
      <c r="C15807" s="547" t="s">
        <v>19</v>
      </c>
      <c r="D15807" s="813" t="s">
        <v>155</v>
      </c>
      <c r="E15807" s="547" t="s">
        <v>270</v>
      </c>
      <c r="F15807" s="550">
        <v>7</v>
      </c>
      <c r="G15807" s="549" t="s">
        <v>61</v>
      </c>
      <c r="H15807" s="549" t="s">
        <v>69</v>
      </c>
      <c r="I15807" s="558">
        <v>6.86</v>
      </c>
      <c r="J15807" s="567">
        <v>8</v>
      </c>
      <c r="K15807" s="648">
        <v>4</v>
      </c>
      <c r="L15807" s="552">
        <f t="shared" ref="L15807:L15808" si="3162">(I15807*J15807*K15807/1000)</f>
        <v>0.21952000000000002</v>
      </c>
      <c r="M15807" s="549">
        <v>1</v>
      </c>
      <c r="N15807" s="567">
        <f>J15807*M15807*I15807/1000</f>
        <v>5.4880000000000005E-2</v>
      </c>
      <c r="O15807" s="549"/>
      <c r="P15807" s="549"/>
    </row>
    <row r="15808" spans="1:16" ht="17.399999999999999">
      <c r="A15808" s="549"/>
      <c r="B15808" s="549" t="s">
        <v>1027</v>
      </c>
      <c r="C15808" s="549"/>
      <c r="D15808" s="549"/>
      <c r="E15808" s="549"/>
      <c r="F15808" s="549"/>
      <c r="G15808" s="549" t="s">
        <v>61</v>
      </c>
      <c r="H15808" s="549" t="s">
        <v>69</v>
      </c>
      <c r="I15808" s="558">
        <v>6.86</v>
      </c>
      <c r="J15808" s="567">
        <v>12</v>
      </c>
      <c r="K15808" s="648">
        <v>6</v>
      </c>
      <c r="L15808" s="552">
        <f t="shared" si="3162"/>
        <v>0.49392000000000008</v>
      </c>
      <c r="M15808" s="549">
        <v>2</v>
      </c>
      <c r="N15808" s="567">
        <f>J15808*M15808*I15808/1000</f>
        <v>0.16464000000000001</v>
      </c>
      <c r="O15808" s="549"/>
      <c r="P15808" s="549"/>
    </row>
    <row r="15809" spans="1:16" ht="17.399999999999999">
      <c r="A15809" s="549"/>
      <c r="B15809" s="549"/>
      <c r="C15809" s="549"/>
      <c r="D15809" s="549"/>
      <c r="E15809" s="549"/>
      <c r="F15809" s="549"/>
      <c r="G15809" s="549"/>
      <c r="H15809" s="549"/>
      <c r="I15809" s="558"/>
      <c r="J15809" s="567"/>
      <c r="K15809" s="648">
        <f t="shared" ref="K15809:M15809" si="3163">SUM(K15807:K15808)</f>
        <v>10</v>
      </c>
      <c r="L15809" s="567">
        <f t="shared" si="3163"/>
        <v>0.71344000000000007</v>
      </c>
      <c r="M15809" s="648">
        <f t="shared" si="3163"/>
        <v>3</v>
      </c>
      <c r="N15809" s="567">
        <f>SUM(N15807:N15808)</f>
        <v>0.21952000000000002</v>
      </c>
      <c r="O15809" s="549"/>
      <c r="P15809" s="549" t="s">
        <v>1894</v>
      </c>
    </row>
    <row r="15810" spans="1:16" ht="17.399999999999999">
      <c r="A15810" s="549"/>
      <c r="B15810" s="549"/>
      <c r="C15810" s="549"/>
      <c r="D15810" s="549"/>
      <c r="E15810" s="549"/>
      <c r="F15810" s="549"/>
      <c r="G15810" s="549"/>
      <c r="H15810" s="549"/>
      <c r="I15810" s="560"/>
      <c r="J15810" s="549"/>
      <c r="K15810" s="652">
        <f>SUM(K15798:K15809)/2</f>
        <v>32</v>
      </c>
      <c r="L15810" s="565">
        <f>SUM(L15798:L15809)/2</f>
        <v>2.4147200000000004</v>
      </c>
      <c r="M15810" s="652">
        <f>SUM(M15798:M15809)/2</f>
        <v>12</v>
      </c>
      <c r="N15810" s="565">
        <f>SUM(N15798:N15809)/2</f>
        <v>0.86436000000000013</v>
      </c>
      <c r="O15810" s="549"/>
      <c r="P15810" s="549"/>
    </row>
    <row r="15811" spans="1:16" s="1737" customFormat="1" ht="17.399999999999999">
      <c r="A15811" s="549"/>
      <c r="B15811" s="549"/>
      <c r="C15811" s="549"/>
      <c r="D15811" s="549"/>
      <c r="E15811" s="549"/>
      <c r="F15811" s="549"/>
      <c r="G15811" s="549"/>
      <c r="H15811" s="549"/>
      <c r="I15811" s="560"/>
      <c r="J15811" s="549"/>
      <c r="K15811" s="652"/>
      <c r="L15811" s="565"/>
      <c r="M15811" s="652"/>
      <c r="N15811" s="565"/>
      <c r="O15811" s="549"/>
      <c r="P15811" s="549"/>
    </row>
    <row r="15812" spans="1:16" s="1737" customFormat="1" ht="17.399999999999999">
      <c r="A15812" s="549"/>
      <c r="B15812" s="549"/>
      <c r="C15812" s="549"/>
      <c r="D15812" s="549"/>
      <c r="E15812" s="549"/>
      <c r="F15812" s="549"/>
      <c r="G15812" s="549"/>
      <c r="H15812" s="549"/>
      <c r="I15812" s="560"/>
      <c r="J15812" s="549"/>
      <c r="K15812" s="652"/>
      <c r="L15812" s="565"/>
      <c r="M15812" s="652"/>
      <c r="N15812" s="565"/>
      <c r="O15812" s="549"/>
      <c r="P15812" s="549"/>
    </row>
    <row r="15813" spans="1:16" ht="17.399999999999999">
      <c r="A15813" s="547" t="s">
        <v>83</v>
      </c>
      <c r="B15813" s="547" t="s">
        <v>1732</v>
      </c>
      <c r="C15813" s="547" t="s">
        <v>19</v>
      </c>
      <c r="D15813" s="813" t="s">
        <v>854</v>
      </c>
      <c r="E15813" s="650" t="s">
        <v>464</v>
      </c>
      <c r="F15813" s="549">
        <v>9</v>
      </c>
      <c r="G15813" s="549" t="s">
        <v>21</v>
      </c>
      <c r="H15813" s="549" t="s">
        <v>69</v>
      </c>
      <c r="I15813" s="558">
        <v>6.85</v>
      </c>
      <c r="J15813" s="567">
        <v>10</v>
      </c>
      <c r="K15813" s="648">
        <v>7</v>
      </c>
      <c r="L15813" s="552">
        <f t="shared" ref="L15813" si="3164">(I15813*J15813*K15813/1000)</f>
        <v>0.47949999999999998</v>
      </c>
      <c r="M15813" s="549">
        <v>7</v>
      </c>
      <c r="N15813" s="567">
        <f>J15813*M15813*I15813/1000</f>
        <v>0.47949999999999998</v>
      </c>
      <c r="O15813" s="549"/>
      <c r="P15813" s="549"/>
    </row>
    <row r="15814" spans="1:16" ht="17.399999999999999">
      <c r="A15814" s="547"/>
      <c r="B15814" s="832" t="s">
        <v>1879</v>
      </c>
      <c r="C15814" s="547"/>
      <c r="D15814" s="813"/>
      <c r="E15814" s="547"/>
      <c r="F15814" s="550"/>
      <c r="G15814" s="549"/>
      <c r="H15814" s="549"/>
      <c r="I15814" s="558"/>
      <c r="J15814" s="567"/>
      <c r="K15814" s="648">
        <f>SUM(K15813:K15813)</f>
        <v>7</v>
      </c>
      <c r="L15814" s="567">
        <f>SUM(L15813:L15813)</f>
        <v>0.47949999999999998</v>
      </c>
      <c r="M15814" s="648">
        <f>SUM(M15813:M15813)</f>
        <v>7</v>
      </c>
      <c r="N15814" s="567">
        <f>SUM(N15813:N15813)</f>
        <v>0.47949999999999998</v>
      </c>
      <c r="O15814" s="549"/>
      <c r="P15814" s="549"/>
    </row>
    <row r="15815" spans="1:16" s="1737" customFormat="1" ht="17.399999999999999">
      <c r="A15815" s="547"/>
      <c r="B15815" s="832"/>
      <c r="C15815" s="547"/>
      <c r="D15815" s="813"/>
      <c r="E15815" s="547"/>
      <c r="F15815" s="550"/>
      <c r="G15815" s="549"/>
      <c r="H15815" s="549"/>
      <c r="I15815" s="558"/>
      <c r="J15815" s="567"/>
      <c r="K15815" s="648"/>
      <c r="L15815" s="567"/>
      <c r="M15815" s="549"/>
      <c r="N15815" s="549"/>
      <c r="O15815" s="549"/>
      <c r="P15815" s="549"/>
    </row>
    <row r="15816" spans="1:16" ht="17.399999999999999">
      <c r="A15816" s="547" t="s">
        <v>395</v>
      </c>
      <c r="B15816" s="547" t="s">
        <v>1725</v>
      </c>
      <c r="C15816" s="547" t="s">
        <v>19</v>
      </c>
      <c r="D15816" s="813" t="s">
        <v>854</v>
      </c>
      <c r="E15816" s="547" t="s">
        <v>359</v>
      </c>
      <c r="F15816" s="549">
        <v>9</v>
      </c>
      <c r="G15816" s="549" t="s">
        <v>21</v>
      </c>
      <c r="H15816" s="549" t="s">
        <v>69</v>
      </c>
      <c r="I15816" s="558">
        <v>6.86</v>
      </c>
      <c r="J15816" s="567">
        <v>7.3</v>
      </c>
      <c r="K15816" s="648">
        <v>12</v>
      </c>
      <c r="L15816" s="552">
        <f t="shared" ref="L15816:L15819" si="3165">(I15816*J15816*K15816/1000)</f>
        <v>0.60093600000000003</v>
      </c>
      <c r="M15816" s="648">
        <v>12</v>
      </c>
      <c r="N15816" s="567">
        <f t="shared" ref="N15816:N15819" si="3166">J15816*M15816*I15816/1000</f>
        <v>0.60093600000000003</v>
      </c>
      <c r="O15816" s="549"/>
      <c r="P15816" s="549"/>
    </row>
    <row r="15817" spans="1:16" ht="17.399999999999999">
      <c r="A15817" s="549"/>
      <c r="B15817" s="549" t="s">
        <v>1027</v>
      </c>
      <c r="C15817" s="549"/>
      <c r="D15817" s="549"/>
      <c r="E15817" s="549"/>
      <c r="F15817" s="549"/>
      <c r="G15817" s="549" t="s">
        <v>21</v>
      </c>
      <c r="H15817" s="549" t="s">
        <v>69</v>
      </c>
      <c r="I15817" s="558">
        <v>6.86</v>
      </c>
      <c r="J15817" s="567">
        <v>10.5</v>
      </c>
      <c r="K15817" s="648">
        <v>7</v>
      </c>
      <c r="L15817" s="552">
        <f t="shared" si="3165"/>
        <v>0.50421000000000005</v>
      </c>
      <c r="M15817" s="648">
        <v>7</v>
      </c>
      <c r="N15817" s="567">
        <f t="shared" si="3166"/>
        <v>0.50421000000000005</v>
      </c>
      <c r="O15817" s="549"/>
      <c r="P15817" s="549"/>
    </row>
    <row r="15818" spans="1:16" ht="17.399999999999999">
      <c r="A15818" s="549"/>
      <c r="B15818" s="549"/>
      <c r="C15818" s="549"/>
      <c r="D15818" s="549"/>
      <c r="E15818" s="549"/>
      <c r="F15818" s="549"/>
      <c r="G15818" s="549" t="s">
        <v>21</v>
      </c>
      <c r="H15818" s="549" t="s">
        <v>69</v>
      </c>
      <c r="I15818" s="558">
        <v>6.86</v>
      </c>
      <c r="J15818" s="567">
        <v>11.5</v>
      </c>
      <c r="K15818" s="648">
        <v>8</v>
      </c>
      <c r="L15818" s="552">
        <f t="shared" si="3165"/>
        <v>0.63112000000000001</v>
      </c>
      <c r="M15818" s="648">
        <v>8</v>
      </c>
      <c r="N15818" s="567">
        <f t="shared" si="3166"/>
        <v>0.63112000000000001</v>
      </c>
      <c r="O15818" s="549"/>
      <c r="P15818" s="549"/>
    </row>
    <row r="15819" spans="1:16" ht="17.399999999999999">
      <c r="A15819" s="549"/>
      <c r="B15819" s="549"/>
      <c r="C15819" s="549"/>
      <c r="D15819" s="549"/>
      <c r="E15819" s="549"/>
      <c r="F15819" s="549"/>
      <c r="G15819" s="549" t="s">
        <v>21</v>
      </c>
      <c r="H15819" s="549" t="s">
        <v>69</v>
      </c>
      <c r="I15819" s="558">
        <v>6.86</v>
      </c>
      <c r="J15819" s="567">
        <v>12</v>
      </c>
      <c r="K15819" s="648">
        <v>7</v>
      </c>
      <c r="L15819" s="552">
        <f t="shared" si="3165"/>
        <v>0.57623999999999997</v>
      </c>
      <c r="M15819" s="648">
        <v>7</v>
      </c>
      <c r="N15819" s="567">
        <f t="shared" si="3166"/>
        <v>0.57623999999999997</v>
      </c>
      <c r="O15819" s="549"/>
      <c r="P15819" s="549"/>
    </row>
    <row r="15820" spans="1:16" ht="17.399999999999999">
      <c r="A15820" s="549"/>
      <c r="B15820" s="549"/>
      <c r="C15820" s="549"/>
      <c r="D15820" s="549"/>
      <c r="E15820" s="549"/>
      <c r="F15820" s="549"/>
      <c r="G15820" s="549"/>
      <c r="H15820" s="549"/>
      <c r="I15820" s="558"/>
      <c r="J15820" s="567"/>
      <c r="K15820" s="648">
        <f t="shared" ref="K15820:N15820" si="3167">SUM(K15816:K15819)</f>
        <v>34</v>
      </c>
      <c r="L15820" s="567">
        <f t="shared" si="3167"/>
        <v>2.312506</v>
      </c>
      <c r="M15820" s="648">
        <f t="shared" si="3167"/>
        <v>34</v>
      </c>
      <c r="N15820" s="567">
        <f t="shared" si="3167"/>
        <v>2.312506</v>
      </c>
      <c r="O15820" s="549"/>
      <c r="P15820" s="549"/>
    </row>
    <row r="15821" spans="1:16" s="1737" customFormat="1" ht="17.399999999999999">
      <c r="A15821" s="549"/>
      <c r="B15821" s="549"/>
      <c r="C15821" s="549"/>
      <c r="D15821" s="549"/>
      <c r="E15821" s="549"/>
      <c r="F15821" s="549"/>
      <c r="G15821" s="549"/>
      <c r="H15821" s="549"/>
      <c r="I15821" s="560"/>
      <c r="J15821" s="567"/>
      <c r="K15821" s="648"/>
      <c r="L15821" s="567"/>
      <c r="M15821" s="549"/>
      <c r="N15821" s="549"/>
      <c r="O15821" s="549"/>
      <c r="P15821" s="549"/>
    </row>
    <row r="15822" spans="1:16" ht="17.399999999999999">
      <c r="A15822" s="547" t="s">
        <v>272</v>
      </c>
      <c r="B15822" s="547" t="s">
        <v>1664</v>
      </c>
      <c r="C15822" s="547" t="s">
        <v>446</v>
      </c>
      <c r="D15822" s="813" t="s">
        <v>447</v>
      </c>
      <c r="E15822" s="547" t="s">
        <v>359</v>
      </c>
      <c r="F15822" s="549">
        <v>9</v>
      </c>
      <c r="G15822" s="549" t="s">
        <v>21</v>
      </c>
      <c r="H15822" s="549" t="s">
        <v>69</v>
      </c>
      <c r="I15822" s="560">
        <v>6.86</v>
      </c>
      <c r="J15822" s="567">
        <v>11</v>
      </c>
      <c r="K15822" s="648">
        <v>8</v>
      </c>
      <c r="L15822" s="552">
        <f t="shared" ref="L15822:L15823" si="3168">(I15822*J15822*K15822/1000)</f>
        <v>0.60368000000000011</v>
      </c>
      <c r="M15822" s="549"/>
      <c r="N15822" s="549"/>
      <c r="O15822" s="549"/>
      <c r="P15822" s="549"/>
    </row>
    <row r="15823" spans="1:16" ht="17.399999999999999">
      <c r="A15823" s="549"/>
      <c r="B15823" s="549"/>
      <c r="C15823" s="549"/>
      <c r="D15823" s="549"/>
      <c r="E15823" s="549"/>
      <c r="F15823" s="549"/>
      <c r="G15823" s="549" t="s">
        <v>21</v>
      </c>
      <c r="H15823" s="549" t="s">
        <v>69</v>
      </c>
      <c r="I15823" s="560">
        <v>6.86</v>
      </c>
      <c r="J15823" s="567">
        <v>12</v>
      </c>
      <c r="K15823" s="648">
        <v>56</v>
      </c>
      <c r="L15823" s="552">
        <f t="shared" si="3168"/>
        <v>4.6099199999999998</v>
      </c>
      <c r="M15823" s="549"/>
      <c r="N15823" s="549"/>
      <c r="O15823" s="549"/>
      <c r="P15823" s="549"/>
    </row>
    <row r="15824" spans="1:16" ht="17.399999999999999">
      <c r="A15824" s="549"/>
      <c r="B15824" s="549"/>
      <c r="C15824" s="549"/>
      <c r="D15824" s="549"/>
      <c r="E15824" s="549"/>
      <c r="F15824" s="549"/>
      <c r="G15824" s="549"/>
      <c r="H15824" s="549"/>
      <c r="I15824" s="560"/>
      <c r="J15824" s="567"/>
      <c r="K15824" s="648">
        <f t="shared" ref="K15824:L15824" si="3169">SUM(K15822:K15823)</f>
        <v>64</v>
      </c>
      <c r="L15824" s="567">
        <f t="shared" si="3169"/>
        <v>5.2135999999999996</v>
      </c>
      <c r="M15824" s="549"/>
      <c r="N15824" s="549"/>
      <c r="O15824" s="549"/>
      <c r="P15824" s="549" t="s">
        <v>1895</v>
      </c>
    </row>
    <row r="15825" spans="1:16" ht="17.399999999999999">
      <c r="A15825" s="549"/>
      <c r="B15825" s="549"/>
      <c r="C15825" s="549"/>
      <c r="D15825" s="549"/>
      <c r="E15825" s="549"/>
      <c r="F15825" s="549"/>
      <c r="G15825" s="549"/>
      <c r="H15825" s="549"/>
      <c r="I15825" s="560"/>
      <c r="J15825" s="549"/>
      <c r="K15825" s="561"/>
      <c r="L15825" s="560"/>
      <c r="M15825" s="549"/>
      <c r="N15825" s="549"/>
      <c r="O15825" s="549"/>
      <c r="P15825" s="549"/>
    </row>
    <row r="15826" spans="1:16" ht="17.399999999999999">
      <c r="A15826" s="547" t="s">
        <v>272</v>
      </c>
      <c r="B15826" s="547" t="s">
        <v>1665</v>
      </c>
      <c r="C15826" s="547" t="s">
        <v>446</v>
      </c>
      <c r="D15826" s="813" t="s">
        <v>447</v>
      </c>
      <c r="E15826" s="547" t="s">
        <v>359</v>
      </c>
      <c r="F15826" s="549">
        <v>9</v>
      </c>
      <c r="G15826" s="549" t="s">
        <v>21</v>
      </c>
      <c r="H15826" s="549" t="s">
        <v>69</v>
      </c>
      <c r="I15826" s="560">
        <v>6.86</v>
      </c>
      <c r="J15826" s="567">
        <v>7</v>
      </c>
      <c r="K15826" s="648">
        <v>52</v>
      </c>
      <c r="L15826" s="552">
        <f>(I15826*J15826*K15826/1000)</f>
        <v>2.4970400000000001</v>
      </c>
      <c r="M15826" s="549"/>
      <c r="N15826" s="549"/>
      <c r="O15826" s="549"/>
      <c r="P15826" s="549"/>
    </row>
    <row r="15827" spans="1:16" ht="17.399999999999999">
      <c r="A15827" s="549"/>
      <c r="B15827" s="549"/>
      <c r="C15827" s="549"/>
      <c r="D15827" s="549"/>
      <c r="E15827" s="549"/>
      <c r="F15827" s="549"/>
      <c r="G15827" s="549" t="s">
        <v>21</v>
      </c>
      <c r="H15827" s="549" t="s">
        <v>69</v>
      </c>
      <c r="I15827" s="560">
        <v>6.86</v>
      </c>
      <c r="J15827" s="567">
        <v>11</v>
      </c>
      <c r="K15827" s="648">
        <v>288</v>
      </c>
      <c r="L15827" s="552">
        <f>(I15827*J15827*K15827/1000)</f>
        <v>21.732480000000002</v>
      </c>
      <c r="M15827" s="549"/>
      <c r="N15827" s="549"/>
      <c r="O15827" s="549"/>
      <c r="P15827" s="549"/>
    </row>
    <row r="15828" spans="1:16" ht="17.399999999999999">
      <c r="A15828" s="549"/>
      <c r="B15828" s="549"/>
      <c r="C15828" s="549"/>
      <c r="D15828" s="549"/>
      <c r="E15828" s="549"/>
      <c r="F15828" s="549"/>
      <c r="G15828" s="549"/>
      <c r="H15828" s="549"/>
      <c r="I15828" s="560"/>
      <c r="J15828" s="567"/>
      <c r="K15828" s="648">
        <f>SUM(K15826:K15827)</f>
        <v>340</v>
      </c>
      <c r="L15828" s="567">
        <f>SUM(L15826:L15827)</f>
        <v>24.229520000000001</v>
      </c>
      <c r="M15828" s="549"/>
      <c r="N15828" s="549"/>
      <c r="O15828" s="549"/>
      <c r="P15828" s="549" t="s">
        <v>1895</v>
      </c>
    </row>
    <row r="15829" spans="1:16" ht="17.399999999999999">
      <c r="A15829" s="549"/>
      <c r="B15829" s="549"/>
      <c r="C15829" s="549"/>
      <c r="D15829" s="549"/>
      <c r="E15829" s="549"/>
      <c r="F15829" s="549"/>
      <c r="G15829" s="549"/>
      <c r="H15829" s="549"/>
      <c r="I15829" s="560"/>
      <c r="J15829" s="549"/>
      <c r="K15829" s="652">
        <f>SUM(K15813:K15828)/2</f>
        <v>445</v>
      </c>
      <c r="L15829" s="565">
        <f>SUM(L15813:L15828)/2</f>
        <v>32.235126000000001</v>
      </c>
      <c r="M15829" s="564">
        <f>SUM(M15813:M15828)/2</f>
        <v>41</v>
      </c>
      <c r="N15829" s="565">
        <f>SUM(N15813:N15828)/2</f>
        <v>2.7920059999999998</v>
      </c>
      <c r="O15829" s="549"/>
      <c r="P15829" s="549"/>
    </row>
    <row r="15830" spans="1:16" ht="17.399999999999999">
      <c r="A15830" s="549"/>
      <c r="B15830" s="549"/>
      <c r="C15830" s="549"/>
      <c r="D15830" s="549"/>
      <c r="E15830" s="549"/>
      <c r="F15830" s="549"/>
      <c r="G15830" s="549"/>
      <c r="H15830" s="549"/>
      <c r="I15830" s="560"/>
      <c r="J15830" s="549"/>
      <c r="K15830" s="561"/>
      <c r="L15830" s="560"/>
      <c r="M15830" s="549"/>
      <c r="N15830" s="549"/>
      <c r="O15830" s="549"/>
      <c r="P15830" s="549"/>
    </row>
    <row r="15831" spans="1:16" s="1737" customFormat="1" ht="17.399999999999999">
      <c r="A15831" s="549"/>
      <c r="B15831" s="549"/>
      <c r="C15831" s="549"/>
      <c r="D15831" s="549"/>
      <c r="E15831" s="549"/>
      <c r="F15831" s="549"/>
      <c r="G15831" s="549"/>
      <c r="H15831" s="549"/>
      <c r="I15831" s="560"/>
      <c r="J15831" s="549"/>
      <c r="K15831" s="652"/>
      <c r="L15831" s="565"/>
      <c r="M15831" s="652"/>
      <c r="N15831" s="565"/>
      <c r="O15831" s="549"/>
      <c r="P15831" s="549"/>
    </row>
    <row r="15832" spans="1:16" ht="17.399999999999999">
      <c r="A15832" s="547" t="s">
        <v>395</v>
      </c>
      <c r="B15832" s="547" t="s">
        <v>1725</v>
      </c>
      <c r="C15832" s="547" t="s">
        <v>19</v>
      </c>
      <c r="D15832" s="813" t="s">
        <v>854</v>
      </c>
      <c r="E15832" s="547" t="s">
        <v>359</v>
      </c>
      <c r="F15832" s="549">
        <v>9</v>
      </c>
      <c r="G15832" s="549" t="s">
        <v>21</v>
      </c>
      <c r="H15832" s="549" t="s">
        <v>70</v>
      </c>
      <c r="I15832" s="558">
        <v>5.77</v>
      </c>
      <c r="J15832" s="567">
        <v>10.5</v>
      </c>
      <c r="K15832" s="648">
        <v>12</v>
      </c>
      <c r="L15832" s="552">
        <f t="shared" ref="L15832:L15834" si="3170">(I15832*J15832*K15832/1000)</f>
        <v>0.72702</v>
      </c>
      <c r="M15832" s="549"/>
      <c r="N15832" s="549"/>
      <c r="O15832" s="549"/>
      <c r="P15832" s="549"/>
    </row>
    <row r="15833" spans="1:16" ht="17.399999999999999">
      <c r="A15833" s="549"/>
      <c r="B15833" s="549" t="s">
        <v>1027</v>
      </c>
      <c r="C15833" s="549"/>
      <c r="D15833" s="549"/>
      <c r="E15833" s="549"/>
      <c r="F15833" s="549"/>
      <c r="G15833" s="549" t="s">
        <v>21</v>
      </c>
      <c r="H15833" s="549" t="s">
        <v>70</v>
      </c>
      <c r="I15833" s="558">
        <v>5.77</v>
      </c>
      <c r="J15833" s="567">
        <v>11</v>
      </c>
      <c r="K15833" s="648">
        <v>4</v>
      </c>
      <c r="L15833" s="552">
        <f t="shared" si="3170"/>
        <v>0.25387999999999999</v>
      </c>
      <c r="M15833" s="549"/>
      <c r="N15833" s="549"/>
      <c r="O15833" s="549"/>
      <c r="P15833" s="549"/>
    </row>
    <row r="15834" spans="1:16" ht="17.399999999999999">
      <c r="A15834" s="549"/>
      <c r="B15834" s="549"/>
      <c r="C15834" s="549"/>
      <c r="D15834" s="549"/>
      <c r="E15834" s="549"/>
      <c r="F15834" s="549"/>
      <c r="G15834" s="549" t="s">
        <v>21</v>
      </c>
      <c r="H15834" s="549" t="s">
        <v>70</v>
      </c>
      <c r="I15834" s="558">
        <v>5.77</v>
      </c>
      <c r="J15834" s="567">
        <v>12</v>
      </c>
      <c r="K15834" s="648">
        <v>6</v>
      </c>
      <c r="L15834" s="552">
        <f t="shared" si="3170"/>
        <v>0.41543999999999992</v>
      </c>
      <c r="M15834" s="549"/>
      <c r="N15834" s="549"/>
      <c r="O15834" s="549"/>
      <c r="P15834" s="549"/>
    </row>
    <row r="15835" spans="1:16" ht="17.399999999999999">
      <c r="A15835" s="549"/>
      <c r="B15835" s="549"/>
      <c r="C15835" s="549"/>
      <c r="D15835" s="549"/>
      <c r="E15835" s="549"/>
      <c r="F15835" s="549"/>
      <c r="G15835" s="549"/>
      <c r="H15835" s="549"/>
      <c r="I15835" s="558"/>
      <c r="J15835" s="567"/>
      <c r="K15835" s="648">
        <f t="shared" ref="K15835:L15835" si="3171">SUM(K15832:K15834)</f>
        <v>22</v>
      </c>
      <c r="L15835" s="567">
        <f t="shared" si="3171"/>
        <v>1.3963399999999999</v>
      </c>
      <c r="M15835" s="648"/>
      <c r="N15835" s="567"/>
      <c r="O15835" s="549"/>
      <c r="P15835" s="549" t="s">
        <v>1897</v>
      </c>
    </row>
    <row r="15836" spans="1:16" s="1737" customFormat="1" ht="17.399999999999999">
      <c r="A15836" s="549"/>
      <c r="B15836" s="549"/>
      <c r="C15836" s="549"/>
      <c r="D15836" s="549"/>
      <c r="E15836" s="549"/>
      <c r="F15836" s="549"/>
      <c r="G15836" s="549"/>
      <c r="H15836" s="549"/>
      <c r="I15836" s="558"/>
      <c r="J15836" s="567"/>
      <c r="K15836" s="648"/>
      <c r="L15836" s="567"/>
      <c r="M15836" s="549"/>
      <c r="N15836" s="549"/>
      <c r="O15836" s="549"/>
      <c r="P15836" s="549"/>
    </row>
    <row r="15837" spans="1:16" ht="17.399999999999999">
      <c r="A15837" s="547" t="s">
        <v>83</v>
      </c>
      <c r="B15837" s="547" t="s">
        <v>1732</v>
      </c>
      <c r="C15837" s="547" t="s">
        <v>19</v>
      </c>
      <c r="D15837" s="813" t="s">
        <v>854</v>
      </c>
      <c r="E15837" s="650" t="s">
        <v>464</v>
      </c>
      <c r="F15837" s="549">
        <v>9</v>
      </c>
      <c r="G15837" s="549" t="s">
        <v>21</v>
      </c>
      <c r="H15837" s="549" t="s">
        <v>70</v>
      </c>
      <c r="I15837" s="558">
        <v>5.76</v>
      </c>
      <c r="J15837" s="567">
        <v>10</v>
      </c>
      <c r="K15837" s="648">
        <v>3</v>
      </c>
      <c r="L15837" s="552">
        <f t="shared" ref="L15837" si="3172">(I15837*J15837*K15837/1000)</f>
        <v>0.17279999999999998</v>
      </c>
      <c r="M15837" s="549">
        <v>3</v>
      </c>
      <c r="N15837" s="567">
        <f t="shared" ref="N15837" si="3173">J15837*M15837*I15837/1000</f>
        <v>0.17279999999999998</v>
      </c>
      <c r="O15837" s="549"/>
      <c r="P15837" s="549"/>
    </row>
    <row r="15838" spans="1:16" ht="17.399999999999999">
      <c r="A15838" s="547"/>
      <c r="B15838" s="832" t="s">
        <v>1879</v>
      </c>
      <c r="C15838" s="547"/>
      <c r="D15838" s="813"/>
      <c r="E15838" s="547"/>
      <c r="F15838" s="550"/>
      <c r="G15838" s="549"/>
      <c r="H15838" s="549"/>
      <c r="I15838" s="558"/>
      <c r="J15838" s="567"/>
      <c r="K15838" s="648">
        <f>SUM(K15837:K15837)</f>
        <v>3</v>
      </c>
      <c r="L15838" s="567">
        <f>SUM(L15837:L15837)</f>
        <v>0.17279999999999998</v>
      </c>
      <c r="M15838" s="648">
        <f>SUM(M15837:M15837)</f>
        <v>3</v>
      </c>
      <c r="N15838" s="567">
        <f>SUM(N15837:N15837)</f>
        <v>0.17279999999999998</v>
      </c>
      <c r="O15838" s="549"/>
      <c r="P15838" s="549"/>
    </row>
    <row r="15839" spans="1:16" s="1737" customFormat="1" ht="17.399999999999999">
      <c r="A15839" s="547"/>
      <c r="B15839" s="832"/>
      <c r="C15839" s="547"/>
      <c r="D15839" s="813"/>
      <c r="E15839" s="547"/>
      <c r="F15839" s="550"/>
      <c r="G15839" s="549"/>
      <c r="H15839" s="549"/>
      <c r="I15839" s="558"/>
      <c r="J15839" s="567"/>
      <c r="K15839" s="648"/>
      <c r="L15839" s="567"/>
      <c r="M15839" s="549"/>
      <c r="N15839" s="549"/>
      <c r="O15839" s="549"/>
      <c r="P15839" s="549"/>
    </row>
    <row r="15840" spans="1:16" ht="17.399999999999999">
      <c r="A15840" s="547" t="s">
        <v>272</v>
      </c>
      <c r="B15840" s="547" t="s">
        <v>1664</v>
      </c>
      <c r="C15840" s="547" t="s">
        <v>446</v>
      </c>
      <c r="D15840" s="813" t="s">
        <v>447</v>
      </c>
      <c r="E15840" s="547" t="s">
        <v>359</v>
      </c>
      <c r="F15840" s="549">
        <v>9</v>
      </c>
      <c r="G15840" s="549" t="s">
        <v>21</v>
      </c>
      <c r="H15840" s="549" t="s">
        <v>70</v>
      </c>
      <c r="I15840" s="560">
        <v>5.77</v>
      </c>
      <c r="J15840" s="567">
        <v>7.35</v>
      </c>
      <c r="K15840" s="648">
        <v>48</v>
      </c>
      <c r="L15840" s="552">
        <f t="shared" ref="L15840:L15842" si="3174">(I15840*J15840*K15840/1000)</f>
        <v>2.0356559999999999</v>
      </c>
      <c r="M15840" s="549"/>
      <c r="N15840" s="549"/>
      <c r="O15840" s="549"/>
      <c r="P15840" s="549"/>
    </row>
    <row r="15841" spans="1:16" ht="17.399999999999999">
      <c r="A15841" s="549"/>
      <c r="B15841" s="549"/>
      <c r="C15841" s="549"/>
      <c r="D15841" s="549"/>
      <c r="E15841" s="549"/>
      <c r="F15841" s="549"/>
      <c r="G15841" s="549" t="s">
        <v>21</v>
      </c>
      <c r="H15841" s="549" t="s">
        <v>70</v>
      </c>
      <c r="I15841" s="560">
        <v>5.77</v>
      </c>
      <c r="J15841" s="567">
        <v>10.5</v>
      </c>
      <c r="K15841" s="648">
        <v>6</v>
      </c>
      <c r="L15841" s="552">
        <f t="shared" si="3174"/>
        <v>0.36351</v>
      </c>
      <c r="M15841" s="549"/>
      <c r="N15841" s="549"/>
      <c r="O15841" s="549"/>
      <c r="P15841" s="549"/>
    </row>
    <row r="15842" spans="1:16" ht="17.399999999999999">
      <c r="A15842" s="549"/>
      <c r="B15842" s="549"/>
      <c r="C15842" s="549"/>
      <c r="D15842" s="549"/>
      <c r="E15842" s="549"/>
      <c r="F15842" s="549"/>
      <c r="G15842" s="549" t="s">
        <v>21</v>
      </c>
      <c r="H15842" s="549" t="s">
        <v>70</v>
      </c>
      <c r="I15842" s="560">
        <v>5.77</v>
      </c>
      <c r="J15842" s="567">
        <v>11</v>
      </c>
      <c r="K15842" s="648">
        <v>12</v>
      </c>
      <c r="L15842" s="552">
        <f t="shared" si="3174"/>
        <v>0.76163999999999998</v>
      </c>
      <c r="M15842" s="549"/>
      <c r="N15842" s="549"/>
      <c r="O15842" s="549"/>
      <c r="P15842" s="549"/>
    </row>
    <row r="15843" spans="1:16" ht="17.399999999999999">
      <c r="A15843" s="549"/>
      <c r="B15843" s="549"/>
      <c r="C15843" s="549"/>
      <c r="D15843" s="549"/>
      <c r="E15843" s="549"/>
      <c r="F15843" s="549"/>
      <c r="G15843" s="549"/>
      <c r="H15843" s="549"/>
      <c r="I15843" s="560"/>
      <c r="J15843" s="567"/>
      <c r="K15843" s="648">
        <f t="shared" ref="K15843:L15843" si="3175">SUM(K15840:K15842)</f>
        <v>66</v>
      </c>
      <c r="L15843" s="567">
        <f t="shared" si="3175"/>
        <v>3.160806</v>
      </c>
      <c r="M15843" s="549"/>
      <c r="N15843" s="549"/>
      <c r="O15843" s="549"/>
      <c r="P15843" s="549" t="s">
        <v>1896</v>
      </c>
    </row>
    <row r="15844" spans="1:16" s="1737" customFormat="1" ht="17.399999999999999">
      <c r="A15844" s="549"/>
      <c r="B15844" s="549"/>
      <c r="C15844" s="549"/>
      <c r="D15844" s="549"/>
      <c r="E15844" s="549"/>
      <c r="F15844" s="549"/>
      <c r="G15844" s="549"/>
      <c r="H15844" s="549"/>
      <c r="I15844" s="560"/>
      <c r="J15844" s="567"/>
      <c r="K15844" s="648"/>
      <c r="L15844" s="567"/>
      <c r="M15844" s="549"/>
      <c r="N15844" s="549"/>
      <c r="O15844" s="549"/>
      <c r="P15844" s="549"/>
    </row>
    <row r="15845" spans="1:16" ht="17.399999999999999">
      <c r="A15845" s="547" t="s">
        <v>272</v>
      </c>
      <c r="B15845" s="547" t="s">
        <v>1665</v>
      </c>
      <c r="C15845" s="547" t="s">
        <v>446</v>
      </c>
      <c r="D15845" s="813" t="s">
        <v>447</v>
      </c>
      <c r="E15845" s="547" t="s">
        <v>359</v>
      </c>
      <c r="F15845" s="549">
        <v>9</v>
      </c>
      <c r="G15845" s="549" t="s">
        <v>21</v>
      </c>
      <c r="H15845" s="549" t="s">
        <v>70</v>
      </c>
      <c r="I15845" s="560">
        <v>5.77</v>
      </c>
      <c r="J15845" s="567">
        <v>7.35</v>
      </c>
      <c r="K15845" s="648">
        <v>42</v>
      </c>
      <c r="L15845" s="552">
        <f t="shared" ref="L15845:L15849" si="3176">(I15845*J15845*K15845/1000)</f>
        <v>1.7811989999999998</v>
      </c>
      <c r="M15845" s="549"/>
      <c r="N15845" s="549"/>
      <c r="O15845" s="549"/>
      <c r="P15845" s="549"/>
    </row>
    <row r="15846" spans="1:16" ht="17.399999999999999">
      <c r="A15846" s="549"/>
      <c r="B15846" s="549"/>
      <c r="C15846" s="549"/>
      <c r="D15846" s="549"/>
      <c r="E15846" s="549"/>
      <c r="F15846" s="549"/>
      <c r="G15846" s="549" t="s">
        <v>21</v>
      </c>
      <c r="H15846" s="549" t="s">
        <v>70</v>
      </c>
      <c r="I15846" s="560">
        <v>5.77</v>
      </c>
      <c r="J15846" s="567">
        <v>10</v>
      </c>
      <c r="K15846" s="648">
        <v>58</v>
      </c>
      <c r="L15846" s="552">
        <f t="shared" si="3176"/>
        <v>3.3466</v>
      </c>
      <c r="M15846" s="549"/>
      <c r="N15846" s="549"/>
      <c r="O15846" s="549"/>
      <c r="P15846" s="549"/>
    </row>
    <row r="15847" spans="1:16" ht="17.399999999999999">
      <c r="A15847" s="549"/>
      <c r="B15847" s="549"/>
      <c r="C15847" s="549"/>
      <c r="D15847" s="549"/>
      <c r="E15847" s="549"/>
      <c r="F15847" s="549"/>
      <c r="G15847" s="549" t="s">
        <v>21</v>
      </c>
      <c r="H15847" s="549" t="s">
        <v>70</v>
      </c>
      <c r="I15847" s="560">
        <v>5.77</v>
      </c>
      <c r="J15847" s="567">
        <v>10.5</v>
      </c>
      <c r="K15847" s="648">
        <v>105</v>
      </c>
      <c r="L15847" s="552">
        <f t="shared" si="3176"/>
        <v>6.3614249999999997</v>
      </c>
      <c r="M15847" s="549"/>
      <c r="N15847" s="549"/>
      <c r="O15847" s="549"/>
      <c r="P15847" s="549"/>
    </row>
    <row r="15848" spans="1:16" ht="17.399999999999999">
      <c r="A15848" s="549"/>
      <c r="B15848" s="549"/>
      <c r="C15848" s="549"/>
      <c r="D15848" s="549"/>
      <c r="E15848" s="549"/>
      <c r="F15848" s="549"/>
      <c r="G15848" s="549" t="s">
        <v>21</v>
      </c>
      <c r="H15848" s="549" t="s">
        <v>70</v>
      </c>
      <c r="I15848" s="560">
        <v>5.77</v>
      </c>
      <c r="J15848" s="567">
        <v>11</v>
      </c>
      <c r="K15848" s="648">
        <v>222</v>
      </c>
      <c r="L15848" s="552">
        <f t="shared" si="3176"/>
        <v>14.090339999999999</v>
      </c>
      <c r="M15848" s="549"/>
      <c r="N15848" s="549"/>
      <c r="O15848" s="549"/>
      <c r="P15848" s="549"/>
    </row>
    <row r="15849" spans="1:16" ht="17.399999999999999">
      <c r="A15849" s="549"/>
      <c r="B15849" s="549"/>
      <c r="C15849" s="549"/>
      <c r="D15849" s="549"/>
      <c r="E15849" s="549"/>
      <c r="F15849" s="549"/>
      <c r="G15849" s="549" t="s">
        <v>21</v>
      </c>
      <c r="H15849" s="549" t="s">
        <v>70</v>
      </c>
      <c r="I15849" s="560">
        <v>5.77</v>
      </c>
      <c r="J15849" s="567">
        <v>12</v>
      </c>
      <c r="K15849" s="648">
        <v>218</v>
      </c>
      <c r="L15849" s="552">
        <f t="shared" si="3176"/>
        <v>15.09432</v>
      </c>
      <c r="M15849" s="549"/>
      <c r="N15849" s="549"/>
      <c r="O15849" s="549"/>
      <c r="P15849" s="549"/>
    </row>
    <row r="15850" spans="1:16" ht="17.399999999999999">
      <c r="A15850" s="549"/>
      <c r="B15850" s="549"/>
      <c r="C15850" s="549"/>
      <c r="D15850" s="549"/>
      <c r="E15850" s="549"/>
      <c r="F15850" s="549"/>
      <c r="G15850" s="549"/>
      <c r="H15850" s="549"/>
      <c r="I15850" s="560"/>
      <c r="J15850" s="567"/>
      <c r="K15850" s="648">
        <f>SUM(K15845:K15849)</f>
        <v>645</v>
      </c>
      <c r="L15850" s="567">
        <f>SUM(L15845:L15849)</f>
        <v>40.673884000000001</v>
      </c>
      <c r="M15850" s="549"/>
      <c r="N15850" s="549"/>
      <c r="O15850" s="549"/>
      <c r="P15850" s="549" t="s">
        <v>1896</v>
      </c>
    </row>
    <row r="15851" spans="1:16" s="1737" customFormat="1" ht="17.399999999999999">
      <c r="A15851" s="549"/>
      <c r="B15851" s="549"/>
      <c r="C15851" s="549"/>
      <c r="D15851" s="549"/>
      <c r="E15851" s="549"/>
      <c r="F15851" s="549"/>
      <c r="G15851" s="549"/>
      <c r="H15851" s="549"/>
      <c r="I15851" s="560"/>
      <c r="J15851" s="567"/>
      <c r="K15851" s="648">
        <f>SUM(K15832:K15850)/2</f>
        <v>736</v>
      </c>
      <c r="L15851" s="567">
        <f>SUM(L15832:L15850)/2</f>
        <v>45.403829999999999</v>
      </c>
      <c r="M15851" s="648">
        <f>SUM(M15832:M15850)/2</f>
        <v>3</v>
      </c>
      <c r="N15851" s="567">
        <f>SUM(N15832:N15850)/2</f>
        <v>0.17279999999999998</v>
      </c>
      <c r="O15851" s="549"/>
      <c r="P15851" s="549"/>
    </row>
    <row r="15852" spans="1:16" s="1737" customFormat="1" ht="17.399999999999999">
      <c r="A15852" s="549"/>
      <c r="B15852" s="549"/>
      <c r="C15852" s="549"/>
      <c r="D15852" s="549"/>
      <c r="E15852" s="549"/>
      <c r="F15852" s="549"/>
      <c r="G15852" s="549"/>
      <c r="H15852" s="549"/>
      <c r="I15852" s="560"/>
      <c r="J15852" s="567"/>
      <c r="K15852" s="648"/>
      <c r="L15852" s="567"/>
      <c r="M15852" s="549"/>
      <c r="N15852" s="549"/>
      <c r="O15852" s="549"/>
      <c r="P15852" s="549"/>
    </row>
    <row r="15853" spans="1:16" s="1737" customFormat="1" ht="17.399999999999999">
      <c r="A15853" s="547"/>
      <c r="B15853" s="832"/>
      <c r="C15853" s="547"/>
      <c r="D15853" s="813"/>
      <c r="E15853" s="547"/>
      <c r="F15853" s="550"/>
      <c r="G15853" s="549"/>
      <c r="H15853" s="549"/>
      <c r="I15853" s="558"/>
      <c r="J15853" s="567"/>
      <c r="K15853" s="648"/>
      <c r="L15853" s="567"/>
      <c r="M15853" s="549"/>
      <c r="N15853" s="549"/>
      <c r="O15853" s="549"/>
      <c r="P15853" s="549"/>
    </row>
    <row r="15854" spans="1:16" ht="17.399999999999999">
      <c r="A15854" s="549"/>
      <c r="B15854" s="549"/>
      <c r="C15854" s="549"/>
      <c r="D15854" s="549"/>
      <c r="E15854" s="549"/>
      <c r="F15854" s="549"/>
      <c r="G15854" s="549"/>
      <c r="H15854" s="549"/>
      <c r="I15854" s="560"/>
      <c r="J15854" s="549"/>
      <c r="K15854" s="561"/>
      <c r="L15854" s="560"/>
      <c r="M15854" s="549"/>
      <c r="N15854" s="549"/>
      <c r="O15854" s="549"/>
      <c r="P15854" s="549"/>
    </row>
    <row r="15855" spans="1:16" ht="17.399999999999999">
      <c r="A15855" s="547" t="s">
        <v>272</v>
      </c>
      <c r="B15855" s="547" t="s">
        <v>1665</v>
      </c>
      <c r="C15855" s="547" t="s">
        <v>446</v>
      </c>
      <c r="D15855" s="813" t="s">
        <v>450</v>
      </c>
      <c r="E15855" s="547" t="s">
        <v>270</v>
      </c>
      <c r="F15855" s="550">
        <v>9</v>
      </c>
      <c r="G15855" s="549" t="s">
        <v>61</v>
      </c>
      <c r="H15855" s="549" t="s">
        <v>70</v>
      </c>
      <c r="I15855" s="560">
        <v>5.77</v>
      </c>
      <c r="J15855" s="567">
        <v>10.5</v>
      </c>
      <c r="K15855" s="648">
        <v>9</v>
      </c>
      <c r="L15855" s="552">
        <f t="shared" ref="L15855:L15857" si="3177">(I15855*J15855*K15855/1000)</f>
        <v>0.545265</v>
      </c>
      <c r="M15855" s="549"/>
      <c r="N15855" s="549"/>
      <c r="O15855" s="549"/>
      <c r="P15855" s="549"/>
    </row>
    <row r="15856" spans="1:16" ht="17.399999999999999">
      <c r="A15856" s="549"/>
      <c r="B15856" s="964" t="s">
        <v>240</v>
      </c>
      <c r="C15856" s="964"/>
      <c r="D15856" s="549"/>
      <c r="E15856" s="549"/>
      <c r="F15856" s="549"/>
      <c r="G15856" s="549" t="s">
        <v>61</v>
      </c>
      <c r="H15856" s="549" t="s">
        <v>70</v>
      </c>
      <c r="I15856" s="560">
        <v>5.77</v>
      </c>
      <c r="J15856" s="567">
        <v>11</v>
      </c>
      <c r="K15856" s="648">
        <v>38</v>
      </c>
      <c r="L15856" s="552">
        <f t="shared" si="3177"/>
        <v>2.4118600000000003</v>
      </c>
      <c r="M15856" s="549"/>
      <c r="N15856" s="549"/>
      <c r="O15856" s="549"/>
      <c r="P15856" s="549"/>
    </row>
    <row r="15857" spans="1:16" ht="17.399999999999999">
      <c r="A15857" s="549"/>
      <c r="B15857" s="549"/>
      <c r="C15857" s="549"/>
      <c r="D15857" s="549"/>
      <c r="E15857" s="549"/>
      <c r="F15857" s="549"/>
      <c r="G15857" s="549" t="s">
        <v>61</v>
      </c>
      <c r="H15857" s="549" t="s">
        <v>70</v>
      </c>
      <c r="I15857" s="560">
        <v>5.77</v>
      </c>
      <c r="J15857" s="567">
        <v>12</v>
      </c>
      <c r="K15857" s="648">
        <v>8</v>
      </c>
      <c r="L15857" s="552">
        <f t="shared" si="3177"/>
        <v>0.55391999999999997</v>
      </c>
      <c r="M15857" s="549"/>
      <c r="N15857" s="549"/>
      <c r="O15857" s="549"/>
      <c r="P15857" s="549"/>
    </row>
    <row r="15858" spans="1:16" ht="17.399999999999999">
      <c r="A15858" s="549"/>
      <c r="B15858" s="549"/>
      <c r="C15858" s="549"/>
      <c r="D15858" s="549"/>
      <c r="E15858" s="549"/>
      <c r="F15858" s="549"/>
      <c r="G15858" s="549"/>
      <c r="H15858" s="549"/>
      <c r="I15858" s="560"/>
      <c r="J15858" s="567"/>
      <c r="K15858" s="648">
        <f>SUM(K15855:K15857)</f>
        <v>55</v>
      </c>
      <c r="L15858" s="567">
        <f>SUM(L15855:L15857)</f>
        <v>3.5110450000000002</v>
      </c>
      <c r="M15858" s="549"/>
      <c r="N15858" s="549"/>
      <c r="O15858" s="549"/>
      <c r="P15858" s="549"/>
    </row>
    <row r="15859" spans="1:16" ht="17.399999999999999">
      <c r="A15859" s="549"/>
      <c r="B15859" s="549"/>
      <c r="C15859" s="549"/>
      <c r="D15859" s="549"/>
      <c r="E15859" s="549"/>
      <c r="F15859" s="549"/>
      <c r="G15859" s="549"/>
      <c r="H15859" s="549"/>
      <c r="I15859" s="560"/>
      <c r="J15859" s="549"/>
      <c r="K15859" s="561"/>
      <c r="L15859" s="560"/>
      <c r="M15859" s="549"/>
      <c r="N15859" s="549"/>
      <c r="O15859" s="549"/>
      <c r="P15859" s="549"/>
    </row>
    <row r="15860" spans="1:16" ht="17.399999999999999">
      <c r="A15860" s="547" t="s">
        <v>395</v>
      </c>
      <c r="B15860" s="547" t="s">
        <v>1725</v>
      </c>
      <c r="C15860" s="547" t="s">
        <v>19</v>
      </c>
      <c r="D15860" s="813" t="s">
        <v>155</v>
      </c>
      <c r="E15860" s="547" t="s">
        <v>270</v>
      </c>
      <c r="F15860" s="550">
        <v>7</v>
      </c>
      <c r="G15860" s="549" t="s">
        <v>61</v>
      </c>
      <c r="H15860" s="549" t="s">
        <v>70</v>
      </c>
      <c r="I15860" s="558">
        <v>5.77</v>
      </c>
      <c r="J15860" s="567">
        <v>7.25</v>
      </c>
      <c r="K15860" s="648">
        <v>21</v>
      </c>
      <c r="L15860" s="552">
        <f>(I15860*J15860*K15860/1000)</f>
        <v>0.87848249999999994</v>
      </c>
      <c r="M15860" s="549">
        <f>21-2-1</f>
        <v>18</v>
      </c>
      <c r="N15860" s="567">
        <f t="shared" ref="N15860:N15861" si="3178">J15860*M15860*I15860/1000</f>
        <v>0.7529849999999999</v>
      </c>
      <c r="O15860" s="549"/>
      <c r="P15860" s="549"/>
    </row>
    <row r="15861" spans="1:16" ht="17.399999999999999">
      <c r="A15861" s="549"/>
      <c r="B15861" s="549" t="s">
        <v>1027</v>
      </c>
      <c r="C15861" s="549"/>
      <c r="D15861" s="549"/>
      <c r="E15861" s="549"/>
      <c r="F15861" s="549"/>
      <c r="G15861" s="549" t="s">
        <v>61</v>
      </c>
      <c r="H15861" s="549" t="s">
        <v>70</v>
      </c>
      <c r="I15861" s="558">
        <v>5.77</v>
      </c>
      <c r="J15861" s="567">
        <v>12</v>
      </c>
      <c r="K15861" s="648">
        <v>20</v>
      </c>
      <c r="L15861" s="552">
        <f>(I15861*J15861*K15861/1000)</f>
        <v>1.3848</v>
      </c>
      <c r="M15861" s="549">
        <f>1+3+3+3</f>
        <v>10</v>
      </c>
      <c r="N15861" s="567">
        <f t="shared" si="3178"/>
        <v>0.69240000000000002</v>
      </c>
      <c r="O15861" s="549"/>
      <c r="P15861" s="549"/>
    </row>
    <row r="15862" spans="1:16" ht="17.399999999999999">
      <c r="A15862" s="549"/>
      <c r="B15862" s="549"/>
      <c r="C15862" s="549"/>
      <c r="D15862" s="549"/>
      <c r="E15862" s="549"/>
      <c r="F15862" s="549"/>
      <c r="G15862" s="549"/>
      <c r="H15862" s="549"/>
      <c r="I15862" s="558"/>
      <c r="J15862" s="567"/>
      <c r="K15862" s="648">
        <f t="shared" ref="K15862:M15862" si="3179">SUM(K15860:K15861)</f>
        <v>41</v>
      </c>
      <c r="L15862" s="567">
        <f>SUM(L15860:L15861)</f>
        <v>2.2632824999999999</v>
      </c>
      <c r="M15862" s="648">
        <f t="shared" si="3179"/>
        <v>28</v>
      </c>
      <c r="N15862" s="567">
        <f>SUM(N15860:N15861)</f>
        <v>1.4453849999999999</v>
      </c>
      <c r="O15862" s="549"/>
      <c r="P15862" s="549" t="s">
        <v>1898</v>
      </c>
    </row>
    <row r="15863" spans="1:16" ht="17.399999999999999">
      <c r="A15863" s="549"/>
      <c r="B15863" s="549"/>
      <c r="C15863" s="549"/>
      <c r="D15863" s="549"/>
      <c r="E15863" s="549"/>
      <c r="F15863" s="549"/>
      <c r="G15863" s="549"/>
      <c r="H15863" s="549"/>
      <c r="I15863" s="560"/>
      <c r="J15863" s="549"/>
      <c r="K15863" s="561"/>
      <c r="L15863" s="560"/>
      <c r="M15863" s="549"/>
      <c r="N15863" s="549"/>
      <c r="O15863" s="549"/>
      <c r="P15863" s="549"/>
    </row>
    <row r="15864" spans="1:16" ht="17.399999999999999">
      <c r="A15864" s="547" t="s">
        <v>395</v>
      </c>
      <c r="B15864" s="547" t="s">
        <v>1759</v>
      </c>
      <c r="C15864" s="547" t="s">
        <v>19</v>
      </c>
      <c r="D15864" s="813" t="s">
        <v>155</v>
      </c>
      <c r="E15864" s="547" t="s">
        <v>1104</v>
      </c>
      <c r="F15864" s="550">
        <v>7</v>
      </c>
      <c r="G15864" s="549" t="s">
        <v>61</v>
      </c>
      <c r="H15864" s="549" t="s">
        <v>70</v>
      </c>
      <c r="I15864" s="558">
        <v>5.77</v>
      </c>
      <c r="J15864" s="567">
        <v>9</v>
      </c>
      <c r="K15864" s="648">
        <v>2</v>
      </c>
      <c r="L15864" s="552">
        <f>(I15864*J15864*K15864/1000)</f>
        <v>0.10385999999999998</v>
      </c>
      <c r="M15864" s="549"/>
      <c r="N15864" s="549"/>
      <c r="O15864" s="549"/>
      <c r="P15864" s="549"/>
    </row>
    <row r="15865" spans="1:16" ht="17.399999999999999">
      <c r="A15865" s="549"/>
      <c r="B15865" s="549" t="s">
        <v>1027</v>
      </c>
      <c r="C15865" s="549"/>
      <c r="D15865" s="549"/>
      <c r="E15865" s="549"/>
      <c r="F15865" s="549"/>
      <c r="G15865" s="549"/>
      <c r="H15865" s="549"/>
      <c r="I15865" s="558"/>
      <c r="J15865" s="567"/>
      <c r="K15865" s="648">
        <f t="shared" ref="K15865:N15865" si="3180">SUM(K15864)</f>
        <v>2</v>
      </c>
      <c r="L15865" s="567">
        <f t="shared" si="3180"/>
        <v>0.10385999999999998</v>
      </c>
      <c r="M15865" s="648">
        <f t="shared" si="3180"/>
        <v>0</v>
      </c>
      <c r="N15865" s="567">
        <f t="shared" si="3180"/>
        <v>0</v>
      </c>
      <c r="O15865" s="549"/>
      <c r="P15865" s="549" t="s">
        <v>1899</v>
      </c>
    </row>
    <row r="15866" spans="1:16" s="1737" customFormat="1" ht="17.399999999999999">
      <c r="A15866" s="549"/>
      <c r="B15866" s="549"/>
      <c r="C15866" s="549"/>
      <c r="D15866" s="549"/>
      <c r="E15866" s="549"/>
      <c r="F15866" s="549"/>
      <c r="G15866" s="549"/>
      <c r="H15866" s="549"/>
      <c r="I15866" s="558"/>
      <c r="J15866" s="567"/>
      <c r="K15866" s="648"/>
      <c r="L15866" s="567"/>
      <c r="M15866" s="549"/>
      <c r="N15866" s="549"/>
      <c r="O15866" s="549"/>
      <c r="P15866" s="549"/>
    </row>
    <row r="15867" spans="1:16" ht="17.399999999999999">
      <c r="A15867" s="547" t="s">
        <v>395</v>
      </c>
      <c r="B15867" s="547" t="s">
        <v>1880</v>
      </c>
      <c r="C15867" s="547" t="s">
        <v>19</v>
      </c>
      <c r="D15867" s="813" t="s">
        <v>155</v>
      </c>
      <c r="E15867" s="547" t="s">
        <v>1104</v>
      </c>
      <c r="F15867" s="550">
        <v>7</v>
      </c>
      <c r="G15867" s="549" t="s">
        <v>61</v>
      </c>
      <c r="H15867" s="549" t="s">
        <v>70</v>
      </c>
      <c r="I15867" s="558">
        <v>5.77</v>
      </c>
      <c r="J15867" s="567">
        <v>8.5</v>
      </c>
      <c r="K15867" s="648">
        <v>1</v>
      </c>
      <c r="L15867" s="552">
        <f>(I15867*J15867*K15867/1000)</f>
        <v>4.9044999999999991E-2</v>
      </c>
      <c r="M15867" s="549"/>
      <c r="N15867" s="549"/>
      <c r="O15867" s="549"/>
      <c r="P15867" s="549"/>
    </row>
    <row r="15868" spans="1:16" ht="17.399999999999999">
      <c r="A15868" s="549"/>
      <c r="B15868" s="549" t="s">
        <v>1027</v>
      </c>
      <c r="C15868" s="549"/>
      <c r="D15868" s="549"/>
      <c r="E15868" s="549"/>
      <c r="F15868" s="549"/>
      <c r="G15868" s="549"/>
      <c r="H15868" s="549"/>
      <c r="I15868" s="558"/>
      <c r="J15868" s="567"/>
      <c r="K15868" s="648">
        <f t="shared" ref="K15868:M15868" si="3181">SUM(K15867)</f>
        <v>1</v>
      </c>
      <c r="L15868" s="567">
        <f t="shared" si="3181"/>
        <v>4.9044999999999991E-2</v>
      </c>
      <c r="M15868" s="648">
        <f t="shared" si="3181"/>
        <v>0</v>
      </c>
      <c r="N15868" s="567">
        <f>SUM(N15867)</f>
        <v>0</v>
      </c>
      <c r="O15868" s="549"/>
      <c r="P15868" s="549" t="s">
        <v>1899</v>
      </c>
    </row>
    <row r="15869" spans="1:16" s="1737" customFormat="1" ht="17.399999999999999">
      <c r="A15869" s="549"/>
      <c r="B15869" s="549"/>
      <c r="C15869" s="549"/>
      <c r="D15869" s="549"/>
      <c r="E15869" s="549"/>
      <c r="F15869" s="549"/>
      <c r="G15869" s="549"/>
      <c r="H15869" s="549"/>
      <c r="I15869" s="558"/>
      <c r="J15869" s="567"/>
      <c r="K15869" s="648">
        <f>SUM(K15855:K15868)/2</f>
        <v>99</v>
      </c>
      <c r="L15869" s="567">
        <f>SUM(L15855:L15868)/2</f>
        <v>5.9272324999999988</v>
      </c>
      <c r="M15869" s="648">
        <f>SUM(M15855:M15868)/2</f>
        <v>28</v>
      </c>
      <c r="N15869" s="567">
        <f>SUM(N15855:N15868)/2</f>
        <v>1.4453849999999999</v>
      </c>
      <c r="O15869" s="549"/>
      <c r="P15869" s="549"/>
    </row>
    <row r="15870" spans="1:16" s="1737" customFormat="1" ht="17.399999999999999">
      <c r="A15870" s="549"/>
      <c r="B15870" s="549"/>
      <c r="C15870" s="549"/>
      <c r="D15870" s="549"/>
      <c r="E15870" s="549"/>
      <c r="F15870" s="549"/>
      <c r="G15870" s="549"/>
      <c r="H15870" s="549"/>
      <c r="I15870" s="558"/>
      <c r="J15870" s="567"/>
      <c r="K15870" s="648"/>
      <c r="L15870" s="567"/>
      <c r="M15870" s="549"/>
      <c r="N15870" s="549"/>
      <c r="O15870" s="549"/>
      <c r="P15870" s="549"/>
    </row>
    <row r="15871" spans="1:16" ht="17.399999999999999">
      <c r="A15871" s="549"/>
      <c r="B15871" s="549"/>
      <c r="C15871" s="549"/>
      <c r="D15871" s="549"/>
      <c r="E15871" s="549"/>
      <c r="F15871" s="549"/>
      <c r="G15871" s="549"/>
      <c r="H15871" s="549"/>
      <c r="I15871" s="560"/>
      <c r="J15871" s="549"/>
      <c r="K15871" s="561"/>
      <c r="L15871" s="560"/>
      <c r="M15871" s="549"/>
      <c r="N15871" s="549"/>
      <c r="O15871" s="549"/>
      <c r="P15871" s="549"/>
    </row>
    <row r="15872" spans="1:16" ht="17.399999999999999">
      <c r="A15872" s="549"/>
      <c r="B15872" s="549"/>
      <c r="C15872" s="549"/>
      <c r="D15872" s="549"/>
      <c r="E15872" s="549"/>
      <c r="F15872" s="549"/>
      <c r="G15872" s="549"/>
      <c r="H15872" s="549"/>
      <c r="I15872" s="560"/>
      <c r="J15872" s="549"/>
      <c r="K15872" s="710"/>
      <c r="L15872" s="728"/>
      <c r="M15872" s="549"/>
      <c r="N15872" s="549"/>
      <c r="O15872" s="549"/>
      <c r="P15872" s="549"/>
    </row>
    <row r="15873" spans="1:16" ht="17.399999999999999">
      <c r="A15873" s="549"/>
      <c r="B15873" s="549"/>
      <c r="C15873" s="549"/>
      <c r="D15873" s="549"/>
      <c r="E15873" s="549"/>
      <c r="F15873" s="549"/>
      <c r="G15873" s="549"/>
      <c r="H15873" s="549"/>
      <c r="I15873" s="560"/>
      <c r="J15873" s="549"/>
      <c r="K15873" s="727">
        <f>+K15772+K15795+K15810+K15869+K15829+K15851</f>
        <v>2173</v>
      </c>
      <c r="L15873" s="710">
        <f>+L15772+L15795+L15810+L15869+L15829+L15851</f>
        <v>173.53644650000001</v>
      </c>
      <c r="M15873" s="727">
        <f>+M15772+M15795+M15810+M15869+M15829+M15851</f>
        <v>84</v>
      </c>
      <c r="N15873" s="710">
        <f>+N15772+N15795+N15810+N15869+N15829+N15851</f>
        <v>5.2745509999999998</v>
      </c>
      <c r="O15873" s="549"/>
      <c r="P15873" s="549"/>
    </row>
    <row r="15874" spans="1:16" s="1737" customFormat="1" ht="18">
      <c r="A15874" s="653" t="s">
        <v>48</v>
      </c>
      <c r="B15874" s="653"/>
      <c r="C15874" s="654"/>
      <c r="D15874" s="654"/>
      <c r="E15874" s="654"/>
      <c r="F15874" s="1878"/>
      <c r="G15874" s="654"/>
      <c r="H15874" s="1878"/>
      <c r="I15874" s="656"/>
      <c r="J15874" s="654"/>
      <c r="K15874" s="657"/>
      <c r="L15874" s="2003" t="s">
        <v>0</v>
      </c>
      <c r="M15874" s="2003"/>
      <c r="N15874" s="2003"/>
      <c r="O15874" s="2004"/>
      <c r="P15874" s="1097"/>
    </row>
    <row r="15875" spans="1:16" s="1737" customFormat="1" ht="18">
      <c r="A15875" s="658" t="s">
        <v>1</v>
      </c>
      <c r="B15875" s="658"/>
      <c r="C15875" s="658"/>
      <c r="D15875" s="659" t="s">
        <v>2</v>
      </c>
      <c r="E15875" s="659"/>
      <c r="F15875" s="660"/>
      <c r="G15875" s="660"/>
      <c r="H15875" s="660"/>
      <c r="I15875" s="661"/>
      <c r="J15875" s="660"/>
      <c r="K15875" s="662" t="s">
        <v>3</v>
      </c>
      <c r="L15875" s="660"/>
      <c r="M15875" s="658"/>
      <c r="N15875" s="660"/>
      <c r="O15875" s="663"/>
      <c r="P15875" s="1098"/>
    </row>
    <row r="15876" spans="1:16" s="1737" customFormat="1" ht="18">
      <c r="A15876" s="1878" t="s">
        <v>22</v>
      </c>
      <c r="B15876" s="1990" t="s">
        <v>23</v>
      </c>
      <c r="C15876" s="2005"/>
      <c r="D15876" s="1989"/>
      <c r="E15876" s="1878" t="s">
        <v>24</v>
      </c>
      <c r="F15876" s="1990" t="s">
        <v>25</v>
      </c>
      <c r="G15876" s="1989"/>
      <c r="H15876" s="1990" t="s">
        <v>26</v>
      </c>
      <c r="I15876" s="2005"/>
      <c r="J15876" s="2005"/>
      <c r="K15876" s="1989"/>
      <c r="L15876" s="2006" t="s">
        <v>27</v>
      </c>
      <c r="M15876" s="2006"/>
      <c r="N15876" s="2006"/>
      <c r="O15876" s="1990"/>
      <c r="P15876" s="1098"/>
    </row>
    <row r="15877" spans="1:16" s="1737" customFormat="1" ht="18">
      <c r="A15877" s="664"/>
      <c r="B15877" s="1975"/>
      <c r="C15877" s="1976"/>
      <c r="D15877" s="1977"/>
      <c r="E15877" s="665"/>
      <c r="F15877" s="1975"/>
      <c r="G15877" s="1977"/>
      <c r="H15877" s="1975"/>
      <c r="I15877" s="1976"/>
      <c r="J15877" s="1976"/>
      <c r="K15877" s="1977"/>
      <c r="L15877" s="1975"/>
      <c r="M15877" s="1976"/>
      <c r="N15877" s="1976"/>
      <c r="O15877" s="1976"/>
      <c r="P15877" s="1098"/>
    </row>
    <row r="15878" spans="1:16" s="1737" customFormat="1" ht="18">
      <c r="A15878" s="664"/>
      <c r="B15878" s="1872"/>
      <c r="C15878" s="1873"/>
      <c r="D15878" s="1874"/>
      <c r="E15878" s="665"/>
      <c r="F15878" s="1872"/>
      <c r="G15878" s="1874"/>
      <c r="H15878" s="1873"/>
      <c r="I15878" s="1873"/>
      <c r="J15878" s="1873"/>
      <c r="K15878" s="1873"/>
      <c r="L15878" s="1873"/>
      <c r="M15878" s="1873"/>
      <c r="N15878" s="1873"/>
      <c r="O15878" s="1873"/>
      <c r="P15878" s="1098"/>
    </row>
    <row r="15879" spans="1:16" s="1737" customFormat="1" ht="18">
      <c r="A15879" s="664" t="s">
        <v>28</v>
      </c>
      <c r="B15879" s="1975" t="s">
        <v>574</v>
      </c>
      <c r="C15879" s="1976"/>
      <c r="D15879" s="1977"/>
      <c r="E15879" s="665">
        <f>+L15772</f>
        <v>82.971000000000004</v>
      </c>
      <c r="F15879" s="1975">
        <v>7</v>
      </c>
      <c r="G15879" s="1977"/>
      <c r="H15879" s="2007" t="s">
        <v>592</v>
      </c>
      <c r="I15879" s="2007"/>
      <c r="J15879" s="2007"/>
      <c r="K15879" s="2007"/>
      <c r="L15879" s="1976" t="s">
        <v>64</v>
      </c>
      <c r="M15879" s="1976"/>
      <c r="N15879" s="1976"/>
      <c r="O15879" s="1976"/>
      <c r="P15879" s="1098"/>
    </row>
    <row r="15880" spans="1:16" s="1737" customFormat="1" ht="18">
      <c r="A15880" s="664" t="s">
        <v>29</v>
      </c>
      <c r="B15880" s="1975" t="s">
        <v>623</v>
      </c>
      <c r="C15880" s="1976"/>
      <c r="D15880" s="1977"/>
      <c r="E15880" s="665">
        <f>+L15795+L15810-0.864</f>
        <v>6.1352580000000012</v>
      </c>
      <c r="F15880" s="1975">
        <v>7</v>
      </c>
      <c r="G15880" s="1977"/>
      <c r="H15880" s="2007" t="s">
        <v>592</v>
      </c>
      <c r="I15880" s="2007"/>
      <c r="J15880" s="2007"/>
      <c r="K15880" s="2007"/>
      <c r="L15880" s="1976" t="s">
        <v>64</v>
      </c>
      <c r="M15880" s="1976"/>
      <c r="N15880" s="1976"/>
      <c r="O15880" s="1976"/>
      <c r="P15880" s="1098"/>
    </row>
    <row r="15881" spans="1:16" s="1737" customFormat="1" ht="18">
      <c r="A15881" s="664"/>
      <c r="B15881" s="1872"/>
      <c r="C15881" s="1873"/>
      <c r="D15881" s="1874"/>
      <c r="E15881" s="665"/>
      <c r="F15881" s="1872"/>
      <c r="G15881" s="1874"/>
      <c r="H15881" s="1872"/>
      <c r="I15881" s="1873"/>
      <c r="J15881" s="1873"/>
      <c r="K15881" s="1874"/>
      <c r="L15881" s="1873"/>
      <c r="M15881" s="1873"/>
      <c r="N15881" s="1873"/>
      <c r="O15881" s="1873"/>
      <c r="P15881" s="1098"/>
    </row>
    <row r="15882" spans="1:16" s="1737" customFormat="1" ht="18">
      <c r="A15882" s="664"/>
      <c r="B15882" s="1872"/>
      <c r="C15882" s="1873"/>
      <c r="D15882" s="1874"/>
      <c r="E15882" s="665"/>
      <c r="F15882" s="1872"/>
      <c r="G15882" s="1874"/>
      <c r="H15882" s="1872"/>
      <c r="I15882" s="1873"/>
      <c r="J15882" s="1873"/>
      <c r="K15882" s="1874"/>
      <c r="L15882" s="1873"/>
      <c r="M15882" s="1873"/>
      <c r="N15882" s="1873"/>
      <c r="O15882" s="1873"/>
      <c r="P15882" s="1098"/>
    </row>
    <row r="15883" spans="1:16" s="1737" customFormat="1" ht="18">
      <c r="A15883" s="664" t="s">
        <v>30</v>
      </c>
      <c r="B15883" s="1975" t="s">
        <v>71</v>
      </c>
      <c r="C15883" s="1976"/>
      <c r="D15883" s="1977"/>
      <c r="E15883" s="665">
        <f>+L15829-2.792</f>
        <v>29.443125999999999</v>
      </c>
      <c r="F15883" s="1973">
        <v>9</v>
      </c>
      <c r="G15883" s="1974"/>
      <c r="H15883" s="1975" t="s">
        <v>447</v>
      </c>
      <c r="I15883" s="1976"/>
      <c r="J15883" s="1976"/>
      <c r="K15883" s="1977"/>
      <c r="L15883" s="1976" t="s">
        <v>65</v>
      </c>
      <c r="M15883" s="1976"/>
      <c r="N15883" s="1976"/>
      <c r="O15883" s="1976"/>
      <c r="P15883" s="1098"/>
    </row>
    <row r="15884" spans="1:16" s="1737" customFormat="1" ht="18">
      <c r="A15884" s="664" t="s">
        <v>46</v>
      </c>
      <c r="B15884" s="1975" t="s">
        <v>78</v>
      </c>
      <c r="C15884" s="1976"/>
      <c r="D15884" s="1977"/>
      <c r="E15884" s="665">
        <f>+L15851-0.173</f>
        <v>45.230829999999997</v>
      </c>
      <c r="F15884" s="1973">
        <v>9</v>
      </c>
      <c r="G15884" s="1974"/>
      <c r="H15884" s="1975" t="s">
        <v>447</v>
      </c>
      <c r="I15884" s="1976"/>
      <c r="J15884" s="1976"/>
      <c r="K15884" s="1977"/>
      <c r="L15884" s="1976" t="s">
        <v>65</v>
      </c>
      <c r="M15884" s="1976"/>
      <c r="N15884" s="1976"/>
      <c r="O15884" s="1976"/>
      <c r="P15884" s="1098"/>
    </row>
    <row r="15885" spans="1:16" s="1737" customFormat="1" ht="18">
      <c r="A15885" s="664"/>
      <c r="B15885" s="1975"/>
      <c r="C15885" s="1976"/>
      <c r="D15885" s="1977"/>
      <c r="E15885" s="665"/>
      <c r="F15885" s="1973"/>
      <c r="G15885" s="1974"/>
      <c r="H15885" s="1975"/>
      <c r="I15885" s="1976"/>
      <c r="J15885" s="1976"/>
      <c r="K15885" s="1977"/>
      <c r="L15885" s="1976"/>
      <c r="M15885" s="1976"/>
      <c r="N15885" s="1976"/>
      <c r="O15885" s="1976"/>
      <c r="P15885" s="1098"/>
    </row>
    <row r="15886" spans="1:16" s="1737" customFormat="1" ht="18">
      <c r="A15886" s="664" t="s">
        <v>58</v>
      </c>
      <c r="B15886" s="1975" t="s">
        <v>573</v>
      </c>
      <c r="C15886" s="1976"/>
      <c r="D15886" s="1977"/>
      <c r="E15886" s="665">
        <f>+L15869-1.571</f>
        <v>4.3562324999999991</v>
      </c>
      <c r="F15886" s="1973">
        <v>9</v>
      </c>
      <c r="G15886" s="1974"/>
      <c r="H15886" s="1975" t="s">
        <v>450</v>
      </c>
      <c r="I15886" s="1976"/>
      <c r="J15886" s="1976"/>
      <c r="K15886" s="1977"/>
      <c r="L15886" s="1976" t="s">
        <v>64</v>
      </c>
      <c r="M15886" s="1976"/>
      <c r="N15886" s="1976"/>
      <c r="O15886" s="1976"/>
      <c r="P15886" s="1098"/>
    </row>
    <row r="15887" spans="1:16" s="1737" customFormat="1" ht="18">
      <c r="A15887" s="664"/>
      <c r="B15887" s="1872"/>
      <c r="C15887" s="1873"/>
      <c r="D15887" s="1874"/>
      <c r="E15887" s="665"/>
      <c r="F15887" s="1875"/>
      <c r="G15887" s="1876"/>
      <c r="H15887" s="1873"/>
      <c r="I15887" s="1873"/>
      <c r="J15887" s="1873"/>
      <c r="K15887" s="1873"/>
      <c r="L15887" s="1873"/>
      <c r="M15887" s="1873"/>
      <c r="N15887" s="1873"/>
      <c r="O15887" s="1873"/>
      <c r="P15887" s="1098"/>
    </row>
    <row r="15888" spans="1:16" s="1737" customFormat="1" ht="18.600000000000001" thickBot="1">
      <c r="A15888" s="664"/>
      <c r="B15888" s="1872"/>
      <c r="C15888" s="1873"/>
      <c r="D15888" s="1873"/>
      <c r="E15888" s="665"/>
      <c r="F15888" s="1873"/>
      <c r="G15888" s="1874"/>
      <c r="H15888" s="1872"/>
      <c r="I15888" s="1873"/>
      <c r="J15888" s="1873"/>
      <c r="K15888" s="669"/>
      <c r="L15888" s="672"/>
      <c r="M15888" s="673"/>
      <c r="N15888" s="673"/>
      <c r="O15888" s="673"/>
      <c r="P15888" s="1098"/>
    </row>
    <row r="15889" spans="1:16" s="1737" customFormat="1" ht="18">
      <c r="A15889" s="674"/>
      <c r="B15889" s="675"/>
      <c r="C15889" s="676"/>
      <c r="D15889" s="676"/>
      <c r="E15889" s="1980">
        <f>SUM(E15877:E15888)</f>
        <v>168.13644650000001</v>
      </c>
      <c r="F15889" s="677"/>
      <c r="G15889" s="678"/>
      <c r="H15889" s="679"/>
      <c r="I15889" s="1869"/>
      <c r="J15889" s="676"/>
      <c r="K15889" s="680"/>
      <c r="L15889" s="679"/>
      <c r="M15889" s="676"/>
      <c r="N15889" s="677"/>
      <c r="O15889" s="676"/>
      <c r="P15889" s="1098"/>
    </row>
    <row r="15890" spans="1:16" s="1737" customFormat="1" ht="18.600000000000001" thickBot="1">
      <c r="A15890" s="681"/>
      <c r="B15890" s="682"/>
      <c r="C15890" s="683"/>
      <c r="D15890" s="683"/>
      <c r="E15890" s="1981"/>
      <c r="F15890" s="684"/>
      <c r="G15890" s="685"/>
      <c r="H15890" s="686"/>
      <c r="I15890" s="1871"/>
      <c r="J15890" s="683"/>
      <c r="K15890" s="687"/>
      <c r="L15890" s="686"/>
      <c r="M15890" s="683"/>
      <c r="N15890" s="684"/>
      <c r="O15890" s="683"/>
      <c r="P15890" s="1098"/>
    </row>
    <row r="15891" spans="1:16" s="1737" customFormat="1" ht="18">
      <c r="A15891" s="688" t="s">
        <v>31</v>
      </c>
      <c r="B15891" s="676"/>
      <c r="C15891" s="676"/>
      <c r="D15891" s="676"/>
      <c r="E15891" s="676"/>
      <c r="F15891" s="677"/>
      <c r="G15891" s="676"/>
      <c r="H15891" s="677"/>
      <c r="I15891" s="1869"/>
      <c r="J15891" s="676"/>
      <c r="K15891" s="689"/>
      <c r="L15891" s="677"/>
      <c r="M15891" s="676"/>
      <c r="N15891" s="677"/>
      <c r="O15891" s="676"/>
      <c r="P15891" s="1098"/>
    </row>
    <row r="15892" spans="1:16" s="1737" customFormat="1" ht="18">
      <c r="A15892" s="690"/>
      <c r="B15892" s="691"/>
      <c r="C15892" s="691"/>
      <c r="D15892" s="691"/>
      <c r="E15892" s="691"/>
      <c r="F15892" s="1877"/>
      <c r="G15892" s="691"/>
      <c r="H15892" s="1877"/>
      <c r="I15892" s="1870"/>
      <c r="J15892" s="691"/>
      <c r="K15892" s="693"/>
      <c r="L15892" s="1877"/>
      <c r="M15892" s="691"/>
      <c r="N15892" s="1877"/>
      <c r="O15892" s="691"/>
      <c r="P15892" s="1098"/>
    </row>
    <row r="15893" spans="1:16" s="1737" customFormat="1" ht="18.600000000000001" thickBot="1">
      <c r="A15893" s="1982" t="s">
        <v>32</v>
      </c>
      <c r="B15893" s="1983"/>
      <c r="C15893" s="1984" t="s">
        <v>33</v>
      </c>
      <c r="D15893" s="1985"/>
      <c r="E15893" s="694" t="s">
        <v>34</v>
      </c>
      <c r="F15893" s="694" t="s">
        <v>35</v>
      </c>
      <c r="G15893" s="1986" t="s">
        <v>36</v>
      </c>
      <c r="H15893" s="1987"/>
      <c r="I15893" s="1987"/>
      <c r="J15893" s="1987"/>
      <c r="K15893" s="1987"/>
      <c r="L15893" s="1987"/>
      <c r="M15893" s="1987"/>
      <c r="N15893" s="1987"/>
      <c r="O15893" s="1987"/>
      <c r="P15893" s="1098"/>
    </row>
    <row r="15894" spans="1:16" s="1737" customFormat="1" ht="18">
      <c r="A15894" s="1988"/>
      <c r="B15894" s="1989"/>
      <c r="C15894" s="1990"/>
      <c r="D15894" s="1989"/>
      <c r="E15894" s="1878"/>
      <c r="F15894" s="1866"/>
      <c r="G15894" s="1991"/>
      <c r="H15894" s="1992"/>
      <c r="I15894" s="1992"/>
      <c r="J15894" s="1992"/>
      <c r="K15894" s="1992"/>
      <c r="L15894" s="1992"/>
      <c r="M15894" s="1992"/>
      <c r="N15894" s="1992"/>
      <c r="O15894" s="1992"/>
      <c r="P15894" s="1098"/>
    </row>
    <row r="15895" spans="1:16" s="1737" customFormat="1" ht="18">
      <c r="A15895" s="1997" t="s">
        <v>37</v>
      </c>
      <c r="B15895" s="1998"/>
      <c r="C15895" s="1990"/>
      <c r="D15895" s="1989"/>
      <c r="E15895" s="1878"/>
      <c r="F15895" s="1866"/>
      <c r="G15895" s="1993"/>
      <c r="H15895" s="1994"/>
      <c r="I15895" s="1994"/>
      <c r="J15895" s="1994"/>
      <c r="K15895" s="1994"/>
      <c r="L15895" s="1994"/>
      <c r="M15895" s="1994"/>
      <c r="N15895" s="1994"/>
      <c r="O15895" s="1994"/>
      <c r="P15895" s="1098"/>
    </row>
    <row r="15896" spans="1:16" s="1737" customFormat="1" ht="18">
      <c r="A15896" s="1997" t="s">
        <v>38</v>
      </c>
      <c r="B15896" s="1998"/>
      <c r="C15896" s="1990"/>
      <c r="D15896" s="1989"/>
      <c r="E15896" s="1878"/>
      <c r="F15896" s="1866"/>
      <c r="G15896" s="1993"/>
      <c r="H15896" s="1994"/>
      <c r="I15896" s="1994"/>
      <c r="J15896" s="1994"/>
      <c r="K15896" s="1994"/>
      <c r="L15896" s="1994"/>
      <c r="M15896" s="1994"/>
      <c r="N15896" s="1994"/>
      <c r="O15896" s="1994"/>
      <c r="P15896" s="1098"/>
    </row>
    <row r="15897" spans="1:16" s="1737" customFormat="1" ht="18">
      <c r="A15897" s="1997" t="s">
        <v>39</v>
      </c>
      <c r="B15897" s="1998"/>
      <c r="C15897" s="1990"/>
      <c r="D15897" s="1989"/>
      <c r="E15897" s="1878"/>
      <c r="F15897" s="1866"/>
      <c r="G15897" s="1993"/>
      <c r="H15897" s="1994"/>
      <c r="I15897" s="1994"/>
      <c r="J15897" s="1994"/>
      <c r="K15897" s="1994"/>
      <c r="L15897" s="1994"/>
      <c r="M15897" s="1994"/>
      <c r="N15897" s="1994"/>
      <c r="O15897" s="1994"/>
      <c r="P15897" s="1098"/>
    </row>
    <row r="15898" spans="1:16" s="1737" customFormat="1" ht="18">
      <c r="A15898" s="1997" t="s">
        <v>40</v>
      </c>
      <c r="B15898" s="1998"/>
      <c r="C15898" s="1990"/>
      <c r="D15898" s="1989"/>
      <c r="E15898" s="1878"/>
      <c r="F15898" s="1866"/>
      <c r="G15898" s="1993"/>
      <c r="H15898" s="1994"/>
      <c r="I15898" s="1994"/>
      <c r="J15898" s="1994"/>
      <c r="K15898" s="1994"/>
      <c r="L15898" s="1994"/>
      <c r="M15898" s="1994"/>
      <c r="N15898" s="1994"/>
      <c r="O15898" s="1994"/>
      <c r="P15898" s="1098"/>
    </row>
    <row r="15899" spans="1:16" s="1737" customFormat="1" ht="18.600000000000001" thickBot="1">
      <c r="A15899" s="1999" t="s">
        <v>41</v>
      </c>
      <c r="B15899" s="2000"/>
      <c r="C15899" s="2001"/>
      <c r="D15899" s="2002"/>
      <c r="E15899" s="696"/>
      <c r="F15899" s="1867"/>
      <c r="G15899" s="1995"/>
      <c r="H15899" s="1996"/>
      <c r="I15899" s="1996"/>
      <c r="J15899" s="1996"/>
      <c r="K15899" s="1996"/>
      <c r="L15899" s="1996"/>
      <c r="M15899" s="1996"/>
      <c r="N15899" s="1996"/>
      <c r="O15899" s="1996"/>
      <c r="P15899" s="1098"/>
    </row>
    <row r="15900" spans="1:16" s="1737" customFormat="1" ht="18">
      <c r="A15900" s="690"/>
      <c r="B15900" s="691"/>
      <c r="C15900" s="691"/>
      <c r="D15900" s="691"/>
      <c r="E15900" s="691"/>
      <c r="F15900" s="1877"/>
      <c r="G15900" s="691"/>
      <c r="H15900" s="698"/>
      <c r="I15900" s="699"/>
      <c r="J15900" s="700"/>
      <c r="K15900" s="701"/>
      <c r="L15900" s="702"/>
      <c r="M15900" s="691"/>
      <c r="N15900" s="1877"/>
      <c r="O15900" s="691"/>
      <c r="P15900" s="1098"/>
    </row>
    <row r="15901" spans="1:16" s="1737" customFormat="1" ht="18">
      <c r="A15901" s="703" t="s">
        <v>42</v>
      </c>
      <c r="B15901" s="704"/>
      <c r="C15901" s="691"/>
      <c r="D15901" s="691"/>
      <c r="E15901" s="691"/>
      <c r="F15901" s="1877"/>
      <c r="G15901" s="704"/>
      <c r="H15901" s="698"/>
      <c r="I15901" s="699"/>
      <c r="J15901" s="700"/>
      <c r="K15901" s="693"/>
      <c r="L15901" s="705"/>
      <c r="M15901" s="691"/>
      <c r="N15901" s="1979" t="s">
        <v>43</v>
      </c>
      <c r="O15901" s="1979"/>
      <c r="P15901" s="1098"/>
    </row>
    <row r="15902" spans="1:16" s="1737" customFormat="1" ht="18">
      <c r="A15902" s="703"/>
      <c r="B15902" s="704"/>
      <c r="C15902" s="691"/>
      <c r="D15902" s="691"/>
      <c r="E15902" s="691"/>
      <c r="F15902" s="1877"/>
      <c r="G15902" s="691"/>
      <c r="H15902" s="1877"/>
      <c r="I15902" s="1870"/>
      <c r="J15902" s="691"/>
      <c r="K15902" s="693"/>
      <c r="L15902" s="1877"/>
      <c r="M15902" s="691"/>
      <c r="N15902" s="1877"/>
      <c r="O15902" s="704"/>
      <c r="P15902" s="1098"/>
    </row>
    <row r="15903" spans="1:16" s="1737" customFormat="1" ht="18">
      <c r="A15903" s="703" t="s">
        <v>44</v>
      </c>
      <c r="B15903" s="704"/>
      <c r="C15903" s="691"/>
      <c r="D15903" s="691"/>
      <c r="E15903" s="691"/>
      <c r="F15903" s="1877"/>
      <c r="G15903" s="691"/>
      <c r="H15903" s="1877"/>
      <c r="I15903" s="1870"/>
      <c r="J15903" s="691"/>
      <c r="K15903" s="693"/>
      <c r="L15903" s="1877"/>
      <c r="M15903" s="691"/>
      <c r="N15903" s="1979" t="s">
        <v>45</v>
      </c>
      <c r="O15903" s="1979"/>
      <c r="P15903" s="1098"/>
    </row>
    <row r="15904" spans="1:16" s="1737" customFormat="1" ht="18.600000000000001" thickBot="1">
      <c r="A15904" s="682"/>
      <c r="B15904" s="683"/>
      <c r="C15904" s="683"/>
      <c r="D15904" s="683"/>
      <c r="E15904" s="683"/>
      <c r="F15904" s="684"/>
      <c r="G15904" s="683"/>
      <c r="H15904" s="684"/>
      <c r="I15904" s="1871"/>
      <c r="J15904" s="683"/>
      <c r="K15904" s="706"/>
      <c r="L15904" s="684"/>
      <c r="M15904" s="683"/>
      <c r="N15904" s="684"/>
      <c r="O15904" s="683"/>
      <c r="P15904" s="1099"/>
    </row>
    <row r="15908" spans="1:16" ht="17.399999999999999">
      <c r="A15908" s="711" t="s">
        <v>48</v>
      </c>
      <c r="B15908" s="711"/>
      <c r="C15908" s="712"/>
      <c r="D15908" s="712"/>
      <c r="E15908" s="712"/>
      <c r="F15908" s="713"/>
      <c r="G15908" s="712"/>
      <c r="H15908" s="712"/>
      <c r="I15908" s="714"/>
      <c r="J15908" s="715"/>
      <c r="K15908" s="716"/>
      <c r="L15908" s="1978" t="s">
        <v>0</v>
      </c>
      <c r="M15908" s="1978"/>
      <c r="N15908" s="1978"/>
      <c r="O15908" s="1978"/>
      <c r="P15908" s="717"/>
    </row>
    <row r="15909" spans="1:16" ht="17.399999999999999">
      <c r="A15909" s="718" t="s">
        <v>1</v>
      </c>
      <c r="B15909" s="718"/>
      <c r="C15909" s="718"/>
      <c r="D15909" s="719" t="s">
        <v>2</v>
      </c>
      <c r="E15909" s="719"/>
      <c r="F15909" s="720"/>
      <c r="G15909" s="720"/>
      <c r="H15909" s="720"/>
      <c r="I15909" s="721"/>
      <c r="J15909" s="1902"/>
      <c r="K15909" s="723" t="s">
        <v>3</v>
      </c>
      <c r="L15909" s="1902"/>
      <c r="M15909" s="718"/>
      <c r="N15909" s="720"/>
      <c r="O15909" s="718"/>
      <c r="P15909" s="724"/>
    </row>
    <row r="15910" spans="1:16" ht="52.2">
      <c r="A15910" s="640" t="s">
        <v>4</v>
      </c>
      <c r="B15910" s="640" t="s">
        <v>5</v>
      </c>
      <c r="C15910" s="640" t="s">
        <v>6</v>
      </c>
      <c r="D15910" s="640" t="s">
        <v>7</v>
      </c>
      <c r="E15910" s="640" t="s">
        <v>8</v>
      </c>
      <c r="F15910" s="641" t="s">
        <v>9</v>
      </c>
      <c r="G15910" s="642" t="s">
        <v>10</v>
      </c>
      <c r="H15910" s="642" t="s">
        <v>11</v>
      </c>
      <c r="I15910" s="643" t="s">
        <v>12</v>
      </c>
      <c r="J15910" s="644" t="s">
        <v>13</v>
      </c>
      <c r="K15910" s="645" t="s">
        <v>14</v>
      </c>
      <c r="L15910" s="646" t="s">
        <v>15</v>
      </c>
      <c r="M15910" s="641" t="s">
        <v>16</v>
      </c>
      <c r="N15910" s="641" t="s">
        <v>17</v>
      </c>
      <c r="O15910" s="642" t="s">
        <v>18</v>
      </c>
      <c r="P15910" s="641" t="s">
        <v>192</v>
      </c>
    </row>
    <row r="15911" spans="1:16" ht="17.399999999999999">
      <c r="A15911" s="547" t="s">
        <v>272</v>
      </c>
      <c r="B15911" s="547" t="s">
        <v>1665</v>
      </c>
      <c r="C15911" s="547" t="s">
        <v>446</v>
      </c>
      <c r="D15911" s="813" t="s">
        <v>447</v>
      </c>
      <c r="E15911" s="547" t="s">
        <v>359</v>
      </c>
      <c r="F15911" s="549">
        <v>10</v>
      </c>
      <c r="G15911" s="549" t="s">
        <v>21</v>
      </c>
      <c r="H15911" s="549" t="s">
        <v>131</v>
      </c>
      <c r="I15911" s="558">
        <v>7.36</v>
      </c>
      <c r="J15911" s="567">
        <v>10</v>
      </c>
      <c r="K15911" s="648">
        <v>7</v>
      </c>
      <c r="L15911" s="552">
        <f>(I15911*J15911*K15911/1000)</f>
        <v>0.51519999999999999</v>
      </c>
      <c r="M15911" s="549"/>
      <c r="N15911" s="549"/>
      <c r="O15911" s="549"/>
      <c r="P15911" s="549"/>
    </row>
    <row r="15912" spans="1:16" ht="17.399999999999999">
      <c r="A15912" s="549"/>
      <c r="B15912" s="549"/>
      <c r="C15912" s="549"/>
      <c r="D15912" s="549"/>
      <c r="E15912" s="549"/>
      <c r="F15912" s="549"/>
      <c r="G15912" s="549" t="s">
        <v>21</v>
      </c>
      <c r="H15912" s="549" t="s">
        <v>131</v>
      </c>
      <c r="I15912" s="558">
        <v>7.36</v>
      </c>
      <c r="J15912" s="567">
        <v>10.3</v>
      </c>
      <c r="K15912" s="648">
        <f>539-350</f>
        <v>189</v>
      </c>
      <c r="L15912" s="552">
        <f>(I15912*J15912*K15912/1000)</f>
        <v>14.327712000000002</v>
      </c>
      <c r="M15912" s="549"/>
      <c r="N15912" s="549"/>
      <c r="O15912" s="549"/>
      <c r="P15912" s="549"/>
    </row>
    <row r="15913" spans="1:16" ht="17.399999999999999">
      <c r="A15913" s="549"/>
      <c r="B15913" s="549"/>
      <c r="C15913" s="549"/>
      <c r="D15913" s="549"/>
      <c r="E15913" s="549"/>
      <c r="F15913" s="549"/>
      <c r="G15913" s="549" t="s">
        <v>21</v>
      </c>
      <c r="H15913" s="549" t="s">
        <v>131</v>
      </c>
      <c r="I15913" s="558">
        <v>7.36</v>
      </c>
      <c r="J15913" s="567">
        <v>11.1</v>
      </c>
      <c r="K15913" s="648">
        <v>229</v>
      </c>
      <c r="L15913" s="552">
        <f>(I15913*J15913*K15913/1000)</f>
        <v>18.708383999999999</v>
      </c>
      <c r="M15913" s="549"/>
      <c r="N15913" s="549"/>
      <c r="O15913" s="549"/>
      <c r="P15913" s="549"/>
    </row>
    <row r="15914" spans="1:16" ht="17.399999999999999">
      <c r="A15914" s="549"/>
      <c r="B15914" s="549"/>
      <c r="C15914" s="549"/>
      <c r="D15914" s="549"/>
      <c r="E15914" s="549"/>
      <c r="F15914" s="549"/>
      <c r="G15914" s="549" t="s">
        <v>21</v>
      </c>
      <c r="H15914" s="549" t="s">
        <v>131</v>
      </c>
      <c r="I15914" s="558">
        <v>7.36</v>
      </c>
      <c r="J15914" s="567">
        <v>11.9</v>
      </c>
      <c r="K15914" s="648">
        <v>166</v>
      </c>
      <c r="L15914" s="552">
        <f>(I15914*J15914*K15914/1000)</f>
        <v>14.538944000000001</v>
      </c>
      <c r="M15914" s="549"/>
      <c r="N15914" s="549"/>
      <c r="O15914" s="549"/>
      <c r="P15914" s="549"/>
    </row>
    <row r="15915" spans="1:16" ht="17.399999999999999">
      <c r="A15915" s="549"/>
      <c r="B15915" s="549"/>
      <c r="C15915" s="549"/>
      <c r="D15915" s="549"/>
      <c r="E15915" s="549"/>
      <c r="F15915" s="549"/>
      <c r="G15915" s="549"/>
      <c r="H15915" s="549"/>
      <c r="I15915" s="558"/>
      <c r="J15915" s="567"/>
      <c r="K15915" s="648">
        <f>SUM(K15911:K15914)</f>
        <v>591</v>
      </c>
      <c r="L15915" s="565">
        <f>SUM(L15911:L15914)</f>
        <v>48.090240000000001</v>
      </c>
      <c r="M15915" s="549"/>
      <c r="N15915" s="549"/>
      <c r="O15915" s="549"/>
      <c r="P15915" s="549" t="s">
        <v>1915</v>
      </c>
    </row>
    <row r="15916" spans="1:16" ht="17.399999999999999">
      <c r="A15916" s="549"/>
      <c r="B15916" s="549"/>
      <c r="C15916" s="549"/>
      <c r="D15916" s="549"/>
      <c r="E15916" s="549"/>
      <c r="F15916" s="549"/>
      <c r="G15916" s="549"/>
      <c r="H15916" s="549"/>
      <c r="I15916" s="558"/>
      <c r="J15916" s="549"/>
      <c r="K15916" s="561"/>
      <c r="L15916" s="561"/>
      <c r="M15916" s="549"/>
      <c r="N15916" s="549"/>
      <c r="O15916" s="549"/>
      <c r="P15916" s="549"/>
    </row>
    <row r="15917" spans="1:16" ht="17.399999999999999">
      <c r="A15917" s="549"/>
      <c r="B15917" s="549"/>
      <c r="C15917" s="549"/>
      <c r="D15917" s="549"/>
      <c r="E15917" s="549"/>
      <c r="F15917" s="549"/>
      <c r="G15917" s="549"/>
      <c r="H15917" s="549"/>
      <c r="I15917" s="558"/>
      <c r="J15917" s="549"/>
      <c r="K15917" s="561"/>
      <c r="L15917" s="561"/>
      <c r="M15917" s="549"/>
      <c r="N15917" s="549"/>
      <c r="O15917" s="549"/>
      <c r="P15917" s="549"/>
    </row>
    <row r="15918" spans="1:16" ht="17.399999999999999">
      <c r="A15918" s="549"/>
      <c r="B15918" s="549"/>
      <c r="C15918" s="549"/>
      <c r="D15918" s="549"/>
      <c r="E15918" s="549"/>
      <c r="F15918" s="549"/>
      <c r="G15918" s="549"/>
      <c r="H15918" s="549"/>
      <c r="I15918" s="560"/>
      <c r="J15918" s="549"/>
      <c r="K15918" s="561"/>
      <c r="L15918" s="560"/>
      <c r="M15918" s="549"/>
      <c r="N15918" s="549"/>
      <c r="O15918" s="549"/>
      <c r="P15918" s="549"/>
    </row>
    <row r="15919" spans="1:16" ht="17.399999999999999">
      <c r="A15919" s="547" t="s">
        <v>272</v>
      </c>
      <c r="B15919" s="547" t="s">
        <v>1665</v>
      </c>
      <c r="C15919" s="547" t="s">
        <v>446</v>
      </c>
      <c r="D15919" s="813" t="s">
        <v>447</v>
      </c>
      <c r="E15919" s="547" t="s">
        <v>359</v>
      </c>
      <c r="F15919" s="549">
        <v>10</v>
      </c>
      <c r="G15919" s="549" t="s">
        <v>21</v>
      </c>
      <c r="H15919" s="549" t="s">
        <v>130</v>
      </c>
      <c r="I15919" s="558">
        <v>6.17</v>
      </c>
      <c r="J15919" s="567">
        <v>10.5</v>
      </c>
      <c r="K15919" s="648">
        <f>68-16</f>
        <v>52</v>
      </c>
      <c r="L15919" s="552">
        <f>(I15919*J15919*K15919/1000)</f>
        <v>3.3688199999999999</v>
      </c>
      <c r="M15919" s="549"/>
      <c r="N15919" s="549"/>
      <c r="O15919" s="549"/>
      <c r="P15919" s="549"/>
    </row>
    <row r="15920" spans="1:16" ht="17.399999999999999">
      <c r="A15920" s="549"/>
      <c r="B15920" s="549"/>
      <c r="C15920" s="549"/>
      <c r="D15920" s="549"/>
      <c r="E15920" s="549"/>
      <c r="F15920" s="549"/>
      <c r="G15920" s="549" t="s">
        <v>21</v>
      </c>
      <c r="H15920" s="549" t="s">
        <v>130</v>
      </c>
      <c r="I15920" s="558">
        <v>6.17</v>
      </c>
      <c r="J15920" s="567">
        <v>10.75</v>
      </c>
      <c r="K15920" s="648">
        <f>463-384</f>
        <v>79</v>
      </c>
      <c r="L15920" s="552">
        <f>(I15920*J15920*K15920/1000)</f>
        <v>5.2398725000000006</v>
      </c>
      <c r="M15920" s="549"/>
      <c r="N15920" s="549"/>
      <c r="O15920" s="549"/>
      <c r="P15920" s="549"/>
    </row>
    <row r="15921" spans="1:16" ht="17.399999999999999">
      <c r="A15921" s="549"/>
      <c r="B15921" s="549"/>
      <c r="C15921" s="549"/>
      <c r="D15921" s="549"/>
      <c r="E15921" s="549"/>
      <c r="F15921" s="549"/>
      <c r="G15921" s="549" t="s">
        <v>21</v>
      </c>
      <c r="H15921" s="549" t="s">
        <v>130</v>
      </c>
      <c r="I15921" s="558">
        <v>6.17</v>
      </c>
      <c r="J15921" s="567">
        <v>11</v>
      </c>
      <c r="K15921" s="648">
        <v>35</v>
      </c>
      <c r="L15921" s="552">
        <f>(I15921*J15921*K15921/1000)</f>
        <v>2.3754500000000003</v>
      </c>
      <c r="M15921" s="549"/>
      <c r="N15921" s="549"/>
      <c r="O15921" s="549"/>
      <c r="P15921" s="549"/>
    </row>
    <row r="15922" spans="1:16" ht="17.399999999999999">
      <c r="A15922" s="549"/>
      <c r="B15922" s="549"/>
      <c r="C15922" s="549"/>
      <c r="D15922" s="549"/>
      <c r="E15922" s="549"/>
      <c r="F15922" s="549"/>
      <c r="G15922" s="549" t="s">
        <v>21</v>
      </c>
      <c r="H15922" s="549" t="s">
        <v>130</v>
      </c>
      <c r="I15922" s="558">
        <v>6.17</v>
      </c>
      <c r="J15922" s="567">
        <v>11.5</v>
      </c>
      <c r="K15922" s="648">
        <v>50</v>
      </c>
      <c r="L15922" s="552">
        <f>(I15922*J15922*K15922/1000)</f>
        <v>3.5477500000000002</v>
      </c>
      <c r="M15922" s="549"/>
      <c r="N15922" s="549"/>
      <c r="O15922" s="549"/>
      <c r="P15922" s="549"/>
    </row>
    <row r="15923" spans="1:16" ht="17.399999999999999">
      <c r="A15923" s="549"/>
      <c r="B15923" s="549"/>
      <c r="C15923" s="549"/>
      <c r="D15923" s="549"/>
      <c r="E15923" s="549"/>
      <c r="F15923" s="549"/>
      <c r="G15923" s="549" t="s">
        <v>21</v>
      </c>
      <c r="H15923" s="549" t="s">
        <v>130</v>
      </c>
      <c r="I15923" s="558">
        <v>6.17</v>
      </c>
      <c r="J15923" s="567">
        <v>12</v>
      </c>
      <c r="K15923" s="648">
        <f>146-50</f>
        <v>96</v>
      </c>
      <c r="L15923" s="552">
        <f>(I15923*J15923*K15923/1000)</f>
        <v>7.1078399999999995</v>
      </c>
      <c r="M15923" s="549"/>
      <c r="N15923" s="549"/>
      <c r="O15923" s="549"/>
      <c r="P15923" s="549"/>
    </row>
    <row r="15924" spans="1:16" ht="17.399999999999999">
      <c r="A15924" s="549"/>
      <c r="B15924" s="549"/>
      <c r="C15924" s="549"/>
      <c r="D15924" s="549"/>
      <c r="E15924" s="549"/>
      <c r="F15924" s="549"/>
      <c r="G15924" s="549"/>
      <c r="H15924" s="549"/>
      <c r="I15924" s="558"/>
      <c r="J15924" s="567"/>
      <c r="K15924" s="648">
        <f>SUM(K15919:K15923)</f>
        <v>312</v>
      </c>
      <c r="L15924" s="565">
        <f>SUM(L15919:L15923)</f>
        <v>21.639732500000001</v>
      </c>
      <c r="M15924" s="549"/>
      <c r="N15924" s="549"/>
      <c r="O15924" s="549"/>
      <c r="P15924" s="549" t="s">
        <v>1916</v>
      </c>
    </row>
    <row r="15925" spans="1:16" s="1737" customFormat="1" ht="17.399999999999999">
      <c r="A15925" s="549"/>
      <c r="B15925" s="549"/>
      <c r="C15925" s="549"/>
      <c r="D15925" s="549"/>
      <c r="E15925" s="549"/>
      <c r="F15925" s="549"/>
      <c r="G15925" s="549"/>
      <c r="H15925" s="549"/>
      <c r="I15925" s="558"/>
      <c r="J15925" s="567"/>
      <c r="K15925" s="648"/>
      <c r="L15925" s="565"/>
      <c r="M15925" s="549"/>
      <c r="N15925" s="549"/>
      <c r="O15925" s="549"/>
      <c r="P15925" s="549"/>
    </row>
    <row r="15926" spans="1:16" s="1737" customFormat="1" ht="17.399999999999999">
      <c r="A15926" s="549"/>
      <c r="B15926" s="549"/>
      <c r="C15926" s="549"/>
      <c r="D15926" s="549"/>
      <c r="E15926" s="549"/>
      <c r="F15926" s="549"/>
      <c r="G15926" s="549"/>
      <c r="H15926" s="549"/>
      <c r="I15926" s="558"/>
      <c r="J15926" s="567"/>
      <c r="K15926" s="648"/>
      <c r="L15926" s="565"/>
      <c r="M15926" s="549"/>
      <c r="N15926" s="549"/>
      <c r="O15926" s="549"/>
      <c r="P15926" s="549"/>
    </row>
    <row r="15927" spans="1:16" ht="17.399999999999999">
      <c r="A15927" s="547" t="s">
        <v>272</v>
      </c>
      <c r="B15927" s="547" t="s">
        <v>1665</v>
      </c>
      <c r="C15927" s="547" t="s">
        <v>446</v>
      </c>
      <c r="D15927" s="813" t="s">
        <v>450</v>
      </c>
      <c r="E15927" s="547" t="s">
        <v>270</v>
      </c>
      <c r="F15927" s="549">
        <v>10</v>
      </c>
      <c r="G15927" s="549" t="s">
        <v>61</v>
      </c>
      <c r="H15927" s="549" t="s">
        <v>130</v>
      </c>
      <c r="I15927" s="558">
        <v>6.17</v>
      </c>
      <c r="J15927" s="567">
        <v>10.5</v>
      </c>
      <c r="K15927" s="648">
        <v>152</v>
      </c>
      <c r="L15927" s="552">
        <f t="shared" ref="L15927:L15929" si="3182">(I15927*J15927*K15927/1000)</f>
        <v>9.8473199999999999</v>
      </c>
      <c r="M15927" s="549"/>
      <c r="N15927" s="549"/>
      <c r="O15927" s="549"/>
      <c r="P15927" s="549"/>
    </row>
    <row r="15928" spans="1:16" ht="17.399999999999999">
      <c r="A15928" s="549"/>
      <c r="B15928" s="549"/>
      <c r="C15928" s="549"/>
      <c r="D15928" s="549"/>
      <c r="E15928" s="549"/>
      <c r="F15928" s="549"/>
      <c r="G15928" s="549" t="s">
        <v>61</v>
      </c>
      <c r="H15928" s="549" t="s">
        <v>130</v>
      </c>
      <c r="I15928" s="558">
        <v>6.17</v>
      </c>
      <c r="J15928" s="567">
        <v>11.4</v>
      </c>
      <c r="K15928" s="648">
        <v>81</v>
      </c>
      <c r="L15928" s="552">
        <f t="shared" si="3182"/>
        <v>5.6973780000000005</v>
      </c>
      <c r="M15928" s="549"/>
      <c r="N15928" s="549"/>
      <c r="O15928" s="549"/>
      <c r="P15928" s="549"/>
    </row>
    <row r="15929" spans="1:16" ht="17.399999999999999">
      <c r="A15929" s="549"/>
      <c r="B15929" s="549"/>
      <c r="C15929" s="549"/>
      <c r="D15929" s="549"/>
      <c r="E15929" s="549"/>
      <c r="F15929" s="549"/>
      <c r="G15929" s="549" t="s">
        <v>61</v>
      </c>
      <c r="H15929" s="549" t="s">
        <v>130</v>
      </c>
      <c r="I15929" s="558">
        <v>6.17</v>
      </c>
      <c r="J15929" s="567">
        <v>11.5</v>
      </c>
      <c r="K15929" s="648">
        <v>8</v>
      </c>
      <c r="L15929" s="552">
        <f t="shared" si="3182"/>
        <v>0.56764000000000003</v>
      </c>
      <c r="M15929" s="549"/>
      <c r="N15929" s="549"/>
      <c r="O15929" s="549"/>
      <c r="P15929" s="549"/>
    </row>
    <row r="15930" spans="1:16" ht="17.399999999999999">
      <c r="A15930" s="549"/>
      <c r="B15930" s="549"/>
      <c r="C15930" s="549"/>
      <c r="D15930" s="549"/>
      <c r="E15930" s="549"/>
      <c r="F15930" s="549"/>
      <c r="G15930" s="549"/>
      <c r="H15930" s="549"/>
      <c r="I15930" s="558"/>
      <c r="J15930" s="567"/>
      <c r="K15930" s="648">
        <f t="shared" ref="K15930:L15930" si="3183">SUM(K15927:K15929)</f>
        <v>241</v>
      </c>
      <c r="L15930" s="565">
        <f t="shared" si="3183"/>
        <v>16.112338000000001</v>
      </c>
      <c r="M15930" s="549"/>
      <c r="N15930" s="549"/>
      <c r="O15930" s="549"/>
      <c r="P15930" s="549" t="s">
        <v>1917</v>
      </c>
    </row>
    <row r="15931" spans="1:16" s="1737" customFormat="1" ht="17.399999999999999">
      <c r="A15931" s="549"/>
      <c r="B15931" s="549"/>
      <c r="C15931" s="549"/>
      <c r="D15931" s="549"/>
      <c r="E15931" s="549"/>
      <c r="F15931" s="549"/>
      <c r="G15931" s="549"/>
      <c r="H15931" s="549"/>
      <c r="I15931" s="558"/>
      <c r="J15931" s="567"/>
      <c r="K15931" s="648"/>
      <c r="L15931" s="565"/>
      <c r="M15931" s="549"/>
      <c r="N15931" s="549"/>
      <c r="O15931" s="549"/>
      <c r="P15931" s="549"/>
    </row>
    <row r="15932" spans="1:16" s="1737" customFormat="1" ht="17.399999999999999">
      <c r="A15932" s="549"/>
      <c r="B15932" s="549"/>
      <c r="C15932" s="549"/>
      <c r="D15932" s="549"/>
      <c r="E15932" s="549"/>
      <c r="F15932" s="549"/>
      <c r="G15932" s="549"/>
      <c r="H15932" s="549"/>
      <c r="I15932" s="558"/>
      <c r="J15932" s="567"/>
      <c r="K15932" s="648"/>
      <c r="L15932" s="565"/>
      <c r="M15932" s="549"/>
      <c r="N15932" s="549"/>
      <c r="O15932" s="549"/>
      <c r="P15932" s="549"/>
    </row>
    <row r="15933" spans="1:16" ht="17.399999999999999">
      <c r="A15933" s="547" t="s">
        <v>272</v>
      </c>
      <c r="B15933" s="547" t="s">
        <v>1665</v>
      </c>
      <c r="C15933" s="547" t="s">
        <v>446</v>
      </c>
      <c r="D15933" s="813" t="s">
        <v>450</v>
      </c>
      <c r="E15933" s="547" t="s">
        <v>270</v>
      </c>
      <c r="F15933" s="549">
        <v>8</v>
      </c>
      <c r="G15933" s="549" t="s">
        <v>61</v>
      </c>
      <c r="H15933" s="549" t="s">
        <v>131</v>
      </c>
      <c r="I15933" s="558">
        <v>7.36</v>
      </c>
      <c r="J15933" s="567">
        <v>10.5</v>
      </c>
      <c r="K15933" s="648">
        <v>1</v>
      </c>
      <c r="L15933" s="552">
        <f>(I15933*J15933*K15933/1000)</f>
        <v>7.7280000000000001E-2</v>
      </c>
      <c r="M15933" s="549">
        <v>1</v>
      </c>
      <c r="N15933" s="567">
        <f>J15933*M15933*I15933/1000</f>
        <v>7.7280000000000001E-2</v>
      </c>
      <c r="O15933" s="549"/>
      <c r="P15933" s="549"/>
    </row>
    <row r="15934" spans="1:16" ht="17.399999999999999">
      <c r="A15934" s="549"/>
      <c r="B15934" s="549"/>
      <c r="C15934" s="549"/>
      <c r="D15934" s="549"/>
      <c r="E15934" s="549"/>
      <c r="F15934" s="549"/>
      <c r="G15934" s="549"/>
      <c r="H15934" s="549"/>
      <c r="I15934" s="558"/>
      <c r="J15934" s="567"/>
      <c r="K15934" s="648">
        <f t="shared" ref="K15934:N15934" si="3184">SUM(K15933)</f>
        <v>1</v>
      </c>
      <c r="L15934" s="565">
        <f t="shared" si="3184"/>
        <v>7.7280000000000001E-2</v>
      </c>
      <c r="M15934" s="648">
        <f t="shared" si="3184"/>
        <v>1</v>
      </c>
      <c r="N15934" s="565">
        <f t="shared" si="3184"/>
        <v>7.7280000000000001E-2</v>
      </c>
      <c r="O15934" s="549"/>
      <c r="P15934" s="549"/>
    </row>
    <row r="15935" spans="1:16" ht="17.399999999999999">
      <c r="A15935" s="549"/>
      <c r="B15935" s="549"/>
      <c r="C15935" s="549"/>
      <c r="D15935" s="549"/>
      <c r="E15935" s="549"/>
      <c r="F15935" s="549"/>
      <c r="G15935" s="549"/>
      <c r="H15935" s="549"/>
      <c r="I15935" s="558"/>
      <c r="J15935" s="549"/>
      <c r="K15935" s="561"/>
      <c r="L15935" s="561"/>
      <c r="M15935" s="549"/>
      <c r="N15935" s="549"/>
      <c r="O15935" s="549"/>
      <c r="P15935" s="549"/>
    </row>
    <row r="15936" spans="1:16" s="1737" customFormat="1" ht="17.399999999999999">
      <c r="A15936" s="549"/>
      <c r="B15936" s="549"/>
      <c r="C15936" s="549"/>
      <c r="D15936" s="549"/>
      <c r="E15936" s="549"/>
      <c r="F15936" s="549"/>
      <c r="G15936" s="549"/>
      <c r="H15936" s="549"/>
      <c r="I15936" s="558"/>
      <c r="J15936" s="549"/>
      <c r="K15936" s="561"/>
      <c r="L15936" s="561"/>
      <c r="M15936" s="549"/>
      <c r="N15936" s="549"/>
      <c r="O15936" s="549"/>
      <c r="P15936" s="549"/>
    </row>
    <row r="15937" spans="1:17" ht="17.399999999999999">
      <c r="A15937" s="755" t="s">
        <v>83</v>
      </c>
      <c r="B15937" s="755" t="s">
        <v>1748</v>
      </c>
      <c r="C15937" s="755" t="s">
        <v>19</v>
      </c>
      <c r="D15937" s="1966" t="s">
        <v>155</v>
      </c>
      <c r="E15937" s="1967" t="s">
        <v>1885</v>
      </c>
      <c r="F15937" s="964">
        <v>10</v>
      </c>
      <c r="G15937" s="964" t="s">
        <v>61</v>
      </c>
      <c r="H15937" s="964" t="s">
        <v>130</v>
      </c>
      <c r="I15937" s="1968">
        <v>6.17</v>
      </c>
      <c r="J15937" s="1969">
        <v>7.4</v>
      </c>
      <c r="K15937" s="1970">
        <v>60</v>
      </c>
      <c r="L15937" s="1971">
        <f t="shared" ref="L15937:L15940" si="3185">(I15937*J15937*K15937/1000)</f>
        <v>2.7394799999999999</v>
      </c>
      <c r="M15937" s="964"/>
      <c r="N15937" s="1969">
        <f t="shared" ref="N15937:N15941" si="3186">J15937*M15937*I15937/1000</f>
        <v>0</v>
      </c>
      <c r="O15937" s="964"/>
      <c r="P15937" s="964"/>
    </row>
    <row r="15938" spans="1:17" ht="17.399999999999999">
      <c r="A15938" s="964"/>
      <c r="B15938" s="964" t="s">
        <v>52</v>
      </c>
      <c r="C15938" s="964"/>
      <c r="D15938" s="964"/>
      <c r="E15938" s="964"/>
      <c r="F15938" s="964"/>
      <c r="G15938" s="964" t="s">
        <v>61</v>
      </c>
      <c r="H15938" s="964" t="s">
        <v>130</v>
      </c>
      <c r="I15938" s="1968">
        <v>6.17</v>
      </c>
      <c r="J15938" s="1969">
        <v>8.4</v>
      </c>
      <c r="K15938" s="1970">
        <v>160</v>
      </c>
      <c r="L15938" s="1971">
        <f t="shared" si="3185"/>
        <v>8.2924799999999994</v>
      </c>
      <c r="M15938" s="964"/>
      <c r="N15938" s="1969">
        <f t="shared" si="3186"/>
        <v>0</v>
      </c>
      <c r="O15938" s="964"/>
      <c r="P15938" s="964"/>
    </row>
    <row r="15939" spans="1:17" ht="17.399999999999999">
      <c r="A15939" s="964"/>
      <c r="B15939" s="964"/>
      <c r="C15939" s="964"/>
      <c r="D15939" s="964"/>
      <c r="E15939" s="964"/>
      <c r="F15939" s="964"/>
      <c r="G15939" s="964" t="s">
        <v>61</v>
      </c>
      <c r="H15939" s="964" t="s">
        <v>130</v>
      </c>
      <c r="I15939" s="1968">
        <v>6.17</v>
      </c>
      <c r="J15939" s="1969">
        <v>11</v>
      </c>
      <c r="K15939" s="1970">
        <v>120</v>
      </c>
      <c r="L15939" s="1971">
        <f t="shared" si="3185"/>
        <v>8.144400000000001</v>
      </c>
      <c r="M15939" s="964"/>
      <c r="N15939" s="1969">
        <f t="shared" si="3186"/>
        <v>0</v>
      </c>
      <c r="O15939" s="964"/>
      <c r="P15939" s="964"/>
    </row>
    <row r="15940" spans="1:17" ht="17.399999999999999">
      <c r="A15940" s="964"/>
      <c r="B15940" s="964"/>
      <c r="C15940" s="964"/>
      <c r="D15940" s="964"/>
      <c r="E15940" s="964"/>
      <c r="F15940" s="964"/>
      <c r="G15940" s="964" t="s">
        <v>61</v>
      </c>
      <c r="H15940" s="964" t="s">
        <v>130</v>
      </c>
      <c r="I15940" s="1968">
        <v>6.17</v>
      </c>
      <c r="J15940" s="1969">
        <v>11.55</v>
      </c>
      <c r="K15940" s="1970">
        <v>260</v>
      </c>
      <c r="L15940" s="1971">
        <f t="shared" si="3185"/>
        <v>18.528510000000001</v>
      </c>
      <c r="M15940" s="964"/>
      <c r="N15940" s="1969">
        <f t="shared" si="3186"/>
        <v>0</v>
      </c>
      <c r="O15940" s="964"/>
      <c r="P15940" s="964"/>
    </row>
    <row r="15941" spans="1:17" ht="17.399999999999999">
      <c r="A15941" s="964"/>
      <c r="B15941" s="964"/>
      <c r="C15941" s="964"/>
      <c r="D15941" s="964"/>
      <c r="E15941" s="964"/>
      <c r="F15941" s="964"/>
      <c r="G15941" s="964"/>
      <c r="H15941" s="964"/>
      <c r="I15941" s="1968"/>
      <c r="J15941" s="1969"/>
      <c r="K15941" s="1970">
        <f t="shared" ref="K15941:L15941" si="3187">SUM(K15937:K15940)</f>
        <v>600</v>
      </c>
      <c r="L15941" s="1972">
        <f t="shared" si="3187"/>
        <v>37.70487</v>
      </c>
      <c r="M15941" s="964"/>
      <c r="N15941" s="1969">
        <f t="shared" si="3186"/>
        <v>0</v>
      </c>
      <c r="O15941" s="964" t="s">
        <v>1918</v>
      </c>
      <c r="P15941" s="964"/>
    </row>
    <row r="15942" spans="1:17" s="1737" customFormat="1" ht="17.399999999999999">
      <c r="A15942" s="549"/>
      <c r="B15942" s="549"/>
      <c r="C15942" s="549"/>
      <c r="D15942" s="549"/>
      <c r="E15942" s="549"/>
      <c r="F15942" s="549"/>
      <c r="G15942" s="549"/>
      <c r="H15942" s="549"/>
      <c r="I15942" s="558"/>
      <c r="J15942" s="567"/>
      <c r="K15942" s="648"/>
      <c r="L15942" s="565"/>
      <c r="M15942" s="549"/>
      <c r="N15942" s="549"/>
      <c r="O15942" s="549"/>
      <c r="P15942" s="549"/>
    </row>
    <row r="15943" spans="1:17" ht="17.399999999999999">
      <c r="A15943" s="547" t="s">
        <v>1400</v>
      </c>
      <c r="B15943" s="547" t="s">
        <v>1779</v>
      </c>
      <c r="C15943" s="547" t="s">
        <v>19</v>
      </c>
      <c r="D15943" s="813" t="s">
        <v>155</v>
      </c>
      <c r="E15943" s="547" t="s">
        <v>270</v>
      </c>
      <c r="F15943" s="549">
        <v>10</v>
      </c>
      <c r="G15943" s="1825" t="s">
        <v>61</v>
      </c>
      <c r="H15943" s="549" t="s">
        <v>130</v>
      </c>
      <c r="I15943" s="558">
        <v>6.17</v>
      </c>
      <c r="J15943" s="567">
        <v>7.15</v>
      </c>
      <c r="K15943" s="648">
        <v>9</v>
      </c>
      <c r="L15943" s="552">
        <f t="shared" ref="L15943:L15948" si="3188">(I15943*J15943*K15943/1000)</f>
        <v>0.39703950000000005</v>
      </c>
      <c r="M15943" s="549">
        <f>2+6+1-2</f>
        <v>7</v>
      </c>
      <c r="N15943" s="567">
        <f t="shared" ref="N15943:N15948" si="3189">J15943*M15943*I15943/1000</f>
        <v>0.30880850000000004</v>
      </c>
      <c r="O15943" s="549"/>
      <c r="P15943" s="549"/>
      <c r="Q15943" s="497">
        <v>2</v>
      </c>
    </row>
    <row r="15944" spans="1:17" ht="17.399999999999999">
      <c r="A15944" s="549"/>
      <c r="B15944" s="549" t="s">
        <v>277</v>
      </c>
      <c r="C15944" s="549"/>
      <c r="D15944" s="549"/>
      <c r="E15944" s="549"/>
      <c r="F15944" s="549"/>
      <c r="G15944" s="1825" t="s">
        <v>61</v>
      </c>
      <c r="H15944" s="549" t="s">
        <v>130</v>
      </c>
      <c r="I15944" s="558">
        <v>6.17</v>
      </c>
      <c r="J15944" s="567">
        <v>7.9</v>
      </c>
      <c r="K15944" s="648">
        <v>32</v>
      </c>
      <c r="L15944" s="552">
        <f t="shared" si="3188"/>
        <v>1.5597760000000001</v>
      </c>
      <c r="M15944" s="549"/>
      <c r="N15944" s="567">
        <f t="shared" si="3189"/>
        <v>0</v>
      </c>
      <c r="O15944" s="549"/>
      <c r="P15944" s="549"/>
    </row>
    <row r="15945" spans="1:17" ht="17.399999999999999">
      <c r="A15945" s="549"/>
      <c r="B15945" s="549"/>
      <c r="C15945" s="549"/>
      <c r="D15945" s="549"/>
      <c r="E15945" s="549"/>
      <c r="F15945" s="549"/>
      <c r="G15945" s="1825" t="s">
        <v>61</v>
      </c>
      <c r="H15945" s="549" t="s">
        <v>130</v>
      </c>
      <c r="I15945" s="558">
        <v>6.17</v>
      </c>
      <c r="J15945" s="567">
        <v>9.5</v>
      </c>
      <c r="K15945" s="648">
        <v>18</v>
      </c>
      <c r="L15945" s="552">
        <f t="shared" si="3188"/>
        <v>1.05507</v>
      </c>
      <c r="M15945" s="549"/>
      <c r="N15945" s="567">
        <f t="shared" si="3189"/>
        <v>0</v>
      </c>
      <c r="O15945" s="549"/>
      <c r="P15945" s="549"/>
    </row>
    <row r="15946" spans="1:17" ht="17.399999999999999">
      <c r="A15946" s="549"/>
      <c r="B15946" s="549"/>
      <c r="C15946" s="549"/>
      <c r="D15946" s="549"/>
      <c r="E15946" s="549"/>
      <c r="F15946" s="549"/>
      <c r="G15946" s="1825" t="s">
        <v>61</v>
      </c>
      <c r="H15946" s="549" t="s">
        <v>130</v>
      </c>
      <c r="I15946" s="558">
        <v>6.17</v>
      </c>
      <c r="J15946" s="567">
        <v>10</v>
      </c>
      <c r="K15946" s="648">
        <v>18</v>
      </c>
      <c r="L15946" s="552">
        <f t="shared" si="3188"/>
        <v>1.1106</v>
      </c>
      <c r="M15946" s="549">
        <f>4-1</f>
        <v>3</v>
      </c>
      <c r="N15946" s="567">
        <f t="shared" si="3189"/>
        <v>0.18509999999999999</v>
      </c>
      <c r="O15946" s="549"/>
      <c r="P15946" s="549"/>
      <c r="Q15946" s="497">
        <v>1</v>
      </c>
    </row>
    <row r="15947" spans="1:17" ht="17.399999999999999">
      <c r="A15947" s="549"/>
      <c r="B15947" s="549"/>
      <c r="C15947" s="549"/>
      <c r="D15947" s="549"/>
      <c r="E15947" s="549"/>
      <c r="F15947" s="549"/>
      <c r="G15947" s="1825" t="s">
        <v>61</v>
      </c>
      <c r="H15947" s="549" t="s">
        <v>130</v>
      </c>
      <c r="I15947" s="558">
        <v>6.17</v>
      </c>
      <c r="J15947" s="567">
        <v>10.199999999999999</v>
      </c>
      <c r="K15947" s="648">
        <v>9</v>
      </c>
      <c r="L15947" s="552">
        <f t="shared" si="3188"/>
        <v>0.56640599999999997</v>
      </c>
      <c r="M15947" s="549">
        <f>4+3</f>
        <v>7</v>
      </c>
      <c r="N15947" s="567">
        <f t="shared" si="3189"/>
        <v>0.44053799999999993</v>
      </c>
      <c r="O15947" s="549"/>
      <c r="P15947" s="549"/>
    </row>
    <row r="15948" spans="1:17" ht="17.399999999999999">
      <c r="A15948" s="549"/>
      <c r="B15948" s="549"/>
      <c r="C15948" s="549"/>
      <c r="D15948" s="549"/>
      <c r="E15948" s="549"/>
      <c r="F15948" s="549"/>
      <c r="G15948" s="1825" t="s">
        <v>61</v>
      </c>
      <c r="H15948" s="549" t="s">
        <v>130</v>
      </c>
      <c r="I15948" s="558">
        <v>6.17</v>
      </c>
      <c r="J15948" s="567">
        <v>11.5</v>
      </c>
      <c r="K15948" s="648">
        <v>32</v>
      </c>
      <c r="L15948" s="552">
        <f t="shared" si="3188"/>
        <v>2.2705600000000001</v>
      </c>
      <c r="M15948" s="549">
        <f>5+3-4</f>
        <v>4</v>
      </c>
      <c r="N15948" s="567">
        <f t="shared" si="3189"/>
        <v>0.28382000000000002</v>
      </c>
      <c r="O15948" s="549"/>
      <c r="P15948" s="549"/>
      <c r="Q15948" s="497">
        <v>4</v>
      </c>
    </row>
    <row r="15949" spans="1:17" ht="17.399999999999999">
      <c r="A15949" s="549"/>
      <c r="B15949" s="549"/>
      <c r="C15949" s="549"/>
      <c r="D15949" s="549"/>
      <c r="E15949" s="549"/>
      <c r="F15949" s="549"/>
      <c r="G15949" s="1825"/>
      <c r="H15949" s="549"/>
      <c r="I15949" s="558"/>
      <c r="J15949" s="567"/>
      <c r="K15949" s="648">
        <f>SUM(K15943:K15948)</f>
        <v>118</v>
      </c>
      <c r="L15949" s="565">
        <f>SUM(L15943:L15948)</f>
        <v>6.9594515000000001</v>
      </c>
      <c r="M15949" s="648">
        <f>SUM(M15943:M15948)</f>
        <v>21</v>
      </c>
      <c r="N15949" s="565">
        <f>SUM(N15943:N15948)</f>
        <v>1.2182664999999999</v>
      </c>
      <c r="O15949" s="549"/>
      <c r="P15949" s="549" t="s">
        <v>1919</v>
      </c>
    </row>
    <row r="15950" spans="1:17" s="1737" customFormat="1" ht="17.399999999999999">
      <c r="A15950" s="549"/>
      <c r="B15950" s="549"/>
      <c r="C15950" s="549"/>
      <c r="D15950" s="549"/>
      <c r="E15950" s="549"/>
      <c r="F15950" s="549"/>
      <c r="G15950" s="1825"/>
      <c r="H15950" s="549"/>
      <c r="I15950" s="558"/>
      <c r="J15950" s="567"/>
      <c r="K15950" s="648">
        <f>SUM(K15937:K15949)/2</f>
        <v>718</v>
      </c>
      <c r="L15950" s="565">
        <f>SUM(L15937:L15949)/2</f>
        <v>44.664321500000007</v>
      </c>
      <c r="M15950" s="648">
        <f>SUM(M15937:M15949)/2</f>
        <v>21</v>
      </c>
      <c r="N15950" s="565">
        <f>SUM(N15937:N15949)/2</f>
        <v>1.2182664999999999</v>
      </c>
      <c r="O15950" s="549"/>
      <c r="P15950" s="549"/>
    </row>
    <row r="15951" spans="1:17" s="1737" customFormat="1" ht="17.399999999999999">
      <c r="A15951" s="549"/>
      <c r="B15951" s="549"/>
      <c r="C15951" s="549"/>
      <c r="D15951" s="549"/>
      <c r="E15951" s="549"/>
      <c r="F15951" s="549"/>
      <c r="G15951" s="1825"/>
      <c r="H15951" s="549"/>
      <c r="I15951" s="558"/>
      <c r="J15951" s="567"/>
      <c r="K15951" s="648"/>
      <c r="L15951" s="565"/>
      <c r="M15951" s="549"/>
      <c r="N15951" s="549"/>
      <c r="O15951" s="549"/>
      <c r="P15951" s="549"/>
    </row>
    <row r="15952" spans="1:17" ht="17.399999999999999">
      <c r="A15952" s="549"/>
      <c r="B15952" s="549"/>
      <c r="C15952" s="549"/>
      <c r="D15952" s="549"/>
      <c r="E15952" s="549"/>
      <c r="F15952" s="549"/>
      <c r="G15952" s="549"/>
      <c r="H15952" s="549"/>
      <c r="I15952" s="558"/>
      <c r="J15952" s="549"/>
      <c r="K15952" s="561"/>
      <c r="L15952" s="561"/>
      <c r="M15952" s="549"/>
      <c r="N15952" s="549"/>
      <c r="O15952" s="549"/>
      <c r="P15952" s="549"/>
    </row>
    <row r="15953" spans="1:16" ht="17.399999999999999">
      <c r="A15953" s="547" t="s">
        <v>83</v>
      </c>
      <c r="B15953" s="852" t="s">
        <v>1748</v>
      </c>
      <c r="C15953" s="547" t="s">
        <v>19</v>
      </c>
      <c r="D15953" s="813" t="s">
        <v>155</v>
      </c>
      <c r="E15953" s="650" t="s">
        <v>1885</v>
      </c>
      <c r="F15953" s="549">
        <v>10</v>
      </c>
      <c r="G15953" s="549" t="s">
        <v>61</v>
      </c>
      <c r="H15953" s="549" t="s">
        <v>131</v>
      </c>
      <c r="I15953" s="558">
        <v>7.36</v>
      </c>
      <c r="J15953" s="567">
        <v>7.55</v>
      </c>
      <c r="K15953" s="648">
        <v>240</v>
      </c>
      <c r="L15953" s="552">
        <f t="shared" ref="L15953:L15954" si="3190">(I15953*J15953*K15953/1000)</f>
        <v>13.336319999999999</v>
      </c>
      <c r="M15953" s="549"/>
      <c r="N15953" s="549"/>
      <c r="O15953" s="549"/>
      <c r="P15953" s="549"/>
    </row>
    <row r="15954" spans="1:16" ht="17.399999999999999">
      <c r="A15954" s="549"/>
      <c r="B15954" s="599" t="s">
        <v>52</v>
      </c>
      <c r="C15954" s="549"/>
      <c r="D15954" s="549"/>
      <c r="E15954" s="549"/>
      <c r="F15954" s="549"/>
      <c r="G15954" s="549" t="s">
        <v>61</v>
      </c>
      <c r="H15954" s="549" t="s">
        <v>131</v>
      </c>
      <c r="I15954" s="558">
        <v>7.36</v>
      </c>
      <c r="J15954" s="567">
        <v>10.15</v>
      </c>
      <c r="K15954" s="648">
        <v>120</v>
      </c>
      <c r="L15954" s="552">
        <f t="shared" si="3190"/>
        <v>8.9644800000000018</v>
      </c>
      <c r="M15954" s="549"/>
      <c r="N15954" s="549"/>
      <c r="O15954" s="549"/>
      <c r="P15954" s="549"/>
    </row>
    <row r="15955" spans="1:16" ht="17.399999999999999">
      <c r="A15955" s="549"/>
      <c r="B15955" s="549"/>
      <c r="C15955" s="549"/>
      <c r="D15955" s="549"/>
      <c r="E15955" s="549"/>
      <c r="F15955" s="549"/>
      <c r="G15955" s="549"/>
      <c r="H15955" s="549"/>
      <c r="I15955" s="558"/>
      <c r="J15955" s="567"/>
      <c r="K15955" s="648">
        <f t="shared" ref="K15955:L15955" si="3191">SUM(K15953:K15954)</f>
        <v>360</v>
      </c>
      <c r="L15955" s="565">
        <f t="shared" si="3191"/>
        <v>22.300800000000002</v>
      </c>
      <c r="M15955" s="549"/>
      <c r="N15955" s="549"/>
      <c r="O15955" s="549"/>
      <c r="P15955" s="549" t="s">
        <v>1920</v>
      </c>
    </row>
    <row r="15956" spans="1:16" ht="17.399999999999999">
      <c r="A15956" s="549"/>
      <c r="B15956" s="549"/>
      <c r="C15956" s="549"/>
      <c r="D15956" s="549"/>
      <c r="E15956" s="549"/>
      <c r="F15956" s="549"/>
      <c r="G15956" s="549"/>
      <c r="H15956" s="549"/>
      <c r="I15956" s="558"/>
      <c r="J15956" s="549"/>
      <c r="K15956" s="561"/>
      <c r="L15956" s="561"/>
      <c r="M15956" s="549"/>
      <c r="N15956" s="549"/>
      <c r="O15956" s="549"/>
      <c r="P15956" s="549"/>
    </row>
    <row r="15957" spans="1:16" ht="17.399999999999999">
      <c r="A15957" s="547" t="s">
        <v>83</v>
      </c>
      <c r="B15957" s="547" t="s">
        <v>1783</v>
      </c>
      <c r="C15957" s="547" t="s">
        <v>19</v>
      </c>
      <c r="D15957" s="813" t="s">
        <v>155</v>
      </c>
      <c r="E15957" s="547" t="s">
        <v>270</v>
      </c>
      <c r="F15957" s="549">
        <v>8</v>
      </c>
      <c r="G15957" s="549" t="s">
        <v>61</v>
      </c>
      <c r="H15957" s="549" t="s">
        <v>131</v>
      </c>
      <c r="I15957" s="558">
        <v>7.36</v>
      </c>
      <c r="J15957" s="567">
        <v>10.5</v>
      </c>
      <c r="K15957" s="648">
        <v>11</v>
      </c>
      <c r="L15957" s="552">
        <f>(I15957*J15957*K15957/1000)</f>
        <v>0.85008000000000006</v>
      </c>
      <c r="M15957" s="549"/>
      <c r="N15957" s="549"/>
      <c r="O15957" s="549"/>
      <c r="P15957" s="549"/>
    </row>
    <row r="15958" spans="1:16" ht="17.399999999999999">
      <c r="A15958" s="549"/>
      <c r="B15958" s="549" t="s">
        <v>1325</v>
      </c>
      <c r="C15958" s="549"/>
      <c r="D15958" s="549"/>
      <c r="E15958" s="549"/>
      <c r="F15958" s="549"/>
      <c r="G15958" s="549"/>
      <c r="H15958" s="549"/>
      <c r="I15958" s="558"/>
      <c r="J15958" s="567"/>
      <c r="K15958" s="648">
        <f>SUM(K15957)</f>
        <v>11</v>
      </c>
      <c r="L15958" s="565">
        <f>SUM(L15957)</f>
        <v>0.85008000000000006</v>
      </c>
      <c r="M15958" s="549"/>
      <c r="N15958" s="549"/>
      <c r="O15958" s="549"/>
      <c r="P15958" s="549" t="s">
        <v>1921</v>
      </c>
    </row>
    <row r="15959" spans="1:16" ht="17.399999999999999">
      <c r="A15959" s="549"/>
      <c r="B15959" s="549"/>
      <c r="C15959" s="549"/>
      <c r="D15959" s="549"/>
      <c r="E15959" s="549"/>
      <c r="F15959" s="549"/>
      <c r="G15959" s="549"/>
      <c r="H15959" s="549"/>
      <c r="I15959" s="558"/>
      <c r="J15959" s="549"/>
      <c r="K15959" s="561"/>
      <c r="L15959" s="561"/>
      <c r="M15959" s="549"/>
      <c r="N15959" s="549"/>
      <c r="O15959" s="549"/>
      <c r="P15959" s="549"/>
    </row>
    <row r="15960" spans="1:16" ht="17.399999999999999">
      <c r="A15960" s="547" t="s">
        <v>83</v>
      </c>
      <c r="B15960" s="547" t="s">
        <v>1886</v>
      </c>
      <c r="C15960" s="547" t="s">
        <v>19</v>
      </c>
      <c r="D15960" s="813" t="s">
        <v>155</v>
      </c>
      <c r="E15960" s="547" t="s">
        <v>270</v>
      </c>
      <c r="F15960" s="549">
        <v>8</v>
      </c>
      <c r="G15960" s="549" t="s">
        <v>61</v>
      </c>
      <c r="H15960" s="549" t="s">
        <v>131</v>
      </c>
      <c r="I15960" s="558">
        <v>7.36</v>
      </c>
      <c r="J15960" s="567">
        <v>11.5</v>
      </c>
      <c r="K15960" s="648">
        <v>8</v>
      </c>
      <c r="L15960" s="552">
        <f>(I15960*J15960*K15960/1000)</f>
        <v>0.67712000000000006</v>
      </c>
      <c r="M15960" s="549">
        <v>8</v>
      </c>
      <c r="N15960" s="567">
        <f t="shared" ref="N15960" si="3192">J15960*M15960*I15960/1000</f>
        <v>0.67712000000000006</v>
      </c>
      <c r="O15960" s="549"/>
      <c r="P15960" s="549"/>
    </row>
    <row r="15961" spans="1:16" ht="17.399999999999999">
      <c r="A15961" s="549"/>
      <c r="B15961" s="549" t="s">
        <v>1820</v>
      </c>
      <c r="C15961" s="549"/>
      <c r="D15961" s="549"/>
      <c r="E15961" s="549"/>
      <c r="F15961" s="549"/>
      <c r="G15961" s="549"/>
      <c r="H15961" s="549"/>
      <c r="I15961" s="558"/>
      <c r="J15961" s="567"/>
      <c r="K15961" s="648">
        <f t="shared" ref="K15961:N15961" si="3193">SUM(K15960)</f>
        <v>8</v>
      </c>
      <c r="L15961" s="565">
        <f t="shared" si="3193"/>
        <v>0.67712000000000006</v>
      </c>
      <c r="M15961" s="648">
        <f t="shared" si="3193"/>
        <v>8</v>
      </c>
      <c r="N15961" s="565">
        <f t="shared" si="3193"/>
        <v>0.67712000000000006</v>
      </c>
      <c r="O15961" s="549"/>
      <c r="P15961" s="549"/>
    </row>
    <row r="15962" spans="1:16" ht="17.399999999999999">
      <c r="A15962" s="549"/>
      <c r="B15962" s="549"/>
      <c r="C15962" s="549"/>
      <c r="D15962" s="549"/>
      <c r="E15962" s="549"/>
      <c r="F15962" s="549"/>
      <c r="G15962" s="549"/>
      <c r="H15962" s="549"/>
      <c r="I15962" s="558"/>
      <c r="J15962" s="549"/>
      <c r="K15962" s="561"/>
      <c r="L15962" s="561"/>
      <c r="M15962" s="549"/>
      <c r="N15962" s="549"/>
      <c r="O15962" s="549"/>
      <c r="P15962" s="549"/>
    </row>
    <row r="15963" spans="1:16" ht="17.399999999999999">
      <c r="A15963" s="547" t="s">
        <v>272</v>
      </c>
      <c r="B15963" s="547" t="s">
        <v>1759</v>
      </c>
      <c r="C15963" s="547" t="s">
        <v>19</v>
      </c>
      <c r="D15963" s="813" t="s">
        <v>155</v>
      </c>
      <c r="E15963" s="780" t="s">
        <v>1104</v>
      </c>
      <c r="F15963" s="549">
        <v>8</v>
      </c>
      <c r="G15963" s="549" t="s">
        <v>61</v>
      </c>
      <c r="H15963" s="549" t="s">
        <v>131</v>
      </c>
      <c r="I15963" s="558">
        <v>7.36</v>
      </c>
      <c r="J15963" s="567">
        <v>7</v>
      </c>
      <c r="K15963" s="648">
        <v>2</v>
      </c>
      <c r="L15963" s="552">
        <f>(I15963*J15963*K15963/1000)</f>
        <v>0.10304000000000001</v>
      </c>
      <c r="M15963" s="549">
        <v>2</v>
      </c>
      <c r="N15963" s="567">
        <f t="shared" ref="N15963:N15964" si="3194">J15963*M15963*I15963/1000</f>
        <v>0.10304000000000001</v>
      </c>
      <c r="O15963" s="549"/>
      <c r="P15963" s="549"/>
    </row>
    <row r="15964" spans="1:16" ht="17.399999999999999">
      <c r="A15964" s="549"/>
      <c r="B15964" s="549" t="s">
        <v>1027</v>
      </c>
      <c r="C15964" s="549"/>
      <c r="D15964" s="549"/>
      <c r="E15964" s="549"/>
      <c r="F15964" s="549"/>
      <c r="G15964" s="549" t="s">
        <v>61</v>
      </c>
      <c r="H15964" s="549" t="s">
        <v>131</v>
      </c>
      <c r="I15964" s="558">
        <v>7.36</v>
      </c>
      <c r="J15964" s="567">
        <v>12</v>
      </c>
      <c r="K15964" s="648">
        <v>1</v>
      </c>
      <c r="L15964" s="552">
        <f>(I15964*J15964*K15964/1000)</f>
        <v>8.832000000000001E-2</v>
      </c>
      <c r="M15964" s="549">
        <v>1</v>
      </c>
      <c r="N15964" s="567">
        <f t="shared" si="3194"/>
        <v>8.832000000000001E-2</v>
      </c>
      <c r="O15964" s="549"/>
      <c r="P15964" s="549"/>
    </row>
    <row r="15965" spans="1:16" ht="17.399999999999999">
      <c r="A15965" s="549"/>
      <c r="B15965" s="549"/>
      <c r="C15965" s="549"/>
      <c r="D15965" s="549"/>
      <c r="E15965" s="549"/>
      <c r="F15965" s="549"/>
      <c r="G15965" s="549"/>
      <c r="H15965" s="549"/>
      <c r="I15965" s="558"/>
      <c r="J15965" s="567"/>
      <c r="K15965" s="648">
        <f>SUM(K15963:K15964)</f>
        <v>3</v>
      </c>
      <c r="L15965" s="565">
        <f>SUM(L15963:L15964)</f>
        <v>0.19136000000000003</v>
      </c>
      <c r="M15965" s="648">
        <f>SUM(M15963:M15964)</f>
        <v>3</v>
      </c>
      <c r="N15965" s="565">
        <f>SUM(N15963:N15964)</f>
        <v>0.19136000000000003</v>
      </c>
      <c r="O15965" s="549"/>
      <c r="P15965" s="549"/>
    </row>
    <row r="15966" spans="1:16" ht="17.399999999999999">
      <c r="A15966" s="549"/>
      <c r="B15966" s="549"/>
      <c r="C15966" s="549"/>
      <c r="D15966" s="549"/>
      <c r="E15966" s="549"/>
      <c r="F15966" s="549"/>
      <c r="G15966" s="549"/>
      <c r="H15966" s="549"/>
      <c r="I15966" s="558"/>
      <c r="J15966" s="549"/>
      <c r="K15966" s="561"/>
      <c r="L15966" s="561"/>
      <c r="M15966" s="549"/>
      <c r="N15966" s="549"/>
      <c r="O15966" s="549"/>
      <c r="P15966" s="549"/>
    </row>
    <row r="15967" spans="1:16" ht="17.399999999999999">
      <c r="A15967" s="547" t="s">
        <v>272</v>
      </c>
      <c r="B15967" s="547" t="s">
        <v>1725</v>
      </c>
      <c r="C15967" s="547" t="s">
        <v>19</v>
      </c>
      <c r="D15967" s="813" t="s">
        <v>155</v>
      </c>
      <c r="E15967" s="547" t="s">
        <v>270</v>
      </c>
      <c r="F15967" s="549">
        <v>8</v>
      </c>
      <c r="G15967" s="549" t="s">
        <v>61</v>
      </c>
      <c r="H15967" s="549" t="s">
        <v>131</v>
      </c>
      <c r="I15967" s="558">
        <v>7.36</v>
      </c>
      <c r="J15967" s="567">
        <v>12</v>
      </c>
      <c r="K15967" s="648">
        <v>47</v>
      </c>
      <c r="L15967" s="552">
        <f>(I15967*J15967*K15967/1000)</f>
        <v>4.1510400000000001</v>
      </c>
      <c r="M15967" s="549"/>
      <c r="N15967" s="549"/>
      <c r="O15967" s="549"/>
      <c r="P15967" s="549"/>
    </row>
    <row r="15968" spans="1:16" ht="17.399999999999999">
      <c r="A15968" s="549"/>
      <c r="B15968" s="549" t="s">
        <v>1780</v>
      </c>
      <c r="C15968" s="549"/>
      <c r="D15968" s="549"/>
      <c r="E15968" s="549"/>
      <c r="F15968" s="549"/>
      <c r="G15968" s="549"/>
      <c r="H15968" s="549"/>
      <c r="I15968" s="558"/>
      <c r="J15968" s="567"/>
      <c r="K15968" s="648">
        <f t="shared" ref="K15968" si="3195">SUM(K15967)</f>
        <v>47</v>
      </c>
      <c r="L15968" s="565">
        <f>SUM(L15967)</f>
        <v>4.1510400000000001</v>
      </c>
      <c r="M15968" s="549"/>
      <c r="N15968" s="549"/>
      <c r="O15968" s="549"/>
      <c r="P15968" s="549" t="s">
        <v>1921</v>
      </c>
    </row>
    <row r="15969" spans="1:16" ht="17.399999999999999">
      <c r="A15969" s="549"/>
      <c r="B15969" s="549"/>
      <c r="C15969" s="549"/>
      <c r="D15969" s="549"/>
      <c r="E15969" s="549"/>
      <c r="F15969" s="549"/>
      <c r="G15969" s="549"/>
      <c r="H15969" s="549"/>
      <c r="I15969" s="558"/>
      <c r="J15969" s="549"/>
      <c r="K15969" s="727">
        <f>SUM(K15953:K15968)/2</f>
        <v>429</v>
      </c>
      <c r="L15969" s="565">
        <f>SUM(L15953:L15968)/2</f>
        <v>28.170400000000008</v>
      </c>
      <c r="M15969" s="564">
        <f>SUM(M15953:M15968)/2</f>
        <v>11</v>
      </c>
      <c r="N15969" s="565">
        <f>SUM(N15953:N15968)/2</f>
        <v>0.86848000000000003</v>
      </c>
      <c r="O15969" s="549"/>
      <c r="P15969" s="549"/>
    </row>
    <row r="15970" spans="1:16" s="1737" customFormat="1" ht="17.399999999999999">
      <c r="A15970" s="549"/>
      <c r="B15970" s="549"/>
      <c r="C15970" s="549"/>
      <c r="D15970" s="549"/>
      <c r="E15970" s="549"/>
      <c r="F15970" s="549"/>
      <c r="G15970" s="549"/>
      <c r="H15970" s="549"/>
      <c r="I15970" s="558"/>
      <c r="J15970" s="549"/>
      <c r="K15970" s="564"/>
      <c r="L15970" s="565"/>
      <c r="M15970" s="564"/>
      <c r="N15970" s="565"/>
      <c r="O15970" s="549"/>
      <c r="P15970" s="549"/>
    </row>
    <row r="15971" spans="1:16" s="1737" customFormat="1" ht="17.399999999999999">
      <c r="A15971" s="549"/>
      <c r="B15971" s="549"/>
      <c r="C15971" s="549"/>
      <c r="D15971" s="549"/>
      <c r="E15971" s="549"/>
      <c r="F15971" s="549"/>
      <c r="G15971" s="549"/>
      <c r="H15971" s="549"/>
      <c r="I15971" s="558"/>
      <c r="J15971" s="549"/>
      <c r="K15971" s="564"/>
      <c r="L15971" s="565"/>
      <c r="M15971" s="564"/>
      <c r="N15971" s="565"/>
      <c r="O15971" s="549"/>
      <c r="P15971" s="549"/>
    </row>
    <row r="15972" spans="1:16" ht="17.399999999999999">
      <c r="A15972" s="547" t="s">
        <v>83</v>
      </c>
      <c r="B15972" s="547" t="s">
        <v>1783</v>
      </c>
      <c r="C15972" s="547" t="s">
        <v>19</v>
      </c>
      <c r="D15972" s="813" t="s">
        <v>854</v>
      </c>
      <c r="E15972" s="547" t="s">
        <v>359</v>
      </c>
      <c r="F15972" s="549">
        <v>10</v>
      </c>
      <c r="G15972" s="549" t="s">
        <v>21</v>
      </c>
      <c r="H15972" s="549" t="s">
        <v>131</v>
      </c>
      <c r="I15972" s="558">
        <v>7.3</v>
      </c>
      <c r="J15972" s="567">
        <v>10</v>
      </c>
      <c r="K15972" s="648">
        <v>5</v>
      </c>
      <c r="L15972" s="552">
        <f>(I15972*J15972*K15972/1000)</f>
        <v>0.36499999999999999</v>
      </c>
      <c r="M15972" s="549"/>
      <c r="N15972" s="549"/>
      <c r="O15972" s="549"/>
      <c r="P15972" s="549"/>
    </row>
    <row r="15973" spans="1:16" ht="17.399999999999999">
      <c r="A15973" s="549"/>
      <c r="B15973" s="549" t="s">
        <v>1325</v>
      </c>
      <c r="C15973" s="549"/>
      <c r="D15973" s="549"/>
      <c r="E15973" s="549"/>
      <c r="F15973" s="549"/>
      <c r="G15973" s="549"/>
      <c r="H15973" s="549"/>
      <c r="I15973" s="558"/>
      <c r="J15973" s="567"/>
      <c r="K15973" s="648">
        <f>SUM(K15972)</f>
        <v>5</v>
      </c>
      <c r="L15973" s="565">
        <f>SUM(L15972)</f>
        <v>0.36499999999999999</v>
      </c>
      <c r="M15973" s="549"/>
      <c r="N15973" s="549"/>
      <c r="O15973" s="549"/>
      <c r="P15973" s="549" t="s">
        <v>1922</v>
      </c>
    </row>
    <row r="15974" spans="1:16" ht="17.399999999999999">
      <c r="A15974" s="549"/>
      <c r="B15974" s="549"/>
      <c r="C15974" s="549"/>
      <c r="D15974" s="549"/>
      <c r="E15974" s="549"/>
      <c r="F15974" s="549"/>
      <c r="G15974" s="549"/>
      <c r="H15974" s="549"/>
      <c r="I15974" s="558"/>
      <c r="J15974" s="549"/>
      <c r="K15974" s="561"/>
      <c r="L15974" s="561"/>
      <c r="M15974" s="549"/>
      <c r="N15974" s="549"/>
      <c r="O15974" s="549"/>
      <c r="P15974" s="549"/>
    </row>
    <row r="15975" spans="1:16" ht="17.399999999999999">
      <c r="A15975" s="547" t="s">
        <v>272</v>
      </c>
      <c r="B15975" s="547" t="s">
        <v>1887</v>
      </c>
      <c r="C15975" s="547" t="s">
        <v>19</v>
      </c>
      <c r="D15975" s="813" t="s">
        <v>854</v>
      </c>
      <c r="E15975" s="547" t="s">
        <v>359</v>
      </c>
      <c r="F15975" s="549">
        <v>10</v>
      </c>
      <c r="G15975" s="549" t="s">
        <v>21</v>
      </c>
      <c r="H15975" s="549" t="s">
        <v>131</v>
      </c>
      <c r="I15975" s="558">
        <v>7.36</v>
      </c>
      <c r="J15975" s="567">
        <v>10</v>
      </c>
      <c r="K15975" s="648">
        <v>2</v>
      </c>
      <c r="L15975" s="552">
        <f>(I15975*J15975*K15975/1000)</f>
        <v>0.14720000000000003</v>
      </c>
      <c r="M15975" s="549"/>
      <c r="N15975" s="549"/>
      <c r="O15975" s="549"/>
      <c r="P15975" s="549"/>
    </row>
    <row r="15976" spans="1:16" ht="17.399999999999999">
      <c r="A15976" s="549"/>
      <c r="B15976" s="549" t="s">
        <v>1027</v>
      </c>
      <c r="C15976" s="549"/>
      <c r="D15976" s="549"/>
      <c r="E15976" s="549"/>
      <c r="F15976" s="549"/>
      <c r="G15976" s="549"/>
      <c r="H15976" s="549"/>
      <c r="I15976" s="558"/>
      <c r="J15976" s="567"/>
      <c r="K15976" s="648">
        <f t="shared" ref="K15976:L15976" si="3196">SUM(K15975)</f>
        <v>2</v>
      </c>
      <c r="L15976" s="565">
        <f t="shared" si="3196"/>
        <v>0.14720000000000003</v>
      </c>
      <c r="M15976" s="549"/>
      <c r="N15976" s="549"/>
      <c r="O15976" s="549"/>
      <c r="P15976" s="549" t="s">
        <v>1922</v>
      </c>
    </row>
    <row r="15977" spans="1:16" ht="17.399999999999999">
      <c r="A15977" s="549"/>
      <c r="B15977" s="549"/>
      <c r="C15977" s="549"/>
      <c r="D15977" s="549"/>
      <c r="E15977" s="549"/>
      <c r="F15977" s="549"/>
      <c r="G15977" s="549"/>
      <c r="H15977" s="549"/>
      <c r="I15977" s="558"/>
      <c r="J15977" s="549"/>
      <c r="K15977" s="561"/>
      <c r="L15977" s="561"/>
      <c r="M15977" s="549"/>
      <c r="N15977" s="549"/>
      <c r="O15977" s="549"/>
      <c r="P15977" s="549"/>
    </row>
    <row r="15978" spans="1:16" ht="17.399999999999999">
      <c r="A15978" s="547" t="s">
        <v>272</v>
      </c>
      <c r="B15978" s="547" t="s">
        <v>1778</v>
      </c>
      <c r="C15978" s="547" t="s">
        <v>19</v>
      </c>
      <c r="D15978" s="813" t="s">
        <v>854</v>
      </c>
      <c r="E15978" s="547" t="s">
        <v>359</v>
      </c>
      <c r="F15978" s="549">
        <v>10</v>
      </c>
      <c r="G15978" s="549" t="s">
        <v>21</v>
      </c>
      <c r="H15978" s="549" t="s">
        <v>131</v>
      </c>
      <c r="I15978" s="558">
        <v>7.36</v>
      </c>
      <c r="J15978" s="567">
        <v>6</v>
      </c>
      <c r="K15978" s="648">
        <v>1</v>
      </c>
      <c r="L15978" s="552">
        <f>(I15978*J15978*K15978/1000)</f>
        <v>4.4160000000000005E-2</v>
      </c>
      <c r="M15978" s="549">
        <v>1</v>
      </c>
      <c r="N15978" s="567">
        <f>J15978*M15978*I15978/1000</f>
        <v>4.4160000000000005E-2</v>
      </c>
      <c r="O15978" s="549"/>
      <c r="P15978" s="549"/>
    </row>
    <row r="15979" spans="1:16" ht="17.399999999999999">
      <c r="A15979" s="549"/>
      <c r="B15979" s="549" t="s">
        <v>1711</v>
      </c>
      <c r="C15979" s="549"/>
      <c r="D15979" s="549"/>
      <c r="E15979" s="549"/>
      <c r="F15979" s="549"/>
      <c r="G15979" s="549"/>
      <c r="H15979" s="549"/>
      <c r="I15979" s="558"/>
      <c r="J15979" s="567"/>
      <c r="K15979" s="648">
        <f t="shared" ref="K15979:N15979" si="3197">SUM(K15978)</f>
        <v>1</v>
      </c>
      <c r="L15979" s="565">
        <f t="shared" si="3197"/>
        <v>4.4160000000000005E-2</v>
      </c>
      <c r="M15979" s="648">
        <f t="shared" si="3197"/>
        <v>1</v>
      </c>
      <c r="N15979" s="565">
        <f t="shared" si="3197"/>
        <v>4.4160000000000005E-2</v>
      </c>
      <c r="O15979" s="549"/>
      <c r="P15979" s="549"/>
    </row>
    <row r="15980" spans="1:16" ht="17.399999999999999">
      <c r="A15980" s="549"/>
      <c r="B15980" s="549"/>
      <c r="C15980" s="549"/>
      <c r="D15980" s="549"/>
      <c r="E15980" s="549"/>
      <c r="F15980" s="549"/>
      <c r="G15980" s="549"/>
      <c r="H15980" s="549"/>
      <c r="I15980" s="558"/>
      <c r="J15980" s="549"/>
      <c r="K15980" s="561"/>
      <c r="L15980" s="561"/>
      <c r="M15980" s="549"/>
      <c r="N15980" s="549"/>
      <c r="O15980" s="549"/>
      <c r="P15980" s="549"/>
    </row>
    <row r="15981" spans="1:16" ht="17.399999999999999">
      <c r="A15981" s="547" t="s">
        <v>272</v>
      </c>
      <c r="B15981" s="547" t="s">
        <v>1725</v>
      </c>
      <c r="C15981" s="547" t="s">
        <v>19</v>
      </c>
      <c r="D15981" s="813" t="s">
        <v>854</v>
      </c>
      <c r="E15981" s="547" t="s">
        <v>359</v>
      </c>
      <c r="F15981" s="549">
        <v>10</v>
      </c>
      <c r="G15981" s="549" t="s">
        <v>21</v>
      </c>
      <c r="H15981" s="549" t="s">
        <v>131</v>
      </c>
      <c r="I15981" s="558">
        <v>7.36</v>
      </c>
      <c r="J15981" s="567">
        <v>10.5</v>
      </c>
      <c r="K15981" s="648">
        <v>9</v>
      </c>
      <c r="L15981" s="552">
        <f t="shared" ref="L15981:L15982" si="3198">(I15981*J15981*K15981/1000)</f>
        <v>0.69552000000000003</v>
      </c>
      <c r="M15981" s="549"/>
      <c r="N15981" s="549"/>
      <c r="O15981" s="549"/>
      <c r="P15981" s="549"/>
    </row>
    <row r="15982" spans="1:16" ht="17.399999999999999">
      <c r="A15982" s="549"/>
      <c r="B15982" s="549" t="s">
        <v>1780</v>
      </c>
      <c r="C15982" s="549"/>
      <c r="D15982" s="549"/>
      <c r="E15982" s="549"/>
      <c r="F15982" s="549"/>
      <c r="G15982" s="549" t="s">
        <v>21</v>
      </c>
      <c r="H15982" s="549" t="s">
        <v>131</v>
      </c>
      <c r="I15982" s="558">
        <v>7.36</v>
      </c>
      <c r="J15982" s="567">
        <v>12</v>
      </c>
      <c r="K15982" s="648">
        <v>24</v>
      </c>
      <c r="L15982" s="552">
        <f t="shared" si="3198"/>
        <v>2.1196800000000002</v>
      </c>
      <c r="M15982" s="549"/>
      <c r="N15982" s="549"/>
      <c r="O15982" s="549"/>
      <c r="P15982" s="549"/>
    </row>
    <row r="15983" spans="1:16" ht="17.399999999999999">
      <c r="A15983" s="549"/>
      <c r="B15983" s="549"/>
      <c r="C15983" s="549"/>
      <c r="D15983" s="549"/>
      <c r="E15983" s="549"/>
      <c r="F15983" s="549"/>
      <c r="G15983" s="549"/>
      <c r="H15983" s="549"/>
      <c r="I15983" s="558"/>
      <c r="J15983" s="567"/>
      <c r="K15983" s="648">
        <f t="shared" ref="K15983:L15983" si="3199">SUM(K15981:K15982)</f>
        <v>33</v>
      </c>
      <c r="L15983" s="565">
        <f t="shared" si="3199"/>
        <v>2.8152000000000004</v>
      </c>
      <c r="M15983" s="549"/>
      <c r="N15983" s="549"/>
      <c r="O15983" s="549"/>
      <c r="P15983" s="549" t="s">
        <v>1922</v>
      </c>
    </row>
    <row r="15984" spans="1:16" s="1737" customFormat="1" ht="17.399999999999999">
      <c r="A15984" s="549"/>
      <c r="B15984" s="549"/>
      <c r="C15984" s="549"/>
      <c r="D15984" s="549"/>
      <c r="E15984" s="549"/>
      <c r="F15984" s="549"/>
      <c r="G15984" s="549"/>
      <c r="H15984" s="549"/>
      <c r="I15984" s="558"/>
      <c r="J15984" s="567"/>
      <c r="K15984" s="648"/>
      <c r="L15984" s="565"/>
      <c r="M15984" s="549"/>
      <c r="N15984" s="549"/>
      <c r="O15984" s="549"/>
      <c r="P15984" s="549"/>
    </row>
    <row r="15985" spans="1:16" ht="17.399999999999999">
      <c r="A15985" s="547" t="s">
        <v>272</v>
      </c>
      <c r="B15985" s="547" t="s">
        <v>1745</v>
      </c>
      <c r="C15985" s="547" t="s">
        <v>19</v>
      </c>
      <c r="D15985" s="813" t="s">
        <v>854</v>
      </c>
      <c r="E15985" s="547" t="s">
        <v>359</v>
      </c>
      <c r="F15985" s="549">
        <v>10</v>
      </c>
      <c r="G15985" s="549" t="s">
        <v>21</v>
      </c>
      <c r="H15985" s="549" t="s">
        <v>131</v>
      </c>
      <c r="I15985" s="558">
        <v>7.36</v>
      </c>
      <c r="J15985" s="567">
        <v>7</v>
      </c>
      <c r="K15985" s="648">
        <v>6</v>
      </c>
      <c r="L15985" s="552">
        <f t="shared" ref="L15985:L15988" si="3200">(I15985*J15985*K15985/1000)</f>
        <v>0.30912000000000001</v>
      </c>
      <c r="M15985" s="549"/>
      <c r="N15985" s="549"/>
      <c r="O15985" s="549"/>
      <c r="P15985" s="549"/>
    </row>
    <row r="15986" spans="1:16" ht="17.399999999999999">
      <c r="A15986" s="549"/>
      <c r="B15986" s="549" t="s">
        <v>1027</v>
      </c>
      <c r="C15986" s="549"/>
      <c r="D15986" s="549"/>
      <c r="E15986" s="549"/>
      <c r="F15986" s="549"/>
      <c r="G15986" s="549" t="s">
        <v>21</v>
      </c>
      <c r="H15986" s="549" t="s">
        <v>131</v>
      </c>
      <c r="I15986" s="558">
        <v>7.36</v>
      </c>
      <c r="J15986" s="567">
        <v>10</v>
      </c>
      <c r="K15986" s="648">
        <v>4</v>
      </c>
      <c r="L15986" s="552">
        <f t="shared" si="3200"/>
        <v>0.29440000000000005</v>
      </c>
      <c r="M15986" s="549"/>
      <c r="N15986" s="549"/>
      <c r="O15986" s="549"/>
      <c r="P15986" s="549"/>
    </row>
    <row r="15987" spans="1:16" ht="17.399999999999999">
      <c r="A15987" s="549"/>
      <c r="B15987" s="549"/>
      <c r="C15987" s="549"/>
      <c r="D15987" s="549"/>
      <c r="E15987" s="549"/>
      <c r="F15987" s="549"/>
      <c r="G15987" s="549" t="s">
        <v>21</v>
      </c>
      <c r="H15987" s="549" t="s">
        <v>131</v>
      </c>
      <c r="I15987" s="558">
        <v>7.36</v>
      </c>
      <c r="J15987" s="567">
        <v>10.5</v>
      </c>
      <c r="K15987" s="648">
        <v>1</v>
      </c>
      <c r="L15987" s="552">
        <f t="shared" si="3200"/>
        <v>7.7280000000000001E-2</v>
      </c>
      <c r="M15987" s="549"/>
      <c r="N15987" s="549"/>
      <c r="O15987" s="549"/>
      <c r="P15987" s="549"/>
    </row>
    <row r="15988" spans="1:16" ht="17.399999999999999">
      <c r="A15988" s="549"/>
      <c r="B15988" s="549"/>
      <c r="C15988" s="549"/>
      <c r="D15988" s="549"/>
      <c r="E15988" s="549"/>
      <c r="F15988" s="549"/>
      <c r="G15988" s="549" t="s">
        <v>21</v>
      </c>
      <c r="H15988" s="549" t="s">
        <v>131</v>
      </c>
      <c r="I15988" s="558">
        <v>7.36</v>
      </c>
      <c r="J15988" s="567">
        <v>11</v>
      </c>
      <c r="K15988" s="648">
        <v>10</v>
      </c>
      <c r="L15988" s="552">
        <f t="shared" si="3200"/>
        <v>0.8096000000000001</v>
      </c>
      <c r="M15988" s="549"/>
      <c r="N15988" s="549"/>
      <c r="O15988" s="549"/>
      <c r="P15988" s="549"/>
    </row>
    <row r="15989" spans="1:16" ht="17.399999999999999">
      <c r="A15989" s="549"/>
      <c r="B15989" s="549"/>
      <c r="C15989" s="549"/>
      <c r="D15989" s="549"/>
      <c r="E15989" s="549"/>
      <c r="F15989" s="549"/>
      <c r="G15989" s="549"/>
      <c r="H15989" s="549"/>
      <c r="I15989" s="558"/>
      <c r="J15989" s="567"/>
      <c r="K15989" s="648">
        <f t="shared" ref="K15989" si="3201">SUM(K15985:K15988)</f>
        <v>21</v>
      </c>
      <c r="L15989" s="565">
        <f>SUM(L15985:L15988)</f>
        <v>1.4904000000000002</v>
      </c>
      <c r="M15989" s="549"/>
      <c r="N15989" s="549"/>
      <c r="O15989" s="549"/>
      <c r="P15989" s="549" t="s">
        <v>1922</v>
      </c>
    </row>
    <row r="15990" spans="1:16" ht="17.399999999999999">
      <c r="A15990" s="549"/>
      <c r="B15990" s="549"/>
      <c r="C15990" s="549"/>
      <c r="D15990" s="549"/>
      <c r="E15990" s="549"/>
      <c r="F15990" s="549"/>
      <c r="G15990" s="549"/>
      <c r="H15990" s="549"/>
      <c r="I15990" s="558"/>
      <c r="J15990" s="549"/>
      <c r="K15990" s="561"/>
      <c r="L15990" s="561"/>
      <c r="M15990" s="549"/>
      <c r="N15990" s="549"/>
      <c r="O15990" s="549"/>
      <c r="P15990" s="549"/>
    </row>
    <row r="15991" spans="1:16" ht="17.399999999999999">
      <c r="A15991" s="547" t="s">
        <v>272</v>
      </c>
      <c r="B15991" s="547" t="s">
        <v>1847</v>
      </c>
      <c r="C15991" s="547" t="s">
        <v>19</v>
      </c>
      <c r="D15991" s="813" t="s">
        <v>854</v>
      </c>
      <c r="E15991" s="547" t="s">
        <v>359</v>
      </c>
      <c r="F15991" s="549">
        <v>10</v>
      </c>
      <c r="G15991" s="549" t="s">
        <v>21</v>
      </c>
      <c r="H15991" s="549" t="s">
        <v>131</v>
      </c>
      <c r="I15991" s="558">
        <v>7.36</v>
      </c>
      <c r="J15991" s="567">
        <v>6</v>
      </c>
      <c r="K15991" s="648">
        <v>1</v>
      </c>
      <c r="L15991" s="552">
        <f>(I15991*J15991*K15991/1000)</f>
        <v>4.4160000000000005E-2</v>
      </c>
      <c r="M15991" s="549">
        <v>1</v>
      </c>
      <c r="N15991" s="567">
        <f>J15991*M15991*I15991/1000</f>
        <v>4.4160000000000005E-2</v>
      </c>
      <c r="O15991" s="549"/>
      <c r="P15991" s="549"/>
    </row>
    <row r="15992" spans="1:16" ht="17.399999999999999">
      <c r="A15992" s="549"/>
      <c r="B15992" s="549" t="s">
        <v>1027</v>
      </c>
      <c r="C15992" s="549"/>
      <c r="D15992" s="549"/>
      <c r="E15992" s="549"/>
      <c r="F15992" s="549"/>
      <c r="G15992" s="549"/>
      <c r="H15992" s="549"/>
      <c r="I15992" s="558"/>
      <c r="J15992" s="567"/>
      <c r="K15992" s="648">
        <f t="shared" ref="K15992:N15992" si="3202">SUM(K15991)</f>
        <v>1</v>
      </c>
      <c r="L15992" s="565">
        <f t="shared" si="3202"/>
        <v>4.4160000000000005E-2</v>
      </c>
      <c r="M15992" s="648">
        <f t="shared" si="3202"/>
        <v>1</v>
      </c>
      <c r="N15992" s="565">
        <f t="shared" si="3202"/>
        <v>4.4160000000000005E-2</v>
      </c>
      <c r="O15992" s="549"/>
      <c r="P15992" s="549"/>
    </row>
    <row r="15993" spans="1:16" s="1737" customFormat="1" ht="17.399999999999999">
      <c r="A15993" s="549"/>
      <c r="B15993" s="549"/>
      <c r="C15993" s="549"/>
      <c r="D15993" s="549"/>
      <c r="E15993" s="549"/>
      <c r="F15993" s="549"/>
      <c r="G15993" s="549"/>
      <c r="H15993" s="549"/>
      <c r="I15993" s="558"/>
      <c r="J15993" s="567"/>
      <c r="K15993" s="648"/>
      <c r="L15993" s="565"/>
      <c r="M15993" s="549"/>
      <c r="N15993" s="549"/>
      <c r="O15993" s="549"/>
      <c r="P15993" s="549"/>
    </row>
    <row r="15994" spans="1:16" ht="17.399999999999999">
      <c r="A15994" s="547" t="s">
        <v>83</v>
      </c>
      <c r="B15994" s="547" t="s">
        <v>1817</v>
      </c>
      <c r="C15994" s="547" t="s">
        <v>19</v>
      </c>
      <c r="D15994" s="813" t="s">
        <v>854</v>
      </c>
      <c r="E15994" s="650" t="s">
        <v>878</v>
      </c>
      <c r="F15994" s="549">
        <v>10</v>
      </c>
      <c r="G15994" s="549" t="s">
        <v>21</v>
      </c>
      <c r="H15994" s="549" t="s">
        <v>131</v>
      </c>
      <c r="I15994" s="558">
        <v>7.34</v>
      </c>
      <c r="J15994" s="567">
        <v>6.9</v>
      </c>
      <c r="K15994" s="648">
        <v>4</v>
      </c>
      <c r="L15994" s="552">
        <f t="shared" ref="L15994:L15998" si="3203">(I15994*J15994*K15994/1000)</f>
        <v>0.20258400000000001</v>
      </c>
      <c r="M15994" s="549">
        <v>4</v>
      </c>
      <c r="N15994" s="567">
        <f>J15994*M15994*I15994/1000</f>
        <v>0.20258400000000001</v>
      </c>
      <c r="O15994" s="549"/>
      <c r="P15994" s="549"/>
    </row>
    <row r="15995" spans="1:16" ht="17.399999999999999">
      <c r="A15995" s="549"/>
      <c r="B15995" s="549" t="s">
        <v>1135</v>
      </c>
      <c r="C15995" s="549"/>
      <c r="D15995" s="549"/>
      <c r="E15995" s="549"/>
      <c r="F15995" s="549"/>
      <c r="G15995" s="549" t="s">
        <v>21</v>
      </c>
      <c r="H15995" s="549" t="s">
        <v>131</v>
      </c>
      <c r="I15995" s="558">
        <v>7.34</v>
      </c>
      <c r="J15995" s="567">
        <v>7.1</v>
      </c>
      <c r="K15995" s="648">
        <v>1</v>
      </c>
      <c r="L15995" s="552">
        <f t="shared" si="3203"/>
        <v>5.2114000000000001E-2</v>
      </c>
      <c r="M15995" s="549"/>
      <c r="N15995" s="549"/>
      <c r="O15995" s="549"/>
      <c r="P15995" s="549"/>
    </row>
    <row r="15996" spans="1:16" ht="17.399999999999999">
      <c r="A15996" s="549"/>
      <c r="B15996" s="549"/>
      <c r="C15996" s="549"/>
      <c r="D15996" s="549"/>
      <c r="E15996" s="549"/>
      <c r="F15996" s="549"/>
      <c r="G15996" s="549" t="s">
        <v>21</v>
      </c>
      <c r="H15996" s="549" t="s">
        <v>131</v>
      </c>
      <c r="I15996" s="558">
        <v>7.34</v>
      </c>
      <c r="J15996" s="567">
        <v>10.1</v>
      </c>
      <c r="K15996" s="648">
        <v>10</v>
      </c>
      <c r="L15996" s="552">
        <f t="shared" si="3203"/>
        <v>0.74134</v>
      </c>
      <c r="M15996" s="549"/>
      <c r="N15996" s="549"/>
      <c r="O15996" s="549"/>
      <c r="P15996" s="549"/>
    </row>
    <row r="15997" spans="1:16" ht="17.399999999999999">
      <c r="A15997" s="549"/>
      <c r="B15997" s="549"/>
      <c r="C15997" s="549"/>
      <c r="D15997" s="549"/>
      <c r="E15997" s="549"/>
      <c r="F15997" s="549"/>
      <c r="G15997" s="549" t="s">
        <v>21</v>
      </c>
      <c r="H15997" s="549" t="s">
        <v>131</v>
      </c>
      <c r="I15997" s="558">
        <v>7.34</v>
      </c>
      <c r="J15997" s="567">
        <v>10.5</v>
      </c>
      <c r="K15997" s="648">
        <v>2</v>
      </c>
      <c r="L15997" s="552">
        <f t="shared" si="3203"/>
        <v>0.15414</v>
      </c>
      <c r="M15997" s="549"/>
      <c r="N15997" s="549"/>
      <c r="O15997" s="549"/>
      <c r="P15997" s="549"/>
    </row>
    <row r="15998" spans="1:16" ht="17.399999999999999">
      <c r="A15998" s="549"/>
      <c r="B15998" s="549"/>
      <c r="C15998" s="549"/>
      <c r="D15998" s="549"/>
      <c r="E15998" s="549"/>
      <c r="F15998" s="549"/>
      <c r="G15998" s="549" t="s">
        <v>21</v>
      </c>
      <c r="H15998" s="549" t="s">
        <v>131</v>
      </c>
      <c r="I15998" s="558">
        <v>7.34</v>
      </c>
      <c r="J15998" s="567">
        <v>11.7</v>
      </c>
      <c r="K15998" s="648">
        <v>4</v>
      </c>
      <c r="L15998" s="552">
        <f t="shared" si="3203"/>
        <v>0.34351199999999998</v>
      </c>
      <c r="M15998" s="549"/>
      <c r="N15998" s="549"/>
      <c r="O15998" s="549"/>
      <c r="P15998" s="549"/>
    </row>
    <row r="15999" spans="1:16" ht="17.399999999999999">
      <c r="A15999" s="549"/>
      <c r="B15999" s="549"/>
      <c r="C15999" s="549"/>
      <c r="D15999" s="549"/>
      <c r="E15999" s="549"/>
      <c r="F15999" s="549"/>
      <c r="G15999" s="549"/>
      <c r="H15999" s="549"/>
      <c r="I15999" s="558"/>
      <c r="J15999" s="567"/>
      <c r="K15999" s="648">
        <f>SUM(K15994:K15998)</f>
        <v>21</v>
      </c>
      <c r="L15999" s="565">
        <f>SUM(L15994:L15998)</f>
        <v>1.49369</v>
      </c>
      <c r="M15999" s="648">
        <f>SUM(M15994:M15998)</f>
        <v>4</v>
      </c>
      <c r="N15999" s="565">
        <f>SUM(N15994:N15998)</f>
        <v>0.20258400000000001</v>
      </c>
      <c r="O15999" s="549"/>
      <c r="P15999" s="549" t="s">
        <v>1923</v>
      </c>
    </row>
    <row r="16000" spans="1:16" s="1737" customFormat="1" ht="17.399999999999999">
      <c r="A16000" s="549"/>
      <c r="B16000" s="549"/>
      <c r="C16000" s="549"/>
      <c r="D16000" s="549"/>
      <c r="E16000" s="549"/>
      <c r="F16000" s="549"/>
      <c r="G16000" s="549"/>
      <c r="H16000" s="549"/>
      <c r="I16000" s="558"/>
      <c r="J16000" s="567"/>
      <c r="K16000" s="648"/>
      <c r="L16000" s="565"/>
      <c r="M16000" s="549"/>
      <c r="N16000" s="549"/>
      <c r="O16000" s="549"/>
      <c r="P16000" s="549"/>
    </row>
    <row r="16001" spans="1:16" ht="17.399999999999999">
      <c r="A16001" s="547" t="s">
        <v>83</v>
      </c>
      <c r="B16001" s="547" t="s">
        <v>1746</v>
      </c>
      <c r="C16001" s="547" t="s">
        <v>19</v>
      </c>
      <c r="D16001" s="813" t="s">
        <v>854</v>
      </c>
      <c r="E16001" s="650" t="s">
        <v>878</v>
      </c>
      <c r="F16001" s="549">
        <v>10</v>
      </c>
      <c r="G16001" s="549" t="s">
        <v>21</v>
      </c>
      <c r="H16001" s="549" t="s">
        <v>131</v>
      </c>
      <c r="I16001" s="558">
        <v>7.34</v>
      </c>
      <c r="J16001" s="567">
        <v>8</v>
      </c>
      <c r="K16001" s="648">
        <v>16</v>
      </c>
      <c r="L16001" s="552">
        <f>(I16001*J16001*K16001/1000)</f>
        <v>0.93952000000000002</v>
      </c>
      <c r="M16001" s="549"/>
      <c r="N16001" s="549"/>
      <c r="O16001" s="549"/>
      <c r="P16001" s="549"/>
    </row>
    <row r="16002" spans="1:16" ht="17.399999999999999">
      <c r="A16002" s="549"/>
      <c r="B16002" s="549" t="s">
        <v>1135</v>
      </c>
      <c r="C16002" s="549"/>
      <c r="D16002" s="549"/>
      <c r="E16002" s="549"/>
      <c r="F16002" s="549"/>
      <c r="G16002" s="549" t="s">
        <v>21</v>
      </c>
      <c r="H16002" s="549" t="s">
        <v>131</v>
      </c>
      <c r="I16002" s="558">
        <v>7.34</v>
      </c>
      <c r="J16002" s="567">
        <v>11</v>
      </c>
      <c r="K16002" s="648">
        <v>24</v>
      </c>
      <c r="L16002" s="552">
        <f>(I16002*J16002*K16002/1000)</f>
        <v>1.9377599999999997</v>
      </c>
      <c r="M16002" s="549"/>
      <c r="N16002" s="549"/>
      <c r="O16002" s="549"/>
      <c r="P16002" s="549"/>
    </row>
    <row r="16003" spans="1:16" ht="17.399999999999999">
      <c r="A16003" s="549"/>
      <c r="B16003" s="549"/>
      <c r="C16003" s="549"/>
      <c r="D16003" s="549"/>
      <c r="E16003" s="549"/>
      <c r="F16003" s="549"/>
      <c r="G16003" s="549" t="s">
        <v>21</v>
      </c>
      <c r="H16003" s="549" t="s">
        <v>131</v>
      </c>
      <c r="I16003" s="558">
        <v>7.34</v>
      </c>
      <c r="J16003" s="567">
        <v>11.3</v>
      </c>
      <c r="K16003" s="648">
        <v>49</v>
      </c>
      <c r="L16003" s="552">
        <f>(I16003*J16003*K16003/1000)</f>
        <v>4.0641579999999999</v>
      </c>
      <c r="M16003" s="549"/>
      <c r="N16003" s="549"/>
      <c r="O16003" s="549"/>
      <c r="P16003" s="549"/>
    </row>
    <row r="16004" spans="1:16" ht="17.399999999999999">
      <c r="A16004" s="549"/>
      <c r="B16004" s="549"/>
      <c r="C16004" s="549"/>
      <c r="D16004" s="549"/>
      <c r="E16004" s="549"/>
      <c r="F16004" s="549"/>
      <c r="G16004" s="549" t="s">
        <v>21</v>
      </c>
      <c r="H16004" s="549" t="s">
        <v>131</v>
      </c>
      <c r="I16004" s="558">
        <v>7.34</v>
      </c>
      <c r="J16004" s="567">
        <v>11.8</v>
      </c>
      <c r="K16004" s="648">
        <v>32</v>
      </c>
      <c r="L16004" s="552">
        <f>(I16004*J16004*K16004/1000)</f>
        <v>2.7715840000000003</v>
      </c>
      <c r="M16004" s="549"/>
      <c r="N16004" s="549"/>
      <c r="O16004" s="549"/>
      <c r="P16004" s="549"/>
    </row>
    <row r="16005" spans="1:16" ht="17.399999999999999">
      <c r="A16005" s="549"/>
      <c r="B16005" s="549"/>
      <c r="C16005" s="549"/>
      <c r="D16005" s="549"/>
      <c r="E16005" s="549"/>
      <c r="F16005" s="549"/>
      <c r="G16005" s="549"/>
      <c r="H16005" s="549"/>
      <c r="I16005" s="558"/>
      <c r="J16005" s="567"/>
      <c r="K16005" s="648">
        <f>SUM(K16001:K16004)</f>
        <v>121</v>
      </c>
      <c r="L16005" s="565">
        <f>SUM(L16001:L16004)</f>
        <v>9.7130220000000005</v>
      </c>
      <c r="M16005" s="549"/>
      <c r="N16005" s="549"/>
      <c r="O16005" s="549"/>
      <c r="P16005" s="549" t="s">
        <v>1923</v>
      </c>
    </row>
    <row r="16006" spans="1:16" ht="17.399999999999999">
      <c r="A16006" s="549"/>
      <c r="B16006" s="549"/>
      <c r="C16006" s="549"/>
      <c r="D16006" s="549"/>
      <c r="E16006" s="549"/>
      <c r="F16006" s="549"/>
      <c r="G16006" s="549"/>
      <c r="H16006" s="549"/>
      <c r="I16006" s="558"/>
      <c r="J16006" s="549"/>
      <c r="K16006" s="561"/>
      <c r="L16006" s="561"/>
      <c r="M16006" s="549"/>
      <c r="N16006" s="549"/>
      <c r="O16006" s="549"/>
      <c r="P16006" s="549"/>
    </row>
    <row r="16007" spans="1:16" ht="17.399999999999999">
      <c r="A16007" s="547" t="s">
        <v>83</v>
      </c>
      <c r="B16007" s="547" t="s">
        <v>1748</v>
      </c>
      <c r="C16007" s="547" t="s">
        <v>19</v>
      </c>
      <c r="D16007" s="813" t="s">
        <v>854</v>
      </c>
      <c r="E16007" s="650" t="s">
        <v>1884</v>
      </c>
      <c r="F16007" s="549">
        <v>10</v>
      </c>
      <c r="G16007" s="549" t="s">
        <v>21</v>
      </c>
      <c r="H16007" s="549" t="s">
        <v>131</v>
      </c>
      <c r="I16007" s="558">
        <v>7.36</v>
      </c>
      <c r="J16007" s="567">
        <v>7.4</v>
      </c>
      <c r="K16007" s="648">
        <v>120</v>
      </c>
      <c r="L16007" s="552">
        <f>(I16007*J16007*K16007/1000)</f>
        <v>6.5356800000000002</v>
      </c>
      <c r="M16007" s="549">
        <f>15+4+3+2+7+4+11</f>
        <v>46</v>
      </c>
      <c r="N16007" s="549">
        <f t="shared" ref="N16007:N16008" si="3204">J16007*M16007*I16007/1000</f>
        <v>2.5053440000000005</v>
      </c>
      <c r="O16007" s="549"/>
      <c r="P16007" s="549"/>
    </row>
    <row r="16008" spans="1:16" ht="17.399999999999999">
      <c r="A16008" s="549"/>
      <c r="B16008" s="549" t="s">
        <v>52</v>
      </c>
      <c r="C16008" s="549"/>
      <c r="D16008" s="549"/>
      <c r="E16008" s="549"/>
      <c r="F16008" s="549"/>
      <c r="G16008" s="549" t="s">
        <v>21</v>
      </c>
      <c r="H16008" s="549" t="s">
        <v>131</v>
      </c>
      <c r="I16008" s="558">
        <v>7.36</v>
      </c>
      <c r="J16008" s="567">
        <v>9.5500000000000007</v>
      </c>
      <c r="K16008" s="648">
        <v>240</v>
      </c>
      <c r="L16008" s="552">
        <f>(I16008*J16008*K16008/1000)</f>
        <v>16.869120000000002</v>
      </c>
      <c r="M16008" s="549">
        <f>6+1</f>
        <v>7</v>
      </c>
      <c r="N16008" s="549">
        <f t="shared" si="3204"/>
        <v>0.49201600000000006</v>
      </c>
      <c r="O16008" s="549"/>
      <c r="P16008" s="549"/>
    </row>
    <row r="16009" spans="1:16" ht="17.399999999999999">
      <c r="A16009" s="549"/>
      <c r="B16009" s="549"/>
      <c r="C16009" s="549"/>
      <c r="D16009" s="549"/>
      <c r="E16009" s="549"/>
      <c r="F16009" s="549"/>
      <c r="G16009" s="549"/>
      <c r="H16009" s="549"/>
      <c r="I16009" s="558"/>
      <c r="J16009" s="567"/>
      <c r="K16009" s="648">
        <f t="shared" ref="K16009:N16009" si="3205">SUM(K16007:K16008)</f>
        <v>360</v>
      </c>
      <c r="L16009" s="565">
        <f t="shared" si="3205"/>
        <v>23.404800000000002</v>
      </c>
      <c r="M16009" s="648">
        <f t="shared" si="3205"/>
        <v>53</v>
      </c>
      <c r="N16009" s="565">
        <f t="shared" si="3205"/>
        <v>2.9973600000000005</v>
      </c>
      <c r="O16009" s="549"/>
      <c r="P16009" s="549" t="s">
        <v>1924</v>
      </c>
    </row>
    <row r="16010" spans="1:16" s="1737" customFormat="1" ht="17.399999999999999">
      <c r="A16010" s="549"/>
      <c r="B16010" s="549"/>
      <c r="C16010" s="549"/>
      <c r="D16010" s="549"/>
      <c r="E16010" s="549"/>
      <c r="F16010" s="549"/>
      <c r="G16010" s="549"/>
      <c r="H16010" s="549"/>
      <c r="I16010" s="558"/>
      <c r="J16010" s="567"/>
      <c r="K16010" s="648">
        <f>SUM(K15972:K16009)/2</f>
        <v>565</v>
      </c>
      <c r="L16010" s="565">
        <f>SUM(L15972:L16009)/2</f>
        <v>39.517632000000006</v>
      </c>
      <c r="M16010" s="648">
        <f>SUM(M15972:M16009)/2</f>
        <v>59</v>
      </c>
      <c r="N16010" s="565">
        <f>SUM(N15972:N16009)/2</f>
        <v>3.2882640000000007</v>
      </c>
      <c r="O16010" s="549"/>
      <c r="P16010" s="549"/>
    </row>
    <row r="16011" spans="1:16" s="1737" customFormat="1" ht="17.399999999999999">
      <c r="A16011" s="549"/>
      <c r="B16011" s="549"/>
      <c r="C16011" s="549"/>
      <c r="D16011" s="549"/>
      <c r="E16011" s="549"/>
      <c r="F16011" s="549"/>
      <c r="G16011" s="549"/>
      <c r="H16011" s="549"/>
      <c r="I16011" s="558"/>
      <c r="J16011" s="567"/>
      <c r="K16011" s="648"/>
      <c r="L16011" s="565"/>
      <c r="M16011" s="648"/>
      <c r="N16011" s="565"/>
      <c r="O16011" s="549"/>
      <c r="P16011" s="549"/>
    </row>
    <row r="16012" spans="1:16" s="1737" customFormat="1" ht="17.399999999999999">
      <c r="A16012" s="549"/>
      <c r="B16012" s="549"/>
      <c r="C16012" s="549"/>
      <c r="D16012" s="549"/>
      <c r="E16012" s="549"/>
      <c r="F16012" s="549"/>
      <c r="G16012" s="549"/>
      <c r="H16012" s="549"/>
      <c r="I16012" s="558"/>
      <c r="J16012" s="549"/>
      <c r="K16012" s="564"/>
      <c r="L16012" s="565"/>
      <c r="M16012" s="564"/>
      <c r="N16012" s="565"/>
      <c r="O16012" s="549"/>
      <c r="P16012" s="549"/>
    </row>
    <row r="16013" spans="1:16" ht="17.399999999999999">
      <c r="A16013" s="547" t="s">
        <v>83</v>
      </c>
      <c r="B16013" s="547" t="s">
        <v>1775</v>
      </c>
      <c r="C16013" s="547" t="s">
        <v>19</v>
      </c>
      <c r="D16013" s="813" t="s">
        <v>854</v>
      </c>
      <c r="E16013" s="650" t="s">
        <v>464</v>
      </c>
      <c r="F16013" s="549">
        <v>10</v>
      </c>
      <c r="G16013" s="549" t="s">
        <v>21</v>
      </c>
      <c r="H16013" s="549" t="s">
        <v>131</v>
      </c>
      <c r="I16013" s="558">
        <v>7.34</v>
      </c>
      <c r="J16013" s="567">
        <v>11</v>
      </c>
      <c r="K16013" s="648">
        <v>32</v>
      </c>
      <c r="L16013" s="552">
        <f>(I16013*J16013*K16013/1000)</f>
        <v>2.5836799999999998</v>
      </c>
      <c r="M16013" s="549"/>
      <c r="N16013" s="549"/>
      <c r="O16013" s="549"/>
      <c r="P16013" s="549"/>
    </row>
    <row r="16014" spans="1:16" ht="17.399999999999999">
      <c r="A16014" s="547"/>
      <c r="B16014" s="549" t="s">
        <v>439</v>
      </c>
      <c r="C16014" s="547"/>
      <c r="D16014" s="813"/>
      <c r="E16014" s="547"/>
      <c r="F16014" s="550"/>
      <c r="G16014" s="549" t="s">
        <v>21</v>
      </c>
      <c r="H16014" s="549" t="s">
        <v>131</v>
      </c>
      <c r="I16014" s="558">
        <v>7.34</v>
      </c>
      <c r="J16014" s="567">
        <v>12</v>
      </c>
      <c r="K16014" s="648">
        <v>3</v>
      </c>
      <c r="L16014" s="552">
        <f>(I16014*J16014*K16014/1000)</f>
        <v>0.26424000000000003</v>
      </c>
      <c r="M16014" s="549"/>
      <c r="N16014" s="549"/>
      <c r="O16014" s="549"/>
      <c r="P16014" s="549"/>
    </row>
    <row r="16015" spans="1:16" ht="17.399999999999999">
      <c r="A16015" s="549"/>
      <c r="B16015" s="549"/>
      <c r="C16015" s="549"/>
      <c r="D16015" s="549"/>
      <c r="E16015" s="549"/>
      <c r="F16015" s="549"/>
      <c r="G16015" s="549"/>
      <c r="H16015" s="549"/>
      <c r="I16015" s="558"/>
      <c r="J16015" s="567"/>
      <c r="K16015" s="648">
        <f t="shared" ref="K16015:L16015" si="3206">SUM(K16013:K16014)</f>
        <v>35</v>
      </c>
      <c r="L16015" s="565">
        <f t="shared" si="3206"/>
        <v>2.8479199999999998</v>
      </c>
      <c r="M16015" s="549"/>
      <c r="N16015" s="549"/>
      <c r="O16015" s="549"/>
      <c r="P16015" s="549" t="s">
        <v>1925</v>
      </c>
    </row>
    <row r="16016" spans="1:16" ht="17.399999999999999">
      <c r="A16016" s="549"/>
      <c r="B16016" s="549"/>
      <c r="C16016" s="549"/>
      <c r="D16016" s="549"/>
      <c r="E16016" s="549"/>
      <c r="F16016" s="549"/>
      <c r="G16016" s="549"/>
      <c r="H16016" s="549"/>
      <c r="I16016" s="558"/>
      <c r="J16016" s="549"/>
      <c r="K16016" s="561"/>
      <c r="L16016" s="561"/>
      <c r="M16016" s="549"/>
      <c r="N16016" s="549"/>
      <c r="O16016" s="549"/>
      <c r="P16016" s="549"/>
    </row>
    <row r="16017" spans="1:16" ht="17.399999999999999">
      <c r="A16017" s="547" t="s">
        <v>1400</v>
      </c>
      <c r="B16017" s="547" t="s">
        <v>1777</v>
      </c>
      <c r="C16017" s="547" t="s">
        <v>19</v>
      </c>
      <c r="D16017" s="813" t="s">
        <v>854</v>
      </c>
      <c r="E16017" s="650" t="s">
        <v>464</v>
      </c>
      <c r="F16017" s="549">
        <v>10</v>
      </c>
      <c r="G16017" s="549" t="s">
        <v>21</v>
      </c>
      <c r="H16017" s="549" t="s">
        <v>131</v>
      </c>
      <c r="I16017" s="558">
        <v>7.34</v>
      </c>
      <c r="J16017" s="567">
        <v>9.5</v>
      </c>
      <c r="K16017" s="648">
        <v>27</v>
      </c>
      <c r="L16017" s="552">
        <f>(I16017*J16017*K16017/1000)</f>
        <v>1.8827100000000001</v>
      </c>
      <c r="M16017" s="549"/>
      <c r="N16017" s="549"/>
      <c r="O16017" s="549"/>
      <c r="P16017" s="549"/>
    </row>
    <row r="16018" spans="1:16" ht="17.399999999999999">
      <c r="A16018" s="547"/>
      <c r="B16018" s="549" t="s">
        <v>439</v>
      </c>
      <c r="C16018" s="547"/>
      <c r="D16018" s="813"/>
      <c r="E16018" s="547"/>
      <c r="F16018" s="550"/>
      <c r="G16018" s="549" t="s">
        <v>21</v>
      </c>
      <c r="H16018" s="549" t="s">
        <v>131</v>
      </c>
      <c r="I16018" s="558">
        <v>7.34</v>
      </c>
      <c r="J16018" s="567">
        <v>11</v>
      </c>
      <c r="K16018" s="648">
        <v>24</v>
      </c>
      <c r="L16018" s="552">
        <f>(I16018*J16018*K16018/1000)</f>
        <v>1.9377599999999997</v>
      </c>
      <c r="M16018" s="549"/>
      <c r="N16018" s="549"/>
      <c r="O16018" s="549"/>
      <c r="P16018" s="549"/>
    </row>
    <row r="16019" spans="1:16" ht="17.399999999999999">
      <c r="A16019" s="549"/>
      <c r="B16019" s="549"/>
      <c r="C16019" s="549"/>
      <c r="D16019" s="549"/>
      <c r="E16019" s="549"/>
      <c r="F16019" s="549"/>
      <c r="G16019" s="549" t="s">
        <v>21</v>
      </c>
      <c r="H16019" s="549" t="s">
        <v>131</v>
      </c>
      <c r="I16019" s="558">
        <v>7.34</v>
      </c>
      <c r="J16019" s="567">
        <v>12</v>
      </c>
      <c r="K16019" s="648">
        <v>26</v>
      </c>
      <c r="L16019" s="552">
        <f>(I16019*J16019*K16019/1000)</f>
        <v>2.2900800000000001</v>
      </c>
      <c r="M16019" s="549"/>
      <c r="N16019" s="549"/>
      <c r="O16019" s="549"/>
      <c r="P16019" s="549"/>
    </row>
    <row r="16020" spans="1:16" ht="17.399999999999999">
      <c r="A16020" s="549"/>
      <c r="B16020" s="549"/>
      <c r="C16020" s="549"/>
      <c r="D16020" s="549"/>
      <c r="E16020" s="549"/>
      <c r="F16020" s="549"/>
      <c r="G16020" s="549"/>
      <c r="H16020" s="549"/>
      <c r="I16020" s="558"/>
      <c r="J16020" s="567"/>
      <c r="K16020" s="648">
        <f t="shared" ref="K16020:L16020" si="3207">SUM(K16017:K16019)</f>
        <v>77</v>
      </c>
      <c r="L16020" s="565">
        <f t="shared" si="3207"/>
        <v>6.1105499999999999</v>
      </c>
      <c r="M16020" s="549"/>
      <c r="N16020" s="549"/>
      <c r="O16020" s="549"/>
      <c r="P16020" s="549" t="s">
        <v>1925</v>
      </c>
    </row>
    <row r="16021" spans="1:16" ht="17.399999999999999">
      <c r="A16021" s="549"/>
      <c r="B16021" s="549"/>
      <c r="C16021" s="549"/>
      <c r="D16021" s="549"/>
      <c r="E16021" s="549"/>
      <c r="F16021" s="549"/>
      <c r="G16021" s="549"/>
      <c r="H16021" s="549"/>
      <c r="I16021" s="558"/>
      <c r="J16021" s="549"/>
      <c r="K16021" s="561"/>
      <c r="L16021" s="561"/>
      <c r="M16021" s="549"/>
      <c r="N16021" s="549"/>
      <c r="O16021" s="549"/>
      <c r="P16021" s="549"/>
    </row>
    <row r="16022" spans="1:16" ht="17.399999999999999">
      <c r="A16022" s="547" t="s">
        <v>83</v>
      </c>
      <c r="B16022" s="547" t="s">
        <v>1816</v>
      </c>
      <c r="C16022" s="547" t="s">
        <v>19</v>
      </c>
      <c r="D16022" s="813" t="s">
        <v>854</v>
      </c>
      <c r="E16022" s="650" t="s">
        <v>990</v>
      </c>
      <c r="F16022" s="549">
        <v>10</v>
      </c>
      <c r="G16022" s="549" t="s">
        <v>21</v>
      </c>
      <c r="H16022" s="549" t="s">
        <v>131</v>
      </c>
      <c r="I16022" s="558">
        <v>7.34</v>
      </c>
      <c r="J16022" s="567">
        <v>12</v>
      </c>
      <c r="K16022" s="648">
        <v>25</v>
      </c>
      <c r="L16022" s="552">
        <f>(I16022*J16022*K16022/1000)</f>
        <v>2.202</v>
      </c>
      <c r="M16022" s="549"/>
      <c r="N16022" s="549"/>
      <c r="O16022" s="549"/>
      <c r="P16022" s="549"/>
    </row>
    <row r="16023" spans="1:16" ht="17.399999999999999">
      <c r="A16023" s="547"/>
      <c r="B16023" s="549" t="s">
        <v>1815</v>
      </c>
      <c r="C16023" s="547"/>
      <c r="D16023" s="813"/>
      <c r="E16023" s="547"/>
      <c r="F16023" s="550"/>
      <c r="G16023" s="549"/>
      <c r="H16023" s="549"/>
      <c r="I16023" s="558"/>
      <c r="J16023" s="567"/>
      <c r="K16023" s="648">
        <f t="shared" ref="K16023:L16023" si="3208">SUM(K16022)</f>
        <v>25</v>
      </c>
      <c r="L16023" s="565">
        <f t="shared" si="3208"/>
        <v>2.202</v>
      </c>
      <c r="M16023" s="549"/>
      <c r="N16023" s="549"/>
      <c r="O16023" s="549"/>
      <c r="P16023" s="549" t="s">
        <v>1926</v>
      </c>
    </row>
    <row r="16024" spans="1:16" ht="17.399999999999999">
      <c r="A16024" s="549"/>
      <c r="B16024" s="549"/>
      <c r="C16024" s="549"/>
      <c r="D16024" s="549"/>
      <c r="E16024" s="549"/>
      <c r="F16024" s="549"/>
      <c r="G16024" s="549"/>
      <c r="H16024" s="549"/>
      <c r="I16024" s="558"/>
      <c r="J16024" s="549"/>
      <c r="K16024" s="561"/>
      <c r="L16024" s="561"/>
      <c r="M16024" s="549"/>
      <c r="N16024" s="549"/>
      <c r="O16024" s="549"/>
      <c r="P16024" s="549"/>
    </row>
    <row r="16025" spans="1:16" ht="17.399999999999999">
      <c r="A16025" s="547" t="s">
        <v>272</v>
      </c>
      <c r="B16025" s="547" t="s">
        <v>1850</v>
      </c>
      <c r="C16025" s="547" t="s">
        <v>19</v>
      </c>
      <c r="D16025" s="813" t="s">
        <v>854</v>
      </c>
      <c r="E16025" s="780" t="s">
        <v>1028</v>
      </c>
      <c r="F16025" s="549">
        <v>10</v>
      </c>
      <c r="G16025" s="549" t="s">
        <v>21</v>
      </c>
      <c r="H16025" s="549" t="s">
        <v>131</v>
      </c>
      <c r="I16025" s="558">
        <v>7.36</v>
      </c>
      <c r="J16025" s="567">
        <v>6</v>
      </c>
      <c r="K16025" s="648">
        <v>1</v>
      </c>
      <c r="L16025" s="552">
        <f>(I16025*J16025*K16025/1000)</f>
        <v>4.4160000000000005E-2</v>
      </c>
      <c r="M16025" s="549"/>
      <c r="N16025" s="549"/>
      <c r="O16025" s="549"/>
      <c r="P16025" s="549"/>
    </row>
    <row r="16026" spans="1:16" ht="17.399999999999999">
      <c r="A16026" s="549"/>
      <c r="B16026" s="549" t="s">
        <v>1027</v>
      </c>
      <c r="C16026" s="549"/>
      <c r="D16026" s="549"/>
      <c r="E16026" s="549"/>
      <c r="F16026" s="549"/>
      <c r="G16026" s="549"/>
      <c r="H16026" s="549"/>
      <c r="I16026" s="558"/>
      <c r="J16026" s="567"/>
      <c r="K16026" s="648">
        <f t="shared" ref="K16026:L16026" si="3209">SUM(K16025)</f>
        <v>1</v>
      </c>
      <c r="L16026" s="565">
        <f t="shared" si="3209"/>
        <v>4.4160000000000005E-2</v>
      </c>
      <c r="M16026" s="549"/>
      <c r="N16026" s="549"/>
      <c r="O16026" s="549"/>
      <c r="P16026" s="549" t="s">
        <v>1927</v>
      </c>
    </row>
    <row r="16027" spans="1:16" ht="17.399999999999999">
      <c r="A16027" s="549"/>
      <c r="B16027" s="549"/>
      <c r="C16027" s="549"/>
      <c r="D16027" s="549"/>
      <c r="E16027" s="549"/>
      <c r="F16027" s="549"/>
      <c r="G16027" s="549"/>
      <c r="H16027" s="549"/>
      <c r="I16027" s="558"/>
      <c r="J16027" s="549"/>
      <c r="K16027" s="561"/>
      <c r="L16027" s="561"/>
      <c r="M16027" s="549"/>
      <c r="N16027" s="549"/>
      <c r="O16027" s="549"/>
      <c r="P16027" s="549"/>
    </row>
    <row r="16028" spans="1:16" ht="17.399999999999999">
      <c r="A16028" s="547" t="s">
        <v>272</v>
      </c>
      <c r="B16028" s="547" t="s">
        <v>1776</v>
      </c>
      <c r="C16028" s="547" t="s">
        <v>19</v>
      </c>
      <c r="D16028" s="813" t="s">
        <v>854</v>
      </c>
      <c r="E16028" s="780" t="s">
        <v>1028</v>
      </c>
      <c r="F16028" s="549">
        <v>10</v>
      </c>
      <c r="G16028" s="549" t="s">
        <v>21</v>
      </c>
      <c r="H16028" s="549" t="s">
        <v>131</v>
      </c>
      <c r="I16028" s="558">
        <v>7.36</v>
      </c>
      <c r="J16028" s="647">
        <v>6</v>
      </c>
      <c r="K16028" s="648">
        <v>1</v>
      </c>
      <c r="L16028" s="552">
        <f>(I16028*J16028*K16028/1000)</f>
        <v>4.4160000000000005E-2</v>
      </c>
      <c r="M16028" s="549"/>
      <c r="N16028" s="549"/>
      <c r="O16028" s="549"/>
      <c r="P16028" s="549"/>
    </row>
    <row r="16029" spans="1:16" ht="17.399999999999999">
      <c r="A16029" s="549"/>
      <c r="B16029" s="549" t="s">
        <v>1027</v>
      </c>
      <c r="C16029" s="549"/>
      <c r="D16029" s="549"/>
      <c r="E16029" s="549"/>
      <c r="F16029" s="549"/>
      <c r="G16029" s="549"/>
      <c r="H16029" s="549"/>
      <c r="I16029" s="558"/>
      <c r="J16029" s="647"/>
      <c r="K16029" s="648">
        <f t="shared" ref="K16029:L16029" si="3210">SUM(K16028)</f>
        <v>1</v>
      </c>
      <c r="L16029" s="565">
        <f t="shared" si="3210"/>
        <v>4.4160000000000005E-2</v>
      </c>
      <c r="M16029" s="549"/>
      <c r="N16029" s="549"/>
      <c r="O16029" s="549"/>
      <c r="P16029" s="549" t="s">
        <v>1927</v>
      </c>
    </row>
    <row r="16030" spans="1:16" ht="17.399999999999999">
      <c r="A16030" s="549"/>
      <c r="B16030" s="549"/>
      <c r="C16030" s="549"/>
      <c r="D16030" s="549"/>
      <c r="E16030" s="549"/>
      <c r="F16030" s="549"/>
      <c r="G16030" s="549"/>
      <c r="H16030" s="549"/>
      <c r="I16030" s="558"/>
      <c r="J16030" s="549"/>
      <c r="K16030" s="561"/>
      <c r="L16030" s="561"/>
      <c r="M16030" s="549"/>
      <c r="N16030" s="549"/>
      <c r="O16030" s="549"/>
      <c r="P16030" s="549"/>
    </row>
    <row r="16031" spans="1:16" ht="17.399999999999999">
      <c r="A16031" s="547" t="s">
        <v>272</v>
      </c>
      <c r="B16031" s="547" t="s">
        <v>1759</v>
      </c>
      <c r="C16031" s="547" t="s">
        <v>19</v>
      </c>
      <c r="D16031" s="813" t="s">
        <v>854</v>
      </c>
      <c r="E16031" s="780" t="s">
        <v>1028</v>
      </c>
      <c r="F16031" s="549">
        <v>10</v>
      </c>
      <c r="G16031" s="549" t="s">
        <v>21</v>
      </c>
      <c r="H16031" s="549" t="s">
        <v>131</v>
      </c>
      <c r="I16031" s="558">
        <v>7.36</v>
      </c>
      <c r="J16031" s="567">
        <v>12</v>
      </c>
      <c r="K16031" s="648">
        <v>7</v>
      </c>
      <c r="L16031" s="552">
        <f>(I16031*J16031*K16031/1000)</f>
        <v>0.61824000000000001</v>
      </c>
      <c r="M16031" s="549"/>
      <c r="N16031" s="549"/>
      <c r="O16031" s="549"/>
      <c r="P16031" s="549"/>
    </row>
    <row r="16032" spans="1:16" ht="17.399999999999999">
      <c r="A16032" s="549"/>
      <c r="B16032" s="549" t="s">
        <v>1027</v>
      </c>
      <c r="C16032" s="549"/>
      <c r="D16032" s="549"/>
      <c r="E16032" s="549"/>
      <c r="F16032" s="549"/>
      <c r="G16032" s="549"/>
      <c r="H16032" s="549"/>
      <c r="I16032" s="558"/>
      <c r="J16032" s="567"/>
      <c r="K16032" s="648">
        <f t="shared" ref="K16032:L16032" si="3211">SUM(K16031)</f>
        <v>7</v>
      </c>
      <c r="L16032" s="565">
        <f t="shared" si="3211"/>
        <v>0.61824000000000001</v>
      </c>
      <c r="M16032" s="549"/>
      <c r="N16032" s="549"/>
      <c r="O16032" s="549"/>
      <c r="P16032" s="549" t="s">
        <v>1927</v>
      </c>
    </row>
    <row r="16033" spans="1:16" ht="17.399999999999999">
      <c r="A16033" s="549"/>
      <c r="B16033" s="549"/>
      <c r="C16033" s="549"/>
      <c r="D16033" s="549"/>
      <c r="E16033" s="549"/>
      <c r="F16033" s="549"/>
      <c r="G16033" s="549"/>
      <c r="H16033" s="549"/>
      <c r="I16033" s="558"/>
      <c r="J16033" s="549"/>
      <c r="K16033" s="561"/>
      <c r="L16033" s="561"/>
      <c r="M16033" s="549"/>
      <c r="N16033" s="549"/>
      <c r="O16033" s="549"/>
      <c r="P16033" s="549"/>
    </row>
    <row r="16034" spans="1:16" ht="17.399999999999999">
      <c r="A16034" s="547" t="s">
        <v>83</v>
      </c>
      <c r="B16034" s="547" t="s">
        <v>1732</v>
      </c>
      <c r="C16034" s="547" t="s">
        <v>19</v>
      </c>
      <c r="D16034" s="813" t="s">
        <v>854</v>
      </c>
      <c r="E16034" s="650" t="s">
        <v>464</v>
      </c>
      <c r="F16034" s="549">
        <v>10</v>
      </c>
      <c r="G16034" s="549" t="s">
        <v>21</v>
      </c>
      <c r="H16034" s="549" t="s">
        <v>131</v>
      </c>
      <c r="I16034" s="558">
        <v>7.36</v>
      </c>
      <c r="J16034" s="567">
        <v>11</v>
      </c>
      <c r="K16034" s="648">
        <v>7</v>
      </c>
      <c r="L16034" s="552">
        <f t="shared" ref="L16034" si="3212">(I16034*J16034*K16034/1000)</f>
        <v>0.56672</v>
      </c>
      <c r="M16034" s="549">
        <v>7</v>
      </c>
      <c r="N16034" s="567">
        <f>J16034*M16034*I16034/1000</f>
        <v>0.56672</v>
      </c>
      <c r="O16034" s="549"/>
      <c r="P16034" s="549"/>
    </row>
    <row r="16035" spans="1:16" ht="17.399999999999999">
      <c r="A16035" s="547"/>
      <c r="B16035" s="549" t="s">
        <v>1883</v>
      </c>
      <c r="C16035" s="547"/>
      <c r="D16035" s="813"/>
      <c r="E16035" s="547"/>
      <c r="F16035" s="550"/>
      <c r="G16035" s="549"/>
      <c r="H16035" s="549"/>
      <c r="I16035" s="558"/>
      <c r="J16035" s="567"/>
      <c r="K16035" s="648">
        <f>SUM(K16034:K16034)</f>
        <v>7</v>
      </c>
      <c r="L16035" s="565">
        <f>SUM(L16034:L16034)</f>
        <v>0.56672</v>
      </c>
      <c r="M16035" s="648">
        <f>SUM(M16034:M16034)</f>
        <v>7</v>
      </c>
      <c r="N16035" s="567">
        <f>SUM(N16034:N16034)</f>
        <v>0.56672</v>
      </c>
      <c r="O16035" s="549"/>
      <c r="P16035" s="549"/>
    </row>
    <row r="16036" spans="1:16" ht="17.399999999999999">
      <c r="A16036" s="549"/>
      <c r="B16036" s="549"/>
      <c r="C16036" s="549"/>
      <c r="D16036" s="549"/>
      <c r="E16036" s="549"/>
      <c r="F16036" s="549"/>
      <c r="G16036" s="549"/>
      <c r="H16036" s="549"/>
      <c r="I16036" s="558"/>
      <c r="J16036" s="549"/>
      <c r="K16036" s="652">
        <f>SUM(K16013:K16035)/2</f>
        <v>153</v>
      </c>
      <c r="L16036" s="565">
        <f>SUM(L16013:L16035)/2</f>
        <v>12.43375</v>
      </c>
      <c r="M16036" s="652">
        <f>SUM(M16013:M16035)/2</f>
        <v>7</v>
      </c>
      <c r="N16036" s="565">
        <f>SUM(N16013:N16035)/2</f>
        <v>0.56672</v>
      </c>
      <c r="O16036" s="549"/>
      <c r="P16036" s="549"/>
    </row>
    <row r="16037" spans="1:16" s="1737" customFormat="1" ht="17.399999999999999">
      <c r="A16037" s="549"/>
      <c r="B16037" s="549"/>
      <c r="C16037" s="549"/>
      <c r="D16037" s="549"/>
      <c r="E16037" s="549"/>
      <c r="F16037" s="549"/>
      <c r="G16037" s="549"/>
      <c r="H16037" s="549"/>
      <c r="I16037" s="558"/>
      <c r="J16037" s="549"/>
      <c r="K16037" s="561"/>
      <c r="L16037" s="561"/>
      <c r="M16037" s="549"/>
      <c r="N16037" s="549"/>
      <c r="O16037" s="549"/>
      <c r="P16037" s="549"/>
    </row>
    <row r="16038" spans="1:16" ht="17.399999999999999">
      <c r="A16038" s="549"/>
      <c r="B16038" s="549"/>
      <c r="C16038" s="549"/>
      <c r="D16038" s="549"/>
      <c r="E16038" s="549"/>
      <c r="F16038" s="549"/>
      <c r="G16038" s="549"/>
      <c r="H16038" s="549"/>
      <c r="I16038" s="558"/>
      <c r="J16038" s="549"/>
      <c r="K16038" s="561"/>
      <c r="L16038" s="561"/>
      <c r="M16038" s="549"/>
      <c r="N16038" s="549"/>
      <c r="O16038" s="549"/>
      <c r="P16038" s="549"/>
    </row>
    <row r="16039" spans="1:16" s="1737" customFormat="1" ht="17.399999999999999">
      <c r="A16039" s="549"/>
      <c r="B16039" s="549"/>
      <c r="C16039" s="549"/>
      <c r="D16039" s="549"/>
      <c r="E16039" s="549"/>
      <c r="F16039" s="549"/>
      <c r="G16039" s="549"/>
      <c r="H16039" s="549"/>
      <c r="I16039" s="558"/>
      <c r="J16039" s="567"/>
      <c r="K16039" s="648"/>
      <c r="L16039" s="565"/>
      <c r="M16039" s="549"/>
      <c r="N16039" s="549"/>
      <c r="O16039" s="549"/>
      <c r="P16039" s="549"/>
    </row>
    <row r="16040" spans="1:16" s="1737" customFormat="1" ht="17.399999999999999">
      <c r="A16040" s="549"/>
      <c r="B16040" s="549"/>
      <c r="C16040" s="549"/>
      <c r="D16040" s="549"/>
      <c r="E16040" s="549"/>
      <c r="F16040" s="549"/>
      <c r="G16040" s="549"/>
      <c r="H16040" s="549"/>
      <c r="I16040" s="558"/>
      <c r="J16040" s="567"/>
      <c r="K16040" s="648"/>
      <c r="L16040" s="565"/>
      <c r="M16040" s="549"/>
      <c r="N16040" s="549"/>
      <c r="O16040" s="549"/>
      <c r="P16040" s="549"/>
    </row>
    <row r="16041" spans="1:16" ht="17.399999999999999">
      <c r="A16041" s="549"/>
      <c r="B16041" s="549"/>
      <c r="C16041" s="549"/>
      <c r="D16041" s="549"/>
      <c r="E16041" s="549"/>
      <c r="F16041" s="549"/>
      <c r="G16041" s="549"/>
      <c r="H16041" s="549"/>
      <c r="I16041" s="558"/>
      <c r="J16041" s="549"/>
      <c r="K16041" s="561"/>
      <c r="L16041" s="561"/>
      <c r="M16041" s="549"/>
      <c r="N16041" s="549"/>
      <c r="O16041" s="549"/>
      <c r="P16041" s="549"/>
    </row>
    <row r="16042" spans="1:16" ht="17.399999999999999">
      <c r="A16042" s="547" t="s">
        <v>1400</v>
      </c>
      <c r="B16042" s="547" t="s">
        <v>1779</v>
      </c>
      <c r="C16042" s="547" t="s">
        <v>19</v>
      </c>
      <c r="D16042" s="813" t="s">
        <v>854</v>
      </c>
      <c r="E16042" s="547" t="s">
        <v>359</v>
      </c>
      <c r="F16042" s="549">
        <v>10</v>
      </c>
      <c r="G16042" s="1825" t="s">
        <v>444</v>
      </c>
      <c r="H16042" s="549" t="s">
        <v>130</v>
      </c>
      <c r="I16042" s="558">
        <v>6.17</v>
      </c>
      <c r="J16042" s="567">
        <v>8.5</v>
      </c>
      <c r="K16042" s="648">
        <v>12</v>
      </c>
      <c r="L16042" s="552">
        <f t="shared" ref="L16042:L16045" si="3213">(I16042*J16042*K16042/1000)</f>
        <v>0.62934000000000001</v>
      </c>
      <c r="M16042" s="549">
        <f>4+2+1+2</f>
        <v>9</v>
      </c>
      <c r="N16042" s="567">
        <f>J16042*M16042*I16042/1000</f>
        <v>0.47200500000000001</v>
      </c>
      <c r="O16042" s="549"/>
      <c r="P16042" s="549"/>
    </row>
    <row r="16043" spans="1:16" ht="17.399999999999999">
      <c r="A16043" s="549"/>
      <c r="B16043" s="549" t="s">
        <v>277</v>
      </c>
      <c r="C16043" s="549"/>
      <c r="D16043" s="549"/>
      <c r="E16043" s="549"/>
      <c r="F16043" s="549"/>
      <c r="G16043" s="1825" t="s">
        <v>444</v>
      </c>
      <c r="H16043" s="549" t="s">
        <v>130</v>
      </c>
      <c r="I16043" s="558">
        <v>6.17</v>
      </c>
      <c r="J16043" s="567">
        <v>10.5</v>
      </c>
      <c r="K16043" s="648">
        <v>21</v>
      </c>
      <c r="L16043" s="552">
        <f t="shared" si="3213"/>
        <v>1.3604849999999999</v>
      </c>
      <c r="M16043" s="549">
        <f>8+3+2</f>
        <v>13</v>
      </c>
      <c r="N16043" s="567">
        <f>J16043*M16043*I16043/1000</f>
        <v>0.84220500000000009</v>
      </c>
      <c r="O16043" s="549" t="s">
        <v>1889</v>
      </c>
      <c r="P16043" s="549"/>
    </row>
    <row r="16044" spans="1:16" ht="17.399999999999999">
      <c r="A16044" s="549"/>
      <c r="B16044" s="549"/>
      <c r="C16044" s="549"/>
      <c r="D16044" s="549"/>
      <c r="E16044" s="549"/>
      <c r="F16044" s="549"/>
      <c r="G16044" s="1825" t="s">
        <v>444</v>
      </c>
      <c r="H16044" s="549" t="s">
        <v>130</v>
      </c>
      <c r="I16044" s="558">
        <v>6.17</v>
      </c>
      <c r="J16044" s="567">
        <v>11</v>
      </c>
      <c r="K16044" s="648">
        <v>30</v>
      </c>
      <c r="L16044" s="552">
        <f t="shared" si="3213"/>
        <v>2.0361000000000002</v>
      </c>
      <c r="M16044" s="549">
        <v>1</v>
      </c>
      <c r="N16044" s="567">
        <f>J16044*M16044*I16044/1000</f>
        <v>6.787E-2</v>
      </c>
      <c r="O16044" s="549"/>
      <c r="P16044" s="549"/>
    </row>
    <row r="16045" spans="1:16" ht="17.399999999999999">
      <c r="A16045" s="549"/>
      <c r="B16045" s="549"/>
      <c r="C16045" s="549"/>
      <c r="D16045" s="549"/>
      <c r="E16045" s="549"/>
      <c r="F16045" s="549"/>
      <c r="G16045" s="1825" t="s">
        <v>444</v>
      </c>
      <c r="H16045" s="549" t="s">
        <v>130</v>
      </c>
      <c r="I16045" s="558">
        <v>6.17</v>
      </c>
      <c r="J16045" s="567">
        <v>11.5</v>
      </c>
      <c r="K16045" s="648">
        <v>42</v>
      </c>
      <c r="L16045" s="552">
        <f t="shared" si="3213"/>
        <v>2.9801100000000003</v>
      </c>
      <c r="M16045" s="549">
        <f>7+2</f>
        <v>9</v>
      </c>
      <c r="N16045" s="567">
        <f>J16045*M16045*I16045/1000</f>
        <v>0.63859500000000002</v>
      </c>
      <c r="O16045" s="549"/>
      <c r="P16045" s="549"/>
    </row>
    <row r="16046" spans="1:16" ht="17.399999999999999">
      <c r="A16046" s="549"/>
      <c r="B16046" s="549"/>
      <c r="C16046" s="549"/>
      <c r="D16046" s="549"/>
      <c r="E16046" s="549"/>
      <c r="F16046" s="549"/>
      <c r="G16046" s="1825"/>
      <c r="H16046" s="549"/>
      <c r="I16046" s="558"/>
      <c r="J16046" s="567"/>
      <c r="K16046" s="648">
        <f>SUM(K16042:K16045)</f>
        <v>105</v>
      </c>
      <c r="L16046" s="565">
        <f>SUM(L16042:L16045)</f>
        <v>7.0060350000000007</v>
      </c>
      <c r="M16046" s="648">
        <f>SUM(M16042:M16045)</f>
        <v>32</v>
      </c>
      <c r="N16046" s="565">
        <f>SUM(N16042:N16045)</f>
        <v>2.0206750000000002</v>
      </c>
      <c r="O16046" s="549"/>
      <c r="P16046" s="549" t="s">
        <v>1928</v>
      </c>
    </row>
    <row r="16047" spans="1:16" ht="17.399999999999999">
      <c r="A16047" s="549"/>
      <c r="B16047" s="549"/>
      <c r="C16047" s="549"/>
      <c r="D16047" s="549"/>
      <c r="E16047" s="549"/>
      <c r="F16047" s="549"/>
      <c r="G16047" s="549"/>
      <c r="H16047" s="549"/>
      <c r="I16047" s="558"/>
      <c r="J16047" s="549"/>
      <c r="K16047" s="561"/>
      <c r="L16047" s="561"/>
      <c r="M16047" s="549"/>
      <c r="N16047" s="549"/>
      <c r="O16047" s="549"/>
      <c r="P16047" s="549"/>
    </row>
    <row r="16048" spans="1:16" ht="17.399999999999999">
      <c r="A16048" s="549"/>
      <c r="B16048" s="549"/>
      <c r="C16048" s="549"/>
      <c r="D16048" s="549"/>
      <c r="E16048" s="549"/>
      <c r="F16048" s="549"/>
      <c r="G16048" s="549"/>
      <c r="H16048" s="549"/>
      <c r="I16048" s="558"/>
      <c r="J16048" s="549"/>
      <c r="K16048" s="561"/>
      <c r="L16048" s="561"/>
      <c r="M16048" s="549"/>
      <c r="N16048" s="549"/>
      <c r="O16048" s="549"/>
      <c r="P16048" s="549"/>
    </row>
    <row r="16049" spans="1:16" ht="17.399999999999999">
      <c r="A16049" s="549"/>
      <c r="B16049" s="549"/>
      <c r="C16049" s="549"/>
      <c r="D16049" s="549"/>
      <c r="E16049" s="549"/>
      <c r="F16049" s="549"/>
      <c r="G16049" s="549"/>
      <c r="H16049" s="549"/>
      <c r="I16049" s="558"/>
      <c r="J16049" s="549"/>
      <c r="K16049" s="561"/>
      <c r="L16049" s="561"/>
      <c r="M16049" s="549"/>
      <c r="N16049" s="549"/>
      <c r="O16049" s="549"/>
      <c r="P16049" s="549"/>
    </row>
    <row r="16050" spans="1:16" ht="17.399999999999999">
      <c r="A16050" s="547" t="s">
        <v>83</v>
      </c>
      <c r="B16050" s="547" t="s">
        <v>1748</v>
      </c>
      <c r="C16050" s="547" t="s">
        <v>19</v>
      </c>
      <c r="D16050" s="813" t="s">
        <v>854</v>
      </c>
      <c r="E16050" s="650" t="s">
        <v>1884</v>
      </c>
      <c r="F16050" s="549">
        <v>10</v>
      </c>
      <c r="G16050" s="549" t="s">
        <v>21</v>
      </c>
      <c r="H16050" s="549" t="s">
        <v>521</v>
      </c>
      <c r="I16050" s="558">
        <v>8.49</v>
      </c>
      <c r="J16050" s="567">
        <v>8.1999999999999993</v>
      </c>
      <c r="K16050" s="648">
        <v>9</v>
      </c>
      <c r="L16050" s="552">
        <f>(I16050*J16050*K16050/1000)</f>
        <v>0.62656199999999995</v>
      </c>
      <c r="M16050" s="549">
        <v>9</v>
      </c>
      <c r="N16050" s="567">
        <f>J16050*M16050*I16050/1000</f>
        <v>0.62656200000000006</v>
      </c>
      <c r="O16050" s="549"/>
      <c r="P16050" s="549"/>
    </row>
    <row r="16051" spans="1:16" ht="17.399999999999999">
      <c r="A16051" s="549"/>
      <c r="B16051" s="549" t="s">
        <v>52</v>
      </c>
      <c r="C16051" s="549"/>
      <c r="D16051" s="549"/>
      <c r="E16051" s="549"/>
      <c r="F16051" s="549"/>
      <c r="G16051" s="549"/>
      <c r="H16051" s="549"/>
      <c r="I16051" s="558"/>
      <c r="J16051" s="567"/>
      <c r="K16051" s="648">
        <f t="shared" ref="K16051:N16051" si="3214">SUM(K16050)</f>
        <v>9</v>
      </c>
      <c r="L16051" s="565">
        <f t="shared" si="3214"/>
        <v>0.62656199999999995</v>
      </c>
      <c r="M16051" s="648">
        <f t="shared" si="3214"/>
        <v>9</v>
      </c>
      <c r="N16051" s="565">
        <f t="shared" si="3214"/>
        <v>0.62656200000000006</v>
      </c>
      <c r="O16051" s="549"/>
      <c r="P16051" s="549"/>
    </row>
    <row r="16052" spans="1:16" ht="17.399999999999999">
      <c r="A16052" s="549"/>
      <c r="B16052" s="549"/>
      <c r="C16052" s="549"/>
      <c r="D16052" s="549"/>
      <c r="E16052" s="549"/>
      <c r="F16052" s="549"/>
      <c r="G16052" s="549"/>
      <c r="H16052" s="549"/>
      <c r="I16052" s="558"/>
      <c r="J16052" s="549"/>
      <c r="K16052" s="561"/>
      <c r="L16052" s="561"/>
      <c r="M16052" s="549"/>
      <c r="N16052" s="549"/>
      <c r="O16052" s="549"/>
      <c r="P16052" s="549"/>
    </row>
    <row r="16053" spans="1:16" ht="17.399999999999999">
      <c r="A16053" s="549"/>
      <c r="B16053" s="549"/>
      <c r="C16053" s="549"/>
      <c r="D16053" s="549"/>
      <c r="E16053" s="549"/>
      <c r="F16053" s="549"/>
      <c r="G16053" s="549"/>
      <c r="H16053" s="549"/>
      <c r="I16053" s="558"/>
      <c r="J16053" s="549"/>
      <c r="K16053" s="561"/>
      <c r="L16053" s="561"/>
      <c r="M16053" s="549"/>
      <c r="N16053" s="549"/>
      <c r="O16053" s="549"/>
      <c r="P16053" s="549"/>
    </row>
    <row r="16054" spans="1:16" s="1737" customFormat="1" ht="17.399999999999999">
      <c r="A16054" s="549"/>
      <c r="B16054" s="549"/>
      <c r="C16054" s="549"/>
      <c r="D16054" s="549"/>
      <c r="E16054" s="549"/>
      <c r="F16054" s="549"/>
      <c r="G16054" s="549"/>
      <c r="H16054" s="549"/>
      <c r="I16054" s="558"/>
      <c r="J16054" s="567"/>
      <c r="K16054" s="648"/>
      <c r="L16054" s="565"/>
      <c r="M16054" s="549"/>
      <c r="N16054" s="549"/>
      <c r="O16054" s="549"/>
      <c r="P16054" s="549"/>
    </row>
    <row r="16055" spans="1:16" ht="17.399999999999999">
      <c r="A16055" s="549"/>
      <c r="B16055" s="549"/>
      <c r="C16055" s="549"/>
      <c r="D16055" s="549"/>
      <c r="E16055" s="549"/>
      <c r="F16055" s="549"/>
      <c r="G16055" s="549"/>
      <c r="H16055" s="549"/>
      <c r="I16055" s="558"/>
      <c r="J16055" s="549"/>
      <c r="K16055" s="561"/>
      <c r="L16055" s="561"/>
      <c r="M16055" s="549"/>
      <c r="N16055" s="549"/>
      <c r="O16055" s="549"/>
      <c r="P16055" s="549"/>
    </row>
    <row r="16056" spans="1:16" ht="17.399999999999999">
      <c r="A16056" s="549"/>
      <c r="B16056" s="549"/>
      <c r="C16056" s="549"/>
      <c r="D16056" s="549"/>
      <c r="E16056" s="549"/>
      <c r="F16056" s="549"/>
      <c r="G16056" s="549"/>
      <c r="H16056" s="549"/>
      <c r="I16056" s="558"/>
      <c r="J16056" s="549"/>
      <c r="K16056" s="561"/>
      <c r="L16056" s="561"/>
      <c r="M16056" s="549"/>
      <c r="N16056" s="549"/>
      <c r="O16056" s="549"/>
      <c r="P16056" s="549"/>
    </row>
    <row r="16057" spans="1:16" ht="17.399999999999999">
      <c r="A16057" s="549"/>
      <c r="B16057" s="549"/>
      <c r="C16057" s="549"/>
      <c r="D16057" s="549"/>
      <c r="E16057" s="549"/>
      <c r="F16057" s="549"/>
      <c r="G16057" s="549"/>
      <c r="H16057" s="549"/>
      <c r="I16057" s="558"/>
      <c r="J16057" s="549"/>
      <c r="K16057" s="561"/>
      <c r="L16057" s="561"/>
      <c r="M16057" s="549"/>
      <c r="N16057" s="549"/>
      <c r="O16057" s="549"/>
      <c r="P16057" s="549"/>
    </row>
    <row r="16058" spans="1:16" ht="17.399999999999999">
      <c r="A16058" s="547" t="s">
        <v>272</v>
      </c>
      <c r="B16058" s="547" t="s">
        <v>1781</v>
      </c>
      <c r="C16058" s="547" t="s">
        <v>19</v>
      </c>
      <c r="D16058" s="813" t="s">
        <v>155</v>
      </c>
      <c r="E16058" s="547" t="s">
        <v>270</v>
      </c>
      <c r="F16058" s="549">
        <v>8</v>
      </c>
      <c r="G16058" s="549" t="s">
        <v>61</v>
      </c>
      <c r="H16058" s="549" t="s">
        <v>322</v>
      </c>
      <c r="I16058" s="558">
        <v>9.65</v>
      </c>
      <c r="J16058" s="567">
        <v>12</v>
      </c>
      <c r="K16058" s="648">
        <v>8</v>
      </c>
      <c r="L16058" s="552">
        <f t="shared" ref="L16058:L16059" si="3215">(I16058*J16058*K16058/1000)</f>
        <v>0.92640000000000011</v>
      </c>
      <c r="M16058" s="549"/>
      <c r="N16058" s="549"/>
      <c r="O16058" s="549"/>
      <c r="P16058" s="549"/>
    </row>
    <row r="16059" spans="1:16" ht="17.399999999999999">
      <c r="A16059" s="549"/>
      <c r="B16059" s="549" t="s">
        <v>271</v>
      </c>
      <c r="C16059" s="549"/>
      <c r="D16059" s="549"/>
      <c r="E16059" s="549"/>
      <c r="F16059" s="549"/>
      <c r="G16059" s="549" t="s">
        <v>61</v>
      </c>
      <c r="H16059" s="549" t="s">
        <v>322</v>
      </c>
      <c r="I16059" s="558">
        <v>9.65</v>
      </c>
      <c r="J16059" s="567">
        <v>13.1</v>
      </c>
      <c r="K16059" s="648">
        <v>20</v>
      </c>
      <c r="L16059" s="552">
        <f t="shared" si="3215"/>
        <v>2.5283000000000002</v>
      </c>
      <c r="M16059" s="549"/>
      <c r="N16059" s="549"/>
      <c r="O16059" s="549"/>
      <c r="P16059" s="549"/>
    </row>
    <row r="16060" spans="1:16" ht="17.399999999999999">
      <c r="A16060" s="549"/>
      <c r="B16060" s="549"/>
      <c r="C16060" s="549"/>
      <c r="D16060" s="549"/>
      <c r="E16060" s="549"/>
      <c r="F16060" s="549"/>
      <c r="G16060" s="549"/>
      <c r="H16060" s="549"/>
      <c r="I16060" s="558"/>
      <c r="J16060" s="565"/>
      <c r="K16060" s="561">
        <f>SUM(K16058:K16059)</f>
        <v>28</v>
      </c>
      <c r="L16060" s="565">
        <f>SUM(L16058:L16059)</f>
        <v>3.4547000000000003</v>
      </c>
      <c r="M16060" s="549"/>
      <c r="N16060" s="549"/>
      <c r="O16060" s="549"/>
      <c r="P16060" s="549"/>
    </row>
    <row r="16061" spans="1:16" ht="17.399999999999999">
      <c r="A16061" s="549"/>
      <c r="B16061" s="549"/>
      <c r="C16061" s="549"/>
      <c r="D16061" s="549"/>
      <c r="E16061" s="549"/>
      <c r="F16061" s="549"/>
      <c r="G16061" s="549"/>
      <c r="H16061" s="549"/>
      <c r="I16061" s="558"/>
      <c r="J16061" s="549"/>
      <c r="K16061" s="561"/>
      <c r="L16061" s="561"/>
      <c r="M16061" s="549"/>
      <c r="N16061" s="549"/>
      <c r="O16061" s="549"/>
      <c r="P16061" s="549"/>
    </row>
    <row r="16062" spans="1:16" ht="17.399999999999999">
      <c r="A16062" s="547" t="s">
        <v>272</v>
      </c>
      <c r="B16062" s="547" t="s">
        <v>1782</v>
      </c>
      <c r="C16062" s="547" t="s">
        <v>19</v>
      </c>
      <c r="D16062" s="813" t="s">
        <v>155</v>
      </c>
      <c r="E16062" s="547" t="s">
        <v>270</v>
      </c>
      <c r="F16062" s="549">
        <v>8</v>
      </c>
      <c r="G16062" s="549" t="s">
        <v>61</v>
      </c>
      <c r="H16062" s="549" t="s">
        <v>322</v>
      </c>
      <c r="I16062" s="558">
        <v>9.65</v>
      </c>
      <c r="J16062" s="567">
        <v>12</v>
      </c>
      <c r="K16062" s="648">
        <v>9</v>
      </c>
      <c r="L16062" s="552">
        <f t="shared" ref="L16062:L16063" si="3216">(I16062*J16062*K16062/1000)</f>
        <v>1.0422</v>
      </c>
      <c r="M16062" s="549"/>
      <c r="N16062" s="549"/>
      <c r="O16062" s="549"/>
      <c r="P16062" s="549"/>
    </row>
    <row r="16063" spans="1:16" ht="17.399999999999999">
      <c r="A16063" s="549"/>
      <c r="B16063" s="549" t="s">
        <v>271</v>
      </c>
      <c r="C16063" s="549"/>
      <c r="D16063" s="549"/>
      <c r="E16063" s="549"/>
      <c r="F16063" s="549"/>
      <c r="G16063" s="549" t="s">
        <v>61</v>
      </c>
      <c r="H16063" s="549" t="s">
        <v>322</v>
      </c>
      <c r="I16063" s="558">
        <v>9.65</v>
      </c>
      <c r="J16063" s="567">
        <v>12.25</v>
      </c>
      <c r="K16063" s="648">
        <v>12</v>
      </c>
      <c r="L16063" s="552">
        <f t="shared" si="3216"/>
        <v>1.4185500000000002</v>
      </c>
      <c r="M16063" s="549"/>
      <c r="N16063" s="549"/>
      <c r="O16063" s="549"/>
      <c r="P16063" s="549"/>
    </row>
    <row r="16064" spans="1:16" ht="17.399999999999999">
      <c r="A16064" s="549"/>
      <c r="B16064" s="549"/>
      <c r="C16064" s="549"/>
      <c r="D16064" s="549"/>
      <c r="E16064" s="549"/>
      <c r="F16064" s="549"/>
      <c r="G16064" s="549"/>
      <c r="H16064" s="549"/>
      <c r="I16064" s="558"/>
      <c r="J16064" s="565"/>
      <c r="K16064" s="561">
        <f>SUM(K16062:K16063)</f>
        <v>21</v>
      </c>
      <c r="L16064" s="565">
        <f>SUM(L16062:L16063)</f>
        <v>2.46075</v>
      </c>
      <c r="M16064" s="549"/>
      <c r="N16064" s="549"/>
      <c r="O16064" s="549"/>
      <c r="P16064" s="549"/>
    </row>
    <row r="16065" spans="1:16" ht="17.399999999999999">
      <c r="A16065" s="549"/>
      <c r="B16065" s="549"/>
      <c r="C16065" s="549"/>
      <c r="D16065" s="549"/>
      <c r="E16065" s="549"/>
      <c r="F16065" s="549"/>
      <c r="G16065" s="549"/>
      <c r="H16065" s="549"/>
      <c r="I16065" s="558"/>
      <c r="J16065" s="549"/>
      <c r="K16065" s="652">
        <f>SUM(K16058:K16064)/2</f>
        <v>49</v>
      </c>
      <c r="L16065" s="565">
        <f>SUM(L16058:L16064)/2</f>
        <v>5.9154499999999999</v>
      </c>
      <c r="M16065" s="549"/>
      <c r="N16065" s="549"/>
      <c r="O16065" s="549"/>
      <c r="P16065" s="549" t="s">
        <v>1929</v>
      </c>
    </row>
    <row r="16066" spans="1:16" s="1737" customFormat="1" ht="17.399999999999999">
      <c r="A16066" s="549"/>
      <c r="B16066" s="549"/>
      <c r="C16066" s="549"/>
      <c r="D16066" s="549"/>
      <c r="E16066" s="549"/>
      <c r="F16066" s="549"/>
      <c r="G16066" s="549"/>
      <c r="H16066" s="549"/>
      <c r="I16066" s="558"/>
      <c r="J16066" s="549"/>
      <c r="K16066" s="652"/>
      <c r="L16066" s="565"/>
      <c r="M16066" s="549"/>
      <c r="N16066" s="549"/>
      <c r="O16066" s="549"/>
      <c r="P16066" s="549"/>
    </row>
    <row r="16067" spans="1:16" ht="17.399999999999999">
      <c r="A16067" s="549"/>
      <c r="B16067" s="549"/>
      <c r="C16067" s="549"/>
      <c r="D16067" s="549"/>
      <c r="E16067" s="549"/>
      <c r="F16067" s="549"/>
      <c r="G16067" s="549"/>
      <c r="H16067" s="549"/>
      <c r="I16067" s="558"/>
      <c r="J16067" s="549"/>
      <c r="K16067" s="561"/>
      <c r="L16067" s="561"/>
      <c r="M16067" s="549"/>
      <c r="N16067" s="549"/>
      <c r="O16067" s="549"/>
      <c r="P16067" s="549"/>
    </row>
    <row r="16068" spans="1:16" ht="17.399999999999999">
      <c r="A16068" s="547" t="s">
        <v>272</v>
      </c>
      <c r="B16068" s="547" t="s">
        <v>1888</v>
      </c>
      <c r="C16068" s="547" t="s">
        <v>19</v>
      </c>
      <c r="D16068" s="813" t="s">
        <v>155</v>
      </c>
      <c r="E16068" s="547" t="s">
        <v>270</v>
      </c>
      <c r="F16068" s="549">
        <v>8</v>
      </c>
      <c r="G16068" s="549" t="s">
        <v>61</v>
      </c>
      <c r="H16068" s="549" t="s">
        <v>131</v>
      </c>
      <c r="I16068" s="558">
        <v>7.36</v>
      </c>
      <c r="J16068" s="567">
        <v>11</v>
      </c>
      <c r="K16068" s="648">
        <v>1</v>
      </c>
      <c r="L16068" s="552">
        <f>(I16068*J16068*K16068/1000)</f>
        <v>8.0960000000000004E-2</v>
      </c>
      <c r="M16068" s="549">
        <v>1</v>
      </c>
      <c r="N16068" s="567">
        <f t="shared" ref="N16068" si="3217">J16068*M16068*I16068/1000</f>
        <v>8.0960000000000004E-2</v>
      </c>
      <c r="O16068" s="549"/>
      <c r="P16068" s="549"/>
    </row>
    <row r="16069" spans="1:16" ht="17.399999999999999">
      <c r="A16069" s="549"/>
      <c r="B16069" s="549" t="s">
        <v>271</v>
      </c>
      <c r="C16069" s="549"/>
      <c r="D16069" s="549"/>
      <c r="E16069" s="549"/>
      <c r="F16069" s="549"/>
      <c r="G16069" s="549"/>
      <c r="H16069" s="549"/>
      <c r="I16069" s="558"/>
      <c r="J16069" s="567"/>
      <c r="K16069" s="648">
        <f>SUM(K16068)</f>
        <v>1</v>
      </c>
      <c r="L16069" s="565">
        <f>SUM(L16068)</f>
        <v>8.0960000000000004E-2</v>
      </c>
      <c r="M16069" s="648">
        <f>SUM(M16068)</f>
        <v>1</v>
      </c>
      <c r="N16069" s="565">
        <f>SUM(N16068)</f>
        <v>8.0960000000000004E-2</v>
      </c>
      <c r="O16069" s="549"/>
      <c r="P16069" s="549"/>
    </row>
    <row r="16070" spans="1:16" ht="17.399999999999999">
      <c r="A16070" s="549"/>
      <c r="B16070" s="549"/>
      <c r="C16070" s="549"/>
      <c r="D16070" s="549"/>
      <c r="E16070" s="549"/>
      <c r="F16070" s="549"/>
      <c r="G16070" s="549"/>
      <c r="H16070" s="549"/>
      <c r="I16070" s="558"/>
      <c r="J16070" s="549"/>
      <c r="K16070" s="561"/>
      <c r="L16070" s="561"/>
      <c r="M16070" s="549"/>
      <c r="N16070" s="549"/>
      <c r="O16070" s="549"/>
      <c r="P16070" s="549"/>
    </row>
    <row r="16071" spans="1:16" ht="17.399999999999999">
      <c r="A16071" s="549"/>
      <c r="B16071" s="549"/>
      <c r="C16071" s="549"/>
      <c r="D16071" s="549"/>
      <c r="E16071" s="549"/>
      <c r="F16071" s="549"/>
      <c r="G16071" s="549"/>
      <c r="H16071" s="549"/>
      <c r="I16071" s="558"/>
      <c r="J16071" s="549"/>
      <c r="K16071" s="561"/>
      <c r="L16071" s="561"/>
      <c r="M16071" s="549"/>
      <c r="N16071" s="549"/>
      <c r="O16071" s="549"/>
      <c r="P16071" s="549"/>
    </row>
    <row r="16072" spans="1:16" ht="17.399999999999999">
      <c r="A16072" s="549"/>
      <c r="B16072" s="549"/>
      <c r="C16072" s="549"/>
      <c r="D16072" s="549"/>
      <c r="E16072" s="549"/>
      <c r="F16072" s="549"/>
      <c r="G16072" s="549"/>
      <c r="H16072" s="549"/>
      <c r="I16072" s="558"/>
      <c r="J16072" s="549"/>
      <c r="K16072" s="652">
        <f>+K16069+K16065+K15969+K15950+K16051+K16046+K16010+K16036+K15934+K15930+K15915+K15924</f>
        <v>3174</v>
      </c>
      <c r="L16072" s="565">
        <f>+L16069+L16065+L15969+L15950+L16051+L16046+L16010+L16036+L15934+L15930+L15915+L15924</f>
        <v>224.33470100000002</v>
      </c>
      <c r="M16072" s="652">
        <f>+M16069+M16065+M15969+M15950+M16051+M16046+M16010+M16036+M15934+M15930+M15915+M15924</f>
        <v>141</v>
      </c>
      <c r="N16072" s="565">
        <f>+N16069+N16065+N15969+N15950+N16051+N16046+N16010+N16036+N15934+N15930+N15915+N15924</f>
        <v>8.7472075</v>
      </c>
      <c r="O16072" s="549"/>
      <c r="P16072" s="549"/>
    </row>
    <row r="16073" spans="1:16" ht="18">
      <c r="A16073" s="653" t="s">
        <v>48</v>
      </c>
      <c r="B16073" s="653"/>
      <c r="C16073" s="654"/>
      <c r="D16073" s="654"/>
      <c r="E16073" s="654"/>
      <c r="F16073" s="1914"/>
      <c r="G16073" s="654"/>
      <c r="H16073" s="1914"/>
      <c r="I16073" s="656"/>
      <c r="J16073" s="654"/>
      <c r="K16073" s="657"/>
      <c r="L16073" s="2003" t="s">
        <v>0</v>
      </c>
      <c r="M16073" s="2003"/>
      <c r="N16073" s="2003"/>
      <c r="O16073" s="2004"/>
      <c r="P16073" s="1097"/>
    </row>
    <row r="16074" spans="1:16" ht="18">
      <c r="A16074" s="658" t="s">
        <v>1</v>
      </c>
      <c r="B16074" s="658"/>
      <c r="C16074" s="658"/>
      <c r="D16074" s="659" t="s">
        <v>2</v>
      </c>
      <c r="E16074" s="659"/>
      <c r="F16074" s="660"/>
      <c r="G16074" s="660"/>
      <c r="H16074" s="660"/>
      <c r="I16074" s="661"/>
      <c r="J16074" s="660"/>
      <c r="K16074" s="662" t="s">
        <v>3</v>
      </c>
      <c r="L16074" s="660"/>
      <c r="M16074" s="658"/>
      <c r="N16074" s="660"/>
      <c r="O16074" s="663"/>
      <c r="P16074" s="1098"/>
    </row>
    <row r="16075" spans="1:16" ht="18">
      <c r="A16075" s="1914" t="s">
        <v>22</v>
      </c>
      <c r="B16075" s="1990" t="s">
        <v>23</v>
      </c>
      <c r="C16075" s="2005"/>
      <c r="D16075" s="1989"/>
      <c r="E16075" s="1914" t="s">
        <v>24</v>
      </c>
      <c r="F16075" s="1990" t="s">
        <v>25</v>
      </c>
      <c r="G16075" s="1989"/>
      <c r="H16075" s="1990" t="s">
        <v>26</v>
      </c>
      <c r="I16075" s="2005"/>
      <c r="J16075" s="2005"/>
      <c r="K16075" s="1989"/>
      <c r="L16075" s="2006" t="s">
        <v>27</v>
      </c>
      <c r="M16075" s="2006"/>
      <c r="N16075" s="2006"/>
      <c r="O16075" s="1990"/>
      <c r="P16075" s="1098"/>
    </row>
    <row r="16076" spans="1:16" ht="18">
      <c r="A16076" s="664"/>
      <c r="B16076" s="1975"/>
      <c r="C16076" s="1976"/>
      <c r="D16076" s="1977"/>
      <c r="E16076" s="665"/>
      <c r="F16076" s="1975"/>
      <c r="G16076" s="1977"/>
      <c r="H16076" s="1975"/>
      <c r="I16076" s="1976"/>
      <c r="J16076" s="1976"/>
      <c r="K16076" s="1977"/>
      <c r="L16076" s="1975"/>
      <c r="M16076" s="1976"/>
      <c r="N16076" s="1976"/>
      <c r="O16076" s="1976"/>
      <c r="P16076" s="1098"/>
    </row>
    <row r="16077" spans="1:16" s="1737" customFormat="1" ht="18">
      <c r="A16077" s="664"/>
      <c r="B16077" s="1957"/>
      <c r="C16077" s="1958"/>
      <c r="D16077" s="1959"/>
      <c r="E16077" s="665"/>
      <c r="F16077" s="1957"/>
      <c r="G16077" s="1959"/>
      <c r="H16077" s="1957"/>
      <c r="I16077" s="1958"/>
      <c r="J16077" s="1958"/>
      <c r="K16077" s="1959"/>
      <c r="L16077" s="1958"/>
      <c r="M16077" s="1958"/>
      <c r="N16077" s="1958"/>
      <c r="O16077" s="1958"/>
      <c r="P16077" s="1098"/>
    </row>
    <row r="16078" spans="1:16" s="1737" customFormat="1" ht="18">
      <c r="A16078" s="664" t="s">
        <v>28</v>
      </c>
      <c r="B16078" s="1975" t="s">
        <v>198</v>
      </c>
      <c r="C16078" s="1976"/>
      <c r="D16078" s="1977"/>
      <c r="E16078" s="665">
        <v>48.096382000000013</v>
      </c>
      <c r="F16078" s="1973">
        <v>10</v>
      </c>
      <c r="G16078" s="1974"/>
      <c r="H16078" s="1975" t="s">
        <v>854</v>
      </c>
      <c r="I16078" s="1976"/>
      <c r="J16078" s="1976"/>
      <c r="K16078" s="1977"/>
      <c r="L16078" s="1976" t="s">
        <v>1890</v>
      </c>
      <c r="M16078" s="1976"/>
      <c r="N16078" s="1976"/>
      <c r="O16078" s="1976"/>
      <c r="P16078" s="1098"/>
    </row>
    <row r="16079" spans="1:16" s="1737" customFormat="1" ht="18">
      <c r="A16079" s="664" t="s">
        <v>29</v>
      </c>
      <c r="B16079" s="1975" t="s">
        <v>199</v>
      </c>
      <c r="C16079" s="1976"/>
      <c r="D16079" s="1977"/>
      <c r="E16079" s="665">
        <v>4.9850350000000008</v>
      </c>
      <c r="F16079" s="1973">
        <v>10</v>
      </c>
      <c r="G16079" s="1974"/>
      <c r="H16079" s="1975" t="s">
        <v>854</v>
      </c>
      <c r="I16079" s="1976"/>
      <c r="J16079" s="1976"/>
      <c r="K16079" s="1977"/>
      <c r="L16079" s="1976" t="s">
        <v>65</v>
      </c>
      <c r="M16079" s="1976"/>
      <c r="N16079" s="1976"/>
      <c r="O16079" s="1976"/>
      <c r="P16079" s="1098"/>
    </row>
    <row r="16080" spans="1:16" s="1737" customFormat="1" ht="18">
      <c r="A16080" s="664"/>
      <c r="B16080" s="1957"/>
      <c r="C16080" s="1958"/>
      <c r="D16080" s="1959"/>
      <c r="E16080" s="665"/>
      <c r="F16080" s="1960"/>
      <c r="G16080" s="1961"/>
      <c r="H16080" s="1957"/>
      <c r="I16080" s="1958"/>
      <c r="J16080" s="1958"/>
      <c r="K16080" s="1959"/>
      <c r="L16080" s="1958"/>
      <c r="M16080" s="1958"/>
      <c r="N16080" s="1958"/>
      <c r="O16080" s="1958"/>
      <c r="P16080" s="1098"/>
    </row>
    <row r="16081" spans="1:16" s="1737" customFormat="1" ht="18">
      <c r="A16081" s="664" t="s">
        <v>30</v>
      </c>
      <c r="B16081" s="1975" t="s">
        <v>199</v>
      </c>
      <c r="C16081" s="1976"/>
      <c r="D16081" s="1977"/>
      <c r="E16081" s="665">
        <f>+L15924</f>
        <v>21.639732500000001</v>
      </c>
      <c r="F16081" s="1973">
        <v>10</v>
      </c>
      <c r="G16081" s="1974"/>
      <c r="H16081" s="1975" t="s">
        <v>447</v>
      </c>
      <c r="I16081" s="1976"/>
      <c r="J16081" s="1976"/>
      <c r="K16081" s="1977"/>
      <c r="L16081" s="1976" t="s">
        <v>65</v>
      </c>
      <c r="M16081" s="1976"/>
      <c r="N16081" s="1976"/>
      <c r="O16081" s="1976"/>
      <c r="P16081" s="1098"/>
    </row>
    <row r="16082" spans="1:16" s="1737" customFormat="1" ht="18">
      <c r="A16082" s="664" t="s">
        <v>46</v>
      </c>
      <c r="B16082" s="1975" t="s">
        <v>198</v>
      </c>
      <c r="C16082" s="1976"/>
      <c r="D16082" s="1977"/>
      <c r="E16082" s="665">
        <f>+L15915</f>
        <v>48.090240000000001</v>
      </c>
      <c r="F16082" s="1973">
        <v>10</v>
      </c>
      <c r="G16082" s="1974"/>
      <c r="H16082" s="1975" t="s">
        <v>447</v>
      </c>
      <c r="I16082" s="1976"/>
      <c r="J16082" s="1976"/>
      <c r="K16082" s="1977"/>
      <c r="L16082" s="1976" t="s">
        <v>65</v>
      </c>
      <c r="M16082" s="1976"/>
      <c r="N16082" s="1976"/>
      <c r="O16082" s="1976"/>
      <c r="P16082" s="1098"/>
    </row>
    <row r="16083" spans="1:16" s="1737" customFormat="1" ht="18">
      <c r="A16083" s="664"/>
      <c r="B16083" s="1957"/>
      <c r="C16083" s="1958"/>
      <c r="D16083" s="1959"/>
      <c r="E16083" s="665"/>
      <c r="F16083" s="1960"/>
      <c r="G16083" s="1961"/>
      <c r="H16083" s="1957"/>
      <c r="I16083" s="1958"/>
      <c r="J16083" s="1958"/>
      <c r="K16083" s="1959"/>
      <c r="L16083" s="1958"/>
      <c r="M16083" s="1958"/>
      <c r="N16083" s="1958"/>
      <c r="O16083" s="1958"/>
      <c r="P16083" s="1098"/>
    </row>
    <row r="16084" spans="1:16" s="1737" customFormat="1" ht="18">
      <c r="A16084" s="664"/>
      <c r="B16084" s="1904"/>
      <c r="C16084" s="1905"/>
      <c r="D16084" s="1906"/>
      <c r="E16084" s="665"/>
      <c r="F16084" s="1907"/>
      <c r="G16084" s="1908"/>
      <c r="H16084" s="1904"/>
      <c r="I16084" s="1905"/>
      <c r="J16084" s="1905"/>
      <c r="K16084" s="1906"/>
      <c r="L16084" s="1905"/>
      <c r="M16084" s="1905"/>
      <c r="N16084" s="1905"/>
      <c r="O16084" s="1905"/>
      <c r="P16084" s="1098"/>
    </row>
    <row r="16085" spans="1:16" s="1737" customFormat="1" ht="18">
      <c r="A16085" s="664" t="s">
        <v>58</v>
      </c>
      <c r="B16085" s="1975" t="s">
        <v>595</v>
      </c>
      <c r="C16085" s="1976"/>
      <c r="D16085" s="1977"/>
      <c r="E16085" s="665">
        <f>+L15969-0.868</f>
        <v>27.302400000000009</v>
      </c>
      <c r="F16085" s="1973">
        <v>10</v>
      </c>
      <c r="G16085" s="1974"/>
      <c r="H16085" s="1975" t="s">
        <v>60</v>
      </c>
      <c r="I16085" s="1976"/>
      <c r="J16085" s="1976"/>
      <c r="K16085" s="1977"/>
      <c r="L16085" s="1976" t="s">
        <v>64</v>
      </c>
      <c r="M16085" s="1976"/>
      <c r="N16085" s="1976"/>
      <c r="O16085" s="1976"/>
      <c r="P16085" s="1098"/>
    </row>
    <row r="16086" spans="1:16" s="1737" customFormat="1" ht="18">
      <c r="A16086" s="664" t="s">
        <v>163</v>
      </c>
      <c r="B16086" s="1975" t="s">
        <v>570</v>
      </c>
      <c r="C16086" s="1976"/>
      <c r="D16086" s="1977"/>
      <c r="E16086" s="665">
        <f>+L15950-1.652</f>
        <v>43.012321500000006</v>
      </c>
      <c r="F16086" s="1973">
        <v>10</v>
      </c>
      <c r="G16086" s="1974"/>
      <c r="H16086" s="1975" t="s">
        <v>60</v>
      </c>
      <c r="I16086" s="1976"/>
      <c r="J16086" s="1976"/>
      <c r="K16086" s="1977"/>
      <c r="L16086" s="1976" t="s">
        <v>64</v>
      </c>
      <c r="M16086" s="1976"/>
      <c r="N16086" s="1976"/>
      <c r="O16086" s="1976"/>
      <c r="P16086" s="1098"/>
    </row>
    <row r="16087" spans="1:16" s="1737" customFormat="1" ht="18">
      <c r="A16087" s="664"/>
      <c r="B16087" s="1957"/>
      <c r="C16087" s="1958"/>
      <c r="D16087" s="1959"/>
      <c r="E16087" s="665"/>
      <c r="F16087" s="1960"/>
      <c r="G16087" s="1961"/>
      <c r="H16087" s="1957"/>
      <c r="I16087" s="1958"/>
      <c r="J16087" s="1958"/>
      <c r="K16087" s="1959"/>
      <c r="L16087" s="1958"/>
      <c r="M16087" s="1958"/>
      <c r="N16087" s="1958"/>
      <c r="O16087" s="1958"/>
      <c r="P16087" s="1098"/>
    </row>
    <row r="16088" spans="1:16" s="1737" customFormat="1" ht="18">
      <c r="A16088" s="664" t="s">
        <v>302</v>
      </c>
      <c r="B16088" s="1975" t="s">
        <v>570</v>
      </c>
      <c r="C16088" s="1976"/>
      <c r="D16088" s="1977"/>
      <c r="E16088" s="665">
        <f>+L15930</f>
        <v>16.112338000000001</v>
      </c>
      <c r="F16088" s="1973">
        <v>10</v>
      </c>
      <c r="G16088" s="1974"/>
      <c r="H16088" s="1975" t="s">
        <v>450</v>
      </c>
      <c r="I16088" s="1976"/>
      <c r="J16088" s="1976"/>
      <c r="K16088" s="1977"/>
      <c r="L16088" s="1976" t="s">
        <v>64</v>
      </c>
      <c r="M16088" s="1976"/>
      <c r="N16088" s="1976"/>
      <c r="O16088" s="1976"/>
      <c r="P16088" s="1098"/>
    </row>
    <row r="16089" spans="1:16" s="1737" customFormat="1" ht="18">
      <c r="A16089" s="664"/>
      <c r="B16089" s="1904"/>
      <c r="C16089" s="1905"/>
      <c r="D16089" s="1906"/>
      <c r="E16089" s="665"/>
      <c r="F16089" s="1907"/>
      <c r="G16089" s="1908"/>
      <c r="H16089" s="1905"/>
      <c r="I16089" s="1905"/>
      <c r="J16089" s="1905"/>
      <c r="K16089" s="1905"/>
      <c r="L16089" s="1905"/>
      <c r="M16089" s="1905"/>
      <c r="N16089" s="1905"/>
      <c r="O16089" s="1905"/>
      <c r="P16089" s="1098"/>
    </row>
    <row r="16090" spans="1:16" s="1737" customFormat="1" ht="18">
      <c r="A16090" s="664"/>
      <c r="B16090" s="1904"/>
      <c r="C16090" s="1905"/>
      <c r="D16090" s="1906"/>
      <c r="E16090" s="665"/>
      <c r="F16090" s="1904"/>
      <c r="G16090" s="1906"/>
      <c r="H16090" s="1905"/>
      <c r="I16090" s="1905"/>
      <c r="J16090" s="1905"/>
      <c r="K16090" s="1905"/>
      <c r="L16090" s="1905"/>
      <c r="M16090" s="1905"/>
      <c r="N16090" s="1905"/>
      <c r="O16090" s="1905"/>
      <c r="P16090" s="1098"/>
    </row>
    <row r="16091" spans="1:16" ht="18">
      <c r="A16091" s="664" t="s">
        <v>380</v>
      </c>
      <c r="B16091" s="1975" t="s">
        <v>895</v>
      </c>
      <c r="C16091" s="1976"/>
      <c r="D16091" s="1977"/>
      <c r="E16091" s="665">
        <f>+L16065</f>
        <v>5.9154499999999999</v>
      </c>
      <c r="F16091" s="1975">
        <v>8</v>
      </c>
      <c r="G16091" s="1977"/>
      <c r="H16091" s="2007" t="s">
        <v>896</v>
      </c>
      <c r="I16091" s="2007"/>
      <c r="J16091" s="2007"/>
      <c r="K16091" s="2007"/>
      <c r="L16091" s="1976" t="s">
        <v>64</v>
      </c>
      <c r="M16091" s="1976"/>
      <c r="N16091" s="1976"/>
      <c r="O16091" s="1976"/>
      <c r="P16091" s="1098"/>
    </row>
    <row r="16092" spans="1:16" ht="18">
      <c r="A16092" s="664"/>
      <c r="B16092" s="1904"/>
      <c r="C16092" s="1905"/>
      <c r="D16092" s="1906"/>
      <c r="E16092" s="665"/>
      <c r="F16092" s="1904"/>
      <c r="G16092" s="1906"/>
      <c r="H16092" s="1904"/>
      <c r="I16092" s="1905"/>
      <c r="J16092" s="1905"/>
      <c r="K16092" s="1906"/>
      <c r="L16092" s="1905"/>
      <c r="M16092" s="1905"/>
      <c r="N16092" s="1905"/>
      <c r="O16092" s="1905"/>
      <c r="P16092" s="1098"/>
    </row>
    <row r="16093" spans="1:16" ht="18.600000000000001" thickBot="1">
      <c r="A16093" s="664"/>
      <c r="B16093" s="1904"/>
      <c r="C16093" s="1905"/>
      <c r="D16093" s="1905"/>
      <c r="E16093" s="665"/>
      <c r="F16093" s="1905"/>
      <c r="G16093" s="1906"/>
      <c r="H16093" s="1904"/>
      <c r="I16093" s="1905"/>
      <c r="J16093" s="1905"/>
      <c r="K16093" s="669"/>
      <c r="L16093" s="672"/>
      <c r="M16093" s="673"/>
      <c r="N16093" s="673"/>
      <c r="O16093" s="673"/>
      <c r="P16093" s="1098"/>
    </row>
    <row r="16094" spans="1:16" ht="18">
      <c r="A16094" s="674"/>
      <c r="B16094" s="675"/>
      <c r="C16094" s="676"/>
      <c r="D16094" s="676"/>
      <c r="E16094" s="1980">
        <f>SUM(E16076:E16093)</f>
        <v>215.15389900000002</v>
      </c>
      <c r="F16094" s="677"/>
      <c r="G16094" s="678"/>
      <c r="H16094" s="679"/>
      <c r="I16094" s="1910"/>
      <c r="J16094" s="676"/>
      <c r="K16094" s="680"/>
      <c r="L16094" s="679"/>
      <c r="M16094" s="676"/>
      <c r="N16094" s="677"/>
      <c r="O16094" s="676"/>
      <c r="P16094" s="1098"/>
    </row>
    <row r="16095" spans="1:16" ht="18.600000000000001" thickBot="1">
      <c r="A16095" s="681"/>
      <c r="B16095" s="682"/>
      <c r="C16095" s="683"/>
      <c r="D16095" s="683"/>
      <c r="E16095" s="1981"/>
      <c r="F16095" s="684"/>
      <c r="G16095" s="685"/>
      <c r="H16095" s="686"/>
      <c r="I16095" s="1912"/>
      <c r="J16095" s="683"/>
      <c r="K16095" s="687"/>
      <c r="L16095" s="686"/>
      <c r="M16095" s="683"/>
      <c r="N16095" s="684"/>
      <c r="O16095" s="683"/>
      <c r="P16095" s="1098"/>
    </row>
    <row r="16096" spans="1:16" ht="18">
      <c r="A16096" s="688" t="s">
        <v>31</v>
      </c>
      <c r="B16096" s="676"/>
      <c r="C16096" s="676"/>
      <c r="D16096" s="676"/>
      <c r="E16096" s="676"/>
      <c r="F16096" s="677"/>
      <c r="G16096" s="676"/>
      <c r="H16096" s="677"/>
      <c r="I16096" s="1910"/>
      <c r="J16096" s="676"/>
      <c r="K16096" s="689"/>
      <c r="L16096" s="677"/>
      <c r="M16096" s="676"/>
      <c r="N16096" s="677"/>
      <c r="O16096" s="676"/>
      <c r="P16096" s="1098"/>
    </row>
    <row r="16097" spans="1:16" ht="18">
      <c r="A16097" s="690"/>
      <c r="B16097" s="691"/>
      <c r="C16097" s="691"/>
      <c r="D16097" s="691"/>
      <c r="E16097" s="691"/>
      <c r="F16097" s="1903"/>
      <c r="G16097" s="691"/>
      <c r="H16097" s="1903"/>
      <c r="I16097" s="1911"/>
      <c r="J16097" s="691"/>
      <c r="K16097" s="693"/>
      <c r="L16097" s="1903"/>
      <c r="M16097" s="691"/>
      <c r="N16097" s="1903"/>
      <c r="O16097" s="691"/>
      <c r="P16097" s="1098"/>
    </row>
    <row r="16098" spans="1:16" ht="18.600000000000001" thickBot="1">
      <c r="A16098" s="1982" t="s">
        <v>32</v>
      </c>
      <c r="B16098" s="1983"/>
      <c r="C16098" s="1984" t="s">
        <v>33</v>
      </c>
      <c r="D16098" s="1985"/>
      <c r="E16098" s="694" t="s">
        <v>34</v>
      </c>
      <c r="F16098" s="694" t="s">
        <v>35</v>
      </c>
      <c r="G16098" s="1986" t="s">
        <v>36</v>
      </c>
      <c r="H16098" s="1987"/>
      <c r="I16098" s="1987"/>
      <c r="J16098" s="1987"/>
      <c r="K16098" s="1987"/>
      <c r="L16098" s="1987"/>
      <c r="M16098" s="1987"/>
      <c r="N16098" s="1987"/>
      <c r="O16098" s="1987"/>
      <c r="P16098" s="1098"/>
    </row>
    <row r="16099" spans="1:16" ht="18">
      <c r="A16099" s="1988"/>
      <c r="B16099" s="1989"/>
      <c r="C16099" s="1990"/>
      <c r="D16099" s="1989"/>
      <c r="E16099" s="1914"/>
      <c r="F16099" s="1909"/>
      <c r="G16099" s="1991"/>
      <c r="H16099" s="1992"/>
      <c r="I16099" s="1992"/>
      <c r="J16099" s="1992"/>
      <c r="K16099" s="1992"/>
      <c r="L16099" s="1992"/>
      <c r="M16099" s="1992"/>
      <c r="N16099" s="1992"/>
      <c r="O16099" s="1992"/>
      <c r="P16099" s="1098"/>
    </row>
    <row r="16100" spans="1:16" ht="18">
      <c r="A16100" s="1997" t="s">
        <v>37</v>
      </c>
      <c r="B16100" s="1998"/>
      <c r="C16100" s="1990"/>
      <c r="D16100" s="1989"/>
      <c r="E16100" s="1914"/>
      <c r="F16100" s="1909"/>
      <c r="G16100" s="1993"/>
      <c r="H16100" s="1994"/>
      <c r="I16100" s="1994"/>
      <c r="J16100" s="1994"/>
      <c r="K16100" s="1994"/>
      <c r="L16100" s="1994"/>
      <c r="M16100" s="1994"/>
      <c r="N16100" s="1994"/>
      <c r="O16100" s="1994"/>
      <c r="P16100" s="1098"/>
    </row>
    <row r="16101" spans="1:16" ht="18">
      <c r="A16101" s="1997" t="s">
        <v>38</v>
      </c>
      <c r="B16101" s="1998"/>
      <c r="C16101" s="1990"/>
      <c r="D16101" s="1989"/>
      <c r="E16101" s="1914"/>
      <c r="F16101" s="1909"/>
      <c r="G16101" s="1993"/>
      <c r="H16101" s="1994"/>
      <c r="I16101" s="1994"/>
      <c r="J16101" s="1994"/>
      <c r="K16101" s="1994"/>
      <c r="L16101" s="1994"/>
      <c r="M16101" s="1994"/>
      <c r="N16101" s="1994"/>
      <c r="O16101" s="1994"/>
      <c r="P16101" s="1098"/>
    </row>
    <row r="16102" spans="1:16" ht="18">
      <c r="A16102" s="1997" t="s">
        <v>39</v>
      </c>
      <c r="B16102" s="1998"/>
      <c r="C16102" s="1990"/>
      <c r="D16102" s="1989"/>
      <c r="E16102" s="1914"/>
      <c r="F16102" s="1909"/>
      <c r="G16102" s="1993"/>
      <c r="H16102" s="1994"/>
      <c r="I16102" s="1994"/>
      <c r="J16102" s="1994"/>
      <c r="K16102" s="1994"/>
      <c r="L16102" s="1994"/>
      <c r="M16102" s="1994"/>
      <c r="N16102" s="1994"/>
      <c r="O16102" s="1994"/>
      <c r="P16102" s="1098"/>
    </row>
    <row r="16103" spans="1:16" ht="18">
      <c r="A16103" s="1997" t="s">
        <v>40</v>
      </c>
      <c r="B16103" s="1998"/>
      <c r="C16103" s="1990"/>
      <c r="D16103" s="1989"/>
      <c r="E16103" s="1914"/>
      <c r="F16103" s="1909"/>
      <c r="G16103" s="1993"/>
      <c r="H16103" s="1994"/>
      <c r="I16103" s="1994"/>
      <c r="J16103" s="1994"/>
      <c r="K16103" s="1994"/>
      <c r="L16103" s="1994"/>
      <c r="M16103" s="1994"/>
      <c r="N16103" s="1994"/>
      <c r="O16103" s="1994"/>
      <c r="P16103" s="1098"/>
    </row>
    <row r="16104" spans="1:16" ht="18.600000000000001" thickBot="1">
      <c r="A16104" s="1999" t="s">
        <v>41</v>
      </c>
      <c r="B16104" s="2000"/>
      <c r="C16104" s="2001"/>
      <c r="D16104" s="2002"/>
      <c r="E16104" s="696"/>
      <c r="F16104" s="1913"/>
      <c r="G16104" s="1995"/>
      <c r="H16104" s="1996"/>
      <c r="I16104" s="1996"/>
      <c r="J16104" s="1996"/>
      <c r="K16104" s="1996"/>
      <c r="L16104" s="1996"/>
      <c r="M16104" s="1996"/>
      <c r="N16104" s="1996"/>
      <c r="O16104" s="1996"/>
      <c r="P16104" s="1098"/>
    </row>
    <row r="16105" spans="1:16" ht="18">
      <c r="A16105" s="690"/>
      <c r="B16105" s="691"/>
      <c r="C16105" s="691"/>
      <c r="D16105" s="691"/>
      <c r="E16105" s="691"/>
      <c r="F16105" s="1903"/>
      <c r="G16105" s="691"/>
      <c r="H16105" s="698"/>
      <c r="I16105" s="699"/>
      <c r="J16105" s="700"/>
      <c r="K16105" s="701"/>
      <c r="L16105" s="702"/>
      <c r="M16105" s="691"/>
      <c r="N16105" s="1903"/>
      <c r="O16105" s="691"/>
      <c r="P16105" s="1098"/>
    </row>
    <row r="16106" spans="1:16" ht="18">
      <c r="A16106" s="703" t="s">
        <v>42</v>
      </c>
      <c r="B16106" s="704"/>
      <c r="C16106" s="691"/>
      <c r="D16106" s="691"/>
      <c r="E16106" s="691"/>
      <c r="F16106" s="1903"/>
      <c r="G16106" s="704"/>
      <c r="H16106" s="698"/>
      <c r="I16106" s="699"/>
      <c r="J16106" s="700"/>
      <c r="K16106" s="693"/>
      <c r="L16106" s="705"/>
      <c r="M16106" s="691"/>
      <c r="N16106" s="1979" t="s">
        <v>43</v>
      </c>
      <c r="O16106" s="1979"/>
      <c r="P16106" s="1098"/>
    </row>
    <row r="16107" spans="1:16" ht="18">
      <c r="A16107" s="703"/>
      <c r="B16107" s="704"/>
      <c r="C16107" s="691"/>
      <c r="D16107" s="691"/>
      <c r="E16107" s="691"/>
      <c r="F16107" s="1903"/>
      <c r="G16107" s="691"/>
      <c r="H16107" s="1903"/>
      <c r="I16107" s="1911"/>
      <c r="J16107" s="691"/>
      <c r="K16107" s="693"/>
      <c r="L16107" s="1903"/>
      <c r="M16107" s="691"/>
      <c r="N16107" s="1903"/>
      <c r="O16107" s="704"/>
      <c r="P16107" s="1098"/>
    </row>
    <row r="16108" spans="1:16" ht="18">
      <c r="A16108" s="703" t="s">
        <v>44</v>
      </c>
      <c r="B16108" s="704"/>
      <c r="C16108" s="691"/>
      <c r="D16108" s="691"/>
      <c r="E16108" s="691"/>
      <c r="F16108" s="1903"/>
      <c r="G16108" s="691"/>
      <c r="H16108" s="1903"/>
      <c r="I16108" s="1911"/>
      <c r="J16108" s="691"/>
      <c r="K16108" s="693"/>
      <c r="L16108" s="1903"/>
      <c r="M16108" s="691"/>
      <c r="N16108" s="1979" t="s">
        <v>45</v>
      </c>
      <c r="O16108" s="1979"/>
      <c r="P16108" s="1098"/>
    </row>
    <row r="16109" spans="1:16" ht="18.600000000000001" thickBot="1">
      <c r="A16109" s="682"/>
      <c r="B16109" s="683"/>
      <c r="C16109" s="683"/>
      <c r="D16109" s="683"/>
      <c r="E16109" s="683"/>
      <c r="F16109" s="684"/>
      <c r="G16109" s="683"/>
      <c r="H16109" s="684"/>
      <c r="I16109" s="1912"/>
      <c r="J16109" s="683"/>
      <c r="K16109" s="706"/>
      <c r="L16109" s="684"/>
      <c r="M16109" s="683"/>
      <c r="N16109" s="684"/>
      <c r="O16109" s="683"/>
      <c r="P16109" s="1099"/>
    </row>
    <row r="16114" spans="1:16" ht="17.399999999999999">
      <c r="A16114" s="711" t="s">
        <v>48</v>
      </c>
      <c r="B16114" s="711"/>
      <c r="C16114" s="712"/>
      <c r="D16114" s="712"/>
      <c r="E16114" s="712"/>
      <c r="F16114" s="713"/>
      <c r="G16114" s="712"/>
      <c r="H16114" s="712"/>
      <c r="I16114" s="714"/>
      <c r="J16114" s="715"/>
      <c r="K16114" s="716"/>
      <c r="L16114" s="1978" t="s">
        <v>0</v>
      </c>
      <c r="M16114" s="1978"/>
      <c r="N16114" s="1978"/>
      <c r="O16114" s="1978"/>
      <c r="P16114" s="717"/>
    </row>
    <row r="16115" spans="1:16" ht="17.399999999999999">
      <c r="A16115" s="718" t="s">
        <v>1</v>
      </c>
      <c r="B16115" s="718"/>
      <c r="C16115" s="718"/>
      <c r="D16115" s="719" t="s">
        <v>2</v>
      </c>
      <c r="E16115" s="719"/>
      <c r="F16115" s="720"/>
      <c r="G16115" s="720"/>
      <c r="H16115" s="720"/>
      <c r="I16115" s="721"/>
      <c r="J16115" s="1915"/>
      <c r="K16115" s="723" t="s">
        <v>3</v>
      </c>
      <c r="L16115" s="1915"/>
      <c r="M16115" s="718"/>
      <c r="N16115" s="720"/>
      <c r="O16115" s="718"/>
      <c r="P16115" s="724"/>
    </row>
    <row r="16116" spans="1:16" ht="52.2">
      <c r="A16116" s="640" t="s">
        <v>4</v>
      </c>
      <c r="B16116" s="640" t="s">
        <v>5</v>
      </c>
      <c r="C16116" s="640" t="s">
        <v>6</v>
      </c>
      <c r="D16116" s="640" t="s">
        <v>7</v>
      </c>
      <c r="E16116" s="640" t="s">
        <v>8</v>
      </c>
      <c r="F16116" s="641" t="s">
        <v>9</v>
      </c>
      <c r="G16116" s="642" t="s">
        <v>10</v>
      </c>
      <c r="H16116" s="642" t="s">
        <v>11</v>
      </c>
      <c r="I16116" s="643" t="s">
        <v>12</v>
      </c>
      <c r="J16116" s="644" t="s">
        <v>13</v>
      </c>
      <c r="K16116" s="645" t="s">
        <v>14</v>
      </c>
      <c r="L16116" s="646" t="s">
        <v>15</v>
      </c>
      <c r="M16116" s="641" t="s">
        <v>16</v>
      </c>
      <c r="N16116" s="641" t="s">
        <v>17</v>
      </c>
      <c r="O16116" s="642" t="s">
        <v>18</v>
      </c>
      <c r="P16116" s="641" t="s">
        <v>192</v>
      </c>
    </row>
    <row r="16117" spans="1:16" ht="17.399999999999999">
      <c r="A16117" s="549"/>
      <c r="B16117" s="549"/>
      <c r="C16117" s="549"/>
      <c r="D16117" s="549"/>
      <c r="E16117" s="549"/>
      <c r="F16117" s="549"/>
      <c r="G16117" s="549"/>
      <c r="H16117" s="549"/>
      <c r="I16117" s="560"/>
      <c r="J16117" s="549"/>
      <c r="K16117" s="561"/>
      <c r="L16117" s="560"/>
      <c r="M16117" s="549"/>
      <c r="N16117" s="549"/>
      <c r="O16117" s="549"/>
      <c r="P16117" s="549"/>
    </row>
    <row r="16118" spans="1:16" ht="17.399999999999999">
      <c r="A16118" s="547" t="s">
        <v>272</v>
      </c>
      <c r="B16118" s="547" t="s">
        <v>1745</v>
      </c>
      <c r="C16118" s="547" t="s">
        <v>19</v>
      </c>
      <c r="D16118" s="813" t="s">
        <v>854</v>
      </c>
      <c r="E16118" s="547" t="s">
        <v>359</v>
      </c>
      <c r="F16118" s="549"/>
      <c r="G16118" s="549" t="s">
        <v>21</v>
      </c>
      <c r="H16118" s="549" t="s">
        <v>53</v>
      </c>
      <c r="I16118" s="647">
        <v>8.32</v>
      </c>
      <c r="J16118" s="567">
        <v>8</v>
      </c>
      <c r="K16118" s="648">
        <v>6</v>
      </c>
      <c r="L16118" s="552">
        <f t="shared" ref="L16118:L16121" si="3218">(I16118*J16118*K16118/1000)</f>
        <v>0.39935999999999999</v>
      </c>
      <c r="M16118" s="549"/>
      <c r="N16118" s="549"/>
      <c r="O16118" s="549"/>
      <c r="P16118" s="549"/>
    </row>
    <row r="16119" spans="1:16" ht="17.399999999999999">
      <c r="A16119" s="549"/>
      <c r="B16119" s="549" t="s">
        <v>1027</v>
      </c>
      <c r="C16119" s="549"/>
      <c r="D16119" s="549"/>
      <c r="E16119" s="549"/>
      <c r="F16119" s="549"/>
      <c r="G16119" s="549" t="s">
        <v>21</v>
      </c>
      <c r="H16119" s="549" t="s">
        <v>53</v>
      </c>
      <c r="I16119" s="647">
        <v>8.32</v>
      </c>
      <c r="J16119" s="567">
        <v>10.5</v>
      </c>
      <c r="K16119" s="648">
        <v>8</v>
      </c>
      <c r="L16119" s="552">
        <f t="shared" si="3218"/>
        <v>0.69887999999999995</v>
      </c>
      <c r="M16119" s="549"/>
      <c r="N16119" s="549"/>
      <c r="O16119" s="549"/>
      <c r="P16119" s="549"/>
    </row>
    <row r="16120" spans="1:16" ht="17.399999999999999">
      <c r="A16120" s="549"/>
      <c r="B16120" s="549"/>
      <c r="C16120" s="549"/>
      <c r="D16120" s="549"/>
      <c r="E16120" s="549"/>
      <c r="F16120" s="549"/>
      <c r="G16120" s="549" t="s">
        <v>21</v>
      </c>
      <c r="H16120" s="549" t="s">
        <v>53</v>
      </c>
      <c r="I16120" s="647">
        <v>8.32</v>
      </c>
      <c r="J16120" s="567">
        <v>11</v>
      </c>
      <c r="K16120" s="648">
        <v>3</v>
      </c>
      <c r="L16120" s="552">
        <f t="shared" si="3218"/>
        <v>0.27456000000000008</v>
      </c>
      <c r="M16120" s="549"/>
      <c r="N16120" s="549"/>
      <c r="O16120" s="549"/>
      <c r="P16120" s="549"/>
    </row>
    <row r="16121" spans="1:16" ht="17.399999999999999">
      <c r="A16121" s="549"/>
      <c r="B16121" s="549"/>
      <c r="C16121" s="549"/>
      <c r="D16121" s="549"/>
      <c r="E16121" s="549"/>
      <c r="F16121" s="549"/>
      <c r="G16121" s="549" t="s">
        <v>21</v>
      </c>
      <c r="H16121" s="549" t="s">
        <v>53</v>
      </c>
      <c r="I16121" s="647">
        <v>8.32</v>
      </c>
      <c r="J16121" s="567">
        <v>12</v>
      </c>
      <c r="K16121" s="648">
        <v>7</v>
      </c>
      <c r="L16121" s="552">
        <f t="shared" si="3218"/>
        <v>0.69887999999999995</v>
      </c>
      <c r="M16121" s="549"/>
      <c r="N16121" s="549"/>
      <c r="O16121" s="549"/>
      <c r="P16121" s="549"/>
    </row>
    <row r="16122" spans="1:16" ht="17.399999999999999">
      <c r="A16122" s="549"/>
      <c r="B16122" s="549"/>
      <c r="C16122" s="549"/>
      <c r="D16122" s="549"/>
      <c r="E16122" s="549"/>
      <c r="F16122" s="549"/>
      <c r="G16122" s="549"/>
      <c r="H16122" s="549"/>
      <c r="I16122" s="647"/>
      <c r="J16122" s="567"/>
      <c r="K16122" s="648">
        <f t="shared" ref="K16122:L16122" si="3219">SUM(K16118:K16121)</f>
        <v>24</v>
      </c>
      <c r="L16122" s="567">
        <f t="shared" si="3219"/>
        <v>2.0716799999999997</v>
      </c>
      <c r="M16122" s="549"/>
      <c r="N16122" s="549"/>
      <c r="O16122" s="549"/>
      <c r="P16122" s="549"/>
    </row>
    <row r="16123" spans="1:16" ht="17.399999999999999">
      <c r="A16123" s="547" t="s">
        <v>272</v>
      </c>
      <c r="B16123" s="547" t="s">
        <v>1745</v>
      </c>
      <c r="C16123" s="547" t="s">
        <v>19</v>
      </c>
      <c r="D16123" s="813" t="s">
        <v>854</v>
      </c>
      <c r="E16123" s="547" t="s">
        <v>359</v>
      </c>
      <c r="F16123" s="549"/>
      <c r="G16123" s="549" t="s">
        <v>21</v>
      </c>
      <c r="H16123" s="549" t="s">
        <v>54</v>
      </c>
      <c r="I16123" s="647">
        <v>9.61</v>
      </c>
      <c r="J16123" s="567">
        <v>10</v>
      </c>
      <c r="K16123" s="648">
        <v>8</v>
      </c>
      <c r="L16123" s="552">
        <f t="shared" ref="L16123:L16127" si="3220">(I16123*J16123*K16123/1000)</f>
        <v>0.76879999999999993</v>
      </c>
      <c r="M16123" s="549"/>
      <c r="N16123" s="549"/>
      <c r="O16123" s="549"/>
      <c r="P16123" s="549"/>
    </row>
    <row r="16124" spans="1:16" ht="17.399999999999999">
      <c r="A16124" s="549"/>
      <c r="B16124" s="549" t="s">
        <v>1027</v>
      </c>
      <c r="C16124" s="549"/>
      <c r="D16124" s="549"/>
      <c r="E16124" s="549"/>
      <c r="F16124" s="549"/>
      <c r="G16124" s="549" t="s">
        <v>21</v>
      </c>
      <c r="H16124" s="549" t="s">
        <v>54</v>
      </c>
      <c r="I16124" s="647">
        <v>9.61</v>
      </c>
      <c r="J16124" s="567">
        <v>10.5</v>
      </c>
      <c r="K16124" s="648">
        <v>2</v>
      </c>
      <c r="L16124" s="552">
        <f t="shared" si="3220"/>
        <v>0.20180999999999999</v>
      </c>
      <c r="M16124" s="549"/>
      <c r="N16124" s="549"/>
      <c r="O16124" s="549"/>
      <c r="P16124" s="549"/>
    </row>
    <row r="16125" spans="1:16" ht="17.399999999999999">
      <c r="A16125" s="549"/>
      <c r="B16125" s="549"/>
      <c r="C16125" s="549"/>
      <c r="D16125" s="549"/>
      <c r="E16125" s="549"/>
      <c r="F16125" s="549"/>
      <c r="G16125" s="549" t="s">
        <v>21</v>
      </c>
      <c r="H16125" s="549" t="s">
        <v>54</v>
      </c>
      <c r="I16125" s="647">
        <v>9.61</v>
      </c>
      <c r="J16125" s="567">
        <v>11</v>
      </c>
      <c r="K16125" s="648">
        <v>16</v>
      </c>
      <c r="L16125" s="552">
        <f t="shared" si="3220"/>
        <v>1.69136</v>
      </c>
      <c r="M16125" s="549"/>
      <c r="N16125" s="549"/>
      <c r="O16125" s="549"/>
      <c r="P16125" s="549"/>
    </row>
    <row r="16126" spans="1:16" ht="17.399999999999999">
      <c r="A16126" s="549"/>
      <c r="B16126" s="549"/>
      <c r="C16126" s="549"/>
      <c r="D16126" s="549"/>
      <c r="E16126" s="549"/>
      <c r="F16126" s="549"/>
      <c r="G16126" s="549" t="s">
        <v>21</v>
      </c>
      <c r="H16126" s="549" t="s">
        <v>54</v>
      </c>
      <c r="I16126" s="647">
        <v>9.61</v>
      </c>
      <c r="J16126" s="567">
        <v>11.5</v>
      </c>
      <c r="K16126" s="648">
        <v>2</v>
      </c>
      <c r="L16126" s="552">
        <f t="shared" si="3220"/>
        <v>0.22102999999999998</v>
      </c>
      <c r="M16126" s="549"/>
      <c r="N16126" s="549"/>
      <c r="O16126" s="549"/>
      <c r="P16126" s="549"/>
    </row>
    <row r="16127" spans="1:16" ht="17.399999999999999">
      <c r="A16127" s="549"/>
      <c r="B16127" s="549"/>
      <c r="C16127" s="549"/>
      <c r="D16127" s="549"/>
      <c r="E16127" s="549"/>
      <c r="F16127" s="549"/>
      <c r="G16127" s="549" t="s">
        <v>21</v>
      </c>
      <c r="H16127" s="549" t="s">
        <v>54</v>
      </c>
      <c r="I16127" s="647">
        <v>9.61</v>
      </c>
      <c r="J16127" s="567">
        <v>12</v>
      </c>
      <c r="K16127" s="648">
        <v>5</v>
      </c>
      <c r="L16127" s="552">
        <f t="shared" si="3220"/>
        <v>0.57659999999999989</v>
      </c>
      <c r="M16127" s="549"/>
      <c r="N16127" s="549"/>
      <c r="O16127" s="549"/>
      <c r="P16127" s="549"/>
    </row>
    <row r="16128" spans="1:16" ht="17.399999999999999">
      <c r="A16128" s="549"/>
      <c r="B16128" s="549"/>
      <c r="C16128" s="549"/>
      <c r="D16128" s="549"/>
      <c r="E16128" s="549"/>
      <c r="F16128" s="549"/>
      <c r="G16128" s="549"/>
      <c r="H16128" s="549"/>
      <c r="I16128" s="647"/>
      <c r="J16128" s="567"/>
      <c r="K16128" s="648">
        <f t="shared" ref="K16128:L16128" si="3221">SUM(K16123:K16127)</f>
        <v>33</v>
      </c>
      <c r="L16128" s="567">
        <f t="shared" si="3221"/>
        <v>3.4596</v>
      </c>
      <c r="M16128" s="549"/>
      <c r="N16128" s="549"/>
      <c r="O16128" s="549"/>
      <c r="P16128" s="549"/>
    </row>
    <row r="16129" spans="1:16" ht="17.399999999999999">
      <c r="A16129" s="549"/>
      <c r="B16129" s="549"/>
      <c r="C16129" s="549"/>
      <c r="D16129" s="549"/>
      <c r="E16129" s="549"/>
      <c r="F16129" s="549"/>
      <c r="G16129" s="549"/>
      <c r="H16129" s="549"/>
      <c r="I16129" s="560"/>
      <c r="J16129" s="549"/>
      <c r="K16129" s="561"/>
      <c r="L16129" s="560"/>
      <c r="M16129" s="549"/>
      <c r="N16129" s="549"/>
      <c r="O16129" s="549"/>
      <c r="P16129" s="549"/>
    </row>
    <row r="16130" spans="1:16" ht="17.399999999999999">
      <c r="A16130" s="549"/>
      <c r="B16130" s="549"/>
      <c r="C16130" s="549"/>
      <c r="D16130" s="549"/>
      <c r="E16130" s="549"/>
      <c r="F16130" s="549"/>
      <c r="G16130" s="549"/>
      <c r="H16130" s="549"/>
      <c r="I16130" s="560"/>
      <c r="J16130" s="549"/>
      <c r="K16130" s="561"/>
      <c r="L16130" s="560"/>
      <c r="M16130" s="549"/>
      <c r="N16130" s="549"/>
      <c r="O16130" s="549"/>
      <c r="P16130" s="549"/>
    </row>
    <row r="16131" spans="1:16" ht="17.399999999999999">
      <c r="A16131" s="547" t="s">
        <v>272</v>
      </c>
      <c r="B16131" s="547" t="s">
        <v>1745</v>
      </c>
      <c r="C16131" s="547" t="s">
        <v>19</v>
      </c>
      <c r="D16131" s="813" t="s">
        <v>155</v>
      </c>
      <c r="E16131" s="547" t="s">
        <v>270</v>
      </c>
      <c r="F16131" s="549"/>
      <c r="G16131" s="549" t="s">
        <v>61</v>
      </c>
      <c r="H16131" s="549" t="s">
        <v>53</v>
      </c>
      <c r="I16131" s="647">
        <v>8.32</v>
      </c>
      <c r="J16131" s="567">
        <v>6</v>
      </c>
      <c r="K16131" s="648">
        <v>1</v>
      </c>
      <c r="L16131" s="552">
        <f t="shared" ref="L16131:L16133" si="3222">(I16131*J16131*K16131/1000)</f>
        <v>4.9919999999999999E-2</v>
      </c>
      <c r="M16131" s="549"/>
      <c r="N16131" s="549"/>
      <c r="O16131" s="549"/>
      <c r="P16131" s="549"/>
    </row>
    <row r="16132" spans="1:16" ht="17.399999999999999">
      <c r="A16132" s="549"/>
      <c r="B16132" s="549" t="s">
        <v>1027</v>
      </c>
      <c r="C16132" s="549"/>
      <c r="D16132" s="549"/>
      <c r="E16132" s="549"/>
      <c r="F16132" s="549"/>
      <c r="G16132" s="549" t="s">
        <v>61</v>
      </c>
      <c r="H16132" s="549" t="s">
        <v>53</v>
      </c>
      <c r="I16132" s="647">
        <v>8.32</v>
      </c>
      <c r="J16132" s="567">
        <v>7.2</v>
      </c>
      <c r="K16132" s="648">
        <v>4</v>
      </c>
      <c r="L16132" s="552">
        <f t="shared" si="3222"/>
        <v>0.23961600000000002</v>
      </c>
      <c r="M16132" s="549"/>
      <c r="N16132" s="549"/>
      <c r="O16132" s="549"/>
      <c r="P16132" s="549"/>
    </row>
    <row r="16133" spans="1:16" ht="17.399999999999999">
      <c r="A16133" s="549"/>
      <c r="B16133" s="549"/>
      <c r="C16133" s="549"/>
      <c r="D16133" s="549"/>
      <c r="E16133" s="549"/>
      <c r="F16133" s="549"/>
      <c r="G16133" s="549" t="s">
        <v>61</v>
      </c>
      <c r="H16133" s="549" t="s">
        <v>53</v>
      </c>
      <c r="I16133" s="647">
        <v>8.32</v>
      </c>
      <c r="J16133" s="567">
        <v>11.25</v>
      </c>
      <c r="K16133" s="648">
        <v>2</v>
      </c>
      <c r="L16133" s="552">
        <f t="shared" si="3222"/>
        <v>0.18720000000000001</v>
      </c>
      <c r="M16133" s="549"/>
      <c r="N16133" s="549"/>
      <c r="O16133" s="549"/>
      <c r="P16133" s="549"/>
    </row>
    <row r="16134" spans="1:16" ht="17.399999999999999">
      <c r="A16134" s="549"/>
      <c r="B16134" s="549"/>
      <c r="C16134" s="549"/>
      <c r="D16134" s="549"/>
      <c r="E16134" s="549"/>
      <c r="F16134" s="549"/>
      <c r="G16134" s="549"/>
      <c r="H16134" s="549"/>
      <c r="I16134" s="647"/>
      <c r="J16134" s="567"/>
      <c r="K16134" s="648">
        <f t="shared" ref="K16134:L16134" si="3223">SUM(K16131:K16133)</f>
        <v>7</v>
      </c>
      <c r="L16134" s="567">
        <f t="shared" si="3223"/>
        <v>0.47673600000000005</v>
      </c>
      <c r="M16134" s="549"/>
      <c r="N16134" s="549"/>
      <c r="O16134" s="549"/>
      <c r="P16134" s="549"/>
    </row>
    <row r="16135" spans="1:16" ht="17.399999999999999">
      <c r="A16135" s="547" t="s">
        <v>272</v>
      </c>
      <c r="B16135" s="547" t="s">
        <v>1745</v>
      </c>
      <c r="C16135" s="547" t="s">
        <v>19</v>
      </c>
      <c r="D16135" s="813" t="s">
        <v>155</v>
      </c>
      <c r="E16135" s="547" t="s">
        <v>270</v>
      </c>
      <c r="F16135" s="549"/>
      <c r="G16135" s="549" t="s">
        <v>61</v>
      </c>
      <c r="H16135" s="549" t="s">
        <v>54</v>
      </c>
      <c r="I16135" s="647">
        <v>9.61</v>
      </c>
      <c r="J16135" s="567">
        <v>10</v>
      </c>
      <c r="K16135" s="648">
        <v>2</v>
      </c>
      <c r="L16135" s="552">
        <f t="shared" ref="L16135:L16136" si="3224">(I16135*J16135*K16135/1000)</f>
        <v>0.19219999999999998</v>
      </c>
      <c r="M16135" s="549"/>
      <c r="N16135" s="549"/>
      <c r="O16135" s="549"/>
      <c r="P16135" s="549"/>
    </row>
    <row r="16136" spans="1:16" ht="17.399999999999999">
      <c r="A16136" s="549"/>
      <c r="B16136" s="549" t="s">
        <v>1027</v>
      </c>
      <c r="C16136" s="549"/>
      <c r="D16136" s="549"/>
      <c r="E16136" s="549"/>
      <c r="F16136" s="549"/>
      <c r="G16136" s="549" t="s">
        <v>61</v>
      </c>
      <c r="H16136" s="549" t="s">
        <v>54</v>
      </c>
      <c r="I16136" s="647">
        <v>9.61</v>
      </c>
      <c r="J16136" s="567">
        <v>12</v>
      </c>
      <c r="K16136" s="648">
        <v>1</v>
      </c>
      <c r="L16136" s="552">
        <f t="shared" si="3224"/>
        <v>0.11531999999999999</v>
      </c>
      <c r="M16136" s="549"/>
      <c r="N16136" s="549"/>
      <c r="O16136" s="549"/>
      <c r="P16136" s="549"/>
    </row>
    <row r="16137" spans="1:16" ht="17.399999999999999">
      <c r="A16137" s="549"/>
      <c r="B16137" s="549"/>
      <c r="C16137" s="549"/>
      <c r="D16137" s="549"/>
      <c r="E16137" s="549"/>
      <c r="F16137" s="549"/>
      <c r="G16137" s="549"/>
      <c r="H16137" s="549"/>
      <c r="I16137" s="647"/>
      <c r="J16137" s="567"/>
      <c r="K16137" s="648">
        <f t="shared" ref="K16137:L16137" si="3225">SUM(K16135:K16136)</f>
        <v>3</v>
      </c>
      <c r="L16137" s="567">
        <f t="shared" si="3225"/>
        <v>0.30751999999999996</v>
      </c>
      <c r="M16137" s="549"/>
      <c r="N16137" s="549"/>
      <c r="O16137" s="549"/>
      <c r="P16137" s="549"/>
    </row>
    <row r="16138" spans="1:16" ht="17.399999999999999">
      <c r="A16138" s="549"/>
      <c r="B16138" s="549"/>
      <c r="C16138" s="549"/>
      <c r="D16138" s="549"/>
      <c r="E16138" s="549"/>
      <c r="F16138" s="549"/>
      <c r="G16138" s="549"/>
      <c r="H16138" s="549"/>
      <c r="I16138" s="560"/>
      <c r="J16138" s="549"/>
      <c r="K16138" s="561"/>
      <c r="L16138" s="560"/>
      <c r="M16138" s="549"/>
      <c r="N16138" s="549"/>
      <c r="O16138" s="549"/>
      <c r="P16138" s="549"/>
    </row>
    <row r="16139" spans="1:16" ht="17.399999999999999">
      <c r="A16139" s="549"/>
      <c r="B16139" s="549"/>
      <c r="C16139" s="549"/>
      <c r="D16139" s="549"/>
      <c r="E16139" s="549"/>
      <c r="F16139" s="549"/>
      <c r="G16139" s="549"/>
      <c r="H16139" s="549"/>
      <c r="I16139" s="560"/>
      <c r="J16139" s="549"/>
      <c r="K16139" s="561"/>
      <c r="L16139" s="560"/>
      <c r="M16139" s="549"/>
      <c r="N16139" s="549"/>
      <c r="O16139" s="549"/>
      <c r="P16139" s="549"/>
    </row>
    <row r="16140" spans="1:16" ht="17.399999999999999">
      <c r="A16140" s="547" t="s">
        <v>272</v>
      </c>
      <c r="B16140" s="547" t="s">
        <v>1745</v>
      </c>
      <c r="C16140" s="547" t="s">
        <v>19</v>
      </c>
      <c r="D16140" s="813" t="s">
        <v>854</v>
      </c>
      <c r="E16140" s="547" t="s">
        <v>359</v>
      </c>
      <c r="F16140" s="549"/>
      <c r="G16140" s="549" t="s">
        <v>21</v>
      </c>
      <c r="H16140" s="549" t="s">
        <v>118</v>
      </c>
      <c r="I16140" s="647">
        <v>9.26</v>
      </c>
      <c r="J16140" s="567">
        <v>10</v>
      </c>
      <c r="K16140" s="648">
        <v>5</v>
      </c>
      <c r="L16140" s="552">
        <f t="shared" ref="L16140:L16142" si="3226">(I16140*J16140*K16140/1000)</f>
        <v>0.46300000000000002</v>
      </c>
      <c r="M16140" s="549"/>
      <c r="N16140" s="549"/>
      <c r="O16140" s="549"/>
      <c r="P16140" s="549"/>
    </row>
    <row r="16141" spans="1:16" ht="17.399999999999999">
      <c r="A16141" s="549"/>
      <c r="B16141" s="549" t="s">
        <v>1027</v>
      </c>
      <c r="C16141" s="549"/>
      <c r="D16141" s="549"/>
      <c r="E16141" s="549"/>
      <c r="F16141" s="549"/>
      <c r="G16141" s="549" t="s">
        <v>21</v>
      </c>
      <c r="H16141" s="549" t="s">
        <v>118</v>
      </c>
      <c r="I16141" s="647">
        <v>9.26</v>
      </c>
      <c r="J16141" s="567">
        <v>10.5</v>
      </c>
      <c r="K16141" s="648">
        <v>8</v>
      </c>
      <c r="L16141" s="552">
        <f t="shared" si="3226"/>
        <v>0.77784000000000009</v>
      </c>
      <c r="M16141" s="549"/>
      <c r="N16141" s="549"/>
      <c r="O16141" s="549"/>
      <c r="P16141" s="549"/>
    </row>
    <row r="16142" spans="1:16" ht="17.399999999999999">
      <c r="A16142" s="549"/>
      <c r="B16142" s="549"/>
      <c r="C16142" s="549"/>
      <c r="D16142" s="549"/>
      <c r="E16142" s="549"/>
      <c r="F16142" s="549"/>
      <c r="G16142" s="549" t="s">
        <v>21</v>
      </c>
      <c r="H16142" s="549" t="s">
        <v>118</v>
      </c>
      <c r="I16142" s="647">
        <v>9.26</v>
      </c>
      <c r="J16142" s="567">
        <v>11</v>
      </c>
      <c r="K16142" s="648">
        <v>13</v>
      </c>
      <c r="L16142" s="552">
        <f t="shared" si="3226"/>
        <v>1.3241800000000001</v>
      </c>
      <c r="M16142" s="549"/>
      <c r="N16142" s="549"/>
      <c r="O16142" s="549"/>
      <c r="P16142" s="549"/>
    </row>
    <row r="16143" spans="1:16" ht="17.399999999999999">
      <c r="A16143" s="549"/>
      <c r="B16143" s="549"/>
      <c r="C16143" s="549"/>
      <c r="D16143" s="549"/>
      <c r="E16143" s="549"/>
      <c r="F16143" s="549"/>
      <c r="G16143" s="549"/>
      <c r="H16143" s="549"/>
      <c r="I16143" s="647"/>
      <c r="J16143" s="567"/>
      <c r="K16143" s="648">
        <f t="shared" ref="K16143:L16143" si="3227">SUM(K16140:K16142)</f>
        <v>26</v>
      </c>
      <c r="L16143" s="567">
        <f t="shared" si="3227"/>
        <v>2.5650200000000005</v>
      </c>
      <c r="M16143" s="549"/>
      <c r="N16143" s="549"/>
      <c r="O16143" s="549"/>
      <c r="P16143" s="549"/>
    </row>
    <row r="16144" spans="1:16" ht="17.399999999999999">
      <c r="A16144" s="547" t="s">
        <v>272</v>
      </c>
      <c r="B16144" s="547" t="s">
        <v>1745</v>
      </c>
      <c r="C16144" s="547" t="s">
        <v>19</v>
      </c>
      <c r="D16144" s="813" t="s">
        <v>854</v>
      </c>
      <c r="E16144" s="547" t="s">
        <v>359</v>
      </c>
      <c r="F16144" s="549"/>
      <c r="G16144" s="549" t="s">
        <v>21</v>
      </c>
      <c r="H16144" s="549" t="s">
        <v>119</v>
      </c>
      <c r="I16144" s="647">
        <v>10.73</v>
      </c>
      <c r="J16144" s="567">
        <v>10</v>
      </c>
      <c r="K16144" s="648">
        <v>7</v>
      </c>
      <c r="L16144" s="552">
        <f t="shared" ref="L16144:L16146" si="3228">(I16144*J16144*K16144/1000)</f>
        <v>0.7511000000000001</v>
      </c>
      <c r="M16144" s="549"/>
      <c r="N16144" s="549"/>
      <c r="O16144" s="549"/>
      <c r="P16144" s="549"/>
    </row>
    <row r="16145" spans="1:16" ht="17.399999999999999">
      <c r="A16145" s="549"/>
      <c r="B16145" s="549" t="s">
        <v>1027</v>
      </c>
      <c r="C16145" s="549"/>
      <c r="D16145" s="549"/>
      <c r="E16145" s="549"/>
      <c r="F16145" s="549"/>
      <c r="G16145" s="549" t="s">
        <v>21</v>
      </c>
      <c r="H16145" s="549" t="s">
        <v>119</v>
      </c>
      <c r="I16145" s="647">
        <v>10.73</v>
      </c>
      <c r="J16145" s="567">
        <v>10.5</v>
      </c>
      <c r="K16145" s="648">
        <v>10</v>
      </c>
      <c r="L16145" s="552">
        <f t="shared" si="3228"/>
        <v>1.1266500000000002</v>
      </c>
      <c r="M16145" s="549"/>
      <c r="N16145" s="549"/>
      <c r="O16145" s="549"/>
      <c r="P16145" s="549"/>
    </row>
    <row r="16146" spans="1:16" ht="17.399999999999999">
      <c r="A16146" s="549"/>
      <c r="B16146" s="549"/>
      <c r="C16146" s="549"/>
      <c r="D16146" s="549"/>
      <c r="E16146" s="549"/>
      <c r="F16146" s="549"/>
      <c r="G16146" s="549" t="s">
        <v>21</v>
      </c>
      <c r="H16146" s="549" t="s">
        <v>119</v>
      </c>
      <c r="I16146" s="647">
        <v>10.73</v>
      </c>
      <c r="J16146" s="567">
        <v>12</v>
      </c>
      <c r="K16146" s="648">
        <v>4</v>
      </c>
      <c r="L16146" s="552">
        <f t="shared" si="3228"/>
        <v>0.51503999999999994</v>
      </c>
      <c r="M16146" s="549"/>
      <c r="N16146" s="549"/>
      <c r="O16146" s="549"/>
      <c r="P16146" s="549"/>
    </row>
    <row r="16147" spans="1:16" ht="17.399999999999999">
      <c r="A16147" s="549"/>
      <c r="B16147" s="549"/>
      <c r="C16147" s="549"/>
      <c r="D16147" s="549"/>
      <c r="E16147" s="549"/>
      <c r="F16147" s="549"/>
      <c r="G16147" s="549"/>
      <c r="H16147" s="549"/>
      <c r="I16147" s="647"/>
      <c r="J16147" s="567"/>
      <c r="K16147" s="648">
        <f t="shared" ref="K16147:L16147" si="3229">SUM(K16144:K16146)</f>
        <v>21</v>
      </c>
      <c r="L16147" s="567">
        <f t="shared" si="3229"/>
        <v>2.3927900000000002</v>
      </c>
      <c r="M16147" s="549"/>
      <c r="N16147" s="549"/>
      <c r="O16147" s="549"/>
      <c r="P16147" s="549"/>
    </row>
    <row r="16148" spans="1:16" ht="17.399999999999999">
      <c r="A16148" s="549"/>
      <c r="B16148" s="549"/>
      <c r="C16148" s="549"/>
      <c r="D16148" s="549"/>
      <c r="E16148" s="549"/>
      <c r="F16148" s="549"/>
      <c r="G16148" s="549"/>
      <c r="H16148" s="549"/>
      <c r="I16148" s="560"/>
      <c r="J16148" s="549"/>
      <c r="K16148" s="561"/>
      <c r="L16148" s="560"/>
      <c r="M16148" s="549"/>
      <c r="N16148" s="549"/>
      <c r="O16148" s="549"/>
      <c r="P16148" s="549"/>
    </row>
    <row r="16149" spans="1:16" ht="17.399999999999999">
      <c r="A16149" s="549"/>
      <c r="B16149" s="549"/>
      <c r="C16149" s="549"/>
      <c r="D16149" s="549"/>
      <c r="E16149" s="549"/>
      <c r="F16149" s="549"/>
      <c r="G16149" s="549"/>
      <c r="H16149" s="549"/>
      <c r="I16149" s="560"/>
      <c r="J16149" s="549"/>
      <c r="K16149" s="561"/>
      <c r="L16149" s="560"/>
      <c r="M16149" s="549"/>
      <c r="N16149" s="549"/>
      <c r="O16149" s="549"/>
      <c r="P16149" s="549"/>
    </row>
    <row r="16150" spans="1:16" ht="17.399999999999999">
      <c r="A16150" s="547" t="s">
        <v>272</v>
      </c>
      <c r="B16150" s="547" t="s">
        <v>1745</v>
      </c>
      <c r="C16150" s="547" t="s">
        <v>19</v>
      </c>
      <c r="D16150" s="813" t="s">
        <v>155</v>
      </c>
      <c r="E16150" s="547" t="s">
        <v>270</v>
      </c>
      <c r="F16150" s="549"/>
      <c r="G16150" s="549" t="s">
        <v>61</v>
      </c>
      <c r="H16150" s="549" t="s">
        <v>118</v>
      </c>
      <c r="I16150" s="647">
        <v>9.26</v>
      </c>
      <c r="J16150" s="567">
        <v>9.5</v>
      </c>
      <c r="K16150" s="648">
        <v>2</v>
      </c>
      <c r="L16150" s="552">
        <f>(I16150*J16150*K16150/1000)</f>
        <v>0.17593999999999999</v>
      </c>
      <c r="M16150" s="549"/>
      <c r="N16150" s="549"/>
      <c r="O16150" s="549"/>
      <c r="P16150" s="549"/>
    </row>
    <row r="16151" spans="1:16" ht="17.399999999999999">
      <c r="A16151" s="549"/>
      <c r="B16151" s="549" t="s">
        <v>1027</v>
      </c>
      <c r="C16151" s="549"/>
      <c r="D16151" s="549"/>
      <c r="E16151" s="549"/>
      <c r="F16151" s="549"/>
      <c r="G16151" s="549"/>
      <c r="H16151" s="549"/>
      <c r="I16151" s="647"/>
      <c r="J16151" s="567"/>
      <c r="K16151" s="648">
        <f>SUM(K16150)</f>
        <v>2</v>
      </c>
      <c r="L16151" s="567">
        <f t="shared" ref="L16151" si="3230">SUM(L16150)</f>
        <v>0.17593999999999999</v>
      </c>
      <c r="M16151" s="549"/>
      <c r="N16151" s="549"/>
      <c r="O16151" s="549"/>
      <c r="P16151" s="549"/>
    </row>
    <row r="16152" spans="1:16" ht="17.399999999999999">
      <c r="A16152" s="547" t="s">
        <v>272</v>
      </c>
      <c r="B16152" s="547" t="s">
        <v>1745</v>
      </c>
      <c r="C16152" s="547" t="s">
        <v>19</v>
      </c>
      <c r="D16152" s="813" t="s">
        <v>155</v>
      </c>
      <c r="E16152" s="547" t="s">
        <v>270</v>
      </c>
      <c r="F16152" s="549"/>
      <c r="G16152" s="549" t="s">
        <v>61</v>
      </c>
      <c r="H16152" s="549" t="s">
        <v>119</v>
      </c>
      <c r="I16152" s="647">
        <v>10.73</v>
      </c>
      <c r="J16152" s="567">
        <v>7.1</v>
      </c>
      <c r="K16152" s="648">
        <v>4</v>
      </c>
      <c r="L16152" s="552">
        <f t="shared" ref="L16152:L16153" si="3231">(I16152*J16152*K16152/1000)</f>
        <v>0.30473199999999995</v>
      </c>
      <c r="M16152" s="549"/>
      <c r="N16152" s="549"/>
      <c r="O16152" s="549"/>
      <c r="P16152" s="549"/>
    </row>
    <row r="16153" spans="1:16" ht="17.399999999999999">
      <c r="A16153" s="549"/>
      <c r="B16153" s="549" t="s">
        <v>1027</v>
      </c>
      <c r="C16153" s="549"/>
      <c r="D16153" s="549"/>
      <c r="E16153" s="549"/>
      <c r="F16153" s="549"/>
      <c r="G16153" s="549" t="s">
        <v>61</v>
      </c>
      <c r="H16153" s="549" t="s">
        <v>119</v>
      </c>
      <c r="I16153" s="647">
        <v>10.73</v>
      </c>
      <c r="J16153" s="567">
        <v>11.5</v>
      </c>
      <c r="K16153" s="648">
        <v>4</v>
      </c>
      <c r="L16153" s="552">
        <f t="shared" si="3231"/>
        <v>0.49358000000000002</v>
      </c>
      <c r="M16153" s="549"/>
      <c r="N16153" s="549"/>
      <c r="O16153" s="549"/>
      <c r="P16153" s="549"/>
    </row>
    <row r="16154" spans="1:16" ht="17.399999999999999">
      <c r="A16154" s="549"/>
      <c r="B16154" s="549"/>
      <c r="C16154" s="549"/>
      <c r="D16154" s="549"/>
      <c r="E16154" s="549"/>
      <c r="F16154" s="549"/>
      <c r="G16154" s="549"/>
      <c r="H16154" s="549"/>
      <c r="I16154" s="647"/>
      <c r="J16154" s="567"/>
      <c r="K16154" s="648">
        <f t="shared" ref="K16154:L16154" si="3232">SUM(K16152:K16153)</f>
        <v>8</v>
      </c>
      <c r="L16154" s="567">
        <f t="shared" si="3232"/>
        <v>0.79831199999999991</v>
      </c>
      <c r="M16154" s="549"/>
      <c r="N16154" s="549"/>
      <c r="O16154" s="549"/>
      <c r="P16154" s="549"/>
    </row>
    <row r="16155" spans="1:16" ht="17.399999999999999">
      <c r="A16155" s="549"/>
      <c r="B16155" s="549"/>
      <c r="C16155" s="549"/>
      <c r="D16155" s="549"/>
      <c r="E16155" s="549"/>
      <c r="F16155" s="549"/>
      <c r="G16155" s="549"/>
      <c r="H16155" s="549"/>
      <c r="I16155" s="560"/>
      <c r="J16155" s="549"/>
      <c r="K16155" s="561"/>
      <c r="L16155" s="560"/>
      <c r="M16155" s="549"/>
      <c r="N16155" s="549"/>
      <c r="O16155" s="549"/>
      <c r="P16155" s="549"/>
    </row>
    <row r="16156" spans="1:16" ht="17.399999999999999">
      <c r="A16156" s="549"/>
      <c r="B16156" s="549"/>
      <c r="C16156" s="549"/>
      <c r="D16156" s="549"/>
      <c r="E16156" s="549"/>
      <c r="F16156" s="549"/>
      <c r="G16156" s="549"/>
      <c r="H16156" s="549"/>
      <c r="I16156" s="560"/>
      <c r="J16156" s="549"/>
      <c r="K16156" s="561"/>
      <c r="L16156" s="560"/>
      <c r="M16156" s="549"/>
      <c r="N16156" s="549"/>
      <c r="O16156" s="549"/>
      <c r="P16156" s="549"/>
    </row>
    <row r="16157" spans="1:16" ht="17.399999999999999">
      <c r="A16157" s="547" t="s">
        <v>272</v>
      </c>
      <c r="B16157" s="547" t="s">
        <v>1745</v>
      </c>
      <c r="C16157" s="547" t="s">
        <v>19</v>
      </c>
      <c r="D16157" s="813" t="s">
        <v>854</v>
      </c>
      <c r="E16157" s="547" t="s">
        <v>359</v>
      </c>
      <c r="F16157" s="549"/>
      <c r="G16157" s="549" t="s">
        <v>21</v>
      </c>
      <c r="H16157" s="549" t="s">
        <v>120</v>
      </c>
      <c r="I16157" s="647">
        <v>18.149999999999999</v>
      </c>
      <c r="J16157" s="567">
        <v>7</v>
      </c>
      <c r="K16157" s="648">
        <v>6</v>
      </c>
      <c r="L16157" s="552">
        <f t="shared" ref="L16157:L16159" si="3233">(I16157*J16157*K16157/1000)</f>
        <v>0.76229999999999998</v>
      </c>
      <c r="M16157" s="549"/>
      <c r="N16157" s="549"/>
      <c r="O16157" s="549"/>
      <c r="P16157" s="549"/>
    </row>
    <row r="16158" spans="1:16" ht="17.399999999999999">
      <c r="A16158" s="549"/>
      <c r="B16158" s="549" t="s">
        <v>1027</v>
      </c>
      <c r="C16158" s="549"/>
      <c r="D16158" s="549"/>
      <c r="E16158" s="549"/>
      <c r="F16158" s="549"/>
      <c r="G16158" s="549" t="s">
        <v>21</v>
      </c>
      <c r="H16158" s="549" t="s">
        <v>120</v>
      </c>
      <c r="I16158" s="647">
        <v>18.149999999999999</v>
      </c>
      <c r="J16158" s="567">
        <v>7.3</v>
      </c>
      <c r="K16158" s="648">
        <v>4</v>
      </c>
      <c r="L16158" s="552">
        <f t="shared" si="3233"/>
        <v>0.5299799999999999</v>
      </c>
      <c r="M16158" s="549"/>
      <c r="N16158" s="549"/>
      <c r="O16158" s="549"/>
      <c r="P16158" s="549"/>
    </row>
    <row r="16159" spans="1:16" ht="17.399999999999999">
      <c r="A16159" s="549"/>
      <c r="B16159" s="549"/>
      <c r="C16159" s="549"/>
      <c r="D16159" s="549"/>
      <c r="E16159" s="549"/>
      <c r="F16159" s="549"/>
      <c r="G16159" s="549" t="s">
        <v>21</v>
      </c>
      <c r="H16159" s="549" t="s">
        <v>120</v>
      </c>
      <c r="I16159" s="647">
        <v>18.149999999999999</v>
      </c>
      <c r="J16159" s="567">
        <v>11</v>
      </c>
      <c r="K16159" s="648">
        <v>2</v>
      </c>
      <c r="L16159" s="552">
        <f t="shared" si="3233"/>
        <v>0.39929999999999993</v>
      </c>
      <c r="M16159" s="549"/>
      <c r="N16159" s="549"/>
      <c r="O16159" s="549"/>
      <c r="P16159" s="549"/>
    </row>
    <row r="16160" spans="1:16" ht="17.399999999999999">
      <c r="A16160" s="549"/>
      <c r="B16160" s="549"/>
      <c r="C16160" s="549"/>
      <c r="D16160" s="549"/>
      <c r="E16160" s="549"/>
      <c r="F16160" s="549"/>
      <c r="G16160" s="549"/>
      <c r="H16160" s="549"/>
      <c r="I16160" s="647"/>
      <c r="J16160" s="567"/>
      <c r="K16160" s="648">
        <f t="shared" ref="K16160:L16160" si="3234">SUM(K16157:K16159)</f>
        <v>12</v>
      </c>
      <c r="L16160" s="567">
        <f t="shared" si="3234"/>
        <v>1.6915799999999999</v>
      </c>
      <c r="M16160" s="549"/>
      <c r="N16160" s="549"/>
      <c r="O16160" s="549"/>
      <c r="P16160" s="549"/>
    </row>
    <row r="16161" spans="1:16" ht="17.399999999999999">
      <c r="A16161" s="547" t="s">
        <v>272</v>
      </c>
      <c r="B16161" s="547" t="s">
        <v>1745</v>
      </c>
      <c r="C16161" s="547" t="s">
        <v>19</v>
      </c>
      <c r="D16161" s="813" t="s">
        <v>854</v>
      </c>
      <c r="E16161" s="547" t="s">
        <v>359</v>
      </c>
      <c r="F16161" s="549"/>
      <c r="G16161" s="549" t="s">
        <v>21</v>
      </c>
      <c r="H16161" s="549" t="s">
        <v>122</v>
      </c>
      <c r="I16161" s="647">
        <v>14.66</v>
      </c>
      <c r="J16161" s="567">
        <v>6</v>
      </c>
      <c r="K16161" s="648">
        <v>4</v>
      </c>
      <c r="L16161" s="552">
        <f t="shared" ref="L16161:L16163" si="3235">(I16161*J16161*K16161/1000)</f>
        <v>0.35184000000000004</v>
      </c>
      <c r="M16161" s="549"/>
      <c r="N16161" s="549"/>
      <c r="O16161" s="549"/>
      <c r="P16161" s="549"/>
    </row>
    <row r="16162" spans="1:16" ht="17.399999999999999">
      <c r="A16162" s="549"/>
      <c r="B16162" s="549" t="s">
        <v>1027</v>
      </c>
      <c r="C16162" s="549"/>
      <c r="D16162" s="549"/>
      <c r="E16162" s="549"/>
      <c r="F16162" s="549"/>
      <c r="G16162" s="549" t="s">
        <v>21</v>
      </c>
      <c r="H16162" s="549" t="s">
        <v>122</v>
      </c>
      <c r="I16162" s="647">
        <v>14.66</v>
      </c>
      <c r="J16162" s="567">
        <v>11</v>
      </c>
      <c r="K16162" s="648">
        <v>4</v>
      </c>
      <c r="L16162" s="552">
        <f t="shared" si="3235"/>
        <v>0.64503999999999995</v>
      </c>
      <c r="M16162" s="549"/>
      <c r="N16162" s="549"/>
      <c r="O16162" s="549"/>
      <c r="P16162" s="549"/>
    </row>
    <row r="16163" spans="1:16" ht="17.399999999999999">
      <c r="A16163" s="549"/>
      <c r="B16163" s="549"/>
      <c r="C16163" s="549"/>
      <c r="D16163" s="549"/>
      <c r="E16163" s="549"/>
      <c r="F16163" s="549"/>
      <c r="G16163" s="549" t="s">
        <v>21</v>
      </c>
      <c r="H16163" s="549" t="s">
        <v>122</v>
      </c>
      <c r="I16163" s="647">
        <v>14.66</v>
      </c>
      <c r="J16163" s="567">
        <v>12</v>
      </c>
      <c r="K16163" s="648">
        <v>5</v>
      </c>
      <c r="L16163" s="552">
        <f t="shared" si="3235"/>
        <v>0.87960000000000016</v>
      </c>
      <c r="M16163" s="549"/>
      <c r="N16163" s="549"/>
      <c r="O16163" s="549"/>
      <c r="P16163" s="549"/>
    </row>
    <row r="16164" spans="1:16" ht="17.399999999999999">
      <c r="A16164" s="549"/>
      <c r="B16164" s="549"/>
      <c r="C16164" s="549"/>
      <c r="D16164" s="549"/>
      <c r="E16164" s="549"/>
      <c r="F16164" s="549"/>
      <c r="G16164" s="549"/>
      <c r="H16164" s="549"/>
      <c r="I16164" s="647"/>
      <c r="J16164" s="567"/>
      <c r="K16164" s="648">
        <f t="shared" ref="K16164:L16164" si="3236">SUM(K16161:K16163)</f>
        <v>13</v>
      </c>
      <c r="L16164" s="567">
        <f t="shared" si="3236"/>
        <v>1.8764800000000001</v>
      </c>
      <c r="M16164" s="549"/>
      <c r="N16164" s="549"/>
      <c r="O16164" s="549"/>
      <c r="P16164" s="549"/>
    </row>
    <row r="16165" spans="1:16" ht="17.399999999999999">
      <c r="A16165" s="549"/>
      <c r="B16165" s="549"/>
      <c r="C16165" s="549"/>
      <c r="D16165" s="549"/>
      <c r="E16165" s="549"/>
      <c r="F16165" s="549"/>
      <c r="G16165" s="549"/>
      <c r="H16165" s="549"/>
      <c r="I16165" s="560"/>
      <c r="J16165" s="549"/>
      <c r="K16165" s="561"/>
      <c r="L16165" s="560"/>
      <c r="M16165" s="549"/>
      <c r="N16165" s="549"/>
      <c r="O16165" s="549"/>
      <c r="P16165" s="549"/>
    </row>
    <row r="16166" spans="1:16" ht="17.399999999999999">
      <c r="A16166" s="549"/>
      <c r="B16166" s="549"/>
      <c r="C16166" s="549"/>
      <c r="D16166" s="549"/>
      <c r="E16166" s="549"/>
      <c r="F16166" s="549"/>
      <c r="G16166" s="549"/>
      <c r="H16166" s="549"/>
      <c r="I16166" s="560"/>
      <c r="J16166" s="549"/>
      <c r="K16166" s="561"/>
      <c r="L16166" s="560"/>
      <c r="M16166" s="549"/>
      <c r="N16166" s="549"/>
      <c r="O16166" s="549"/>
      <c r="P16166" s="549"/>
    </row>
    <row r="16167" spans="1:16" ht="17.399999999999999">
      <c r="A16167" s="549"/>
      <c r="B16167" s="549"/>
      <c r="C16167" s="549"/>
      <c r="D16167" s="549"/>
      <c r="E16167" s="549"/>
      <c r="F16167" s="549"/>
      <c r="G16167" s="549"/>
      <c r="H16167" s="549"/>
      <c r="I16167" s="560"/>
      <c r="J16167" s="549"/>
      <c r="K16167" s="561"/>
      <c r="L16167" s="560"/>
      <c r="M16167" s="549"/>
      <c r="N16167" s="549"/>
      <c r="O16167" s="549"/>
      <c r="P16167" s="549"/>
    </row>
    <row r="16168" spans="1:16" ht="17.399999999999999">
      <c r="A16168" s="547" t="s">
        <v>272</v>
      </c>
      <c r="B16168" s="547" t="s">
        <v>1745</v>
      </c>
      <c r="C16168" s="547" t="s">
        <v>19</v>
      </c>
      <c r="D16168" s="813" t="s">
        <v>854</v>
      </c>
      <c r="E16168" s="547" t="s">
        <v>359</v>
      </c>
      <c r="F16168" s="549"/>
      <c r="G16168" s="549" t="s">
        <v>21</v>
      </c>
      <c r="H16168" s="549" t="s">
        <v>177</v>
      </c>
      <c r="I16168" s="647">
        <v>27.29</v>
      </c>
      <c r="J16168" s="567">
        <v>9</v>
      </c>
      <c r="K16168" s="648">
        <v>1</v>
      </c>
      <c r="L16168" s="552">
        <f t="shared" ref="L16168:L16171" si="3237">(I16168*J16168*K16168/1000)</f>
        <v>0.24560999999999999</v>
      </c>
      <c r="M16168" s="549"/>
      <c r="N16168" s="549"/>
      <c r="O16168" s="549"/>
      <c r="P16168" s="549"/>
    </row>
    <row r="16169" spans="1:16" ht="17.399999999999999">
      <c r="A16169" s="549"/>
      <c r="B16169" s="549" t="s">
        <v>1027</v>
      </c>
      <c r="C16169" s="549"/>
      <c r="D16169" s="549"/>
      <c r="E16169" s="549"/>
      <c r="F16169" s="549"/>
      <c r="G16169" s="549" t="s">
        <v>21</v>
      </c>
      <c r="H16169" s="549" t="s">
        <v>177</v>
      </c>
      <c r="I16169" s="647">
        <v>27.29</v>
      </c>
      <c r="J16169" s="567">
        <v>10</v>
      </c>
      <c r="K16169" s="648">
        <v>6</v>
      </c>
      <c r="L16169" s="552">
        <f t="shared" si="3237"/>
        <v>1.6374</v>
      </c>
      <c r="M16169" s="549"/>
      <c r="N16169" s="549"/>
      <c r="O16169" s="549"/>
      <c r="P16169" s="549"/>
    </row>
    <row r="16170" spans="1:16" ht="17.399999999999999">
      <c r="A16170" s="549"/>
      <c r="B16170" s="549"/>
      <c r="C16170" s="549"/>
      <c r="D16170" s="549"/>
      <c r="E16170" s="549"/>
      <c r="F16170" s="549"/>
      <c r="G16170" s="549" t="s">
        <v>21</v>
      </c>
      <c r="H16170" s="549" t="s">
        <v>177</v>
      </c>
      <c r="I16170" s="647">
        <v>27.29</v>
      </c>
      <c r="J16170" s="567">
        <v>10.5</v>
      </c>
      <c r="K16170" s="648">
        <v>2</v>
      </c>
      <c r="L16170" s="552">
        <f t="shared" si="3237"/>
        <v>0.57308999999999999</v>
      </c>
      <c r="M16170" s="549"/>
      <c r="N16170" s="549"/>
      <c r="O16170" s="549"/>
      <c r="P16170" s="549"/>
    </row>
    <row r="16171" spans="1:16" ht="17.399999999999999">
      <c r="A16171" s="549"/>
      <c r="B16171" s="549"/>
      <c r="C16171" s="549"/>
      <c r="D16171" s="549"/>
      <c r="E16171" s="549"/>
      <c r="F16171" s="549"/>
      <c r="G16171" s="549" t="s">
        <v>21</v>
      </c>
      <c r="H16171" s="549" t="s">
        <v>177</v>
      </c>
      <c r="I16171" s="647">
        <v>27.29</v>
      </c>
      <c r="J16171" s="567">
        <v>12</v>
      </c>
      <c r="K16171" s="648">
        <v>7</v>
      </c>
      <c r="L16171" s="552">
        <f t="shared" si="3237"/>
        <v>2.29236</v>
      </c>
      <c r="M16171" s="549"/>
      <c r="N16171" s="549"/>
      <c r="O16171" s="549"/>
      <c r="P16171" s="549"/>
    </row>
    <row r="16172" spans="1:16" ht="17.399999999999999">
      <c r="A16172" s="549"/>
      <c r="B16172" s="549"/>
      <c r="C16172" s="549"/>
      <c r="D16172" s="549"/>
      <c r="E16172" s="549"/>
      <c r="F16172" s="549"/>
      <c r="G16172" s="549"/>
      <c r="H16172" s="549"/>
      <c r="I16172" s="647"/>
      <c r="J16172" s="567"/>
      <c r="K16172" s="648">
        <f t="shared" ref="K16172:L16172" si="3238">SUM(K16168:K16171)</f>
        <v>16</v>
      </c>
      <c r="L16172" s="567">
        <f t="shared" si="3238"/>
        <v>4.7484599999999997</v>
      </c>
      <c r="M16172" s="549"/>
      <c r="N16172" s="549"/>
      <c r="O16172" s="549"/>
      <c r="P16172" s="549"/>
    </row>
    <row r="16173" spans="1:16" ht="17.399999999999999">
      <c r="A16173" s="549"/>
      <c r="B16173" s="549"/>
      <c r="C16173" s="549"/>
      <c r="D16173" s="549"/>
      <c r="E16173" s="549"/>
      <c r="F16173" s="549"/>
      <c r="G16173" s="549"/>
      <c r="H16173" s="549"/>
      <c r="I16173" s="560"/>
      <c r="J16173" s="549"/>
      <c r="K16173" s="561"/>
      <c r="L16173" s="560"/>
      <c r="M16173" s="549"/>
      <c r="N16173" s="549"/>
      <c r="O16173" s="549"/>
      <c r="P16173" s="549"/>
    </row>
    <row r="16174" spans="1:16" ht="17.399999999999999">
      <c r="A16174" s="547" t="s">
        <v>272</v>
      </c>
      <c r="B16174" s="547" t="s">
        <v>1745</v>
      </c>
      <c r="C16174" s="547" t="s">
        <v>19</v>
      </c>
      <c r="D16174" s="813" t="s">
        <v>854</v>
      </c>
      <c r="E16174" s="547" t="s">
        <v>359</v>
      </c>
      <c r="F16174" s="549"/>
      <c r="G16174" s="549" t="s">
        <v>21</v>
      </c>
      <c r="H16174" s="549" t="s">
        <v>178</v>
      </c>
      <c r="I16174" s="647">
        <v>31.6</v>
      </c>
      <c r="J16174" s="567">
        <v>5</v>
      </c>
      <c r="K16174" s="648">
        <v>1</v>
      </c>
      <c r="L16174" s="552">
        <f>(I16174*J16174*K16174/1000)</f>
        <v>0.158</v>
      </c>
      <c r="M16174" s="549"/>
      <c r="N16174" s="549"/>
      <c r="O16174" s="549"/>
      <c r="P16174" s="549"/>
    </row>
    <row r="16175" spans="1:16" ht="17.399999999999999">
      <c r="A16175" s="549"/>
      <c r="B16175" s="549" t="s">
        <v>1027</v>
      </c>
      <c r="C16175" s="549"/>
      <c r="D16175" s="549"/>
      <c r="E16175" s="549"/>
      <c r="F16175" s="549"/>
      <c r="G16175" s="549" t="s">
        <v>21</v>
      </c>
      <c r="H16175" s="549" t="s">
        <v>178</v>
      </c>
      <c r="I16175" s="647">
        <v>31.6</v>
      </c>
      <c r="J16175" s="567">
        <v>8</v>
      </c>
      <c r="K16175" s="648">
        <v>2</v>
      </c>
      <c r="L16175" s="552">
        <f t="shared" ref="L16175:L16176" si="3239">(I16175*J16175*K16175/1000)</f>
        <v>0.50560000000000005</v>
      </c>
      <c r="M16175" s="549"/>
      <c r="N16175" s="549"/>
      <c r="O16175" s="549"/>
      <c r="P16175" s="549"/>
    </row>
    <row r="16176" spans="1:16" ht="17.399999999999999">
      <c r="A16176" s="549"/>
      <c r="B16176" s="549"/>
      <c r="C16176" s="549"/>
      <c r="D16176" s="549"/>
      <c r="E16176" s="549"/>
      <c r="F16176" s="549"/>
      <c r="G16176" s="549" t="s">
        <v>21</v>
      </c>
      <c r="H16176" s="549" t="s">
        <v>178</v>
      </c>
      <c r="I16176" s="647">
        <v>31.6</v>
      </c>
      <c r="J16176" s="567">
        <v>12</v>
      </c>
      <c r="K16176" s="648">
        <v>4</v>
      </c>
      <c r="L16176" s="552">
        <f t="shared" si="3239"/>
        <v>1.5168000000000001</v>
      </c>
      <c r="M16176" s="549"/>
      <c r="N16176" s="549"/>
      <c r="O16176" s="549"/>
      <c r="P16176" s="549"/>
    </row>
    <row r="16177" spans="1:16" ht="17.399999999999999">
      <c r="A16177" s="549"/>
      <c r="B16177" s="549"/>
      <c r="C16177" s="549"/>
      <c r="D16177" s="549"/>
      <c r="E16177" s="549"/>
      <c r="F16177" s="549"/>
      <c r="G16177" s="549"/>
      <c r="H16177" s="549"/>
      <c r="I16177" s="647"/>
      <c r="J16177" s="567"/>
      <c r="K16177" s="648">
        <f>SUM(K16174:K16176)</f>
        <v>7</v>
      </c>
      <c r="L16177" s="567">
        <f>SUM(L16174:L16176)</f>
        <v>2.1804000000000001</v>
      </c>
      <c r="M16177" s="549"/>
      <c r="N16177" s="549"/>
      <c r="O16177" s="549"/>
      <c r="P16177" s="549"/>
    </row>
    <row r="16178" spans="1:16" ht="17.399999999999999">
      <c r="A16178" s="549"/>
      <c r="B16178" s="549"/>
      <c r="C16178" s="549"/>
      <c r="D16178" s="549"/>
      <c r="E16178" s="549"/>
      <c r="F16178" s="549"/>
      <c r="G16178" s="549"/>
      <c r="H16178" s="549"/>
      <c r="I16178" s="560"/>
      <c r="J16178" s="549"/>
      <c r="K16178" s="561"/>
      <c r="L16178" s="560"/>
      <c r="M16178" s="549"/>
      <c r="N16178" s="549"/>
      <c r="O16178" s="549"/>
      <c r="P16178" s="549"/>
    </row>
    <row r="16179" spans="1:16" ht="17.399999999999999">
      <c r="A16179" s="549"/>
      <c r="B16179" s="549"/>
      <c r="C16179" s="549"/>
      <c r="D16179" s="549"/>
      <c r="E16179" s="549"/>
      <c r="F16179" s="549"/>
      <c r="G16179" s="549"/>
      <c r="H16179" s="549"/>
      <c r="I16179" s="560"/>
      <c r="J16179" s="549"/>
      <c r="K16179" s="561"/>
      <c r="L16179" s="560"/>
      <c r="M16179" s="549"/>
      <c r="N16179" s="549"/>
      <c r="O16179" s="549"/>
      <c r="P16179" s="549"/>
    </row>
    <row r="16180" spans="1:16" ht="17.399999999999999">
      <c r="A16180" s="547" t="s">
        <v>272</v>
      </c>
      <c r="B16180" s="547" t="s">
        <v>1745</v>
      </c>
      <c r="C16180" s="547" t="s">
        <v>19</v>
      </c>
      <c r="D16180" s="813" t="s">
        <v>854</v>
      </c>
      <c r="E16180" s="547" t="s">
        <v>359</v>
      </c>
      <c r="F16180" s="549"/>
      <c r="G16180" s="549" t="s">
        <v>21</v>
      </c>
      <c r="H16180" s="549" t="s">
        <v>179</v>
      </c>
      <c r="I16180" s="647">
        <v>33.72</v>
      </c>
      <c r="J16180" s="567">
        <v>8.1999999999999993</v>
      </c>
      <c r="K16180" s="648">
        <v>4</v>
      </c>
      <c r="L16180" s="552">
        <f t="shared" ref="L16180:L16181" si="3240">(I16180*J16180*K16180/1000)</f>
        <v>1.1060159999999999</v>
      </c>
      <c r="M16180" s="549"/>
      <c r="N16180" s="549"/>
      <c r="O16180" s="549"/>
      <c r="P16180" s="549"/>
    </row>
    <row r="16181" spans="1:16" ht="17.399999999999999">
      <c r="A16181" s="549"/>
      <c r="B16181" s="549" t="s">
        <v>1027</v>
      </c>
      <c r="C16181" s="549"/>
      <c r="D16181" s="549"/>
      <c r="E16181" s="549"/>
      <c r="F16181" s="549"/>
      <c r="G16181" s="549" t="s">
        <v>21</v>
      </c>
      <c r="H16181" s="549" t="s">
        <v>179</v>
      </c>
      <c r="I16181" s="647">
        <v>33.72</v>
      </c>
      <c r="J16181" s="567">
        <v>10.1</v>
      </c>
      <c r="K16181" s="648">
        <v>4</v>
      </c>
      <c r="L16181" s="552">
        <f t="shared" si="3240"/>
        <v>1.3622879999999999</v>
      </c>
      <c r="M16181" s="549"/>
      <c r="N16181" s="549"/>
      <c r="O16181" s="549"/>
      <c r="P16181" s="549"/>
    </row>
    <row r="16182" spans="1:16" ht="17.399999999999999">
      <c r="A16182" s="549"/>
      <c r="B16182" s="549"/>
      <c r="C16182" s="549"/>
      <c r="D16182" s="549"/>
      <c r="E16182" s="549"/>
      <c r="F16182" s="549"/>
      <c r="G16182" s="549"/>
      <c r="H16182" s="549"/>
      <c r="I16182" s="647"/>
      <c r="J16182" s="567"/>
      <c r="K16182" s="648">
        <f t="shared" ref="K16182:L16182" si="3241">SUM(K16180:K16181)</f>
        <v>8</v>
      </c>
      <c r="L16182" s="567">
        <f t="shared" si="3241"/>
        <v>2.4683039999999998</v>
      </c>
      <c r="M16182" s="549"/>
      <c r="N16182" s="549"/>
      <c r="O16182" s="549"/>
      <c r="P16182" s="549"/>
    </row>
    <row r="16183" spans="1:16" ht="17.399999999999999">
      <c r="A16183" s="549"/>
      <c r="B16183" s="549"/>
      <c r="C16183" s="549"/>
      <c r="D16183" s="549"/>
      <c r="E16183" s="549"/>
      <c r="F16183" s="549"/>
      <c r="G16183" s="549"/>
      <c r="H16183" s="549"/>
      <c r="I16183" s="560"/>
      <c r="J16183" s="549"/>
      <c r="K16183" s="561"/>
      <c r="L16183" s="560"/>
      <c r="M16183" s="549"/>
      <c r="N16183" s="549"/>
      <c r="O16183" s="549"/>
      <c r="P16183" s="549"/>
    </row>
    <row r="16184" spans="1:16" ht="17.399999999999999">
      <c r="A16184" s="547" t="s">
        <v>272</v>
      </c>
      <c r="B16184" s="547" t="s">
        <v>1745</v>
      </c>
      <c r="C16184" s="547" t="s">
        <v>19</v>
      </c>
      <c r="D16184" s="813" t="s">
        <v>854</v>
      </c>
      <c r="E16184" s="547" t="s">
        <v>359</v>
      </c>
      <c r="F16184" s="549"/>
      <c r="G16184" s="549" t="s">
        <v>21</v>
      </c>
      <c r="H16184" s="549" t="s">
        <v>70</v>
      </c>
      <c r="I16184" s="647">
        <v>5.77</v>
      </c>
      <c r="J16184" s="567">
        <v>10</v>
      </c>
      <c r="K16184" s="648">
        <v>3</v>
      </c>
      <c r="L16184" s="552">
        <f t="shared" ref="L16184:L16186" si="3242">(I16184*J16184*K16184/1000)</f>
        <v>0.1731</v>
      </c>
      <c r="M16184" s="549"/>
      <c r="N16184" s="549"/>
      <c r="O16184" s="549"/>
      <c r="P16184" s="549"/>
    </row>
    <row r="16185" spans="1:16" ht="17.399999999999999">
      <c r="A16185" s="549"/>
      <c r="B16185" s="549" t="s">
        <v>1027</v>
      </c>
      <c r="C16185" s="549"/>
      <c r="D16185" s="549"/>
      <c r="E16185" s="549"/>
      <c r="F16185" s="549"/>
      <c r="G16185" s="549" t="s">
        <v>21</v>
      </c>
      <c r="H16185" s="549" t="s">
        <v>70</v>
      </c>
      <c r="I16185" s="647">
        <v>5.77</v>
      </c>
      <c r="J16185" s="567">
        <v>11.5</v>
      </c>
      <c r="K16185" s="648">
        <v>4</v>
      </c>
      <c r="L16185" s="552">
        <f t="shared" si="3242"/>
        <v>0.26541999999999993</v>
      </c>
      <c r="M16185" s="549"/>
      <c r="N16185" s="549"/>
      <c r="O16185" s="549"/>
      <c r="P16185" s="549"/>
    </row>
    <row r="16186" spans="1:16" ht="17.399999999999999">
      <c r="A16186" s="549"/>
      <c r="B16186" s="549"/>
      <c r="C16186" s="549"/>
      <c r="D16186" s="549"/>
      <c r="E16186" s="549"/>
      <c r="F16186" s="549"/>
      <c r="G16186" s="549" t="s">
        <v>21</v>
      </c>
      <c r="H16186" s="549" t="s">
        <v>70</v>
      </c>
      <c r="I16186" s="647">
        <v>5.77</v>
      </c>
      <c r="J16186" s="567">
        <v>11.6</v>
      </c>
      <c r="K16186" s="648">
        <v>4</v>
      </c>
      <c r="L16186" s="552">
        <f t="shared" si="3242"/>
        <v>0.26772799999999997</v>
      </c>
      <c r="M16186" s="549"/>
      <c r="N16186" s="549"/>
      <c r="O16186" s="549"/>
      <c r="P16186" s="549"/>
    </row>
    <row r="16187" spans="1:16" ht="17.399999999999999">
      <c r="A16187" s="549"/>
      <c r="B16187" s="549"/>
      <c r="C16187" s="549"/>
      <c r="D16187" s="549"/>
      <c r="E16187" s="549"/>
      <c r="F16187" s="549"/>
      <c r="G16187" s="549"/>
      <c r="H16187" s="549"/>
      <c r="I16187" s="647"/>
      <c r="J16187" s="567"/>
      <c r="K16187" s="648">
        <f t="shared" ref="K16187:L16187" si="3243">SUM(K16184:K16186)</f>
        <v>11</v>
      </c>
      <c r="L16187" s="567">
        <f t="shared" si="3243"/>
        <v>0.70624799999999988</v>
      </c>
      <c r="M16187" s="549"/>
      <c r="N16187" s="549"/>
      <c r="O16187" s="549"/>
      <c r="P16187" s="549"/>
    </row>
    <row r="16188" spans="1:16" ht="17.399999999999999">
      <c r="A16188" s="547" t="s">
        <v>272</v>
      </c>
      <c r="B16188" s="547" t="s">
        <v>1745</v>
      </c>
      <c r="C16188" s="547" t="s">
        <v>19</v>
      </c>
      <c r="D16188" s="813" t="s">
        <v>854</v>
      </c>
      <c r="E16188" s="547" t="s">
        <v>359</v>
      </c>
      <c r="F16188" s="549"/>
      <c r="G16188" s="549" t="s">
        <v>21</v>
      </c>
      <c r="H16188" s="549" t="s">
        <v>69</v>
      </c>
      <c r="I16188" s="647">
        <v>6.86</v>
      </c>
      <c r="J16188" s="567">
        <v>7.5</v>
      </c>
      <c r="K16188" s="648">
        <v>1</v>
      </c>
      <c r="L16188" s="552">
        <f t="shared" ref="L16188:L16190" si="3244">(I16188*J16188*K16188/1000)</f>
        <v>5.1450000000000003E-2</v>
      </c>
      <c r="M16188" s="549"/>
      <c r="N16188" s="549"/>
      <c r="O16188" s="549"/>
      <c r="P16188" s="549"/>
    </row>
    <row r="16189" spans="1:16" ht="17.399999999999999">
      <c r="A16189" s="549"/>
      <c r="B16189" s="549" t="s">
        <v>1027</v>
      </c>
      <c r="C16189" s="549"/>
      <c r="D16189" s="549"/>
      <c r="E16189" s="549"/>
      <c r="F16189" s="549"/>
      <c r="G16189" s="549" t="s">
        <v>21</v>
      </c>
      <c r="H16189" s="549" t="s">
        <v>69</v>
      </c>
      <c r="I16189" s="647">
        <v>6.86</v>
      </c>
      <c r="J16189" s="567">
        <v>7.75</v>
      </c>
      <c r="K16189" s="648">
        <v>6</v>
      </c>
      <c r="L16189" s="552">
        <f t="shared" si="3244"/>
        <v>0.31899</v>
      </c>
      <c r="M16189" s="549"/>
      <c r="N16189" s="549"/>
      <c r="O16189" s="549"/>
      <c r="P16189" s="549"/>
    </row>
    <row r="16190" spans="1:16" ht="17.399999999999999">
      <c r="A16190" s="549"/>
      <c r="B16190" s="549"/>
      <c r="C16190" s="549"/>
      <c r="D16190" s="549"/>
      <c r="E16190" s="549"/>
      <c r="F16190" s="549"/>
      <c r="G16190" s="549" t="s">
        <v>21</v>
      </c>
      <c r="H16190" s="549" t="s">
        <v>69</v>
      </c>
      <c r="I16190" s="647">
        <v>6.86</v>
      </c>
      <c r="J16190" s="567">
        <v>12</v>
      </c>
      <c r="K16190" s="648">
        <v>5</v>
      </c>
      <c r="L16190" s="552">
        <f t="shared" si="3244"/>
        <v>0.41160000000000002</v>
      </c>
      <c r="M16190" s="549"/>
      <c r="N16190" s="549"/>
      <c r="O16190" s="549"/>
      <c r="P16190" s="549"/>
    </row>
    <row r="16191" spans="1:16" ht="17.399999999999999">
      <c r="A16191" s="549"/>
      <c r="B16191" s="549"/>
      <c r="C16191" s="549"/>
      <c r="D16191" s="549"/>
      <c r="E16191" s="549"/>
      <c r="F16191" s="549"/>
      <c r="G16191" s="549"/>
      <c r="H16191" s="549"/>
      <c r="I16191" s="647"/>
      <c r="J16191" s="567"/>
      <c r="K16191" s="648">
        <f t="shared" ref="K16191:L16191" si="3245">SUM(K16188:K16190)</f>
        <v>12</v>
      </c>
      <c r="L16191" s="567">
        <f t="shared" si="3245"/>
        <v>0.78204000000000007</v>
      </c>
      <c r="M16191" s="549"/>
      <c r="N16191" s="549"/>
      <c r="O16191" s="549"/>
      <c r="P16191" s="549"/>
    </row>
    <row r="16192" spans="1:16" ht="17.399999999999999">
      <c r="A16192" s="549"/>
      <c r="B16192" s="549"/>
      <c r="C16192" s="549"/>
      <c r="D16192" s="549"/>
      <c r="E16192" s="549"/>
      <c r="F16192" s="549"/>
      <c r="G16192" s="549"/>
      <c r="H16192" s="549"/>
      <c r="I16192" s="560"/>
      <c r="J16192" s="549"/>
      <c r="K16192" s="561"/>
      <c r="L16192" s="560"/>
      <c r="M16192" s="549"/>
      <c r="N16192" s="549"/>
      <c r="O16192" s="549"/>
      <c r="P16192" s="549"/>
    </row>
    <row r="16193" spans="1:16" ht="17.399999999999999">
      <c r="A16193" s="547" t="s">
        <v>272</v>
      </c>
      <c r="B16193" s="547" t="s">
        <v>1745</v>
      </c>
      <c r="C16193" s="547" t="s">
        <v>19</v>
      </c>
      <c r="D16193" s="813" t="s">
        <v>155</v>
      </c>
      <c r="E16193" s="547" t="s">
        <v>270</v>
      </c>
      <c r="F16193" s="549"/>
      <c r="G16193" s="549" t="s">
        <v>61</v>
      </c>
      <c r="H16193" s="549" t="s">
        <v>70</v>
      </c>
      <c r="I16193" s="647">
        <v>5.77</v>
      </c>
      <c r="J16193" s="567">
        <v>7</v>
      </c>
      <c r="K16193" s="648">
        <v>3</v>
      </c>
      <c r="L16193" s="552">
        <f t="shared" ref="L16193:L16196" si="3246">(I16193*J16193*K16193/1000)</f>
        <v>0.12117</v>
      </c>
      <c r="M16193" s="549"/>
      <c r="N16193" s="549"/>
      <c r="O16193" s="549"/>
      <c r="P16193" s="549"/>
    </row>
    <row r="16194" spans="1:16" ht="17.399999999999999">
      <c r="A16194" s="549"/>
      <c r="B16194" s="549" t="s">
        <v>1027</v>
      </c>
      <c r="C16194" s="549"/>
      <c r="D16194" s="549"/>
      <c r="E16194" s="549"/>
      <c r="F16194" s="549"/>
      <c r="G16194" s="549" t="s">
        <v>61</v>
      </c>
      <c r="H16194" s="549" t="s">
        <v>70</v>
      </c>
      <c r="I16194" s="647">
        <v>5.77</v>
      </c>
      <c r="J16194" s="567">
        <v>10</v>
      </c>
      <c r="K16194" s="648">
        <v>5</v>
      </c>
      <c r="L16194" s="552">
        <f t="shared" si="3246"/>
        <v>0.28849999999999998</v>
      </c>
      <c r="M16194" s="549"/>
      <c r="N16194" s="549"/>
      <c r="O16194" s="549"/>
      <c r="P16194" s="549"/>
    </row>
    <row r="16195" spans="1:16" ht="17.399999999999999">
      <c r="A16195" s="549"/>
      <c r="B16195" s="549"/>
      <c r="C16195" s="549"/>
      <c r="D16195" s="549"/>
      <c r="E16195" s="549"/>
      <c r="F16195" s="549"/>
      <c r="G16195" s="549" t="s">
        <v>61</v>
      </c>
      <c r="H16195" s="549" t="s">
        <v>70</v>
      </c>
      <c r="I16195" s="647">
        <v>5.77</v>
      </c>
      <c r="J16195" s="567">
        <v>10.5</v>
      </c>
      <c r="K16195" s="648">
        <v>4</v>
      </c>
      <c r="L16195" s="552">
        <f t="shared" si="3246"/>
        <v>0.24233999999999997</v>
      </c>
      <c r="M16195" s="549"/>
      <c r="N16195" s="549"/>
      <c r="O16195" s="549"/>
      <c r="P16195" s="549"/>
    </row>
    <row r="16196" spans="1:16" ht="17.399999999999999">
      <c r="A16196" s="549"/>
      <c r="B16196" s="549"/>
      <c r="C16196" s="549"/>
      <c r="D16196" s="549"/>
      <c r="E16196" s="549"/>
      <c r="F16196" s="549"/>
      <c r="G16196" s="549" t="s">
        <v>61</v>
      </c>
      <c r="H16196" s="549" t="s">
        <v>70</v>
      </c>
      <c r="I16196" s="647">
        <v>5.77</v>
      </c>
      <c r="J16196" s="567">
        <v>11</v>
      </c>
      <c r="K16196" s="648">
        <v>4</v>
      </c>
      <c r="L16196" s="552">
        <f t="shared" si="3246"/>
        <v>0.25387999999999999</v>
      </c>
      <c r="M16196" s="549"/>
      <c r="N16196" s="549"/>
      <c r="O16196" s="549"/>
      <c r="P16196" s="549"/>
    </row>
    <row r="16197" spans="1:16" ht="17.399999999999999">
      <c r="A16197" s="549"/>
      <c r="B16197" s="549"/>
      <c r="C16197" s="549"/>
      <c r="D16197" s="549"/>
      <c r="E16197" s="549"/>
      <c r="F16197" s="549"/>
      <c r="G16197" s="549"/>
      <c r="H16197" s="549"/>
      <c r="I16197" s="647"/>
      <c r="J16197" s="567"/>
      <c r="K16197" s="648">
        <f t="shared" ref="K16197:L16197" si="3247">SUM(K16193:K16196)</f>
        <v>16</v>
      </c>
      <c r="L16197" s="567">
        <f t="shared" si="3247"/>
        <v>0.90588999999999997</v>
      </c>
      <c r="M16197" s="549"/>
      <c r="N16197" s="549"/>
      <c r="O16197" s="549"/>
      <c r="P16197" s="549"/>
    </row>
    <row r="16198" spans="1:16" ht="17.399999999999999">
      <c r="A16198" s="549"/>
      <c r="B16198" s="549"/>
      <c r="C16198" s="549"/>
      <c r="D16198" s="549"/>
      <c r="E16198" s="549"/>
      <c r="F16198" s="549"/>
      <c r="G16198" s="549"/>
      <c r="H16198" s="549"/>
      <c r="I16198" s="560"/>
      <c r="J16198" s="549"/>
      <c r="K16198" s="561"/>
      <c r="L16198" s="560"/>
      <c r="M16198" s="549"/>
      <c r="N16198" s="549"/>
      <c r="O16198" s="549"/>
      <c r="P16198" s="549"/>
    </row>
    <row r="16199" spans="1:16" ht="17.399999999999999">
      <c r="A16199" s="549"/>
      <c r="B16199" s="549"/>
      <c r="C16199" s="549"/>
      <c r="D16199" s="549"/>
      <c r="E16199" s="549"/>
      <c r="F16199" s="549"/>
      <c r="G16199" s="549"/>
      <c r="H16199" s="549"/>
      <c r="I16199" s="560"/>
      <c r="J16199" s="549"/>
      <c r="K16199" s="561"/>
      <c r="L16199" s="560"/>
      <c r="M16199" s="549"/>
      <c r="N16199" s="549"/>
      <c r="O16199" s="549"/>
      <c r="P16199" s="549"/>
    </row>
    <row r="16200" spans="1:16" ht="17.399999999999999">
      <c r="A16200" s="547" t="s">
        <v>272</v>
      </c>
      <c r="B16200" s="547" t="s">
        <v>1850</v>
      </c>
      <c r="C16200" s="547" t="s">
        <v>19</v>
      </c>
      <c r="D16200" s="813" t="s">
        <v>854</v>
      </c>
      <c r="E16200" s="780" t="s">
        <v>1028</v>
      </c>
      <c r="F16200" s="549"/>
      <c r="G16200" s="549" t="s">
        <v>21</v>
      </c>
      <c r="H16200" s="549" t="s">
        <v>53</v>
      </c>
      <c r="I16200" s="647">
        <v>8.32</v>
      </c>
      <c r="J16200" s="567">
        <v>6</v>
      </c>
      <c r="K16200" s="648">
        <v>1</v>
      </c>
      <c r="L16200" s="552">
        <f>(I16200*J16200*K16200/1000)</f>
        <v>4.9919999999999999E-2</v>
      </c>
      <c r="M16200" s="549"/>
      <c r="N16200" s="549"/>
      <c r="O16200" s="549"/>
      <c r="P16200" s="549"/>
    </row>
    <row r="16201" spans="1:16" ht="17.399999999999999">
      <c r="A16201" s="549"/>
      <c r="B16201" s="549" t="s">
        <v>1027</v>
      </c>
      <c r="C16201" s="549"/>
      <c r="D16201" s="549"/>
      <c r="E16201" s="549"/>
      <c r="F16201" s="549"/>
      <c r="G16201" s="549"/>
      <c r="H16201" s="549"/>
      <c r="I16201" s="647"/>
      <c r="J16201" s="567"/>
      <c r="K16201" s="648">
        <f t="shared" ref="K16201:L16201" si="3248">SUM(K16200)</f>
        <v>1</v>
      </c>
      <c r="L16201" s="567">
        <f t="shared" si="3248"/>
        <v>4.9919999999999999E-2</v>
      </c>
      <c r="M16201" s="549"/>
      <c r="N16201" s="549"/>
      <c r="O16201" s="549"/>
      <c r="P16201" s="549"/>
    </row>
    <row r="16202" spans="1:16" ht="17.399999999999999">
      <c r="A16202" s="549"/>
      <c r="B16202" s="549"/>
      <c r="C16202" s="549"/>
      <c r="D16202" s="549"/>
      <c r="E16202" s="549"/>
      <c r="F16202" s="549"/>
      <c r="G16202" s="549"/>
      <c r="H16202" s="549"/>
      <c r="I16202" s="560"/>
      <c r="J16202" s="549"/>
      <c r="K16202" s="561"/>
      <c r="L16202" s="560"/>
      <c r="M16202" s="549"/>
      <c r="N16202" s="549"/>
      <c r="O16202" s="549"/>
      <c r="P16202" s="549"/>
    </row>
    <row r="16203" spans="1:16" ht="17.399999999999999">
      <c r="A16203" s="549"/>
      <c r="B16203" s="549"/>
      <c r="C16203" s="549"/>
      <c r="D16203" s="549"/>
      <c r="E16203" s="549"/>
      <c r="F16203" s="549"/>
      <c r="G16203" s="549"/>
      <c r="H16203" s="549"/>
      <c r="I16203" s="560"/>
      <c r="J16203" s="549"/>
      <c r="K16203" s="561"/>
      <c r="L16203" s="560"/>
      <c r="M16203" s="549"/>
      <c r="N16203" s="549"/>
      <c r="O16203" s="549"/>
      <c r="P16203" s="549"/>
    </row>
    <row r="16204" spans="1:16" ht="17.399999999999999">
      <c r="A16204" s="547" t="s">
        <v>272</v>
      </c>
      <c r="B16204" s="547" t="s">
        <v>1850</v>
      </c>
      <c r="C16204" s="547" t="s">
        <v>19</v>
      </c>
      <c r="D16204" s="813" t="s">
        <v>854</v>
      </c>
      <c r="E16204" s="780" t="s">
        <v>1028</v>
      </c>
      <c r="F16204" s="549"/>
      <c r="G16204" s="549" t="s">
        <v>21</v>
      </c>
      <c r="H16204" s="549" t="s">
        <v>134</v>
      </c>
      <c r="I16204" s="647">
        <v>12.18</v>
      </c>
      <c r="J16204" s="567">
        <v>6</v>
      </c>
      <c r="K16204" s="648">
        <v>1</v>
      </c>
      <c r="L16204" s="552">
        <f>(I16204*J16204*K16204/1000)</f>
        <v>7.3079999999999992E-2</v>
      </c>
      <c r="M16204" s="549"/>
      <c r="N16204" s="549"/>
      <c r="O16204" s="549"/>
      <c r="P16204" s="549"/>
    </row>
    <row r="16205" spans="1:16" ht="17.399999999999999">
      <c r="A16205" s="549"/>
      <c r="B16205" s="549" t="s">
        <v>1027</v>
      </c>
      <c r="C16205" s="549"/>
      <c r="D16205" s="549"/>
      <c r="E16205" s="549"/>
      <c r="F16205" s="549"/>
      <c r="G16205" s="549"/>
      <c r="H16205" s="549"/>
      <c r="I16205" s="647"/>
      <c r="J16205" s="567"/>
      <c r="K16205" s="648">
        <f t="shared" ref="K16205:L16205" si="3249">SUM(K16204)</f>
        <v>1</v>
      </c>
      <c r="L16205" s="567">
        <f t="shared" si="3249"/>
        <v>7.3079999999999992E-2</v>
      </c>
      <c r="M16205" s="549"/>
      <c r="N16205" s="549"/>
      <c r="O16205" s="549"/>
      <c r="P16205" s="549"/>
    </row>
    <row r="16206" spans="1:16" ht="17.399999999999999">
      <c r="A16206" s="549"/>
      <c r="B16206" s="549"/>
      <c r="C16206" s="549"/>
      <c r="D16206" s="549"/>
      <c r="E16206" s="549"/>
      <c r="F16206" s="549"/>
      <c r="G16206" s="549"/>
      <c r="H16206" s="549"/>
      <c r="I16206" s="560"/>
      <c r="J16206" s="549"/>
      <c r="K16206" s="561"/>
      <c r="L16206" s="560"/>
      <c r="M16206" s="549"/>
      <c r="N16206" s="549"/>
      <c r="O16206" s="549"/>
      <c r="P16206" s="549"/>
    </row>
    <row r="16207" spans="1:16" ht="17.399999999999999">
      <c r="A16207" s="547" t="s">
        <v>272</v>
      </c>
      <c r="B16207" s="547" t="s">
        <v>1850</v>
      </c>
      <c r="C16207" s="547" t="s">
        <v>19</v>
      </c>
      <c r="D16207" s="813" t="s">
        <v>155</v>
      </c>
      <c r="E16207" s="780" t="s">
        <v>1104</v>
      </c>
      <c r="F16207" s="549"/>
      <c r="G16207" s="549" t="s">
        <v>61</v>
      </c>
      <c r="H16207" s="549" t="s">
        <v>133</v>
      </c>
      <c r="I16207" s="647">
        <v>15.04</v>
      </c>
      <c r="J16207" s="567">
        <v>6</v>
      </c>
      <c r="K16207" s="648">
        <v>1</v>
      </c>
      <c r="L16207" s="552">
        <f>(I16207*J16207*K16207/1000)</f>
        <v>9.0240000000000001E-2</v>
      </c>
      <c r="M16207" s="549"/>
      <c r="N16207" s="549"/>
      <c r="O16207" s="549"/>
      <c r="P16207" s="549"/>
    </row>
    <row r="16208" spans="1:16" ht="17.399999999999999">
      <c r="A16208" s="549"/>
      <c r="B16208" s="549" t="s">
        <v>1027</v>
      </c>
      <c r="C16208" s="549"/>
      <c r="D16208" s="549"/>
      <c r="E16208" s="549"/>
      <c r="F16208" s="549"/>
      <c r="G16208" s="549"/>
      <c r="H16208" s="549"/>
      <c r="I16208" s="647"/>
      <c r="J16208" s="567"/>
      <c r="K16208" s="648">
        <f t="shared" ref="K16208:L16208" si="3250">SUM(K16207)</f>
        <v>1</v>
      </c>
      <c r="L16208" s="567">
        <f t="shared" si="3250"/>
        <v>9.0240000000000001E-2</v>
      </c>
      <c r="M16208" s="549"/>
      <c r="N16208" s="549"/>
      <c r="O16208" s="549"/>
      <c r="P16208" s="549"/>
    </row>
    <row r="16209" spans="1:16" ht="17.399999999999999">
      <c r="A16209" s="547" t="s">
        <v>272</v>
      </c>
      <c r="B16209" s="547" t="s">
        <v>1850</v>
      </c>
      <c r="C16209" s="547" t="s">
        <v>19</v>
      </c>
      <c r="D16209" s="813" t="s">
        <v>155</v>
      </c>
      <c r="E16209" s="780" t="s">
        <v>1104</v>
      </c>
      <c r="F16209" s="549"/>
      <c r="G16209" s="549" t="s">
        <v>61</v>
      </c>
      <c r="H16209" s="549" t="s">
        <v>118</v>
      </c>
      <c r="I16209" s="647">
        <v>9.26</v>
      </c>
      <c r="J16209" s="567">
        <v>6</v>
      </c>
      <c r="K16209" s="648">
        <v>1</v>
      </c>
      <c r="L16209" s="552">
        <f>(I16209*J16209*K16209/1000)</f>
        <v>5.5560000000000005E-2</v>
      </c>
      <c r="M16209" s="549"/>
      <c r="N16209" s="549"/>
      <c r="O16209" s="549"/>
      <c r="P16209" s="549"/>
    </row>
    <row r="16210" spans="1:16" ht="17.399999999999999">
      <c r="A16210" s="549"/>
      <c r="B16210" s="549" t="s">
        <v>1027</v>
      </c>
      <c r="C16210" s="549"/>
      <c r="D16210" s="549"/>
      <c r="E16210" s="549"/>
      <c r="F16210" s="549"/>
      <c r="G16210" s="549"/>
      <c r="H16210" s="549"/>
      <c r="I16210" s="647"/>
      <c r="J16210" s="567"/>
      <c r="K16210" s="648">
        <f t="shared" ref="K16210:L16210" si="3251">SUM(K16209)</f>
        <v>1</v>
      </c>
      <c r="L16210" s="567">
        <f t="shared" si="3251"/>
        <v>5.5560000000000005E-2</v>
      </c>
      <c r="M16210" s="549"/>
      <c r="N16210" s="549"/>
      <c r="O16210" s="549"/>
      <c r="P16210" s="549"/>
    </row>
    <row r="16211" spans="1:16" ht="17.399999999999999">
      <c r="A16211" s="547" t="s">
        <v>272</v>
      </c>
      <c r="B16211" s="547" t="s">
        <v>1850</v>
      </c>
      <c r="C16211" s="547" t="s">
        <v>19</v>
      </c>
      <c r="D16211" s="813" t="s">
        <v>155</v>
      </c>
      <c r="E16211" s="780" t="s">
        <v>1104</v>
      </c>
      <c r="F16211" s="549"/>
      <c r="G16211" s="549" t="s">
        <v>61</v>
      </c>
      <c r="H16211" s="549" t="s">
        <v>119</v>
      </c>
      <c r="I16211" s="647">
        <v>10.73</v>
      </c>
      <c r="J16211" s="567">
        <v>7.5</v>
      </c>
      <c r="K16211" s="648">
        <v>1</v>
      </c>
      <c r="L16211" s="552">
        <f>(I16211*J16211*K16211/1000)</f>
        <v>8.0475000000000005E-2</v>
      </c>
      <c r="M16211" s="549"/>
      <c r="N16211" s="549"/>
      <c r="O16211" s="549"/>
      <c r="P16211" s="549"/>
    </row>
    <row r="16212" spans="1:16" ht="17.399999999999999">
      <c r="A16212" s="549"/>
      <c r="B16212" s="549" t="s">
        <v>1027</v>
      </c>
      <c r="C16212" s="549"/>
      <c r="D16212" s="549"/>
      <c r="E16212" s="549"/>
      <c r="F16212" s="549"/>
      <c r="G16212" s="549"/>
      <c r="H16212" s="549"/>
      <c r="I16212" s="647"/>
      <c r="J16212" s="567"/>
      <c r="K16212" s="648">
        <f t="shared" ref="K16212:L16212" si="3252">SUM(K16211)</f>
        <v>1</v>
      </c>
      <c r="L16212" s="567">
        <f t="shared" si="3252"/>
        <v>8.0475000000000005E-2</v>
      </c>
      <c r="M16212" s="549"/>
      <c r="N16212" s="549"/>
      <c r="O16212" s="549"/>
      <c r="P16212" s="549"/>
    </row>
    <row r="16213" spans="1:16" ht="17.399999999999999">
      <c r="A16213" s="549"/>
      <c r="B16213" s="549"/>
      <c r="C16213" s="549"/>
      <c r="D16213" s="549"/>
      <c r="E16213" s="549"/>
      <c r="F16213" s="549"/>
      <c r="G16213" s="549"/>
      <c r="H16213" s="549"/>
      <c r="I16213" s="560"/>
      <c r="J16213" s="549"/>
      <c r="K16213" s="561"/>
      <c r="L16213" s="560"/>
      <c r="M16213" s="549"/>
      <c r="N16213" s="549"/>
      <c r="O16213" s="549"/>
      <c r="P16213" s="549"/>
    </row>
    <row r="16214" spans="1:16" ht="17.399999999999999">
      <c r="A16214" s="549"/>
      <c r="B16214" s="549"/>
      <c r="C16214" s="549"/>
      <c r="D16214" s="549"/>
      <c r="E16214" s="549"/>
      <c r="F16214" s="549"/>
      <c r="G16214" s="549"/>
      <c r="H16214" s="549"/>
      <c r="I16214" s="560"/>
      <c r="J16214" s="549"/>
      <c r="K16214" s="561"/>
      <c r="L16214" s="560"/>
      <c r="M16214" s="549"/>
      <c r="N16214" s="549"/>
      <c r="O16214" s="549"/>
      <c r="P16214" s="549"/>
    </row>
    <row r="16215" spans="1:16" ht="17.399999999999999">
      <c r="A16215" s="547" t="s">
        <v>272</v>
      </c>
      <c r="B16215" s="547" t="s">
        <v>1850</v>
      </c>
      <c r="C16215" s="547" t="s">
        <v>19</v>
      </c>
      <c r="D16215" s="813" t="s">
        <v>854</v>
      </c>
      <c r="E16215" s="780" t="s">
        <v>1028</v>
      </c>
      <c r="F16215" s="549"/>
      <c r="G16215" s="549" t="s">
        <v>21</v>
      </c>
      <c r="H16215" s="549" t="s">
        <v>122</v>
      </c>
      <c r="I16215" s="647">
        <v>14.66</v>
      </c>
      <c r="J16215" s="567">
        <v>6</v>
      </c>
      <c r="K16215" s="648">
        <v>1</v>
      </c>
      <c r="L16215" s="552">
        <f>(I16215*J16215*K16215/1000)</f>
        <v>8.796000000000001E-2</v>
      </c>
      <c r="M16215" s="549"/>
      <c r="N16215" s="549"/>
      <c r="O16215" s="549"/>
      <c r="P16215" s="549"/>
    </row>
    <row r="16216" spans="1:16" ht="17.399999999999999">
      <c r="A16216" s="549"/>
      <c r="B16216" s="549" t="s">
        <v>1027</v>
      </c>
      <c r="C16216" s="549"/>
      <c r="D16216" s="549"/>
      <c r="E16216" s="549"/>
      <c r="F16216" s="549"/>
      <c r="G16216" s="549"/>
      <c r="H16216" s="549"/>
      <c r="I16216" s="647"/>
      <c r="J16216" s="567"/>
      <c r="K16216" s="648">
        <f t="shared" ref="K16216:L16216" si="3253">SUM(K16215)</f>
        <v>1</v>
      </c>
      <c r="L16216" s="567">
        <f t="shared" si="3253"/>
        <v>8.796000000000001E-2</v>
      </c>
      <c r="M16216" s="549"/>
      <c r="N16216" s="549"/>
      <c r="O16216" s="549"/>
      <c r="P16216" s="549"/>
    </row>
    <row r="16217" spans="1:16" ht="17.399999999999999">
      <c r="A16217" s="547" t="s">
        <v>272</v>
      </c>
      <c r="B16217" s="547" t="s">
        <v>1850</v>
      </c>
      <c r="C16217" s="547" t="s">
        <v>19</v>
      </c>
      <c r="D16217" s="813" t="s">
        <v>854</v>
      </c>
      <c r="E16217" s="780" t="s">
        <v>1028</v>
      </c>
      <c r="F16217" s="549"/>
      <c r="G16217" s="549" t="s">
        <v>21</v>
      </c>
      <c r="H16217" s="549" t="s">
        <v>124</v>
      </c>
      <c r="I16217" s="647">
        <v>19.72</v>
      </c>
      <c r="J16217" s="567">
        <v>6</v>
      </c>
      <c r="K16217" s="648">
        <v>1</v>
      </c>
      <c r="L16217" s="552">
        <f>(I16217*J16217*K16217/1000)</f>
        <v>0.11831999999999999</v>
      </c>
      <c r="M16217" s="549"/>
      <c r="N16217" s="549"/>
      <c r="O16217" s="549"/>
      <c r="P16217" s="549"/>
    </row>
    <row r="16218" spans="1:16" ht="17.399999999999999">
      <c r="A16218" s="549"/>
      <c r="B16218" s="549" t="s">
        <v>1027</v>
      </c>
      <c r="C16218" s="549"/>
      <c r="D16218" s="549"/>
      <c r="E16218" s="549"/>
      <c r="F16218" s="549"/>
      <c r="G16218" s="549"/>
      <c r="H16218" s="549"/>
      <c r="I16218" s="647"/>
      <c r="J16218" s="567"/>
      <c r="K16218" s="648">
        <f t="shared" ref="K16218:L16218" si="3254">SUM(K16217)</f>
        <v>1</v>
      </c>
      <c r="L16218" s="567">
        <f t="shared" si="3254"/>
        <v>0.11831999999999999</v>
      </c>
      <c r="M16218" s="549"/>
      <c r="N16218" s="549"/>
      <c r="O16218" s="549"/>
      <c r="P16218" s="549"/>
    </row>
    <row r="16219" spans="1:16" ht="17.399999999999999">
      <c r="A16219" s="549"/>
      <c r="B16219" s="549"/>
      <c r="C16219" s="549"/>
      <c r="D16219" s="549"/>
      <c r="E16219" s="549"/>
      <c r="F16219" s="549"/>
      <c r="G16219" s="549"/>
      <c r="H16219" s="549"/>
      <c r="I16219" s="560"/>
      <c r="J16219" s="549"/>
      <c r="K16219" s="561"/>
      <c r="L16219" s="560"/>
      <c r="M16219" s="549"/>
      <c r="N16219" s="549"/>
      <c r="O16219" s="549"/>
      <c r="P16219" s="549"/>
    </row>
    <row r="16220" spans="1:16" ht="17.399999999999999">
      <c r="A16220" s="549"/>
      <c r="B16220" s="549"/>
      <c r="C16220" s="549"/>
      <c r="D16220" s="549"/>
      <c r="E16220" s="549"/>
      <c r="F16220" s="549"/>
      <c r="G16220" s="549"/>
      <c r="H16220" s="549"/>
      <c r="I16220" s="560"/>
      <c r="J16220" s="549"/>
      <c r="K16220" s="561"/>
      <c r="L16220" s="560"/>
      <c r="M16220" s="549"/>
      <c r="N16220" s="549"/>
      <c r="O16220" s="549"/>
      <c r="P16220" s="549"/>
    </row>
    <row r="16221" spans="1:16" ht="17.399999999999999">
      <c r="A16221" s="547" t="s">
        <v>272</v>
      </c>
      <c r="B16221" s="547" t="s">
        <v>1900</v>
      </c>
      <c r="C16221" s="547" t="s">
        <v>19</v>
      </c>
      <c r="D16221" s="813" t="s">
        <v>155</v>
      </c>
      <c r="E16221" s="547" t="s">
        <v>270</v>
      </c>
      <c r="F16221" s="549"/>
      <c r="G16221" s="549" t="s">
        <v>61</v>
      </c>
      <c r="H16221" s="549" t="s">
        <v>53</v>
      </c>
      <c r="I16221" s="647">
        <v>8.32</v>
      </c>
      <c r="J16221" s="567">
        <v>10</v>
      </c>
      <c r="K16221" s="648">
        <v>1</v>
      </c>
      <c r="L16221" s="552">
        <f>(I16221*J16221*K16221/1000)</f>
        <v>8.3199999999999996E-2</v>
      </c>
      <c r="M16221" s="549"/>
      <c r="N16221" s="549"/>
      <c r="O16221" s="549"/>
      <c r="P16221" s="549"/>
    </row>
    <row r="16222" spans="1:16" ht="17.399999999999999">
      <c r="A16222" s="549"/>
      <c r="B16222" s="549" t="s">
        <v>333</v>
      </c>
      <c r="C16222" s="549"/>
      <c r="D16222" s="549"/>
      <c r="E16222" s="549"/>
      <c r="F16222" s="549"/>
      <c r="G16222" s="549"/>
      <c r="H16222" s="549"/>
      <c r="I16222" s="647"/>
      <c r="J16222" s="567"/>
      <c r="K16222" s="648">
        <f t="shared" ref="K16222" si="3255">SUM(K16221)</f>
        <v>1</v>
      </c>
      <c r="L16222" s="567">
        <f>SUM(L16221)</f>
        <v>8.3199999999999996E-2</v>
      </c>
      <c r="M16222" s="549"/>
      <c r="N16222" s="549"/>
      <c r="O16222" s="549"/>
      <c r="P16222" s="549"/>
    </row>
    <row r="16223" spans="1:16" ht="17.399999999999999">
      <c r="A16223" s="547" t="s">
        <v>272</v>
      </c>
      <c r="B16223" s="547" t="s">
        <v>1900</v>
      </c>
      <c r="C16223" s="547" t="s">
        <v>19</v>
      </c>
      <c r="D16223" s="813" t="s">
        <v>155</v>
      </c>
      <c r="E16223" s="547" t="s">
        <v>270</v>
      </c>
      <c r="F16223" s="549"/>
      <c r="G16223" s="549" t="s">
        <v>61</v>
      </c>
      <c r="H16223" s="549" t="s">
        <v>124</v>
      </c>
      <c r="I16223" s="647">
        <v>19.72</v>
      </c>
      <c r="J16223" s="567">
        <v>6.5</v>
      </c>
      <c r="K16223" s="648">
        <v>2</v>
      </c>
      <c r="L16223" s="552">
        <f>(I16223*J16223*K16223/1000)</f>
        <v>0.25636000000000003</v>
      </c>
      <c r="M16223" s="549"/>
      <c r="N16223" s="549"/>
      <c r="O16223" s="549"/>
      <c r="P16223" s="549"/>
    </row>
    <row r="16224" spans="1:16" ht="17.399999999999999">
      <c r="A16224" s="549"/>
      <c r="B16224" s="549" t="s">
        <v>333</v>
      </c>
      <c r="C16224" s="549"/>
      <c r="D16224" s="549"/>
      <c r="E16224" s="549"/>
      <c r="F16224" s="549"/>
      <c r="G16224" s="549"/>
      <c r="H16224" s="549"/>
      <c r="I16224" s="647"/>
      <c r="J16224" s="567"/>
      <c r="K16224" s="648">
        <f t="shared" ref="K16224:L16224" si="3256">SUM(K16223)</f>
        <v>2</v>
      </c>
      <c r="L16224" s="567">
        <f t="shared" si="3256"/>
        <v>0.25636000000000003</v>
      </c>
      <c r="M16224" s="549"/>
      <c r="N16224" s="549"/>
      <c r="O16224" s="549"/>
      <c r="P16224" s="549"/>
    </row>
    <row r="16225" spans="1:16" ht="17.399999999999999">
      <c r="A16225" s="547" t="s">
        <v>272</v>
      </c>
      <c r="B16225" s="547" t="s">
        <v>1900</v>
      </c>
      <c r="C16225" s="547" t="s">
        <v>19</v>
      </c>
      <c r="D16225" s="813" t="s">
        <v>155</v>
      </c>
      <c r="E16225" s="547" t="s">
        <v>270</v>
      </c>
      <c r="F16225" s="549"/>
      <c r="G16225" s="549" t="s">
        <v>61</v>
      </c>
      <c r="H16225" s="549" t="s">
        <v>120</v>
      </c>
      <c r="I16225" s="647">
        <v>18.149999999999999</v>
      </c>
      <c r="J16225" s="567">
        <v>6</v>
      </c>
      <c r="K16225" s="648">
        <v>1</v>
      </c>
      <c r="L16225" s="552">
        <f>(I16225*J16225*K16225/1000)</f>
        <v>0.1089</v>
      </c>
      <c r="M16225" s="549"/>
      <c r="N16225" s="549"/>
      <c r="O16225" s="549"/>
      <c r="P16225" s="549"/>
    </row>
    <row r="16226" spans="1:16" ht="17.399999999999999">
      <c r="A16226" s="549"/>
      <c r="B16226" s="549" t="s">
        <v>333</v>
      </c>
      <c r="C16226" s="549"/>
      <c r="D16226" s="549"/>
      <c r="E16226" s="549"/>
      <c r="F16226" s="549"/>
      <c r="G16226" s="549"/>
      <c r="H16226" s="549"/>
      <c r="I16226" s="647"/>
      <c r="J16226" s="567"/>
      <c r="K16226" s="648">
        <f t="shared" ref="K16226" si="3257">SUM(K16225)</f>
        <v>1</v>
      </c>
      <c r="L16226" s="567">
        <f>SUM(L16225)</f>
        <v>0.1089</v>
      </c>
      <c r="M16226" s="549"/>
      <c r="N16226" s="549"/>
      <c r="O16226" s="549"/>
      <c r="P16226" s="549"/>
    </row>
    <row r="16227" spans="1:16" ht="17.399999999999999">
      <c r="A16227" s="549"/>
      <c r="B16227" s="549"/>
      <c r="C16227" s="549"/>
      <c r="D16227" s="549"/>
      <c r="E16227" s="549"/>
      <c r="F16227" s="549"/>
      <c r="G16227" s="549"/>
      <c r="H16227" s="549"/>
      <c r="I16227" s="560"/>
      <c r="J16227" s="549"/>
      <c r="K16227" s="561"/>
      <c r="L16227" s="560"/>
      <c r="M16227" s="549"/>
      <c r="N16227" s="549"/>
      <c r="O16227" s="549"/>
      <c r="P16227" s="549"/>
    </row>
    <row r="16228" spans="1:16" ht="17.399999999999999">
      <c r="A16228" s="549"/>
      <c r="B16228" s="549"/>
      <c r="C16228" s="549"/>
      <c r="D16228" s="549"/>
      <c r="E16228" s="549"/>
      <c r="F16228" s="549"/>
      <c r="G16228" s="549"/>
      <c r="H16228" s="549"/>
      <c r="I16228" s="560"/>
      <c r="J16228" s="549"/>
      <c r="K16228" s="561"/>
      <c r="L16228" s="560"/>
      <c r="M16228" s="549"/>
      <c r="N16228" s="549"/>
      <c r="O16228" s="549"/>
      <c r="P16228" s="549"/>
    </row>
    <row r="16229" spans="1:16" ht="17.399999999999999">
      <c r="A16229" s="547" t="s">
        <v>272</v>
      </c>
      <c r="B16229" s="547" t="s">
        <v>1901</v>
      </c>
      <c r="C16229" s="547" t="s">
        <v>19</v>
      </c>
      <c r="D16229" s="813" t="s">
        <v>155</v>
      </c>
      <c r="E16229" s="547" t="s">
        <v>270</v>
      </c>
      <c r="F16229" s="549"/>
      <c r="G16229" s="549" t="s">
        <v>61</v>
      </c>
      <c r="H16229" s="549" t="s">
        <v>53</v>
      </c>
      <c r="I16229" s="647">
        <v>8.32</v>
      </c>
      <c r="J16229" s="567">
        <v>6</v>
      </c>
      <c r="K16229" s="648">
        <v>1</v>
      </c>
      <c r="L16229" s="552">
        <f t="shared" ref="L16229:L16231" si="3258">(I16229*J16229*K16229/1000)</f>
        <v>4.9919999999999999E-2</v>
      </c>
      <c r="M16229" s="549"/>
      <c r="N16229" s="549"/>
      <c r="O16229" s="549"/>
      <c r="P16229" s="549"/>
    </row>
    <row r="16230" spans="1:16" ht="17.399999999999999">
      <c r="A16230" s="549"/>
      <c r="B16230" s="549" t="s">
        <v>271</v>
      </c>
      <c r="C16230" s="549"/>
      <c r="D16230" s="549"/>
      <c r="E16230" s="549"/>
      <c r="F16230" s="549"/>
      <c r="G16230" s="549" t="s">
        <v>61</v>
      </c>
      <c r="H16230" s="549" t="s">
        <v>53</v>
      </c>
      <c r="I16230" s="647">
        <v>8.32</v>
      </c>
      <c r="J16230" s="567">
        <v>6</v>
      </c>
      <c r="K16230" s="648">
        <v>1</v>
      </c>
      <c r="L16230" s="552">
        <f t="shared" si="3258"/>
        <v>4.9919999999999999E-2</v>
      </c>
      <c r="M16230" s="549"/>
      <c r="N16230" s="549"/>
      <c r="O16230" s="549"/>
      <c r="P16230" s="549"/>
    </row>
    <row r="16231" spans="1:16" ht="17.399999999999999">
      <c r="A16231" s="549"/>
      <c r="B16231" s="549"/>
      <c r="C16231" s="549"/>
      <c r="D16231" s="549"/>
      <c r="E16231" s="549"/>
      <c r="F16231" s="549"/>
      <c r="G16231" s="549" t="s">
        <v>61</v>
      </c>
      <c r="H16231" s="549" t="s">
        <v>53</v>
      </c>
      <c r="I16231" s="647">
        <v>8.32</v>
      </c>
      <c r="J16231" s="567">
        <v>6</v>
      </c>
      <c r="K16231" s="648">
        <v>1</v>
      </c>
      <c r="L16231" s="552">
        <f t="shared" si="3258"/>
        <v>4.9919999999999999E-2</v>
      </c>
      <c r="M16231" s="549"/>
      <c r="N16231" s="549"/>
      <c r="O16231" s="549"/>
      <c r="P16231" s="549"/>
    </row>
    <row r="16232" spans="1:16" ht="17.399999999999999">
      <c r="A16232" s="549"/>
      <c r="B16232" s="549"/>
      <c r="C16232" s="549"/>
      <c r="D16232" s="549"/>
      <c r="E16232" s="549"/>
      <c r="F16232" s="549"/>
      <c r="G16232" s="549"/>
      <c r="H16232" s="549"/>
      <c r="I16232" s="647"/>
      <c r="J16232" s="567"/>
      <c r="K16232" s="648">
        <f>SUM(K16229:K16231)</f>
        <v>3</v>
      </c>
      <c r="L16232" s="567">
        <f>SUM(L16229:L16231)</f>
        <v>0.14976</v>
      </c>
      <c r="M16232" s="549"/>
      <c r="N16232" s="549"/>
      <c r="O16232" s="549"/>
      <c r="P16232" s="549"/>
    </row>
    <row r="16233" spans="1:16" ht="17.399999999999999">
      <c r="A16233" s="549"/>
      <c r="B16233" s="549"/>
      <c r="C16233" s="549"/>
      <c r="D16233" s="549"/>
      <c r="E16233" s="549"/>
      <c r="F16233" s="549"/>
      <c r="G16233" s="549"/>
      <c r="H16233" s="549"/>
      <c r="I16233" s="560"/>
      <c r="J16233" s="549"/>
      <c r="K16233" s="561"/>
      <c r="L16233" s="560"/>
      <c r="M16233" s="549"/>
      <c r="N16233" s="549"/>
      <c r="O16233" s="549"/>
      <c r="P16233" s="549"/>
    </row>
    <row r="16234" spans="1:16" ht="17.399999999999999">
      <c r="A16234" s="549"/>
      <c r="B16234" s="549"/>
      <c r="C16234" s="549"/>
      <c r="D16234" s="549"/>
      <c r="E16234" s="549"/>
      <c r="F16234" s="549"/>
      <c r="G16234" s="549"/>
      <c r="H16234" s="549"/>
      <c r="I16234" s="560"/>
      <c r="J16234" s="549"/>
      <c r="K16234" s="561"/>
      <c r="L16234" s="560"/>
      <c r="M16234" s="549"/>
      <c r="N16234" s="549"/>
      <c r="O16234" s="549"/>
      <c r="P16234" s="549"/>
    </row>
    <row r="16235" spans="1:16" ht="17.399999999999999">
      <c r="A16235" s="547" t="s">
        <v>272</v>
      </c>
      <c r="B16235" s="547" t="s">
        <v>1901</v>
      </c>
      <c r="C16235" s="547" t="s">
        <v>19</v>
      </c>
      <c r="D16235" s="813" t="s">
        <v>155</v>
      </c>
      <c r="E16235" s="547" t="s">
        <v>270</v>
      </c>
      <c r="F16235" s="549"/>
      <c r="G16235" s="549" t="s">
        <v>61</v>
      </c>
      <c r="H16235" s="549" t="s">
        <v>134</v>
      </c>
      <c r="I16235" s="647">
        <v>12.18</v>
      </c>
      <c r="J16235" s="567">
        <v>6</v>
      </c>
      <c r="K16235" s="648">
        <v>1</v>
      </c>
      <c r="L16235" s="552">
        <f>(I16235*J16235*K16235/1000)</f>
        <v>7.3079999999999992E-2</v>
      </c>
      <c r="M16235" s="549"/>
      <c r="N16235" s="549"/>
      <c r="O16235" s="549"/>
      <c r="P16235" s="549"/>
    </row>
    <row r="16236" spans="1:16" ht="17.399999999999999">
      <c r="A16236" s="549"/>
      <c r="B16236" s="549" t="s">
        <v>271</v>
      </c>
      <c r="C16236" s="549"/>
      <c r="D16236" s="549"/>
      <c r="E16236" s="549"/>
      <c r="F16236" s="549"/>
      <c r="G16236" s="549" t="s">
        <v>61</v>
      </c>
      <c r="H16236" s="549" t="s">
        <v>134</v>
      </c>
      <c r="I16236" s="647">
        <v>12.18</v>
      </c>
      <c r="J16236" s="567">
        <v>6</v>
      </c>
      <c r="K16236" s="648">
        <v>1</v>
      </c>
      <c r="L16236" s="552">
        <f>(I16236*J16236*K16236/1000)</f>
        <v>7.3079999999999992E-2</v>
      </c>
      <c r="M16236" s="549"/>
      <c r="N16236" s="549"/>
      <c r="O16236" s="549"/>
      <c r="P16236" s="549"/>
    </row>
    <row r="16237" spans="1:16" ht="17.399999999999999">
      <c r="A16237" s="549"/>
      <c r="B16237" s="549"/>
      <c r="C16237" s="549"/>
      <c r="D16237" s="549"/>
      <c r="E16237" s="549"/>
      <c r="F16237" s="549"/>
      <c r="G16237" s="549" t="s">
        <v>61</v>
      </c>
      <c r="H16237" s="549" t="s">
        <v>134</v>
      </c>
      <c r="I16237" s="647">
        <v>12.18</v>
      </c>
      <c r="J16237" s="567">
        <v>8</v>
      </c>
      <c r="K16237" s="648">
        <v>1</v>
      </c>
      <c r="L16237" s="552">
        <f>(I16237*J16237*K16237/1000)</f>
        <v>9.7439999999999999E-2</v>
      </c>
      <c r="M16237" s="549"/>
      <c r="N16237" s="549"/>
      <c r="O16237" s="549"/>
      <c r="P16237" s="549"/>
    </row>
    <row r="16238" spans="1:16" s="1737" customFormat="1" ht="17.399999999999999">
      <c r="A16238" s="549"/>
      <c r="B16238" s="549"/>
      <c r="C16238" s="549"/>
      <c r="D16238" s="549"/>
      <c r="E16238" s="549"/>
      <c r="F16238" s="549"/>
      <c r="G16238" s="549" t="s">
        <v>61</v>
      </c>
      <c r="H16238" s="549" t="s">
        <v>134</v>
      </c>
      <c r="I16238" s="647">
        <v>12.18</v>
      </c>
      <c r="J16238" s="567">
        <v>11</v>
      </c>
      <c r="K16238" s="648">
        <v>53</v>
      </c>
      <c r="L16238" s="552">
        <f>(I16238*J16238*K16238/1000)</f>
        <v>7.1009399999999996</v>
      </c>
      <c r="M16238" s="549"/>
      <c r="N16238" s="549"/>
      <c r="O16238" s="549"/>
      <c r="P16238" s="549"/>
    </row>
    <row r="16239" spans="1:16" ht="17.399999999999999">
      <c r="A16239" s="549"/>
      <c r="B16239" s="549"/>
      <c r="C16239" s="549"/>
      <c r="D16239" s="549"/>
      <c r="E16239" s="549"/>
      <c r="F16239" s="549"/>
      <c r="G16239" s="549"/>
      <c r="H16239" s="549"/>
      <c r="I16239" s="647"/>
      <c r="J16239" s="567"/>
      <c r="K16239" s="648">
        <f>SUM(K16235:K16238)</f>
        <v>56</v>
      </c>
      <c r="L16239" s="567">
        <f>SUM(L16235:L16238)</f>
        <v>7.3445399999999994</v>
      </c>
      <c r="M16239" s="549"/>
      <c r="N16239" s="549"/>
      <c r="O16239" s="549"/>
      <c r="P16239" s="549"/>
    </row>
    <row r="16240" spans="1:16" ht="17.399999999999999">
      <c r="A16240" s="547" t="s">
        <v>272</v>
      </c>
      <c r="B16240" s="547" t="s">
        <v>1901</v>
      </c>
      <c r="C16240" s="547" t="s">
        <v>19</v>
      </c>
      <c r="D16240" s="813" t="s">
        <v>155</v>
      </c>
      <c r="E16240" s="547" t="s">
        <v>270</v>
      </c>
      <c r="F16240" s="549"/>
      <c r="G16240" s="549" t="s">
        <v>61</v>
      </c>
      <c r="H16240" s="549" t="s">
        <v>118</v>
      </c>
      <c r="I16240" s="647">
        <v>9.26</v>
      </c>
      <c r="J16240" s="567">
        <v>9.15</v>
      </c>
      <c r="K16240" s="648">
        <v>1</v>
      </c>
      <c r="L16240" s="552">
        <f>(I16240*J16240*K16240/1000)</f>
        <v>8.4728999999999999E-2</v>
      </c>
      <c r="M16240" s="549"/>
      <c r="N16240" s="549"/>
      <c r="O16240" s="549"/>
      <c r="P16240" s="549"/>
    </row>
    <row r="16241" spans="1:16" ht="17.399999999999999">
      <c r="A16241" s="549"/>
      <c r="B16241" s="549" t="s">
        <v>271</v>
      </c>
      <c r="C16241" s="549"/>
      <c r="D16241" s="549"/>
      <c r="E16241" s="549"/>
      <c r="F16241" s="549"/>
      <c r="G16241" s="549" t="s">
        <v>61</v>
      </c>
      <c r="H16241" s="549" t="s">
        <v>118</v>
      </c>
      <c r="I16241" s="647">
        <v>9.26</v>
      </c>
      <c r="J16241" s="567">
        <v>10</v>
      </c>
      <c r="K16241" s="648">
        <v>1</v>
      </c>
      <c r="L16241" s="552">
        <f>(I16241*J16241*K16241/1000)</f>
        <v>9.2599999999999988E-2</v>
      </c>
      <c r="M16241" s="549"/>
      <c r="N16241" s="549"/>
      <c r="O16241" s="549"/>
      <c r="P16241" s="549"/>
    </row>
    <row r="16242" spans="1:16" ht="17.399999999999999">
      <c r="A16242" s="549"/>
      <c r="B16242" s="549"/>
      <c r="C16242" s="549"/>
      <c r="D16242" s="549"/>
      <c r="E16242" s="549"/>
      <c r="F16242" s="549"/>
      <c r="G16242" s="549"/>
      <c r="H16242" s="549"/>
      <c r="I16242" s="647"/>
      <c r="J16242" s="567"/>
      <c r="K16242" s="648">
        <f>SUM(K16240:K16241)</f>
        <v>2</v>
      </c>
      <c r="L16242" s="567">
        <f>SUM(L16240:L16241)</f>
        <v>0.17732899999999999</v>
      </c>
      <c r="M16242" s="549"/>
      <c r="N16242" s="549"/>
      <c r="O16242" s="549"/>
      <c r="P16242" s="549"/>
    </row>
    <row r="16243" spans="1:16" ht="17.399999999999999">
      <c r="A16243" s="549"/>
      <c r="B16243" s="549"/>
      <c r="C16243" s="549"/>
      <c r="D16243" s="549"/>
      <c r="E16243" s="549"/>
      <c r="F16243" s="549"/>
      <c r="G16243" s="549"/>
      <c r="H16243" s="549"/>
      <c r="I16243" s="560"/>
      <c r="J16243" s="549"/>
      <c r="K16243" s="561"/>
      <c r="L16243" s="560"/>
      <c r="M16243" s="549"/>
      <c r="N16243" s="549"/>
      <c r="O16243" s="549"/>
      <c r="P16243" s="549"/>
    </row>
    <row r="16244" spans="1:16" ht="17.399999999999999">
      <c r="A16244" s="547" t="s">
        <v>272</v>
      </c>
      <c r="B16244" s="547" t="s">
        <v>1847</v>
      </c>
      <c r="C16244" s="547" t="s">
        <v>19</v>
      </c>
      <c r="D16244" s="813" t="s">
        <v>854</v>
      </c>
      <c r="E16244" s="547" t="s">
        <v>359</v>
      </c>
      <c r="F16244" s="549"/>
      <c r="G16244" s="549" t="s">
        <v>21</v>
      </c>
      <c r="H16244" s="549" t="s">
        <v>118</v>
      </c>
      <c r="I16244" s="647">
        <v>9.26</v>
      </c>
      <c r="J16244" s="567">
        <v>6</v>
      </c>
      <c r="K16244" s="648">
        <v>3</v>
      </c>
      <c r="L16244" s="552">
        <f>(I16244*J16244*K16244/1000)</f>
        <v>0.16667999999999999</v>
      </c>
      <c r="M16244" s="549"/>
      <c r="N16244" s="549"/>
      <c r="O16244" s="549"/>
      <c r="P16244" s="549"/>
    </row>
    <row r="16245" spans="1:16" ht="17.399999999999999">
      <c r="A16245" s="549"/>
      <c r="B16245" s="549" t="s">
        <v>1027</v>
      </c>
      <c r="C16245" s="549"/>
      <c r="D16245" s="549"/>
      <c r="E16245" s="549"/>
      <c r="F16245" s="549"/>
      <c r="G16245" s="549"/>
      <c r="H16245" s="549"/>
      <c r="I16245" s="647"/>
      <c r="J16245" s="567"/>
      <c r="K16245" s="648">
        <f t="shared" ref="K16245:L16245" si="3259">SUM(K16244)</f>
        <v>3</v>
      </c>
      <c r="L16245" s="765">
        <f t="shared" si="3259"/>
        <v>0.16667999999999999</v>
      </c>
      <c r="M16245" s="549"/>
      <c r="N16245" s="549"/>
      <c r="O16245" s="549"/>
      <c r="P16245" s="549"/>
    </row>
    <row r="16246" spans="1:16" ht="17.399999999999999">
      <c r="A16246" s="547" t="s">
        <v>272</v>
      </c>
      <c r="B16246" s="547" t="s">
        <v>1847</v>
      </c>
      <c r="C16246" s="547" t="s">
        <v>19</v>
      </c>
      <c r="D16246" s="813" t="s">
        <v>854</v>
      </c>
      <c r="E16246" s="547" t="s">
        <v>359</v>
      </c>
      <c r="F16246" s="549"/>
      <c r="G16246" s="549" t="s">
        <v>21</v>
      </c>
      <c r="H16246" s="549" t="s">
        <v>134</v>
      </c>
      <c r="I16246" s="647">
        <v>12.18</v>
      </c>
      <c r="J16246" s="567">
        <v>6</v>
      </c>
      <c r="K16246" s="648">
        <v>1</v>
      </c>
      <c r="L16246" s="552">
        <f>(I16246*J16246*K16246/1000)</f>
        <v>7.3079999999999992E-2</v>
      </c>
      <c r="M16246" s="549"/>
      <c r="N16246" s="549"/>
      <c r="O16246" s="549"/>
      <c r="P16246" s="549"/>
    </row>
    <row r="16247" spans="1:16" ht="17.399999999999999">
      <c r="A16247" s="549"/>
      <c r="B16247" s="549" t="s">
        <v>1027</v>
      </c>
      <c r="C16247" s="549"/>
      <c r="D16247" s="549"/>
      <c r="E16247" s="549"/>
      <c r="F16247" s="549"/>
      <c r="G16247" s="549"/>
      <c r="H16247" s="549"/>
      <c r="I16247" s="647"/>
      <c r="J16247" s="567"/>
      <c r="K16247" s="648">
        <f t="shared" ref="K16247:L16247" si="3260">SUM(K16246)</f>
        <v>1</v>
      </c>
      <c r="L16247" s="765">
        <f t="shared" si="3260"/>
        <v>7.3079999999999992E-2</v>
      </c>
      <c r="M16247" s="549"/>
      <c r="N16247" s="549"/>
      <c r="O16247" s="549"/>
      <c r="P16247" s="549"/>
    </row>
    <row r="16248" spans="1:16" ht="17.399999999999999">
      <c r="A16248" s="547" t="s">
        <v>272</v>
      </c>
      <c r="B16248" s="547" t="s">
        <v>1847</v>
      </c>
      <c r="C16248" s="547" t="s">
        <v>19</v>
      </c>
      <c r="D16248" s="813" t="s">
        <v>854</v>
      </c>
      <c r="E16248" s="547" t="s">
        <v>359</v>
      </c>
      <c r="F16248" s="549"/>
      <c r="G16248" s="549" t="s">
        <v>21</v>
      </c>
      <c r="H16248" s="549" t="s">
        <v>95</v>
      </c>
      <c r="I16248" s="647">
        <v>13.4</v>
      </c>
      <c r="J16248" s="567">
        <v>12</v>
      </c>
      <c r="K16248" s="648">
        <v>1</v>
      </c>
      <c r="L16248" s="552">
        <f>(I16248*J16248*K16248/1000)</f>
        <v>0.1608</v>
      </c>
      <c r="M16248" s="549"/>
      <c r="N16248" s="549"/>
      <c r="O16248" s="549"/>
      <c r="P16248" s="549"/>
    </row>
    <row r="16249" spans="1:16" ht="17.399999999999999">
      <c r="A16249" s="549"/>
      <c r="B16249" s="549" t="s">
        <v>1027</v>
      </c>
      <c r="C16249" s="549"/>
      <c r="D16249" s="549"/>
      <c r="E16249" s="549"/>
      <c r="F16249" s="549"/>
      <c r="G16249" s="549"/>
      <c r="H16249" s="549"/>
      <c r="I16249" s="647"/>
      <c r="J16249" s="567"/>
      <c r="K16249" s="648">
        <f t="shared" ref="K16249:L16249" si="3261">SUM(K16248)</f>
        <v>1</v>
      </c>
      <c r="L16249" s="567">
        <f t="shared" si="3261"/>
        <v>0.1608</v>
      </c>
      <c r="M16249" s="549"/>
      <c r="N16249" s="549"/>
      <c r="O16249" s="549"/>
      <c r="P16249" s="549"/>
    </row>
    <row r="16250" spans="1:16" ht="17.399999999999999">
      <c r="A16250" s="547" t="s">
        <v>272</v>
      </c>
      <c r="B16250" s="547" t="s">
        <v>1847</v>
      </c>
      <c r="C16250" s="547" t="s">
        <v>19</v>
      </c>
      <c r="D16250" s="813" t="s">
        <v>854</v>
      </c>
      <c r="E16250" s="547" t="s">
        <v>359</v>
      </c>
      <c r="F16250" s="549"/>
      <c r="G16250" s="549" t="s">
        <v>21</v>
      </c>
      <c r="H16250" s="549" t="s">
        <v>120</v>
      </c>
      <c r="I16250" s="647">
        <v>18.149999999999999</v>
      </c>
      <c r="J16250" s="567">
        <v>6</v>
      </c>
      <c r="K16250" s="648">
        <v>1</v>
      </c>
      <c r="L16250" s="552">
        <f>(I16250*J16250*K16250/1000)</f>
        <v>0.1089</v>
      </c>
      <c r="M16250" s="549"/>
      <c r="N16250" s="549"/>
      <c r="O16250" s="549"/>
      <c r="P16250" s="549"/>
    </row>
    <row r="16251" spans="1:16" ht="17.399999999999999">
      <c r="A16251" s="549"/>
      <c r="B16251" s="549" t="s">
        <v>1027</v>
      </c>
      <c r="C16251" s="549"/>
      <c r="D16251" s="549"/>
      <c r="E16251" s="549"/>
      <c r="F16251" s="549"/>
      <c r="G16251" s="549"/>
      <c r="H16251" s="549"/>
      <c r="I16251" s="647"/>
      <c r="J16251" s="567"/>
      <c r="K16251" s="648">
        <f t="shared" ref="K16251:L16251" si="3262">SUM(K16250)</f>
        <v>1</v>
      </c>
      <c r="L16251" s="567">
        <f t="shared" si="3262"/>
        <v>0.1089</v>
      </c>
      <c r="M16251" s="549"/>
      <c r="N16251" s="549"/>
      <c r="O16251" s="549"/>
      <c r="P16251" s="549"/>
    </row>
    <row r="16252" spans="1:16" ht="17.399999999999999">
      <c r="A16252" s="547" t="s">
        <v>272</v>
      </c>
      <c r="B16252" s="547" t="s">
        <v>1847</v>
      </c>
      <c r="C16252" s="547" t="s">
        <v>19</v>
      </c>
      <c r="D16252" s="813" t="s">
        <v>854</v>
      </c>
      <c r="E16252" s="547" t="s">
        <v>359</v>
      </c>
      <c r="F16252" s="549"/>
      <c r="G16252" s="549" t="s">
        <v>21</v>
      </c>
      <c r="H16252" s="549" t="s">
        <v>124</v>
      </c>
      <c r="I16252" s="647">
        <v>19.72</v>
      </c>
      <c r="J16252" s="567">
        <v>6</v>
      </c>
      <c r="K16252" s="648">
        <v>1</v>
      </c>
      <c r="L16252" s="552">
        <f>(I16252*J16252*K16252/1000)</f>
        <v>0.11831999999999999</v>
      </c>
      <c r="M16252" s="549"/>
      <c r="N16252" s="549"/>
      <c r="O16252" s="549"/>
      <c r="P16252" s="549"/>
    </row>
    <row r="16253" spans="1:16" ht="17.399999999999999">
      <c r="A16253" s="549"/>
      <c r="B16253" s="549" t="s">
        <v>1027</v>
      </c>
      <c r="C16253" s="549"/>
      <c r="D16253" s="549"/>
      <c r="E16253" s="549"/>
      <c r="F16253" s="549"/>
      <c r="G16253" s="549"/>
      <c r="H16253" s="549"/>
      <c r="I16253" s="647"/>
      <c r="J16253" s="567"/>
      <c r="K16253" s="648">
        <f t="shared" ref="K16253:L16253" si="3263">SUM(K16252)</f>
        <v>1</v>
      </c>
      <c r="L16253" s="567">
        <f t="shared" si="3263"/>
        <v>0.11831999999999999</v>
      </c>
      <c r="M16253" s="549"/>
      <c r="N16253" s="549"/>
      <c r="O16253" s="549"/>
      <c r="P16253" s="549"/>
    </row>
    <row r="16254" spans="1:16" ht="17.399999999999999">
      <c r="A16254" s="549"/>
      <c r="B16254" s="549"/>
      <c r="C16254" s="549"/>
      <c r="D16254" s="549"/>
      <c r="E16254" s="549"/>
      <c r="F16254" s="549"/>
      <c r="G16254" s="549"/>
      <c r="H16254" s="549"/>
      <c r="I16254" s="560"/>
      <c r="J16254" s="549"/>
      <c r="K16254" s="561"/>
      <c r="L16254" s="560"/>
      <c r="M16254" s="549"/>
      <c r="N16254" s="549"/>
      <c r="O16254" s="549"/>
      <c r="P16254" s="549"/>
    </row>
    <row r="16255" spans="1:16" ht="17.399999999999999">
      <c r="A16255" s="549"/>
      <c r="B16255" s="549"/>
      <c r="C16255" s="549"/>
      <c r="D16255" s="549"/>
      <c r="E16255" s="549"/>
      <c r="F16255" s="549"/>
      <c r="G16255" s="549"/>
      <c r="H16255" s="549"/>
      <c r="I16255" s="560"/>
      <c r="J16255" s="549"/>
      <c r="K16255" s="561"/>
      <c r="L16255" s="560"/>
      <c r="M16255" s="549"/>
      <c r="N16255" s="549"/>
      <c r="O16255" s="549"/>
      <c r="P16255" s="549"/>
    </row>
    <row r="16256" spans="1:16" ht="17.399999999999999">
      <c r="A16256" s="549"/>
      <c r="B16256" s="549"/>
      <c r="C16256" s="549"/>
      <c r="D16256" s="549"/>
      <c r="E16256" s="549"/>
      <c r="F16256" s="549"/>
      <c r="G16256" s="549"/>
      <c r="H16256" s="549"/>
      <c r="I16256" s="560"/>
      <c r="J16256" s="549"/>
      <c r="K16256" s="561"/>
      <c r="L16256" s="560"/>
      <c r="M16256" s="549"/>
      <c r="N16256" s="549"/>
      <c r="O16256" s="549"/>
      <c r="P16256" s="549"/>
    </row>
    <row r="16257" spans="1:16" ht="17.399999999999999">
      <c r="A16257" s="549"/>
      <c r="B16257" s="549"/>
      <c r="C16257" s="549"/>
      <c r="D16257" s="549"/>
      <c r="E16257" s="549"/>
      <c r="F16257" s="549"/>
      <c r="G16257" s="549"/>
      <c r="H16257" s="549"/>
      <c r="I16257" s="560"/>
      <c r="J16257" s="549"/>
      <c r="K16257" s="561"/>
      <c r="L16257" s="560"/>
      <c r="M16257" s="549"/>
      <c r="N16257" s="549"/>
      <c r="O16257" s="549"/>
      <c r="P16257" s="549"/>
    </row>
    <row r="16258" spans="1:16" ht="17.399999999999999">
      <c r="A16258" s="547" t="s">
        <v>272</v>
      </c>
      <c r="B16258" s="547" t="s">
        <v>1725</v>
      </c>
      <c r="C16258" s="547" t="s">
        <v>19</v>
      </c>
      <c r="D16258" s="813" t="s">
        <v>854</v>
      </c>
      <c r="E16258" s="547" t="s">
        <v>359</v>
      </c>
      <c r="F16258" s="549"/>
      <c r="G16258" s="549" t="s">
        <v>21</v>
      </c>
      <c r="H16258" s="549" t="s">
        <v>120</v>
      </c>
      <c r="I16258" s="647">
        <v>18.149999999999999</v>
      </c>
      <c r="J16258" s="567">
        <v>8</v>
      </c>
      <c r="K16258" s="648">
        <v>20</v>
      </c>
      <c r="L16258" s="552">
        <f t="shared" ref="L16258:L16260" si="3264">(I16258*J16258*K16258/1000)</f>
        <v>2.9039999999999999</v>
      </c>
      <c r="M16258" s="549"/>
      <c r="N16258" s="549"/>
      <c r="O16258" s="549"/>
      <c r="P16258" s="549"/>
    </row>
    <row r="16259" spans="1:16" ht="17.399999999999999">
      <c r="A16259" s="549"/>
      <c r="B16259" s="549" t="s">
        <v>1780</v>
      </c>
      <c r="C16259" s="549"/>
      <c r="D16259" s="549"/>
      <c r="E16259" s="549"/>
      <c r="F16259" s="549"/>
      <c r="G16259" s="549" t="s">
        <v>21</v>
      </c>
      <c r="H16259" s="549" t="s">
        <v>120</v>
      </c>
      <c r="I16259" s="647">
        <v>18.149999999999999</v>
      </c>
      <c r="J16259" s="567">
        <v>8.25</v>
      </c>
      <c r="K16259" s="648">
        <v>6</v>
      </c>
      <c r="L16259" s="552">
        <f t="shared" si="3264"/>
        <v>0.89842499999999992</v>
      </c>
      <c r="M16259" s="549"/>
      <c r="N16259" s="549"/>
      <c r="O16259" s="549"/>
      <c r="P16259" s="549"/>
    </row>
    <row r="16260" spans="1:16" ht="17.399999999999999">
      <c r="A16260" s="549"/>
      <c r="B16260" s="549"/>
      <c r="C16260" s="549"/>
      <c r="D16260" s="549"/>
      <c r="E16260" s="549"/>
      <c r="F16260" s="549"/>
      <c r="G16260" s="549" t="s">
        <v>21</v>
      </c>
      <c r="H16260" s="549" t="s">
        <v>120</v>
      </c>
      <c r="I16260" s="647">
        <v>18.149999999999999</v>
      </c>
      <c r="J16260" s="567">
        <v>12</v>
      </c>
      <c r="K16260" s="648">
        <v>4</v>
      </c>
      <c r="L16260" s="552">
        <f t="shared" si="3264"/>
        <v>0.87119999999999997</v>
      </c>
      <c r="M16260" s="549"/>
      <c r="N16260" s="549"/>
      <c r="O16260" s="549"/>
      <c r="P16260" s="549"/>
    </row>
    <row r="16261" spans="1:16" ht="17.399999999999999">
      <c r="A16261" s="549"/>
      <c r="B16261" s="549"/>
      <c r="C16261" s="549"/>
      <c r="D16261" s="549"/>
      <c r="E16261" s="549"/>
      <c r="F16261" s="549"/>
      <c r="G16261" s="549"/>
      <c r="H16261" s="549"/>
      <c r="I16261" s="647"/>
      <c r="J16261" s="567"/>
      <c r="K16261" s="648">
        <f t="shared" ref="K16261:L16261" si="3265">SUM(K16258:K16260)</f>
        <v>30</v>
      </c>
      <c r="L16261" s="567">
        <f t="shared" si="3265"/>
        <v>4.6736249999999995</v>
      </c>
      <c r="M16261" s="549"/>
      <c r="N16261" s="549"/>
      <c r="O16261" s="549"/>
      <c r="P16261" s="549"/>
    </row>
    <row r="16262" spans="1:16" ht="17.399999999999999">
      <c r="A16262" s="549"/>
      <c r="B16262" s="549"/>
      <c r="C16262" s="549"/>
      <c r="D16262" s="549"/>
      <c r="E16262" s="549"/>
      <c r="F16262" s="549"/>
      <c r="G16262" s="549"/>
      <c r="H16262" s="549"/>
      <c r="I16262" s="560"/>
      <c r="J16262" s="549"/>
      <c r="K16262" s="561"/>
      <c r="L16262" s="560"/>
      <c r="M16262" s="549"/>
      <c r="N16262" s="549"/>
      <c r="O16262" s="549"/>
      <c r="P16262" s="549"/>
    </row>
    <row r="16263" spans="1:16" ht="17.399999999999999">
      <c r="A16263" s="547" t="s">
        <v>272</v>
      </c>
      <c r="B16263" s="547" t="s">
        <v>1725</v>
      </c>
      <c r="C16263" s="547" t="s">
        <v>19</v>
      </c>
      <c r="D16263" s="813" t="s">
        <v>155</v>
      </c>
      <c r="E16263" s="547" t="s">
        <v>270</v>
      </c>
      <c r="F16263" s="549"/>
      <c r="G16263" s="549" t="s">
        <v>61</v>
      </c>
      <c r="H16263" s="549" t="s">
        <v>122</v>
      </c>
      <c r="I16263" s="647">
        <v>14.66</v>
      </c>
      <c r="J16263" s="567">
        <v>9.5</v>
      </c>
      <c r="K16263" s="648">
        <v>14</v>
      </c>
      <c r="L16263" s="552">
        <f>(I16263*J16263*K16263/1000)</f>
        <v>1.9497800000000003</v>
      </c>
      <c r="M16263" s="549"/>
      <c r="N16263" s="549"/>
      <c r="O16263" s="549"/>
      <c r="P16263" s="549"/>
    </row>
    <row r="16264" spans="1:16" ht="17.399999999999999">
      <c r="A16264" s="549"/>
      <c r="B16264" s="549" t="s">
        <v>1780</v>
      </c>
      <c r="C16264" s="549"/>
      <c r="D16264" s="549"/>
      <c r="E16264" s="549"/>
      <c r="F16264" s="549"/>
      <c r="G16264" s="549" t="s">
        <v>61</v>
      </c>
      <c r="H16264" s="549" t="s">
        <v>122</v>
      </c>
      <c r="I16264" s="647">
        <v>14.66</v>
      </c>
      <c r="J16264" s="567">
        <v>11.5</v>
      </c>
      <c r="K16264" s="648">
        <v>4</v>
      </c>
      <c r="L16264" s="552">
        <f>(I16264*J16264*K16264/1000)</f>
        <v>0.67435999999999996</v>
      </c>
      <c r="M16264" s="549"/>
      <c r="N16264" s="549"/>
      <c r="O16264" s="549"/>
      <c r="P16264" s="549"/>
    </row>
    <row r="16265" spans="1:16" ht="17.399999999999999">
      <c r="A16265" s="549"/>
      <c r="B16265" s="549"/>
      <c r="C16265" s="549"/>
      <c r="D16265" s="549"/>
      <c r="E16265" s="549"/>
      <c r="F16265" s="549"/>
      <c r="G16265" s="549"/>
      <c r="H16265" s="549"/>
      <c r="I16265" s="647"/>
      <c r="J16265" s="567"/>
      <c r="K16265" s="648">
        <f t="shared" ref="K16265" si="3266">SUM(K16263:K16264)</f>
        <v>18</v>
      </c>
      <c r="L16265" s="567">
        <f>SUM(L16263:L16264)</f>
        <v>2.6241400000000001</v>
      </c>
      <c r="M16265" s="549"/>
      <c r="N16265" s="549"/>
      <c r="O16265" s="549"/>
      <c r="P16265" s="549"/>
    </row>
    <row r="16266" spans="1:16" ht="17.399999999999999">
      <c r="A16266" s="549"/>
      <c r="B16266" s="549"/>
      <c r="C16266" s="549"/>
      <c r="D16266" s="549"/>
      <c r="E16266" s="549"/>
      <c r="F16266" s="549"/>
      <c r="G16266" s="549"/>
      <c r="H16266" s="549"/>
      <c r="I16266" s="560"/>
      <c r="J16266" s="549"/>
      <c r="K16266" s="561"/>
      <c r="L16266" s="560"/>
      <c r="M16266" s="549"/>
      <c r="N16266" s="549"/>
      <c r="O16266" s="549"/>
      <c r="P16266" s="549"/>
    </row>
    <row r="16267" spans="1:16" ht="17.399999999999999">
      <c r="A16267" s="549"/>
      <c r="B16267" s="549"/>
      <c r="C16267" s="549"/>
      <c r="D16267" s="549"/>
      <c r="E16267" s="549"/>
      <c r="F16267" s="549"/>
      <c r="G16267" s="549"/>
      <c r="H16267" s="549"/>
      <c r="I16267" s="560"/>
      <c r="J16267" s="549"/>
      <c r="K16267" s="561"/>
      <c r="L16267" s="560"/>
      <c r="M16267" s="549"/>
      <c r="N16267" s="549"/>
      <c r="O16267" s="549"/>
      <c r="P16267" s="549"/>
    </row>
    <row r="16268" spans="1:16" ht="17.399999999999999">
      <c r="A16268" s="547" t="s">
        <v>83</v>
      </c>
      <c r="B16268" s="547" t="s">
        <v>1746</v>
      </c>
      <c r="C16268" s="547" t="s">
        <v>19</v>
      </c>
      <c r="D16268" s="813" t="s">
        <v>854</v>
      </c>
      <c r="E16268" s="650" t="s">
        <v>878</v>
      </c>
      <c r="F16268" s="549"/>
      <c r="G16268" s="549" t="s">
        <v>21</v>
      </c>
      <c r="H16268" s="549" t="s">
        <v>53</v>
      </c>
      <c r="I16268" s="647">
        <v>8.3000000000000007</v>
      </c>
      <c r="J16268" s="567">
        <v>6.3</v>
      </c>
      <c r="K16268" s="648">
        <v>58</v>
      </c>
      <c r="L16268" s="552">
        <f t="shared" ref="L16268:L16276" si="3267">(I16268*J16268*K16268/1000)</f>
        <v>3.0328200000000001</v>
      </c>
      <c r="M16268" s="549"/>
      <c r="N16268" s="549"/>
      <c r="O16268" s="549"/>
      <c r="P16268" s="549"/>
    </row>
    <row r="16269" spans="1:16" ht="17.399999999999999">
      <c r="A16269" s="549"/>
      <c r="B16269" s="549" t="s">
        <v>1135</v>
      </c>
      <c r="C16269" s="549"/>
      <c r="D16269" s="549"/>
      <c r="E16269" s="549"/>
      <c r="F16269" s="549"/>
      <c r="G16269" s="549" t="s">
        <v>21</v>
      </c>
      <c r="H16269" s="549" t="s">
        <v>53</v>
      </c>
      <c r="I16269" s="647">
        <v>8.3000000000000007</v>
      </c>
      <c r="J16269" s="567">
        <v>7.6</v>
      </c>
      <c r="K16269" s="648">
        <v>24</v>
      </c>
      <c r="L16269" s="552">
        <f t="shared" si="3267"/>
        <v>1.5139200000000002</v>
      </c>
      <c r="M16269" s="549"/>
      <c r="N16269" s="549"/>
      <c r="O16269" s="549"/>
      <c r="P16269" s="549"/>
    </row>
    <row r="16270" spans="1:16" ht="17.399999999999999">
      <c r="A16270" s="549"/>
      <c r="B16270" s="549"/>
      <c r="C16270" s="549"/>
      <c r="D16270" s="549"/>
      <c r="E16270" s="549"/>
      <c r="F16270" s="549"/>
      <c r="G16270" s="549" t="s">
        <v>21</v>
      </c>
      <c r="H16270" s="549" t="s">
        <v>53</v>
      </c>
      <c r="I16270" s="647">
        <v>8.3000000000000007</v>
      </c>
      <c r="J16270" s="567">
        <v>8.5500000000000007</v>
      </c>
      <c r="K16270" s="648">
        <v>5</v>
      </c>
      <c r="L16270" s="552">
        <f t="shared" si="3267"/>
        <v>0.35482500000000011</v>
      </c>
      <c r="M16270" s="549"/>
      <c r="N16270" s="549"/>
      <c r="O16270" s="549"/>
      <c r="P16270" s="549"/>
    </row>
    <row r="16271" spans="1:16" ht="17.399999999999999">
      <c r="A16271" s="549"/>
      <c r="B16271" s="549"/>
      <c r="C16271" s="549"/>
      <c r="D16271" s="549"/>
      <c r="E16271" s="549"/>
      <c r="F16271" s="549"/>
      <c r="G16271" s="549" t="s">
        <v>21</v>
      </c>
      <c r="H16271" s="549" t="s">
        <v>53</v>
      </c>
      <c r="I16271" s="647">
        <v>8.3000000000000007</v>
      </c>
      <c r="J16271" s="567">
        <v>10</v>
      </c>
      <c r="K16271" s="648">
        <v>15</v>
      </c>
      <c r="L16271" s="552">
        <f t="shared" si="3267"/>
        <v>1.2450000000000001</v>
      </c>
      <c r="M16271" s="549"/>
      <c r="N16271" s="549"/>
      <c r="O16271" s="549"/>
      <c r="P16271" s="549"/>
    </row>
    <row r="16272" spans="1:16" ht="17.399999999999999">
      <c r="A16272" s="549"/>
      <c r="B16272" s="549"/>
      <c r="C16272" s="549"/>
      <c r="D16272" s="549"/>
      <c r="E16272" s="549"/>
      <c r="F16272" s="549"/>
      <c r="G16272" s="549" t="s">
        <v>21</v>
      </c>
      <c r="H16272" s="549" t="s">
        <v>53</v>
      </c>
      <c r="I16272" s="647">
        <v>8.3000000000000007</v>
      </c>
      <c r="J16272" s="567">
        <v>10.4</v>
      </c>
      <c r="K16272" s="648">
        <v>25</v>
      </c>
      <c r="L16272" s="552">
        <f t="shared" si="3267"/>
        <v>2.1579999999999999</v>
      </c>
      <c r="M16272" s="549"/>
      <c r="N16272" s="549"/>
      <c r="O16272" s="549"/>
      <c r="P16272" s="549"/>
    </row>
    <row r="16273" spans="1:16" ht="17.399999999999999">
      <c r="A16273" s="549"/>
      <c r="B16273" s="549"/>
      <c r="C16273" s="549"/>
      <c r="D16273" s="549"/>
      <c r="E16273" s="549"/>
      <c r="F16273" s="549"/>
      <c r="G16273" s="549" t="s">
        <v>21</v>
      </c>
      <c r="H16273" s="549" t="s">
        <v>53</v>
      </c>
      <c r="I16273" s="647">
        <v>8.3000000000000007</v>
      </c>
      <c r="J16273" s="567">
        <v>10.7</v>
      </c>
      <c r="K16273" s="648">
        <v>35</v>
      </c>
      <c r="L16273" s="552">
        <f t="shared" si="3267"/>
        <v>3.1083499999999997</v>
      </c>
      <c r="M16273" s="549"/>
      <c r="N16273" s="549"/>
      <c r="O16273" s="549"/>
      <c r="P16273" s="549"/>
    </row>
    <row r="16274" spans="1:16" ht="17.399999999999999">
      <c r="A16274" s="549"/>
      <c r="B16274" s="549"/>
      <c r="C16274" s="549"/>
      <c r="D16274" s="549"/>
      <c r="E16274" s="549"/>
      <c r="F16274" s="549"/>
      <c r="G16274" s="549" t="s">
        <v>21</v>
      </c>
      <c r="H16274" s="549" t="s">
        <v>53</v>
      </c>
      <c r="I16274" s="647">
        <v>8.3000000000000007</v>
      </c>
      <c r="J16274" s="567">
        <v>11.5</v>
      </c>
      <c r="K16274" s="648">
        <v>39</v>
      </c>
      <c r="L16274" s="552">
        <f t="shared" si="3267"/>
        <v>3.72255</v>
      </c>
      <c r="M16274" s="549"/>
      <c r="N16274" s="549"/>
      <c r="O16274" s="549"/>
      <c r="P16274" s="549"/>
    </row>
    <row r="16275" spans="1:16" ht="17.399999999999999">
      <c r="A16275" s="549"/>
      <c r="B16275" s="549"/>
      <c r="C16275" s="549"/>
      <c r="D16275" s="549"/>
      <c r="E16275" s="549"/>
      <c r="F16275" s="549"/>
      <c r="G16275" s="549" t="s">
        <v>21</v>
      </c>
      <c r="H16275" s="549" t="s">
        <v>53</v>
      </c>
      <c r="I16275" s="647">
        <v>8.3000000000000007</v>
      </c>
      <c r="J16275" s="567">
        <v>11.8</v>
      </c>
      <c r="K16275" s="648">
        <v>17</v>
      </c>
      <c r="L16275" s="552">
        <f t="shared" si="3267"/>
        <v>1.6649800000000003</v>
      </c>
      <c r="M16275" s="549"/>
      <c r="N16275" s="549"/>
      <c r="O16275" s="549"/>
      <c r="P16275" s="549"/>
    </row>
    <row r="16276" spans="1:16" ht="17.399999999999999">
      <c r="A16276" s="549"/>
      <c r="B16276" s="549"/>
      <c r="C16276" s="549"/>
      <c r="D16276" s="549"/>
      <c r="E16276" s="549"/>
      <c r="F16276" s="549"/>
      <c r="G16276" s="549" t="s">
        <v>21</v>
      </c>
      <c r="H16276" s="549" t="s">
        <v>53</v>
      </c>
      <c r="I16276" s="647">
        <v>8.3000000000000007</v>
      </c>
      <c r="J16276" s="567">
        <v>12</v>
      </c>
      <c r="K16276" s="648">
        <v>16</v>
      </c>
      <c r="L16276" s="552">
        <f t="shared" si="3267"/>
        <v>1.5936000000000001</v>
      </c>
      <c r="M16276" s="549"/>
      <c r="N16276" s="549"/>
      <c r="O16276" s="549"/>
      <c r="P16276" s="549"/>
    </row>
    <row r="16277" spans="1:16" ht="17.399999999999999">
      <c r="A16277" s="549"/>
      <c r="B16277" s="549"/>
      <c r="C16277" s="549"/>
      <c r="D16277" s="549"/>
      <c r="E16277" s="549"/>
      <c r="F16277" s="549"/>
      <c r="G16277" s="549"/>
      <c r="H16277" s="549"/>
      <c r="I16277" s="647"/>
      <c r="J16277" s="567"/>
      <c r="K16277" s="648">
        <f t="shared" ref="K16277:L16277" si="3268">SUM(K16268:K16276)</f>
        <v>234</v>
      </c>
      <c r="L16277" s="567">
        <f t="shared" si="3268"/>
        <v>18.394044999999998</v>
      </c>
      <c r="M16277" s="549"/>
      <c r="N16277" s="549"/>
      <c r="O16277" s="549"/>
      <c r="P16277" s="549"/>
    </row>
    <row r="16278" spans="1:16" ht="17.399999999999999">
      <c r="A16278" s="547" t="s">
        <v>83</v>
      </c>
      <c r="B16278" s="547" t="s">
        <v>1746</v>
      </c>
      <c r="C16278" s="547" t="s">
        <v>19</v>
      </c>
      <c r="D16278" s="813" t="s">
        <v>854</v>
      </c>
      <c r="E16278" s="650" t="s">
        <v>878</v>
      </c>
      <c r="F16278" s="549"/>
      <c r="G16278" s="549" t="s">
        <v>21</v>
      </c>
      <c r="H16278" s="549" t="s">
        <v>54</v>
      </c>
      <c r="I16278" s="647">
        <v>9.61</v>
      </c>
      <c r="J16278" s="567">
        <v>10.9</v>
      </c>
      <c r="K16278" s="648">
        <v>12</v>
      </c>
      <c r="L16278" s="552">
        <f>(I16278*J16278*K16278/1000)</f>
        <v>1.2569879999999998</v>
      </c>
      <c r="M16278" s="549"/>
      <c r="N16278" s="549"/>
      <c r="O16278" s="549"/>
      <c r="P16278" s="549"/>
    </row>
    <row r="16279" spans="1:16" ht="17.399999999999999">
      <c r="A16279" s="549"/>
      <c r="B16279" s="549" t="s">
        <v>1135</v>
      </c>
      <c r="C16279" s="549"/>
      <c r="D16279" s="549"/>
      <c r="E16279" s="549"/>
      <c r="F16279" s="549"/>
      <c r="G16279" s="549"/>
      <c r="H16279" s="549"/>
      <c r="I16279" s="647"/>
      <c r="J16279" s="567"/>
      <c r="K16279" s="648">
        <f t="shared" ref="K16279:L16279" si="3269">SUM(K16278)</f>
        <v>12</v>
      </c>
      <c r="L16279" s="567">
        <f t="shared" si="3269"/>
        <v>1.2569879999999998</v>
      </c>
      <c r="M16279" s="549"/>
      <c r="N16279" s="549"/>
      <c r="O16279" s="549"/>
      <c r="P16279" s="549"/>
    </row>
    <row r="16280" spans="1:16" ht="17.399999999999999">
      <c r="A16280" s="549"/>
      <c r="B16280" s="549"/>
      <c r="C16280" s="549"/>
      <c r="D16280" s="549"/>
      <c r="E16280" s="549"/>
      <c r="F16280" s="549"/>
      <c r="G16280" s="549"/>
      <c r="H16280" s="549"/>
      <c r="I16280" s="560"/>
      <c r="J16280" s="549"/>
      <c r="K16280" s="561"/>
      <c r="L16280" s="560"/>
      <c r="M16280" s="549"/>
      <c r="N16280" s="549"/>
      <c r="O16280" s="549"/>
      <c r="P16280" s="549"/>
    </row>
    <row r="16281" spans="1:16" ht="17.399999999999999">
      <c r="A16281" s="549"/>
      <c r="B16281" s="549"/>
      <c r="C16281" s="549"/>
      <c r="D16281" s="549"/>
      <c r="E16281" s="549"/>
      <c r="F16281" s="549"/>
      <c r="G16281" s="549"/>
      <c r="H16281" s="549"/>
      <c r="I16281" s="560"/>
      <c r="J16281" s="549"/>
      <c r="K16281" s="561"/>
      <c r="L16281" s="560"/>
      <c r="M16281" s="549"/>
      <c r="N16281" s="549"/>
      <c r="O16281" s="549"/>
      <c r="P16281" s="549"/>
    </row>
    <row r="16282" spans="1:16" ht="17.399999999999999">
      <c r="A16282" s="547" t="s">
        <v>83</v>
      </c>
      <c r="B16282" s="547" t="s">
        <v>1746</v>
      </c>
      <c r="C16282" s="547" t="s">
        <v>19</v>
      </c>
      <c r="D16282" s="813" t="s">
        <v>854</v>
      </c>
      <c r="E16282" s="650" t="s">
        <v>878</v>
      </c>
      <c r="F16282" s="549"/>
      <c r="G16282" s="549" t="s">
        <v>21</v>
      </c>
      <c r="H16282" s="549" t="s">
        <v>118</v>
      </c>
      <c r="I16282" s="647">
        <v>9.26</v>
      </c>
      <c r="J16282" s="567">
        <v>6.4</v>
      </c>
      <c r="K16282" s="648">
        <v>17</v>
      </c>
      <c r="L16282" s="552">
        <f t="shared" ref="L16282:L16287" si="3270">(I16282*J16282*K16282/1000)</f>
        <v>1.0074880000000002</v>
      </c>
      <c r="M16282" s="549"/>
      <c r="N16282" s="549"/>
      <c r="O16282" s="549"/>
      <c r="P16282" s="549"/>
    </row>
    <row r="16283" spans="1:16" ht="17.399999999999999">
      <c r="A16283" s="549"/>
      <c r="B16283" s="549" t="s">
        <v>1135</v>
      </c>
      <c r="C16283" s="549"/>
      <c r="D16283" s="549"/>
      <c r="E16283" s="549"/>
      <c r="F16283" s="549"/>
      <c r="G16283" s="549" t="s">
        <v>21</v>
      </c>
      <c r="H16283" s="549" t="s">
        <v>118</v>
      </c>
      <c r="I16283" s="647">
        <v>9.26</v>
      </c>
      <c r="J16283" s="567">
        <v>9</v>
      </c>
      <c r="K16283" s="648">
        <v>18</v>
      </c>
      <c r="L16283" s="552">
        <f t="shared" si="3270"/>
        <v>1.5001200000000001</v>
      </c>
      <c r="M16283" s="549"/>
      <c r="N16283" s="549"/>
      <c r="O16283" s="549"/>
      <c r="P16283" s="549"/>
    </row>
    <row r="16284" spans="1:16" ht="17.399999999999999">
      <c r="A16284" s="549"/>
      <c r="B16284" s="549"/>
      <c r="C16284" s="549"/>
      <c r="D16284" s="549"/>
      <c r="E16284" s="549"/>
      <c r="F16284" s="549"/>
      <c r="G16284" s="549" t="s">
        <v>21</v>
      </c>
      <c r="H16284" s="549" t="s">
        <v>118</v>
      </c>
      <c r="I16284" s="647">
        <v>9.26</v>
      </c>
      <c r="J16284" s="567">
        <v>10.85</v>
      </c>
      <c r="K16284" s="648">
        <v>4</v>
      </c>
      <c r="L16284" s="552">
        <f t="shared" si="3270"/>
        <v>0.40188399999999996</v>
      </c>
      <c r="M16284" s="549"/>
      <c r="N16284" s="549"/>
      <c r="O16284" s="549"/>
      <c r="P16284" s="549"/>
    </row>
    <row r="16285" spans="1:16" ht="17.399999999999999">
      <c r="A16285" s="549"/>
      <c r="B16285" s="549"/>
      <c r="C16285" s="549"/>
      <c r="D16285" s="549"/>
      <c r="E16285" s="549"/>
      <c r="F16285" s="549"/>
      <c r="G16285" s="549" t="s">
        <v>21</v>
      </c>
      <c r="H16285" s="549" t="s">
        <v>118</v>
      </c>
      <c r="I16285" s="647">
        <v>9.26</v>
      </c>
      <c r="J16285" s="567">
        <v>11.1</v>
      </c>
      <c r="K16285" s="648">
        <v>4</v>
      </c>
      <c r="L16285" s="552">
        <f t="shared" si="3270"/>
        <v>0.41114400000000001</v>
      </c>
      <c r="M16285" s="549"/>
      <c r="N16285" s="549"/>
      <c r="O16285" s="549"/>
      <c r="P16285" s="549"/>
    </row>
    <row r="16286" spans="1:16" ht="17.399999999999999">
      <c r="A16286" s="549"/>
      <c r="B16286" s="549"/>
      <c r="C16286" s="549"/>
      <c r="D16286" s="549"/>
      <c r="E16286" s="549"/>
      <c r="F16286" s="549"/>
      <c r="G16286" s="549" t="s">
        <v>21</v>
      </c>
      <c r="H16286" s="549" t="s">
        <v>118</v>
      </c>
      <c r="I16286" s="647">
        <v>9.26</v>
      </c>
      <c r="J16286" s="567">
        <v>11.3</v>
      </c>
      <c r="K16286" s="648">
        <v>11</v>
      </c>
      <c r="L16286" s="552">
        <f t="shared" si="3270"/>
        <v>1.1510180000000001</v>
      </c>
      <c r="M16286" s="549"/>
      <c r="N16286" s="549"/>
      <c r="O16286" s="549"/>
      <c r="P16286" s="549"/>
    </row>
    <row r="16287" spans="1:16" ht="17.399999999999999">
      <c r="A16287" s="549"/>
      <c r="B16287" s="549"/>
      <c r="C16287" s="549"/>
      <c r="D16287" s="549"/>
      <c r="E16287" s="549"/>
      <c r="F16287" s="549"/>
      <c r="G16287" s="549" t="s">
        <v>21</v>
      </c>
      <c r="H16287" s="549" t="s">
        <v>118</v>
      </c>
      <c r="I16287" s="647">
        <v>9.26</v>
      </c>
      <c r="J16287" s="567">
        <v>11.9</v>
      </c>
      <c r="K16287" s="648">
        <v>9</v>
      </c>
      <c r="L16287" s="552">
        <f t="shared" si="3270"/>
        <v>0.99174600000000002</v>
      </c>
      <c r="M16287" s="549"/>
      <c r="N16287" s="549"/>
      <c r="O16287" s="549"/>
      <c r="P16287" s="549"/>
    </row>
    <row r="16288" spans="1:16" ht="17.399999999999999">
      <c r="A16288" s="549"/>
      <c r="B16288" s="549"/>
      <c r="C16288" s="549"/>
      <c r="D16288" s="549"/>
      <c r="E16288" s="549"/>
      <c r="F16288" s="549"/>
      <c r="G16288" s="549"/>
      <c r="H16288" s="549"/>
      <c r="I16288" s="647"/>
      <c r="J16288" s="567"/>
      <c r="K16288" s="648">
        <f t="shared" ref="K16288:L16288" si="3271">SUM(K16282:K16287)</f>
        <v>63</v>
      </c>
      <c r="L16288" s="567">
        <f t="shared" si="3271"/>
        <v>5.4634000000000009</v>
      </c>
      <c r="M16288" s="549"/>
      <c r="N16288" s="549"/>
      <c r="O16288" s="549"/>
      <c r="P16288" s="549"/>
    </row>
    <row r="16289" spans="1:16" ht="17.399999999999999">
      <c r="A16289" s="547" t="s">
        <v>83</v>
      </c>
      <c r="B16289" s="547" t="s">
        <v>1746</v>
      </c>
      <c r="C16289" s="547" t="s">
        <v>19</v>
      </c>
      <c r="D16289" s="813" t="s">
        <v>854</v>
      </c>
      <c r="E16289" s="650" t="s">
        <v>878</v>
      </c>
      <c r="F16289" s="549"/>
      <c r="G16289" s="549" t="s">
        <v>21</v>
      </c>
      <c r="H16289" s="549" t="s">
        <v>119</v>
      </c>
      <c r="I16289" s="647">
        <v>10.7</v>
      </c>
      <c r="J16289" s="567">
        <v>6.1</v>
      </c>
      <c r="K16289" s="648">
        <v>16</v>
      </c>
      <c r="L16289" s="552">
        <f t="shared" ref="L16289:L16294" si="3272">(I16289*J16289*K16289/1000)</f>
        <v>1.0443199999999999</v>
      </c>
      <c r="M16289" s="549"/>
      <c r="N16289" s="549"/>
      <c r="O16289" s="549"/>
      <c r="P16289" s="549"/>
    </row>
    <row r="16290" spans="1:16" ht="17.399999999999999">
      <c r="A16290" s="549"/>
      <c r="B16290" s="549" t="s">
        <v>1135</v>
      </c>
      <c r="C16290" s="549"/>
      <c r="D16290" s="549"/>
      <c r="E16290" s="549"/>
      <c r="F16290" s="549"/>
      <c r="G16290" s="549" t="s">
        <v>21</v>
      </c>
      <c r="H16290" s="549" t="s">
        <v>119</v>
      </c>
      <c r="I16290" s="647">
        <v>10.7</v>
      </c>
      <c r="J16290" s="567">
        <v>7.8</v>
      </c>
      <c r="K16290" s="648">
        <v>2</v>
      </c>
      <c r="L16290" s="552">
        <f t="shared" si="3272"/>
        <v>0.16691999999999999</v>
      </c>
      <c r="M16290" s="549"/>
      <c r="N16290" s="549"/>
      <c r="O16290" s="549"/>
      <c r="P16290" s="549"/>
    </row>
    <row r="16291" spans="1:16" ht="17.399999999999999">
      <c r="A16291" s="549"/>
      <c r="B16291" s="549"/>
      <c r="C16291" s="549"/>
      <c r="D16291" s="549"/>
      <c r="E16291" s="549"/>
      <c r="F16291" s="549"/>
      <c r="G16291" s="549" t="s">
        <v>21</v>
      </c>
      <c r="H16291" s="549" t="s">
        <v>119</v>
      </c>
      <c r="I16291" s="647">
        <v>10.7</v>
      </c>
      <c r="J16291" s="567">
        <v>9.35</v>
      </c>
      <c r="K16291" s="648">
        <v>24</v>
      </c>
      <c r="L16291" s="552">
        <f t="shared" si="3272"/>
        <v>2.4010799999999999</v>
      </c>
      <c r="M16291" s="549"/>
      <c r="N16291" s="549"/>
      <c r="O16291" s="549"/>
      <c r="P16291" s="549"/>
    </row>
    <row r="16292" spans="1:16" ht="17.399999999999999">
      <c r="A16292" s="549"/>
      <c r="B16292" s="549"/>
      <c r="C16292" s="549"/>
      <c r="D16292" s="549"/>
      <c r="E16292" s="549"/>
      <c r="F16292" s="549"/>
      <c r="G16292" s="549" t="s">
        <v>21</v>
      </c>
      <c r="H16292" s="549" t="s">
        <v>119</v>
      </c>
      <c r="I16292" s="647">
        <v>10.7</v>
      </c>
      <c r="J16292" s="567">
        <v>10.4</v>
      </c>
      <c r="K16292" s="648">
        <v>6</v>
      </c>
      <c r="L16292" s="552">
        <f t="shared" si="3272"/>
        <v>0.66768000000000005</v>
      </c>
      <c r="M16292" s="549"/>
      <c r="N16292" s="549"/>
      <c r="O16292" s="549"/>
      <c r="P16292" s="549"/>
    </row>
    <row r="16293" spans="1:16" ht="17.399999999999999">
      <c r="A16293" s="549"/>
      <c r="B16293" s="549"/>
      <c r="C16293" s="549"/>
      <c r="D16293" s="549"/>
      <c r="E16293" s="549"/>
      <c r="F16293" s="549"/>
      <c r="G16293" s="549" t="s">
        <v>21</v>
      </c>
      <c r="H16293" s="549" t="s">
        <v>119</v>
      </c>
      <c r="I16293" s="647">
        <v>10.7</v>
      </c>
      <c r="J16293" s="567">
        <v>11.1</v>
      </c>
      <c r="K16293" s="648">
        <v>14</v>
      </c>
      <c r="L16293" s="552">
        <f t="shared" si="3272"/>
        <v>1.6627799999999997</v>
      </c>
      <c r="M16293" s="549"/>
      <c r="N16293" s="549"/>
      <c r="O16293" s="549"/>
      <c r="P16293" s="549"/>
    </row>
    <row r="16294" spans="1:16" ht="17.399999999999999">
      <c r="A16294" s="549"/>
      <c r="B16294" s="549"/>
      <c r="C16294" s="549"/>
      <c r="D16294" s="549"/>
      <c r="E16294" s="549"/>
      <c r="F16294" s="549"/>
      <c r="G16294" s="549" t="s">
        <v>21</v>
      </c>
      <c r="H16294" s="549" t="s">
        <v>119</v>
      </c>
      <c r="I16294" s="647">
        <v>10.7</v>
      </c>
      <c r="J16294" s="567">
        <v>12</v>
      </c>
      <c r="K16294" s="648">
        <v>5</v>
      </c>
      <c r="L16294" s="552">
        <f t="shared" si="3272"/>
        <v>0.6419999999999999</v>
      </c>
      <c r="M16294" s="549"/>
      <c r="N16294" s="549"/>
      <c r="O16294" s="549"/>
      <c r="P16294" s="549"/>
    </row>
    <row r="16295" spans="1:16" ht="17.399999999999999">
      <c r="A16295" s="549"/>
      <c r="B16295" s="549"/>
      <c r="C16295" s="549"/>
      <c r="D16295" s="549"/>
      <c r="E16295" s="549"/>
      <c r="F16295" s="549"/>
      <c r="G16295" s="549"/>
      <c r="H16295" s="549"/>
      <c r="I16295" s="647"/>
      <c r="J16295" s="567"/>
      <c r="K16295" s="648">
        <f t="shared" ref="K16295:L16295" si="3273">SUM(K16289:K16294)</f>
        <v>67</v>
      </c>
      <c r="L16295" s="567">
        <f t="shared" si="3273"/>
        <v>6.5847799999999985</v>
      </c>
      <c r="M16295" s="549"/>
      <c r="N16295" s="549"/>
      <c r="O16295" s="549"/>
      <c r="P16295" s="549"/>
    </row>
    <row r="16296" spans="1:16" ht="17.399999999999999">
      <c r="A16296" s="547" t="s">
        <v>83</v>
      </c>
      <c r="B16296" s="547" t="s">
        <v>1746</v>
      </c>
      <c r="C16296" s="547" t="s">
        <v>19</v>
      </c>
      <c r="D16296" s="813" t="s">
        <v>854</v>
      </c>
      <c r="E16296" s="650" t="s">
        <v>878</v>
      </c>
      <c r="F16296" s="549"/>
      <c r="G16296" s="549" t="s">
        <v>21</v>
      </c>
      <c r="H16296" s="549" t="s">
        <v>134</v>
      </c>
      <c r="I16296" s="647">
        <v>12.2</v>
      </c>
      <c r="J16296" s="567">
        <v>6.1</v>
      </c>
      <c r="K16296" s="648">
        <v>30</v>
      </c>
      <c r="L16296" s="552">
        <f t="shared" ref="L16296:L16300" si="3274">(I16296*J16296*K16296/1000)</f>
        <v>2.2325999999999993</v>
      </c>
      <c r="M16296" s="549"/>
      <c r="N16296" s="549"/>
      <c r="O16296" s="549"/>
      <c r="P16296" s="549"/>
    </row>
    <row r="16297" spans="1:16" ht="17.399999999999999">
      <c r="A16297" s="549"/>
      <c r="B16297" s="549" t="s">
        <v>1135</v>
      </c>
      <c r="C16297" s="549"/>
      <c r="D16297" s="549"/>
      <c r="E16297" s="549"/>
      <c r="F16297" s="549"/>
      <c r="G16297" s="549" t="s">
        <v>21</v>
      </c>
      <c r="H16297" s="549" t="s">
        <v>134</v>
      </c>
      <c r="I16297" s="647">
        <v>12.2</v>
      </c>
      <c r="J16297" s="567">
        <v>6.9</v>
      </c>
      <c r="K16297" s="648">
        <v>15</v>
      </c>
      <c r="L16297" s="552">
        <f t="shared" si="3274"/>
        <v>1.2626999999999997</v>
      </c>
      <c r="M16297" s="549"/>
      <c r="N16297" s="549"/>
      <c r="O16297" s="549"/>
      <c r="P16297" s="549"/>
    </row>
    <row r="16298" spans="1:16" ht="17.399999999999999">
      <c r="A16298" s="549"/>
      <c r="B16298" s="549"/>
      <c r="C16298" s="549"/>
      <c r="D16298" s="549"/>
      <c r="E16298" s="549"/>
      <c r="F16298" s="549"/>
      <c r="G16298" s="549" t="s">
        <v>21</v>
      </c>
      <c r="H16298" s="549" t="s">
        <v>134</v>
      </c>
      <c r="I16298" s="647">
        <v>12.2</v>
      </c>
      <c r="J16298" s="567">
        <v>9.8000000000000007</v>
      </c>
      <c r="K16298" s="648">
        <v>8</v>
      </c>
      <c r="L16298" s="552">
        <f t="shared" si="3274"/>
        <v>0.95648</v>
      </c>
      <c r="M16298" s="549"/>
      <c r="N16298" s="549"/>
      <c r="O16298" s="549"/>
      <c r="P16298" s="549"/>
    </row>
    <row r="16299" spans="1:16" ht="17.399999999999999">
      <c r="A16299" s="549"/>
      <c r="B16299" s="549"/>
      <c r="C16299" s="549"/>
      <c r="D16299" s="549"/>
      <c r="E16299" s="549"/>
      <c r="F16299" s="549"/>
      <c r="G16299" s="549" t="s">
        <v>21</v>
      </c>
      <c r="H16299" s="549" t="s">
        <v>134</v>
      </c>
      <c r="I16299" s="647">
        <v>12.2</v>
      </c>
      <c r="J16299" s="567">
        <v>10.85</v>
      </c>
      <c r="K16299" s="648">
        <v>5</v>
      </c>
      <c r="L16299" s="552">
        <f t="shared" si="3274"/>
        <v>0.66184999999999994</v>
      </c>
      <c r="M16299" s="549"/>
      <c r="N16299" s="549"/>
      <c r="O16299" s="549"/>
      <c r="P16299" s="549"/>
    </row>
    <row r="16300" spans="1:16" ht="17.399999999999999">
      <c r="A16300" s="549"/>
      <c r="B16300" s="549"/>
      <c r="C16300" s="549"/>
      <c r="D16300" s="549"/>
      <c r="E16300" s="549"/>
      <c r="F16300" s="549"/>
      <c r="G16300" s="549" t="s">
        <v>21</v>
      </c>
      <c r="H16300" s="549" t="s">
        <v>134</v>
      </c>
      <c r="I16300" s="647">
        <v>12.2</v>
      </c>
      <c r="J16300" s="567">
        <v>11</v>
      </c>
      <c r="K16300" s="648">
        <v>24</v>
      </c>
      <c r="L16300" s="552">
        <f t="shared" si="3274"/>
        <v>3.2207999999999997</v>
      </c>
      <c r="M16300" s="549"/>
      <c r="N16300" s="549"/>
      <c r="O16300" s="549"/>
      <c r="P16300" s="549"/>
    </row>
    <row r="16301" spans="1:16" ht="17.399999999999999">
      <c r="A16301" s="549"/>
      <c r="B16301" s="549"/>
      <c r="C16301" s="549"/>
      <c r="D16301" s="549"/>
      <c r="E16301" s="549"/>
      <c r="F16301" s="549"/>
      <c r="G16301" s="549"/>
      <c r="H16301" s="549"/>
      <c r="I16301" s="647"/>
      <c r="J16301" s="567"/>
      <c r="K16301" s="648">
        <f t="shared" ref="K16301:L16301" si="3275">SUM(K16296:K16300)</f>
        <v>82</v>
      </c>
      <c r="L16301" s="567">
        <f t="shared" si="3275"/>
        <v>8.3344299999999993</v>
      </c>
      <c r="M16301" s="549"/>
      <c r="N16301" s="549"/>
      <c r="O16301" s="549"/>
      <c r="P16301" s="549"/>
    </row>
    <row r="16302" spans="1:16" ht="17.399999999999999">
      <c r="A16302" s="549"/>
      <c r="B16302" s="549"/>
      <c r="C16302" s="549"/>
      <c r="D16302" s="549"/>
      <c r="E16302" s="549"/>
      <c r="F16302" s="549"/>
      <c r="G16302" s="549"/>
      <c r="H16302" s="549"/>
      <c r="I16302" s="560"/>
      <c r="J16302" s="549"/>
      <c r="K16302" s="561"/>
      <c r="L16302" s="560"/>
      <c r="M16302" s="549"/>
      <c r="N16302" s="549"/>
      <c r="O16302" s="549"/>
      <c r="P16302" s="549"/>
    </row>
    <row r="16303" spans="1:16" ht="17.399999999999999">
      <c r="A16303" s="549"/>
      <c r="B16303" s="549"/>
      <c r="C16303" s="549"/>
      <c r="D16303" s="549"/>
      <c r="E16303" s="549"/>
      <c r="F16303" s="549"/>
      <c r="G16303" s="549"/>
      <c r="H16303" s="549"/>
      <c r="I16303" s="560"/>
      <c r="J16303" s="549"/>
      <c r="K16303" s="561"/>
      <c r="L16303" s="560"/>
      <c r="M16303" s="549"/>
      <c r="N16303" s="549"/>
      <c r="O16303" s="549"/>
      <c r="P16303" s="549"/>
    </row>
    <row r="16304" spans="1:16" ht="17.399999999999999">
      <c r="A16304" s="547" t="s">
        <v>83</v>
      </c>
      <c r="B16304" s="547" t="s">
        <v>1746</v>
      </c>
      <c r="C16304" s="547" t="s">
        <v>19</v>
      </c>
      <c r="D16304" s="813" t="s">
        <v>60</v>
      </c>
      <c r="E16304" s="650" t="s">
        <v>90</v>
      </c>
      <c r="F16304" s="549"/>
      <c r="G16304" s="549" t="s">
        <v>61</v>
      </c>
      <c r="H16304" s="549" t="s">
        <v>134</v>
      </c>
      <c r="I16304" s="647">
        <v>12.2</v>
      </c>
      <c r="J16304" s="567">
        <v>7.95</v>
      </c>
      <c r="K16304" s="648">
        <v>1</v>
      </c>
      <c r="L16304" s="552">
        <f>(I16304*J16304*K16304/1000)</f>
        <v>9.6989999999999993E-2</v>
      </c>
      <c r="M16304" s="549"/>
      <c r="N16304" s="549"/>
      <c r="O16304" s="549"/>
      <c r="P16304" s="549"/>
    </row>
    <row r="16305" spans="1:16" ht="17.399999999999999">
      <c r="A16305" s="549"/>
      <c r="B16305" s="549" t="s">
        <v>1135</v>
      </c>
      <c r="C16305" s="549"/>
      <c r="D16305" s="549"/>
      <c r="E16305" s="549"/>
      <c r="F16305" s="549"/>
      <c r="G16305" s="549"/>
      <c r="H16305" s="549"/>
      <c r="I16305" s="647"/>
      <c r="J16305" s="567"/>
      <c r="K16305" s="648">
        <f t="shared" ref="K16305:L16305" si="3276">SUM(K16304)</f>
        <v>1</v>
      </c>
      <c r="L16305" s="567">
        <f t="shared" si="3276"/>
        <v>9.6989999999999993E-2</v>
      </c>
      <c r="M16305" s="549"/>
      <c r="N16305" s="549"/>
      <c r="O16305" s="549"/>
      <c r="P16305" s="549"/>
    </row>
    <row r="16306" spans="1:16" ht="17.399999999999999">
      <c r="A16306" s="549"/>
      <c r="B16306" s="549"/>
      <c r="C16306" s="549"/>
      <c r="D16306" s="549"/>
      <c r="E16306" s="549"/>
      <c r="F16306" s="549"/>
      <c r="G16306" s="549"/>
      <c r="H16306" s="549"/>
      <c r="I16306" s="560"/>
      <c r="J16306" s="549"/>
      <c r="K16306" s="561"/>
      <c r="L16306" s="560"/>
      <c r="M16306" s="549"/>
      <c r="N16306" s="549"/>
      <c r="O16306" s="549"/>
      <c r="P16306" s="549"/>
    </row>
    <row r="16307" spans="1:16" ht="17.399999999999999">
      <c r="A16307" s="549"/>
      <c r="B16307" s="549"/>
      <c r="C16307" s="549"/>
      <c r="D16307" s="549"/>
      <c r="E16307" s="549"/>
      <c r="F16307" s="549"/>
      <c r="G16307" s="549"/>
      <c r="H16307" s="549"/>
      <c r="I16307" s="560"/>
      <c r="J16307" s="549"/>
      <c r="K16307" s="561"/>
      <c r="L16307" s="560"/>
      <c r="M16307" s="549"/>
      <c r="N16307" s="549"/>
      <c r="O16307" s="549"/>
      <c r="P16307" s="549"/>
    </row>
    <row r="16308" spans="1:16" ht="17.399999999999999">
      <c r="A16308" s="547" t="s">
        <v>83</v>
      </c>
      <c r="B16308" s="547" t="s">
        <v>1746</v>
      </c>
      <c r="C16308" s="547" t="s">
        <v>19</v>
      </c>
      <c r="D16308" s="813" t="s">
        <v>854</v>
      </c>
      <c r="E16308" s="650" t="s">
        <v>878</v>
      </c>
      <c r="F16308" s="549"/>
      <c r="G16308" s="549" t="s">
        <v>21</v>
      </c>
      <c r="H16308" s="549" t="s">
        <v>120</v>
      </c>
      <c r="I16308" s="647">
        <v>18.2</v>
      </c>
      <c r="J16308" s="567">
        <v>7.4</v>
      </c>
      <c r="K16308" s="648">
        <v>12</v>
      </c>
      <c r="L16308" s="552">
        <f t="shared" ref="L16308:L16313" si="3277">(I16308*J16308*K16308/1000)</f>
        <v>1.61616</v>
      </c>
      <c r="M16308" s="549"/>
      <c r="N16308" s="549"/>
      <c r="O16308" s="549"/>
      <c r="P16308" s="549"/>
    </row>
    <row r="16309" spans="1:16" ht="17.399999999999999">
      <c r="A16309" s="549"/>
      <c r="B16309" s="549" t="s">
        <v>1135</v>
      </c>
      <c r="C16309" s="549"/>
      <c r="D16309" s="549"/>
      <c r="E16309" s="549"/>
      <c r="F16309" s="549"/>
      <c r="G16309" s="549" t="s">
        <v>21</v>
      </c>
      <c r="H16309" s="549" t="s">
        <v>120</v>
      </c>
      <c r="I16309" s="647">
        <v>18.2</v>
      </c>
      <c r="J16309" s="567">
        <v>8.1999999999999993</v>
      </c>
      <c r="K16309" s="648">
        <v>24</v>
      </c>
      <c r="L16309" s="552">
        <f t="shared" si="3277"/>
        <v>3.5817599999999992</v>
      </c>
      <c r="M16309" s="549"/>
      <c r="N16309" s="549"/>
      <c r="O16309" s="549"/>
      <c r="P16309" s="549"/>
    </row>
    <row r="16310" spans="1:16" ht="17.399999999999999">
      <c r="A16310" s="549"/>
      <c r="B16310" s="549"/>
      <c r="C16310" s="549"/>
      <c r="D16310" s="549"/>
      <c r="E16310" s="549"/>
      <c r="F16310" s="549"/>
      <c r="G16310" s="549" t="s">
        <v>21</v>
      </c>
      <c r="H16310" s="549" t="s">
        <v>120</v>
      </c>
      <c r="I16310" s="647">
        <v>18.2</v>
      </c>
      <c r="J16310" s="567">
        <v>9.5</v>
      </c>
      <c r="K16310" s="648">
        <v>3</v>
      </c>
      <c r="L16310" s="552">
        <f t="shared" si="3277"/>
        <v>0.51870000000000005</v>
      </c>
      <c r="M16310" s="549"/>
      <c r="N16310" s="549"/>
      <c r="O16310" s="549"/>
      <c r="P16310" s="549"/>
    </row>
    <row r="16311" spans="1:16" ht="17.399999999999999">
      <c r="A16311" s="549"/>
      <c r="B16311" s="549"/>
      <c r="C16311" s="549"/>
      <c r="D16311" s="549"/>
      <c r="E16311" s="549"/>
      <c r="F16311" s="549"/>
      <c r="G16311" s="549" t="s">
        <v>21</v>
      </c>
      <c r="H16311" s="549" t="s">
        <v>120</v>
      </c>
      <c r="I16311" s="647">
        <v>18.2</v>
      </c>
      <c r="J16311" s="567">
        <v>10.6</v>
      </c>
      <c r="K16311" s="648">
        <v>12</v>
      </c>
      <c r="L16311" s="552">
        <f t="shared" si="3277"/>
        <v>2.3150399999999998</v>
      </c>
      <c r="M16311" s="549"/>
      <c r="N16311" s="549"/>
      <c r="O16311" s="549"/>
      <c r="P16311" s="549"/>
    </row>
    <row r="16312" spans="1:16" ht="17.399999999999999">
      <c r="A16312" s="549"/>
      <c r="B16312" s="549"/>
      <c r="C16312" s="549"/>
      <c r="D16312" s="549"/>
      <c r="E16312" s="549"/>
      <c r="F16312" s="549"/>
      <c r="G16312" s="549" t="s">
        <v>21</v>
      </c>
      <c r="H16312" s="549" t="s">
        <v>120</v>
      </c>
      <c r="I16312" s="647">
        <v>18.2</v>
      </c>
      <c r="J16312" s="567">
        <v>11.3</v>
      </c>
      <c r="K16312" s="648">
        <v>20</v>
      </c>
      <c r="L16312" s="552">
        <f t="shared" si="3277"/>
        <v>4.1132</v>
      </c>
      <c r="M16312" s="549"/>
      <c r="N16312" s="549"/>
      <c r="O16312" s="549"/>
      <c r="P16312" s="549"/>
    </row>
    <row r="16313" spans="1:16" ht="17.399999999999999">
      <c r="A16313" s="549"/>
      <c r="B16313" s="549"/>
      <c r="C16313" s="549"/>
      <c r="D16313" s="549"/>
      <c r="E16313" s="549"/>
      <c r="F16313" s="549"/>
      <c r="G16313" s="549" t="s">
        <v>21</v>
      </c>
      <c r="H16313" s="549" t="s">
        <v>120</v>
      </c>
      <c r="I16313" s="647">
        <v>18.2</v>
      </c>
      <c r="J16313" s="567">
        <v>11.8</v>
      </c>
      <c r="K16313" s="648">
        <v>4</v>
      </c>
      <c r="L16313" s="552">
        <f t="shared" si="3277"/>
        <v>0.85903999999999991</v>
      </c>
      <c r="M16313" s="549"/>
      <c r="N16313" s="549"/>
      <c r="O16313" s="549"/>
      <c r="P16313" s="549"/>
    </row>
    <row r="16314" spans="1:16" ht="17.399999999999999">
      <c r="A16314" s="549"/>
      <c r="B16314" s="549"/>
      <c r="C16314" s="549"/>
      <c r="D16314" s="549"/>
      <c r="E16314" s="549"/>
      <c r="F16314" s="549"/>
      <c r="G16314" s="549"/>
      <c r="H16314" s="549"/>
      <c r="I16314" s="647"/>
      <c r="J16314" s="567"/>
      <c r="K16314" s="648">
        <f t="shared" ref="K16314:L16314" si="3278">SUM(K16308:K16313)</f>
        <v>75</v>
      </c>
      <c r="L16314" s="567">
        <f t="shared" si="3278"/>
        <v>13.003899999999998</v>
      </c>
      <c r="M16314" s="549"/>
      <c r="N16314" s="549"/>
      <c r="O16314" s="549"/>
      <c r="P16314" s="549"/>
    </row>
    <row r="16315" spans="1:16" ht="17.399999999999999">
      <c r="A16315" s="547" t="s">
        <v>83</v>
      </c>
      <c r="B16315" s="547" t="s">
        <v>1746</v>
      </c>
      <c r="C16315" s="547" t="s">
        <v>19</v>
      </c>
      <c r="D16315" s="813" t="s">
        <v>854</v>
      </c>
      <c r="E16315" s="650" t="s">
        <v>878</v>
      </c>
      <c r="F16315" s="549"/>
      <c r="G16315" s="549" t="s">
        <v>21</v>
      </c>
      <c r="H16315" s="549" t="s">
        <v>122</v>
      </c>
      <c r="I16315" s="647">
        <v>14.7</v>
      </c>
      <c r="J16315" s="567">
        <v>11.4</v>
      </c>
      <c r="K16315" s="648">
        <v>10</v>
      </c>
      <c r="L16315" s="552">
        <f>(I16315*J16315*K16315/1000)</f>
        <v>1.6757999999999997</v>
      </c>
      <c r="M16315" s="549"/>
      <c r="N16315" s="549"/>
      <c r="O16315" s="549"/>
      <c r="P16315" s="549"/>
    </row>
    <row r="16316" spans="1:16" ht="17.399999999999999">
      <c r="A16316" s="549"/>
      <c r="B16316" s="549" t="s">
        <v>1135</v>
      </c>
      <c r="C16316" s="549"/>
      <c r="D16316" s="549"/>
      <c r="E16316" s="549"/>
      <c r="F16316" s="549"/>
      <c r="G16316" s="549"/>
      <c r="H16316" s="549"/>
      <c r="I16316" s="647"/>
      <c r="J16316" s="567"/>
      <c r="K16316" s="648">
        <f t="shared" ref="K16316:L16316" si="3279">SUM(K16315)</f>
        <v>10</v>
      </c>
      <c r="L16316" s="567">
        <f t="shared" si="3279"/>
        <v>1.6757999999999997</v>
      </c>
      <c r="M16316" s="549"/>
      <c r="N16316" s="549"/>
      <c r="O16316" s="549"/>
      <c r="P16316" s="549"/>
    </row>
    <row r="16317" spans="1:16" ht="17.399999999999999">
      <c r="A16317" s="547" t="s">
        <v>83</v>
      </c>
      <c r="B16317" s="547" t="s">
        <v>1746</v>
      </c>
      <c r="C16317" s="547" t="s">
        <v>19</v>
      </c>
      <c r="D16317" s="813" t="s">
        <v>854</v>
      </c>
      <c r="E16317" s="650" t="s">
        <v>878</v>
      </c>
      <c r="F16317" s="549"/>
      <c r="G16317" s="549" t="s">
        <v>21</v>
      </c>
      <c r="H16317" s="549" t="s">
        <v>125</v>
      </c>
      <c r="I16317" s="647">
        <v>21.7</v>
      </c>
      <c r="J16317" s="567">
        <v>7</v>
      </c>
      <c r="K16317" s="648">
        <v>24</v>
      </c>
      <c r="L16317" s="552">
        <f t="shared" ref="L16317:L16318" si="3280">(I16317*J16317*K16317/1000)</f>
        <v>3.6456000000000004</v>
      </c>
      <c r="M16317" s="549"/>
      <c r="N16317" s="549"/>
      <c r="O16317" s="549"/>
      <c r="P16317" s="549"/>
    </row>
    <row r="16318" spans="1:16" ht="17.399999999999999">
      <c r="A16318" s="549"/>
      <c r="B16318" s="549" t="s">
        <v>1135</v>
      </c>
      <c r="C16318" s="549"/>
      <c r="D16318" s="549"/>
      <c r="E16318" s="549"/>
      <c r="F16318" s="549"/>
      <c r="G16318" s="549" t="s">
        <v>21</v>
      </c>
      <c r="H16318" s="549" t="s">
        <v>125</v>
      </c>
      <c r="I16318" s="647">
        <v>21.7</v>
      </c>
      <c r="J16318" s="567">
        <v>8.5500000000000007</v>
      </c>
      <c r="K16318" s="648">
        <v>24</v>
      </c>
      <c r="L16318" s="552">
        <f t="shared" si="3280"/>
        <v>4.4528400000000001</v>
      </c>
      <c r="M16318" s="549"/>
      <c r="N16318" s="549"/>
      <c r="O16318" s="549"/>
      <c r="P16318" s="549"/>
    </row>
    <row r="16319" spans="1:16" ht="17.399999999999999">
      <c r="A16319" s="549"/>
      <c r="B16319" s="549"/>
      <c r="C16319" s="549"/>
      <c r="D16319" s="549"/>
      <c r="E16319" s="549"/>
      <c r="F16319" s="549"/>
      <c r="G16319" s="549"/>
      <c r="H16319" s="549"/>
      <c r="I16319" s="647"/>
      <c r="J16319" s="567"/>
      <c r="K16319" s="648">
        <f t="shared" ref="K16319:L16319" si="3281">SUM(K16317:K16318)</f>
        <v>48</v>
      </c>
      <c r="L16319" s="567">
        <f t="shared" si="3281"/>
        <v>8.0984400000000001</v>
      </c>
      <c r="M16319" s="549"/>
      <c r="N16319" s="549"/>
      <c r="O16319" s="549"/>
      <c r="P16319" s="549"/>
    </row>
    <row r="16320" spans="1:16" ht="17.399999999999999">
      <c r="A16320" s="549"/>
      <c r="B16320" s="549"/>
      <c r="C16320" s="549"/>
      <c r="D16320" s="549"/>
      <c r="E16320" s="549"/>
      <c r="F16320" s="549"/>
      <c r="G16320" s="549"/>
      <c r="H16320" s="549"/>
      <c r="I16320" s="560"/>
      <c r="J16320" s="549"/>
      <c r="K16320" s="561"/>
      <c r="L16320" s="560"/>
      <c r="M16320" s="549"/>
      <c r="N16320" s="549"/>
      <c r="O16320" s="549"/>
      <c r="P16320" s="549"/>
    </row>
    <row r="16321" spans="1:16" ht="17.399999999999999">
      <c r="A16321" s="547" t="s">
        <v>83</v>
      </c>
      <c r="B16321" s="547" t="s">
        <v>1746</v>
      </c>
      <c r="C16321" s="547" t="s">
        <v>19</v>
      </c>
      <c r="D16321" s="813" t="s">
        <v>854</v>
      </c>
      <c r="E16321" s="650" t="s">
        <v>878</v>
      </c>
      <c r="F16321" s="549"/>
      <c r="G16321" s="549" t="s">
        <v>21</v>
      </c>
      <c r="H16321" s="549" t="s">
        <v>178</v>
      </c>
      <c r="I16321" s="647">
        <v>31.6</v>
      </c>
      <c r="J16321" s="567">
        <v>8.1999999999999993</v>
      </c>
      <c r="K16321" s="648">
        <v>9</v>
      </c>
      <c r="L16321" s="552">
        <f>(I16321*J16321*K16321/1000)</f>
        <v>2.3320799999999999</v>
      </c>
      <c r="M16321" s="549"/>
      <c r="N16321" s="549"/>
      <c r="O16321" s="549"/>
      <c r="P16321" s="549"/>
    </row>
    <row r="16322" spans="1:16" ht="17.399999999999999">
      <c r="A16322" s="549"/>
      <c r="B16322" s="549" t="s">
        <v>1135</v>
      </c>
      <c r="C16322" s="549"/>
      <c r="D16322" s="549"/>
      <c r="E16322" s="549"/>
      <c r="F16322" s="549"/>
      <c r="G16322" s="549"/>
      <c r="H16322" s="549"/>
      <c r="I16322" s="647"/>
      <c r="J16322" s="567"/>
      <c r="K16322" s="648">
        <f t="shared" ref="K16322:L16322" si="3282">SUM(K16321)</f>
        <v>9</v>
      </c>
      <c r="L16322" s="567">
        <f t="shared" si="3282"/>
        <v>2.3320799999999999</v>
      </c>
      <c r="M16322" s="549"/>
      <c r="N16322" s="549"/>
      <c r="O16322" s="549"/>
      <c r="P16322" s="549"/>
    </row>
    <row r="16323" spans="1:16" ht="17.399999999999999">
      <c r="A16323" s="547" t="s">
        <v>83</v>
      </c>
      <c r="B16323" s="547" t="s">
        <v>1746</v>
      </c>
      <c r="C16323" s="547" t="s">
        <v>19</v>
      </c>
      <c r="D16323" s="813" t="s">
        <v>854</v>
      </c>
      <c r="E16323" s="650" t="s">
        <v>878</v>
      </c>
      <c r="F16323" s="549"/>
      <c r="G16323" s="549" t="s">
        <v>21</v>
      </c>
      <c r="H16323" s="549" t="s">
        <v>179</v>
      </c>
      <c r="I16323" s="647">
        <v>33.799999999999997</v>
      </c>
      <c r="J16323" s="567">
        <v>8.1</v>
      </c>
      <c r="K16323" s="648">
        <v>9</v>
      </c>
      <c r="L16323" s="552">
        <f t="shared" ref="L16323:L16327" si="3283">(I16323*J16323*K16323/1000)</f>
        <v>2.4640199999999997</v>
      </c>
      <c r="M16323" s="549"/>
      <c r="N16323" s="549"/>
      <c r="O16323" s="549"/>
      <c r="P16323" s="549"/>
    </row>
    <row r="16324" spans="1:16" ht="17.399999999999999">
      <c r="A16324" s="549"/>
      <c r="B16324" s="549" t="s">
        <v>1135</v>
      </c>
      <c r="C16324" s="549"/>
      <c r="D16324" s="549"/>
      <c r="E16324" s="549"/>
      <c r="F16324" s="549"/>
      <c r="G16324" s="549" t="s">
        <v>21</v>
      </c>
      <c r="H16324" s="549" t="s">
        <v>179</v>
      </c>
      <c r="I16324" s="647">
        <v>33.799999999999997</v>
      </c>
      <c r="J16324" s="567">
        <v>8.8000000000000007</v>
      </c>
      <c r="K16324" s="648">
        <v>8</v>
      </c>
      <c r="L16324" s="552">
        <f t="shared" si="3283"/>
        <v>2.3795199999999999</v>
      </c>
      <c r="M16324" s="549"/>
      <c r="N16324" s="549"/>
      <c r="O16324" s="549"/>
      <c r="P16324" s="549"/>
    </row>
    <row r="16325" spans="1:16" ht="17.399999999999999">
      <c r="A16325" s="549"/>
      <c r="B16325" s="549"/>
      <c r="C16325" s="549"/>
      <c r="D16325" s="549"/>
      <c r="E16325" s="549"/>
      <c r="F16325" s="549"/>
      <c r="G16325" s="549" t="s">
        <v>21</v>
      </c>
      <c r="H16325" s="549" t="s">
        <v>179</v>
      </c>
      <c r="I16325" s="647">
        <v>33.799999999999997</v>
      </c>
      <c r="J16325" s="567">
        <v>10.35</v>
      </c>
      <c r="K16325" s="648">
        <v>14</v>
      </c>
      <c r="L16325" s="552">
        <f t="shared" si="3283"/>
        <v>4.8976199999999999</v>
      </c>
      <c r="M16325" s="549"/>
      <c r="N16325" s="549"/>
      <c r="O16325" s="549"/>
      <c r="P16325" s="549"/>
    </row>
    <row r="16326" spans="1:16" ht="17.399999999999999">
      <c r="A16326" s="549"/>
      <c r="B16326" s="549"/>
      <c r="C16326" s="549"/>
      <c r="D16326" s="549"/>
      <c r="E16326" s="549"/>
      <c r="F16326" s="549"/>
      <c r="G16326" s="549" t="s">
        <v>21</v>
      </c>
      <c r="H16326" s="549" t="s">
        <v>179</v>
      </c>
      <c r="I16326" s="647">
        <v>33.799999999999997</v>
      </c>
      <c r="J16326" s="567">
        <v>11.3</v>
      </c>
      <c r="K16326" s="648">
        <v>7</v>
      </c>
      <c r="L16326" s="552">
        <f t="shared" si="3283"/>
        <v>2.6735799999999998</v>
      </c>
      <c r="M16326" s="549"/>
      <c r="N16326" s="549"/>
      <c r="O16326" s="549"/>
      <c r="P16326" s="549"/>
    </row>
    <row r="16327" spans="1:16" ht="17.399999999999999">
      <c r="A16327" s="549"/>
      <c r="B16327" s="549"/>
      <c r="C16327" s="549"/>
      <c r="D16327" s="549"/>
      <c r="E16327" s="549"/>
      <c r="F16327" s="549"/>
      <c r="G16327" s="549" t="s">
        <v>21</v>
      </c>
      <c r="H16327" s="549" t="s">
        <v>179</v>
      </c>
      <c r="I16327" s="647">
        <v>33.799999999999997</v>
      </c>
      <c r="J16327" s="567">
        <v>11.5</v>
      </c>
      <c r="K16327" s="648">
        <v>6</v>
      </c>
      <c r="L16327" s="552">
        <f t="shared" si="3283"/>
        <v>2.3321999999999998</v>
      </c>
      <c r="M16327" s="549"/>
      <c r="N16327" s="549"/>
      <c r="O16327" s="549"/>
      <c r="P16327" s="549"/>
    </row>
    <row r="16328" spans="1:16" ht="17.399999999999999">
      <c r="A16328" s="549"/>
      <c r="B16328" s="549"/>
      <c r="C16328" s="549"/>
      <c r="D16328" s="549"/>
      <c r="E16328" s="549"/>
      <c r="F16328" s="549"/>
      <c r="G16328" s="549"/>
      <c r="H16328" s="549"/>
      <c r="I16328" s="647"/>
      <c r="J16328" s="567"/>
      <c r="K16328" s="648">
        <f t="shared" ref="K16328:L16328" si="3284">SUM(K16323:K16327)</f>
        <v>44</v>
      </c>
      <c r="L16328" s="567">
        <f t="shared" si="3284"/>
        <v>14.746939999999999</v>
      </c>
      <c r="M16328" s="549"/>
      <c r="N16328" s="549"/>
      <c r="O16328" s="549"/>
      <c r="P16328" s="549"/>
    </row>
    <row r="16329" spans="1:16" ht="17.399999999999999">
      <c r="A16329" s="549"/>
      <c r="B16329" s="549"/>
      <c r="C16329" s="549"/>
      <c r="D16329" s="549"/>
      <c r="E16329" s="549"/>
      <c r="F16329" s="549"/>
      <c r="G16329" s="549"/>
      <c r="H16329" s="549"/>
      <c r="I16329" s="560"/>
      <c r="J16329" s="549"/>
      <c r="K16329" s="561"/>
      <c r="L16329" s="560"/>
      <c r="M16329" s="549"/>
      <c r="N16329" s="549"/>
      <c r="O16329" s="549"/>
      <c r="P16329" s="549"/>
    </row>
    <row r="16330" spans="1:16" ht="17.399999999999999">
      <c r="A16330" s="549"/>
      <c r="B16330" s="549"/>
      <c r="C16330" s="549"/>
      <c r="D16330" s="549"/>
      <c r="E16330" s="549"/>
      <c r="F16330" s="549"/>
      <c r="G16330" s="549"/>
      <c r="H16330" s="549"/>
      <c r="I16330" s="560"/>
      <c r="J16330" s="549"/>
      <c r="K16330" s="561"/>
      <c r="L16330" s="560"/>
      <c r="M16330" s="549"/>
      <c r="N16330" s="549"/>
      <c r="O16330" s="549"/>
      <c r="P16330" s="549"/>
    </row>
    <row r="16331" spans="1:16" ht="17.399999999999999">
      <c r="A16331" s="547" t="s">
        <v>83</v>
      </c>
      <c r="B16331" s="547" t="s">
        <v>1746</v>
      </c>
      <c r="C16331" s="547" t="s">
        <v>19</v>
      </c>
      <c r="D16331" s="813" t="s">
        <v>854</v>
      </c>
      <c r="E16331" s="650" t="s">
        <v>878</v>
      </c>
      <c r="F16331" s="549"/>
      <c r="G16331" s="549" t="s">
        <v>21</v>
      </c>
      <c r="H16331" s="549" t="s">
        <v>70</v>
      </c>
      <c r="I16331" s="647">
        <v>5.76</v>
      </c>
      <c r="J16331" s="567">
        <v>7.1</v>
      </c>
      <c r="K16331" s="648">
        <v>77</v>
      </c>
      <c r="L16331" s="552">
        <f t="shared" ref="L16331:L16333" si="3285">(I16331*J16331*K16331/1000)</f>
        <v>3.1489919999999998</v>
      </c>
      <c r="M16331" s="549"/>
      <c r="N16331" s="549"/>
      <c r="O16331" s="549"/>
      <c r="P16331" s="549"/>
    </row>
    <row r="16332" spans="1:16" ht="17.399999999999999">
      <c r="A16332" s="549"/>
      <c r="B16332" s="549" t="s">
        <v>1135</v>
      </c>
      <c r="C16332" s="549"/>
      <c r="D16332" s="549"/>
      <c r="E16332" s="549"/>
      <c r="F16332" s="549"/>
      <c r="G16332" s="549" t="s">
        <v>21</v>
      </c>
      <c r="H16332" s="549" t="s">
        <v>70</v>
      </c>
      <c r="I16332" s="647">
        <v>5.76</v>
      </c>
      <c r="J16332" s="567">
        <v>11</v>
      </c>
      <c r="K16332" s="648">
        <v>16</v>
      </c>
      <c r="L16332" s="552">
        <f t="shared" si="3285"/>
        <v>1.01376</v>
      </c>
      <c r="M16332" s="549"/>
      <c r="N16332" s="549"/>
      <c r="O16332" s="549"/>
      <c r="P16332" s="549"/>
    </row>
    <row r="16333" spans="1:16" ht="17.399999999999999">
      <c r="A16333" s="549"/>
      <c r="B16333" s="549"/>
      <c r="C16333" s="549"/>
      <c r="D16333" s="549"/>
      <c r="E16333" s="549"/>
      <c r="F16333" s="549"/>
      <c r="G16333" s="549" t="s">
        <v>21</v>
      </c>
      <c r="H16333" s="549" t="s">
        <v>70</v>
      </c>
      <c r="I16333" s="647">
        <v>5.76</v>
      </c>
      <c r="J16333" s="567">
        <v>12</v>
      </c>
      <c r="K16333" s="648">
        <v>4</v>
      </c>
      <c r="L16333" s="552">
        <f t="shared" si="3285"/>
        <v>0.27648</v>
      </c>
      <c r="M16333" s="549"/>
      <c r="N16333" s="549"/>
      <c r="O16333" s="549"/>
      <c r="P16333" s="549"/>
    </row>
    <row r="16334" spans="1:16" ht="17.399999999999999">
      <c r="A16334" s="549"/>
      <c r="B16334" s="549"/>
      <c r="C16334" s="549"/>
      <c r="D16334" s="549"/>
      <c r="E16334" s="549"/>
      <c r="F16334" s="549"/>
      <c r="G16334" s="549"/>
      <c r="H16334" s="549"/>
      <c r="I16334" s="647"/>
      <c r="J16334" s="567"/>
      <c r="K16334" s="648">
        <f t="shared" ref="K16334:L16334" si="3286">SUM(K16331:K16333)</f>
        <v>97</v>
      </c>
      <c r="L16334" s="567">
        <f t="shared" si="3286"/>
        <v>4.4392319999999996</v>
      </c>
      <c r="M16334" s="549"/>
      <c r="N16334" s="549"/>
      <c r="O16334" s="549"/>
      <c r="P16334" s="549"/>
    </row>
    <row r="16335" spans="1:16" ht="17.399999999999999">
      <c r="A16335" s="547" t="s">
        <v>83</v>
      </c>
      <c r="B16335" s="547" t="s">
        <v>1746</v>
      </c>
      <c r="C16335" s="547" t="s">
        <v>19</v>
      </c>
      <c r="D16335" s="813" t="s">
        <v>854</v>
      </c>
      <c r="E16335" s="650" t="s">
        <v>878</v>
      </c>
      <c r="F16335" s="549"/>
      <c r="G16335" s="549" t="s">
        <v>21</v>
      </c>
      <c r="H16335" s="549" t="s">
        <v>69</v>
      </c>
      <c r="I16335" s="647">
        <v>6.85</v>
      </c>
      <c r="J16335" s="567">
        <v>6.8</v>
      </c>
      <c r="K16335" s="648">
        <v>34</v>
      </c>
      <c r="L16335" s="552">
        <f t="shared" ref="L16335:L16337" si="3287">(I16335*J16335*K16335/1000)</f>
        <v>1.58372</v>
      </c>
      <c r="M16335" s="549"/>
      <c r="N16335" s="549"/>
      <c r="O16335" s="549"/>
      <c r="P16335" s="549"/>
    </row>
    <row r="16336" spans="1:16" ht="17.399999999999999">
      <c r="A16336" s="549"/>
      <c r="B16336" s="549" t="s">
        <v>1135</v>
      </c>
      <c r="C16336" s="549"/>
      <c r="D16336" s="549"/>
      <c r="E16336" s="549"/>
      <c r="F16336" s="549"/>
      <c r="G16336" s="549" t="s">
        <v>21</v>
      </c>
      <c r="H16336" s="549" t="s">
        <v>69</v>
      </c>
      <c r="I16336" s="647">
        <v>6.85</v>
      </c>
      <c r="J16336" s="567">
        <v>11.3</v>
      </c>
      <c r="K16336" s="648">
        <v>16</v>
      </c>
      <c r="L16336" s="552">
        <f t="shared" si="3287"/>
        <v>1.23848</v>
      </c>
      <c r="M16336" s="549"/>
      <c r="N16336" s="549"/>
      <c r="O16336" s="549"/>
      <c r="P16336" s="549"/>
    </row>
    <row r="16337" spans="1:16" ht="17.399999999999999">
      <c r="A16337" s="549"/>
      <c r="B16337" s="549"/>
      <c r="C16337" s="549"/>
      <c r="D16337" s="549"/>
      <c r="E16337" s="549"/>
      <c r="F16337" s="549"/>
      <c r="G16337" s="549" t="s">
        <v>21</v>
      </c>
      <c r="H16337" s="549" t="s">
        <v>69</v>
      </c>
      <c r="I16337" s="647">
        <v>6.85</v>
      </c>
      <c r="J16337" s="567">
        <v>12</v>
      </c>
      <c r="K16337" s="648">
        <v>36</v>
      </c>
      <c r="L16337" s="552">
        <f t="shared" si="3287"/>
        <v>2.9591999999999996</v>
      </c>
      <c r="M16337" s="549"/>
      <c r="N16337" s="549"/>
      <c r="O16337" s="549"/>
      <c r="P16337" s="549"/>
    </row>
    <row r="16338" spans="1:16" ht="17.399999999999999">
      <c r="A16338" s="549"/>
      <c r="B16338" s="549"/>
      <c r="C16338" s="549"/>
      <c r="D16338" s="549"/>
      <c r="E16338" s="549"/>
      <c r="F16338" s="549"/>
      <c r="G16338" s="549"/>
      <c r="H16338" s="549"/>
      <c r="I16338" s="647"/>
      <c r="J16338" s="567"/>
      <c r="K16338" s="648">
        <f>SUM(K16335:K16337)</f>
        <v>86</v>
      </c>
      <c r="L16338" s="567">
        <f>SUM(L16335:L16337)</f>
        <v>5.7813999999999997</v>
      </c>
      <c r="M16338" s="549"/>
      <c r="N16338" s="549"/>
      <c r="O16338" s="549"/>
      <c r="P16338" s="549"/>
    </row>
    <row r="16339" spans="1:16" ht="17.399999999999999">
      <c r="A16339" s="549"/>
      <c r="B16339" s="549"/>
      <c r="C16339" s="549"/>
      <c r="D16339" s="549"/>
      <c r="E16339" s="549"/>
      <c r="F16339" s="549"/>
      <c r="G16339" s="549"/>
      <c r="H16339" s="549"/>
      <c r="I16339" s="560"/>
      <c r="J16339" s="549"/>
      <c r="K16339" s="561"/>
      <c r="L16339" s="560"/>
      <c r="M16339" s="549"/>
      <c r="N16339" s="549"/>
      <c r="O16339" s="549"/>
      <c r="P16339" s="549"/>
    </row>
    <row r="16340" spans="1:16" ht="17.399999999999999">
      <c r="A16340" s="549"/>
      <c r="B16340" s="549"/>
      <c r="C16340" s="549"/>
      <c r="D16340" s="549"/>
      <c r="E16340" s="549"/>
      <c r="F16340" s="549"/>
      <c r="G16340" s="549"/>
      <c r="H16340" s="549"/>
      <c r="I16340" s="560"/>
      <c r="J16340" s="549"/>
      <c r="K16340" s="561"/>
      <c r="L16340" s="560"/>
      <c r="M16340" s="549"/>
      <c r="N16340" s="549"/>
      <c r="O16340" s="549"/>
      <c r="P16340" s="549"/>
    </row>
    <row r="16341" spans="1:16" ht="17.399999999999999">
      <c r="A16341" s="547" t="s">
        <v>83</v>
      </c>
      <c r="B16341" s="547" t="s">
        <v>1748</v>
      </c>
      <c r="C16341" s="547" t="s">
        <v>19</v>
      </c>
      <c r="D16341" s="813" t="s">
        <v>854</v>
      </c>
      <c r="E16341" s="650" t="s">
        <v>1884</v>
      </c>
      <c r="F16341" s="549"/>
      <c r="G16341" s="549" t="s">
        <v>21</v>
      </c>
      <c r="H16341" s="549" t="s">
        <v>53</v>
      </c>
      <c r="I16341" s="647">
        <v>8.3000000000000007</v>
      </c>
      <c r="J16341" s="567">
        <v>7.5</v>
      </c>
      <c r="K16341" s="648">
        <v>240</v>
      </c>
      <c r="L16341" s="552">
        <f t="shared" ref="L16341:L16343" si="3288">(I16341*J16341*K16341/1000)</f>
        <v>14.940000000000001</v>
      </c>
      <c r="M16341" s="549"/>
      <c r="N16341" s="549"/>
      <c r="O16341" s="549"/>
      <c r="P16341" s="549"/>
    </row>
    <row r="16342" spans="1:16" ht="17.399999999999999">
      <c r="A16342" s="549"/>
      <c r="B16342" s="549" t="s">
        <v>52</v>
      </c>
      <c r="C16342" s="549"/>
      <c r="D16342" s="549"/>
      <c r="E16342" s="549"/>
      <c r="F16342" s="549"/>
      <c r="G16342" s="549" t="s">
        <v>21</v>
      </c>
      <c r="H16342" s="549" t="s">
        <v>53</v>
      </c>
      <c r="I16342" s="647">
        <v>8.3000000000000007</v>
      </c>
      <c r="J16342" s="567">
        <v>8.25</v>
      </c>
      <c r="K16342" s="648">
        <v>120</v>
      </c>
      <c r="L16342" s="552">
        <f t="shared" si="3288"/>
        <v>8.2170000000000023</v>
      </c>
      <c r="M16342" s="549"/>
      <c r="N16342" s="549"/>
      <c r="O16342" s="549"/>
      <c r="P16342" s="549"/>
    </row>
    <row r="16343" spans="1:16" ht="17.399999999999999">
      <c r="A16343" s="549"/>
      <c r="B16343" s="549"/>
      <c r="C16343" s="549"/>
      <c r="D16343" s="549"/>
      <c r="E16343" s="549"/>
      <c r="F16343" s="549"/>
      <c r="G16343" s="549" t="s">
        <v>21</v>
      </c>
      <c r="H16343" s="549" t="s">
        <v>53</v>
      </c>
      <c r="I16343" s="647">
        <v>8.3000000000000007</v>
      </c>
      <c r="J16343" s="567">
        <v>8.5500000000000007</v>
      </c>
      <c r="K16343" s="648">
        <v>240</v>
      </c>
      <c r="L16343" s="552">
        <f t="shared" si="3288"/>
        <v>17.031600000000005</v>
      </c>
      <c r="M16343" s="549"/>
      <c r="N16343" s="549"/>
      <c r="O16343" s="549"/>
      <c r="P16343" s="549"/>
    </row>
    <row r="16344" spans="1:16" ht="17.399999999999999">
      <c r="A16344" s="549"/>
      <c r="B16344" s="549"/>
      <c r="C16344" s="549"/>
      <c r="D16344" s="549"/>
      <c r="E16344" s="549"/>
      <c r="F16344" s="549"/>
      <c r="G16344" s="549"/>
      <c r="H16344" s="549"/>
      <c r="I16344" s="647"/>
      <c r="J16344" s="567"/>
      <c r="K16344" s="648">
        <f t="shared" ref="K16344:L16344" si="3289">SUM(K16341:K16343)</f>
        <v>600</v>
      </c>
      <c r="L16344" s="567">
        <f t="shared" si="3289"/>
        <v>40.188600000000008</v>
      </c>
      <c r="M16344" s="549"/>
      <c r="N16344" s="549"/>
      <c r="O16344" s="549"/>
      <c r="P16344" s="549"/>
    </row>
    <row r="16345" spans="1:16" ht="17.399999999999999">
      <c r="A16345" s="547" t="s">
        <v>83</v>
      </c>
      <c r="B16345" s="547" t="s">
        <v>1748</v>
      </c>
      <c r="C16345" s="547" t="s">
        <v>19</v>
      </c>
      <c r="D16345" s="813" t="s">
        <v>854</v>
      </c>
      <c r="E16345" s="650" t="s">
        <v>1884</v>
      </c>
      <c r="F16345" s="549"/>
      <c r="G16345" s="549" t="s">
        <v>21</v>
      </c>
      <c r="H16345" s="549" t="s">
        <v>54</v>
      </c>
      <c r="I16345" s="647">
        <v>9.61</v>
      </c>
      <c r="J16345" s="567">
        <v>8.1</v>
      </c>
      <c r="K16345" s="648">
        <v>120</v>
      </c>
      <c r="L16345" s="552">
        <f t="shared" ref="L16345:L16347" si="3290">(I16345*J16345*K16345/1000)</f>
        <v>9.3409200000000006</v>
      </c>
      <c r="M16345" s="549"/>
      <c r="N16345" s="549"/>
      <c r="O16345" s="549"/>
      <c r="P16345" s="549"/>
    </row>
    <row r="16346" spans="1:16" ht="17.399999999999999">
      <c r="A16346" s="549"/>
      <c r="B16346" s="549" t="s">
        <v>52</v>
      </c>
      <c r="C16346" s="549"/>
      <c r="D16346" s="549"/>
      <c r="E16346" s="549"/>
      <c r="F16346" s="549"/>
      <c r="G16346" s="549" t="s">
        <v>21</v>
      </c>
      <c r="H16346" s="549" t="s">
        <v>54</v>
      </c>
      <c r="I16346" s="647">
        <v>9.61</v>
      </c>
      <c r="J16346" s="567">
        <v>10.45</v>
      </c>
      <c r="K16346" s="648">
        <v>120</v>
      </c>
      <c r="L16346" s="552">
        <f t="shared" si="3290"/>
        <v>12.050939999999997</v>
      </c>
      <c r="M16346" s="549"/>
      <c r="N16346" s="549"/>
      <c r="O16346" s="549"/>
      <c r="P16346" s="549"/>
    </row>
    <row r="16347" spans="1:16" ht="17.399999999999999">
      <c r="A16347" s="549"/>
      <c r="B16347" s="549"/>
      <c r="C16347" s="549"/>
      <c r="D16347" s="549"/>
      <c r="E16347" s="549"/>
      <c r="F16347" s="549"/>
      <c r="G16347" s="549" t="s">
        <v>21</v>
      </c>
      <c r="H16347" s="549" t="s">
        <v>54</v>
      </c>
      <c r="I16347" s="647">
        <v>9.61</v>
      </c>
      <c r="J16347" s="567">
        <v>10.8</v>
      </c>
      <c r="K16347" s="648">
        <v>120</v>
      </c>
      <c r="L16347" s="552">
        <f t="shared" si="3290"/>
        <v>12.454559999999999</v>
      </c>
      <c r="M16347" s="549"/>
      <c r="N16347" s="549"/>
      <c r="O16347" s="549"/>
      <c r="P16347" s="549"/>
    </row>
    <row r="16348" spans="1:16" ht="17.399999999999999">
      <c r="A16348" s="549"/>
      <c r="B16348" s="549"/>
      <c r="C16348" s="549"/>
      <c r="D16348" s="549"/>
      <c r="E16348" s="549"/>
      <c r="F16348" s="549"/>
      <c r="G16348" s="549"/>
      <c r="H16348" s="549"/>
      <c r="I16348" s="647"/>
      <c r="J16348" s="567"/>
      <c r="K16348" s="648">
        <f t="shared" ref="K16348:L16348" si="3291">SUM(K16345:K16347)</f>
        <v>360</v>
      </c>
      <c r="L16348" s="567">
        <f t="shared" si="3291"/>
        <v>33.846419999999995</v>
      </c>
      <c r="M16348" s="549"/>
      <c r="N16348" s="549"/>
      <c r="O16348" s="549"/>
      <c r="P16348" s="549"/>
    </row>
    <row r="16349" spans="1:16" ht="17.399999999999999">
      <c r="A16349" s="549"/>
      <c r="B16349" s="549"/>
      <c r="C16349" s="549"/>
      <c r="D16349" s="549"/>
      <c r="E16349" s="549"/>
      <c r="F16349" s="549"/>
      <c r="G16349" s="549"/>
      <c r="H16349" s="549"/>
      <c r="I16349" s="560"/>
      <c r="J16349" s="549"/>
      <c r="K16349" s="561"/>
      <c r="L16349" s="560"/>
      <c r="M16349" s="549"/>
      <c r="N16349" s="549"/>
      <c r="O16349" s="549"/>
      <c r="P16349" s="549"/>
    </row>
    <row r="16350" spans="1:16" ht="17.399999999999999">
      <c r="A16350" s="547" t="s">
        <v>83</v>
      </c>
      <c r="B16350" s="547" t="s">
        <v>1748</v>
      </c>
      <c r="C16350" s="547" t="s">
        <v>19</v>
      </c>
      <c r="D16350" s="813" t="s">
        <v>60</v>
      </c>
      <c r="E16350" s="650" t="s">
        <v>1885</v>
      </c>
      <c r="F16350" s="549"/>
      <c r="G16350" s="549" t="s">
        <v>61</v>
      </c>
      <c r="H16350" s="549" t="s">
        <v>53</v>
      </c>
      <c r="I16350" s="647">
        <v>8.3000000000000007</v>
      </c>
      <c r="J16350" s="567">
        <v>7.15</v>
      </c>
      <c r="K16350" s="648">
        <v>120</v>
      </c>
      <c r="L16350" s="552">
        <f t="shared" ref="L16350:L16352" si="3292">(I16350*J16350*K16350/1000)</f>
        <v>7.1214000000000004</v>
      </c>
      <c r="M16350" s="549"/>
      <c r="N16350" s="549"/>
      <c r="O16350" s="549"/>
      <c r="P16350" s="549"/>
    </row>
    <row r="16351" spans="1:16" ht="17.399999999999999">
      <c r="A16351" s="549"/>
      <c r="B16351" s="549" t="s">
        <v>52</v>
      </c>
      <c r="C16351" s="549"/>
      <c r="D16351" s="549"/>
      <c r="E16351" s="549"/>
      <c r="F16351" s="549"/>
      <c r="G16351" s="549" t="s">
        <v>61</v>
      </c>
      <c r="H16351" s="549" t="s">
        <v>53</v>
      </c>
      <c r="I16351" s="647">
        <v>8.3000000000000007</v>
      </c>
      <c r="J16351" s="567">
        <v>10.199999999999999</v>
      </c>
      <c r="K16351" s="648">
        <v>240</v>
      </c>
      <c r="L16351" s="552">
        <f t="shared" si="3292"/>
        <v>20.318399999999997</v>
      </c>
      <c r="M16351" s="549"/>
      <c r="N16351" s="549"/>
      <c r="O16351" s="549"/>
      <c r="P16351" s="549"/>
    </row>
    <row r="16352" spans="1:16" ht="17.399999999999999">
      <c r="A16352" s="549"/>
      <c r="B16352" s="549"/>
      <c r="C16352" s="549"/>
      <c r="D16352" s="549"/>
      <c r="E16352" s="549"/>
      <c r="F16352" s="549"/>
      <c r="G16352" s="549" t="s">
        <v>61</v>
      </c>
      <c r="H16352" s="549" t="s">
        <v>53</v>
      </c>
      <c r="I16352" s="647">
        <v>8.3000000000000007</v>
      </c>
      <c r="J16352" s="567">
        <v>10.4</v>
      </c>
      <c r="K16352" s="648">
        <v>240</v>
      </c>
      <c r="L16352" s="552">
        <f t="shared" si="3292"/>
        <v>20.716800000000003</v>
      </c>
      <c r="M16352" s="549"/>
      <c r="N16352" s="549"/>
      <c r="O16352" s="549"/>
      <c r="P16352" s="549"/>
    </row>
    <row r="16353" spans="1:16" ht="17.399999999999999">
      <c r="A16353" s="549"/>
      <c r="B16353" s="549"/>
      <c r="C16353" s="549"/>
      <c r="D16353" s="549"/>
      <c r="E16353" s="549"/>
      <c r="F16353" s="549"/>
      <c r="G16353" s="549"/>
      <c r="H16353" s="549"/>
      <c r="I16353" s="647"/>
      <c r="J16353" s="567"/>
      <c r="K16353" s="648">
        <f t="shared" ref="K16353:L16353" si="3293">SUM(K16350:K16352)</f>
        <v>600</v>
      </c>
      <c r="L16353" s="567">
        <f t="shared" si="3293"/>
        <v>48.156599999999997</v>
      </c>
      <c r="M16353" s="549"/>
      <c r="N16353" s="549"/>
      <c r="O16353" s="549"/>
      <c r="P16353" s="549"/>
    </row>
    <row r="16354" spans="1:16" ht="17.399999999999999">
      <c r="A16354" s="547" t="s">
        <v>83</v>
      </c>
      <c r="B16354" s="547" t="s">
        <v>1748</v>
      </c>
      <c r="C16354" s="547" t="s">
        <v>19</v>
      </c>
      <c r="D16354" s="813" t="s">
        <v>60</v>
      </c>
      <c r="E16354" s="650" t="s">
        <v>1885</v>
      </c>
      <c r="F16354" s="549"/>
      <c r="G16354" s="549" t="s">
        <v>61</v>
      </c>
      <c r="H16354" s="549" t="s">
        <v>54</v>
      </c>
      <c r="I16354" s="647">
        <v>9.61</v>
      </c>
      <c r="J16354" s="567">
        <v>6.4</v>
      </c>
      <c r="K16354" s="648">
        <v>240</v>
      </c>
      <c r="L16354" s="552">
        <f t="shared" ref="L16354:L16355" si="3294">(I16354*J16354*K16354/1000)</f>
        <v>14.760959999999999</v>
      </c>
      <c r="M16354" s="549"/>
      <c r="N16354" s="549"/>
      <c r="O16354" s="549"/>
      <c r="P16354" s="549"/>
    </row>
    <row r="16355" spans="1:16" ht="17.399999999999999">
      <c r="A16355" s="549"/>
      <c r="B16355" s="549" t="s">
        <v>52</v>
      </c>
      <c r="C16355" s="549"/>
      <c r="D16355" s="549"/>
      <c r="E16355" s="549"/>
      <c r="F16355" s="549"/>
      <c r="G16355" s="549" t="s">
        <v>61</v>
      </c>
      <c r="H16355" s="549" t="s">
        <v>54</v>
      </c>
      <c r="I16355" s="647">
        <v>9.61</v>
      </c>
      <c r="J16355" s="567">
        <v>6.55</v>
      </c>
      <c r="K16355" s="648">
        <v>240</v>
      </c>
      <c r="L16355" s="552">
        <f t="shared" si="3294"/>
        <v>15.106919999999999</v>
      </c>
      <c r="M16355" s="549"/>
      <c r="N16355" s="549"/>
      <c r="O16355" s="549"/>
      <c r="P16355" s="549"/>
    </row>
    <row r="16356" spans="1:16" ht="17.399999999999999">
      <c r="A16356" s="549"/>
      <c r="B16356" s="549"/>
      <c r="C16356" s="549"/>
      <c r="D16356" s="549"/>
      <c r="E16356" s="549"/>
      <c r="F16356" s="549"/>
      <c r="G16356" s="549"/>
      <c r="H16356" s="549"/>
      <c r="I16356" s="647"/>
      <c r="J16356" s="567"/>
      <c r="K16356" s="648">
        <f t="shared" ref="K16356:L16356" si="3295">SUM(K16354:K16355)</f>
        <v>480</v>
      </c>
      <c r="L16356" s="567">
        <f t="shared" si="3295"/>
        <v>29.86788</v>
      </c>
      <c r="M16356" s="549"/>
      <c r="N16356" s="549"/>
      <c r="O16356" s="549"/>
      <c r="P16356" s="549"/>
    </row>
    <row r="16357" spans="1:16" ht="17.399999999999999">
      <c r="A16357" s="549"/>
      <c r="B16357" s="549"/>
      <c r="C16357" s="549"/>
      <c r="D16357" s="549"/>
      <c r="E16357" s="549"/>
      <c r="F16357" s="549"/>
      <c r="G16357" s="549"/>
      <c r="H16357" s="549"/>
      <c r="I16357" s="560"/>
      <c r="J16357" s="549"/>
      <c r="K16357" s="561"/>
      <c r="L16357" s="560"/>
      <c r="M16357" s="549"/>
      <c r="N16357" s="549"/>
      <c r="O16357" s="549"/>
      <c r="P16357" s="549"/>
    </row>
    <row r="16358" spans="1:16" ht="17.399999999999999">
      <c r="A16358" s="549"/>
      <c r="B16358" s="549"/>
      <c r="C16358" s="549"/>
      <c r="D16358" s="549"/>
      <c r="E16358" s="549"/>
      <c r="F16358" s="549"/>
      <c r="G16358" s="549"/>
      <c r="H16358" s="549"/>
      <c r="I16358" s="560"/>
      <c r="J16358" s="549"/>
      <c r="K16358" s="561"/>
      <c r="L16358" s="560"/>
      <c r="M16358" s="549"/>
      <c r="N16358" s="549"/>
      <c r="O16358" s="549"/>
      <c r="P16358" s="549"/>
    </row>
    <row r="16359" spans="1:16" ht="17.399999999999999">
      <c r="A16359" s="547" t="s">
        <v>83</v>
      </c>
      <c r="B16359" s="547" t="s">
        <v>1748</v>
      </c>
      <c r="C16359" s="547" t="s">
        <v>19</v>
      </c>
      <c r="D16359" s="813" t="s">
        <v>854</v>
      </c>
      <c r="E16359" s="650" t="s">
        <v>1884</v>
      </c>
      <c r="F16359" s="549"/>
      <c r="G16359" s="549" t="s">
        <v>21</v>
      </c>
      <c r="H16359" s="549" t="s">
        <v>118</v>
      </c>
      <c r="I16359" s="647">
        <v>9.26</v>
      </c>
      <c r="J16359" s="567">
        <v>10.5</v>
      </c>
      <c r="K16359" s="648">
        <v>82</v>
      </c>
      <c r="L16359" s="552">
        <f t="shared" ref="L16359:L16362" si="3296">(I16359*J16359*K16359/1000)</f>
        <v>7.9728600000000007</v>
      </c>
      <c r="M16359" s="549"/>
      <c r="N16359" s="549"/>
      <c r="O16359" s="549"/>
      <c r="P16359" s="549"/>
    </row>
    <row r="16360" spans="1:16" ht="17.399999999999999">
      <c r="A16360" s="549"/>
      <c r="B16360" s="549" t="s">
        <v>52</v>
      </c>
      <c r="C16360" s="549"/>
      <c r="D16360" s="549"/>
      <c r="E16360" s="549"/>
      <c r="F16360" s="549"/>
      <c r="G16360" s="549" t="s">
        <v>21</v>
      </c>
      <c r="H16360" s="549" t="s">
        <v>118</v>
      </c>
      <c r="I16360" s="647">
        <v>9.26</v>
      </c>
      <c r="J16360" s="567">
        <v>10.85</v>
      </c>
      <c r="K16360" s="648">
        <v>102</v>
      </c>
      <c r="L16360" s="552">
        <f t="shared" si="3296"/>
        <v>10.248042</v>
      </c>
      <c r="M16360" s="549"/>
      <c r="N16360" s="549"/>
      <c r="O16360" s="549"/>
      <c r="P16360" s="549"/>
    </row>
    <row r="16361" spans="1:16" ht="17.399999999999999">
      <c r="A16361" s="549"/>
      <c r="B16361" s="549"/>
      <c r="C16361" s="549"/>
      <c r="D16361" s="549"/>
      <c r="E16361" s="549"/>
      <c r="F16361" s="549"/>
      <c r="G16361" s="549" t="s">
        <v>21</v>
      </c>
      <c r="H16361" s="549" t="s">
        <v>118</v>
      </c>
      <c r="I16361" s="647">
        <v>9.26</v>
      </c>
      <c r="J16361" s="567">
        <v>11.1</v>
      </c>
      <c r="K16361" s="648">
        <v>80</v>
      </c>
      <c r="L16361" s="552">
        <f t="shared" si="3296"/>
        <v>8.2228800000000017</v>
      </c>
      <c r="M16361" s="549"/>
      <c r="N16361" s="549"/>
      <c r="O16361" s="549"/>
      <c r="P16361" s="549"/>
    </row>
    <row r="16362" spans="1:16" ht="17.399999999999999">
      <c r="A16362" s="549"/>
      <c r="B16362" s="549"/>
      <c r="C16362" s="549"/>
      <c r="D16362" s="549"/>
      <c r="E16362" s="549"/>
      <c r="F16362" s="549"/>
      <c r="G16362" s="549" t="s">
        <v>21</v>
      </c>
      <c r="H16362" s="549" t="s">
        <v>118</v>
      </c>
      <c r="I16362" s="647">
        <v>9.26</v>
      </c>
      <c r="J16362" s="567">
        <v>11.3</v>
      </c>
      <c r="K16362" s="648">
        <v>108</v>
      </c>
      <c r="L16362" s="552">
        <f t="shared" si="3296"/>
        <v>11.300904000000001</v>
      </c>
      <c r="M16362" s="549"/>
      <c r="N16362" s="549"/>
      <c r="O16362" s="549"/>
      <c r="P16362" s="549"/>
    </row>
    <row r="16363" spans="1:16" ht="17.399999999999999">
      <c r="A16363" s="549"/>
      <c r="B16363" s="549"/>
      <c r="C16363" s="549"/>
      <c r="D16363" s="549"/>
      <c r="E16363" s="549"/>
      <c r="F16363" s="549"/>
      <c r="G16363" s="549"/>
      <c r="H16363" s="549"/>
      <c r="I16363" s="647"/>
      <c r="J16363" s="567"/>
      <c r="K16363" s="648">
        <f t="shared" ref="K16363:L16363" si="3297">SUM(K16359:K16362)</f>
        <v>372</v>
      </c>
      <c r="L16363" s="567">
        <f t="shared" si="3297"/>
        <v>37.744686000000009</v>
      </c>
      <c r="M16363" s="549"/>
      <c r="N16363" s="549"/>
      <c r="O16363" s="549"/>
      <c r="P16363" s="549"/>
    </row>
    <row r="16364" spans="1:16" ht="17.399999999999999">
      <c r="A16364" s="547" t="s">
        <v>83</v>
      </c>
      <c r="B16364" s="547" t="s">
        <v>1748</v>
      </c>
      <c r="C16364" s="547" t="s">
        <v>19</v>
      </c>
      <c r="D16364" s="813" t="s">
        <v>854</v>
      </c>
      <c r="E16364" s="650" t="s">
        <v>1884</v>
      </c>
      <c r="F16364" s="549"/>
      <c r="G16364" s="549" t="s">
        <v>21</v>
      </c>
      <c r="H16364" s="549" t="s">
        <v>119</v>
      </c>
      <c r="I16364" s="647">
        <v>10.7</v>
      </c>
      <c r="J16364" s="567">
        <v>7.8</v>
      </c>
      <c r="K16364" s="648">
        <v>640</v>
      </c>
      <c r="L16364" s="552">
        <f t="shared" ref="L16364:L16371" si="3298">(I16364*J16364*K16364/1000)</f>
        <v>53.414399999999993</v>
      </c>
      <c r="M16364" s="549"/>
      <c r="N16364" s="549"/>
      <c r="O16364" s="549"/>
      <c r="P16364" s="549"/>
    </row>
    <row r="16365" spans="1:16" ht="17.399999999999999">
      <c r="A16365" s="549"/>
      <c r="B16365" s="549" t="s">
        <v>52</v>
      </c>
      <c r="C16365" s="549"/>
      <c r="D16365" s="549"/>
      <c r="E16365" s="549"/>
      <c r="F16365" s="549"/>
      <c r="G16365" s="549" t="s">
        <v>21</v>
      </c>
      <c r="H16365" s="549" t="s">
        <v>119</v>
      </c>
      <c r="I16365" s="647">
        <v>10.7</v>
      </c>
      <c r="J16365" s="567">
        <v>9.35</v>
      </c>
      <c r="K16365" s="648">
        <v>520</v>
      </c>
      <c r="L16365" s="552">
        <f t="shared" si="3298"/>
        <v>52.023399999999995</v>
      </c>
      <c r="M16365" s="549"/>
      <c r="N16365" s="549"/>
      <c r="O16365" s="549"/>
      <c r="P16365" s="549"/>
    </row>
    <row r="16366" spans="1:16" ht="17.399999999999999">
      <c r="A16366" s="549"/>
      <c r="B16366" s="549"/>
      <c r="C16366" s="549"/>
      <c r="D16366" s="549"/>
      <c r="E16366" s="549"/>
      <c r="F16366" s="549"/>
      <c r="G16366" s="549" t="s">
        <v>21</v>
      </c>
      <c r="H16366" s="549" t="s">
        <v>119</v>
      </c>
      <c r="I16366" s="647">
        <v>10.7</v>
      </c>
      <c r="J16366" s="567">
        <v>10.4</v>
      </c>
      <c r="K16366" s="648">
        <v>60</v>
      </c>
      <c r="L16366" s="552">
        <f t="shared" si="3298"/>
        <v>6.6768000000000001</v>
      </c>
      <c r="M16366" s="549"/>
      <c r="N16366" s="549"/>
      <c r="O16366" s="549"/>
      <c r="P16366" s="549"/>
    </row>
    <row r="16367" spans="1:16" ht="17.399999999999999">
      <c r="A16367" s="549"/>
      <c r="B16367" s="549"/>
      <c r="C16367" s="549"/>
      <c r="D16367" s="549"/>
      <c r="E16367" s="549"/>
      <c r="F16367" s="549"/>
      <c r="G16367" s="549" t="s">
        <v>21</v>
      </c>
      <c r="H16367" s="549" t="s">
        <v>119</v>
      </c>
      <c r="I16367" s="647">
        <v>10.7</v>
      </c>
      <c r="J16367" s="567">
        <v>11.1</v>
      </c>
      <c r="K16367" s="648">
        <v>80</v>
      </c>
      <c r="L16367" s="552">
        <f t="shared" si="3298"/>
        <v>9.501599999999998</v>
      </c>
      <c r="M16367" s="549"/>
      <c r="N16367" s="549"/>
      <c r="O16367" s="549"/>
      <c r="P16367" s="549"/>
    </row>
    <row r="16368" spans="1:16" ht="17.399999999999999">
      <c r="A16368" s="549"/>
      <c r="B16368" s="549"/>
      <c r="C16368" s="549"/>
      <c r="D16368" s="549"/>
      <c r="E16368" s="549"/>
      <c r="F16368" s="549"/>
      <c r="G16368" s="549" t="s">
        <v>21</v>
      </c>
      <c r="H16368" s="549" t="s">
        <v>119</v>
      </c>
      <c r="I16368" s="647">
        <v>10.7</v>
      </c>
      <c r="J16368" s="567">
        <v>11.3</v>
      </c>
      <c r="K16368" s="648">
        <v>240</v>
      </c>
      <c r="L16368" s="552">
        <f t="shared" si="3298"/>
        <v>29.018399999999996</v>
      </c>
      <c r="M16368" s="549"/>
      <c r="N16368" s="549"/>
      <c r="O16368" s="549"/>
      <c r="P16368" s="549"/>
    </row>
    <row r="16369" spans="1:16" ht="17.399999999999999">
      <c r="A16369" s="549"/>
      <c r="B16369" s="549"/>
      <c r="C16369" s="549"/>
      <c r="D16369" s="549"/>
      <c r="E16369" s="549"/>
      <c r="F16369" s="549"/>
      <c r="G16369" s="549" t="s">
        <v>21</v>
      </c>
      <c r="H16369" s="549" t="s">
        <v>119</v>
      </c>
      <c r="I16369" s="647">
        <v>10.7</v>
      </c>
      <c r="J16369" s="567">
        <v>11.6</v>
      </c>
      <c r="K16369" s="648">
        <v>60</v>
      </c>
      <c r="L16369" s="552">
        <f t="shared" si="3298"/>
        <v>7.4471999999999996</v>
      </c>
      <c r="M16369" s="549"/>
      <c r="N16369" s="549"/>
      <c r="O16369" s="549"/>
      <c r="P16369" s="549"/>
    </row>
    <row r="16370" spans="1:16" ht="17.399999999999999">
      <c r="A16370" s="549"/>
      <c r="B16370" s="549"/>
      <c r="C16370" s="549"/>
      <c r="D16370" s="549"/>
      <c r="E16370" s="549"/>
      <c r="F16370" s="549"/>
      <c r="G16370" s="549" t="s">
        <v>21</v>
      </c>
      <c r="H16370" s="549" t="s">
        <v>119</v>
      </c>
      <c r="I16370" s="647">
        <v>10.7</v>
      </c>
      <c r="J16370" s="567">
        <v>11.85</v>
      </c>
      <c r="K16370" s="648">
        <v>360</v>
      </c>
      <c r="L16370" s="552">
        <f t="shared" si="3298"/>
        <v>45.6462</v>
      </c>
      <c r="M16370" s="549"/>
      <c r="N16370" s="549"/>
      <c r="O16370" s="549"/>
      <c r="P16370" s="549"/>
    </row>
    <row r="16371" spans="1:16" ht="17.399999999999999">
      <c r="A16371" s="549"/>
      <c r="B16371" s="549"/>
      <c r="C16371" s="549"/>
      <c r="D16371" s="549"/>
      <c r="E16371" s="549"/>
      <c r="F16371" s="549"/>
      <c r="G16371" s="549" t="s">
        <v>21</v>
      </c>
      <c r="H16371" s="549" t="s">
        <v>119</v>
      </c>
      <c r="I16371" s="647">
        <v>10.7</v>
      </c>
      <c r="J16371" s="567">
        <v>12</v>
      </c>
      <c r="K16371" s="648">
        <v>104</v>
      </c>
      <c r="L16371" s="552">
        <f t="shared" si="3298"/>
        <v>13.353599999999998</v>
      </c>
      <c r="M16371" s="549"/>
      <c r="N16371" s="549"/>
      <c r="O16371" s="549"/>
      <c r="P16371" s="549"/>
    </row>
    <row r="16372" spans="1:16" ht="17.399999999999999">
      <c r="A16372" s="549"/>
      <c r="B16372" s="549"/>
      <c r="C16372" s="549"/>
      <c r="D16372" s="549"/>
      <c r="E16372" s="549"/>
      <c r="F16372" s="549"/>
      <c r="G16372" s="549"/>
      <c r="H16372" s="549"/>
      <c r="I16372" s="647"/>
      <c r="J16372" s="567"/>
      <c r="K16372" s="648">
        <f t="shared" ref="K16372:L16372" si="3299">SUM(K16364:K16371)</f>
        <v>2064</v>
      </c>
      <c r="L16372" s="567">
        <f t="shared" si="3299"/>
        <v>217.08159999999998</v>
      </c>
      <c r="M16372" s="549"/>
      <c r="N16372" s="549"/>
      <c r="O16372" s="549"/>
      <c r="P16372" s="549"/>
    </row>
    <row r="16373" spans="1:16" ht="17.399999999999999">
      <c r="A16373" s="547" t="s">
        <v>83</v>
      </c>
      <c r="B16373" s="547" t="s">
        <v>1748</v>
      </c>
      <c r="C16373" s="547" t="s">
        <v>19</v>
      </c>
      <c r="D16373" s="813" t="s">
        <v>854</v>
      </c>
      <c r="E16373" s="650" t="s">
        <v>1884</v>
      </c>
      <c r="F16373" s="549"/>
      <c r="G16373" s="549" t="s">
        <v>21</v>
      </c>
      <c r="H16373" s="549" t="s">
        <v>134</v>
      </c>
      <c r="I16373" s="647">
        <v>12.2</v>
      </c>
      <c r="J16373" s="567">
        <v>10.6</v>
      </c>
      <c r="K16373" s="648">
        <v>639</v>
      </c>
      <c r="L16373" s="552">
        <f t="shared" ref="L16373:L16376" si="3300">(I16373*J16373*K16373/1000)</f>
        <v>82.635480000000001</v>
      </c>
      <c r="M16373" s="549"/>
      <c r="N16373" s="549"/>
      <c r="O16373" s="549"/>
      <c r="P16373" s="549"/>
    </row>
    <row r="16374" spans="1:16" ht="17.399999999999999">
      <c r="A16374" s="549"/>
      <c r="B16374" s="549" t="s">
        <v>52</v>
      </c>
      <c r="C16374" s="549"/>
      <c r="D16374" s="549"/>
      <c r="E16374" s="549"/>
      <c r="F16374" s="549"/>
      <c r="G16374" s="549" t="s">
        <v>21</v>
      </c>
      <c r="H16374" s="549" t="s">
        <v>134</v>
      </c>
      <c r="I16374" s="647">
        <v>12.2</v>
      </c>
      <c r="J16374" s="567">
        <v>10.85</v>
      </c>
      <c r="K16374" s="648">
        <v>360</v>
      </c>
      <c r="L16374" s="552">
        <f t="shared" si="3300"/>
        <v>47.653199999999991</v>
      </c>
      <c r="M16374" s="549"/>
      <c r="N16374" s="549"/>
      <c r="O16374" s="549"/>
      <c r="P16374" s="549"/>
    </row>
    <row r="16375" spans="1:16" ht="17.399999999999999">
      <c r="A16375" s="549"/>
      <c r="B16375" s="549"/>
      <c r="C16375" s="549"/>
      <c r="D16375" s="549"/>
      <c r="E16375" s="549"/>
      <c r="F16375" s="549"/>
      <c r="G16375" s="549" t="s">
        <v>21</v>
      </c>
      <c r="H16375" s="549" t="s">
        <v>134</v>
      </c>
      <c r="I16375" s="647">
        <v>12.2</v>
      </c>
      <c r="J16375" s="567">
        <v>11.25</v>
      </c>
      <c r="K16375" s="648">
        <v>360</v>
      </c>
      <c r="L16375" s="552">
        <f t="shared" si="3300"/>
        <v>49.41</v>
      </c>
      <c r="M16375" s="549"/>
      <c r="N16375" s="549"/>
      <c r="O16375" s="549"/>
      <c r="P16375" s="549"/>
    </row>
    <row r="16376" spans="1:16" ht="17.399999999999999">
      <c r="A16376" s="549"/>
      <c r="B16376" s="549"/>
      <c r="C16376" s="549"/>
      <c r="D16376" s="549"/>
      <c r="E16376" s="549"/>
      <c r="F16376" s="549"/>
      <c r="G16376" s="549" t="s">
        <v>21</v>
      </c>
      <c r="H16376" s="549" t="s">
        <v>134</v>
      </c>
      <c r="I16376" s="647">
        <v>12.2</v>
      </c>
      <c r="J16376" s="567">
        <v>11.5</v>
      </c>
      <c r="K16376" s="648">
        <v>18</v>
      </c>
      <c r="L16376" s="552">
        <f t="shared" si="3300"/>
        <v>2.5253999999999994</v>
      </c>
      <c r="M16376" s="549"/>
      <c r="N16376" s="549"/>
      <c r="O16376" s="549"/>
      <c r="P16376" s="549"/>
    </row>
    <row r="16377" spans="1:16" ht="17.399999999999999">
      <c r="A16377" s="549"/>
      <c r="B16377" s="549"/>
      <c r="C16377" s="549"/>
      <c r="D16377" s="549"/>
      <c r="E16377" s="549"/>
      <c r="F16377" s="549"/>
      <c r="G16377" s="549"/>
      <c r="H16377" s="549"/>
      <c r="I16377" s="647"/>
      <c r="J16377" s="567"/>
      <c r="K16377" s="648">
        <f t="shared" ref="K16377:L16377" si="3301">SUM(K16373:K16376)</f>
        <v>1377</v>
      </c>
      <c r="L16377" s="567">
        <f t="shared" si="3301"/>
        <v>182.22407999999999</v>
      </c>
      <c r="M16377" s="549"/>
      <c r="N16377" s="549"/>
      <c r="O16377" s="549"/>
      <c r="P16377" s="549"/>
    </row>
    <row r="16378" spans="1:16" ht="17.399999999999999">
      <c r="A16378" s="547" t="s">
        <v>83</v>
      </c>
      <c r="B16378" s="547" t="s">
        <v>1748</v>
      </c>
      <c r="C16378" s="547" t="s">
        <v>19</v>
      </c>
      <c r="D16378" s="813" t="s">
        <v>854</v>
      </c>
      <c r="E16378" s="650" t="s">
        <v>1884</v>
      </c>
      <c r="F16378" s="549"/>
      <c r="G16378" s="549" t="s">
        <v>21</v>
      </c>
      <c r="H16378" s="549" t="s">
        <v>205</v>
      </c>
      <c r="I16378" s="647">
        <v>13.6</v>
      </c>
      <c r="J16378" s="567">
        <v>6.55</v>
      </c>
      <c r="K16378" s="648">
        <v>96</v>
      </c>
      <c r="L16378" s="552">
        <f>(I16378*J16378*K16378/1000)</f>
        <v>8.5516800000000011</v>
      </c>
      <c r="M16378" s="549"/>
      <c r="N16378" s="549"/>
      <c r="O16378" s="549"/>
      <c r="P16378" s="549"/>
    </row>
    <row r="16379" spans="1:16" ht="17.399999999999999">
      <c r="A16379" s="549"/>
      <c r="B16379" s="549" t="s">
        <v>52</v>
      </c>
      <c r="C16379" s="549"/>
      <c r="D16379" s="549"/>
      <c r="E16379" s="549"/>
      <c r="F16379" s="549"/>
      <c r="G16379" s="549"/>
      <c r="H16379" s="549"/>
      <c r="I16379" s="647"/>
      <c r="J16379" s="567"/>
      <c r="K16379" s="648">
        <f t="shared" ref="K16379:L16379" si="3302">SUM(K16378)</f>
        <v>96</v>
      </c>
      <c r="L16379" s="567">
        <f t="shared" si="3302"/>
        <v>8.5516800000000011</v>
      </c>
      <c r="M16379" s="549"/>
      <c r="N16379" s="549"/>
      <c r="O16379" s="549"/>
      <c r="P16379" s="549"/>
    </row>
    <row r="16380" spans="1:16" ht="17.399999999999999">
      <c r="A16380" s="549"/>
      <c r="B16380" s="549"/>
      <c r="C16380" s="549"/>
      <c r="D16380" s="549"/>
      <c r="E16380" s="549"/>
      <c r="F16380" s="549"/>
      <c r="G16380" s="549"/>
      <c r="H16380" s="549"/>
      <c r="I16380" s="560"/>
      <c r="J16380" s="549"/>
      <c r="K16380" s="561"/>
      <c r="L16380" s="560"/>
      <c r="M16380" s="549"/>
      <c r="N16380" s="549"/>
      <c r="O16380" s="549"/>
      <c r="P16380" s="549"/>
    </row>
    <row r="16381" spans="1:16" ht="17.399999999999999">
      <c r="A16381" s="549"/>
      <c r="B16381" s="549"/>
      <c r="C16381" s="549"/>
      <c r="D16381" s="549"/>
      <c r="E16381" s="549"/>
      <c r="F16381" s="549"/>
      <c r="G16381" s="549"/>
      <c r="H16381" s="549"/>
      <c r="I16381" s="560"/>
      <c r="J16381" s="549"/>
      <c r="K16381" s="561"/>
      <c r="L16381" s="560"/>
      <c r="M16381" s="549"/>
      <c r="N16381" s="549"/>
      <c r="O16381" s="549"/>
      <c r="P16381" s="549"/>
    </row>
    <row r="16382" spans="1:16" ht="17.399999999999999">
      <c r="A16382" s="547" t="s">
        <v>83</v>
      </c>
      <c r="B16382" s="547" t="s">
        <v>1748</v>
      </c>
      <c r="C16382" s="547" t="s">
        <v>19</v>
      </c>
      <c r="D16382" s="813" t="s">
        <v>60</v>
      </c>
      <c r="E16382" s="650" t="s">
        <v>1885</v>
      </c>
      <c r="F16382" s="549"/>
      <c r="G16382" s="549" t="s">
        <v>61</v>
      </c>
      <c r="H16382" s="549" t="s">
        <v>118</v>
      </c>
      <c r="I16382" s="647">
        <v>9.26</v>
      </c>
      <c r="J16382" s="567">
        <v>6.4</v>
      </c>
      <c r="K16382" s="648">
        <v>240</v>
      </c>
      <c r="L16382" s="552">
        <f t="shared" ref="L16382:L16384" si="3303">(I16382*J16382*K16382/1000)</f>
        <v>14.223360000000001</v>
      </c>
      <c r="M16382" s="549"/>
      <c r="N16382" s="549"/>
      <c r="O16382" s="549"/>
      <c r="P16382" s="549"/>
    </row>
    <row r="16383" spans="1:16" ht="17.399999999999999">
      <c r="A16383" s="549"/>
      <c r="B16383" s="549" t="s">
        <v>52</v>
      </c>
      <c r="C16383" s="549"/>
      <c r="D16383" s="549"/>
      <c r="E16383" s="549"/>
      <c r="F16383" s="549"/>
      <c r="G16383" s="549" t="s">
        <v>61</v>
      </c>
      <c r="H16383" s="549" t="s">
        <v>118</v>
      </c>
      <c r="I16383" s="647">
        <v>9.26</v>
      </c>
      <c r="J16383" s="567">
        <v>6.5</v>
      </c>
      <c r="K16383" s="648">
        <v>480</v>
      </c>
      <c r="L16383" s="552">
        <f t="shared" si="3303"/>
        <v>28.891199999999998</v>
      </c>
      <c r="M16383" s="549"/>
      <c r="N16383" s="549"/>
      <c r="O16383" s="549"/>
      <c r="P16383" s="549"/>
    </row>
    <row r="16384" spans="1:16" ht="17.399999999999999">
      <c r="A16384" s="549"/>
      <c r="B16384" s="549"/>
      <c r="C16384" s="549"/>
      <c r="D16384" s="549"/>
      <c r="E16384" s="549"/>
      <c r="F16384" s="549"/>
      <c r="G16384" s="549" t="s">
        <v>61</v>
      </c>
      <c r="H16384" s="549" t="s">
        <v>118</v>
      </c>
      <c r="I16384" s="647">
        <v>9.26</v>
      </c>
      <c r="J16384" s="567">
        <v>9.15</v>
      </c>
      <c r="K16384" s="648">
        <v>480</v>
      </c>
      <c r="L16384" s="552">
        <f t="shared" si="3303"/>
        <v>40.669919999999998</v>
      </c>
      <c r="M16384" s="549"/>
      <c r="N16384" s="549"/>
      <c r="O16384" s="549"/>
      <c r="P16384" s="549"/>
    </row>
    <row r="16385" spans="1:16" ht="17.399999999999999">
      <c r="A16385" s="549"/>
      <c r="B16385" s="549"/>
      <c r="C16385" s="549"/>
      <c r="D16385" s="549"/>
      <c r="E16385" s="549"/>
      <c r="F16385" s="549"/>
      <c r="G16385" s="549"/>
      <c r="H16385" s="549"/>
      <c r="I16385" s="647"/>
      <c r="J16385" s="567"/>
      <c r="K16385" s="648">
        <f t="shared" ref="K16385:L16385" si="3304">SUM(K16382:K16384)</f>
        <v>1200</v>
      </c>
      <c r="L16385" s="567">
        <f t="shared" si="3304"/>
        <v>83.784480000000002</v>
      </c>
      <c r="M16385" s="549"/>
      <c r="N16385" s="549"/>
      <c r="O16385" s="549"/>
      <c r="P16385" s="549"/>
    </row>
    <row r="16386" spans="1:16" ht="17.399999999999999">
      <c r="A16386" s="547" t="s">
        <v>83</v>
      </c>
      <c r="B16386" s="547" t="s">
        <v>1748</v>
      </c>
      <c r="C16386" s="547" t="s">
        <v>19</v>
      </c>
      <c r="D16386" s="813" t="s">
        <v>60</v>
      </c>
      <c r="E16386" s="650" t="s">
        <v>1885</v>
      </c>
      <c r="F16386" s="549"/>
      <c r="G16386" s="549" t="s">
        <v>61</v>
      </c>
      <c r="H16386" s="549" t="s">
        <v>119</v>
      </c>
      <c r="I16386" s="647">
        <v>10.7</v>
      </c>
      <c r="J16386" s="567">
        <v>6.45</v>
      </c>
      <c r="K16386" s="648">
        <v>240</v>
      </c>
      <c r="L16386" s="552">
        <f>(I16386*J16386*K16386/1000)</f>
        <v>16.563599999999997</v>
      </c>
      <c r="M16386" s="549"/>
      <c r="N16386" s="549"/>
      <c r="O16386" s="549"/>
      <c r="P16386" s="549"/>
    </row>
    <row r="16387" spans="1:16" ht="17.399999999999999">
      <c r="A16387" s="549"/>
      <c r="B16387" s="549" t="s">
        <v>52</v>
      </c>
      <c r="C16387" s="549"/>
      <c r="D16387" s="549"/>
      <c r="E16387" s="549"/>
      <c r="F16387" s="549"/>
      <c r="G16387" s="549"/>
      <c r="H16387" s="549"/>
      <c r="I16387" s="647"/>
      <c r="J16387" s="567"/>
      <c r="K16387" s="648">
        <f t="shared" ref="K16387:L16387" si="3305">SUM(K16386)</f>
        <v>240</v>
      </c>
      <c r="L16387" s="567">
        <f t="shared" si="3305"/>
        <v>16.563599999999997</v>
      </c>
      <c r="M16387" s="549"/>
      <c r="N16387" s="549"/>
      <c r="O16387" s="549"/>
      <c r="P16387" s="549"/>
    </row>
    <row r="16388" spans="1:16" ht="17.399999999999999">
      <c r="A16388" s="547" t="s">
        <v>83</v>
      </c>
      <c r="B16388" s="547" t="s">
        <v>1748</v>
      </c>
      <c r="C16388" s="547" t="s">
        <v>19</v>
      </c>
      <c r="D16388" s="813" t="s">
        <v>60</v>
      </c>
      <c r="E16388" s="650" t="s">
        <v>1885</v>
      </c>
      <c r="F16388" s="549"/>
      <c r="G16388" s="549" t="s">
        <v>61</v>
      </c>
      <c r="H16388" s="549" t="s">
        <v>134</v>
      </c>
      <c r="I16388" s="647">
        <v>12.2</v>
      </c>
      <c r="J16388" s="567">
        <v>7.95</v>
      </c>
      <c r="K16388" s="648">
        <v>120</v>
      </c>
      <c r="L16388" s="552">
        <f>(I16388*J16388*K16388/1000)</f>
        <v>11.6388</v>
      </c>
      <c r="M16388" s="549"/>
      <c r="N16388" s="549"/>
      <c r="O16388" s="549"/>
      <c r="P16388" s="549"/>
    </row>
    <row r="16389" spans="1:16" ht="17.399999999999999">
      <c r="A16389" s="549"/>
      <c r="B16389" s="549" t="s">
        <v>52</v>
      </c>
      <c r="C16389" s="549"/>
      <c r="D16389" s="549"/>
      <c r="E16389" s="549"/>
      <c r="F16389" s="549"/>
      <c r="G16389" s="549"/>
      <c r="H16389" s="549"/>
      <c r="I16389" s="647"/>
      <c r="J16389" s="567"/>
      <c r="K16389" s="648">
        <f t="shared" ref="K16389:L16389" si="3306">SUM(K16388)</f>
        <v>120</v>
      </c>
      <c r="L16389" s="567">
        <f t="shared" si="3306"/>
        <v>11.6388</v>
      </c>
      <c r="M16389" s="549"/>
      <c r="N16389" s="549"/>
      <c r="O16389" s="549"/>
      <c r="P16389" s="549"/>
    </row>
    <row r="16390" spans="1:16" ht="17.399999999999999">
      <c r="A16390" s="549"/>
      <c r="B16390" s="549"/>
      <c r="C16390" s="549"/>
      <c r="D16390" s="549"/>
      <c r="E16390" s="549"/>
      <c r="F16390" s="549"/>
      <c r="G16390" s="549"/>
      <c r="H16390" s="549"/>
      <c r="I16390" s="560"/>
      <c r="J16390" s="549"/>
      <c r="K16390" s="561"/>
      <c r="L16390" s="560"/>
      <c r="M16390" s="549"/>
      <c r="N16390" s="549"/>
      <c r="O16390" s="549"/>
      <c r="P16390" s="549"/>
    </row>
    <row r="16391" spans="1:16" ht="17.399999999999999">
      <c r="A16391" s="549"/>
      <c r="B16391" s="549"/>
      <c r="C16391" s="549"/>
      <c r="D16391" s="549"/>
      <c r="E16391" s="549"/>
      <c r="F16391" s="549"/>
      <c r="G16391" s="549"/>
      <c r="H16391" s="549"/>
      <c r="I16391" s="560"/>
      <c r="J16391" s="549"/>
      <c r="K16391" s="561"/>
      <c r="L16391" s="560"/>
      <c r="M16391" s="549"/>
      <c r="N16391" s="549"/>
      <c r="O16391" s="549"/>
      <c r="P16391" s="549"/>
    </row>
    <row r="16392" spans="1:16" ht="17.399999999999999">
      <c r="A16392" s="547" t="s">
        <v>83</v>
      </c>
      <c r="B16392" s="547" t="s">
        <v>1748</v>
      </c>
      <c r="C16392" s="547" t="s">
        <v>19</v>
      </c>
      <c r="D16392" s="813" t="s">
        <v>854</v>
      </c>
      <c r="E16392" s="650" t="s">
        <v>1884</v>
      </c>
      <c r="F16392" s="549"/>
      <c r="G16392" s="549" t="s">
        <v>21</v>
      </c>
      <c r="H16392" s="549" t="s">
        <v>120</v>
      </c>
      <c r="I16392" s="647">
        <v>18.2</v>
      </c>
      <c r="J16392" s="567">
        <v>9.5</v>
      </c>
      <c r="K16392" s="648">
        <v>12</v>
      </c>
      <c r="L16392" s="552">
        <f t="shared" ref="L16392:L16393" si="3307">(I16392*J16392*K16392/1000)</f>
        <v>2.0748000000000002</v>
      </c>
      <c r="M16392" s="549"/>
      <c r="N16392" s="549"/>
      <c r="O16392" s="549"/>
      <c r="P16392" s="549"/>
    </row>
    <row r="16393" spans="1:16" ht="17.399999999999999">
      <c r="A16393" s="549"/>
      <c r="B16393" s="549" t="s">
        <v>52</v>
      </c>
      <c r="C16393" s="549"/>
      <c r="D16393" s="549"/>
      <c r="E16393" s="549"/>
      <c r="F16393" s="549"/>
      <c r="G16393" s="549" t="s">
        <v>21</v>
      </c>
      <c r="H16393" s="549" t="s">
        <v>120</v>
      </c>
      <c r="I16393" s="647">
        <v>18.2</v>
      </c>
      <c r="J16393" s="567">
        <v>10.4</v>
      </c>
      <c r="K16393" s="648">
        <v>120</v>
      </c>
      <c r="L16393" s="552">
        <f t="shared" si="3307"/>
        <v>22.7136</v>
      </c>
      <c r="M16393" s="549"/>
      <c r="N16393" s="549"/>
      <c r="O16393" s="549"/>
      <c r="P16393" s="549"/>
    </row>
    <row r="16394" spans="1:16" ht="17.399999999999999">
      <c r="A16394" s="549"/>
      <c r="B16394" s="549"/>
      <c r="C16394" s="549"/>
      <c r="D16394" s="549"/>
      <c r="E16394" s="549"/>
      <c r="F16394" s="549"/>
      <c r="G16394" s="549"/>
      <c r="H16394" s="549"/>
      <c r="I16394" s="647"/>
      <c r="J16394" s="567"/>
      <c r="K16394" s="648">
        <f t="shared" ref="K16394:L16394" si="3308">SUM(K16392:K16393)</f>
        <v>132</v>
      </c>
      <c r="L16394" s="567">
        <f t="shared" si="3308"/>
        <v>24.788399999999999</v>
      </c>
      <c r="M16394" s="549"/>
      <c r="N16394" s="549"/>
      <c r="O16394" s="549"/>
      <c r="P16394" s="549"/>
    </row>
    <row r="16395" spans="1:16" ht="17.399999999999999">
      <c r="A16395" s="547" t="s">
        <v>83</v>
      </c>
      <c r="B16395" s="547" t="s">
        <v>1748</v>
      </c>
      <c r="C16395" s="547" t="s">
        <v>19</v>
      </c>
      <c r="D16395" s="813" t="s">
        <v>854</v>
      </c>
      <c r="E16395" s="650" t="s">
        <v>1884</v>
      </c>
      <c r="F16395" s="549"/>
      <c r="G16395" s="549" t="s">
        <v>21</v>
      </c>
      <c r="H16395" s="549" t="s">
        <v>1454</v>
      </c>
      <c r="I16395" s="647">
        <v>19.899999999999999</v>
      </c>
      <c r="J16395" s="567">
        <v>11.6</v>
      </c>
      <c r="K16395" s="648">
        <v>24</v>
      </c>
      <c r="L16395" s="552">
        <f t="shared" ref="L16395:L16396" si="3309">(I16395*J16395*K16395/1000)</f>
        <v>5.5401600000000002</v>
      </c>
      <c r="M16395" s="549"/>
      <c r="N16395" s="549"/>
      <c r="O16395" s="549"/>
      <c r="P16395" s="549"/>
    </row>
    <row r="16396" spans="1:16" ht="17.399999999999999">
      <c r="A16396" s="549"/>
      <c r="B16396" s="549" t="s">
        <v>52</v>
      </c>
      <c r="C16396" s="549"/>
      <c r="D16396" s="549"/>
      <c r="E16396" s="549"/>
      <c r="F16396" s="549"/>
      <c r="G16396" s="549" t="s">
        <v>21</v>
      </c>
      <c r="H16396" s="549" t="s">
        <v>1454</v>
      </c>
      <c r="I16396" s="647">
        <v>19.899999999999999</v>
      </c>
      <c r="J16396" s="567">
        <v>12</v>
      </c>
      <c r="K16396" s="648">
        <v>12</v>
      </c>
      <c r="L16396" s="552">
        <f t="shared" si="3309"/>
        <v>2.8655999999999997</v>
      </c>
      <c r="M16396" s="549"/>
      <c r="N16396" s="549"/>
      <c r="O16396" s="549"/>
      <c r="P16396" s="549"/>
    </row>
    <row r="16397" spans="1:16" ht="17.399999999999999">
      <c r="A16397" s="549"/>
      <c r="B16397" s="549"/>
      <c r="C16397" s="549"/>
      <c r="D16397" s="549"/>
      <c r="E16397" s="549"/>
      <c r="F16397" s="549"/>
      <c r="G16397" s="549"/>
      <c r="H16397" s="549"/>
      <c r="I16397" s="647"/>
      <c r="J16397" s="567"/>
      <c r="K16397" s="648">
        <f t="shared" ref="K16397:L16397" si="3310">SUM(K16395:K16396)</f>
        <v>36</v>
      </c>
      <c r="L16397" s="567">
        <f t="shared" si="3310"/>
        <v>8.4057600000000008</v>
      </c>
      <c r="M16397" s="549"/>
      <c r="N16397" s="549"/>
      <c r="O16397" s="549"/>
      <c r="P16397" s="549"/>
    </row>
    <row r="16398" spans="1:16" ht="17.399999999999999">
      <c r="A16398" s="547" t="s">
        <v>83</v>
      </c>
      <c r="B16398" s="547" t="s">
        <v>1748</v>
      </c>
      <c r="C16398" s="547" t="s">
        <v>19</v>
      </c>
      <c r="D16398" s="813" t="s">
        <v>854</v>
      </c>
      <c r="E16398" s="650" t="s">
        <v>1884</v>
      </c>
      <c r="F16398" s="549"/>
      <c r="G16398" s="549" t="s">
        <v>21</v>
      </c>
      <c r="H16398" s="549" t="s">
        <v>122</v>
      </c>
      <c r="I16398" s="647">
        <v>14.7</v>
      </c>
      <c r="J16398" s="567">
        <v>8.5500000000000007</v>
      </c>
      <c r="K16398" s="648">
        <v>60</v>
      </c>
      <c r="L16398" s="552">
        <f>(I16398*J16398*K16398/1000)</f>
        <v>7.5411000000000001</v>
      </c>
      <c r="M16398" s="549"/>
      <c r="N16398" s="549"/>
      <c r="O16398" s="549"/>
      <c r="P16398" s="549"/>
    </row>
    <row r="16399" spans="1:16" ht="17.399999999999999">
      <c r="A16399" s="549"/>
      <c r="B16399" s="549" t="s">
        <v>52</v>
      </c>
      <c r="C16399" s="549"/>
      <c r="D16399" s="549"/>
      <c r="E16399" s="549"/>
      <c r="F16399" s="549"/>
      <c r="G16399" s="549"/>
      <c r="H16399" s="549"/>
      <c r="I16399" s="647"/>
      <c r="J16399" s="567"/>
      <c r="K16399" s="648">
        <f t="shared" ref="K16399:L16399" si="3311">SUM(K16398)</f>
        <v>60</v>
      </c>
      <c r="L16399" s="567">
        <f t="shared" si="3311"/>
        <v>7.5411000000000001</v>
      </c>
      <c r="M16399" s="549"/>
      <c r="N16399" s="549"/>
      <c r="O16399" s="549"/>
      <c r="P16399" s="549"/>
    </row>
    <row r="16400" spans="1:16" ht="17.399999999999999">
      <c r="A16400" s="547" t="s">
        <v>83</v>
      </c>
      <c r="B16400" s="547" t="s">
        <v>1748</v>
      </c>
      <c r="C16400" s="547" t="s">
        <v>19</v>
      </c>
      <c r="D16400" s="813" t="s">
        <v>854</v>
      </c>
      <c r="E16400" s="650" t="s">
        <v>1884</v>
      </c>
      <c r="F16400" s="549"/>
      <c r="G16400" s="549" t="s">
        <v>21</v>
      </c>
      <c r="H16400" s="549" t="s">
        <v>123</v>
      </c>
      <c r="I16400" s="647">
        <v>16.5</v>
      </c>
      <c r="J16400" s="567">
        <v>6.9</v>
      </c>
      <c r="K16400" s="648">
        <v>720</v>
      </c>
      <c r="L16400" s="552">
        <f t="shared" ref="L16400:L16402" si="3312">(I16400*J16400*K16400/1000)</f>
        <v>81.971999999999994</v>
      </c>
      <c r="M16400" s="549"/>
      <c r="N16400" s="549"/>
      <c r="O16400" s="549"/>
      <c r="P16400" s="549"/>
    </row>
    <row r="16401" spans="1:16" ht="17.399999999999999">
      <c r="A16401" s="549"/>
      <c r="B16401" s="549" t="s">
        <v>52</v>
      </c>
      <c r="C16401" s="549"/>
      <c r="D16401" s="549"/>
      <c r="E16401" s="549"/>
      <c r="F16401" s="549"/>
      <c r="G16401" s="549" t="s">
        <v>21</v>
      </c>
      <c r="H16401" s="549" t="s">
        <v>123</v>
      </c>
      <c r="I16401" s="647">
        <v>16.5</v>
      </c>
      <c r="J16401" s="567">
        <v>9.3000000000000007</v>
      </c>
      <c r="K16401" s="648">
        <v>36</v>
      </c>
      <c r="L16401" s="552">
        <f t="shared" si="3312"/>
        <v>5.5242000000000004</v>
      </c>
      <c r="M16401" s="549"/>
      <c r="N16401" s="549"/>
      <c r="O16401" s="549"/>
      <c r="P16401" s="549"/>
    </row>
    <row r="16402" spans="1:16" ht="17.399999999999999">
      <c r="A16402" s="549"/>
      <c r="B16402" s="549"/>
      <c r="C16402" s="549"/>
      <c r="D16402" s="549"/>
      <c r="E16402" s="549"/>
      <c r="F16402" s="549"/>
      <c r="G16402" s="549" t="s">
        <v>21</v>
      </c>
      <c r="H16402" s="549" t="s">
        <v>123</v>
      </c>
      <c r="I16402" s="647">
        <v>16.5</v>
      </c>
      <c r="J16402" s="567">
        <v>11.1</v>
      </c>
      <c r="K16402" s="648">
        <v>360</v>
      </c>
      <c r="L16402" s="552">
        <f t="shared" si="3312"/>
        <v>65.933999999999997</v>
      </c>
      <c r="M16402" s="549"/>
      <c r="N16402" s="549"/>
      <c r="O16402" s="549"/>
      <c r="P16402" s="549"/>
    </row>
    <row r="16403" spans="1:16" ht="17.399999999999999">
      <c r="A16403" s="549"/>
      <c r="B16403" s="549"/>
      <c r="C16403" s="549"/>
      <c r="D16403" s="549"/>
      <c r="E16403" s="549"/>
      <c r="F16403" s="549"/>
      <c r="G16403" s="549"/>
      <c r="H16403" s="549"/>
      <c r="I16403" s="647"/>
      <c r="J16403" s="567"/>
      <c r="K16403" s="648">
        <f t="shared" ref="K16403:L16403" si="3313">SUM(K16400:K16402)</f>
        <v>1116</v>
      </c>
      <c r="L16403" s="567">
        <f t="shared" si="3313"/>
        <v>153.43019999999999</v>
      </c>
      <c r="M16403" s="549"/>
      <c r="N16403" s="549"/>
      <c r="O16403" s="549"/>
      <c r="P16403" s="549"/>
    </row>
    <row r="16404" spans="1:16" ht="17.399999999999999">
      <c r="A16404" s="549"/>
      <c r="B16404" s="549"/>
      <c r="C16404" s="549"/>
      <c r="D16404" s="549"/>
      <c r="E16404" s="549"/>
      <c r="F16404" s="549"/>
      <c r="G16404" s="549"/>
      <c r="H16404" s="549"/>
      <c r="I16404" s="560"/>
      <c r="J16404" s="549"/>
      <c r="K16404" s="561"/>
      <c r="L16404" s="560"/>
      <c r="M16404" s="549"/>
      <c r="N16404" s="549"/>
      <c r="O16404" s="549"/>
      <c r="P16404" s="549"/>
    </row>
    <row r="16405" spans="1:16" ht="17.399999999999999">
      <c r="A16405" s="549"/>
      <c r="B16405" s="549"/>
      <c r="C16405" s="549"/>
      <c r="D16405" s="549"/>
      <c r="E16405" s="549"/>
      <c r="F16405" s="549"/>
      <c r="G16405" s="549"/>
      <c r="H16405" s="549"/>
      <c r="I16405" s="560"/>
      <c r="J16405" s="549"/>
      <c r="K16405" s="561"/>
      <c r="L16405" s="560"/>
      <c r="M16405" s="549"/>
      <c r="N16405" s="549"/>
      <c r="O16405" s="549"/>
      <c r="P16405" s="549"/>
    </row>
    <row r="16406" spans="1:16" ht="17.399999999999999">
      <c r="A16406" s="547" t="s">
        <v>83</v>
      </c>
      <c r="B16406" s="547" t="s">
        <v>1748</v>
      </c>
      <c r="C16406" s="547" t="s">
        <v>19</v>
      </c>
      <c r="D16406" s="813" t="s">
        <v>854</v>
      </c>
      <c r="E16406" s="650" t="s">
        <v>1884</v>
      </c>
      <c r="F16406" s="549"/>
      <c r="G16406" s="549" t="s">
        <v>21</v>
      </c>
      <c r="H16406" s="549" t="s">
        <v>518</v>
      </c>
      <c r="I16406" s="647">
        <v>29.5</v>
      </c>
      <c r="J16406" s="567">
        <v>10.9</v>
      </c>
      <c r="K16406" s="648">
        <v>120</v>
      </c>
      <c r="L16406" s="552">
        <f>(I16406*J16406*K16406/1000)</f>
        <v>38.585999999999999</v>
      </c>
      <c r="M16406" s="549"/>
      <c r="N16406" s="549"/>
      <c r="O16406" s="549"/>
      <c r="P16406" s="549"/>
    </row>
    <row r="16407" spans="1:16" ht="17.399999999999999">
      <c r="A16407" s="549"/>
      <c r="B16407" s="549" t="s">
        <v>52</v>
      </c>
      <c r="C16407" s="549"/>
      <c r="D16407" s="549"/>
      <c r="E16407" s="549"/>
      <c r="F16407" s="549"/>
      <c r="G16407" s="549" t="s">
        <v>21</v>
      </c>
      <c r="H16407" s="549" t="s">
        <v>518</v>
      </c>
      <c r="I16407" s="647">
        <v>29.5</v>
      </c>
      <c r="J16407" s="567">
        <v>11.9</v>
      </c>
      <c r="K16407" s="648">
        <v>12</v>
      </c>
      <c r="L16407" s="552">
        <f>(I16407*J16407*K16407/1000)</f>
        <v>4.2126000000000001</v>
      </c>
      <c r="M16407" s="549"/>
      <c r="N16407" s="549"/>
      <c r="O16407" s="549"/>
      <c r="P16407" s="549"/>
    </row>
    <row r="16408" spans="1:16" ht="17.399999999999999">
      <c r="A16408" s="549"/>
      <c r="B16408" s="549"/>
      <c r="C16408" s="549"/>
      <c r="D16408" s="549"/>
      <c r="E16408" s="549"/>
      <c r="F16408" s="549"/>
      <c r="G16408" s="549"/>
      <c r="H16408" s="549"/>
      <c r="I16408" s="647"/>
      <c r="J16408" s="567"/>
      <c r="K16408" s="648">
        <f t="shared" ref="K16408:L16408" si="3314">SUM(K16406:K16407)</f>
        <v>132</v>
      </c>
      <c r="L16408" s="567">
        <f t="shared" si="3314"/>
        <v>42.7986</v>
      </c>
      <c r="M16408" s="549"/>
      <c r="N16408" s="549"/>
      <c r="O16408" s="549"/>
      <c r="P16408" s="549"/>
    </row>
    <row r="16409" spans="1:16" ht="17.399999999999999">
      <c r="A16409" s="547" t="s">
        <v>83</v>
      </c>
      <c r="B16409" s="547" t="s">
        <v>1748</v>
      </c>
      <c r="C16409" s="547" t="s">
        <v>19</v>
      </c>
      <c r="D16409" s="813" t="s">
        <v>854</v>
      </c>
      <c r="E16409" s="650" t="s">
        <v>1884</v>
      </c>
      <c r="F16409" s="549"/>
      <c r="G16409" s="549" t="s">
        <v>21</v>
      </c>
      <c r="H16409" s="549" t="s">
        <v>178</v>
      </c>
      <c r="I16409" s="647">
        <v>31.6</v>
      </c>
      <c r="J16409" s="567">
        <v>6</v>
      </c>
      <c r="K16409" s="648">
        <v>48</v>
      </c>
      <c r="L16409" s="552">
        <f t="shared" ref="L16409:L16410" si="3315">(I16409*J16409*K16409/1000)</f>
        <v>9.1008000000000013</v>
      </c>
      <c r="M16409" s="549"/>
      <c r="N16409" s="549"/>
      <c r="O16409" s="549"/>
      <c r="P16409" s="549"/>
    </row>
    <row r="16410" spans="1:16" ht="17.399999999999999">
      <c r="A16410" s="549"/>
      <c r="B16410" s="549" t="s">
        <v>52</v>
      </c>
      <c r="C16410" s="549"/>
      <c r="D16410" s="549"/>
      <c r="E16410" s="549"/>
      <c r="F16410" s="549"/>
      <c r="G16410" s="549" t="s">
        <v>21</v>
      </c>
      <c r="H16410" s="549" t="s">
        <v>178</v>
      </c>
      <c r="I16410" s="647">
        <v>31.6</v>
      </c>
      <c r="J16410" s="567">
        <v>10.1</v>
      </c>
      <c r="K16410" s="648">
        <v>240</v>
      </c>
      <c r="L16410" s="552">
        <f t="shared" si="3315"/>
        <v>76.598400000000012</v>
      </c>
      <c r="M16410" s="549"/>
      <c r="N16410" s="549"/>
      <c r="O16410" s="549"/>
      <c r="P16410" s="549"/>
    </row>
    <row r="16411" spans="1:16" ht="17.399999999999999">
      <c r="A16411" s="549"/>
      <c r="B16411" s="549"/>
      <c r="C16411" s="549"/>
      <c r="D16411" s="549"/>
      <c r="E16411" s="549"/>
      <c r="F16411" s="549"/>
      <c r="G16411" s="549"/>
      <c r="H16411" s="549"/>
      <c r="I16411" s="647"/>
      <c r="J16411" s="567"/>
      <c r="K16411" s="648">
        <f t="shared" ref="K16411:L16411" si="3316">SUM(K16409:K16410)</f>
        <v>288</v>
      </c>
      <c r="L16411" s="567">
        <f t="shared" si="3316"/>
        <v>85.699200000000019</v>
      </c>
      <c r="M16411" s="549"/>
      <c r="N16411" s="549"/>
      <c r="O16411" s="549"/>
      <c r="P16411" s="549"/>
    </row>
    <row r="16412" spans="1:16" ht="17.399999999999999">
      <c r="A16412" s="547" t="s">
        <v>83</v>
      </c>
      <c r="B16412" s="547" t="s">
        <v>1748</v>
      </c>
      <c r="C16412" s="547" t="s">
        <v>19</v>
      </c>
      <c r="D16412" s="813" t="s">
        <v>854</v>
      </c>
      <c r="E16412" s="650" t="s">
        <v>1884</v>
      </c>
      <c r="F16412" s="549"/>
      <c r="G16412" s="549" t="s">
        <v>21</v>
      </c>
      <c r="H16412" s="549" t="s">
        <v>179</v>
      </c>
      <c r="I16412" s="647">
        <v>33.799999999999997</v>
      </c>
      <c r="J16412" s="567">
        <v>8.1</v>
      </c>
      <c r="K16412" s="648">
        <v>240</v>
      </c>
      <c r="L16412" s="552">
        <f t="shared" ref="L16412:L16414" si="3317">(I16412*J16412*K16412/1000)</f>
        <v>65.7072</v>
      </c>
      <c r="M16412" s="549"/>
      <c r="N16412" s="549"/>
      <c r="O16412" s="549"/>
      <c r="P16412" s="549"/>
    </row>
    <row r="16413" spans="1:16" ht="17.399999999999999">
      <c r="A16413" s="549"/>
      <c r="B16413" s="549" t="s">
        <v>52</v>
      </c>
      <c r="C16413" s="549"/>
      <c r="D16413" s="549"/>
      <c r="E16413" s="549"/>
      <c r="F16413" s="549"/>
      <c r="G16413" s="549" t="s">
        <v>21</v>
      </c>
      <c r="H16413" s="549" t="s">
        <v>179</v>
      </c>
      <c r="I16413" s="647">
        <v>33.799999999999997</v>
      </c>
      <c r="J16413" s="567">
        <v>9.3000000000000007</v>
      </c>
      <c r="K16413" s="648">
        <v>120</v>
      </c>
      <c r="L16413" s="552">
        <f t="shared" si="3317"/>
        <v>37.720799999999997</v>
      </c>
      <c r="M16413" s="549"/>
      <c r="N16413" s="549"/>
      <c r="O16413" s="549"/>
      <c r="P16413" s="549"/>
    </row>
    <row r="16414" spans="1:16" ht="17.399999999999999">
      <c r="A16414" s="549"/>
      <c r="B16414" s="549"/>
      <c r="C16414" s="549"/>
      <c r="D16414" s="549"/>
      <c r="E16414" s="549"/>
      <c r="F16414" s="549"/>
      <c r="G16414" s="549" t="s">
        <v>21</v>
      </c>
      <c r="H16414" s="549" t="s">
        <v>179</v>
      </c>
      <c r="I16414" s="647">
        <v>33.799999999999997</v>
      </c>
      <c r="J16414" s="567">
        <v>11.9</v>
      </c>
      <c r="K16414" s="648">
        <v>24</v>
      </c>
      <c r="L16414" s="552">
        <f t="shared" si="3317"/>
        <v>9.6532799999999988</v>
      </c>
      <c r="M16414" s="549"/>
      <c r="N16414" s="549"/>
      <c r="O16414" s="549"/>
      <c r="P16414" s="549"/>
    </row>
    <row r="16415" spans="1:16" ht="17.399999999999999">
      <c r="A16415" s="549"/>
      <c r="B16415" s="549"/>
      <c r="C16415" s="549"/>
      <c r="D16415" s="549"/>
      <c r="E16415" s="549"/>
      <c r="F16415" s="549"/>
      <c r="G16415" s="549"/>
      <c r="H16415" s="549"/>
      <c r="I16415" s="647"/>
      <c r="J16415" s="567"/>
      <c r="K16415" s="648">
        <f t="shared" ref="K16415:L16415" si="3318">SUM(K16412:K16414)</f>
        <v>384</v>
      </c>
      <c r="L16415" s="567">
        <f t="shared" si="3318"/>
        <v>113.08127999999999</v>
      </c>
      <c r="M16415" s="549"/>
      <c r="N16415" s="549"/>
      <c r="O16415" s="549"/>
      <c r="P16415" s="549"/>
    </row>
    <row r="16416" spans="1:16" ht="17.399999999999999">
      <c r="A16416" s="547" t="s">
        <v>83</v>
      </c>
      <c r="B16416" s="547" t="s">
        <v>1748</v>
      </c>
      <c r="C16416" s="547" t="s">
        <v>19</v>
      </c>
      <c r="D16416" s="813" t="s">
        <v>854</v>
      </c>
      <c r="E16416" s="650" t="s">
        <v>1884</v>
      </c>
      <c r="F16416" s="549"/>
      <c r="G16416" s="549" t="s">
        <v>21</v>
      </c>
      <c r="H16416" s="549" t="s">
        <v>180</v>
      </c>
      <c r="I16416" s="647">
        <v>35.9</v>
      </c>
      <c r="J16416" s="567">
        <v>7.2</v>
      </c>
      <c r="K16416" s="648">
        <v>59</v>
      </c>
      <c r="L16416" s="552">
        <f t="shared" ref="L16416:L16420" si="3319">(I16416*J16416*K16416/1000)</f>
        <v>15.250320000000002</v>
      </c>
      <c r="M16416" s="549"/>
      <c r="N16416" s="549"/>
      <c r="O16416" s="549"/>
      <c r="P16416" s="549"/>
    </row>
    <row r="16417" spans="1:16" ht="17.399999999999999">
      <c r="A16417" s="549"/>
      <c r="B16417" s="549" t="s">
        <v>52</v>
      </c>
      <c r="C16417" s="549"/>
      <c r="D16417" s="549"/>
      <c r="E16417" s="549"/>
      <c r="F16417" s="549"/>
      <c r="G16417" s="549" t="s">
        <v>21</v>
      </c>
      <c r="H16417" s="549" t="s">
        <v>180</v>
      </c>
      <c r="I16417" s="647">
        <v>35.9</v>
      </c>
      <c r="J16417" s="567">
        <v>7.35</v>
      </c>
      <c r="K16417" s="648">
        <v>12</v>
      </c>
      <c r="L16417" s="552">
        <f t="shared" si="3319"/>
        <v>3.1663799999999993</v>
      </c>
      <c r="M16417" s="549"/>
      <c r="N16417" s="549"/>
      <c r="O16417" s="549"/>
      <c r="P16417" s="549"/>
    </row>
    <row r="16418" spans="1:16" ht="17.399999999999999">
      <c r="A16418" s="549"/>
      <c r="B16418" s="549"/>
      <c r="C16418" s="549"/>
      <c r="D16418" s="549"/>
      <c r="E16418" s="549"/>
      <c r="F16418" s="549"/>
      <c r="G16418" s="549" t="s">
        <v>21</v>
      </c>
      <c r="H16418" s="549" t="s">
        <v>180</v>
      </c>
      <c r="I16418" s="647">
        <v>35.9</v>
      </c>
      <c r="J16418" s="567">
        <v>7.85</v>
      </c>
      <c r="K16418" s="648">
        <v>160</v>
      </c>
      <c r="L16418" s="552">
        <f t="shared" si="3319"/>
        <v>45.090400000000002</v>
      </c>
      <c r="M16418" s="549"/>
      <c r="N16418" s="549"/>
      <c r="O16418" s="549"/>
      <c r="P16418" s="549"/>
    </row>
    <row r="16419" spans="1:16" ht="17.399999999999999">
      <c r="A16419" s="549"/>
      <c r="B16419" s="549"/>
      <c r="C16419" s="549"/>
      <c r="D16419" s="549"/>
      <c r="E16419" s="549"/>
      <c r="F16419" s="549"/>
      <c r="G16419" s="549" t="s">
        <v>21</v>
      </c>
      <c r="H16419" s="549" t="s">
        <v>180</v>
      </c>
      <c r="I16419" s="647">
        <v>35.9</v>
      </c>
      <c r="J16419" s="567">
        <v>8.1</v>
      </c>
      <c r="K16419" s="648">
        <v>80</v>
      </c>
      <c r="L16419" s="552">
        <f t="shared" si="3319"/>
        <v>23.263199999999998</v>
      </c>
      <c r="M16419" s="549"/>
      <c r="N16419" s="549"/>
      <c r="O16419" s="549"/>
      <c r="P16419" s="549"/>
    </row>
    <row r="16420" spans="1:16" ht="17.399999999999999">
      <c r="A16420" s="549"/>
      <c r="B16420" s="549"/>
      <c r="C16420" s="549"/>
      <c r="D16420" s="549"/>
      <c r="E16420" s="549"/>
      <c r="F16420" s="549"/>
      <c r="G16420" s="549" t="s">
        <v>21</v>
      </c>
      <c r="H16420" s="549" t="s">
        <v>180</v>
      </c>
      <c r="I16420" s="647">
        <v>35.9</v>
      </c>
      <c r="J16420" s="567">
        <v>11.95</v>
      </c>
      <c r="K16420" s="648">
        <v>130</v>
      </c>
      <c r="L16420" s="552">
        <f t="shared" si="3319"/>
        <v>55.770649999999996</v>
      </c>
      <c r="M16420" s="549"/>
      <c r="N16420" s="549"/>
      <c r="O16420" s="549"/>
      <c r="P16420" s="549"/>
    </row>
    <row r="16421" spans="1:16" ht="17.399999999999999">
      <c r="A16421" s="549"/>
      <c r="B16421" s="549"/>
      <c r="C16421" s="549"/>
      <c r="D16421" s="549"/>
      <c r="E16421" s="549"/>
      <c r="F16421" s="549"/>
      <c r="G16421" s="549"/>
      <c r="H16421" s="549"/>
      <c r="I16421" s="647"/>
      <c r="J16421" s="567"/>
      <c r="K16421" s="648">
        <f t="shared" ref="K16421:L16421" si="3320">SUM(K16416:K16420)</f>
        <v>441</v>
      </c>
      <c r="L16421" s="567">
        <f t="shared" si="3320"/>
        <v>142.54095000000001</v>
      </c>
      <c r="M16421" s="549"/>
      <c r="N16421" s="549"/>
      <c r="O16421" s="549"/>
      <c r="P16421" s="549"/>
    </row>
    <row r="16422" spans="1:16" ht="17.399999999999999">
      <c r="A16422" s="549"/>
      <c r="B16422" s="549"/>
      <c r="C16422" s="549"/>
      <c r="D16422" s="549"/>
      <c r="E16422" s="549"/>
      <c r="F16422" s="549"/>
      <c r="G16422" s="549"/>
      <c r="H16422" s="549"/>
      <c r="I16422" s="560"/>
      <c r="J16422" s="549"/>
      <c r="K16422" s="561"/>
      <c r="L16422" s="560"/>
      <c r="M16422" s="549"/>
      <c r="N16422" s="549"/>
      <c r="O16422" s="549"/>
      <c r="P16422" s="549"/>
    </row>
    <row r="16423" spans="1:16" ht="17.399999999999999">
      <c r="A16423" s="549"/>
      <c r="B16423" s="549"/>
      <c r="C16423" s="549"/>
      <c r="D16423" s="549"/>
      <c r="E16423" s="549"/>
      <c r="F16423" s="549"/>
      <c r="G16423" s="549"/>
      <c r="H16423" s="549"/>
      <c r="I16423" s="560"/>
      <c r="J16423" s="549"/>
      <c r="K16423" s="561"/>
      <c r="L16423" s="560"/>
      <c r="M16423" s="549"/>
      <c r="N16423" s="549"/>
      <c r="O16423" s="549"/>
      <c r="P16423" s="549"/>
    </row>
    <row r="16424" spans="1:16" ht="17.399999999999999">
      <c r="A16424" s="547" t="s">
        <v>83</v>
      </c>
      <c r="B16424" s="547" t="s">
        <v>1748</v>
      </c>
      <c r="C16424" s="547" t="s">
        <v>19</v>
      </c>
      <c r="D16424" s="813" t="s">
        <v>854</v>
      </c>
      <c r="E16424" s="650" t="s">
        <v>1884</v>
      </c>
      <c r="F16424" s="549"/>
      <c r="G16424" s="549" t="s">
        <v>21</v>
      </c>
      <c r="H16424" s="549" t="s">
        <v>69</v>
      </c>
      <c r="I16424" s="647">
        <v>6.85</v>
      </c>
      <c r="J16424" s="567">
        <v>7.8</v>
      </c>
      <c r="K16424" s="648">
        <v>120</v>
      </c>
      <c r="L16424" s="552">
        <f>(I16424*J16424*K16424/1000)</f>
        <v>6.4115999999999991</v>
      </c>
      <c r="M16424" s="549"/>
      <c r="N16424" s="549"/>
      <c r="O16424" s="549"/>
      <c r="P16424" s="549"/>
    </row>
    <row r="16425" spans="1:16" ht="17.399999999999999">
      <c r="A16425" s="549"/>
      <c r="B16425" s="549" t="s">
        <v>52</v>
      </c>
      <c r="C16425" s="549"/>
      <c r="D16425" s="549"/>
      <c r="E16425" s="549"/>
      <c r="F16425" s="549"/>
      <c r="G16425" s="549"/>
      <c r="H16425" s="549"/>
      <c r="I16425" s="647"/>
      <c r="J16425" s="567"/>
      <c r="K16425" s="648">
        <f t="shared" ref="K16425:L16425" si="3321">SUM(K16424)</f>
        <v>120</v>
      </c>
      <c r="L16425" s="567">
        <f t="shared" si="3321"/>
        <v>6.4115999999999991</v>
      </c>
      <c r="M16425" s="549"/>
      <c r="N16425" s="549"/>
      <c r="O16425" s="549"/>
      <c r="P16425" s="549"/>
    </row>
    <row r="16426" spans="1:16" ht="17.399999999999999">
      <c r="A16426" s="549"/>
      <c r="B16426" s="549"/>
      <c r="C16426" s="549"/>
      <c r="D16426" s="549"/>
      <c r="E16426" s="549"/>
      <c r="F16426" s="549"/>
      <c r="G16426" s="549"/>
      <c r="H16426" s="549"/>
      <c r="I16426" s="560"/>
      <c r="J16426" s="549"/>
      <c r="K16426" s="561"/>
      <c r="L16426" s="560"/>
      <c r="M16426" s="549"/>
      <c r="N16426" s="549"/>
      <c r="O16426" s="549"/>
      <c r="P16426" s="549"/>
    </row>
    <row r="16427" spans="1:16" ht="17.399999999999999">
      <c r="A16427" s="549"/>
      <c r="B16427" s="549"/>
      <c r="C16427" s="549"/>
      <c r="D16427" s="549"/>
      <c r="E16427" s="549"/>
      <c r="F16427" s="549"/>
      <c r="G16427" s="549"/>
      <c r="H16427" s="549"/>
      <c r="I16427" s="560"/>
      <c r="J16427" s="549"/>
      <c r="K16427" s="561"/>
      <c r="L16427" s="560"/>
      <c r="M16427" s="549"/>
      <c r="N16427" s="549"/>
      <c r="O16427" s="549"/>
      <c r="P16427" s="549"/>
    </row>
    <row r="16428" spans="1:16" ht="17.399999999999999">
      <c r="A16428" s="547" t="s">
        <v>83</v>
      </c>
      <c r="B16428" s="547" t="s">
        <v>1748</v>
      </c>
      <c r="C16428" s="547" t="s">
        <v>19</v>
      </c>
      <c r="D16428" s="813" t="s">
        <v>60</v>
      </c>
      <c r="E16428" s="650" t="s">
        <v>1885</v>
      </c>
      <c r="F16428" s="549"/>
      <c r="G16428" s="549" t="s">
        <v>61</v>
      </c>
      <c r="H16428" s="549" t="s">
        <v>70</v>
      </c>
      <c r="I16428" s="647">
        <v>5.76</v>
      </c>
      <c r="J16428" s="567">
        <v>6.95</v>
      </c>
      <c r="K16428" s="648">
        <v>640</v>
      </c>
      <c r="L16428" s="552">
        <f t="shared" ref="L16428:L16429" si="3322">(I16428*J16428*K16428/1000)</f>
        <v>25.620479999999997</v>
      </c>
      <c r="M16428" s="549"/>
      <c r="N16428" s="549"/>
      <c r="O16428" s="549"/>
      <c r="P16428" s="549"/>
    </row>
    <row r="16429" spans="1:16" ht="17.399999999999999">
      <c r="A16429" s="549"/>
      <c r="B16429" s="549" t="s">
        <v>52</v>
      </c>
      <c r="C16429" s="549"/>
      <c r="D16429" s="549"/>
      <c r="E16429" s="549"/>
      <c r="F16429" s="549"/>
      <c r="G16429" s="549" t="s">
        <v>61</v>
      </c>
      <c r="H16429" s="549" t="s">
        <v>70</v>
      </c>
      <c r="I16429" s="647">
        <v>5.76</v>
      </c>
      <c r="J16429" s="567">
        <v>10.9</v>
      </c>
      <c r="K16429" s="648">
        <v>60</v>
      </c>
      <c r="L16429" s="552">
        <f t="shared" si="3322"/>
        <v>3.7670400000000002</v>
      </c>
      <c r="M16429" s="549"/>
      <c r="N16429" s="549"/>
      <c r="O16429" s="549"/>
      <c r="P16429" s="549"/>
    </row>
    <row r="16430" spans="1:16" ht="17.399999999999999">
      <c r="A16430" s="549"/>
      <c r="B16430" s="549"/>
      <c r="C16430" s="549"/>
      <c r="D16430" s="549"/>
      <c r="E16430" s="549"/>
      <c r="F16430" s="549"/>
      <c r="G16430" s="549"/>
      <c r="H16430" s="549"/>
      <c r="I16430" s="647"/>
      <c r="J16430" s="567"/>
      <c r="K16430" s="648">
        <f t="shared" ref="K16430:L16430" si="3323">SUM(K16428:K16429)</f>
        <v>700</v>
      </c>
      <c r="L16430" s="567">
        <f t="shared" si="3323"/>
        <v>29.387519999999999</v>
      </c>
      <c r="M16430" s="549"/>
      <c r="N16430" s="549"/>
      <c r="O16430" s="549"/>
      <c r="P16430" s="549"/>
    </row>
    <row r="16431" spans="1:16" ht="17.399999999999999">
      <c r="A16431" s="549"/>
      <c r="B16431" s="549"/>
      <c r="C16431" s="549"/>
      <c r="D16431" s="549"/>
      <c r="E16431" s="549"/>
      <c r="F16431" s="549"/>
      <c r="G16431" s="549"/>
      <c r="H16431" s="549"/>
      <c r="I16431" s="560"/>
      <c r="J16431" s="549"/>
      <c r="K16431" s="561"/>
      <c r="L16431" s="560"/>
      <c r="M16431" s="549"/>
      <c r="N16431" s="549"/>
      <c r="O16431" s="549"/>
      <c r="P16431" s="549"/>
    </row>
    <row r="16432" spans="1:16" ht="17.399999999999999">
      <c r="A16432" s="549"/>
      <c r="B16432" s="549"/>
      <c r="C16432" s="549"/>
      <c r="D16432" s="549"/>
      <c r="E16432" s="549"/>
      <c r="F16432" s="549"/>
      <c r="G16432" s="549"/>
      <c r="H16432" s="549"/>
      <c r="I16432" s="560"/>
      <c r="J16432" s="549"/>
      <c r="K16432" s="561"/>
      <c r="L16432" s="560"/>
      <c r="M16432" s="549"/>
      <c r="N16432" s="549"/>
      <c r="O16432" s="549"/>
      <c r="P16432" s="549"/>
    </row>
    <row r="16433" spans="1:16" ht="17.399999999999999">
      <c r="A16433" s="549"/>
      <c r="B16433" s="549"/>
      <c r="C16433" s="549"/>
      <c r="D16433" s="549"/>
      <c r="E16433" s="549"/>
      <c r="F16433" s="549"/>
      <c r="G16433" s="549"/>
      <c r="H16433" s="549"/>
      <c r="I16433" s="560"/>
      <c r="J16433" s="549"/>
      <c r="K16433" s="561"/>
      <c r="L16433" s="560"/>
      <c r="M16433" s="549"/>
      <c r="N16433" s="549"/>
      <c r="O16433" s="549"/>
      <c r="P16433" s="549"/>
    </row>
    <row r="16434" spans="1:16" ht="17.399999999999999">
      <c r="A16434" s="547" t="s">
        <v>83</v>
      </c>
      <c r="B16434" s="547" t="s">
        <v>1748</v>
      </c>
      <c r="C16434" s="547" t="s">
        <v>19</v>
      </c>
      <c r="D16434" s="813" t="s">
        <v>60</v>
      </c>
      <c r="E16434" s="650" t="s">
        <v>1885</v>
      </c>
      <c r="F16434" s="549"/>
      <c r="G16434" s="549" t="s">
        <v>61</v>
      </c>
      <c r="H16434" s="549" t="s">
        <v>262</v>
      </c>
      <c r="I16434" s="647">
        <v>5.37</v>
      </c>
      <c r="J16434" s="567">
        <v>7.95</v>
      </c>
      <c r="K16434" s="648">
        <v>260</v>
      </c>
      <c r="L16434" s="552">
        <f t="shared" ref="L16434:L16438" si="3324">(I16434*J16434*K16434/1000)</f>
        <v>11.09979</v>
      </c>
      <c r="M16434" s="549"/>
      <c r="N16434" s="549"/>
      <c r="O16434" s="549"/>
      <c r="P16434" s="549"/>
    </row>
    <row r="16435" spans="1:16" ht="17.399999999999999">
      <c r="A16435" s="549"/>
      <c r="B16435" s="549" t="s">
        <v>52</v>
      </c>
      <c r="C16435" s="549"/>
      <c r="D16435" s="549"/>
      <c r="E16435" s="549"/>
      <c r="F16435" s="549"/>
      <c r="G16435" s="549" t="s">
        <v>61</v>
      </c>
      <c r="H16435" s="549" t="s">
        <v>262</v>
      </c>
      <c r="I16435" s="647">
        <v>5.37</v>
      </c>
      <c r="J16435" s="567">
        <v>9.25</v>
      </c>
      <c r="K16435" s="648">
        <v>48</v>
      </c>
      <c r="L16435" s="552">
        <f t="shared" si="3324"/>
        <v>2.38428</v>
      </c>
      <c r="M16435" s="549"/>
      <c r="N16435" s="549"/>
      <c r="O16435" s="549"/>
      <c r="P16435" s="549"/>
    </row>
    <row r="16436" spans="1:16" ht="17.399999999999999">
      <c r="A16436" s="549"/>
      <c r="B16436" s="549"/>
      <c r="C16436" s="549"/>
      <c r="D16436" s="549"/>
      <c r="E16436" s="549"/>
      <c r="F16436" s="549"/>
      <c r="G16436" s="549" t="s">
        <v>61</v>
      </c>
      <c r="H16436" s="549" t="s">
        <v>262</v>
      </c>
      <c r="I16436" s="647">
        <v>5.37</v>
      </c>
      <c r="J16436" s="567">
        <v>11.4</v>
      </c>
      <c r="K16436" s="648">
        <v>48</v>
      </c>
      <c r="L16436" s="552">
        <f t="shared" si="3324"/>
        <v>2.9384639999999997</v>
      </c>
      <c r="M16436" s="549"/>
      <c r="N16436" s="549"/>
      <c r="O16436" s="549"/>
      <c r="P16436" s="549"/>
    </row>
    <row r="16437" spans="1:16" ht="17.399999999999999">
      <c r="A16437" s="549"/>
      <c r="B16437" s="549"/>
      <c r="C16437" s="549"/>
      <c r="D16437" s="549"/>
      <c r="E16437" s="549"/>
      <c r="F16437" s="549"/>
      <c r="G16437" s="549" t="s">
        <v>61</v>
      </c>
      <c r="H16437" s="549" t="s">
        <v>262</v>
      </c>
      <c r="I16437" s="647">
        <v>5.37</v>
      </c>
      <c r="J16437" s="567">
        <v>11.5</v>
      </c>
      <c r="K16437" s="648">
        <v>240</v>
      </c>
      <c r="L16437" s="552">
        <f t="shared" si="3324"/>
        <v>14.821200000000001</v>
      </c>
      <c r="M16437" s="549"/>
      <c r="N16437" s="549"/>
      <c r="O16437" s="549"/>
      <c r="P16437" s="549"/>
    </row>
    <row r="16438" spans="1:16" ht="17.399999999999999">
      <c r="A16438" s="549"/>
      <c r="B16438" s="549"/>
      <c r="C16438" s="549"/>
      <c r="D16438" s="549"/>
      <c r="E16438" s="549"/>
      <c r="F16438" s="549"/>
      <c r="G16438" s="549" t="s">
        <v>61</v>
      </c>
      <c r="H16438" s="549" t="s">
        <v>262</v>
      </c>
      <c r="I16438" s="647">
        <v>5.37</v>
      </c>
      <c r="J16438" s="567">
        <v>12</v>
      </c>
      <c r="K16438" s="648">
        <v>240</v>
      </c>
      <c r="L16438" s="552">
        <f t="shared" si="3324"/>
        <v>15.465599999999998</v>
      </c>
      <c r="M16438" s="549"/>
      <c r="N16438" s="549"/>
      <c r="O16438" s="549"/>
      <c r="P16438" s="549"/>
    </row>
    <row r="16439" spans="1:16" ht="17.399999999999999">
      <c r="A16439" s="549"/>
      <c r="B16439" s="549"/>
      <c r="C16439" s="549"/>
      <c r="D16439" s="549"/>
      <c r="E16439" s="549"/>
      <c r="F16439" s="549"/>
      <c r="G16439" s="549"/>
      <c r="H16439" s="549"/>
      <c r="I16439" s="647"/>
      <c r="J16439" s="567"/>
      <c r="K16439" s="648">
        <f t="shared" ref="K16439:L16439" si="3325">SUM(K16434:K16438)</f>
        <v>836</v>
      </c>
      <c r="L16439" s="567">
        <f t="shared" si="3325"/>
        <v>46.709333999999998</v>
      </c>
      <c r="M16439" s="549"/>
      <c r="N16439" s="549"/>
      <c r="O16439" s="549"/>
      <c r="P16439" s="549"/>
    </row>
    <row r="16440" spans="1:16" ht="17.399999999999999">
      <c r="A16440" s="549"/>
      <c r="B16440" s="549"/>
      <c r="C16440" s="549"/>
      <c r="D16440" s="549"/>
      <c r="E16440" s="549"/>
      <c r="F16440" s="549"/>
      <c r="G16440" s="549"/>
      <c r="H16440" s="549"/>
      <c r="I16440" s="560"/>
      <c r="J16440" s="549"/>
      <c r="K16440" s="561"/>
      <c r="L16440" s="560"/>
      <c r="M16440" s="549"/>
      <c r="N16440" s="549"/>
      <c r="O16440" s="549"/>
      <c r="P16440" s="549"/>
    </row>
    <row r="16441" spans="1:16" ht="17.399999999999999">
      <c r="A16441" s="547" t="s">
        <v>83</v>
      </c>
      <c r="B16441" s="547" t="s">
        <v>1902</v>
      </c>
      <c r="C16441" s="547" t="s">
        <v>19</v>
      </c>
      <c r="D16441" s="813" t="s">
        <v>854</v>
      </c>
      <c r="E16441" s="768" t="s">
        <v>175</v>
      </c>
      <c r="F16441" s="549"/>
      <c r="G16441" s="549" t="s">
        <v>21</v>
      </c>
      <c r="H16441" s="549" t="s">
        <v>53</v>
      </c>
      <c r="I16441" s="647">
        <v>8.3000000000000007</v>
      </c>
      <c r="J16441" s="567">
        <v>6.8</v>
      </c>
      <c r="K16441" s="648">
        <v>2</v>
      </c>
      <c r="L16441" s="552">
        <f t="shared" ref="L16441:L16450" si="3326">(I16441*J16441*K16441/1000)</f>
        <v>0.11288000000000001</v>
      </c>
      <c r="M16441" s="549"/>
      <c r="N16441" s="549"/>
      <c r="O16441" s="549"/>
      <c r="P16441" s="549"/>
    </row>
    <row r="16442" spans="1:16" ht="17.399999999999999">
      <c r="A16442" s="549"/>
      <c r="B16442" s="549" t="s">
        <v>1135</v>
      </c>
      <c r="C16442" s="549"/>
      <c r="D16442" s="549"/>
      <c r="E16442" s="549"/>
      <c r="F16442" s="549"/>
      <c r="G16442" s="549" t="s">
        <v>21</v>
      </c>
      <c r="H16442" s="549" t="s">
        <v>53</v>
      </c>
      <c r="I16442" s="647">
        <v>8.3000000000000007</v>
      </c>
      <c r="J16442" s="567">
        <v>7</v>
      </c>
      <c r="K16442" s="648">
        <v>2</v>
      </c>
      <c r="L16442" s="552">
        <f t="shared" si="3326"/>
        <v>0.11620000000000001</v>
      </c>
      <c r="M16442" s="549"/>
      <c r="N16442" s="549"/>
      <c r="O16442" s="549"/>
      <c r="P16442" s="549"/>
    </row>
    <row r="16443" spans="1:16" ht="17.399999999999999">
      <c r="A16443" s="549"/>
      <c r="B16443" s="549"/>
      <c r="C16443" s="549"/>
      <c r="D16443" s="549"/>
      <c r="E16443" s="549"/>
      <c r="F16443" s="549"/>
      <c r="G16443" s="549" t="s">
        <v>21</v>
      </c>
      <c r="H16443" s="549" t="s">
        <v>53</v>
      </c>
      <c r="I16443" s="647">
        <v>8.3000000000000007</v>
      </c>
      <c r="J16443" s="567">
        <v>7.3</v>
      </c>
      <c r="K16443" s="648">
        <v>4</v>
      </c>
      <c r="L16443" s="552">
        <f t="shared" si="3326"/>
        <v>0.24236000000000002</v>
      </c>
      <c r="M16443" s="549"/>
      <c r="N16443" s="549"/>
      <c r="O16443" s="549"/>
      <c r="P16443" s="549"/>
    </row>
    <row r="16444" spans="1:16" ht="17.399999999999999">
      <c r="A16444" s="549"/>
      <c r="B16444" s="549"/>
      <c r="C16444" s="549"/>
      <c r="D16444" s="549"/>
      <c r="E16444" s="549"/>
      <c r="F16444" s="549"/>
      <c r="G16444" s="549" t="s">
        <v>21</v>
      </c>
      <c r="H16444" s="549" t="s">
        <v>53</v>
      </c>
      <c r="I16444" s="647">
        <v>8.3000000000000007</v>
      </c>
      <c r="J16444" s="567">
        <v>7.9</v>
      </c>
      <c r="K16444" s="648">
        <v>4</v>
      </c>
      <c r="L16444" s="552">
        <f t="shared" si="3326"/>
        <v>0.26228000000000001</v>
      </c>
      <c r="M16444" s="549"/>
      <c r="N16444" s="549"/>
      <c r="O16444" s="549"/>
      <c r="P16444" s="549"/>
    </row>
    <row r="16445" spans="1:16" ht="17.399999999999999">
      <c r="A16445" s="549"/>
      <c r="B16445" s="549"/>
      <c r="C16445" s="549"/>
      <c r="D16445" s="549"/>
      <c r="E16445" s="549"/>
      <c r="F16445" s="549"/>
      <c r="G16445" s="549" t="s">
        <v>21</v>
      </c>
      <c r="H16445" s="549" t="s">
        <v>53</v>
      </c>
      <c r="I16445" s="647">
        <v>8.3000000000000007</v>
      </c>
      <c r="J16445" s="567">
        <v>8.3000000000000007</v>
      </c>
      <c r="K16445" s="648">
        <v>8</v>
      </c>
      <c r="L16445" s="552">
        <f t="shared" si="3326"/>
        <v>0.55112000000000017</v>
      </c>
      <c r="M16445" s="549"/>
      <c r="N16445" s="549"/>
      <c r="O16445" s="549"/>
      <c r="P16445" s="549"/>
    </row>
    <row r="16446" spans="1:16" ht="17.399999999999999">
      <c r="A16446" s="549"/>
      <c r="B16446" s="549"/>
      <c r="C16446" s="549"/>
      <c r="D16446" s="549"/>
      <c r="E16446" s="549"/>
      <c r="F16446" s="549"/>
      <c r="G16446" s="549" t="s">
        <v>21</v>
      </c>
      <c r="H16446" s="549" t="s">
        <v>53</v>
      </c>
      <c r="I16446" s="647">
        <v>8.3000000000000007</v>
      </c>
      <c r="J16446" s="567">
        <v>8.9</v>
      </c>
      <c r="K16446" s="648">
        <v>8</v>
      </c>
      <c r="L16446" s="552">
        <f t="shared" si="3326"/>
        <v>0.59096000000000004</v>
      </c>
      <c r="M16446" s="549"/>
      <c r="N16446" s="549"/>
      <c r="O16446" s="549"/>
      <c r="P16446" s="549"/>
    </row>
    <row r="16447" spans="1:16" ht="17.399999999999999">
      <c r="A16447" s="549"/>
      <c r="B16447" s="549"/>
      <c r="C16447" s="549"/>
      <c r="D16447" s="549"/>
      <c r="E16447" s="549"/>
      <c r="F16447" s="549"/>
      <c r="G16447" s="549" t="s">
        <v>21</v>
      </c>
      <c r="H16447" s="549" t="s">
        <v>53</v>
      </c>
      <c r="I16447" s="647">
        <v>8.3000000000000007</v>
      </c>
      <c r="J16447" s="567">
        <v>9.5500000000000007</v>
      </c>
      <c r="K16447" s="648">
        <v>14</v>
      </c>
      <c r="L16447" s="552">
        <f t="shared" si="3326"/>
        <v>1.1097100000000002</v>
      </c>
      <c r="M16447" s="549"/>
      <c r="N16447" s="549"/>
      <c r="O16447" s="549"/>
      <c r="P16447" s="549"/>
    </row>
    <row r="16448" spans="1:16" ht="17.399999999999999">
      <c r="A16448" s="549"/>
      <c r="B16448" s="549"/>
      <c r="C16448" s="549"/>
      <c r="D16448" s="549"/>
      <c r="E16448" s="549"/>
      <c r="F16448" s="549"/>
      <c r="G16448" s="549" t="s">
        <v>21</v>
      </c>
      <c r="H16448" s="549" t="s">
        <v>53</v>
      </c>
      <c r="I16448" s="647">
        <v>8.3000000000000007</v>
      </c>
      <c r="J16448" s="567">
        <v>10.9</v>
      </c>
      <c r="K16448" s="648">
        <v>8</v>
      </c>
      <c r="L16448" s="552">
        <f t="shared" si="3326"/>
        <v>0.72376000000000007</v>
      </c>
      <c r="M16448" s="549"/>
      <c r="N16448" s="549"/>
      <c r="O16448" s="549"/>
      <c r="P16448" s="549"/>
    </row>
    <row r="16449" spans="1:16" ht="17.399999999999999">
      <c r="A16449" s="549"/>
      <c r="B16449" s="549"/>
      <c r="C16449" s="549"/>
      <c r="D16449" s="549"/>
      <c r="E16449" s="549"/>
      <c r="F16449" s="549"/>
      <c r="G16449" s="549" t="s">
        <v>21</v>
      </c>
      <c r="H16449" s="549" t="s">
        <v>53</v>
      </c>
      <c r="I16449" s="647">
        <v>8.3000000000000007</v>
      </c>
      <c r="J16449" s="567">
        <v>11.1</v>
      </c>
      <c r="K16449" s="648">
        <v>8</v>
      </c>
      <c r="L16449" s="552">
        <f t="shared" si="3326"/>
        <v>0.73704000000000003</v>
      </c>
      <c r="M16449" s="549"/>
      <c r="N16449" s="549"/>
      <c r="O16449" s="549"/>
      <c r="P16449" s="549"/>
    </row>
    <row r="16450" spans="1:16" ht="17.399999999999999">
      <c r="A16450" s="549"/>
      <c r="B16450" s="549"/>
      <c r="C16450" s="549"/>
      <c r="D16450" s="549"/>
      <c r="E16450" s="549"/>
      <c r="F16450" s="549"/>
      <c r="G16450" s="549" t="s">
        <v>21</v>
      </c>
      <c r="H16450" s="549" t="s">
        <v>53</v>
      </c>
      <c r="I16450" s="647">
        <v>8.3000000000000007</v>
      </c>
      <c r="J16450" s="567">
        <v>11.5</v>
      </c>
      <c r="K16450" s="648">
        <v>9</v>
      </c>
      <c r="L16450" s="552">
        <f t="shared" si="3326"/>
        <v>0.85905000000000009</v>
      </c>
      <c r="M16450" s="549"/>
      <c r="N16450" s="549"/>
      <c r="O16450" s="549"/>
      <c r="P16450" s="549"/>
    </row>
    <row r="16451" spans="1:16" ht="17.399999999999999">
      <c r="A16451" s="549"/>
      <c r="B16451" s="549"/>
      <c r="C16451" s="549"/>
      <c r="D16451" s="549"/>
      <c r="E16451" s="549"/>
      <c r="F16451" s="549"/>
      <c r="G16451" s="549"/>
      <c r="H16451" s="549"/>
      <c r="I16451" s="647"/>
      <c r="J16451" s="567"/>
      <c r="K16451" s="648">
        <f>SUM(K16441:K16450)</f>
        <v>67</v>
      </c>
      <c r="L16451" s="567">
        <f>SUM(L16441:L16450)</f>
        <v>5.3053600000000003</v>
      </c>
      <c r="M16451" s="549"/>
      <c r="N16451" s="549"/>
      <c r="O16451" s="549"/>
      <c r="P16451" s="549"/>
    </row>
    <row r="16452" spans="1:16" ht="17.399999999999999">
      <c r="A16452" s="547" t="s">
        <v>83</v>
      </c>
      <c r="B16452" s="547" t="s">
        <v>1902</v>
      </c>
      <c r="C16452" s="547" t="s">
        <v>19</v>
      </c>
      <c r="D16452" s="813" t="s">
        <v>854</v>
      </c>
      <c r="E16452" s="768" t="s">
        <v>175</v>
      </c>
      <c r="F16452" s="549"/>
      <c r="G16452" s="549" t="s">
        <v>21</v>
      </c>
      <c r="H16452" s="549" t="s">
        <v>54</v>
      </c>
      <c r="I16452" s="647">
        <v>9.61</v>
      </c>
      <c r="J16452" s="567">
        <v>6.35</v>
      </c>
      <c r="K16452" s="648">
        <v>8</v>
      </c>
      <c r="L16452" s="552">
        <f t="shared" ref="L16452:L16456" si="3327">(I16452*J16452*K16452/1000)</f>
        <v>0.48818799999999996</v>
      </c>
      <c r="M16452" s="549"/>
      <c r="N16452" s="549"/>
      <c r="O16452" s="549"/>
      <c r="P16452" s="549"/>
    </row>
    <row r="16453" spans="1:16" ht="17.399999999999999">
      <c r="A16453" s="549"/>
      <c r="B16453" s="549" t="s">
        <v>1135</v>
      </c>
      <c r="C16453" s="549"/>
      <c r="D16453" s="549"/>
      <c r="E16453" s="549"/>
      <c r="F16453" s="549"/>
      <c r="G16453" s="549" t="s">
        <v>21</v>
      </c>
      <c r="H16453" s="549" t="s">
        <v>54</v>
      </c>
      <c r="I16453" s="647">
        <v>9.61</v>
      </c>
      <c r="J16453" s="567">
        <v>7.3</v>
      </c>
      <c r="K16453" s="648">
        <v>2</v>
      </c>
      <c r="L16453" s="552">
        <f t="shared" si="3327"/>
        <v>0.14030599999999999</v>
      </c>
      <c r="M16453" s="549"/>
      <c r="N16453" s="549"/>
      <c r="O16453" s="549"/>
      <c r="P16453" s="549"/>
    </row>
    <row r="16454" spans="1:16" ht="17.399999999999999">
      <c r="A16454" s="549"/>
      <c r="B16454" s="549"/>
      <c r="C16454" s="549"/>
      <c r="D16454" s="549"/>
      <c r="E16454" s="549"/>
      <c r="F16454" s="549"/>
      <c r="G16454" s="549" t="s">
        <v>21</v>
      </c>
      <c r="H16454" s="549" t="s">
        <v>54</v>
      </c>
      <c r="I16454" s="647">
        <v>9.61</v>
      </c>
      <c r="J16454" s="567">
        <v>8.1</v>
      </c>
      <c r="K16454" s="648">
        <v>6</v>
      </c>
      <c r="L16454" s="552">
        <f t="shared" si="3327"/>
        <v>0.46704599999999996</v>
      </c>
      <c r="M16454" s="549"/>
      <c r="N16454" s="549"/>
      <c r="O16454" s="549"/>
      <c r="P16454" s="549"/>
    </row>
    <row r="16455" spans="1:16" ht="17.399999999999999">
      <c r="A16455" s="549"/>
      <c r="B16455" s="549"/>
      <c r="C16455" s="549"/>
      <c r="D16455" s="549"/>
      <c r="E16455" s="549"/>
      <c r="F16455" s="549"/>
      <c r="G16455" s="549" t="s">
        <v>21</v>
      </c>
      <c r="H16455" s="549" t="s">
        <v>54</v>
      </c>
      <c r="I16455" s="647">
        <v>9.61</v>
      </c>
      <c r="J16455" s="567">
        <v>9.8000000000000007</v>
      </c>
      <c r="K16455" s="648">
        <v>8</v>
      </c>
      <c r="L16455" s="552">
        <f t="shared" si="3327"/>
        <v>0.75342399999999998</v>
      </c>
      <c r="M16455" s="549"/>
      <c r="N16455" s="549"/>
      <c r="O16455" s="549"/>
      <c r="P16455" s="549"/>
    </row>
    <row r="16456" spans="1:16" ht="17.399999999999999">
      <c r="A16456" s="549"/>
      <c r="B16456" s="549"/>
      <c r="C16456" s="549"/>
      <c r="D16456" s="549"/>
      <c r="E16456" s="549"/>
      <c r="F16456" s="549"/>
      <c r="G16456" s="549" t="s">
        <v>21</v>
      </c>
      <c r="H16456" s="549" t="s">
        <v>54</v>
      </c>
      <c r="I16456" s="647">
        <v>9.61</v>
      </c>
      <c r="J16456" s="567">
        <v>11.55</v>
      </c>
      <c r="K16456" s="648">
        <v>8</v>
      </c>
      <c r="L16456" s="552">
        <f t="shared" si="3327"/>
        <v>0.88796400000000009</v>
      </c>
      <c r="M16456" s="549"/>
      <c r="N16456" s="549"/>
      <c r="O16456" s="549"/>
      <c r="P16456" s="549"/>
    </row>
    <row r="16457" spans="1:16" ht="17.399999999999999">
      <c r="A16457" s="549"/>
      <c r="B16457" s="549"/>
      <c r="C16457" s="549"/>
      <c r="D16457" s="549"/>
      <c r="E16457" s="549"/>
      <c r="F16457" s="549"/>
      <c r="G16457" s="549"/>
      <c r="H16457" s="549"/>
      <c r="I16457" s="648"/>
      <c r="J16457" s="567"/>
      <c r="K16457" s="648">
        <f>SUM(K16452:K16456)</f>
        <v>32</v>
      </c>
      <c r="L16457" s="567">
        <f>SUM(L16452:L16456)</f>
        <v>2.7369279999999998</v>
      </c>
      <c r="M16457" s="549"/>
      <c r="N16457" s="549"/>
      <c r="O16457" s="549"/>
      <c r="P16457" s="549"/>
    </row>
    <row r="16458" spans="1:16" ht="17.399999999999999">
      <c r="A16458" s="549"/>
      <c r="B16458" s="549"/>
      <c r="C16458" s="549"/>
      <c r="D16458" s="549"/>
      <c r="E16458" s="549"/>
      <c r="F16458" s="549"/>
      <c r="G16458" s="549"/>
      <c r="H16458" s="549"/>
      <c r="I16458" s="560"/>
      <c r="J16458" s="549"/>
      <c r="K16458" s="561"/>
      <c r="L16458" s="560"/>
      <c r="M16458" s="549"/>
      <c r="N16458" s="549"/>
      <c r="O16458" s="549"/>
      <c r="P16458" s="549"/>
    </row>
    <row r="16459" spans="1:16" ht="17.399999999999999">
      <c r="A16459" s="549"/>
      <c r="B16459" s="549"/>
      <c r="C16459" s="549"/>
      <c r="D16459" s="549"/>
      <c r="E16459" s="549"/>
      <c r="F16459" s="549"/>
      <c r="G16459" s="549"/>
      <c r="H16459" s="549"/>
      <c r="I16459" s="560"/>
      <c r="J16459" s="549"/>
      <c r="K16459" s="561"/>
      <c r="L16459" s="560"/>
      <c r="M16459" s="549"/>
      <c r="N16459" s="549"/>
      <c r="O16459" s="549"/>
      <c r="P16459" s="549"/>
    </row>
    <row r="16460" spans="1:16" ht="17.399999999999999">
      <c r="A16460" s="547" t="s">
        <v>83</v>
      </c>
      <c r="B16460" s="547" t="s">
        <v>1902</v>
      </c>
      <c r="C16460" s="547" t="s">
        <v>19</v>
      </c>
      <c r="D16460" s="813" t="s">
        <v>854</v>
      </c>
      <c r="E16460" s="768" t="s">
        <v>175</v>
      </c>
      <c r="F16460" s="549"/>
      <c r="G16460" s="549" t="s">
        <v>21</v>
      </c>
      <c r="H16460" s="549" t="s">
        <v>133</v>
      </c>
      <c r="I16460" s="647">
        <v>15</v>
      </c>
      <c r="J16460" s="567">
        <v>6.7</v>
      </c>
      <c r="K16460" s="648">
        <v>2</v>
      </c>
      <c r="L16460" s="552">
        <f>(I16460*J16460*K16460/1000)</f>
        <v>0.20100000000000001</v>
      </c>
      <c r="M16460" s="549"/>
      <c r="N16460" s="549"/>
      <c r="O16460" s="549"/>
      <c r="P16460" s="549"/>
    </row>
    <row r="16461" spans="1:16" ht="17.399999999999999">
      <c r="A16461" s="549"/>
      <c r="B16461" s="549" t="s">
        <v>1135</v>
      </c>
      <c r="C16461" s="549"/>
      <c r="D16461" s="549"/>
      <c r="E16461" s="549"/>
      <c r="F16461" s="549"/>
      <c r="G16461" s="549"/>
      <c r="H16461" s="549"/>
      <c r="I16461" s="647"/>
      <c r="J16461" s="567"/>
      <c r="K16461" s="648">
        <f t="shared" ref="K16461" si="3328">SUM(K16460)</f>
        <v>2</v>
      </c>
      <c r="L16461" s="567">
        <f>SUM(L16460)</f>
        <v>0.20100000000000001</v>
      </c>
      <c r="M16461" s="549"/>
      <c r="N16461" s="549"/>
      <c r="O16461" s="549"/>
      <c r="P16461" s="549"/>
    </row>
    <row r="16462" spans="1:16" ht="17.399999999999999">
      <c r="A16462" s="547" t="s">
        <v>83</v>
      </c>
      <c r="B16462" s="547" t="s">
        <v>1902</v>
      </c>
      <c r="C16462" s="547" t="s">
        <v>19</v>
      </c>
      <c r="D16462" s="813" t="s">
        <v>854</v>
      </c>
      <c r="E16462" s="768" t="s">
        <v>175</v>
      </c>
      <c r="F16462" s="549"/>
      <c r="G16462" s="549" t="s">
        <v>21</v>
      </c>
      <c r="H16462" s="549" t="s">
        <v>118</v>
      </c>
      <c r="I16462" s="647">
        <v>9.26</v>
      </c>
      <c r="J16462" s="567">
        <v>8.1</v>
      </c>
      <c r="K16462" s="648">
        <v>2</v>
      </c>
      <c r="L16462" s="552">
        <f t="shared" ref="L16462:L16466" si="3329">(I16462*J16462*K16462/1000)</f>
        <v>0.15001200000000001</v>
      </c>
      <c r="M16462" s="549"/>
      <c r="N16462" s="549"/>
      <c r="O16462" s="549"/>
      <c r="P16462" s="549"/>
    </row>
    <row r="16463" spans="1:16" ht="17.399999999999999">
      <c r="A16463" s="549"/>
      <c r="B16463" s="549" t="s">
        <v>1135</v>
      </c>
      <c r="C16463" s="549"/>
      <c r="D16463" s="549"/>
      <c r="E16463" s="549"/>
      <c r="F16463" s="549"/>
      <c r="G16463" s="549" t="s">
        <v>21</v>
      </c>
      <c r="H16463" s="549" t="s">
        <v>118</v>
      </c>
      <c r="I16463" s="647">
        <v>9.26</v>
      </c>
      <c r="J16463" s="567">
        <v>9</v>
      </c>
      <c r="K16463" s="648">
        <v>3</v>
      </c>
      <c r="L16463" s="552">
        <f t="shared" si="3329"/>
        <v>0.25002000000000002</v>
      </c>
      <c r="M16463" s="549"/>
      <c r="N16463" s="549"/>
      <c r="O16463" s="549"/>
      <c r="P16463" s="549"/>
    </row>
    <row r="16464" spans="1:16" ht="17.399999999999999">
      <c r="A16464" s="549"/>
      <c r="B16464" s="549"/>
      <c r="C16464" s="549"/>
      <c r="D16464" s="549"/>
      <c r="E16464" s="549"/>
      <c r="F16464" s="549"/>
      <c r="G16464" s="549" t="s">
        <v>21</v>
      </c>
      <c r="H16464" s="549" t="s">
        <v>118</v>
      </c>
      <c r="I16464" s="647">
        <v>9.26</v>
      </c>
      <c r="J16464" s="567">
        <v>9.8000000000000007</v>
      </c>
      <c r="K16464" s="648">
        <v>2</v>
      </c>
      <c r="L16464" s="552">
        <f t="shared" si="3329"/>
        <v>0.18149600000000002</v>
      </c>
      <c r="M16464" s="549"/>
      <c r="N16464" s="549"/>
      <c r="O16464" s="549"/>
      <c r="P16464" s="549"/>
    </row>
    <row r="16465" spans="1:16" ht="17.399999999999999">
      <c r="A16465" s="549"/>
      <c r="B16465" s="549"/>
      <c r="C16465" s="549"/>
      <c r="D16465" s="549"/>
      <c r="E16465" s="549"/>
      <c r="F16465" s="549"/>
      <c r="G16465" s="549" t="s">
        <v>21</v>
      </c>
      <c r="H16465" s="549" t="s">
        <v>118</v>
      </c>
      <c r="I16465" s="647">
        <v>9.26</v>
      </c>
      <c r="J16465" s="567">
        <v>11.3</v>
      </c>
      <c r="K16465" s="648">
        <v>4</v>
      </c>
      <c r="L16465" s="552">
        <f t="shared" si="3329"/>
        <v>0.41855200000000004</v>
      </c>
      <c r="M16465" s="549"/>
      <c r="N16465" s="549"/>
      <c r="O16465" s="549"/>
      <c r="P16465" s="549"/>
    </row>
    <row r="16466" spans="1:16" ht="17.399999999999999">
      <c r="A16466" s="549"/>
      <c r="B16466" s="549"/>
      <c r="C16466" s="549"/>
      <c r="D16466" s="549"/>
      <c r="E16466" s="549"/>
      <c r="F16466" s="549"/>
      <c r="G16466" s="549" t="s">
        <v>21</v>
      </c>
      <c r="H16466" s="549" t="s">
        <v>118</v>
      </c>
      <c r="I16466" s="647">
        <v>9.26</v>
      </c>
      <c r="J16466" s="567">
        <v>11.8</v>
      </c>
      <c r="K16466" s="648">
        <v>5</v>
      </c>
      <c r="L16466" s="552">
        <f t="shared" si="3329"/>
        <v>0.54634000000000005</v>
      </c>
      <c r="M16466" s="549"/>
      <c r="N16466" s="549"/>
      <c r="O16466" s="549"/>
      <c r="P16466" s="549"/>
    </row>
    <row r="16467" spans="1:16" ht="17.399999999999999">
      <c r="A16467" s="549"/>
      <c r="B16467" s="549"/>
      <c r="C16467" s="549"/>
      <c r="D16467" s="549"/>
      <c r="E16467" s="549"/>
      <c r="F16467" s="549"/>
      <c r="G16467" s="549"/>
      <c r="H16467" s="549"/>
      <c r="I16467" s="647"/>
      <c r="J16467" s="567"/>
      <c r="K16467" s="648">
        <f>SUM(K16462:K16466)</f>
        <v>16</v>
      </c>
      <c r="L16467" s="567">
        <f>SUM(L16462:L16466)</f>
        <v>1.5464200000000001</v>
      </c>
      <c r="M16467" s="549"/>
      <c r="N16467" s="549"/>
      <c r="O16467" s="549"/>
      <c r="P16467" s="549"/>
    </row>
    <row r="16468" spans="1:16" ht="17.399999999999999">
      <c r="A16468" s="547" t="s">
        <v>83</v>
      </c>
      <c r="B16468" s="547" t="s">
        <v>1902</v>
      </c>
      <c r="C16468" s="547" t="s">
        <v>19</v>
      </c>
      <c r="D16468" s="813" t="s">
        <v>854</v>
      </c>
      <c r="E16468" s="768" t="s">
        <v>175</v>
      </c>
      <c r="F16468" s="549"/>
      <c r="G16468" s="549" t="s">
        <v>21</v>
      </c>
      <c r="H16468" s="549" t="s">
        <v>119</v>
      </c>
      <c r="I16468" s="647">
        <v>10.7</v>
      </c>
      <c r="J16468" s="567">
        <v>6</v>
      </c>
      <c r="K16468" s="648">
        <v>1</v>
      </c>
      <c r="L16468" s="552">
        <f t="shared" ref="L16468:L16470" si="3330">(I16468*J16468*K16468/1000)</f>
        <v>6.4199999999999993E-2</v>
      </c>
      <c r="M16468" s="549"/>
      <c r="N16468" s="549"/>
      <c r="O16468" s="549"/>
      <c r="P16468" s="549"/>
    </row>
    <row r="16469" spans="1:16" ht="17.399999999999999">
      <c r="A16469" s="549"/>
      <c r="B16469" s="549" t="s">
        <v>1135</v>
      </c>
      <c r="C16469" s="549"/>
      <c r="D16469" s="549"/>
      <c r="E16469" s="549"/>
      <c r="F16469" s="549"/>
      <c r="G16469" s="549" t="s">
        <v>21</v>
      </c>
      <c r="H16469" s="549" t="s">
        <v>119</v>
      </c>
      <c r="I16469" s="647">
        <v>10.7</v>
      </c>
      <c r="J16469" s="567">
        <v>8.1</v>
      </c>
      <c r="K16469" s="648">
        <v>2</v>
      </c>
      <c r="L16469" s="552">
        <f t="shared" si="3330"/>
        <v>0.17333999999999997</v>
      </c>
      <c r="M16469" s="549"/>
      <c r="N16469" s="549"/>
      <c r="O16469" s="549"/>
      <c r="P16469" s="549"/>
    </row>
    <row r="16470" spans="1:16" ht="17.399999999999999">
      <c r="A16470" s="549"/>
      <c r="B16470" s="549"/>
      <c r="C16470" s="549"/>
      <c r="D16470" s="549"/>
      <c r="E16470" s="549"/>
      <c r="F16470" s="549"/>
      <c r="G16470" s="549" t="s">
        <v>21</v>
      </c>
      <c r="H16470" s="549" t="s">
        <v>119</v>
      </c>
      <c r="I16470" s="647">
        <v>10.7</v>
      </c>
      <c r="J16470" s="567">
        <v>11.8</v>
      </c>
      <c r="K16470" s="648">
        <v>3</v>
      </c>
      <c r="L16470" s="552">
        <f t="shared" si="3330"/>
        <v>0.37878000000000001</v>
      </c>
      <c r="M16470" s="549"/>
      <c r="N16470" s="549"/>
      <c r="O16470" s="549"/>
      <c r="P16470" s="549"/>
    </row>
    <row r="16471" spans="1:16" ht="17.399999999999999">
      <c r="A16471" s="549"/>
      <c r="B16471" s="549"/>
      <c r="C16471" s="549"/>
      <c r="D16471" s="549"/>
      <c r="E16471" s="549"/>
      <c r="F16471" s="549"/>
      <c r="G16471" s="549"/>
      <c r="H16471" s="549"/>
      <c r="I16471" s="647"/>
      <c r="J16471" s="567"/>
      <c r="K16471" s="648">
        <f t="shared" ref="K16471" si="3331">SUM(K16468:K16470)</f>
        <v>6</v>
      </c>
      <c r="L16471" s="567">
        <f>SUM(L16468:L16470)</f>
        <v>0.61631999999999998</v>
      </c>
      <c r="M16471" s="549"/>
      <c r="N16471" s="549"/>
      <c r="O16471" s="549"/>
      <c r="P16471" s="549"/>
    </row>
    <row r="16472" spans="1:16" ht="17.399999999999999">
      <c r="A16472" s="547" t="s">
        <v>83</v>
      </c>
      <c r="B16472" s="547" t="s">
        <v>1902</v>
      </c>
      <c r="C16472" s="547" t="s">
        <v>19</v>
      </c>
      <c r="D16472" s="813" t="s">
        <v>854</v>
      </c>
      <c r="E16472" s="768" t="s">
        <v>175</v>
      </c>
      <c r="F16472" s="549"/>
      <c r="G16472" s="549" t="s">
        <v>21</v>
      </c>
      <c r="H16472" s="549" t="s">
        <v>134</v>
      </c>
      <c r="I16472" s="647">
        <v>12.2</v>
      </c>
      <c r="J16472" s="567">
        <v>6.1</v>
      </c>
      <c r="K16472" s="648">
        <v>1</v>
      </c>
      <c r="L16472" s="552">
        <f t="shared" ref="L16472:L16473" si="3332">(I16472*J16472*K16472/1000)</f>
        <v>7.4419999999999986E-2</v>
      </c>
      <c r="M16472" s="549"/>
      <c r="N16472" s="549"/>
      <c r="O16472" s="549"/>
      <c r="P16472" s="549"/>
    </row>
    <row r="16473" spans="1:16" ht="17.399999999999999">
      <c r="A16473" s="549"/>
      <c r="B16473" s="549" t="s">
        <v>1135</v>
      </c>
      <c r="C16473" s="549"/>
      <c r="D16473" s="549"/>
      <c r="E16473" s="549"/>
      <c r="F16473" s="549"/>
      <c r="G16473" s="549" t="s">
        <v>21</v>
      </c>
      <c r="H16473" s="549" t="s">
        <v>134</v>
      </c>
      <c r="I16473" s="647">
        <v>12.2</v>
      </c>
      <c r="J16473" s="567">
        <v>6.3</v>
      </c>
      <c r="K16473" s="648">
        <v>1</v>
      </c>
      <c r="L16473" s="552">
        <f t="shared" si="3332"/>
        <v>7.6859999999999998E-2</v>
      </c>
      <c r="M16473" s="549"/>
      <c r="N16473" s="549"/>
      <c r="O16473" s="549"/>
      <c r="P16473" s="549"/>
    </row>
    <row r="16474" spans="1:16" ht="17.399999999999999">
      <c r="A16474" s="549"/>
      <c r="B16474" s="549"/>
      <c r="C16474" s="549"/>
      <c r="D16474" s="549"/>
      <c r="E16474" s="549"/>
      <c r="F16474" s="549"/>
      <c r="G16474" s="549"/>
      <c r="H16474" s="549"/>
      <c r="I16474" s="647"/>
      <c r="J16474" s="567"/>
      <c r="K16474" s="648">
        <f t="shared" ref="K16474" si="3333">SUM(K16472:K16473)</f>
        <v>2</v>
      </c>
      <c r="L16474" s="567">
        <f>SUM(L16472:L16473)</f>
        <v>0.15127999999999997</v>
      </c>
      <c r="M16474" s="549"/>
      <c r="N16474" s="549"/>
      <c r="O16474" s="549"/>
      <c r="P16474" s="549"/>
    </row>
    <row r="16475" spans="1:16" ht="17.399999999999999">
      <c r="A16475" s="549"/>
      <c r="B16475" s="549"/>
      <c r="C16475" s="549"/>
      <c r="D16475" s="549"/>
      <c r="E16475" s="549"/>
      <c r="F16475" s="549"/>
      <c r="G16475" s="549"/>
      <c r="H16475" s="549"/>
      <c r="I16475" s="560"/>
      <c r="J16475" s="549"/>
      <c r="K16475" s="561"/>
      <c r="L16475" s="560"/>
      <c r="M16475" s="549"/>
      <c r="N16475" s="549"/>
      <c r="O16475" s="549"/>
      <c r="P16475" s="549"/>
    </row>
    <row r="16476" spans="1:16" ht="17.399999999999999">
      <c r="A16476" s="547" t="s">
        <v>83</v>
      </c>
      <c r="B16476" s="547" t="s">
        <v>1902</v>
      </c>
      <c r="C16476" s="547" t="s">
        <v>19</v>
      </c>
      <c r="D16476" s="813" t="s">
        <v>854</v>
      </c>
      <c r="E16476" s="768" t="s">
        <v>175</v>
      </c>
      <c r="F16476" s="549"/>
      <c r="G16476" s="549" t="s">
        <v>21</v>
      </c>
      <c r="H16476" s="549" t="s">
        <v>120</v>
      </c>
      <c r="I16476" s="647">
        <v>18.2</v>
      </c>
      <c r="J16476" s="567">
        <v>9.1</v>
      </c>
      <c r="K16476" s="648">
        <v>1</v>
      </c>
      <c r="L16476" s="552">
        <f t="shared" ref="L16476:L16477" si="3334">(I16476*J16476*K16476/1000)</f>
        <v>0.16561999999999999</v>
      </c>
      <c r="M16476" s="549"/>
      <c r="N16476" s="549"/>
      <c r="O16476" s="549"/>
      <c r="P16476" s="549"/>
    </row>
    <row r="16477" spans="1:16" ht="17.399999999999999">
      <c r="A16477" s="549"/>
      <c r="B16477" s="549" t="s">
        <v>1135</v>
      </c>
      <c r="C16477" s="549"/>
      <c r="D16477" s="549"/>
      <c r="E16477" s="549"/>
      <c r="F16477" s="549"/>
      <c r="G16477" s="549" t="s">
        <v>21</v>
      </c>
      <c r="H16477" s="549" t="s">
        <v>120</v>
      </c>
      <c r="I16477" s="647">
        <v>18.2</v>
      </c>
      <c r="J16477" s="567">
        <v>10.1</v>
      </c>
      <c r="K16477" s="648">
        <v>4</v>
      </c>
      <c r="L16477" s="552">
        <f t="shared" si="3334"/>
        <v>0.73527999999999993</v>
      </c>
      <c r="M16477" s="549"/>
      <c r="N16477" s="549"/>
      <c r="O16477" s="549"/>
      <c r="P16477" s="549"/>
    </row>
    <row r="16478" spans="1:16" ht="17.399999999999999">
      <c r="A16478" s="549"/>
      <c r="B16478" s="549"/>
      <c r="C16478" s="549"/>
      <c r="D16478" s="549"/>
      <c r="E16478" s="549"/>
      <c r="F16478" s="549"/>
      <c r="G16478" s="549"/>
      <c r="H16478" s="549"/>
      <c r="I16478" s="647"/>
      <c r="J16478" s="567"/>
      <c r="K16478" s="648">
        <f>SUM(K16476:K16477)</f>
        <v>5</v>
      </c>
      <c r="L16478" s="567">
        <f>SUM(L16476:L16477)</f>
        <v>0.90089999999999992</v>
      </c>
      <c r="M16478" s="549"/>
      <c r="N16478" s="549"/>
      <c r="O16478" s="549"/>
      <c r="P16478" s="549"/>
    </row>
    <row r="16479" spans="1:16" ht="17.399999999999999">
      <c r="A16479" s="549"/>
      <c r="B16479" s="549"/>
      <c r="C16479" s="549"/>
      <c r="D16479" s="549"/>
      <c r="E16479" s="549"/>
      <c r="F16479" s="549"/>
      <c r="G16479" s="549"/>
      <c r="H16479" s="549"/>
      <c r="I16479" s="560"/>
      <c r="J16479" s="549"/>
      <c r="K16479" s="561"/>
      <c r="L16479" s="560"/>
      <c r="M16479" s="549"/>
      <c r="N16479" s="549"/>
      <c r="O16479" s="549"/>
      <c r="P16479" s="549"/>
    </row>
    <row r="16480" spans="1:16" ht="17.399999999999999">
      <c r="A16480" s="547" t="s">
        <v>83</v>
      </c>
      <c r="B16480" s="547" t="s">
        <v>1902</v>
      </c>
      <c r="C16480" s="547" t="s">
        <v>19</v>
      </c>
      <c r="D16480" s="813" t="s">
        <v>854</v>
      </c>
      <c r="E16480" s="768" t="s">
        <v>175</v>
      </c>
      <c r="F16480" s="549"/>
      <c r="G16480" s="549" t="s">
        <v>21</v>
      </c>
      <c r="H16480" s="549" t="s">
        <v>124</v>
      </c>
      <c r="I16480" s="647">
        <v>19.8</v>
      </c>
      <c r="J16480" s="567">
        <v>8.25</v>
      </c>
      <c r="K16480" s="648">
        <v>7</v>
      </c>
      <c r="L16480" s="552">
        <f t="shared" ref="L16480:L16482" si="3335">(I16480*J16480*K16480/1000)</f>
        <v>1.1434500000000001</v>
      </c>
      <c r="M16480" s="549"/>
      <c r="N16480" s="549"/>
      <c r="O16480" s="549"/>
      <c r="P16480" s="549"/>
    </row>
    <row r="16481" spans="1:16" ht="17.399999999999999">
      <c r="A16481" s="549"/>
      <c r="B16481" s="549" t="s">
        <v>1135</v>
      </c>
      <c r="C16481" s="549"/>
      <c r="D16481" s="549"/>
      <c r="E16481" s="549"/>
      <c r="F16481" s="549"/>
      <c r="G16481" s="549" t="s">
        <v>21</v>
      </c>
      <c r="H16481" s="549" t="s">
        <v>124</v>
      </c>
      <c r="I16481" s="647">
        <v>19.8</v>
      </c>
      <c r="J16481" s="567">
        <v>9.25</v>
      </c>
      <c r="K16481" s="648">
        <v>16</v>
      </c>
      <c r="L16481" s="552">
        <f t="shared" si="3335"/>
        <v>2.9304000000000001</v>
      </c>
      <c r="M16481" s="549"/>
      <c r="N16481" s="549"/>
      <c r="O16481" s="549"/>
      <c r="P16481" s="549"/>
    </row>
    <row r="16482" spans="1:16" ht="17.399999999999999">
      <c r="A16482" s="549"/>
      <c r="B16482" s="549"/>
      <c r="C16482" s="549"/>
      <c r="D16482" s="549"/>
      <c r="E16482" s="549"/>
      <c r="F16482" s="549"/>
      <c r="G16482" s="549" t="s">
        <v>21</v>
      </c>
      <c r="H16482" s="549" t="s">
        <v>124</v>
      </c>
      <c r="I16482" s="647">
        <v>19.8</v>
      </c>
      <c r="J16482" s="567">
        <v>10.9</v>
      </c>
      <c r="K16482" s="648">
        <v>1</v>
      </c>
      <c r="L16482" s="552">
        <f t="shared" si="3335"/>
        <v>0.21582000000000001</v>
      </c>
      <c r="M16482" s="549"/>
      <c r="N16482" s="549"/>
      <c r="O16482" s="549"/>
      <c r="P16482" s="549"/>
    </row>
    <row r="16483" spans="1:16" ht="17.399999999999999">
      <c r="A16483" s="549"/>
      <c r="B16483" s="549"/>
      <c r="C16483" s="549"/>
      <c r="D16483" s="549"/>
      <c r="E16483" s="549"/>
      <c r="F16483" s="549"/>
      <c r="G16483" s="549"/>
      <c r="H16483" s="549"/>
      <c r="I16483" s="647"/>
      <c r="J16483" s="567"/>
      <c r="K16483" s="648">
        <f>SUM(K16480:K16482)</f>
        <v>24</v>
      </c>
      <c r="L16483" s="567">
        <f>SUM(L16480:L16482)</f>
        <v>4.2896700000000001</v>
      </c>
      <c r="M16483" s="549"/>
      <c r="N16483" s="549"/>
      <c r="O16483" s="549"/>
      <c r="P16483" s="549"/>
    </row>
    <row r="16484" spans="1:16" ht="17.399999999999999">
      <c r="A16484" s="547" t="s">
        <v>83</v>
      </c>
      <c r="B16484" s="547" t="s">
        <v>1902</v>
      </c>
      <c r="C16484" s="547" t="s">
        <v>19</v>
      </c>
      <c r="D16484" s="813" t="s">
        <v>854</v>
      </c>
      <c r="E16484" s="768" t="s">
        <v>175</v>
      </c>
      <c r="F16484" s="549"/>
      <c r="G16484" s="549" t="s">
        <v>21</v>
      </c>
      <c r="H16484" s="549" t="s">
        <v>126</v>
      </c>
      <c r="I16484" s="647">
        <v>23.6</v>
      </c>
      <c r="J16484" s="567">
        <v>6</v>
      </c>
      <c r="K16484" s="648">
        <v>1</v>
      </c>
      <c r="L16484" s="552">
        <f t="shared" ref="L16484:L16487" si="3336">(I16484*J16484*K16484/1000)</f>
        <v>0.14160000000000003</v>
      </c>
      <c r="M16484" s="549"/>
      <c r="N16484" s="549"/>
      <c r="O16484" s="549"/>
      <c r="P16484" s="549"/>
    </row>
    <row r="16485" spans="1:16" ht="17.399999999999999">
      <c r="A16485" s="549"/>
      <c r="B16485" s="549" t="s">
        <v>1135</v>
      </c>
      <c r="C16485" s="549"/>
      <c r="D16485" s="549"/>
      <c r="E16485" s="549"/>
      <c r="F16485" s="549"/>
      <c r="G16485" s="549" t="s">
        <v>21</v>
      </c>
      <c r="H16485" s="549" t="s">
        <v>126</v>
      </c>
      <c r="I16485" s="647">
        <v>23.6</v>
      </c>
      <c r="J16485" s="567">
        <v>7.2</v>
      </c>
      <c r="K16485" s="648">
        <v>7</v>
      </c>
      <c r="L16485" s="552">
        <f t="shared" si="3336"/>
        <v>1.1894400000000001</v>
      </c>
      <c r="M16485" s="549"/>
      <c r="N16485" s="549"/>
      <c r="O16485" s="549"/>
      <c r="P16485" s="549"/>
    </row>
    <row r="16486" spans="1:16" ht="17.399999999999999">
      <c r="A16486" s="549"/>
      <c r="B16486" s="549"/>
      <c r="C16486" s="549"/>
      <c r="D16486" s="549"/>
      <c r="E16486" s="549"/>
      <c r="F16486" s="549"/>
      <c r="G16486" s="549" t="s">
        <v>21</v>
      </c>
      <c r="H16486" s="549" t="s">
        <v>126</v>
      </c>
      <c r="I16486" s="647">
        <v>23.6</v>
      </c>
      <c r="J16486" s="567">
        <v>10.199999999999999</v>
      </c>
      <c r="K16486" s="648">
        <v>4</v>
      </c>
      <c r="L16486" s="552">
        <f t="shared" si="3336"/>
        <v>0.96287999999999996</v>
      </c>
      <c r="M16486" s="549"/>
      <c r="N16486" s="549"/>
      <c r="O16486" s="549"/>
      <c r="P16486" s="549"/>
    </row>
    <row r="16487" spans="1:16" ht="17.399999999999999">
      <c r="A16487" s="549"/>
      <c r="B16487" s="549"/>
      <c r="C16487" s="549"/>
      <c r="D16487" s="549"/>
      <c r="E16487" s="549"/>
      <c r="F16487" s="549"/>
      <c r="G16487" s="549" t="s">
        <v>21</v>
      </c>
      <c r="H16487" s="549" t="s">
        <v>126</v>
      </c>
      <c r="I16487" s="647">
        <v>23.6</v>
      </c>
      <c r="J16487" s="567">
        <v>10.25</v>
      </c>
      <c r="K16487" s="648">
        <v>11</v>
      </c>
      <c r="L16487" s="552">
        <f t="shared" si="3336"/>
        <v>2.6609000000000003</v>
      </c>
      <c r="M16487" s="549"/>
      <c r="N16487" s="549"/>
      <c r="O16487" s="549"/>
      <c r="P16487" s="549"/>
    </row>
    <row r="16488" spans="1:16" ht="17.399999999999999">
      <c r="A16488" s="549"/>
      <c r="B16488" s="549"/>
      <c r="C16488" s="549"/>
      <c r="D16488" s="549"/>
      <c r="E16488" s="549"/>
      <c r="F16488" s="549"/>
      <c r="G16488" s="549"/>
      <c r="H16488" s="549"/>
      <c r="I16488" s="647"/>
      <c r="J16488" s="567"/>
      <c r="K16488" s="648">
        <f>SUM(K16484:K16487)</f>
        <v>23</v>
      </c>
      <c r="L16488" s="567">
        <f>SUM(L16484:L16487)</f>
        <v>4.9548199999999998</v>
      </c>
      <c r="M16488" s="549"/>
      <c r="N16488" s="549"/>
      <c r="O16488" s="549"/>
      <c r="P16488" s="549"/>
    </row>
    <row r="16489" spans="1:16" ht="17.399999999999999">
      <c r="A16489" s="549"/>
      <c r="B16489" s="549"/>
      <c r="C16489" s="549"/>
      <c r="D16489" s="549"/>
      <c r="E16489" s="549"/>
      <c r="F16489" s="549"/>
      <c r="G16489" s="549"/>
      <c r="H16489" s="549"/>
      <c r="I16489" s="560"/>
      <c r="J16489" s="549"/>
      <c r="K16489" s="561"/>
      <c r="L16489" s="560"/>
      <c r="M16489" s="549"/>
      <c r="N16489" s="549"/>
      <c r="O16489" s="549"/>
      <c r="P16489" s="549"/>
    </row>
    <row r="16490" spans="1:16" ht="17.399999999999999">
      <c r="A16490" s="547" t="s">
        <v>83</v>
      </c>
      <c r="B16490" s="547" t="s">
        <v>1902</v>
      </c>
      <c r="C16490" s="547" t="s">
        <v>19</v>
      </c>
      <c r="D16490" s="813" t="s">
        <v>854</v>
      </c>
      <c r="E16490" s="768" t="s">
        <v>175</v>
      </c>
      <c r="F16490" s="549"/>
      <c r="G16490" s="549" t="s">
        <v>21</v>
      </c>
      <c r="H16490" s="549" t="s">
        <v>179</v>
      </c>
      <c r="I16490" s="647">
        <v>33.799999999999997</v>
      </c>
      <c r="J16490" s="567">
        <v>6.3</v>
      </c>
      <c r="K16490" s="648">
        <v>9</v>
      </c>
      <c r="L16490" s="552">
        <f t="shared" ref="L16490:L16492" si="3337">(I16490*J16490*K16490/1000)</f>
        <v>1.9164599999999998</v>
      </c>
      <c r="M16490" s="549"/>
      <c r="N16490" s="549"/>
      <c r="O16490" s="549"/>
      <c r="P16490" s="549"/>
    </row>
    <row r="16491" spans="1:16" ht="17.399999999999999">
      <c r="A16491" s="549"/>
      <c r="B16491" s="549" t="s">
        <v>1135</v>
      </c>
      <c r="C16491" s="549"/>
      <c r="D16491" s="549"/>
      <c r="E16491" s="549"/>
      <c r="F16491" s="549"/>
      <c r="G16491" s="549" t="s">
        <v>21</v>
      </c>
      <c r="H16491" s="549" t="s">
        <v>179</v>
      </c>
      <c r="I16491" s="647">
        <v>33.799999999999997</v>
      </c>
      <c r="J16491" s="567">
        <v>6.5</v>
      </c>
      <c r="K16491" s="648">
        <v>2</v>
      </c>
      <c r="L16491" s="552">
        <f t="shared" si="3337"/>
        <v>0.43939999999999996</v>
      </c>
      <c r="M16491" s="549"/>
      <c r="N16491" s="549"/>
      <c r="O16491" s="549"/>
      <c r="P16491" s="549"/>
    </row>
    <row r="16492" spans="1:16" ht="17.399999999999999">
      <c r="A16492" s="549"/>
      <c r="B16492" s="549"/>
      <c r="C16492" s="549"/>
      <c r="D16492" s="549"/>
      <c r="E16492" s="549"/>
      <c r="F16492" s="549"/>
      <c r="G16492" s="549" t="s">
        <v>21</v>
      </c>
      <c r="H16492" s="549" t="s">
        <v>179</v>
      </c>
      <c r="I16492" s="647">
        <v>33.799999999999997</v>
      </c>
      <c r="J16492" s="567">
        <v>8.3000000000000007</v>
      </c>
      <c r="K16492" s="648">
        <v>10</v>
      </c>
      <c r="L16492" s="552">
        <f t="shared" si="3337"/>
        <v>2.8054000000000001</v>
      </c>
      <c r="M16492" s="549"/>
      <c r="N16492" s="549"/>
      <c r="O16492" s="549"/>
      <c r="P16492" s="549"/>
    </row>
    <row r="16493" spans="1:16" ht="17.399999999999999">
      <c r="A16493" s="549"/>
      <c r="B16493" s="549"/>
      <c r="C16493" s="549"/>
      <c r="D16493" s="549"/>
      <c r="E16493" s="549"/>
      <c r="F16493" s="549"/>
      <c r="G16493" s="549"/>
      <c r="H16493" s="549"/>
      <c r="I16493" s="647"/>
      <c r="J16493" s="567"/>
      <c r="K16493" s="648">
        <f>SUM(K16490:K16492)</f>
        <v>21</v>
      </c>
      <c r="L16493" s="567">
        <f>SUM(L16490:L16492)</f>
        <v>5.1612600000000004</v>
      </c>
      <c r="M16493" s="549"/>
      <c r="N16493" s="549"/>
      <c r="O16493" s="549"/>
      <c r="P16493" s="549"/>
    </row>
    <row r="16494" spans="1:16" ht="17.399999999999999">
      <c r="A16494" s="549"/>
      <c r="B16494" s="549"/>
      <c r="C16494" s="549"/>
      <c r="D16494" s="549"/>
      <c r="E16494" s="549"/>
      <c r="F16494" s="549"/>
      <c r="G16494" s="549"/>
      <c r="H16494" s="549"/>
      <c r="I16494" s="560"/>
      <c r="J16494" s="549"/>
      <c r="K16494" s="561"/>
      <c r="L16494" s="560"/>
      <c r="M16494" s="549"/>
      <c r="N16494" s="549"/>
      <c r="O16494" s="549"/>
      <c r="P16494" s="549"/>
    </row>
    <row r="16495" spans="1:16" ht="17.399999999999999">
      <c r="A16495" s="547" t="s">
        <v>83</v>
      </c>
      <c r="B16495" s="547" t="s">
        <v>1902</v>
      </c>
      <c r="C16495" s="547" t="s">
        <v>19</v>
      </c>
      <c r="D16495" s="813" t="s">
        <v>854</v>
      </c>
      <c r="E16495" s="768" t="s">
        <v>175</v>
      </c>
      <c r="F16495" s="549"/>
      <c r="G16495" s="549" t="s">
        <v>21</v>
      </c>
      <c r="H16495" s="549" t="s">
        <v>70</v>
      </c>
      <c r="I16495" s="647">
        <v>5.76</v>
      </c>
      <c r="J16495" s="567">
        <v>7.5</v>
      </c>
      <c r="K16495" s="648">
        <v>2</v>
      </c>
      <c r="L16495" s="552">
        <f t="shared" ref="L16495:L16496" si="3338">(I16495*J16495*K16495/1000)</f>
        <v>8.6399999999999991E-2</v>
      </c>
      <c r="M16495" s="549"/>
      <c r="N16495" s="549"/>
      <c r="O16495" s="549"/>
      <c r="P16495" s="549"/>
    </row>
    <row r="16496" spans="1:16" ht="17.399999999999999">
      <c r="A16496" s="549"/>
      <c r="B16496" s="549" t="s">
        <v>1135</v>
      </c>
      <c r="C16496" s="549"/>
      <c r="D16496" s="549"/>
      <c r="E16496" s="549"/>
      <c r="F16496" s="549"/>
      <c r="G16496" s="549" t="s">
        <v>21</v>
      </c>
      <c r="H16496" s="549" t="s">
        <v>70</v>
      </c>
      <c r="I16496" s="647">
        <v>5.76</v>
      </c>
      <c r="J16496" s="567">
        <v>10</v>
      </c>
      <c r="K16496" s="648">
        <v>10</v>
      </c>
      <c r="L16496" s="552">
        <f t="shared" si="3338"/>
        <v>0.57599999999999996</v>
      </c>
      <c r="M16496" s="549"/>
      <c r="N16496" s="549"/>
      <c r="O16496" s="549"/>
      <c r="P16496" s="549"/>
    </row>
    <row r="16497" spans="1:16" ht="17.399999999999999">
      <c r="A16497" s="549"/>
      <c r="B16497" s="549"/>
      <c r="C16497" s="549"/>
      <c r="D16497" s="549"/>
      <c r="E16497" s="549"/>
      <c r="F16497" s="549"/>
      <c r="G16497" s="549"/>
      <c r="H16497" s="549"/>
      <c r="I16497" s="647"/>
      <c r="J16497" s="567"/>
      <c r="K16497" s="648">
        <f t="shared" ref="K16497:L16497" si="3339">SUM(K16495:K16496)</f>
        <v>12</v>
      </c>
      <c r="L16497" s="567">
        <f t="shared" si="3339"/>
        <v>0.66239999999999999</v>
      </c>
      <c r="M16497" s="549"/>
      <c r="N16497" s="549"/>
      <c r="O16497" s="549"/>
      <c r="P16497" s="549"/>
    </row>
    <row r="16498" spans="1:16" ht="17.399999999999999">
      <c r="A16498" s="547" t="s">
        <v>83</v>
      </c>
      <c r="B16498" s="547" t="s">
        <v>1902</v>
      </c>
      <c r="C16498" s="547" t="s">
        <v>19</v>
      </c>
      <c r="D16498" s="813" t="s">
        <v>854</v>
      </c>
      <c r="E16498" s="768" t="s">
        <v>175</v>
      </c>
      <c r="F16498" s="549"/>
      <c r="G16498" s="549" t="s">
        <v>21</v>
      </c>
      <c r="H16498" s="549" t="s">
        <v>69</v>
      </c>
      <c r="I16498" s="647">
        <v>6.85</v>
      </c>
      <c r="J16498" s="567">
        <v>8</v>
      </c>
      <c r="K16498" s="648">
        <v>2</v>
      </c>
      <c r="L16498" s="552">
        <f t="shared" ref="L16498:L16502" si="3340">(I16498*J16498*K16498/1000)</f>
        <v>0.10959999999999999</v>
      </c>
      <c r="M16498" s="549"/>
      <c r="N16498" s="549"/>
      <c r="O16498" s="549"/>
      <c r="P16498" s="549"/>
    </row>
    <row r="16499" spans="1:16" ht="17.399999999999999">
      <c r="A16499" s="549"/>
      <c r="B16499" s="549" t="s">
        <v>1135</v>
      </c>
      <c r="C16499" s="549"/>
      <c r="D16499" s="549"/>
      <c r="E16499" s="549"/>
      <c r="F16499" s="549"/>
      <c r="G16499" s="549" t="s">
        <v>21</v>
      </c>
      <c r="H16499" s="549" t="s">
        <v>69</v>
      </c>
      <c r="I16499" s="647">
        <v>6.85</v>
      </c>
      <c r="J16499" s="567">
        <v>8.9</v>
      </c>
      <c r="K16499" s="648">
        <v>2</v>
      </c>
      <c r="L16499" s="552">
        <f t="shared" si="3340"/>
        <v>0.12193</v>
      </c>
      <c r="M16499" s="549"/>
      <c r="N16499" s="549"/>
      <c r="O16499" s="549"/>
      <c r="P16499" s="549"/>
    </row>
    <row r="16500" spans="1:16" ht="17.399999999999999">
      <c r="A16500" s="549"/>
      <c r="B16500" s="549"/>
      <c r="C16500" s="549"/>
      <c r="D16500" s="549"/>
      <c r="E16500" s="549"/>
      <c r="F16500" s="549"/>
      <c r="G16500" s="549" t="s">
        <v>21</v>
      </c>
      <c r="H16500" s="549" t="s">
        <v>69</v>
      </c>
      <c r="I16500" s="647">
        <v>6.85</v>
      </c>
      <c r="J16500" s="567">
        <v>10</v>
      </c>
      <c r="K16500" s="648">
        <v>13</v>
      </c>
      <c r="L16500" s="552">
        <f t="shared" si="3340"/>
        <v>0.89049999999999996</v>
      </c>
      <c r="M16500" s="549"/>
      <c r="N16500" s="549"/>
      <c r="O16500" s="549"/>
      <c r="P16500" s="549"/>
    </row>
    <row r="16501" spans="1:16" ht="17.399999999999999">
      <c r="A16501" s="549"/>
      <c r="B16501" s="549"/>
      <c r="C16501" s="549"/>
      <c r="D16501" s="549"/>
      <c r="E16501" s="549"/>
      <c r="F16501" s="549"/>
      <c r="G16501" s="549" t="s">
        <v>21</v>
      </c>
      <c r="H16501" s="549" t="s">
        <v>69</v>
      </c>
      <c r="I16501" s="647">
        <v>6.85</v>
      </c>
      <c r="J16501" s="567">
        <v>11.5</v>
      </c>
      <c r="K16501" s="648">
        <v>22</v>
      </c>
      <c r="L16501" s="552">
        <f t="shared" si="3340"/>
        <v>1.7330499999999998</v>
      </c>
      <c r="M16501" s="549"/>
      <c r="N16501" s="549"/>
      <c r="O16501" s="549"/>
      <c r="P16501" s="549"/>
    </row>
    <row r="16502" spans="1:16" ht="17.399999999999999">
      <c r="A16502" s="549"/>
      <c r="B16502" s="549"/>
      <c r="C16502" s="549"/>
      <c r="D16502" s="549"/>
      <c r="E16502" s="549"/>
      <c r="F16502" s="549"/>
      <c r="G16502" s="549" t="s">
        <v>21</v>
      </c>
      <c r="H16502" s="549" t="s">
        <v>69</v>
      </c>
      <c r="I16502" s="647">
        <v>6.85</v>
      </c>
      <c r="J16502" s="567">
        <v>12</v>
      </c>
      <c r="K16502" s="648">
        <v>8</v>
      </c>
      <c r="L16502" s="552">
        <f t="shared" si="3340"/>
        <v>0.65759999999999996</v>
      </c>
      <c r="M16502" s="549"/>
      <c r="N16502" s="549"/>
      <c r="O16502" s="549"/>
      <c r="P16502" s="549"/>
    </row>
    <row r="16503" spans="1:16" ht="17.399999999999999">
      <c r="A16503" s="549"/>
      <c r="B16503" s="549"/>
      <c r="C16503" s="549"/>
      <c r="D16503" s="549"/>
      <c r="E16503" s="549"/>
      <c r="F16503" s="549"/>
      <c r="G16503" s="549"/>
      <c r="H16503" s="549"/>
      <c r="I16503" s="647"/>
      <c r="J16503" s="567"/>
      <c r="K16503" s="648">
        <f>SUM(K16498:K16502)</f>
        <v>47</v>
      </c>
      <c r="L16503" s="567">
        <f>SUM(L16498:L16502)</f>
        <v>3.5126799999999996</v>
      </c>
      <c r="M16503" s="549"/>
      <c r="N16503" s="549"/>
      <c r="O16503" s="549"/>
      <c r="P16503" s="549"/>
    </row>
    <row r="16504" spans="1:16" ht="17.399999999999999">
      <c r="A16504" s="549"/>
      <c r="B16504" s="549"/>
      <c r="C16504" s="549"/>
      <c r="D16504" s="549"/>
      <c r="E16504" s="549"/>
      <c r="F16504" s="549"/>
      <c r="G16504" s="549"/>
      <c r="H16504" s="549"/>
      <c r="I16504" s="560"/>
      <c r="J16504" s="549"/>
      <c r="K16504" s="561"/>
      <c r="L16504" s="560"/>
      <c r="M16504" s="549"/>
      <c r="N16504" s="549"/>
      <c r="O16504" s="549"/>
      <c r="P16504" s="549"/>
    </row>
    <row r="16505" spans="1:16" ht="17.399999999999999">
      <c r="A16505" s="547" t="s">
        <v>83</v>
      </c>
      <c r="B16505" s="547" t="s">
        <v>1902</v>
      </c>
      <c r="C16505" s="547" t="s">
        <v>19</v>
      </c>
      <c r="D16505" s="813" t="s">
        <v>854</v>
      </c>
      <c r="E16505" s="768" t="s">
        <v>175</v>
      </c>
      <c r="F16505" s="549"/>
      <c r="G16505" s="549" t="s">
        <v>21</v>
      </c>
      <c r="H16505" s="549" t="s">
        <v>95</v>
      </c>
      <c r="I16505" s="647">
        <v>13.4</v>
      </c>
      <c r="J16505" s="567">
        <v>6</v>
      </c>
      <c r="K16505" s="648">
        <v>1</v>
      </c>
      <c r="L16505" s="552">
        <f t="shared" ref="L16505:L16506" si="3341">(I16505*J16505*K16505/1000)</f>
        <v>8.0399999999999999E-2</v>
      </c>
      <c r="M16505" s="549"/>
      <c r="N16505" s="549"/>
      <c r="O16505" s="549"/>
      <c r="P16505" s="549"/>
    </row>
    <row r="16506" spans="1:16" ht="17.399999999999999">
      <c r="A16506" s="549"/>
      <c r="B16506" s="549" t="s">
        <v>1135</v>
      </c>
      <c r="C16506" s="549"/>
      <c r="D16506" s="549"/>
      <c r="E16506" s="549"/>
      <c r="F16506" s="549"/>
      <c r="G16506" s="549" t="s">
        <v>21</v>
      </c>
      <c r="H16506" s="549" t="s">
        <v>95</v>
      </c>
      <c r="I16506" s="647">
        <v>13.4</v>
      </c>
      <c r="J16506" s="567">
        <v>7.5</v>
      </c>
      <c r="K16506" s="648">
        <v>3</v>
      </c>
      <c r="L16506" s="552">
        <f t="shared" si="3341"/>
        <v>0.30149999999999999</v>
      </c>
      <c r="M16506" s="549"/>
      <c r="N16506" s="549"/>
      <c r="O16506" s="549"/>
      <c r="P16506" s="549"/>
    </row>
    <row r="16507" spans="1:16" ht="17.399999999999999">
      <c r="A16507" s="549"/>
      <c r="B16507" s="549"/>
      <c r="C16507" s="549"/>
      <c r="D16507" s="549"/>
      <c r="E16507" s="549"/>
      <c r="F16507" s="549"/>
      <c r="G16507" s="549"/>
      <c r="H16507" s="549"/>
      <c r="I16507" s="647"/>
      <c r="J16507" s="567"/>
      <c r="K16507" s="648">
        <f t="shared" ref="K16507" si="3342">SUM(K16505:K16506)</f>
        <v>4</v>
      </c>
      <c r="L16507" s="567">
        <f>SUM(L16505:L16506)</f>
        <v>0.38190000000000002</v>
      </c>
      <c r="M16507" s="549"/>
      <c r="N16507" s="549"/>
      <c r="O16507" s="549"/>
      <c r="P16507" s="549"/>
    </row>
    <row r="16508" spans="1:16" ht="17.399999999999999">
      <c r="A16508" s="549"/>
      <c r="B16508" s="549"/>
      <c r="C16508" s="549"/>
      <c r="D16508" s="549"/>
      <c r="E16508" s="549"/>
      <c r="F16508" s="549"/>
      <c r="G16508" s="549"/>
      <c r="H16508" s="549"/>
      <c r="I16508" s="560"/>
      <c r="J16508" s="549"/>
      <c r="K16508" s="561"/>
      <c r="L16508" s="560"/>
      <c r="M16508" s="549"/>
      <c r="N16508" s="549"/>
      <c r="O16508" s="549"/>
      <c r="P16508" s="549"/>
    </row>
    <row r="16509" spans="1:16" ht="17.399999999999999">
      <c r="A16509" s="549"/>
      <c r="B16509" s="549"/>
      <c r="C16509" s="549"/>
      <c r="D16509" s="549"/>
      <c r="E16509" s="549"/>
      <c r="F16509" s="549"/>
      <c r="G16509" s="549"/>
      <c r="H16509" s="549"/>
      <c r="I16509" s="560"/>
      <c r="J16509" s="549"/>
      <c r="K16509" s="561"/>
      <c r="L16509" s="560"/>
      <c r="M16509" s="549"/>
      <c r="N16509" s="549"/>
      <c r="O16509" s="549"/>
      <c r="P16509" s="549"/>
    </row>
    <row r="16510" spans="1:16" ht="17.399999999999999">
      <c r="A16510" s="547" t="s">
        <v>83</v>
      </c>
      <c r="B16510" s="547" t="s">
        <v>1816</v>
      </c>
      <c r="C16510" s="547" t="s">
        <v>19</v>
      </c>
      <c r="D16510" s="813" t="s">
        <v>854</v>
      </c>
      <c r="E16510" s="768" t="s">
        <v>57</v>
      </c>
      <c r="F16510" s="549"/>
      <c r="G16510" s="549" t="s">
        <v>21</v>
      </c>
      <c r="H16510" s="549" t="s">
        <v>53</v>
      </c>
      <c r="I16510" s="647">
        <v>8.3000000000000007</v>
      </c>
      <c r="J16510" s="567">
        <v>12</v>
      </c>
      <c r="K16510" s="648">
        <v>13</v>
      </c>
      <c r="L16510" s="552">
        <f>(I16510*J16510*K16510/1000)</f>
        <v>1.2948000000000002</v>
      </c>
      <c r="M16510" s="549"/>
      <c r="N16510" s="549"/>
      <c r="O16510" s="549"/>
      <c r="P16510" s="549"/>
    </row>
    <row r="16511" spans="1:16" ht="17.399999999999999">
      <c r="A16511" s="549"/>
      <c r="B16511" s="549" t="s">
        <v>1815</v>
      </c>
      <c r="C16511" s="549"/>
      <c r="D16511" s="549"/>
      <c r="E16511" s="549"/>
      <c r="F16511" s="549"/>
      <c r="G16511" s="549"/>
      <c r="H16511" s="549"/>
      <c r="I16511" s="648"/>
      <c r="J16511" s="567"/>
      <c r="K16511" s="648">
        <f t="shared" ref="K16511:L16511" si="3343">SUM(K16510)</f>
        <v>13</v>
      </c>
      <c r="L16511" s="567">
        <f t="shared" si="3343"/>
        <v>1.2948000000000002</v>
      </c>
      <c r="M16511" s="549"/>
      <c r="N16511" s="549"/>
      <c r="O16511" s="549"/>
      <c r="P16511" s="549"/>
    </row>
    <row r="16512" spans="1:16" ht="17.399999999999999">
      <c r="A16512" s="549"/>
      <c r="B16512" s="549"/>
      <c r="C16512" s="549"/>
      <c r="D16512" s="549"/>
      <c r="E16512" s="549"/>
      <c r="F16512" s="549"/>
      <c r="G16512" s="549"/>
      <c r="H16512" s="549"/>
      <c r="I16512" s="560"/>
      <c r="J16512" s="549"/>
      <c r="K16512" s="561"/>
      <c r="L16512" s="560"/>
      <c r="M16512" s="549"/>
      <c r="N16512" s="549"/>
      <c r="O16512" s="549"/>
      <c r="P16512" s="549"/>
    </row>
    <row r="16513" spans="1:16" ht="17.399999999999999">
      <c r="A16513" s="549"/>
      <c r="B16513" s="549"/>
      <c r="C16513" s="549"/>
      <c r="D16513" s="549"/>
      <c r="E16513" s="549"/>
      <c r="F16513" s="549"/>
      <c r="G16513" s="549"/>
      <c r="H16513" s="549"/>
      <c r="I16513" s="560"/>
      <c r="J16513" s="549"/>
      <c r="K16513" s="561"/>
      <c r="L16513" s="560"/>
      <c r="M16513" s="549"/>
      <c r="N16513" s="549"/>
      <c r="O16513" s="549"/>
      <c r="P16513" s="549"/>
    </row>
    <row r="16514" spans="1:16" ht="17.399999999999999">
      <c r="A16514" s="547" t="s">
        <v>83</v>
      </c>
      <c r="B16514" s="547" t="s">
        <v>1816</v>
      </c>
      <c r="C16514" s="547" t="s">
        <v>19</v>
      </c>
      <c r="D16514" s="813" t="s">
        <v>854</v>
      </c>
      <c r="E16514" s="768" t="s">
        <v>57</v>
      </c>
      <c r="F16514" s="549"/>
      <c r="G16514" s="549" t="s">
        <v>21</v>
      </c>
      <c r="H16514" s="549" t="s">
        <v>133</v>
      </c>
      <c r="I16514" s="647">
        <v>15</v>
      </c>
      <c r="J16514" s="567">
        <v>12</v>
      </c>
      <c r="K16514" s="648">
        <v>4</v>
      </c>
      <c r="L16514" s="552">
        <f>(I16514*J16514*K16514/1000)</f>
        <v>0.72</v>
      </c>
      <c r="M16514" s="549"/>
      <c r="N16514" s="549"/>
      <c r="O16514" s="549"/>
      <c r="P16514" s="549"/>
    </row>
    <row r="16515" spans="1:16" ht="17.399999999999999">
      <c r="A16515" s="549"/>
      <c r="B16515" s="549" t="s">
        <v>1815</v>
      </c>
      <c r="C16515" s="549"/>
      <c r="D16515" s="549"/>
      <c r="E16515" s="549"/>
      <c r="F16515" s="549"/>
      <c r="G16515" s="549"/>
      <c r="H16515" s="549"/>
      <c r="I16515" s="647"/>
      <c r="J16515" s="567"/>
      <c r="K16515" s="648">
        <f>SUM(K16514)</f>
        <v>4</v>
      </c>
      <c r="L16515" s="567">
        <f>SUM(L16514)</f>
        <v>0.72</v>
      </c>
      <c r="M16515" s="549"/>
      <c r="N16515" s="549"/>
      <c r="O16515" s="549"/>
      <c r="P16515" s="549"/>
    </row>
    <row r="16516" spans="1:16" ht="17.399999999999999">
      <c r="A16516" s="547" t="s">
        <v>83</v>
      </c>
      <c r="B16516" s="547" t="s">
        <v>1816</v>
      </c>
      <c r="C16516" s="547" t="s">
        <v>19</v>
      </c>
      <c r="D16516" s="813" t="s">
        <v>854</v>
      </c>
      <c r="E16516" s="768" t="s">
        <v>57</v>
      </c>
      <c r="F16516" s="549"/>
      <c r="G16516" s="549" t="s">
        <v>21</v>
      </c>
      <c r="H16516" s="549" t="s">
        <v>118</v>
      </c>
      <c r="I16516" s="647">
        <v>9.26</v>
      </c>
      <c r="J16516" s="567">
        <v>12</v>
      </c>
      <c r="K16516" s="648">
        <v>13</v>
      </c>
      <c r="L16516" s="552">
        <f>(I16516*J16516*K16516/1000)</f>
        <v>1.4445599999999998</v>
      </c>
      <c r="M16516" s="549"/>
      <c r="N16516" s="549"/>
      <c r="O16516" s="549"/>
      <c r="P16516" s="549"/>
    </row>
    <row r="16517" spans="1:16" ht="17.399999999999999">
      <c r="A16517" s="549"/>
      <c r="B16517" s="549" t="s">
        <v>1815</v>
      </c>
      <c r="C16517" s="549"/>
      <c r="D16517" s="549"/>
      <c r="E16517" s="549"/>
      <c r="F16517" s="549"/>
      <c r="G16517" s="549"/>
      <c r="H16517" s="549"/>
      <c r="I16517" s="647"/>
      <c r="J16517" s="567"/>
      <c r="K16517" s="648">
        <f t="shared" ref="K16517:L16517" si="3344">SUM(K16516)</f>
        <v>13</v>
      </c>
      <c r="L16517" s="567">
        <f t="shared" si="3344"/>
        <v>1.4445599999999998</v>
      </c>
      <c r="M16517" s="549"/>
      <c r="N16517" s="549"/>
      <c r="O16517" s="549"/>
      <c r="P16517" s="549"/>
    </row>
    <row r="16518" spans="1:16" ht="17.399999999999999">
      <c r="A16518" s="547" t="s">
        <v>83</v>
      </c>
      <c r="B16518" s="547" t="s">
        <v>1816</v>
      </c>
      <c r="C16518" s="547" t="s">
        <v>19</v>
      </c>
      <c r="D16518" s="813" t="s">
        <v>854</v>
      </c>
      <c r="E16518" s="768" t="s">
        <v>57</v>
      </c>
      <c r="F16518" s="549"/>
      <c r="G16518" s="549" t="s">
        <v>21</v>
      </c>
      <c r="H16518" s="549" t="s">
        <v>119</v>
      </c>
      <c r="I16518" s="647">
        <v>10.7</v>
      </c>
      <c r="J16518" s="567">
        <v>12</v>
      </c>
      <c r="K16518" s="648">
        <v>9</v>
      </c>
      <c r="L16518" s="552">
        <f>(I16518*J16518*K16518/1000)</f>
        <v>1.1556</v>
      </c>
      <c r="M16518" s="549"/>
      <c r="N16518" s="549"/>
      <c r="O16518" s="549"/>
      <c r="P16518" s="549"/>
    </row>
    <row r="16519" spans="1:16" ht="17.399999999999999">
      <c r="A16519" s="549"/>
      <c r="B16519" s="549" t="s">
        <v>1815</v>
      </c>
      <c r="C16519" s="549"/>
      <c r="D16519" s="549"/>
      <c r="E16519" s="549"/>
      <c r="F16519" s="549"/>
      <c r="G16519" s="549"/>
      <c r="H16519" s="549"/>
      <c r="I16519" s="647"/>
      <c r="J16519" s="567"/>
      <c r="K16519" s="648">
        <f t="shared" ref="K16519:L16519" si="3345">SUM(K16518)</f>
        <v>9</v>
      </c>
      <c r="L16519" s="567">
        <f t="shared" si="3345"/>
        <v>1.1556</v>
      </c>
      <c r="M16519" s="549"/>
      <c r="N16519" s="549"/>
      <c r="O16519" s="549"/>
      <c r="P16519" s="549"/>
    </row>
    <row r="16520" spans="1:16" ht="17.399999999999999">
      <c r="A16520" s="547" t="s">
        <v>83</v>
      </c>
      <c r="B16520" s="547" t="s">
        <v>1816</v>
      </c>
      <c r="C16520" s="547" t="s">
        <v>19</v>
      </c>
      <c r="D16520" s="813" t="s">
        <v>854</v>
      </c>
      <c r="E16520" s="768" t="s">
        <v>57</v>
      </c>
      <c r="F16520" s="549"/>
      <c r="G16520" s="549" t="s">
        <v>21</v>
      </c>
      <c r="H16520" s="549" t="s">
        <v>134</v>
      </c>
      <c r="I16520" s="647">
        <v>12.2</v>
      </c>
      <c r="J16520" s="567">
        <v>12</v>
      </c>
      <c r="K16520" s="648">
        <v>17</v>
      </c>
      <c r="L16520" s="552">
        <f>(I16520*J16520*K16520/1000)</f>
        <v>2.4887999999999999</v>
      </c>
      <c r="M16520" s="549"/>
      <c r="N16520" s="549"/>
      <c r="O16520" s="549"/>
      <c r="P16520" s="549"/>
    </row>
    <row r="16521" spans="1:16" ht="17.399999999999999">
      <c r="A16521" s="549"/>
      <c r="B16521" s="549" t="s">
        <v>1815</v>
      </c>
      <c r="C16521" s="549"/>
      <c r="D16521" s="549"/>
      <c r="E16521" s="549"/>
      <c r="F16521" s="549"/>
      <c r="G16521" s="549"/>
      <c r="H16521" s="549"/>
      <c r="I16521" s="647"/>
      <c r="J16521" s="567"/>
      <c r="K16521" s="648">
        <f t="shared" ref="K16521:L16521" si="3346">SUM(K16520)</f>
        <v>17</v>
      </c>
      <c r="L16521" s="567">
        <f t="shared" si="3346"/>
        <v>2.4887999999999999</v>
      </c>
      <c r="M16521" s="549"/>
      <c r="N16521" s="549"/>
      <c r="O16521" s="549"/>
      <c r="P16521" s="549"/>
    </row>
    <row r="16522" spans="1:16" ht="17.399999999999999">
      <c r="A16522" s="549"/>
      <c r="B16522" s="549"/>
      <c r="C16522" s="549"/>
      <c r="D16522" s="549"/>
      <c r="E16522" s="549"/>
      <c r="F16522" s="549"/>
      <c r="G16522" s="549"/>
      <c r="H16522" s="549"/>
      <c r="I16522" s="560"/>
      <c r="J16522" s="549"/>
      <c r="K16522" s="561"/>
      <c r="L16522" s="560"/>
      <c r="M16522" s="549"/>
      <c r="N16522" s="549"/>
      <c r="O16522" s="549"/>
      <c r="P16522" s="549"/>
    </row>
    <row r="16523" spans="1:16" ht="17.399999999999999">
      <c r="A16523" s="547" t="s">
        <v>83</v>
      </c>
      <c r="B16523" s="547" t="s">
        <v>1816</v>
      </c>
      <c r="C16523" s="547" t="s">
        <v>19</v>
      </c>
      <c r="D16523" s="813" t="s">
        <v>854</v>
      </c>
      <c r="E16523" s="768" t="s">
        <v>57</v>
      </c>
      <c r="F16523" s="549"/>
      <c r="G16523" s="549" t="s">
        <v>21</v>
      </c>
      <c r="H16523" s="549" t="s">
        <v>122</v>
      </c>
      <c r="I16523" s="647">
        <v>14.7</v>
      </c>
      <c r="J16523" s="567">
        <v>12</v>
      </c>
      <c r="K16523" s="648">
        <v>2</v>
      </c>
      <c r="L16523" s="552">
        <f>(I16523*J16523*K16523/1000)</f>
        <v>0.35279999999999995</v>
      </c>
      <c r="M16523" s="549"/>
      <c r="N16523" s="549"/>
      <c r="O16523" s="549"/>
      <c r="P16523" s="549"/>
    </row>
    <row r="16524" spans="1:16" ht="17.399999999999999">
      <c r="A16524" s="549"/>
      <c r="B16524" s="549" t="s">
        <v>1815</v>
      </c>
      <c r="C16524" s="549"/>
      <c r="D16524" s="549"/>
      <c r="E16524" s="549"/>
      <c r="F16524" s="549"/>
      <c r="G16524" s="549"/>
      <c r="H16524" s="549"/>
      <c r="I16524" s="647"/>
      <c r="J16524" s="567"/>
      <c r="K16524" s="648">
        <f t="shared" ref="K16524:L16524" si="3347">SUM(K16523)</f>
        <v>2</v>
      </c>
      <c r="L16524" s="567">
        <f t="shared" si="3347"/>
        <v>0.35279999999999995</v>
      </c>
      <c r="M16524" s="549"/>
      <c r="N16524" s="549"/>
      <c r="O16524" s="549"/>
      <c r="P16524" s="549"/>
    </row>
    <row r="16525" spans="1:16" ht="17.399999999999999">
      <c r="A16525" s="549"/>
      <c r="B16525" s="549"/>
      <c r="C16525" s="549"/>
      <c r="D16525" s="549"/>
      <c r="E16525" s="549"/>
      <c r="F16525" s="549"/>
      <c r="G16525" s="549"/>
      <c r="H16525" s="549"/>
      <c r="I16525" s="560"/>
      <c r="J16525" s="549"/>
      <c r="K16525" s="561"/>
      <c r="L16525" s="560"/>
      <c r="M16525" s="549"/>
      <c r="N16525" s="549"/>
      <c r="O16525" s="549"/>
      <c r="P16525" s="549"/>
    </row>
    <row r="16526" spans="1:16" ht="17.399999999999999">
      <c r="A16526" s="547" t="s">
        <v>83</v>
      </c>
      <c r="B16526" s="547" t="s">
        <v>1816</v>
      </c>
      <c r="C16526" s="547" t="s">
        <v>19</v>
      </c>
      <c r="D16526" s="813" t="s">
        <v>854</v>
      </c>
      <c r="E16526" s="768" t="s">
        <v>57</v>
      </c>
      <c r="F16526" s="549"/>
      <c r="G16526" s="549" t="s">
        <v>21</v>
      </c>
      <c r="H16526" s="549" t="s">
        <v>124</v>
      </c>
      <c r="I16526" s="647">
        <v>19.8</v>
      </c>
      <c r="J16526" s="567">
        <v>12</v>
      </c>
      <c r="K16526" s="648">
        <v>4</v>
      </c>
      <c r="L16526" s="552">
        <f>(I16526*J16526*K16526/1000)</f>
        <v>0.95040000000000013</v>
      </c>
      <c r="M16526" s="549"/>
      <c r="N16526" s="549"/>
      <c r="O16526" s="549"/>
      <c r="P16526" s="549"/>
    </row>
    <row r="16527" spans="1:16" ht="17.399999999999999">
      <c r="A16527" s="549"/>
      <c r="B16527" s="549" t="s">
        <v>1815</v>
      </c>
      <c r="C16527" s="549"/>
      <c r="D16527" s="549"/>
      <c r="E16527" s="549"/>
      <c r="F16527" s="549"/>
      <c r="G16527" s="549"/>
      <c r="H16527" s="549"/>
      <c r="I16527" s="647"/>
      <c r="J16527" s="567"/>
      <c r="K16527" s="648">
        <f t="shared" ref="K16527:L16527" si="3348">SUM(K16526)</f>
        <v>4</v>
      </c>
      <c r="L16527" s="567">
        <f t="shared" si="3348"/>
        <v>0.95040000000000013</v>
      </c>
      <c r="M16527" s="549"/>
      <c r="N16527" s="549"/>
      <c r="O16527" s="549"/>
      <c r="P16527" s="549"/>
    </row>
    <row r="16528" spans="1:16" ht="17.399999999999999">
      <c r="A16528" s="547" t="s">
        <v>83</v>
      </c>
      <c r="B16528" s="547" t="s">
        <v>1816</v>
      </c>
      <c r="C16528" s="547" t="s">
        <v>19</v>
      </c>
      <c r="D16528" s="813" t="s">
        <v>854</v>
      </c>
      <c r="E16528" s="768" t="s">
        <v>57</v>
      </c>
      <c r="F16528" s="549"/>
      <c r="G16528" s="549" t="s">
        <v>21</v>
      </c>
      <c r="H16528" s="549" t="s">
        <v>129</v>
      </c>
      <c r="I16528" s="647">
        <v>17.899999999999999</v>
      </c>
      <c r="J16528" s="567">
        <v>10</v>
      </c>
      <c r="K16528" s="648">
        <v>4</v>
      </c>
      <c r="L16528" s="552">
        <f>(I16528*J16528*K16528/1000)</f>
        <v>0.71599999999999997</v>
      </c>
      <c r="M16528" s="549"/>
      <c r="N16528" s="549"/>
      <c r="O16528" s="549"/>
      <c r="P16528" s="549"/>
    </row>
    <row r="16529" spans="1:16" ht="17.399999999999999">
      <c r="A16529" s="549"/>
      <c r="B16529" s="549" t="s">
        <v>1815</v>
      </c>
      <c r="C16529" s="549"/>
      <c r="D16529" s="549"/>
      <c r="E16529" s="549"/>
      <c r="F16529" s="549"/>
      <c r="G16529" s="549"/>
      <c r="H16529" s="549"/>
      <c r="I16529" s="647"/>
      <c r="J16529" s="567"/>
      <c r="K16529" s="648">
        <f t="shared" ref="K16529:L16529" si="3349">SUM(K16528)</f>
        <v>4</v>
      </c>
      <c r="L16529" s="567">
        <f t="shared" si="3349"/>
        <v>0.71599999999999997</v>
      </c>
      <c r="M16529" s="549"/>
      <c r="N16529" s="549"/>
      <c r="O16529" s="549"/>
      <c r="P16529" s="549"/>
    </row>
    <row r="16530" spans="1:16" ht="17.399999999999999">
      <c r="A16530" s="549"/>
      <c r="B16530" s="549"/>
      <c r="C16530" s="549"/>
      <c r="D16530" s="549"/>
      <c r="E16530" s="549"/>
      <c r="F16530" s="549"/>
      <c r="G16530" s="549"/>
      <c r="H16530" s="549"/>
      <c r="I16530" s="560"/>
      <c r="J16530" s="549"/>
      <c r="K16530" s="561"/>
      <c r="L16530" s="560"/>
      <c r="M16530" s="549"/>
      <c r="N16530" s="549"/>
      <c r="O16530" s="549"/>
      <c r="P16530" s="549"/>
    </row>
    <row r="16531" spans="1:16" ht="17.399999999999999">
      <c r="A16531" s="547" t="s">
        <v>83</v>
      </c>
      <c r="B16531" s="547" t="s">
        <v>1816</v>
      </c>
      <c r="C16531" s="547" t="s">
        <v>19</v>
      </c>
      <c r="D16531" s="813" t="s">
        <v>854</v>
      </c>
      <c r="E16531" s="768" t="s">
        <v>57</v>
      </c>
      <c r="F16531" s="549"/>
      <c r="G16531" s="549" t="s">
        <v>21</v>
      </c>
      <c r="H16531" s="549" t="s">
        <v>70</v>
      </c>
      <c r="I16531" s="647">
        <v>5.76</v>
      </c>
      <c r="J16531" s="567">
        <v>12</v>
      </c>
      <c r="K16531" s="648">
        <v>10</v>
      </c>
      <c r="L16531" s="552">
        <f>(I16531*J16531*K16531/1000)</f>
        <v>0.69120000000000004</v>
      </c>
      <c r="M16531" s="549"/>
      <c r="N16531" s="549"/>
      <c r="O16531" s="549"/>
      <c r="P16531" s="549"/>
    </row>
    <row r="16532" spans="1:16" ht="17.399999999999999">
      <c r="A16532" s="549"/>
      <c r="B16532" s="549" t="s">
        <v>1815</v>
      </c>
      <c r="C16532" s="549"/>
      <c r="D16532" s="549"/>
      <c r="E16532" s="549"/>
      <c r="F16532" s="549"/>
      <c r="G16532" s="549"/>
      <c r="H16532" s="549"/>
      <c r="I16532" s="647"/>
      <c r="J16532" s="567"/>
      <c r="K16532" s="648">
        <f t="shared" ref="K16532:L16532" si="3350">SUM(K16531)</f>
        <v>10</v>
      </c>
      <c r="L16532" s="567">
        <f t="shared" si="3350"/>
        <v>0.69120000000000004</v>
      </c>
      <c r="M16532" s="549"/>
      <c r="N16532" s="549"/>
      <c r="O16532" s="549"/>
      <c r="P16532" s="549"/>
    </row>
    <row r="16533" spans="1:16" ht="17.399999999999999">
      <c r="A16533" s="547" t="s">
        <v>83</v>
      </c>
      <c r="B16533" s="547" t="s">
        <v>1816</v>
      </c>
      <c r="C16533" s="547" t="s">
        <v>19</v>
      </c>
      <c r="D16533" s="813" t="s">
        <v>854</v>
      </c>
      <c r="E16533" s="768" t="s">
        <v>57</v>
      </c>
      <c r="F16533" s="549"/>
      <c r="G16533" s="549" t="s">
        <v>21</v>
      </c>
      <c r="H16533" s="549" t="s">
        <v>69</v>
      </c>
      <c r="I16533" s="647">
        <v>6.85</v>
      </c>
      <c r="J16533" s="567">
        <v>12</v>
      </c>
      <c r="K16533" s="648">
        <v>21</v>
      </c>
      <c r="L16533" s="552">
        <f>(I16533*J16533*K16533/1000)</f>
        <v>1.7261999999999997</v>
      </c>
      <c r="M16533" s="549"/>
      <c r="N16533" s="549"/>
      <c r="O16533" s="549"/>
      <c r="P16533" s="549"/>
    </row>
    <row r="16534" spans="1:16" ht="17.399999999999999">
      <c r="A16534" s="549"/>
      <c r="B16534" s="549" t="s">
        <v>1815</v>
      </c>
      <c r="C16534" s="549"/>
      <c r="D16534" s="549"/>
      <c r="E16534" s="549"/>
      <c r="F16534" s="549"/>
      <c r="G16534" s="549"/>
      <c r="H16534" s="549"/>
      <c r="I16534" s="647"/>
      <c r="J16534" s="567"/>
      <c r="K16534" s="648">
        <f t="shared" ref="K16534:L16534" si="3351">SUM(K16533)</f>
        <v>21</v>
      </c>
      <c r="L16534" s="567">
        <f t="shared" si="3351"/>
        <v>1.7261999999999997</v>
      </c>
      <c r="M16534" s="549"/>
      <c r="N16534" s="549"/>
      <c r="O16534" s="549"/>
      <c r="P16534" s="549"/>
    </row>
    <row r="16535" spans="1:16" ht="17.399999999999999">
      <c r="A16535" s="549"/>
      <c r="B16535" s="549"/>
      <c r="C16535" s="549"/>
      <c r="D16535" s="549"/>
      <c r="E16535" s="549"/>
      <c r="F16535" s="549"/>
      <c r="G16535" s="549"/>
      <c r="H16535" s="549"/>
      <c r="I16535" s="560"/>
      <c r="J16535" s="549"/>
      <c r="K16535" s="561"/>
      <c r="L16535" s="560"/>
      <c r="M16535" s="549"/>
      <c r="N16535" s="549"/>
      <c r="O16535" s="549"/>
      <c r="P16535" s="549"/>
    </row>
    <row r="16536" spans="1:16" ht="17.399999999999999">
      <c r="A16536" s="547" t="s">
        <v>83</v>
      </c>
      <c r="B16536" s="547" t="s">
        <v>1816</v>
      </c>
      <c r="C16536" s="547" t="s">
        <v>19</v>
      </c>
      <c r="D16536" s="813" t="s">
        <v>854</v>
      </c>
      <c r="E16536" s="768" t="s">
        <v>57</v>
      </c>
      <c r="F16536" s="549"/>
      <c r="G16536" s="549" t="s">
        <v>21</v>
      </c>
      <c r="H16536" s="549" t="s">
        <v>92</v>
      </c>
      <c r="I16536" s="647">
        <v>16.600000000000001</v>
      </c>
      <c r="J16536" s="567">
        <v>12</v>
      </c>
      <c r="K16536" s="648">
        <v>2</v>
      </c>
      <c r="L16536" s="552">
        <f>(I16536*J16536*K16536/1000)</f>
        <v>0.39840000000000003</v>
      </c>
      <c r="M16536" s="549"/>
      <c r="N16536" s="549"/>
      <c r="O16536" s="549"/>
      <c r="P16536" s="549"/>
    </row>
    <row r="16537" spans="1:16" ht="17.399999999999999">
      <c r="A16537" s="549"/>
      <c r="B16537" s="549" t="s">
        <v>1815</v>
      </c>
      <c r="C16537" s="549"/>
      <c r="D16537" s="549"/>
      <c r="E16537" s="549"/>
      <c r="F16537" s="549"/>
      <c r="G16537" s="549"/>
      <c r="H16537" s="549"/>
      <c r="I16537" s="647"/>
      <c r="J16537" s="567"/>
      <c r="K16537" s="648">
        <f t="shared" ref="K16537:L16537" si="3352">SUM(K16536)</f>
        <v>2</v>
      </c>
      <c r="L16537" s="567">
        <f t="shared" si="3352"/>
        <v>0.39840000000000003</v>
      </c>
      <c r="M16537" s="549"/>
      <c r="N16537" s="549"/>
      <c r="O16537" s="549"/>
      <c r="P16537" s="549"/>
    </row>
    <row r="16538" spans="1:16" ht="17.399999999999999">
      <c r="A16538" s="547" t="s">
        <v>83</v>
      </c>
      <c r="B16538" s="547" t="s">
        <v>1816</v>
      </c>
      <c r="C16538" s="547" t="s">
        <v>19</v>
      </c>
      <c r="D16538" s="813" t="s">
        <v>854</v>
      </c>
      <c r="E16538" s="768" t="s">
        <v>57</v>
      </c>
      <c r="F16538" s="549"/>
      <c r="G16538" s="549" t="s">
        <v>21</v>
      </c>
      <c r="H16538" s="549" t="s">
        <v>494</v>
      </c>
      <c r="I16538" s="647">
        <v>19.7</v>
      </c>
      <c r="J16538" s="567">
        <v>12</v>
      </c>
      <c r="K16538" s="648">
        <v>2</v>
      </c>
      <c r="L16538" s="552">
        <f>(I16538*J16538*K16538/1000)</f>
        <v>0.47279999999999994</v>
      </c>
      <c r="M16538" s="549"/>
      <c r="N16538" s="549"/>
      <c r="O16538" s="549"/>
      <c r="P16538" s="549"/>
    </row>
    <row r="16539" spans="1:16" ht="17.399999999999999">
      <c r="A16539" s="549"/>
      <c r="B16539" s="549" t="s">
        <v>1815</v>
      </c>
      <c r="C16539" s="549"/>
      <c r="D16539" s="549"/>
      <c r="E16539" s="549"/>
      <c r="F16539" s="549"/>
      <c r="G16539" s="549"/>
      <c r="H16539" s="549"/>
      <c r="I16539" s="647"/>
      <c r="J16539" s="567"/>
      <c r="K16539" s="648">
        <f t="shared" ref="K16539:L16539" si="3353">SUM(K16538)</f>
        <v>2</v>
      </c>
      <c r="L16539" s="567">
        <f t="shared" si="3353"/>
        <v>0.47279999999999994</v>
      </c>
      <c r="M16539" s="549"/>
      <c r="N16539" s="549"/>
      <c r="O16539" s="549"/>
      <c r="P16539" s="549"/>
    </row>
    <row r="16540" spans="1:16" ht="17.399999999999999">
      <c r="A16540" s="547" t="s">
        <v>83</v>
      </c>
      <c r="B16540" s="547" t="s">
        <v>1816</v>
      </c>
      <c r="C16540" s="547" t="s">
        <v>19</v>
      </c>
      <c r="D16540" s="813" t="s">
        <v>854</v>
      </c>
      <c r="E16540" s="768" t="s">
        <v>57</v>
      </c>
      <c r="F16540" s="549"/>
      <c r="G16540" s="549" t="s">
        <v>21</v>
      </c>
      <c r="H16540" s="549" t="s">
        <v>95</v>
      </c>
      <c r="I16540" s="647">
        <v>13.4</v>
      </c>
      <c r="J16540" s="567">
        <v>12</v>
      </c>
      <c r="K16540" s="648">
        <v>2</v>
      </c>
      <c r="L16540" s="552">
        <f>(I16540*J16540*K16540/1000)</f>
        <v>0.3216</v>
      </c>
      <c r="M16540" s="549"/>
      <c r="N16540" s="549"/>
      <c r="O16540" s="549"/>
      <c r="P16540" s="549"/>
    </row>
    <row r="16541" spans="1:16" ht="17.399999999999999">
      <c r="A16541" s="549"/>
      <c r="B16541" s="549" t="s">
        <v>1815</v>
      </c>
      <c r="C16541" s="549"/>
      <c r="D16541" s="549"/>
      <c r="E16541" s="549"/>
      <c r="F16541" s="549"/>
      <c r="G16541" s="549"/>
      <c r="H16541" s="549"/>
      <c r="I16541" s="647"/>
      <c r="J16541" s="567"/>
      <c r="K16541" s="648">
        <f t="shared" ref="K16541:L16541" si="3354">SUM(K16540)</f>
        <v>2</v>
      </c>
      <c r="L16541" s="567">
        <f t="shared" si="3354"/>
        <v>0.3216</v>
      </c>
      <c r="M16541" s="549"/>
      <c r="N16541" s="549"/>
      <c r="O16541" s="549"/>
      <c r="P16541" s="549"/>
    </row>
    <row r="16542" spans="1:16" ht="17.399999999999999">
      <c r="A16542" s="549"/>
      <c r="B16542" s="549"/>
      <c r="C16542" s="549"/>
      <c r="D16542" s="549"/>
      <c r="E16542" s="549"/>
      <c r="F16542" s="549"/>
      <c r="G16542" s="549"/>
      <c r="H16542" s="549"/>
      <c r="I16542" s="560"/>
      <c r="J16542" s="549"/>
      <c r="K16542" s="561"/>
      <c r="L16542" s="560"/>
      <c r="M16542" s="549"/>
      <c r="N16542" s="549"/>
      <c r="O16542" s="549"/>
      <c r="P16542" s="549"/>
    </row>
    <row r="16543" spans="1:16" ht="17.399999999999999">
      <c r="A16543" s="549"/>
      <c r="B16543" s="549"/>
      <c r="C16543" s="549"/>
      <c r="D16543" s="549"/>
      <c r="E16543" s="549"/>
      <c r="F16543" s="549"/>
      <c r="G16543" s="549"/>
      <c r="H16543" s="549"/>
      <c r="I16543" s="560"/>
      <c r="J16543" s="549"/>
      <c r="K16543" s="561"/>
      <c r="L16543" s="560"/>
      <c r="M16543" s="549"/>
      <c r="N16543" s="549"/>
      <c r="O16543" s="549"/>
      <c r="P16543" s="549"/>
    </row>
    <row r="16544" spans="1:16" ht="17.399999999999999">
      <c r="A16544" s="547" t="s">
        <v>83</v>
      </c>
      <c r="B16544" s="547" t="s">
        <v>1903</v>
      </c>
      <c r="C16544" s="547" t="s">
        <v>19</v>
      </c>
      <c r="D16544" s="813" t="s">
        <v>155</v>
      </c>
      <c r="E16544" s="547" t="s">
        <v>270</v>
      </c>
      <c r="F16544" s="549"/>
      <c r="G16544" s="549" t="s">
        <v>61</v>
      </c>
      <c r="H16544" s="549" t="s">
        <v>366</v>
      </c>
      <c r="I16544" s="647">
        <v>10.92</v>
      </c>
      <c r="J16544" s="567">
        <v>11.5</v>
      </c>
      <c r="K16544" s="648">
        <v>6</v>
      </c>
      <c r="L16544" s="552">
        <f>(I16544*J16544*K16544/1000)</f>
        <v>0.75348000000000004</v>
      </c>
      <c r="M16544" s="549"/>
      <c r="N16544" s="549"/>
      <c r="O16544" s="549"/>
      <c r="P16544" s="549"/>
    </row>
    <row r="16545" spans="1:16" ht="17.399999999999999">
      <c r="A16545" s="549"/>
      <c r="B16545" s="549" t="s">
        <v>1820</v>
      </c>
      <c r="C16545" s="549"/>
      <c r="D16545" s="549"/>
      <c r="E16545" s="549"/>
      <c r="F16545" s="549"/>
      <c r="G16545" s="549"/>
      <c r="H16545" s="549"/>
      <c r="I16545" s="647"/>
      <c r="J16545" s="567"/>
      <c r="K16545" s="648">
        <f t="shared" ref="K16545" si="3355">SUM(K16544)</f>
        <v>6</v>
      </c>
      <c r="L16545" s="567">
        <f>SUM(L16544)</f>
        <v>0.75348000000000004</v>
      </c>
      <c r="M16545" s="549"/>
      <c r="N16545" s="549"/>
      <c r="O16545" s="549"/>
      <c r="P16545" s="549"/>
    </row>
    <row r="16546" spans="1:16" ht="17.399999999999999">
      <c r="A16546" s="547" t="s">
        <v>83</v>
      </c>
      <c r="B16546" s="547" t="s">
        <v>1903</v>
      </c>
      <c r="C16546" s="547" t="s">
        <v>19</v>
      </c>
      <c r="D16546" s="813" t="s">
        <v>155</v>
      </c>
      <c r="E16546" s="547" t="s">
        <v>270</v>
      </c>
      <c r="F16546" s="549"/>
      <c r="G16546" s="549" t="s">
        <v>61</v>
      </c>
      <c r="H16546" s="549" t="s">
        <v>53</v>
      </c>
      <c r="I16546" s="647">
        <v>8.32</v>
      </c>
      <c r="J16546" s="567">
        <v>10</v>
      </c>
      <c r="K16546" s="648">
        <v>1</v>
      </c>
      <c r="L16546" s="552">
        <f>(I16546*J16546*K16546/1000)</f>
        <v>8.3199999999999996E-2</v>
      </c>
      <c r="M16546" s="549"/>
      <c r="N16546" s="549"/>
      <c r="O16546" s="549"/>
      <c r="P16546" s="549"/>
    </row>
    <row r="16547" spans="1:16" ht="17.399999999999999">
      <c r="A16547" s="549"/>
      <c r="B16547" s="549" t="s">
        <v>619</v>
      </c>
      <c r="C16547" s="549"/>
      <c r="D16547" s="549"/>
      <c r="E16547" s="549"/>
      <c r="F16547" s="549"/>
      <c r="G16547" s="549"/>
      <c r="H16547" s="549"/>
      <c r="I16547" s="647"/>
      <c r="J16547" s="567"/>
      <c r="K16547" s="648">
        <f t="shared" ref="K16547" si="3356">SUM(K16546)</f>
        <v>1</v>
      </c>
      <c r="L16547" s="567">
        <f>SUM(L16546)</f>
        <v>8.3199999999999996E-2</v>
      </c>
      <c r="M16547" s="549"/>
      <c r="N16547" s="549"/>
      <c r="O16547" s="549"/>
      <c r="P16547" s="549"/>
    </row>
    <row r="16548" spans="1:16" ht="17.399999999999999">
      <c r="A16548" s="549"/>
      <c r="B16548" s="549"/>
      <c r="C16548" s="549"/>
      <c r="D16548" s="549"/>
      <c r="E16548" s="549"/>
      <c r="F16548" s="549"/>
      <c r="G16548" s="549"/>
      <c r="H16548" s="549"/>
      <c r="I16548" s="560"/>
      <c r="J16548" s="549"/>
      <c r="K16548" s="561"/>
      <c r="L16548" s="560"/>
      <c r="M16548" s="549"/>
      <c r="N16548" s="549"/>
      <c r="O16548" s="549"/>
      <c r="P16548" s="549"/>
    </row>
    <row r="16549" spans="1:16" ht="17.399999999999999">
      <c r="A16549" s="549"/>
      <c r="B16549" s="549"/>
      <c r="C16549" s="549"/>
      <c r="D16549" s="549"/>
      <c r="E16549" s="549"/>
      <c r="F16549" s="549"/>
      <c r="G16549" s="549"/>
      <c r="H16549" s="549"/>
      <c r="I16549" s="560"/>
      <c r="J16549" s="549"/>
      <c r="K16549" s="561"/>
      <c r="L16549" s="560"/>
      <c r="M16549" s="549"/>
      <c r="N16549" s="549"/>
      <c r="O16549" s="549"/>
      <c r="P16549" s="549"/>
    </row>
    <row r="16550" spans="1:16" ht="17.399999999999999">
      <c r="A16550" s="547" t="s">
        <v>83</v>
      </c>
      <c r="B16550" s="547" t="s">
        <v>1903</v>
      </c>
      <c r="C16550" s="547" t="s">
        <v>19</v>
      </c>
      <c r="D16550" s="813" t="s">
        <v>155</v>
      </c>
      <c r="E16550" s="547" t="s">
        <v>270</v>
      </c>
      <c r="F16550" s="549"/>
      <c r="G16550" s="549" t="s">
        <v>61</v>
      </c>
      <c r="H16550" s="549" t="s">
        <v>133</v>
      </c>
      <c r="I16550" s="647">
        <v>15.04</v>
      </c>
      <c r="J16550" s="567">
        <v>8.1</v>
      </c>
      <c r="K16550" s="648">
        <v>2</v>
      </c>
      <c r="L16550" s="552">
        <f t="shared" ref="L16550:L16551" si="3357">(I16550*J16550*K16550/1000)</f>
        <v>0.24364799999999998</v>
      </c>
      <c r="M16550" s="549"/>
      <c r="N16550" s="549"/>
      <c r="O16550" s="549"/>
      <c r="P16550" s="549"/>
    </row>
    <row r="16551" spans="1:16" ht="17.399999999999999">
      <c r="A16551" s="549"/>
      <c r="B16551" s="549" t="s">
        <v>1820</v>
      </c>
      <c r="C16551" s="549"/>
      <c r="D16551" s="549"/>
      <c r="E16551" s="549"/>
      <c r="F16551" s="549"/>
      <c r="G16551" s="549" t="s">
        <v>61</v>
      </c>
      <c r="H16551" s="549" t="s">
        <v>133</v>
      </c>
      <c r="I16551" s="647">
        <v>15.04</v>
      </c>
      <c r="J16551" s="567">
        <v>8.4</v>
      </c>
      <c r="K16551" s="648">
        <v>7</v>
      </c>
      <c r="L16551" s="552">
        <f t="shared" si="3357"/>
        <v>0.88435200000000003</v>
      </c>
      <c r="M16551" s="549"/>
      <c r="N16551" s="549"/>
      <c r="O16551" s="549"/>
      <c r="P16551" s="549"/>
    </row>
    <row r="16552" spans="1:16" ht="17.399999999999999">
      <c r="A16552" s="549"/>
      <c r="B16552" s="549"/>
      <c r="C16552" s="549"/>
      <c r="D16552" s="549"/>
      <c r="E16552" s="549"/>
      <c r="F16552" s="549"/>
      <c r="G16552" s="549"/>
      <c r="H16552" s="549"/>
      <c r="I16552" s="647"/>
      <c r="J16552" s="567"/>
      <c r="K16552" s="648">
        <f t="shared" ref="K16552:L16552" si="3358">SUM(K16550:K16551)</f>
        <v>9</v>
      </c>
      <c r="L16552" s="567">
        <f t="shared" si="3358"/>
        <v>1.1280000000000001</v>
      </c>
      <c r="M16552" s="549"/>
      <c r="N16552" s="549"/>
      <c r="O16552" s="549"/>
      <c r="P16552" s="549"/>
    </row>
    <row r="16553" spans="1:16" ht="17.399999999999999">
      <c r="A16553" s="547" t="s">
        <v>83</v>
      </c>
      <c r="B16553" s="547" t="s">
        <v>1903</v>
      </c>
      <c r="C16553" s="547" t="s">
        <v>19</v>
      </c>
      <c r="D16553" s="813" t="s">
        <v>155</v>
      </c>
      <c r="E16553" s="547" t="s">
        <v>270</v>
      </c>
      <c r="F16553" s="549"/>
      <c r="G16553" s="549" t="s">
        <v>61</v>
      </c>
      <c r="H16553" s="549" t="s">
        <v>118</v>
      </c>
      <c r="I16553" s="647">
        <v>9.26</v>
      </c>
      <c r="J16553" s="567">
        <v>11.1</v>
      </c>
      <c r="K16553" s="648">
        <v>4</v>
      </c>
      <c r="L16553" s="552">
        <f>(I16553*J16553*K16553/1000)</f>
        <v>0.41114400000000001</v>
      </c>
      <c r="M16553" s="549"/>
      <c r="N16553" s="549"/>
      <c r="O16553" s="549"/>
      <c r="P16553" s="549"/>
    </row>
    <row r="16554" spans="1:16" ht="17.399999999999999">
      <c r="A16554" s="549"/>
      <c r="B16554" s="549" t="s">
        <v>619</v>
      </c>
      <c r="C16554" s="549"/>
      <c r="D16554" s="549"/>
      <c r="E16554" s="549"/>
      <c r="F16554" s="549"/>
      <c r="G16554" s="549"/>
      <c r="H16554" s="549"/>
      <c r="I16554" s="647"/>
      <c r="J16554" s="567"/>
      <c r="K16554" s="648">
        <f t="shared" ref="K16554:L16554" si="3359">SUM(K16553)</f>
        <v>4</v>
      </c>
      <c r="L16554" s="567">
        <f t="shared" si="3359"/>
        <v>0.41114400000000001</v>
      </c>
      <c r="M16554" s="549"/>
      <c r="N16554" s="549"/>
      <c r="O16554" s="549"/>
      <c r="P16554" s="549"/>
    </row>
    <row r="16555" spans="1:16" ht="17.399999999999999">
      <c r="A16555" s="549"/>
      <c r="B16555" s="549"/>
      <c r="C16555" s="549"/>
      <c r="D16555" s="549"/>
      <c r="E16555" s="549"/>
      <c r="F16555" s="549"/>
      <c r="G16555" s="549"/>
      <c r="H16555" s="549"/>
      <c r="I16555" s="560"/>
      <c r="J16555" s="549"/>
      <c r="K16555" s="561"/>
      <c r="L16555" s="560"/>
      <c r="M16555" s="549"/>
      <c r="N16555" s="549"/>
      <c r="O16555" s="549"/>
      <c r="P16555" s="549"/>
    </row>
    <row r="16556" spans="1:16" ht="17.399999999999999">
      <c r="A16556" s="547" t="s">
        <v>83</v>
      </c>
      <c r="B16556" s="547" t="s">
        <v>1903</v>
      </c>
      <c r="C16556" s="547" t="s">
        <v>19</v>
      </c>
      <c r="D16556" s="813" t="s">
        <v>155</v>
      </c>
      <c r="E16556" s="547" t="s">
        <v>270</v>
      </c>
      <c r="F16556" s="549"/>
      <c r="G16556" s="549" t="s">
        <v>61</v>
      </c>
      <c r="H16556" s="549" t="s">
        <v>274</v>
      </c>
      <c r="I16556" s="647">
        <v>9</v>
      </c>
      <c r="J16556" s="567">
        <v>10.5</v>
      </c>
      <c r="K16556" s="648">
        <v>12</v>
      </c>
      <c r="L16556" s="552">
        <f t="shared" ref="L16556:L16557" si="3360">(I16556*J16556*K16556/1000)</f>
        <v>1.1339999999999999</v>
      </c>
      <c r="M16556" s="549"/>
      <c r="N16556" s="549"/>
      <c r="O16556" s="549"/>
      <c r="P16556" s="549"/>
    </row>
    <row r="16557" spans="1:16" ht="17.399999999999999">
      <c r="A16557" s="549"/>
      <c r="B16557" s="549" t="s">
        <v>1820</v>
      </c>
      <c r="C16557" s="549"/>
      <c r="D16557" s="549"/>
      <c r="E16557" s="549"/>
      <c r="F16557" s="549"/>
      <c r="G16557" s="549" t="s">
        <v>61</v>
      </c>
      <c r="H16557" s="549" t="s">
        <v>274</v>
      </c>
      <c r="I16557" s="647">
        <v>9</v>
      </c>
      <c r="J16557" s="567">
        <v>11</v>
      </c>
      <c r="K16557" s="648">
        <v>24</v>
      </c>
      <c r="L16557" s="552">
        <f t="shared" si="3360"/>
        <v>2.3759999999999999</v>
      </c>
      <c r="M16557" s="549"/>
      <c r="N16557" s="549"/>
      <c r="O16557" s="549"/>
      <c r="P16557" s="549"/>
    </row>
    <row r="16558" spans="1:16" ht="17.399999999999999">
      <c r="A16558" s="549"/>
      <c r="B16558" s="549"/>
      <c r="C16558" s="549"/>
      <c r="D16558" s="549"/>
      <c r="E16558" s="549"/>
      <c r="F16558" s="549"/>
      <c r="G16558" s="549"/>
      <c r="H16558" s="549"/>
      <c r="I16558" s="647"/>
      <c r="J16558" s="567"/>
      <c r="K16558" s="648">
        <f t="shared" ref="K16558:L16558" si="3361">SUM(K16556:K16557)</f>
        <v>36</v>
      </c>
      <c r="L16558" s="567">
        <f t="shared" si="3361"/>
        <v>3.51</v>
      </c>
      <c r="M16558" s="549"/>
      <c r="N16558" s="549"/>
      <c r="O16558" s="549"/>
      <c r="P16558" s="549"/>
    </row>
    <row r="16559" spans="1:16" ht="17.399999999999999">
      <c r="A16559" s="549"/>
      <c r="B16559" s="549"/>
      <c r="C16559" s="549"/>
      <c r="D16559" s="549"/>
      <c r="E16559" s="549"/>
      <c r="F16559" s="549"/>
      <c r="G16559" s="549"/>
      <c r="H16559" s="549"/>
      <c r="I16559" s="560"/>
      <c r="J16559" s="549"/>
      <c r="K16559" s="561"/>
      <c r="L16559" s="560"/>
      <c r="M16559" s="549"/>
      <c r="N16559" s="549"/>
      <c r="O16559" s="549"/>
      <c r="P16559" s="549"/>
    </row>
    <row r="16560" spans="1:16" ht="17.399999999999999">
      <c r="A16560" s="547" t="s">
        <v>83</v>
      </c>
      <c r="B16560" s="547" t="s">
        <v>1747</v>
      </c>
      <c r="C16560" s="547" t="s">
        <v>19</v>
      </c>
      <c r="D16560" s="813" t="s">
        <v>854</v>
      </c>
      <c r="E16560" s="650" t="s">
        <v>464</v>
      </c>
      <c r="F16560" s="549"/>
      <c r="G16560" s="549" t="s">
        <v>21</v>
      </c>
      <c r="H16560" s="549" t="s">
        <v>119</v>
      </c>
      <c r="I16560" s="647">
        <v>10.73</v>
      </c>
      <c r="J16560" s="567">
        <v>6.1</v>
      </c>
      <c r="K16560" s="648">
        <v>1</v>
      </c>
      <c r="L16560" s="552">
        <f>(I16560*J16560*K16560/1000)</f>
        <v>6.5452999999999997E-2</v>
      </c>
      <c r="M16560" s="549"/>
      <c r="N16560" s="549"/>
      <c r="O16560" s="549"/>
      <c r="P16560" s="549"/>
    </row>
    <row r="16561" spans="1:16" ht="17.399999999999999">
      <c r="A16561" s="549"/>
      <c r="B16561" s="549" t="s">
        <v>439</v>
      </c>
      <c r="C16561" s="549"/>
      <c r="D16561" s="549"/>
      <c r="E16561" s="549"/>
      <c r="F16561" s="549"/>
      <c r="G16561" s="549"/>
      <c r="H16561" s="549"/>
      <c r="I16561" s="647"/>
      <c r="J16561" s="567"/>
      <c r="K16561" s="648">
        <f t="shared" ref="K16561:L16561" si="3362">SUM(K16560)</f>
        <v>1</v>
      </c>
      <c r="L16561" s="567">
        <f t="shared" si="3362"/>
        <v>6.5452999999999997E-2</v>
      </c>
      <c r="M16561" s="549"/>
      <c r="N16561" s="549"/>
      <c r="O16561" s="549"/>
      <c r="P16561" s="549"/>
    </row>
    <row r="16562" spans="1:16" ht="17.399999999999999">
      <c r="A16562" s="547" t="s">
        <v>83</v>
      </c>
      <c r="B16562" s="547" t="s">
        <v>1747</v>
      </c>
      <c r="C16562" s="547" t="s">
        <v>19</v>
      </c>
      <c r="D16562" s="813" t="s">
        <v>854</v>
      </c>
      <c r="E16562" s="650" t="s">
        <v>464</v>
      </c>
      <c r="F16562" s="549"/>
      <c r="G16562" s="549" t="s">
        <v>21</v>
      </c>
      <c r="H16562" s="549" t="s">
        <v>134</v>
      </c>
      <c r="I16562" s="647">
        <v>12.2</v>
      </c>
      <c r="J16562" s="567">
        <v>6.1</v>
      </c>
      <c r="K16562" s="648">
        <v>2</v>
      </c>
      <c r="L16562" s="552">
        <f>(I16562*J16562*K16562/1000)</f>
        <v>0.14883999999999997</v>
      </c>
      <c r="M16562" s="549"/>
      <c r="N16562" s="549"/>
      <c r="O16562" s="549"/>
      <c r="P16562" s="549"/>
    </row>
    <row r="16563" spans="1:16" ht="17.399999999999999">
      <c r="A16563" s="549"/>
      <c r="B16563" s="549" t="s">
        <v>439</v>
      </c>
      <c r="C16563" s="549"/>
      <c r="D16563" s="549"/>
      <c r="E16563" s="549"/>
      <c r="F16563" s="549"/>
      <c r="G16563" s="549"/>
      <c r="H16563" s="549"/>
      <c r="I16563" s="647"/>
      <c r="J16563" s="567"/>
      <c r="K16563" s="648">
        <f t="shared" ref="K16563:L16563" si="3363">SUM(K16562)</f>
        <v>2</v>
      </c>
      <c r="L16563" s="567">
        <f t="shared" si="3363"/>
        <v>0.14883999999999997</v>
      </c>
      <c r="M16563" s="549"/>
      <c r="N16563" s="549"/>
      <c r="O16563" s="549"/>
      <c r="P16563" s="549"/>
    </row>
    <row r="16564" spans="1:16" ht="17.399999999999999">
      <c r="A16564" s="549"/>
      <c r="B16564" s="549"/>
      <c r="C16564" s="549"/>
      <c r="D16564" s="549"/>
      <c r="E16564" s="549"/>
      <c r="F16564" s="549"/>
      <c r="G16564" s="549"/>
      <c r="H16564" s="549"/>
      <c r="I16564" s="560"/>
      <c r="J16564" s="549"/>
      <c r="K16564" s="561"/>
      <c r="L16564" s="560"/>
      <c r="M16564" s="549"/>
      <c r="N16564" s="549"/>
      <c r="O16564" s="549"/>
      <c r="P16564" s="549"/>
    </row>
    <row r="16565" spans="1:16" ht="17.399999999999999">
      <c r="A16565" s="549"/>
      <c r="B16565" s="549"/>
      <c r="C16565" s="549"/>
      <c r="D16565" s="549"/>
      <c r="E16565" s="549"/>
      <c r="F16565" s="549"/>
      <c r="G16565" s="549"/>
      <c r="H16565" s="549"/>
      <c r="I16565" s="560"/>
      <c r="J16565" s="549"/>
      <c r="K16565" s="561"/>
      <c r="L16565" s="560"/>
      <c r="M16565" s="549"/>
      <c r="N16565" s="549"/>
      <c r="O16565" s="549"/>
      <c r="P16565" s="549"/>
    </row>
    <row r="16566" spans="1:16" ht="17.399999999999999">
      <c r="A16566" s="547" t="s">
        <v>541</v>
      </c>
      <c r="B16566" s="547" t="s">
        <v>1779</v>
      </c>
      <c r="C16566" s="547" t="s">
        <v>19</v>
      </c>
      <c r="D16566" s="813" t="s">
        <v>854</v>
      </c>
      <c r="E16566" s="768" t="s">
        <v>57</v>
      </c>
      <c r="F16566" s="549"/>
      <c r="G16566" s="549" t="s">
        <v>21</v>
      </c>
      <c r="H16566" s="549" t="s">
        <v>120</v>
      </c>
      <c r="I16566" s="647">
        <v>18.2</v>
      </c>
      <c r="J16566" s="567">
        <v>9.5</v>
      </c>
      <c r="K16566" s="648">
        <v>16</v>
      </c>
      <c r="L16566" s="552">
        <f t="shared" ref="L16566:L16568" si="3364">(I16566*J16566*K16566/1000)</f>
        <v>2.7664</v>
      </c>
      <c r="M16566" s="549"/>
      <c r="N16566" s="549"/>
      <c r="O16566" s="549"/>
      <c r="P16566" s="549"/>
    </row>
    <row r="16567" spans="1:16" ht="17.399999999999999">
      <c r="A16567" s="549"/>
      <c r="B16567" s="549" t="s">
        <v>1845</v>
      </c>
      <c r="C16567" s="549"/>
      <c r="D16567" s="549"/>
      <c r="E16567" s="549"/>
      <c r="F16567" s="549"/>
      <c r="G16567" s="549" t="s">
        <v>21</v>
      </c>
      <c r="H16567" s="549" t="s">
        <v>120</v>
      </c>
      <c r="I16567" s="647">
        <v>18.2</v>
      </c>
      <c r="J16567" s="567">
        <v>10.8</v>
      </c>
      <c r="K16567" s="648">
        <v>63</v>
      </c>
      <c r="L16567" s="552">
        <f t="shared" si="3364"/>
        <v>12.383280000000001</v>
      </c>
      <c r="M16567" s="549"/>
      <c r="N16567" s="549"/>
      <c r="O16567" s="549"/>
      <c r="P16567" s="549"/>
    </row>
    <row r="16568" spans="1:16" ht="17.399999999999999">
      <c r="A16568" s="549"/>
      <c r="B16568" s="549"/>
      <c r="C16568" s="549"/>
      <c r="D16568" s="549"/>
      <c r="E16568" s="549"/>
      <c r="F16568" s="549"/>
      <c r="G16568" s="549" t="s">
        <v>21</v>
      </c>
      <c r="H16568" s="549" t="s">
        <v>120</v>
      </c>
      <c r="I16568" s="647">
        <v>18.2</v>
      </c>
      <c r="J16568" s="567">
        <v>11.3</v>
      </c>
      <c r="K16568" s="648">
        <v>57</v>
      </c>
      <c r="L16568" s="552">
        <f t="shared" si="3364"/>
        <v>11.722619999999999</v>
      </c>
      <c r="M16568" s="549"/>
      <c r="N16568" s="549"/>
      <c r="O16568" s="549"/>
      <c r="P16568" s="549"/>
    </row>
    <row r="16569" spans="1:16" ht="17.399999999999999">
      <c r="A16569" s="549"/>
      <c r="B16569" s="549"/>
      <c r="C16569" s="549"/>
      <c r="D16569" s="549"/>
      <c r="E16569" s="549"/>
      <c r="F16569" s="549"/>
      <c r="G16569" s="549"/>
      <c r="H16569" s="549"/>
      <c r="I16569" s="647"/>
      <c r="J16569" s="567"/>
      <c r="K16569" s="648">
        <f>SUM(K16566:K16568)</f>
        <v>136</v>
      </c>
      <c r="L16569" s="567">
        <f>SUM(L16566:L16568)</f>
        <v>26.872299999999999</v>
      </c>
      <c r="M16569" s="549"/>
      <c r="N16569" s="549"/>
      <c r="O16569" s="549"/>
      <c r="P16569" s="549"/>
    </row>
    <row r="16570" spans="1:16" ht="17.399999999999999">
      <c r="A16570" s="549"/>
      <c r="B16570" s="549"/>
      <c r="C16570" s="549"/>
      <c r="D16570" s="549"/>
      <c r="E16570" s="549"/>
      <c r="F16570" s="549"/>
      <c r="G16570" s="549"/>
      <c r="H16570" s="549"/>
      <c r="I16570" s="560"/>
      <c r="J16570" s="549"/>
      <c r="K16570" s="561"/>
      <c r="L16570" s="560"/>
      <c r="M16570" s="549"/>
      <c r="N16570" s="549"/>
      <c r="O16570" s="549"/>
      <c r="P16570" s="549"/>
    </row>
    <row r="16571" spans="1:16" ht="17.399999999999999">
      <c r="A16571" s="549"/>
      <c r="B16571" s="549"/>
      <c r="C16571" s="549"/>
      <c r="D16571" s="549"/>
      <c r="E16571" s="549"/>
      <c r="F16571" s="549"/>
      <c r="G16571" s="549"/>
      <c r="H16571" s="549"/>
      <c r="I16571" s="560"/>
      <c r="J16571" s="549"/>
      <c r="K16571" s="561"/>
      <c r="L16571" s="560"/>
      <c r="M16571" s="549"/>
      <c r="N16571" s="549"/>
      <c r="O16571" s="549"/>
      <c r="P16571" s="549"/>
    </row>
    <row r="16572" spans="1:16" ht="17.399999999999999">
      <c r="A16572" s="547" t="s">
        <v>541</v>
      </c>
      <c r="B16572" s="547" t="s">
        <v>1904</v>
      </c>
      <c r="C16572" s="547" t="s">
        <v>19</v>
      </c>
      <c r="D16572" s="813" t="s">
        <v>854</v>
      </c>
      <c r="E16572" s="768" t="s">
        <v>57</v>
      </c>
      <c r="F16572" s="549"/>
      <c r="G16572" s="549" t="s">
        <v>21</v>
      </c>
      <c r="H16572" s="549" t="s">
        <v>124</v>
      </c>
      <c r="I16572" s="647">
        <v>19.8</v>
      </c>
      <c r="J16572" s="567">
        <v>10.3</v>
      </c>
      <c r="K16572" s="648">
        <v>30</v>
      </c>
      <c r="L16572" s="552">
        <f>(I16572*J16572*K16572/1000)</f>
        <v>6.1182000000000007</v>
      </c>
      <c r="M16572" s="549"/>
      <c r="N16572" s="549"/>
      <c r="O16572" s="549"/>
      <c r="P16572" s="549"/>
    </row>
    <row r="16573" spans="1:16" ht="17.399999999999999">
      <c r="A16573" s="549"/>
      <c r="B16573" s="549" t="s">
        <v>1845</v>
      </c>
      <c r="C16573" s="549"/>
      <c r="D16573" s="549"/>
      <c r="E16573" s="549"/>
      <c r="F16573" s="549"/>
      <c r="G16573" s="549"/>
      <c r="H16573" s="549"/>
      <c r="I16573" s="647"/>
      <c r="J16573" s="567"/>
      <c r="K16573" s="648">
        <f>SUM(K16572:K16572)</f>
        <v>30</v>
      </c>
      <c r="L16573" s="567">
        <f>SUM(L16572:L16572)</f>
        <v>6.1182000000000007</v>
      </c>
      <c r="M16573" s="549"/>
      <c r="N16573" s="549"/>
      <c r="O16573" s="549"/>
      <c r="P16573" s="549"/>
    </row>
    <row r="16574" spans="1:16" ht="17.399999999999999">
      <c r="A16574" s="547" t="s">
        <v>541</v>
      </c>
      <c r="B16574" s="547" t="s">
        <v>1904</v>
      </c>
      <c r="C16574" s="547" t="s">
        <v>19</v>
      </c>
      <c r="D16574" s="813" t="s">
        <v>854</v>
      </c>
      <c r="E16574" s="768" t="s">
        <v>57</v>
      </c>
      <c r="F16574" s="549"/>
      <c r="G16574" s="549" t="s">
        <v>21</v>
      </c>
      <c r="H16574" s="549" t="s">
        <v>126</v>
      </c>
      <c r="I16574" s="647">
        <v>23.6</v>
      </c>
      <c r="J16574" s="567">
        <v>9.6999999999999993</v>
      </c>
      <c r="K16574" s="648">
        <v>31</v>
      </c>
      <c r="L16574" s="552">
        <f t="shared" ref="L16574:L16577" si="3365">(I16574*J16574*K16574/1000)</f>
        <v>7.0965199999999999</v>
      </c>
      <c r="M16574" s="549"/>
      <c r="N16574" s="549"/>
      <c r="O16574" s="549"/>
      <c r="P16574" s="549"/>
    </row>
    <row r="16575" spans="1:16" ht="17.399999999999999">
      <c r="A16575" s="549"/>
      <c r="B16575" s="549" t="s">
        <v>1845</v>
      </c>
      <c r="C16575" s="549"/>
      <c r="D16575" s="549"/>
      <c r="E16575" s="549"/>
      <c r="F16575" s="549"/>
      <c r="G16575" s="549" t="s">
        <v>21</v>
      </c>
      <c r="H16575" s="549" t="s">
        <v>126</v>
      </c>
      <c r="I16575" s="647">
        <v>23.6</v>
      </c>
      <c r="J16575" s="567">
        <v>10.3</v>
      </c>
      <c r="K16575" s="648">
        <v>48</v>
      </c>
      <c r="L16575" s="552">
        <f t="shared" si="3365"/>
        <v>11.667840000000002</v>
      </c>
      <c r="M16575" s="549"/>
      <c r="N16575" s="549"/>
      <c r="O16575" s="549"/>
      <c r="P16575" s="549"/>
    </row>
    <row r="16576" spans="1:16" ht="17.399999999999999">
      <c r="A16576" s="549"/>
      <c r="B16576" s="549"/>
      <c r="C16576" s="549"/>
      <c r="D16576" s="549"/>
      <c r="E16576" s="549"/>
      <c r="F16576" s="549"/>
      <c r="G16576" s="549" t="s">
        <v>21</v>
      </c>
      <c r="H16576" s="549" t="s">
        <v>126</v>
      </c>
      <c r="I16576" s="647">
        <v>23.6</v>
      </c>
      <c r="J16576" s="567">
        <v>10.9</v>
      </c>
      <c r="K16576" s="648">
        <v>8</v>
      </c>
      <c r="L16576" s="552">
        <f t="shared" si="3365"/>
        <v>2.0579200000000002</v>
      </c>
      <c r="M16576" s="549"/>
      <c r="N16576" s="549"/>
      <c r="O16576" s="549"/>
      <c r="P16576" s="549"/>
    </row>
    <row r="16577" spans="1:16" ht="17.399999999999999">
      <c r="A16577" s="549"/>
      <c r="B16577" s="549"/>
      <c r="C16577" s="549"/>
      <c r="D16577" s="549"/>
      <c r="E16577" s="549"/>
      <c r="F16577" s="549"/>
      <c r="G16577" s="549" t="s">
        <v>21</v>
      </c>
      <c r="H16577" s="549" t="s">
        <v>126</v>
      </c>
      <c r="I16577" s="647">
        <v>23.6</v>
      </c>
      <c r="J16577" s="567">
        <v>11.8</v>
      </c>
      <c r="K16577" s="648">
        <v>12</v>
      </c>
      <c r="L16577" s="552">
        <f t="shared" si="3365"/>
        <v>3.3417600000000003</v>
      </c>
      <c r="M16577" s="549"/>
      <c r="N16577" s="549"/>
      <c r="O16577" s="549"/>
      <c r="P16577" s="549"/>
    </row>
    <row r="16578" spans="1:16" ht="17.399999999999999">
      <c r="A16578" s="549"/>
      <c r="B16578" s="549"/>
      <c r="C16578" s="549"/>
      <c r="D16578" s="549"/>
      <c r="E16578" s="549"/>
      <c r="F16578" s="549"/>
      <c r="G16578" s="549"/>
      <c r="H16578" s="549"/>
      <c r="I16578" s="647"/>
      <c r="J16578" s="567"/>
      <c r="K16578" s="648">
        <f>SUM(K16574:K16577)</f>
        <v>99</v>
      </c>
      <c r="L16578" s="567">
        <f>SUM(L16574:L16577)</f>
        <v>24.164040000000004</v>
      </c>
      <c r="M16578" s="549"/>
      <c r="N16578" s="549"/>
      <c r="O16578" s="549"/>
      <c r="P16578" s="549"/>
    </row>
    <row r="16579" spans="1:16" ht="17.399999999999999">
      <c r="A16579" s="547" t="s">
        <v>541</v>
      </c>
      <c r="B16579" s="547" t="s">
        <v>1904</v>
      </c>
      <c r="C16579" s="547" t="s">
        <v>19</v>
      </c>
      <c r="D16579" s="813" t="s">
        <v>854</v>
      </c>
      <c r="E16579" s="768" t="s">
        <v>57</v>
      </c>
      <c r="F16579" s="549"/>
      <c r="G16579" s="549" t="s">
        <v>21</v>
      </c>
      <c r="H16579" s="549" t="s">
        <v>129</v>
      </c>
      <c r="I16579" s="647">
        <v>17.899999999999999</v>
      </c>
      <c r="J16579" s="567">
        <v>6.2</v>
      </c>
      <c r="K16579" s="648">
        <v>36</v>
      </c>
      <c r="L16579" s="552">
        <f>(I16579*J16579*K16579/1000)</f>
        <v>3.9952799999999997</v>
      </c>
      <c r="M16579" s="549"/>
      <c r="N16579" s="549"/>
      <c r="O16579" s="549"/>
      <c r="P16579" s="549"/>
    </row>
    <row r="16580" spans="1:16" ht="17.399999999999999">
      <c r="A16580" s="549"/>
      <c r="B16580" s="549" t="s">
        <v>1845</v>
      </c>
      <c r="C16580" s="549"/>
      <c r="D16580" s="549"/>
      <c r="E16580" s="549"/>
      <c r="F16580" s="549"/>
      <c r="G16580" s="549"/>
      <c r="H16580" s="549"/>
      <c r="I16580" s="647"/>
      <c r="J16580" s="567"/>
      <c r="K16580" s="648">
        <f t="shared" ref="K16580:L16580" si="3366">SUM(K16579)</f>
        <v>36</v>
      </c>
      <c r="L16580" s="567">
        <f t="shared" si="3366"/>
        <v>3.9952799999999997</v>
      </c>
      <c r="M16580" s="549"/>
      <c r="N16580" s="549"/>
      <c r="O16580" s="549"/>
      <c r="P16580" s="549"/>
    </row>
    <row r="16581" spans="1:16" ht="17.399999999999999">
      <c r="A16581" s="549"/>
      <c r="B16581" s="549"/>
      <c r="C16581" s="549"/>
      <c r="D16581" s="549"/>
      <c r="E16581" s="549"/>
      <c r="F16581" s="549"/>
      <c r="G16581" s="549"/>
      <c r="H16581" s="549"/>
      <c r="I16581" s="560"/>
      <c r="J16581" s="549"/>
      <c r="K16581" s="561"/>
      <c r="L16581" s="560"/>
      <c r="M16581" s="549"/>
      <c r="N16581" s="549"/>
      <c r="O16581" s="549"/>
      <c r="P16581" s="549"/>
    </row>
    <row r="16586" spans="1:16" ht="17.399999999999999">
      <c r="A16586" s="711" t="s">
        <v>48</v>
      </c>
      <c r="B16586" s="711"/>
      <c r="C16586" s="712"/>
      <c r="D16586" s="712"/>
      <c r="E16586" s="712"/>
      <c r="F16586" s="713"/>
      <c r="G16586" s="712"/>
      <c r="H16586" s="712"/>
      <c r="I16586" s="714"/>
      <c r="J16586" s="715"/>
      <c r="K16586" s="716"/>
      <c r="L16586" s="1978" t="s">
        <v>0</v>
      </c>
      <c r="M16586" s="1978"/>
      <c r="N16586" s="1978"/>
      <c r="O16586" s="1978"/>
      <c r="P16586" s="717"/>
    </row>
    <row r="16587" spans="1:16" ht="17.399999999999999">
      <c r="A16587" s="718" t="s">
        <v>1</v>
      </c>
      <c r="B16587" s="718"/>
      <c r="C16587" s="718"/>
      <c r="D16587" s="719" t="s">
        <v>2</v>
      </c>
      <c r="E16587" s="719"/>
      <c r="F16587" s="720"/>
      <c r="G16587" s="720"/>
      <c r="H16587" s="720"/>
      <c r="I16587" s="721"/>
      <c r="J16587" s="1915"/>
      <c r="K16587" s="723" t="s">
        <v>3</v>
      </c>
      <c r="L16587" s="1915"/>
      <c r="M16587" s="718"/>
      <c r="N16587" s="720"/>
      <c r="O16587" s="718"/>
      <c r="P16587" s="724"/>
    </row>
    <row r="16588" spans="1:16" ht="52.2">
      <c r="A16588" s="640" t="s">
        <v>4</v>
      </c>
      <c r="B16588" s="640" t="s">
        <v>5</v>
      </c>
      <c r="C16588" s="640" t="s">
        <v>6</v>
      </c>
      <c r="D16588" s="640" t="s">
        <v>7</v>
      </c>
      <c r="E16588" s="640" t="s">
        <v>8</v>
      </c>
      <c r="F16588" s="641" t="s">
        <v>9</v>
      </c>
      <c r="G16588" s="642" t="s">
        <v>10</v>
      </c>
      <c r="H16588" s="642" t="s">
        <v>11</v>
      </c>
      <c r="I16588" s="643" t="s">
        <v>12</v>
      </c>
      <c r="J16588" s="644" t="s">
        <v>13</v>
      </c>
      <c r="K16588" s="645" t="s">
        <v>14</v>
      </c>
      <c r="L16588" s="646" t="s">
        <v>15</v>
      </c>
      <c r="M16588" s="641" t="s">
        <v>16</v>
      </c>
      <c r="N16588" s="641" t="s">
        <v>17</v>
      </c>
      <c r="O16588" s="642" t="s">
        <v>18</v>
      </c>
      <c r="P16588" s="641" t="s">
        <v>192</v>
      </c>
    </row>
    <row r="16589" spans="1:16" ht="17.399999999999999">
      <c r="A16589" s="549"/>
      <c r="B16589" s="549"/>
      <c r="C16589" s="549"/>
      <c r="D16589" s="549"/>
      <c r="E16589" s="549"/>
      <c r="F16589" s="549"/>
      <c r="G16589" s="549"/>
      <c r="H16589" s="549"/>
      <c r="I16589" s="560"/>
      <c r="J16589" s="549"/>
      <c r="K16589" s="561"/>
      <c r="L16589" s="560"/>
      <c r="M16589" s="549"/>
      <c r="N16589" s="549"/>
      <c r="O16589" s="549"/>
      <c r="P16589" s="549"/>
    </row>
    <row r="16590" spans="1:16" ht="17.399999999999999">
      <c r="A16590" s="547" t="s">
        <v>272</v>
      </c>
      <c r="B16590" s="547" t="s">
        <v>1745</v>
      </c>
      <c r="C16590" s="547" t="s">
        <v>19</v>
      </c>
      <c r="D16590" s="813" t="s">
        <v>854</v>
      </c>
      <c r="E16590" s="547" t="s">
        <v>359</v>
      </c>
      <c r="F16590" s="549">
        <v>11</v>
      </c>
      <c r="G16590" s="549" t="s">
        <v>21</v>
      </c>
      <c r="H16590" s="549" t="s">
        <v>53</v>
      </c>
      <c r="I16590" s="558">
        <v>8.32</v>
      </c>
      <c r="J16590" s="567">
        <v>8</v>
      </c>
      <c r="K16590" s="648">
        <v>6</v>
      </c>
      <c r="L16590" s="552">
        <f t="shared" ref="L16590:L16593" si="3367">(I16590*J16590*K16590/1000)</f>
        <v>0.39935999999999999</v>
      </c>
      <c r="M16590" s="549"/>
      <c r="N16590" s="549"/>
      <c r="O16590" s="549"/>
      <c r="P16590" s="549"/>
    </row>
    <row r="16591" spans="1:16" ht="17.399999999999999">
      <c r="A16591" s="549"/>
      <c r="B16591" s="549" t="s">
        <v>1027</v>
      </c>
      <c r="C16591" s="549"/>
      <c r="D16591" s="549"/>
      <c r="E16591" s="549"/>
      <c r="F16591" s="549"/>
      <c r="G16591" s="549" t="s">
        <v>21</v>
      </c>
      <c r="H16591" s="549" t="s">
        <v>53</v>
      </c>
      <c r="I16591" s="558">
        <v>8.32</v>
      </c>
      <c r="J16591" s="567">
        <v>10.5</v>
      </c>
      <c r="K16591" s="648">
        <v>8</v>
      </c>
      <c r="L16591" s="552">
        <f t="shared" si="3367"/>
        <v>0.69887999999999995</v>
      </c>
      <c r="M16591" s="549"/>
      <c r="N16591" s="549"/>
      <c r="O16591" s="549"/>
      <c r="P16591" s="549"/>
    </row>
    <row r="16592" spans="1:16" ht="17.399999999999999">
      <c r="A16592" s="549"/>
      <c r="B16592" s="549"/>
      <c r="C16592" s="549"/>
      <c r="D16592" s="549"/>
      <c r="E16592" s="549"/>
      <c r="F16592" s="549"/>
      <c r="G16592" s="549" t="s">
        <v>21</v>
      </c>
      <c r="H16592" s="549" t="s">
        <v>53</v>
      </c>
      <c r="I16592" s="558">
        <v>8.32</v>
      </c>
      <c r="J16592" s="567">
        <v>11</v>
      </c>
      <c r="K16592" s="648">
        <v>3</v>
      </c>
      <c r="L16592" s="552">
        <f t="shared" si="3367"/>
        <v>0.27456000000000008</v>
      </c>
      <c r="M16592" s="549"/>
      <c r="N16592" s="549"/>
      <c r="O16592" s="549"/>
      <c r="P16592" s="549"/>
    </row>
    <row r="16593" spans="1:16" ht="17.399999999999999">
      <c r="A16593" s="549"/>
      <c r="B16593" s="549"/>
      <c r="C16593" s="549"/>
      <c r="D16593" s="549"/>
      <c r="E16593" s="549"/>
      <c r="F16593" s="549"/>
      <c r="G16593" s="549" t="s">
        <v>21</v>
      </c>
      <c r="H16593" s="549" t="s">
        <v>53</v>
      </c>
      <c r="I16593" s="558">
        <v>8.32</v>
      </c>
      <c r="J16593" s="567">
        <v>12</v>
      </c>
      <c r="K16593" s="648">
        <v>7</v>
      </c>
      <c r="L16593" s="552">
        <f t="shared" si="3367"/>
        <v>0.69887999999999995</v>
      </c>
      <c r="M16593" s="549"/>
      <c r="N16593" s="549"/>
      <c r="O16593" s="549"/>
      <c r="P16593" s="549"/>
    </row>
    <row r="16594" spans="1:16" ht="17.399999999999999">
      <c r="A16594" s="549"/>
      <c r="B16594" s="549"/>
      <c r="C16594" s="549"/>
      <c r="D16594" s="549"/>
      <c r="E16594" s="549"/>
      <c r="F16594" s="549"/>
      <c r="G16594" s="549"/>
      <c r="H16594" s="549"/>
      <c r="I16594" s="558"/>
      <c r="J16594" s="567"/>
      <c r="K16594" s="648">
        <f t="shared" ref="K16594:L16594" si="3368">SUM(K16590:K16593)</f>
        <v>24</v>
      </c>
      <c r="L16594" s="567">
        <f t="shared" si="3368"/>
        <v>2.0716799999999997</v>
      </c>
      <c r="M16594" s="549"/>
      <c r="N16594" s="549"/>
      <c r="O16594" s="549"/>
      <c r="P16594" s="549" t="s">
        <v>1930</v>
      </c>
    </row>
    <row r="16595" spans="1:16" s="1737" customFormat="1" ht="17.399999999999999">
      <c r="A16595" s="549"/>
      <c r="B16595" s="549"/>
      <c r="C16595" s="549"/>
      <c r="D16595" s="549"/>
      <c r="E16595" s="549"/>
      <c r="F16595" s="549"/>
      <c r="G16595" s="549"/>
      <c r="H16595" s="549"/>
      <c r="I16595" s="558"/>
      <c r="J16595" s="567"/>
      <c r="K16595" s="648"/>
      <c r="L16595" s="567"/>
      <c r="M16595" s="549"/>
      <c r="N16595" s="549"/>
      <c r="O16595" s="549"/>
      <c r="P16595" s="549"/>
    </row>
    <row r="16596" spans="1:16" ht="17.399999999999999">
      <c r="A16596" s="547" t="s">
        <v>83</v>
      </c>
      <c r="B16596" s="547" t="s">
        <v>1746</v>
      </c>
      <c r="C16596" s="547" t="s">
        <v>19</v>
      </c>
      <c r="D16596" s="813" t="s">
        <v>854</v>
      </c>
      <c r="E16596" s="650" t="s">
        <v>878</v>
      </c>
      <c r="F16596" s="549">
        <v>11</v>
      </c>
      <c r="G16596" s="549" t="s">
        <v>21</v>
      </c>
      <c r="H16596" s="549" t="s">
        <v>53</v>
      </c>
      <c r="I16596" s="558">
        <v>8.3000000000000007</v>
      </c>
      <c r="J16596" s="567">
        <v>6.3</v>
      </c>
      <c r="K16596" s="648">
        <v>58</v>
      </c>
      <c r="L16596" s="552">
        <f t="shared" ref="L16596:L16604" si="3369">(I16596*J16596*K16596/1000)</f>
        <v>3.0328200000000001</v>
      </c>
      <c r="M16596" s="549">
        <f>39+4+14</f>
        <v>57</v>
      </c>
      <c r="N16596" s="567">
        <f t="shared" ref="N16596:N16598" si="3370">J16596*M16596*I16596/1000</f>
        <v>2.9805299999999999</v>
      </c>
      <c r="O16596" s="549"/>
      <c r="P16596" s="549"/>
    </row>
    <row r="16597" spans="1:16" ht="17.399999999999999">
      <c r="A16597" s="549"/>
      <c r="B16597" s="549" t="s">
        <v>1135</v>
      </c>
      <c r="C16597" s="549"/>
      <c r="D16597" s="549"/>
      <c r="E16597" s="549"/>
      <c r="F16597" s="549"/>
      <c r="G16597" s="549" t="s">
        <v>21</v>
      </c>
      <c r="H16597" s="549" t="s">
        <v>53</v>
      </c>
      <c r="I16597" s="558">
        <v>8.3000000000000007</v>
      </c>
      <c r="J16597" s="567">
        <v>7.6</v>
      </c>
      <c r="K16597" s="648">
        <v>24</v>
      </c>
      <c r="L16597" s="552">
        <f t="shared" si="3369"/>
        <v>1.5139200000000002</v>
      </c>
      <c r="M16597" s="549">
        <f>6</f>
        <v>6</v>
      </c>
      <c r="N16597" s="567">
        <f t="shared" si="3370"/>
        <v>0.37847999999999998</v>
      </c>
      <c r="O16597" s="549"/>
      <c r="P16597" s="549"/>
    </row>
    <row r="16598" spans="1:16" ht="17.399999999999999">
      <c r="A16598" s="549"/>
      <c r="B16598" s="549"/>
      <c r="C16598" s="549"/>
      <c r="D16598" s="549"/>
      <c r="E16598" s="549"/>
      <c r="F16598" s="549"/>
      <c r="G16598" s="549" t="s">
        <v>21</v>
      </c>
      <c r="H16598" s="549" t="s">
        <v>53</v>
      </c>
      <c r="I16598" s="558">
        <v>8.3000000000000007</v>
      </c>
      <c r="J16598" s="567">
        <v>8.5500000000000007</v>
      </c>
      <c r="K16598" s="648">
        <v>5</v>
      </c>
      <c r="L16598" s="552">
        <f t="shared" si="3369"/>
        <v>0.35482500000000011</v>
      </c>
      <c r="M16598" s="549">
        <v>1</v>
      </c>
      <c r="N16598" s="567">
        <f t="shared" si="3370"/>
        <v>7.0965000000000014E-2</v>
      </c>
      <c r="O16598" s="549"/>
      <c r="P16598" s="549"/>
    </row>
    <row r="16599" spans="1:16" ht="17.399999999999999">
      <c r="A16599" s="549"/>
      <c r="B16599" s="549"/>
      <c r="C16599" s="549"/>
      <c r="D16599" s="549"/>
      <c r="E16599" s="549"/>
      <c r="F16599" s="549"/>
      <c r="G16599" s="549" t="s">
        <v>21</v>
      </c>
      <c r="H16599" s="549" t="s">
        <v>53</v>
      </c>
      <c r="I16599" s="558">
        <v>8.3000000000000007</v>
      </c>
      <c r="J16599" s="567">
        <v>10</v>
      </c>
      <c r="K16599" s="648">
        <v>15</v>
      </c>
      <c r="L16599" s="552">
        <f t="shared" si="3369"/>
        <v>1.2450000000000001</v>
      </c>
      <c r="M16599" s="549">
        <f>3+1+1</f>
        <v>5</v>
      </c>
      <c r="N16599" s="567">
        <f t="shared" ref="N16599" si="3371">J16599*M16599*I16599/1000</f>
        <v>0.41500000000000004</v>
      </c>
      <c r="O16599" s="549"/>
      <c r="P16599" s="549" t="s">
        <v>1905</v>
      </c>
    </row>
    <row r="16600" spans="1:16" ht="17.399999999999999">
      <c r="A16600" s="549"/>
      <c r="B16600" s="549"/>
      <c r="C16600" s="549"/>
      <c r="D16600" s="549"/>
      <c r="E16600" s="549"/>
      <c r="F16600" s="549"/>
      <c r="G16600" s="549" t="s">
        <v>21</v>
      </c>
      <c r="H16600" s="549" t="s">
        <v>53</v>
      </c>
      <c r="I16600" s="558">
        <v>8.3000000000000007</v>
      </c>
      <c r="J16600" s="567">
        <v>10.4</v>
      </c>
      <c r="K16600" s="648">
        <v>25</v>
      </c>
      <c r="L16600" s="552">
        <f t="shared" si="3369"/>
        <v>2.1579999999999999</v>
      </c>
      <c r="M16600" s="549"/>
      <c r="N16600" s="549"/>
      <c r="O16600" s="549"/>
      <c r="P16600" s="549"/>
    </row>
    <row r="16601" spans="1:16" ht="17.399999999999999">
      <c r="A16601" s="549"/>
      <c r="B16601" s="549"/>
      <c r="C16601" s="549"/>
      <c r="D16601" s="549"/>
      <c r="E16601" s="549"/>
      <c r="F16601" s="549"/>
      <c r="G16601" s="549" t="s">
        <v>21</v>
      </c>
      <c r="H16601" s="549" t="s">
        <v>53</v>
      </c>
      <c r="I16601" s="558">
        <v>8.3000000000000007</v>
      </c>
      <c r="J16601" s="567">
        <v>10.7</v>
      </c>
      <c r="K16601" s="648">
        <v>35</v>
      </c>
      <c r="L16601" s="552">
        <f t="shared" si="3369"/>
        <v>3.1083499999999997</v>
      </c>
      <c r="M16601" s="549"/>
      <c r="N16601" s="549"/>
      <c r="O16601" s="549"/>
      <c r="P16601" s="549"/>
    </row>
    <row r="16602" spans="1:16" ht="17.399999999999999">
      <c r="A16602" s="549"/>
      <c r="B16602" s="549"/>
      <c r="C16602" s="549"/>
      <c r="D16602" s="549"/>
      <c r="E16602" s="549"/>
      <c r="F16602" s="549"/>
      <c r="G16602" s="549" t="s">
        <v>21</v>
      </c>
      <c r="H16602" s="549" t="s">
        <v>53</v>
      </c>
      <c r="I16602" s="558">
        <v>8.3000000000000007</v>
      </c>
      <c r="J16602" s="567">
        <v>11.5</v>
      </c>
      <c r="K16602" s="648">
        <v>39</v>
      </c>
      <c r="L16602" s="552">
        <f t="shared" si="3369"/>
        <v>3.72255</v>
      </c>
      <c r="M16602" s="549"/>
      <c r="N16602" s="549"/>
      <c r="O16602" s="549"/>
      <c r="P16602" s="549"/>
    </row>
    <row r="16603" spans="1:16" ht="17.399999999999999">
      <c r="A16603" s="549"/>
      <c r="B16603" s="549"/>
      <c r="C16603" s="549"/>
      <c r="D16603" s="549"/>
      <c r="E16603" s="549"/>
      <c r="F16603" s="549"/>
      <c r="G16603" s="549" t="s">
        <v>21</v>
      </c>
      <c r="H16603" s="549" t="s">
        <v>53</v>
      </c>
      <c r="I16603" s="558">
        <v>8.3000000000000007</v>
      </c>
      <c r="J16603" s="567">
        <v>11.8</v>
      </c>
      <c r="K16603" s="648">
        <v>17</v>
      </c>
      <c r="L16603" s="552">
        <f t="shared" si="3369"/>
        <v>1.6649800000000003</v>
      </c>
      <c r="M16603" s="549"/>
      <c r="N16603" s="549"/>
      <c r="O16603" s="549"/>
      <c r="P16603" s="549"/>
    </row>
    <row r="16604" spans="1:16" ht="17.399999999999999">
      <c r="A16604" s="549"/>
      <c r="B16604" s="549"/>
      <c r="C16604" s="549"/>
      <c r="D16604" s="549"/>
      <c r="E16604" s="549"/>
      <c r="F16604" s="549"/>
      <c r="G16604" s="549" t="s">
        <v>21</v>
      </c>
      <c r="H16604" s="549" t="s">
        <v>53</v>
      </c>
      <c r="I16604" s="558">
        <v>8.3000000000000007</v>
      </c>
      <c r="J16604" s="567">
        <v>12</v>
      </c>
      <c r="K16604" s="648">
        <v>16</v>
      </c>
      <c r="L16604" s="552">
        <f t="shared" si="3369"/>
        <v>1.5936000000000001</v>
      </c>
      <c r="M16604" s="549"/>
      <c r="N16604" s="549"/>
      <c r="O16604" s="549"/>
      <c r="P16604" s="549"/>
    </row>
    <row r="16605" spans="1:16" ht="17.399999999999999">
      <c r="A16605" s="549"/>
      <c r="B16605" s="549"/>
      <c r="C16605" s="549"/>
      <c r="D16605" s="549"/>
      <c r="E16605" s="549"/>
      <c r="F16605" s="549"/>
      <c r="G16605" s="549"/>
      <c r="H16605" s="549"/>
      <c r="I16605" s="558"/>
      <c r="J16605" s="567"/>
      <c r="K16605" s="648">
        <f t="shared" ref="K16605:N16605" si="3372">SUM(K16596:K16604)</f>
        <v>234</v>
      </c>
      <c r="L16605" s="567">
        <f t="shared" si="3372"/>
        <v>18.394044999999998</v>
      </c>
      <c r="M16605" s="648">
        <f t="shared" si="3372"/>
        <v>69</v>
      </c>
      <c r="N16605" s="567">
        <f t="shared" si="3372"/>
        <v>3.8449750000000003</v>
      </c>
      <c r="O16605" s="549"/>
      <c r="P16605" s="549" t="s">
        <v>1931</v>
      </c>
    </row>
    <row r="16606" spans="1:16" s="1737" customFormat="1" ht="17.399999999999999">
      <c r="A16606" s="549"/>
      <c r="B16606" s="549"/>
      <c r="C16606" s="549"/>
      <c r="D16606" s="549"/>
      <c r="E16606" s="549"/>
      <c r="F16606" s="549"/>
      <c r="G16606" s="549"/>
      <c r="H16606" s="549"/>
      <c r="I16606" s="558"/>
      <c r="J16606" s="567"/>
      <c r="K16606" s="648"/>
      <c r="L16606" s="567"/>
      <c r="M16606" s="549"/>
      <c r="N16606" s="549"/>
      <c r="O16606" s="549"/>
      <c r="P16606" s="549"/>
    </row>
    <row r="16607" spans="1:16" ht="17.399999999999999">
      <c r="A16607" s="547" t="s">
        <v>83</v>
      </c>
      <c r="B16607" s="547" t="s">
        <v>1748</v>
      </c>
      <c r="C16607" s="547" t="s">
        <v>19</v>
      </c>
      <c r="D16607" s="813" t="s">
        <v>854</v>
      </c>
      <c r="E16607" s="650" t="s">
        <v>1884</v>
      </c>
      <c r="F16607" s="549">
        <v>11</v>
      </c>
      <c r="G16607" s="549" t="s">
        <v>21</v>
      </c>
      <c r="H16607" s="549" t="s">
        <v>53</v>
      </c>
      <c r="I16607" s="558">
        <v>8.3000000000000007</v>
      </c>
      <c r="J16607" s="567">
        <v>7.5</v>
      </c>
      <c r="K16607" s="648">
        <v>240</v>
      </c>
      <c r="L16607" s="552">
        <f t="shared" ref="L16607:L16609" si="3373">(I16607*J16607*K16607/1000)</f>
        <v>14.940000000000001</v>
      </c>
      <c r="M16607" s="549"/>
      <c r="N16607" s="549"/>
      <c r="O16607" s="549"/>
      <c r="P16607" s="549"/>
    </row>
    <row r="16608" spans="1:16" ht="17.399999999999999">
      <c r="A16608" s="549"/>
      <c r="B16608" s="549" t="s">
        <v>52</v>
      </c>
      <c r="C16608" s="549"/>
      <c r="D16608" s="549"/>
      <c r="E16608" s="549"/>
      <c r="F16608" s="549"/>
      <c r="G16608" s="549" t="s">
        <v>21</v>
      </c>
      <c r="H16608" s="549" t="s">
        <v>53</v>
      </c>
      <c r="I16608" s="558">
        <v>8.3000000000000007</v>
      </c>
      <c r="J16608" s="567">
        <v>8.25</v>
      </c>
      <c r="K16608" s="648">
        <v>120</v>
      </c>
      <c r="L16608" s="552">
        <f t="shared" si="3373"/>
        <v>8.2170000000000023</v>
      </c>
      <c r="M16608" s="549"/>
      <c r="N16608" s="549"/>
      <c r="O16608" s="549"/>
      <c r="P16608" s="549"/>
    </row>
    <row r="16609" spans="1:16" ht="17.399999999999999">
      <c r="A16609" s="549"/>
      <c r="B16609" s="549"/>
      <c r="C16609" s="549"/>
      <c r="D16609" s="549"/>
      <c r="E16609" s="549"/>
      <c r="F16609" s="549"/>
      <c r="G16609" s="549" t="s">
        <v>21</v>
      </c>
      <c r="H16609" s="549" t="s">
        <v>53</v>
      </c>
      <c r="I16609" s="558">
        <v>8.3000000000000007</v>
      </c>
      <c r="J16609" s="567">
        <v>8.5500000000000007</v>
      </c>
      <c r="K16609" s="648">
        <v>240</v>
      </c>
      <c r="L16609" s="552">
        <f t="shared" si="3373"/>
        <v>17.031600000000005</v>
      </c>
      <c r="M16609" s="549"/>
      <c r="N16609" s="549"/>
      <c r="O16609" s="549"/>
      <c r="P16609" s="549"/>
    </row>
    <row r="16610" spans="1:16" ht="17.399999999999999">
      <c r="A16610" s="549"/>
      <c r="B16610" s="549"/>
      <c r="C16610" s="549"/>
      <c r="D16610" s="549"/>
      <c r="E16610" s="549"/>
      <c r="F16610" s="549"/>
      <c r="G16610" s="549"/>
      <c r="H16610" s="549"/>
      <c r="I16610" s="558"/>
      <c r="J16610" s="567"/>
      <c r="K16610" s="648">
        <f t="shared" ref="K16610:L16610" si="3374">SUM(K16607:K16609)</f>
        <v>600</v>
      </c>
      <c r="L16610" s="567">
        <f t="shared" si="3374"/>
        <v>40.188600000000008</v>
      </c>
      <c r="M16610" s="549"/>
      <c r="N16610" s="549"/>
      <c r="O16610" s="549"/>
      <c r="P16610" s="549" t="s">
        <v>1932</v>
      </c>
    </row>
    <row r="16611" spans="1:16" s="1737" customFormat="1" ht="17.399999999999999">
      <c r="A16611" s="549"/>
      <c r="B16611" s="549"/>
      <c r="C16611" s="549"/>
      <c r="D16611" s="549"/>
      <c r="E16611" s="549"/>
      <c r="F16611" s="549"/>
      <c r="G16611" s="549"/>
      <c r="H16611" s="549"/>
      <c r="I16611" s="558"/>
      <c r="J16611" s="567"/>
      <c r="K16611" s="648"/>
      <c r="L16611" s="567"/>
      <c r="M16611" s="549"/>
      <c r="N16611" s="549"/>
      <c r="O16611" s="549"/>
      <c r="P16611" s="549"/>
    </row>
    <row r="16612" spans="1:16" ht="17.399999999999999">
      <c r="A16612" s="547" t="s">
        <v>83</v>
      </c>
      <c r="B16612" s="547" t="s">
        <v>1902</v>
      </c>
      <c r="C16612" s="547" t="s">
        <v>19</v>
      </c>
      <c r="D16612" s="813" t="s">
        <v>854</v>
      </c>
      <c r="E16612" s="768" t="s">
        <v>175</v>
      </c>
      <c r="F16612" s="549">
        <v>11</v>
      </c>
      <c r="G16612" s="549" t="s">
        <v>21</v>
      </c>
      <c r="H16612" s="549" t="s">
        <v>53</v>
      </c>
      <c r="I16612" s="558">
        <v>8.3000000000000007</v>
      </c>
      <c r="J16612" s="567">
        <v>6.8</v>
      </c>
      <c r="K16612" s="648">
        <v>2</v>
      </c>
      <c r="L16612" s="552">
        <f t="shared" ref="L16612:L16621" si="3375">(I16612*J16612*K16612/1000)</f>
        <v>0.11288000000000001</v>
      </c>
      <c r="M16612" s="549"/>
      <c r="N16612" s="549"/>
      <c r="O16612" s="549"/>
      <c r="P16612" s="549"/>
    </row>
    <row r="16613" spans="1:16" ht="17.399999999999999">
      <c r="A16613" s="549"/>
      <c r="B16613" s="549" t="s">
        <v>1135</v>
      </c>
      <c r="C16613" s="549"/>
      <c r="D16613" s="549"/>
      <c r="E16613" s="549"/>
      <c r="F16613" s="549"/>
      <c r="G16613" s="549" t="s">
        <v>21</v>
      </c>
      <c r="H16613" s="549" t="s">
        <v>53</v>
      </c>
      <c r="I16613" s="558">
        <v>8.3000000000000007</v>
      </c>
      <c r="J16613" s="567">
        <v>7</v>
      </c>
      <c r="K16613" s="648">
        <v>2</v>
      </c>
      <c r="L16613" s="552">
        <f t="shared" si="3375"/>
        <v>0.11620000000000001</v>
      </c>
      <c r="M16613" s="549"/>
      <c r="N16613" s="549"/>
      <c r="O16613" s="549"/>
      <c r="P16613" s="549"/>
    </row>
    <row r="16614" spans="1:16" ht="17.399999999999999">
      <c r="A16614" s="549"/>
      <c r="B16614" s="549"/>
      <c r="C16614" s="549"/>
      <c r="D16614" s="549"/>
      <c r="E16614" s="549"/>
      <c r="F16614" s="549"/>
      <c r="G16614" s="549" t="s">
        <v>21</v>
      </c>
      <c r="H16614" s="549" t="s">
        <v>53</v>
      </c>
      <c r="I16614" s="558">
        <v>8.3000000000000007</v>
      </c>
      <c r="J16614" s="567">
        <v>7.3</v>
      </c>
      <c r="K16614" s="648">
        <v>4</v>
      </c>
      <c r="L16614" s="552">
        <f t="shared" si="3375"/>
        <v>0.24236000000000002</v>
      </c>
      <c r="M16614" s="549"/>
      <c r="N16614" s="549"/>
      <c r="O16614" s="549"/>
      <c r="P16614" s="549"/>
    </row>
    <row r="16615" spans="1:16" ht="17.399999999999999">
      <c r="A16615" s="549"/>
      <c r="B16615" s="549"/>
      <c r="C16615" s="549"/>
      <c r="D16615" s="549"/>
      <c r="E16615" s="549"/>
      <c r="F16615" s="549"/>
      <c r="G16615" s="549" t="s">
        <v>21</v>
      </c>
      <c r="H16615" s="549" t="s">
        <v>53</v>
      </c>
      <c r="I16615" s="558">
        <v>8.3000000000000007</v>
      </c>
      <c r="J16615" s="567">
        <v>7.9</v>
      </c>
      <c r="K16615" s="648">
        <v>4</v>
      </c>
      <c r="L16615" s="552">
        <f t="shared" si="3375"/>
        <v>0.26228000000000001</v>
      </c>
      <c r="M16615" s="549"/>
      <c r="N16615" s="549"/>
      <c r="O16615" s="549"/>
      <c r="P16615" s="549"/>
    </row>
    <row r="16616" spans="1:16" ht="17.399999999999999">
      <c r="A16616" s="549"/>
      <c r="B16616" s="549"/>
      <c r="C16616" s="549"/>
      <c r="D16616" s="549"/>
      <c r="E16616" s="549"/>
      <c r="F16616" s="549"/>
      <c r="G16616" s="549" t="s">
        <v>21</v>
      </c>
      <c r="H16616" s="549" t="s">
        <v>53</v>
      </c>
      <c r="I16616" s="558">
        <v>8.3000000000000007</v>
      </c>
      <c r="J16616" s="567">
        <v>8.3000000000000007</v>
      </c>
      <c r="K16616" s="648">
        <v>8</v>
      </c>
      <c r="L16616" s="552">
        <f t="shared" si="3375"/>
        <v>0.55112000000000017</v>
      </c>
      <c r="M16616" s="549"/>
      <c r="N16616" s="549"/>
      <c r="O16616" s="549"/>
      <c r="P16616" s="549"/>
    </row>
    <row r="16617" spans="1:16" ht="17.399999999999999">
      <c r="A16617" s="549"/>
      <c r="B16617" s="549"/>
      <c r="C16617" s="549"/>
      <c r="D16617" s="549"/>
      <c r="E16617" s="549"/>
      <c r="F16617" s="549"/>
      <c r="G16617" s="549" t="s">
        <v>21</v>
      </c>
      <c r="H16617" s="549" t="s">
        <v>53</v>
      </c>
      <c r="I16617" s="558">
        <v>8.3000000000000007</v>
      </c>
      <c r="J16617" s="567">
        <v>8.9</v>
      </c>
      <c r="K16617" s="648">
        <v>8</v>
      </c>
      <c r="L16617" s="552">
        <f t="shared" si="3375"/>
        <v>0.59096000000000004</v>
      </c>
      <c r="M16617" s="549"/>
      <c r="N16617" s="549"/>
      <c r="O16617" s="549"/>
      <c r="P16617" s="549"/>
    </row>
    <row r="16618" spans="1:16" ht="17.399999999999999">
      <c r="A16618" s="549"/>
      <c r="B16618" s="549"/>
      <c r="C16618" s="549"/>
      <c r="D16618" s="549"/>
      <c r="E16618" s="549"/>
      <c r="F16618" s="549"/>
      <c r="G16618" s="549" t="s">
        <v>21</v>
      </c>
      <c r="H16618" s="549" t="s">
        <v>53</v>
      </c>
      <c r="I16618" s="558">
        <v>8.3000000000000007</v>
      </c>
      <c r="J16618" s="567">
        <v>9.5500000000000007</v>
      </c>
      <c r="K16618" s="648">
        <v>14</v>
      </c>
      <c r="L16618" s="552">
        <f t="shared" si="3375"/>
        <v>1.1097100000000002</v>
      </c>
      <c r="M16618" s="549"/>
      <c r="N16618" s="549"/>
      <c r="O16618" s="549"/>
      <c r="P16618" s="549"/>
    </row>
    <row r="16619" spans="1:16" ht="17.399999999999999">
      <c r="A16619" s="549"/>
      <c r="B16619" s="549"/>
      <c r="C16619" s="549"/>
      <c r="D16619" s="549"/>
      <c r="E16619" s="549"/>
      <c r="F16619" s="549"/>
      <c r="G16619" s="549" t="s">
        <v>21</v>
      </c>
      <c r="H16619" s="549" t="s">
        <v>53</v>
      </c>
      <c r="I16619" s="558">
        <v>8.3000000000000007</v>
      </c>
      <c r="J16619" s="567">
        <v>10.9</v>
      </c>
      <c r="K16619" s="648">
        <v>8</v>
      </c>
      <c r="L16619" s="552">
        <f t="shared" si="3375"/>
        <v>0.72376000000000007</v>
      </c>
      <c r="M16619" s="549"/>
      <c r="N16619" s="549"/>
      <c r="O16619" s="549"/>
      <c r="P16619" s="549"/>
    </row>
    <row r="16620" spans="1:16" ht="17.399999999999999">
      <c r="A16620" s="549"/>
      <c r="B16620" s="549"/>
      <c r="C16620" s="549"/>
      <c r="D16620" s="549"/>
      <c r="E16620" s="549"/>
      <c r="F16620" s="549"/>
      <c r="G16620" s="549" t="s">
        <v>21</v>
      </c>
      <c r="H16620" s="549" t="s">
        <v>53</v>
      </c>
      <c r="I16620" s="558">
        <v>8.3000000000000007</v>
      </c>
      <c r="J16620" s="567">
        <v>11.1</v>
      </c>
      <c r="K16620" s="648">
        <v>8</v>
      </c>
      <c r="L16620" s="552">
        <f t="shared" si="3375"/>
        <v>0.73704000000000003</v>
      </c>
      <c r="M16620" s="549"/>
      <c r="N16620" s="549"/>
      <c r="O16620" s="549"/>
      <c r="P16620" s="549"/>
    </row>
    <row r="16621" spans="1:16" ht="17.399999999999999">
      <c r="A16621" s="549"/>
      <c r="B16621" s="549"/>
      <c r="C16621" s="549"/>
      <c r="D16621" s="549"/>
      <c r="E16621" s="549"/>
      <c r="F16621" s="549"/>
      <c r="G16621" s="549" t="s">
        <v>21</v>
      </c>
      <c r="H16621" s="549" t="s">
        <v>53</v>
      </c>
      <c r="I16621" s="558">
        <v>8.3000000000000007</v>
      </c>
      <c r="J16621" s="567">
        <v>11.5</v>
      </c>
      <c r="K16621" s="648">
        <v>9</v>
      </c>
      <c r="L16621" s="552">
        <f t="shared" si="3375"/>
        <v>0.85905000000000009</v>
      </c>
      <c r="M16621" s="549"/>
      <c r="N16621" s="549"/>
      <c r="O16621" s="549"/>
      <c r="P16621" s="549"/>
    </row>
    <row r="16622" spans="1:16" ht="17.399999999999999">
      <c r="A16622" s="549"/>
      <c r="B16622" s="549"/>
      <c r="C16622" s="549"/>
      <c r="D16622" s="549"/>
      <c r="E16622" s="549"/>
      <c r="F16622" s="549"/>
      <c r="G16622" s="549"/>
      <c r="H16622" s="549"/>
      <c r="I16622" s="558"/>
      <c r="J16622" s="567"/>
      <c r="K16622" s="648">
        <f>SUM(K16612:K16621)</f>
        <v>67</v>
      </c>
      <c r="L16622" s="567">
        <f>SUM(L16612:L16621)</f>
        <v>5.3053600000000003</v>
      </c>
      <c r="M16622" s="549"/>
      <c r="N16622" s="549"/>
      <c r="O16622" s="549"/>
      <c r="P16622" s="549" t="s">
        <v>1931</v>
      </c>
    </row>
    <row r="16623" spans="1:16" s="1737" customFormat="1" ht="17.399999999999999">
      <c r="A16623" s="549"/>
      <c r="B16623" s="549"/>
      <c r="C16623" s="549"/>
      <c r="D16623" s="549"/>
      <c r="E16623" s="549"/>
      <c r="F16623" s="549"/>
      <c r="G16623" s="549"/>
      <c r="H16623" s="549"/>
      <c r="I16623" s="558"/>
      <c r="J16623" s="567"/>
      <c r="K16623" s="648"/>
      <c r="L16623" s="567"/>
      <c r="M16623" s="549"/>
      <c r="N16623" s="549"/>
      <c r="O16623" s="549"/>
      <c r="P16623" s="549"/>
    </row>
    <row r="16624" spans="1:16" ht="17.399999999999999">
      <c r="A16624" s="547" t="s">
        <v>272</v>
      </c>
      <c r="B16624" s="547" t="s">
        <v>1850</v>
      </c>
      <c r="C16624" s="547" t="s">
        <v>19</v>
      </c>
      <c r="D16624" s="813" t="s">
        <v>854</v>
      </c>
      <c r="E16624" s="780" t="s">
        <v>1028</v>
      </c>
      <c r="F16624" s="549">
        <v>11</v>
      </c>
      <c r="G16624" s="549" t="s">
        <v>21</v>
      </c>
      <c r="H16624" s="549" t="s">
        <v>53</v>
      </c>
      <c r="I16624" s="558">
        <v>8.32</v>
      </c>
      <c r="J16624" s="567">
        <v>6</v>
      </c>
      <c r="K16624" s="648">
        <v>1</v>
      </c>
      <c r="L16624" s="552">
        <f>(I16624*J16624*K16624/1000)</f>
        <v>4.9919999999999999E-2</v>
      </c>
      <c r="M16624" s="549">
        <v>1</v>
      </c>
      <c r="N16624" s="567">
        <f t="shared" ref="N16624" si="3376">J16624*M16624*I16624/1000</f>
        <v>4.9919999999999999E-2</v>
      </c>
      <c r="O16624" s="549"/>
      <c r="P16624" s="549"/>
    </row>
    <row r="16625" spans="1:16" ht="17.399999999999999">
      <c r="A16625" s="549"/>
      <c r="B16625" s="549" t="s">
        <v>1027</v>
      </c>
      <c r="C16625" s="549"/>
      <c r="D16625" s="549"/>
      <c r="E16625" s="549"/>
      <c r="F16625" s="549"/>
      <c r="G16625" s="549"/>
      <c r="H16625" s="549"/>
      <c r="I16625" s="558"/>
      <c r="J16625" s="567"/>
      <c r="K16625" s="648">
        <f t="shared" ref="K16625:N16625" si="3377">SUM(K16624)</f>
        <v>1</v>
      </c>
      <c r="L16625" s="567">
        <f t="shared" si="3377"/>
        <v>4.9919999999999999E-2</v>
      </c>
      <c r="M16625" s="648">
        <f t="shared" si="3377"/>
        <v>1</v>
      </c>
      <c r="N16625" s="567">
        <f t="shared" si="3377"/>
        <v>4.9919999999999999E-2</v>
      </c>
      <c r="O16625" s="549"/>
      <c r="P16625" s="549"/>
    </row>
    <row r="16626" spans="1:16" ht="17.399999999999999">
      <c r="A16626" s="549"/>
      <c r="B16626" s="549"/>
      <c r="C16626" s="549"/>
      <c r="D16626" s="549"/>
      <c r="E16626" s="549"/>
      <c r="F16626" s="549"/>
      <c r="G16626" s="549"/>
      <c r="H16626" s="549"/>
      <c r="I16626" s="560"/>
      <c r="J16626" s="549"/>
      <c r="K16626" s="561"/>
      <c r="L16626" s="560"/>
      <c r="M16626" s="549"/>
      <c r="N16626" s="549"/>
      <c r="O16626" s="549"/>
      <c r="P16626" s="549"/>
    </row>
    <row r="16627" spans="1:16" ht="17.399999999999999">
      <c r="A16627" s="547" t="s">
        <v>83</v>
      </c>
      <c r="B16627" s="547" t="s">
        <v>1816</v>
      </c>
      <c r="C16627" s="547" t="s">
        <v>19</v>
      </c>
      <c r="D16627" s="813" t="s">
        <v>854</v>
      </c>
      <c r="E16627" s="768" t="s">
        <v>57</v>
      </c>
      <c r="F16627" s="549">
        <v>11</v>
      </c>
      <c r="G16627" s="549" t="s">
        <v>21</v>
      </c>
      <c r="H16627" s="549" t="s">
        <v>53</v>
      </c>
      <c r="I16627" s="558">
        <v>8.3000000000000007</v>
      </c>
      <c r="J16627" s="567">
        <v>12</v>
      </c>
      <c r="K16627" s="648">
        <v>13</v>
      </c>
      <c r="L16627" s="552">
        <f>(I16627*J16627*K16627/1000)</f>
        <v>1.2948000000000002</v>
      </c>
      <c r="M16627" s="549"/>
      <c r="N16627" s="549"/>
      <c r="O16627" s="549"/>
      <c r="P16627" s="549"/>
    </row>
    <row r="16628" spans="1:16" ht="17.399999999999999">
      <c r="A16628" s="549"/>
      <c r="B16628" s="549" t="s">
        <v>1815</v>
      </c>
      <c r="C16628" s="549"/>
      <c r="D16628" s="549"/>
      <c r="E16628" s="549"/>
      <c r="F16628" s="549"/>
      <c r="G16628" s="549"/>
      <c r="H16628" s="549"/>
      <c r="I16628" s="564"/>
      <c r="J16628" s="567"/>
      <c r="K16628" s="648">
        <f>SUM(K16627)</f>
        <v>13</v>
      </c>
      <c r="L16628" s="567">
        <f>SUM(L16627)</f>
        <v>1.2948000000000002</v>
      </c>
      <c r="M16628" s="648">
        <f>SUM(M16627)</f>
        <v>0</v>
      </c>
      <c r="N16628" s="567">
        <f>SUM(N16627)</f>
        <v>0</v>
      </c>
      <c r="O16628" s="549"/>
      <c r="P16628" s="549" t="s">
        <v>1933</v>
      </c>
    </row>
    <row r="16629" spans="1:16" s="1737" customFormat="1" ht="17.399999999999999">
      <c r="A16629" s="549"/>
      <c r="B16629" s="549"/>
      <c r="C16629" s="549"/>
      <c r="D16629" s="549"/>
      <c r="E16629" s="549"/>
      <c r="F16629" s="549"/>
      <c r="G16629" s="549"/>
      <c r="H16629" s="549"/>
      <c r="I16629" s="564"/>
      <c r="J16629" s="567"/>
      <c r="K16629" s="648">
        <f>SUM(K16590:K16628)/2</f>
        <v>939</v>
      </c>
      <c r="L16629" s="567">
        <f>SUM(L16590:L16628)/2</f>
        <v>67.304405000000003</v>
      </c>
      <c r="M16629" s="648">
        <f>SUM(M16590:M16628)/2</f>
        <v>70</v>
      </c>
      <c r="N16629" s="567">
        <f>SUM(N16590:N16628)/2</f>
        <v>3.8948950000000004</v>
      </c>
      <c r="O16629" s="549"/>
      <c r="P16629" s="549"/>
    </row>
    <row r="16630" spans="1:16" s="1737" customFormat="1" ht="17.399999999999999">
      <c r="A16630" s="549"/>
      <c r="B16630" s="549"/>
      <c r="C16630" s="549"/>
      <c r="D16630" s="549"/>
      <c r="E16630" s="549"/>
      <c r="F16630" s="549"/>
      <c r="G16630" s="549"/>
      <c r="H16630" s="549"/>
      <c r="I16630" s="564"/>
      <c r="J16630" s="567"/>
      <c r="K16630" s="648"/>
      <c r="L16630" s="567"/>
      <c r="M16630" s="549"/>
      <c r="N16630" s="549"/>
      <c r="O16630" s="549"/>
      <c r="P16630" s="549"/>
    </row>
    <row r="16631" spans="1:16" ht="17.399999999999999">
      <c r="A16631" s="549"/>
      <c r="B16631" s="549"/>
      <c r="C16631" s="549"/>
      <c r="D16631" s="549"/>
      <c r="E16631" s="549"/>
      <c r="F16631" s="549"/>
      <c r="G16631" s="549"/>
      <c r="H16631" s="549"/>
      <c r="I16631" s="560"/>
      <c r="J16631" s="549"/>
      <c r="K16631" s="561"/>
      <c r="L16631" s="560"/>
      <c r="M16631" s="549"/>
      <c r="N16631" s="549"/>
      <c r="O16631" s="549"/>
      <c r="P16631" s="549"/>
    </row>
    <row r="16632" spans="1:16" ht="17.399999999999999">
      <c r="A16632" s="547" t="s">
        <v>83</v>
      </c>
      <c r="B16632" s="547" t="s">
        <v>1902</v>
      </c>
      <c r="C16632" s="547" t="s">
        <v>19</v>
      </c>
      <c r="D16632" s="813" t="s">
        <v>854</v>
      </c>
      <c r="E16632" s="768" t="s">
        <v>175</v>
      </c>
      <c r="F16632" s="549">
        <v>11</v>
      </c>
      <c r="G16632" s="549" t="s">
        <v>21</v>
      </c>
      <c r="H16632" s="549" t="s">
        <v>54</v>
      </c>
      <c r="I16632" s="558">
        <v>9.61</v>
      </c>
      <c r="J16632" s="567">
        <v>6.35</v>
      </c>
      <c r="K16632" s="648">
        <v>8</v>
      </c>
      <c r="L16632" s="552">
        <f t="shared" ref="L16632:L16636" si="3378">(I16632*J16632*K16632/1000)</f>
        <v>0.48818799999999996</v>
      </c>
      <c r="M16632" s="549">
        <v>3</v>
      </c>
      <c r="N16632" s="567">
        <f t="shared" ref="N16632" si="3379">J16632*M16632*I16632/1000</f>
        <v>0.18307049999999994</v>
      </c>
      <c r="O16632" s="549"/>
      <c r="P16632" s="549"/>
    </row>
    <row r="16633" spans="1:16" ht="17.399999999999999">
      <c r="A16633" s="549"/>
      <c r="B16633" s="549" t="s">
        <v>1135</v>
      </c>
      <c r="C16633" s="549"/>
      <c r="D16633" s="549"/>
      <c r="E16633" s="549"/>
      <c r="F16633" s="549"/>
      <c r="G16633" s="549" t="s">
        <v>21</v>
      </c>
      <c r="H16633" s="549" t="s">
        <v>54</v>
      </c>
      <c r="I16633" s="558">
        <v>9.61</v>
      </c>
      <c r="J16633" s="567">
        <v>7.3</v>
      </c>
      <c r="K16633" s="648">
        <v>2</v>
      </c>
      <c r="L16633" s="552">
        <f t="shared" si="3378"/>
        <v>0.14030599999999999</v>
      </c>
      <c r="M16633" s="549"/>
      <c r="N16633" s="549"/>
      <c r="O16633" s="549"/>
      <c r="P16633" s="549"/>
    </row>
    <row r="16634" spans="1:16" ht="17.399999999999999">
      <c r="A16634" s="549"/>
      <c r="B16634" s="549"/>
      <c r="C16634" s="549"/>
      <c r="D16634" s="549"/>
      <c r="E16634" s="549"/>
      <c r="F16634" s="549"/>
      <c r="G16634" s="549" t="s">
        <v>21</v>
      </c>
      <c r="H16634" s="549" t="s">
        <v>54</v>
      </c>
      <c r="I16634" s="558">
        <v>9.61</v>
      </c>
      <c r="J16634" s="567">
        <v>8.1</v>
      </c>
      <c r="K16634" s="648">
        <v>6</v>
      </c>
      <c r="L16634" s="552">
        <f t="shared" si="3378"/>
        <v>0.46704599999999996</v>
      </c>
      <c r="M16634" s="549"/>
      <c r="N16634" s="549"/>
      <c r="O16634" s="549"/>
      <c r="P16634" s="549"/>
    </row>
    <row r="16635" spans="1:16" ht="17.399999999999999">
      <c r="A16635" s="549"/>
      <c r="B16635" s="549"/>
      <c r="C16635" s="549"/>
      <c r="D16635" s="549"/>
      <c r="E16635" s="549"/>
      <c r="F16635" s="549"/>
      <c r="G16635" s="549" t="s">
        <v>21</v>
      </c>
      <c r="H16635" s="549" t="s">
        <v>54</v>
      </c>
      <c r="I16635" s="558">
        <v>9.61</v>
      </c>
      <c r="J16635" s="567">
        <v>9.8000000000000007</v>
      </c>
      <c r="K16635" s="648">
        <v>8</v>
      </c>
      <c r="L16635" s="552">
        <f t="shared" si="3378"/>
        <v>0.75342399999999998</v>
      </c>
      <c r="M16635" s="549"/>
      <c r="N16635" s="549"/>
      <c r="O16635" s="549"/>
      <c r="P16635" s="549"/>
    </row>
    <row r="16636" spans="1:16" ht="17.399999999999999">
      <c r="A16636" s="549"/>
      <c r="B16636" s="549"/>
      <c r="C16636" s="549"/>
      <c r="D16636" s="549"/>
      <c r="E16636" s="549"/>
      <c r="F16636" s="549"/>
      <c r="G16636" s="549" t="s">
        <v>21</v>
      </c>
      <c r="H16636" s="549" t="s">
        <v>54</v>
      </c>
      <c r="I16636" s="558">
        <v>9.61</v>
      </c>
      <c r="J16636" s="567">
        <v>11.55</v>
      </c>
      <c r="K16636" s="648">
        <v>8</v>
      </c>
      <c r="L16636" s="552">
        <f t="shared" si="3378"/>
        <v>0.88796400000000009</v>
      </c>
      <c r="M16636" s="549"/>
      <c r="N16636" s="549"/>
      <c r="O16636" s="549"/>
      <c r="P16636" s="549"/>
    </row>
    <row r="16637" spans="1:16" ht="17.399999999999999">
      <c r="A16637" s="549"/>
      <c r="B16637" s="549"/>
      <c r="C16637" s="549"/>
      <c r="D16637" s="549"/>
      <c r="E16637" s="549"/>
      <c r="F16637" s="549"/>
      <c r="G16637" s="549"/>
      <c r="H16637" s="549"/>
      <c r="I16637" s="564"/>
      <c r="J16637" s="567"/>
      <c r="K16637" s="648">
        <f>SUM(K16632:K16636)</f>
        <v>32</v>
      </c>
      <c r="L16637" s="567">
        <f>SUM(L16632:L16636)</f>
        <v>2.7369279999999998</v>
      </c>
      <c r="M16637" s="648">
        <f>SUM(M16632:M16636)</f>
        <v>3</v>
      </c>
      <c r="N16637" s="567">
        <f>SUM(N16632:N16636)</f>
        <v>0.18307049999999994</v>
      </c>
      <c r="O16637" s="549"/>
      <c r="P16637" s="549" t="s">
        <v>1934</v>
      </c>
    </row>
    <row r="16638" spans="1:16" s="1737" customFormat="1" ht="17.399999999999999">
      <c r="A16638" s="549"/>
      <c r="B16638" s="549"/>
      <c r="C16638" s="549"/>
      <c r="D16638" s="549"/>
      <c r="E16638" s="549"/>
      <c r="F16638" s="549"/>
      <c r="G16638" s="549"/>
      <c r="H16638" s="549"/>
      <c r="I16638" s="564"/>
      <c r="J16638" s="567"/>
      <c r="K16638" s="648"/>
      <c r="L16638" s="567"/>
      <c r="M16638" s="549"/>
      <c r="N16638" s="549"/>
      <c r="O16638" s="549"/>
      <c r="P16638" s="549"/>
    </row>
    <row r="16639" spans="1:16" ht="17.399999999999999">
      <c r="A16639" s="547" t="s">
        <v>83</v>
      </c>
      <c r="B16639" s="547" t="s">
        <v>1748</v>
      </c>
      <c r="C16639" s="547" t="s">
        <v>19</v>
      </c>
      <c r="D16639" s="813" t="s">
        <v>854</v>
      </c>
      <c r="E16639" s="650" t="s">
        <v>1884</v>
      </c>
      <c r="F16639" s="549">
        <v>11</v>
      </c>
      <c r="G16639" s="549" t="s">
        <v>21</v>
      </c>
      <c r="H16639" s="549" t="s">
        <v>54</v>
      </c>
      <c r="I16639" s="558">
        <v>9.61</v>
      </c>
      <c r="J16639" s="567">
        <v>8.1</v>
      </c>
      <c r="K16639" s="648">
        <v>120</v>
      </c>
      <c r="L16639" s="552">
        <f t="shared" ref="L16639:L16641" si="3380">(I16639*J16639*K16639/1000)</f>
        <v>9.3409200000000006</v>
      </c>
      <c r="M16639" s="549"/>
      <c r="N16639" s="549"/>
      <c r="O16639" s="549"/>
      <c r="P16639" s="549"/>
    </row>
    <row r="16640" spans="1:16" ht="17.399999999999999">
      <c r="A16640" s="549"/>
      <c r="B16640" s="549" t="s">
        <v>52</v>
      </c>
      <c r="C16640" s="549"/>
      <c r="D16640" s="549"/>
      <c r="E16640" s="549"/>
      <c r="F16640" s="549"/>
      <c r="G16640" s="549" t="s">
        <v>21</v>
      </c>
      <c r="H16640" s="549" t="s">
        <v>54</v>
      </c>
      <c r="I16640" s="558">
        <v>9.61</v>
      </c>
      <c r="J16640" s="567">
        <v>10.45</v>
      </c>
      <c r="K16640" s="648">
        <v>120</v>
      </c>
      <c r="L16640" s="552">
        <f t="shared" si="3380"/>
        <v>12.050939999999997</v>
      </c>
      <c r="M16640" s="549"/>
      <c r="N16640" s="549"/>
      <c r="O16640" s="549"/>
      <c r="P16640" s="549"/>
    </row>
    <row r="16641" spans="1:16" ht="17.399999999999999">
      <c r="A16641" s="549"/>
      <c r="B16641" s="549"/>
      <c r="C16641" s="549"/>
      <c r="D16641" s="549"/>
      <c r="E16641" s="549"/>
      <c r="F16641" s="549"/>
      <c r="G16641" s="549" t="s">
        <v>21</v>
      </c>
      <c r="H16641" s="549" t="s">
        <v>54</v>
      </c>
      <c r="I16641" s="558">
        <v>9.61</v>
      </c>
      <c r="J16641" s="567">
        <v>10.8</v>
      </c>
      <c r="K16641" s="648">
        <v>120</v>
      </c>
      <c r="L16641" s="552">
        <f t="shared" si="3380"/>
        <v>12.454559999999999</v>
      </c>
      <c r="M16641" s="549"/>
      <c r="N16641" s="549"/>
      <c r="O16641" s="549"/>
      <c r="P16641" s="549"/>
    </row>
    <row r="16642" spans="1:16" ht="17.399999999999999">
      <c r="A16642" s="549"/>
      <c r="B16642" s="549"/>
      <c r="C16642" s="549"/>
      <c r="D16642" s="549"/>
      <c r="E16642" s="549"/>
      <c r="F16642" s="549"/>
      <c r="G16642" s="549"/>
      <c r="H16642" s="549"/>
      <c r="I16642" s="558"/>
      <c r="J16642" s="567"/>
      <c r="K16642" s="648">
        <f t="shared" ref="K16642:L16642" si="3381">SUM(K16639:K16641)</f>
        <v>360</v>
      </c>
      <c r="L16642" s="567">
        <f t="shared" si="3381"/>
        <v>33.846419999999995</v>
      </c>
      <c r="M16642" s="549"/>
      <c r="N16642" s="549"/>
      <c r="O16642" s="549"/>
      <c r="P16642" s="549" t="s">
        <v>1935</v>
      </c>
    </row>
    <row r="16643" spans="1:16" s="1737" customFormat="1" ht="17.399999999999999">
      <c r="A16643" s="549"/>
      <c r="B16643" s="549"/>
      <c r="C16643" s="549"/>
      <c r="D16643" s="549"/>
      <c r="E16643" s="549"/>
      <c r="F16643" s="549"/>
      <c r="G16643" s="549"/>
      <c r="H16643" s="549"/>
      <c r="I16643" s="558"/>
      <c r="J16643" s="567"/>
      <c r="K16643" s="648"/>
      <c r="L16643" s="567"/>
      <c r="M16643" s="549"/>
      <c r="N16643" s="549"/>
      <c r="O16643" s="549"/>
      <c r="P16643" s="549"/>
    </row>
    <row r="16644" spans="1:16" ht="17.399999999999999">
      <c r="A16644" s="547" t="s">
        <v>83</v>
      </c>
      <c r="B16644" s="547" t="s">
        <v>1746</v>
      </c>
      <c r="C16644" s="547" t="s">
        <v>19</v>
      </c>
      <c r="D16644" s="813" t="s">
        <v>854</v>
      </c>
      <c r="E16644" s="650" t="s">
        <v>878</v>
      </c>
      <c r="F16644" s="549">
        <v>11</v>
      </c>
      <c r="G16644" s="549" t="s">
        <v>21</v>
      </c>
      <c r="H16644" s="549" t="s">
        <v>54</v>
      </c>
      <c r="I16644" s="558">
        <v>9.61</v>
      </c>
      <c r="J16644" s="567">
        <v>10.9</v>
      </c>
      <c r="K16644" s="648">
        <v>12</v>
      </c>
      <c r="L16644" s="552">
        <f>(I16644*J16644*K16644/1000)</f>
        <v>1.2569879999999998</v>
      </c>
      <c r="M16644" s="549"/>
      <c r="N16644" s="549"/>
      <c r="O16644" s="549"/>
      <c r="P16644" s="549"/>
    </row>
    <row r="16645" spans="1:16" ht="17.399999999999999">
      <c r="A16645" s="549"/>
      <c r="B16645" s="549" t="s">
        <v>1135</v>
      </c>
      <c r="C16645" s="549"/>
      <c r="D16645" s="549"/>
      <c r="E16645" s="549"/>
      <c r="F16645" s="549"/>
      <c r="G16645" s="549"/>
      <c r="H16645" s="549"/>
      <c r="I16645" s="558"/>
      <c r="J16645" s="567"/>
      <c r="K16645" s="648">
        <f t="shared" ref="K16645:L16645" si="3382">SUM(K16644)</f>
        <v>12</v>
      </c>
      <c r="L16645" s="567">
        <f t="shared" si="3382"/>
        <v>1.2569879999999998</v>
      </c>
      <c r="M16645" s="549"/>
      <c r="N16645" s="549"/>
      <c r="O16645" s="549"/>
      <c r="P16645" s="549" t="s">
        <v>1936</v>
      </c>
    </row>
    <row r="16646" spans="1:16" s="1737" customFormat="1" ht="17.399999999999999">
      <c r="A16646" s="549"/>
      <c r="B16646" s="549"/>
      <c r="C16646" s="549"/>
      <c r="D16646" s="549"/>
      <c r="E16646" s="549"/>
      <c r="F16646" s="549"/>
      <c r="G16646" s="549"/>
      <c r="H16646" s="549"/>
      <c r="I16646" s="558"/>
      <c r="J16646" s="567"/>
      <c r="K16646" s="648"/>
      <c r="L16646" s="567"/>
      <c r="M16646" s="549"/>
      <c r="N16646" s="549"/>
      <c r="O16646" s="549"/>
      <c r="P16646" s="549"/>
    </row>
    <row r="16647" spans="1:16" ht="17.399999999999999">
      <c r="A16647" s="547" t="s">
        <v>272</v>
      </c>
      <c r="B16647" s="547" t="s">
        <v>1745</v>
      </c>
      <c r="C16647" s="547" t="s">
        <v>19</v>
      </c>
      <c r="D16647" s="813" t="s">
        <v>854</v>
      </c>
      <c r="E16647" s="547" t="s">
        <v>359</v>
      </c>
      <c r="F16647" s="549">
        <v>11</v>
      </c>
      <c r="G16647" s="549" t="s">
        <v>21</v>
      </c>
      <c r="H16647" s="549" t="s">
        <v>54</v>
      </c>
      <c r="I16647" s="558">
        <v>9.61</v>
      </c>
      <c r="J16647" s="567">
        <v>10</v>
      </c>
      <c r="K16647" s="648">
        <v>8</v>
      </c>
      <c r="L16647" s="552">
        <f t="shared" ref="L16647:L16651" si="3383">(I16647*J16647*K16647/1000)</f>
        <v>0.76879999999999993</v>
      </c>
      <c r="M16647" s="549"/>
      <c r="N16647" s="549"/>
      <c r="O16647" s="549"/>
      <c r="P16647" s="549"/>
    </row>
    <row r="16648" spans="1:16" ht="17.399999999999999">
      <c r="A16648" s="549"/>
      <c r="B16648" s="549" t="s">
        <v>1027</v>
      </c>
      <c r="C16648" s="549"/>
      <c r="D16648" s="549"/>
      <c r="E16648" s="549"/>
      <c r="F16648" s="549"/>
      <c r="G16648" s="549" t="s">
        <v>21</v>
      </c>
      <c r="H16648" s="549" t="s">
        <v>54</v>
      </c>
      <c r="I16648" s="558">
        <v>9.61</v>
      </c>
      <c r="J16648" s="567">
        <v>10.5</v>
      </c>
      <c r="K16648" s="648">
        <v>2</v>
      </c>
      <c r="L16648" s="552">
        <f t="shared" si="3383"/>
        <v>0.20180999999999999</v>
      </c>
      <c r="M16648" s="549"/>
      <c r="N16648" s="549"/>
      <c r="O16648" s="549"/>
      <c r="P16648" s="549"/>
    </row>
    <row r="16649" spans="1:16" ht="17.399999999999999">
      <c r="A16649" s="549"/>
      <c r="B16649" s="549"/>
      <c r="C16649" s="549"/>
      <c r="D16649" s="549"/>
      <c r="E16649" s="549"/>
      <c r="F16649" s="549"/>
      <c r="G16649" s="549" t="s">
        <v>21</v>
      </c>
      <c r="H16649" s="549" t="s">
        <v>54</v>
      </c>
      <c r="I16649" s="558">
        <v>9.61</v>
      </c>
      <c r="J16649" s="567">
        <v>11</v>
      </c>
      <c r="K16649" s="648">
        <v>16</v>
      </c>
      <c r="L16649" s="552">
        <f t="shared" si="3383"/>
        <v>1.69136</v>
      </c>
      <c r="M16649" s="549"/>
      <c r="N16649" s="549"/>
      <c r="O16649" s="549"/>
      <c r="P16649" s="549"/>
    </row>
    <row r="16650" spans="1:16" ht="17.399999999999999">
      <c r="A16650" s="549"/>
      <c r="B16650" s="549"/>
      <c r="C16650" s="549"/>
      <c r="D16650" s="549"/>
      <c r="E16650" s="549"/>
      <c r="F16650" s="549"/>
      <c r="G16650" s="549" t="s">
        <v>21</v>
      </c>
      <c r="H16650" s="549" t="s">
        <v>54</v>
      </c>
      <c r="I16650" s="558">
        <v>9.61</v>
      </c>
      <c r="J16650" s="567">
        <v>11.5</v>
      </c>
      <c r="K16650" s="648">
        <v>2</v>
      </c>
      <c r="L16650" s="552">
        <f t="shared" si="3383"/>
        <v>0.22102999999999998</v>
      </c>
      <c r="M16650" s="549"/>
      <c r="N16650" s="549"/>
      <c r="O16650" s="549"/>
      <c r="P16650" s="549"/>
    </row>
    <row r="16651" spans="1:16" ht="17.399999999999999">
      <c r="A16651" s="549"/>
      <c r="B16651" s="549"/>
      <c r="C16651" s="549"/>
      <c r="D16651" s="549"/>
      <c r="E16651" s="549"/>
      <c r="F16651" s="549"/>
      <c r="G16651" s="549" t="s">
        <v>21</v>
      </c>
      <c r="H16651" s="549" t="s">
        <v>54</v>
      </c>
      <c r="I16651" s="558">
        <v>9.61</v>
      </c>
      <c r="J16651" s="567">
        <v>12</v>
      </c>
      <c r="K16651" s="648">
        <v>5</v>
      </c>
      <c r="L16651" s="552">
        <f t="shared" si="3383"/>
        <v>0.57659999999999989</v>
      </c>
      <c r="M16651" s="549">
        <v>3</v>
      </c>
      <c r="N16651" s="567">
        <f t="shared" ref="N16651" si="3384">J16651*M16651*I16651/1000</f>
        <v>0.34595999999999999</v>
      </c>
      <c r="O16651" s="549"/>
      <c r="P16651" s="549"/>
    </row>
    <row r="16652" spans="1:16" ht="17.399999999999999">
      <c r="A16652" s="549"/>
      <c r="B16652" s="549"/>
      <c r="C16652" s="549"/>
      <c r="D16652" s="549"/>
      <c r="E16652" s="549"/>
      <c r="F16652" s="549"/>
      <c r="G16652" s="549"/>
      <c r="H16652" s="549"/>
      <c r="I16652" s="558"/>
      <c r="J16652" s="567"/>
      <c r="K16652" s="648">
        <f t="shared" ref="K16652:N16652" si="3385">SUM(K16647:K16651)</f>
        <v>33</v>
      </c>
      <c r="L16652" s="567">
        <f>SUM(L16647:L16651)</f>
        <v>3.4596</v>
      </c>
      <c r="M16652" s="648">
        <f t="shared" si="3385"/>
        <v>3</v>
      </c>
      <c r="N16652" s="567">
        <f t="shared" si="3385"/>
        <v>0.34595999999999999</v>
      </c>
      <c r="O16652" s="549"/>
      <c r="P16652" s="549" t="s">
        <v>1937</v>
      </c>
    </row>
    <row r="16653" spans="1:16" s="1737" customFormat="1" ht="17.399999999999999">
      <c r="A16653" s="549"/>
      <c r="B16653" s="549"/>
      <c r="C16653" s="549"/>
      <c r="D16653" s="549"/>
      <c r="E16653" s="549"/>
      <c r="F16653" s="549"/>
      <c r="G16653" s="549"/>
      <c r="H16653" s="549"/>
      <c r="I16653" s="558"/>
      <c r="J16653" s="567"/>
      <c r="K16653" s="648">
        <f>SUM(K16632:K16652)/2</f>
        <v>437</v>
      </c>
      <c r="L16653" s="567">
        <f>SUM(L16632:L16652)/2</f>
        <v>41.299936000000002</v>
      </c>
      <c r="M16653" s="648">
        <f>SUM(M16632:M16652)/2</f>
        <v>6</v>
      </c>
      <c r="N16653" s="567">
        <f>SUM(N16632:N16652)/2</f>
        <v>0.52903049999999996</v>
      </c>
      <c r="O16653" s="549"/>
      <c r="P16653" s="549"/>
    </row>
    <row r="16654" spans="1:16" s="1737" customFormat="1" ht="17.399999999999999">
      <c r="A16654" s="549"/>
      <c r="B16654" s="549"/>
      <c r="C16654" s="549"/>
      <c r="D16654" s="549"/>
      <c r="E16654" s="549"/>
      <c r="F16654" s="549"/>
      <c r="G16654" s="549"/>
      <c r="H16654" s="549"/>
      <c r="I16654" s="558"/>
      <c r="J16654" s="567"/>
      <c r="K16654" s="648"/>
      <c r="L16654" s="567"/>
      <c r="M16654" s="648"/>
      <c r="N16654" s="567"/>
      <c r="O16654" s="549"/>
      <c r="P16654" s="549"/>
    </row>
    <row r="16655" spans="1:16" s="1737" customFormat="1" ht="17.399999999999999">
      <c r="A16655" s="549"/>
      <c r="B16655" s="549"/>
      <c r="C16655" s="549"/>
      <c r="D16655" s="549"/>
      <c r="E16655" s="549"/>
      <c r="F16655" s="549"/>
      <c r="G16655" s="549"/>
      <c r="H16655" s="549"/>
      <c r="I16655" s="558"/>
      <c r="J16655" s="567"/>
      <c r="K16655" s="648"/>
      <c r="L16655" s="567"/>
      <c r="M16655" s="549"/>
      <c r="N16655" s="549"/>
      <c r="O16655" s="549"/>
      <c r="P16655" s="549"/>
    </row>
    <row r="16656" spans="1:16" ht="17.399999999999999">
      <c r="A16656" s="547" t="s">
        <v>272</v>
      </c>
      <c r="B16656" s="547" t="s">
        <v>1745</v>
      </c>
      <c r="C16656" s="547" t="s">
        <v>19</v>
      </c>
      <c r="D16656" s="813" t="s">
        <v>155</v>
      </c>
      <c r="E16656" s="547" t="s">
        <v>270</v>
      </c>
      <c r="F16656" s="549">
        <v>11</v>
      </c>
      <c r="G16656" s="549" t="s">
        <v>61</v>
      </c>
      <c r="H16656" s="549" t="s">
        <v>54</v>
      </c>
      <c r="I16656" s="558">
        <v>9.61</v>
      </c>
      <c r="J16656" s="567">
        <v>10</v>
      </c>
      <c r="K16656" s="648">
        <v>2</v>
      </c>
      <c r="L16656" s="552">
        <f t="shared" ref="L16656:L16657" si="3386">(I16656*J16656*K16656/1000)</f>
        <v>0.19219999999999998</v>
      </c>
      <c r="M16656" s="549"/>
      <c r="N16656" s="549"/>
      <c r="O16656" s="549"/>
      <c r="P16656" s="549"/>
    </row>
    <row r="16657" spans="1:16" ht="17.399999999999999">
      <c r="A16657" s="549"/>
      <c r="B16657" s="549" t="s">
        <v>1027</v>
      </c>
      <c r="C16657" s="549"/>
      <c r="D16657" s="549"/>
      <c r="E16657" s="549"/>
      <c r="F16657" s="549"/>
      <c r="G16657" s="549" t="s">
        <v>61</v>
      </c>
      <c r="H16657" s="549" t="s">
        <v>54</v>
      </c>
      <c r="I16657" s="558">
        <v>9.61</v>
      </c>
      <c r="J16657" s="567">
        <v>12</v>
      </c>
      <c r="K16657" s="648">
        <v>1</v>
      </c>
      <c r="L16657" s="552">
        <f t="shared" si="3386"/>
        <v>0.11531999999999999</v>
      </c>
      <c r="M16657" s="549"/>
      <c r="N16657" s="549"/>
      <c r="O16657" s="549"/>
      <c r="P16657" s="549"/>
    </row>
    <row r="16658" spans="1:16" ht="17.399999999999999">
      <c r="A16658" s="549"/>
      <c r="B16658" s="549"/>
      <c r="C16658" s="549"/>
      <c r="D16658" s="549"/>
      <c r="E16658" s="549"/>
      <c r="F16658" s="549"/>
      <c r="G16658" s="549"/>
      <c r="H16658" s="549"/>
      <c r="I16658" s="558"/>
      <c r="J16658" s="567"/>
      <c r="K16658" s="648">
        <f t="shared" ref="K16658:L16658" si="3387">SUM(K16656:K16657)</f>
        <v>3</v>
      </c>
      <c r="L16658" s="567">
        <f t="shared" si="3387"/>
        <v>0.30751999999999996</v>
      </c>
      <c r="M16658" s="549"/>
      <c r="N16658" s="549"/>
      <c r="O16658" s="549"/>
      <c r="P16658" s="549" t="s">
        <v>1938</v>
      </c>
    </row>
    <row r="16659" spans="1:16" ht="17.399999999999999">
      <c r="A16659" s="549"/>
      <c r="B16659" s="549"/>
      <c r="C16659" s="549"/>
      <c r="D16659" s="549"/>
      <c r="E16659" s="549"/>
      <c r="F16659" s="549"/>
      <c r="G16659" s="549"/>
      <c r="H16659" s="549"/>
      <c r="I16659" s="560"/>
      <c r="J16659" s="549"/>
      <c r="K16659" s="561"/>
      <c r="L16659" s="560"/>
      <c r="M16659" s="549"/>
      <c r="N16659" s="549"/>
      <c r="O16659" s="549"/>
      <c r="P16659" s="549"/>
    </row>
    <row r="16660" spans="1:16" ht="17.399999999999999">
      <c r="A16660" s="547" t="s">
        <v>83</v>
      </c>
      <c r="B16660" s="547" t="s">
        <v>1748</v>
      </c>
      <c r="C16660" s="547" t="s">
        <v>19</v>
      </c>
      <c r="D16660" s="813" t="s">
        <v>60</v>
      </c>
      <c r="E16660" s="650" t="s">
        <v>1885</v>
      </c>
      <c r="F16660" s="549">
        <v>11</v>
      </c>
      <c r="G16660" s="549" t="s">
        <v>61</v>
      </c>
      <c r="H16660" s="549" t="s">
        <v>54</v>
      </c>
      <c r="I16660" s="558">
        <v>9.61</v>
      </c>
      <c r="J16660" s="567">
        <v>6.4</v>
      </c>
      <c r="K16660" s="648">
        <v>240</v>
      </c>
      <c r="L16660" s="552">
        <f t="shared" ref="L16660:L16661" si="3388">(I16660*J16660*K16660/1000)</f>
        <v>14.760959999999999</v>
      </c>
      <c r="M16660" s="549"/>
      <c r="N16660" s="549"/>
      <c r="O16660" s="549"/>
      <c r="P16660" s="549"/>
    </row>
    <row r="16661" spans="1:16" ht="17.399999999999999">
      <c r="A16661" s="549"/>
      <c r="B16661" s="549" t="s">
        <v>52</v>
      </c>
      <c r="C16661" s="549"/>
      <c r="D16661" s="549"/>
      <c r="E16661" s="549"/>
      <c r="F16661" s="549"/>
      <c r="G16661" s="549" t="s">
        <v>61</v>
      </c>
      <c r="H16661" s="549" t="s">
        <v>54</v>
      </c>
      <c r="I16661" s="558">
        <v>9.61</v>
      </c>
      <c r="J16661" s="567">
        <v>6.55</v>
      </c>
      <c r="K16661" s="648">
        <v>240</v>
      </c>
      <c r="L16661" s="552">
        <f t="shared" si="3388"/>
        <v>15.106919999999999</v>
      </c>
      <c r="M16661" s="549">
        <v>2</v>
      </c>
      <c r="N16661" s="567">
        <f t="shared" ref="N16661" si="3389">J16661*M16661*I16661/1000</f>
        <v>0.125891</v>
      </c>
      <c r="O16661" s="549"/>
      <c r="P16661" s="549"/>
    </row>
    <row r="16662" spans="1:16" ht="17.399999999999999">
      <c r="A16662" s="549"/>
      <c r="B16662" s="549"/>
      <c r="C16662" s="549"/>
      <c r="D16662" s="549"/>
      <c r="E16662" s="549"/>
      <c r="F16662" s="549"/>
      <c r="G16662" s="549"/>
      <c r="H16662" s="549"/>
      <c r="I16662" s="558"/>
      <c r="J16662" s="567"/>
      <c r="K16662" s="648">
        <f t="shared" ref="K16662" si="3390">SUM(K16660:K16661)</f>
        <v>480</v>
      </c>
      <c r="L16662" s="567">
        <f>SUM(L16660:L16661)</f>
        <v>29.86788</v>
      </c>
      <c r="M16662" s="648">
        <f t="shared" ref="M16662:N16662" si="3391">SUM(M16660:M16661)</f>
        <v>2</v>
      </c>
      <c r="N16662" s="567">
        <f t="shared" si="3391"/>
        <v>0.125891</v>
      </c>
      <c r="O16662" s="549"/>
      <c r="P16662" s="549" t="s">
        <v>1939</v>
      </c>
    </row>
    <row r="16663" spans="1:16" ht="17.399999999999999">
      <c r="A16663" s="549"/>
      <c r="B16663" s="549"/>
      <c r="C16663" s="549"/>
      <c r="D16663" s="549"/>
      <c r="E16663" s="549"/>
      <c r="F16663" s="549"/>
      <c r="G16663" s="549"/>
      <c r="H16663" s="549"/>
      <c r="I16663" s="560"/>
      <c r="J16663" s="549"/>
      <c r="K16663" s="564">
        <f>SUM(K16656:K16662)/2</f>
        <v>483</v>
      </c>
      <c r="L16663" s="565">
        <f>SUM(L16656:L16662)/2</f>
        <v>30.1754</v>
      </c>
      <c r="M16663" s="652">
        <f>SUM(M16656:M16662)/2</f>
        <v>2</v>
      </c>
      <c r="N16663" s="568">
        <f>SUM(N16656:N16662)/2</f>
        <v>0.125891</v>
      </c>
      <c r="O16663" s="549"/>
      <c r="P16663" s="549"/>
    </row>
    <row r="16664" spans="1:16" ht="17.399999999999999">
      <c r="A16664" s="549"/>
      <c r="B16664" s="549"/>
      <c r="C16664" s="549"/>
      <c r="D16664" s="549"/>
      <c r="E16664" s="549"/>
      <c r="F16664" s="549"/>
      <c r="G16664" s="549"/>
      <c r="H16664" s="549"/>
      <c r="I16664" s="560"/>
      <c r="J16664" s="549"/>
      <c r="K16664" s="561"/>
      <c r="L16664" s="560"/>
      <c r="M16664" s="549"/>
      <c r="N16664" s="549"/>
      <c r="O16664" s="549"/>
      <c r="P16664" s="549"/>
    </row>
    <row r="16665" spans="1:16" ht="17.399999999999999">
      <c r="A16665" s="549"/>
      <c r="B16665" s="549"/>
      <c r="C16665" s="549"/>
      <c r="D16665" s="549"/>
      <c r="E16665" s="549"/>
      <c r="F16665" s="549"/>
      <c r="G16665" s="549"/>
      <c r="H16665" s="549"/>
      <c r="I16665" s="560"/>
      <c r="J16665" s="549"/>
      <c r="K16665" s="561"/>
      <c r="L16665" s="560"/>
      <c r="M16665" s="549"/>
      <c r="N16665" s="549"/>
      <c r="O16665" s="549"/>
      <c r="P16665" s="549"/>
    </row>
    <row r="16666" spans="1:16" ht="17.399999999999999">
      <c r="A16666" s="547" t="s">
        <v>83</v>
      </c>
      <c r="B16666" s="547" t="s">
        <v>1748</v>
      </c>
      <c r="C16666" s="547" t="s">
        <v>19</v>
      </c>
      <c r="D16666" s="813" t="s">
        <v>60</v>
      </c>
      <c r="E16666" s="650" t="s">
        <v>1885</v>
      </c>
      <c r="F16666" s="549">
        <v>11</v>
      </c>
      <c r="G16666" s="549" t="s">
        <v>61</v>
      </c>
      <c r="H16666" s="549" t="s">
        <v>53</v>
      </c>
      <c r="I16666" s="558">
        <v>8.3000000000000007</v>
      </c>
      <c r="J16666" s="567">
        <v>7.15</v>
      </c>
      <c r="K16666" s="648">
        <v>120</v>
      </c>
      <c r="L16666" s="552">
        <f t="shared" ref="L16666:L16668" si="3392">(I16666*J16666*K16666/1000)</f>
        <v>7.1214000000000004</v>
      </c>
      <c r="M16666" s="549">
        <v>10</v>
      </c>
      <c r="N16666" s="567">
        <f t="shared" ref="N16666:N16668" si="3393">J16666*M16666*I16666/1000</f>
        <v>0.59345000000000003</v>
      </c>
      <c r="O16666" s="549"/>
      <c r="P16666" s="549"/>
    </row>
    <row r="16667" spans="1:16" ht="17.399999999999999">
      <c r="A16667" s="549"/>
      <c r="B16667" s="549" t="s">
        <v>52</v>
      </c>
      <c r="C16667" s="549"/>
      <c r="D16667" s="549"/>
      <c r="E16667" s="549"/>
      <c r="F16667" s="549"/>
      <c r="G16667" s="549" t="s">
        <v>61</v>
      </c>
      <c r="H16667" s="549" t="s">
        <v>53</v>
      </c>
      <c r="I16667" s="558">
        <v>8.3000000000000007</v>
      </c>
      <c r="J16667" s="567">
        <v>10.199999999999999</v>
      </c>
      <c r="K16667" s="648">
        <v>240</v>
      </c>
      <c r="L16667" s="552">
        <f t="shared" si="3392"/>
        <v>20.318399999999997</v>
      </c>
      <c r="M16667" s="549"/>
      <c r="N16667" s="567">
        <f t="shared" si="3393"/>
        <v>0</v>
      </c>
      <c r="O16667" s="549"/>
      <c r="P16667" s="549"/>
    </row>
    <row r="16668" spans="1:16" ht="17.399999999999999">
      <c r="A16668" s="549"/>
      <c r="B16668" s="549"/>
      <c r="C16668" s="549"/>
      <c r="D16668" s="549"/>
      <c r="E16668" s="549"/>
      <c r="F16668" s="549"/>
      <c r="G16668" s="549" t="s">
        <v>61</v>
      </c>
      <c r="H16668" s="549" t="s">
        <v>53</v>
      </c>
      <c r="I16668" s="558">
        <v>8.3000000000000007</v>
      </c>
      <c r="J16668" s="567">
        <v>10.4</v>
      </c>
      <c r="K16668" s="648">
        <v>240</v>
      </c>
      <c r="L16668" s="552">
        <f t="shared" si="3392"/>
        <v>20.716800000000003</v>
      </c>
      <c r="M16668" s="549">
        <v>2</v>
      </c>
      <c r="N16668" s="567">
        <f t="shared" si="3393"/>
        <v>0.17264000000000002</v>
      </c>
      <c r="O16668" s="549"/>
      <c r="P16668" s="549"/>
    </row>
    <row r="16669" spans="1:16" ht="17.399999999999999">
      <c r="A16669" s="549"/>
      <c r="B16669" s="549"/>
      <c r="C16669" s="549"/>
      <c r="D16669" s="549"/>
      <c r="E16669" s="549"/>
      <c r="F16669" s="549"/>
      <c r="G16669" s="549"/>
      <c r="H16669" s="549"/>
      <c r="I16669" s="558"/>
      <c r="J16669" s="567"/>
      <c r="K16669" s="648">
        <f t="shared" ref="K16669:N16669" si="3394">SUM(K16666:K16668)</f>
        <v>600</v>
      </c>
      <c r="L16669" s="567">
        <f t="shared" si="3394"/>
        <v>48.156599999999997</v>
      </c>
      <c r="M16669" s="648">
        <f t="shared" si="3394"/>
        <v>12</v>
      </c>
      <c r="N16669" s="567">
        <f t="shared" si="3394"/>
        <v>0.76609000000000005</v>
      </c>
      <c r="O16669" s="549"/>
      <c r="P16669" s="549" t="s">
        <v>1940</v>
      </c>
    </row>
    <row r="16670" spans="1:16" ht="17.399999999999999">
      <c r="A16670" s="549"/>
      <c r="B16670" s="549"/>
      <c r="C16670" s="549"/>
      <c r="D16670" s="549"/>
      <c r="E16670" s="549"/>
      <c r="F16670" s="549"/>
      <c r="G16670" s="549"/>
      <c r="H16670" s="549"/>
      <c r="I16670" s="560"/>
      <c r="J16670" s="549"/>
      <c r="K16670" s="561"/>
      <c r="L16670" s="560"/>
      <c r="M16670" s="549"/>
      <c r="N16670" s="549"/>
      <c r="O16670" s="549"/>
      <c r="P16670" s="549"/>
    </row>
    <row r="16671" spans="1:16" ht="17.399999999999999">
      <c r="A16671" s="547" t="s">
        <v>272</v>
      </c>
      <c r="B16671" s="547" t="s">
        <v>1745</v>
      </c>
      <c r="C16671" s="547" t="s">
        <v>19</v>
      </c>
      <c r="D16671" s="813" t="s">
        <v>155</v>
      </c>
      <c r="E16671" s="547" t="s">
        <v>270</v>
      </c>
      <c r="F16671" s="549">
        <v>8.5</v>
      </c>
      <c r="G16671" s="549" t="s">
        <v>61</v>
      </c>
      <c r="H16671" s="549" t="s">
        <v>53</v>
      </c>
      <c r="I16671" s="558">
        <v>8.32</v>
      </c>
      <c r="J16671" s="567">
        <v>6</v>
      </c>
      <c r="K16671" s="648">
        <v>1</v>
      </c>
      <c r="L16671" s="552">
        <f t="shared" ref="L16671:L16673" si="3395">(I16671*J16671*K16671/1000)</f>
        <v>4.9919999999999999E-2</v>
      </c>
      <c r="M16671" s="549"/>
      <c r="N16671" s="549"/>
      <c r="O16671" s="549"/>
      <c r="P16671" s="549"/>
    </row>
    <row r="16672" spans="1:16" ht="17.399999999999999">
      <c r="A16672" s="549"/>
      <c r="B16672" s="549" t="s">
        <v>1027</v>
      </c>
      <c r="C16672" s="549"/>
      <c r="D16672" s="549"/>
      <c r="E16672" s="549"/>
      <c r="F16672" s="549"/>
      <c r="G16672" s="549" t="s">
        <v>61</v>
      </c>
      <c r="H16672" s="549" t="s">
        <v>53</v>
      </c>
      <c r="I16672" s="558">
        <v>8.32</v>
      </c>
      <c r="J16672" s="567">
        <v>7.2</v>
      </c>
      <c r="K16672" s="648">
        <v>4</v>
      </c>
      <c r="L16672" s="552">
        <f t="shared" si="3395"/>
        <v>0.23961600000000002</v>
      </c>
      <c r="M16672" s="549"/>
      <c r="N16672" s="549"/>
      <c r="O16672" s="549"/>
      <c r="P16672" s="549"/>
    </row>
    <row r="16673" spans="1:16" ht="17.399999999999999">
      <c r="A16673" s="549"/>
      <c r="B16673" s="549"/>
      <c r="C16673" s="549"/>
      <c r="D16673" s="549"/>
      <c r="E16673" s="549"/>
      <c r="F16673" s="549"/>
      <c r="G16673" s="549" t="s">
        <v>61</v>
      </c>
      <c r="H16673" s="549" t="s">
        <v>53</v>
      </c>
      <c r="I16673" s="558">
        <v>8.32</v>
      </c>
      <c r="J16673" s="567">
        <v>11.25</v>
      </c>
      <c r="K16673" s="648">
        <v>2</v>
      </c>
      <c r="L16673" s="552">
        <f t="shared" si="3395"/>
        <v>0.18720000000000001</v>
      </c>
      <c r="M16673" s="549"/>
      <c r="N16673" s="549"/>
      <c r="O16673" s="549"/>
      <c r="P16673" s="549"/>
    </row>
    <row r="16674" spans="1:16" ht="17.399999999999999">
      <c r="A16674" s="549"/>
      <c r="B16674" s="549"/>
      <c r="C16674" s="549"/>
      <c r="D16674" s="549"/>
      <c r="E16674" s="549"/>
      <c r="F16674" s="549"/>
      <c r="G16674" s="549"/>
      <c r="H16674" s="549"/>
      <c r="I16674" s="558"/>
      <c r="J16674" s="567"/>
      <c r="K16674" s="648">
        <f t="shared" ref="K16674:N16674" si="3396">SUM(K16671:K16673)</f>
        <v>7</v>
      </c>
      <c r="L16674" s="567">
        <f t="shared" si="3396"/>
        <v>0.47673600000000005</v>
      </c>
      <c r="M16674" s="648">
        <f t="shared" si="3396"/>
        <v>0</v>
      </c>
      <c r="N16674" s="567">
        <f t="shared" si="3396"/>
        <v>0</v>
      </c>
      <c r="O16674" s="549"/>
      <c r="P16674" s="549" t="s">
        <v>1941</v>
      </c>
    </row>
    <row r="16675" spans="1:16" s="1737" customFormat="1" ht="17.399999999999999">
      <c r="A16675" s="549"/>
      <c r="B16675" s="549"/>
      <c r="C16675" s="549"/>
      <c r="D16675" s="549"/>
      <c r="E16675" s="549"/>
      <c r="F16675" s="549"/>
      <c r="G16675" s="549"/>
      <c r="H16675" s="549"/>
      <c r="I16675" s="558"/>
      <c r="J16675" s="567"/>
      <c r="K16675" s="648"/>
      <c r="L16675" s="567"/>
      <c r="M16675" s="549"/>
      <c r="N16675" s="549"/>
      <c r="O16675" s="549"/>
      <c r="P16675" s="549"/>
    </row>
    <row r="16676" spans="1:16" ht="17.399999999999999">
      <c r="A16676" s="547" t="s">
        <v>272</v>
      </c>
      <c r="B16676" s="547" t="s">
        <v>1900</v>
      </c>
      <c r="C16676" s="547" t="s">
        <v>19</v>
      </c>
      <c r="D16676" s="813" t="s">
        <v>155</v>
      </c>
      <c r="E16676" s="547" t="s">
        <v>270</v>
      </c>
      <c r="F16676" s="549">
        <v>8.5</v>
      </c>
      <c r="G16676" s="549" t="s">
        <v>61</v>
      </c>
      <c r="H16676" s="549" t="s">
        <v>53</v>
      </c>
      <c r="I16676" s="558">
        <v>8.32</v>
      </c>
      <c r="J16676" s="567">
        <v>10</v>
      </c>
      <c r="K16676" s="648">
        <v>1</v>
      </c>
      <c r="L16676" s="552">
        <f>(I16676*J16676*K16676/1000)</f>
        <v>8.3199999999999996E-2</v>
      </c>
      <c r="M16676" s="549"/>
      <c r="N16676" s="549"/>
      <c r="O16676" s="549"/>
      <c r="P16676" s="549"/>
    </row>
    <row r="16677" spans="1:16" ht="17.399999999999999">
      <c r="A16677" s="549"/>
      <c r="B16677" s="549" t="s">
        <v>333</v>
      </c>
      <c r="C16677" s="549"/>
      <c r="D16677" s="549"/>
      <c r="E16677" s="549"/>
      <c r="F16677" s="549"/>
      <c r="G16677" s="549"/>
      <c r="H16677" s="549"/>
      <c r="I16677" s="558"/>
      <c r="J16677" s="567"/>
      <c r="K16677" s="648">
        <f t="shared" ref="K16677" si="3397">SUM(K16676)</f>
        <v>1</v>
      </c>
      <c r="L16677" s="567">
        <f>SUM(L16676)</f>
        <v>8.3199999999999996E-2</v>
      </c>
      <c r="M16677" s="549"/>
      <c r="N16677" s="549"/>
      <c r="O16677" s="549"/>
      <c r="P16677" s="549" t="s">
        <v>1941</v>
      </c>
    </row>
    <row r="16678" spans="1:16" ht="17.399999999999999">
      <c r="A16678" s="549"/>
      <c r="B16678" s="549"/>
      <c r="C16678" s="549"/>
      <c r="D16678" s="549"/>
      <c r="E16678" s="549"/>
      <c r="F16678" s="549"/>
      <c r="G16678" s="549"/>
      <c r="H16678" s="549"/>
      <c r="I16678" s="560"/>
      <c r="J16678" s="549"/>
      <c r="K16678" s="561"/>
      <c r="L16678" s="560"/>
      <c r="M16678" s="549"/>
      <c r="N16678" s="549"/>
      <c r="O16678" s="549"/>
      <c r="P16678" s="549"/>
    </row>
    <row r="16679" spans="1:16" ht="17.399999999999999">
      <c r="A16679" s="547" t="s">
        <v>83</v>
      </c>
      <c r="B16679" s="547" t="s">
        <v>1903</v>
      </c>
      <c r="C16679" s="547" t="s">
        <v>19</v>
      </c>
      <c r="D16679" s="813" t="s">
        <v>155</v>
      </c>
      <c r="E16679" s="547" t="s">
        <v>270</v>
      </c>
      <c r="F16679" s="549">
        <v>8.5</v>
      </c>
      <c r="G16679" s="549" t="s">
        <v>61</v>
      </c>
      <c r="H16679" s="549" t="s">
        <v>53</v>
      </c>
      <c r="I16679" s="558">
        <v>8.32</v>
      </c>
      <c r="J16679" s="567">
        <v>10</v>
      </c>
      <c r="K16679" s="648">
        <v>1</v>
      </c>
      <c r="L16679" s="552">
        <f>(I16679*J16679*K16679/1000)</f>
        <v>8.3199999999999996E-2</v>
      </c>
      <c r="M16679" s="549"/>
      <c r="N16679" s="549"/>
      <c r="O16679" s="549"/>
      <c r="P16679" s="549"/>
    </row>
    <row r="16680" spans="1:16" ht="17.399999999999999">
      <c r="A16680" s="549"/>
      <c r="B16680" s="549" t="s">
        <v>619</v>
      </c>
      <c r="C16680" s="549"/>
      <c r="D16680" s="549"/>
      <c r="E16680" s="549"/>
      <c r="F16680" s="549"/>
      <c r="G16680" s="549"/>
      <c r="H16680" s="549"/>
      <c r="I16680" s="558"/>
      <c r="J16680" s="567"/>
      <c r="K16680" s="648">
        <f t="shared" ref="K16680" si="3398">SUM(K16679)</f>
        <v>1</v>
      </c>
      <c r="L16680" s="567">
        <f>SUM(L16679)</f>
        <v>8.3199999999999996E-2</v>
      </c>
      <c r="M16680" s="549"/>
      <c r="N16680" s="549"/>
      <c r="O16680" s="549"/>
      <c r="P16680" s="549" t="s">
        <v>1941</v>
      </c>
    </row>
    <row r="16681" spans="1:16" s="1737" customFormat="1" ht="17.399999999999999">
      <c r="A16681" s="549"/>
      <c r="B16681" s="549"/>
      <c r="C16681" s="549"/>
      <c r="D16681" s="549"/>
      <c r="E16681" s="549"/>
      <c r="F16681" s="549"/>
      <c r="G16681" s="549"/>
      <c r="H16681" s="549"/>
      <c r="I16681" s="558"/>
      <c r="J16681" s="567"/>
      <c r="K16681" s="648">
        <f>SUM(K16666:K16680)/2</f>
        <v>609</v>
      </c>
      <c r="L16681" s="567">
        <f>SUM(L16666:L16680)/2</f>
        <v>48.79973600000001</v>
      </c>
      <c r="M16681" s="648">
        <f>SUM(M16666:M16680)/2</f>
        <v>12</v>
      </c>
      <c r="N16681" s="567">
        <f>SUM(N16666:N16680)/2</f>
        <v>0.76609000000000005</v>
      </c>
      <c r="O16681" s="549"/>
      <c r="P16681" s="549"/>
    </row>
    <row r="16682" spans="1:16" s="1737" customFormat="1" ht="17.399999999999999">
      <c r="A16682" s="549"/>
      <c r="B16682" s="549"/>
      <c r="C16682" s="549"/>
      <c r="D16682" s="549"/>
      <c r="E16682" s="549"/>
      <c r="F16682" s="549"/>
      <c r="G16682" s="549"/>
      <c r="H16682" s="549"/>
      <c r="I16682" s="558"/>
      <c r="J16682" s="567"/>
      <c r="K16682" s="648"/>
      <c r="L16682" s="567"/>
      <c r="M16682" s="549"/>
      <c r="N16682" s="549"/>
      <c r="O16682" s="549"/>
      <c r="P16682" s="549"/>
    </row>
    <row r="16683" spans="1:16" ht="17.399999999999999">
      <c r="A16683" s="549"/>
      <c r="B16683" s="549"/>
      <c r="C16683" s="549"/>
      <c r="D16683" s="549"/>
      <c r="E16683" s="549"/>
      <c r="F16683" s="549"/>
      <c r="G16683" s="549"/>
      <c r="H16683" s="549"/>
      <c r="I16683" s="560"/>
      <c r="J16683" s="549"/>
      <c r="K16683" s="561"/>
      <c r="L16683" s="560"/>
      <c r="M16683" s="549"/>
      <c r="N16683" s="549"/>
      <c r="O16683" s="549"/>
      <c r="P16683" s="549"/>
    </row>
    <row r="16684" spans="1:16" ht="17.399999999999999">
      <c r="A16684" s="549"/>
      <c r="B16684" s="549"/>
      <c r="C16684" s="549"/>
      <c r="D16684" s="549"/>
      <c r="E16684" s="549"/>
      <c r="F16684" s="549"/>
      <c r="G16684" s="549"/>
      <c r="H16684" s="549"/>
      <c r="I16684" s="560"/>
      <c r="J16684" s="549"/>
      <c r="K16684" s="561"/>
      <c r="L16684" s="560"/>
      <c r="M16684" s="549"/>
      <c r="N16684" s="549"/>
      <c r="O16684" s="549"/>
      <c r="P16684" s="549"/>
    </row>
    <row r="16685" spans="1:16" ht="17.399999999999999">
      <c r="A16685" s="549"/>
      <c r="B16685" s="549"/>
      <c r="C16685" s="549"/>
      <c r="D16685" s="549"/>
      <c r="E16685" s="549"/>
      <c r="F16685" s="549"/>
      <c r="G16685" s="549"/>
      <c r="H16685" s="549"/>
      <c r="I16685" s="560"/>
      <c r="J16685" s="549"/>
      <c r="K16685" s="561"/>
      <c r="L16685" s="560"/>
      <c r="M16685" s="549"/>
      <c r="N16685" s="549"/>
      <c r="O16685" s="549"/>
      <c r="P16685" s="549"/>
    </row>
    <row r="16686" spans="1:16" ht="17.399999999999999">
      <c r="A16686" s="547" t="s">
        <v>272</v>
      </c>
      <c r="B16686" s="547" t="s">
        <v>1901</v>
      </c>
      <c r="C16686" s="547" t="s">
        <v>19</v>
      </c>
      <c r="D16686" s="813" t="s">
        <v>155</v>
      </c>
      <c r="E16686" s="547" t="s">
        <v>270</v>
      </c>
      <c r="F16686" s="549">
        <v>8.5</v>
      </c>
      <c r="G16686" s="549" t="s">
        <v>61</v>
      </c>
      <c r="H16686" s="549" t="s">
        <v>53</v>
      </c>
      <c r="I16686" s="558">
        <v>8.32</v>
      </c>
      <c r="J16686" s="567">
        <v>6</v>
      </c>
      <c r="K16686" s="648">
        <v>1</v>
      </c>
      <c r="L16686" s="552">
        <f t="shared" ref="L16686:L16688" si="3399">(I16686*J16686*K16686/1000)</f>
        <v>4.9919999999999999E-2</v>
      </c>
      <c r="M16686" s="549">
        <v>1</v>
      </c>
      <c r="N16686" s="567">
        <f t="shared" ref="N16686:N16688" si="3400">J16686*M16686*I16686/1000</f>
        <v>4.9919999999999999E-2</v>
      </c>
      <c r="O16686" s="549"/>
      <c r="P16686" s="549"/>
    </row>
    <row r="16687" spans="1:16" ht="17.399999999999999">
      <c r="A16687" s="549"/>
      <c r="B16687" s="549" t="s">
        <v>271</v>
      </c>
      <c r="C16687" s="549"/>
      <c r="D16687" s="549"/>
      <c r="E16687" s="549"/>
      <c r="F16687" s="549"/>
      <c r="G16687" s="549" t="s">
        <v>61</v>
      </c>
      <c r="H16687" s="549" t="s">
        <v>53</v>
      </c>
      <c r="I16687" s="558">
        <v>8.32</v>
      </c>
      <c r="J16687" s="567">
        <v>6</v>
      </c>
      <c r="K16687" s="648">
        <v>1</v>
      </c>
      <c r="L16687" s="552">
        <f t="shared" si="3399"/>
        <v>4.9919999999999999E-2</v>
      </c>
      <c r="M16687" s="549">
        <v>1</v>
      </c>
      <c r="N16687" s="567">
        <f t="shared" si="3400"/>
        <v>4.9919999999999999E-2</v>
      </c>
      <c r="O16687" s="549"/>
      <c r="P16687" s="549"/>
    </row>
    <row r="16688" spans="1:16" ht="17.399999999999999">
      <c r="A16688" s="549"/>
      <c r="B16688" s="549"/>
      <c r="C16688" s="549"/>
      <c r="D16688" s="549"/>
      <c r="E16688" s="549"/>
      <c r="F16688" s="549"/>
      <c r="G16688" s="549" t="s">
        <v>61</v>
      </c>
      <c r="H16688" s="549" t="s">
        <v>53</v>
      </c>
      <c r="I16688" s="558">
        <v>8.32</v>
      </c>
      <c r="J16688" s="567">
        <v>6</v>
      </c>
      <c r="K16688" s="648">
        <v>1</v>
      </c>
      <c r="L16688" s="552">
        <f t="shared" si="3399"/>
        <v>4.9919999999999999E-2</v>
      </c>
      <c r="M16688" s="549">
        <v>1</v>
      </c>
      <c r="N16688" s="567">
        <f t="shared" si="3400"/>
        <v>4.9919999999999999E-2</v>
      </c>
      <c r="O16688" s="549"/>
      <c r="P16688" s="549"/>
    </row>
    <row r="16689" spans="1:16" ht="17.399999999999999">
      <c r="A16689" s="549"/>
      <c r="B16689" s="549"/>
      <c r="C16689" s="549"/>
      <c r="D16689" s="549"/>
      <c r="E16689" s="549"/>
      <c r="F16689" s="549"/>
      <c r="G16689" s="549"/>
      <c r="H16689" s="549"/>
      <c r="I16689" s="558"/>
      <c r="J16689" s="567"/>
      <c r="K16689" s="648">
        <f>SUM(K16686:K16688)</f>
        <v>3</v>
      </c>
      <c r="L16689" s="567">
        <f>SUM(L16686:L16688)</f>
        <v>0.14976</v>
      </c>
      <c r="M16689" s="648">
        <f>SUM(M16686:M16688)</f>
        <v>3</v>
      </c>
      <c r="N16689" s="567">
        <f>SUM(N16686:N16688)</f>
        <v>0.14976</v>
      </c>
      <c r="O16689" s="549"/>
      <c r="P16689" s="549"/>
    </row>
    <row r="16690" spans="1:16" ht="17.399999999999999">
      <c r="A16690" s="549"/>
      <c r="B16690" s="549"/>
      <c r="C16690" s="549"/>
      <c r="D16690" s="549"/>
      <c r="E16690" s="549"/>
      <c r="F16690" s="549"/>
      <c r="G16690" s="549"/>
      <c r="H16690" s="549"/>
      <c r="I16690" s="560"/>
      <c r="J16690" s="549"/>
      <c r="K16690" s="561"/>
      <c r="L16690" s="560"/>
      <c r="M16690" s="549"/>
      <c r="N16690" s="549"/>
      <c r="O16690" s="549"/>
      <c r="P16690" s="549"/>
    </row>
    <row r="16691" spans="1:16" ht="17.399999999999999">
      <c r="A16691" s="549"/>
      <c r="B16691" s="549"/>
      <c r="C16691" s="549"/>
      <c r="D16691" s="549"/>
      <c r="E16691" s="549"/>
      <c r="F16691" s="549"/>
      <c r="G16691" s="549"/>
      <c r="H16691" s="549"/>
      <c r="I16691" s="560"/>
      <c r="J16691" s="549"/>
      <c r="K16691" s="561"/>
      <c r="L16691" s="560"/>
      <c r="M16691" s="549"/>
      <c r="N16691" s="549"/>
      <c r="O16691" s="549"/>
      <c r="P16691" s="549"/>
    </row>
    <row r="16692" spans="1:16" ht="17.399999999999999">
      <c r="A16692" s="547" t="s">
        <v>83</v>
      </c>
      <c r="B16692" s="547" t="s">
        <v>1903</v>
      </c>
      <c r="C16692" s="547" t="s">
        <v>19</v>
      </c>
      <c r="D16692" s="813" t="s">
        <v>155</v>
      </c>
      <c r="E16692" s="547" t="s">
        <v>270</v>
      </c>
      <c r="F16692" s="549">
        <v>8.5</v>
      </c>
      <c r="G16692" s="549" t="s">
        <v>61</v>
      </c>
      <c r="H16692" s="549" t="s">
        <v>366</v>
      </c>
      <c r="I16692" s="558">
        <v>10.92</v>
      </c>
      <c r="J16692" s="567">
        <v>11.5</v>
      </c>
      <c r="K16692" s="648">
        <v>6</v>
      </c>
      <c r="L16692" s="552">
        <f>(I16692*J16692*K16692/1000)</f>
        <v>0.75348000000000004</v>
      </c>
      <c r="M16692" s="549">
        <v>6</v>
      </c>
      <c r="N16692" s="567">
        <f>J16692*M16692*I16692/1000</f>
        <v>0.75348000000000004</v>
      </c>
      <c r="O16692" s="549" t="s">
        <v>1906</v>
      </c>
      <c r="P16692" s="549"/>
    </row>
    <row r="16693" spans="1:16" ht="17.399999999999999">
      <c r="A16693" s="549"/>
      <c r="B16693" s="549" t="s">
        <v>1820</v>
      </c>
      <c r="C16693" s="549"/>
      <c r="D16693" s="549"/>
      <c r="E16693" s="549"/>
      <c r="F16693" s="549"/>
      <c r="G16693" s="549"/>
      <c r="H16693" s="549"/>
      <c r="I16693" s="558"/>
      <c r="J16693" s="567"/>
      <c r="K16693" s="648">
        <f t="shared" ref="K16693:M16693" si="3401">SUM(K16692)</f>
        <v>6</v>
      </c>
      <c r="L16693" s="567">
        <f>SUM(L16692)</f>
        <v>0.75348000000000004</v>
      </c>
      <c r="M16693" s="648">
        <f t="shared" si="3401"/>
        <v>6</v>
      </c>
      <c r="N16693" s="567">
        <f>SUM(N16692)</f>
        <v>0.75348000000000004</v>
      </c>
      <c r="O16693" s="549"/>
      <c r="P16693" s="549"/>
    </row>
    <row r="16694" spans="1:16" s="1737" customFormat="1" ht="17.399999999999999">
      <c r="A16694" s="549"/>
      <c r="B16694" s="549"/>
      <c r="C16694" s="549"/>
      <c r="D16694" s="549"/>
      <c r="E16694" s="549"/>
      <c r="F16694" s="549"/>
      <c r="G16694" s="549"/>
      <c r="H16694" s="549"/>
      <c r="I16694" s="558"/>
      <c r="J16694" s="567"/>
      <c r="K16694" s="648"/>
      <c r="L16694" s="567"/>
      <c r="M16694" s="648"/>
      <c r="N16694" s="567"/>
      <c r="O16694" s="549"/>
      <c r="P16694" s="549"/>
    </row>
    <row r="16695" spans="1:16" s="1737" customFormat="1" ht="17.399999999999999">
      <c r="A16695" s="549"/>
      <c r="B16695" s="549"/>
      <c r="C16695" s="549"/>
      <c r="D16695" s="549"/>
      <c r="E16695" s="549"/>
      <c r="F16695" s="549"/>
      <c r="G16695" s="549"/>
      <c r="H16695" s="549"/>
      <c r="I16695" s="558"/>
      <c r="J16695" s="567"/>
      <c r="K16695" s="648"/>
      <c r="L16695" s="567"/>
      <c r="M16695" s="648"/>
      <c r="N16695" s="567"/>
      <c r="O16695" s="549"/>
      <c r="P16695" s="549"/>
    </row>
    <row r="16696" spans="1:16" s="1737" customFormat="1" ht="17.399999999999999">
      <c r="A16696" s="549"/>
      <c r="B16696" s="549"/>
      <c r="C16696" s="549"/>
      <c r="D16696" s="549"/>
      <c r="E16696" s="549"/>
      <c r="F16696" s="549"/>
      <c r="G16696" s="549"/>
      <c r="H16696" s="549"/>
      <c r="I16696" s="558"/>
      <c r="J16696" s="567"/>
      <c r="K16696" s="648"/>
      <c r="L16696" s="567"/>
      <c r="M16696" s="648"/>
      <c r="N16696" s="567"/>
      <c r="O16696" s="549"/>
      <c r="P16696" s="549"/>
    </row>
    <row r="16697" spans="1:16" s="1737" customFormat="1" ht="17.399999999999999">
      <c r="A16697" s="547" t="s">
        <v>272</v>
      </c>
      <c r="B16697" s="547" t="s">
        <v>1665</v>
      </c>
      <c r="C16697" s="547" t="s">
        <v>446</v>
      </c>
      <c r="D16697" s="813" t="s">
        <v>450</v>
      </c>
      <c r="E16697" s="547" t="s">
        <v>270</v>
      </c>
      <c r="F16697" s="550">
        <v>11</v>
      </c>
      <c r="G16697" s="549" t="s">
        <v>61</v>
      </c>
      <c r="H16697" s="549" t="s">
        <v>53</v>
      </c>
      <c r="I16697" s="558">
        <v>8.32</v>
      </c>
      <c r="J16697" s="567">
        <v>12</v>
      </c>
      <c r="K16697" s="648">
        <v>36</v>
      </c>
      <c r="L16697" s="552">
        <f>(I16697*J16697*K16697/1000)</f>
        <v>3.5942400000000001</v>
      </c>
      <c r="M16697" s="648"/>
      <c r="N16697" s="567"/>
      <c r="O16697" s="549"/>
      <c r="P16697" s="549"/>
    </row>
    <row r="16698" spans="1:16" s="1737" customFormat="1" ht="17.399999999999999">
      <c r="A16698" s="549"/>
      <c r="B16698" s="754" t="s">
        <v>364</v>
      </c>
      <c r="C16698" s="549"/>
      <c r="D16698" s="549"/>
      <c r="E16698" s="549"/>
      <c r="F16698" s="549"/>
      <c r="G16698" s="549"/>
      <c r="H16698" s="549"/>
      <c r="I16698" s="558"/>
      <c r="J16698" s="567"/>
      <c r="K16698" s="648">
        <f t="shared" ref="K16698" si="3402">SUM(K16697)</f>
        <v>36</v>
      </c>
      <c r="L16698" s="552">
        <f>SUM(L16697)</f>
        <v>3.5942400000000001</v>
      </c>
      <c r="M16698" s="648"/>
      <c r="N16698" s="567"/>
      <c r="O16698" s="549"/>
      <c r="P16698" s="549"/>
    </row>
    <row r="16699" spans="1:16" s="1737" customFormat="1" ht="17.399999999999999">
      <c r="A16699" s="549"/>
      <c r="B16699" s="549"/>
      <c r="C16699" s="549"/>
      <c r="D16699" s="549"/>
      <c r="E16699" s="549"/>
      <c r="F16699" s="549"/>
      <c r="G16699" s="549"/>
      <c r="H16699" s="549"/>
      <c r="I16699" s="558"/>
      <c r="J16699" s="567"/>
      <c r="K16699" s="648"/>
      <c r="L16699" s="567"/>
      <c r="M16699" s="648"/>
      <c r="N16699" s="567"/>
      <c r="O16699" s="549"/>
      <c r="P16699" s="549"/>
    </row>
    <row r="16700" spans="1:16" s="1737" customFormat="1" ht="17.399999999999999">
      <c r="A16700" s="549"/>
      <c r="B16700" s="549"/>
      <c r="C16700" s="549"/>
      <c r="D16700" s="549"/>
      <c r="E16700" s="549"/>
      <c r="F16700" s="549"/>
      <c r="G16700" s="549"/>
      <c r="H16700" s="549"/>
      <c r="I16700" s="558"/>
      <c r="J16700" s="567"/>
      <c r="K16700" s="648"/>
      <c r="L16700" s="567"/>
      <c r="M16700" s="648"/>
      <c r="N16700" s="567"/>
      <c r="O16700" s="549"/>
      <c r="P16700" s="549"/>
    </row>
    <row r="16701" spans="1:16" s="1737" customFormat="1" ht="17.399999999999999">
      <c r="A16701" s="547" t="s">
        <v>272</v>
      </c>
      <c r="B16701" s="547" t="s">
        <v>1665</v>
      </c>
      <c r="C16701" s="547" t="s">
        <v>446</v>
      </c>
      <c r="D16701" s="813" t="s">
        <v>450</v>
      </c>
      <c r="E16701" s="547" t="s">
        <v>270</v>
      </c>
      <c r="F16701" s="550">
        <v>11</v>
      </c>
      <c r="G16701" s="549" t="s">
        <v>61</v>
      </c>
      <c r="H16701" s="550" t="s">
        <v>91</v>
      </c>
      <c r="I16701" s="558">
        <v>6.97</v>
      </c>
      <c r="J16701" s="567">
        <v>6.6</v>
      </c>
      <c r="K16701" s="648">
        <v>15</v>
      </c>
      <c r="L16701" s="552">
        <f>(I16701*J16701*K16701/1000)</f>
        <v>0.69002999999999992</v>
      </c>
      <c r="M16701" s="648"/>
      <c r="N16701" s="567"/>
      <c r="O16701" s="549"/>
      <c r="P16701" s="549"/>
    </row>
    <row r="16702" spans="1:16" s="1737" customFormat="1" ht="17.399999999999999">
      <c r="A16702" s="547"/>
      <c r="B16702" s="754" t="s">
        <v>364</v>
      </c>
      <c r="C16702" s="547"/>
      <c r="D16702" s="813"/>
      <c r="E16702" s="547"/>
      <c r="F16702" s="550"/>
      <c r="G16702" s="549" t="s">
        <v>61</v>
      </c>
      <c r="H16702" s="549" t="s">
        <v>91</v>
      </c>
      <c r="I16702" s="558">
        <v>6.97</v>
      </c>
      <c r="J16702" s="567">
        <v>10</v>
      </c>
      <c r="K16702" s="648">
        <v>7</v>
      </c>
      <c r="L16702" s="552">
        <f>(I16702*J16702*K16702/1000)</f>
        <v>0.48790000000000006</v>
      </c>
      <c r="M16702" s="648"/>
      <c r="N16702" s="567"/>
      <c r="O16702" s="549"/>
      <c r="P16702" s="549"/>
    </row>
    <row r="16703" spans="1:16" s="1737" customFormat="1" ht="17.399999999999999">
      <c r="A16703" s="549"/>
      <c r="B16703" s="550"/>
      <c r="C16703" s="549"/>
      <c r="D16703" s="549"/>
      <c r="E16703" s="549"/>
      <c r="F16703" s="549"/>
      <c r="G16703" s="549" t="s">
        <v>61</v>
      </c>
      <c r="H16703" s="549" t="s">
        <v>91</v>
      </c>
      <c r="I16703" s="558">
        <v>6.97</v>
      </c>
      <c r="J16703" s="567">
        <v>12</v>
      </c>
      <c r="K16703" s="648">
        <v>4</v>
      </c>
      <c r="L16703" s="552">
        <f>(I16703*J16703*K16703/1000)</f>
        <v>0.33456000000000002</v>
      </c>
      <c r="M16703" s="648"/>
      <c r="N16703" s="567"/>
      <c r="O16703" s="549"/>
      <c r="P16703" s="549"/>
    </row>
    <row r="16704" spans="1:16" s="1737" customFormat="1" ht="17.399999999999999">
      <c r="A16704" s="549"/>
      <c r="B16704" s="549"/>
      <c r="C16704" s="549"/>
      <c r="D16704" s="549"/>
      <c r="E16704" s="549"/>
      <c r="F16704" s="549"/>
      <c r="G16704" s="549"/>
      <c r="H16704" s="549"/>
      <c r="I16704" s="558"/>
      <c r="J16704" s="567"/>
      <c r="K16704" s="648">
        <f t="shared" ref="K16704" si="3403">SUM(K16701:K16703)</f>
        <v>26</v>
      </c>
      <c r="L16704" s="567">
        <f>SUM(L16701:L16703)</f>
        <v>1.5124899999999999</v>
      </c>
      <c r="M16704" s="648"/>
      <c r="N16704" s="567"/>
      <c r="O16704" s="549"/>
      <c r="P16704" s="549"/>
    </row>
    <row r="16705" spans="1:16" s="1737" customFormat="1" ht="17.399999999999999">
      <c r="A16705" s="549"/>
      <c r="B16705" s="549"/>
      <c r="C16705" s="549"/>
      <c r="D16705" s="549"/>
      <c r="E16705" s="549"/>
      <c r="F16705" s="549"/>
      <c r="G16705" s="549"/>
      <c r="H16705" s="549"/>
      <c r="I16705" s="558"/>
      <c r="J16705" s="567"/>
      <c r="K16705" s="648"/>
      <c r="L16705" s="567"/>
      <c r="M16705" s="648"/>
      <c r="N16705" s="567"/>
      <c r="O16705" s="549"/>
      <c r="P16705" s="549"/>
    </row>
    <row r="16706" spans="1:16" s="1737" customFormat="1" ht="17.399999999999999">
      <c r="A16706" s="549"/>
      <c r="B16706" s="549"/>
      <c r="C16706" s="549"/>
      <c r="D16706" s="549"/>
      <c r="E16706" s="549"/>
      <c r="F16706" s="549"/>
      <c r="G16706" s="549"/>
      <c r="H16706" s="549"/>
      <c r="I16706" s="558"/>
      <c r="J16706" s="567"/>
      <c r="K16706" s="648"/>
      <c r="L16706" s="567"/>
      <c r="M16706" s="648"/>
      <c r="N16706" s="567"/>
      <c r="O16706" s="549"/>
      <c r="P16706" s="549"/>
    </row>
    <row r="16707" spans="1:16" s="1737" customFormat="1" ht="17.399999999999999">
      <c r="A16707" s="547" t="s">
        <v>272</v>
      </c>
      <c r="B16707" s="547" t="s">
        <v>1665</v>
      </c>
      <c r="C16707" s="547" t="s">
        <v>446</v>
      </c>
      <c r="D16707" s="813" t="s">
        <v>447</v>
      </c>
      <c r="E16707" s="547" t="s">
        <v>359</v>
      </c>
      <c r="F16707" s="550">
        <v>11</v>
      </c>
      <c r="G16707" s="549" t="s">
        <v>21</v>
      </c>
      <c r="H16707" s="549" t="s">
        <v>91</v>
      </c>
      <c r="I16707" s="558">
        <v>6.97</v>
      </c>
      <c r="J16707" s="567">
        <v>7.3</v>
      </c>
      <c r="K16707" s="648">
        <v>15</v>
      </c>
      <c r="L16707" s="552">
        <f>(I16707*J16707*K16707/1000)</f>
        <v>0.76321499999999998</v>
      </c>
      <c r="M16707" s="549"/>
      <c r="N16707" s="567"/>
      <c r="O16707" s="549"/>
      <c r="P16707" s="549"/>
    </row>
    <row r="16708" spans="1:16" s="1737" customFormat="1" ht="17.399999999999999">
      <c r="A16708" s="549"/>
      <c r="B16708" s="754" t="s">
        <v>364</v>
      </c>
      <c r="C16708" s="754"/>
      <c r="D16708" s="549"/>
      <c r="E16708" s="549"/>
      <c r="F16708" s="549"/>
      <c r="G16708" s="549" t="s">
        <v>21</v>
      </c>
      <c r="H16708" s="549" t="s">
        <v>91</v>
      </c>
      <c r="I16708" s="558">
        <v>6.97</v>
      </c>
      <c r="J16708" s="567">
        <v>12</v>
      </c>
      <c r="K16708" s="648">
        <v>15</v>
      </c>
      <c r="L16708" s="552">
        <f>(I16708*J16708*K16708/1000)</f>
        <v>1.2545999999999999</v>
      </c>
      <c r="M16708" s="648"/>
      <c r="N16708" s="567"/>
      <c r="O16708" s="549"/>
      <c r="P16708" s="549"/>
    </row>
    <row r="16709" spans="1:16" s="1737" customFormat="1" ht="17.399999999999999">
      <c r="A16709" s="549"/>
      <c r="B16709" s="549"/>
      <c r="C16709" s="549"/>
      <c r="D16709" s="549"/>
      <c r="E16709" s="549"/>
      <c r="F16709" s="549"/>
      <c r="G16709" s="549"/>
      <c r="H16709" s="549"/>
      <c r="I16709" s="558"/>
      <c r="J16709" s="567"/>
      <c r="K16709" s="648">
        <f>SUM(K16707:K16708)</f>
        <v>30</v>
      </c>
      <c r="L16709" s="567">
        <f>SUM(L16707:L16708)</f>
        <v>2.0178149999999997</v>
      </c>
      <c r="M16709" s="648"/>
      <c r="N16709" s="567"/>
      <c r="O16709" s="549"/>
      <c r="P16709" s="549"/>
    </row>
    <row r="16710" spans="1:16" s="1737" customFormat="1" ht="17.399999999999999">
      <c r="A16710" s="549"/>
      <c r="B16710" s="549"/>
      <c r="C16710" s="549"/>
      <c r="D16710" s="549"/>
      <c r="E16710" s="549"/>
      <c r="F16710" s="549"/>
      <c r="G16710" s="549"/>
      <c r="H16710" s="549"/>
      <c r="I16710" s="558"/>
      <c r="J16710" s="567"/>
      <c r="K16710" s="648"/>
      <c r="L16710" s="567"/>
      <c r="M16710" s="648"/>
      <c r="N16710" s="567"/>
      <c r="O16710" s="549"/>
      <c r="P16710" s="549"/>
    </row>
    <row r="16711" spans="1:16" s="1737" customFormat="1" ht="17.399999999999999">
      <c r="A16711" s="547" t="s">
        <v>272</v>
      </c>
      <c r="B16711" s="547" t="s">
        <v>1665</v>
      </c>
      <c r="C16711" s="547" t="s">
        <v>446</v>
      </c>
      <c r="D16711" s="813" t="s">
        <v>447</v>
      </c>
      <c r="E16711" s="547" t="s">
        <v>359</v>
      </c>
      <c r="F16711" s="550">
        <v>11</v>
      </c>
      <c r="G16711" s="549" t="s">
        <v>21</v>
      </c>
      <c r="H16711" s="550" t="s">
        <v>53</v>
      </c>
      <c r="I16711" s="558">
        <v>8.32</v>
      </c>
      <c r="J16711" s="567">
        <v>8.8000000000000007</v>
      </c>
      <c r="K16711" s="648">
        <v>15</v>
      </c>
      <c r="L16711" s="552">
        <f>(I16711*J16711*K16711/1000)</f>
        <v>1.0982400000000003</v>
      </c>
      <c r="M16711" s="549"/>
      <c r="N16711" s="567"/>
      <c r="O16711" s="549"/>
      <c r="P16711" s="549"/>
    </row>
    <row r="16712" spans="1:16" s="1737" customFormat="1" ht="17.399999999999999">
      <c r="A16712" s="549"/>
      <c r="B16712" s="754" t="s">
        <v>364</v>
      </c>
      <c r="C16712" s="549"/>
      <c r="D16712" s="549"/>
      <c r="E16712" s="549"/>
      <c r="F16712" s="549"/>
      <c r="G16712" s="549" t="s">
        <v>21</v>
      </c>
      <c r="H16712" s="549" t="s">
        <v>53</v>
      </c>
      <c r="I16712" s="558">
        <v>8.32</v>
      </c>
      <c r="J16712" s="567">
        <v>9</v>
      </c>
      <c r="K16712" s="648">
        <v>12</v>
      </c>
      <c r="L16712" s="552">
        <f>(I16712*J16712*K16712/1000)</f>
        <v>0.89855999999999991</v>
      </c>
      <c r="M16712" s="549"/>
      <c r="N16712" s="567"/>
      <c r="O16712" s="549"/>
      <c r="P16712" s="549"/>
    </row>
    <row r="16713" spans="1:16" s="1737" customFormat="1" ht="17.399999999999999">
      <c r="A16713" s="549"/>
      <c r="B16713" s="549"/>
      <c r="C16713" s="549"/>
      <c r="D16713" s="549"/>
      <c r="E16713" s="549"/>
      <c r="F16713" s="549"/>
      <c r="G16713" s="549" t="s">
        <v>21</v>
      </c>
      <c r="H16713" s="549" t="s">
        <v>53</v>
      </c>
      <c r="I16713" s="558">
        <v>8.32</v>
      </c>
      <c r="J16713" s="567">
        <v>12</v>
      </c>
      <c r="K16713" s="648">
        <v>10</v>
      </c>
      <c r="L16713" s="552">
        <f>(I16713*J16713*K16713/1000)</f>
        <v>0.99840000000000007</v>
      </c>
      <c r="M16713" s="549"/>
      <c r="N16713" s="567"/>
      <c r="O16713" s="549"/>
      <c r="P16713" s="549"/>
    </row>
    <row r="16714" spans="1:16" s="1737" customFormat="1" ht="17.399999999999999">
      <c r="A16714" s="549"/>
      <c r="B16714" s="549"/>
      <c r="C16714" s="549"/>
      <c r="D16714" s="549"/>
      <c r="E16714" s="549"/>
      <c r="F16714" s="549"/>
      <c r="G16714" s="549"/>
      <c r="H16714" s="549"/>
      <c r="I16714" s="558"/>
      <c r="J16714" s="567"/>
      <c r="K16714" s="648">
        <f>SUM(K16711:K16713)</f>
        <v>37</v>
      </c>
      <c r="L16714" s="567">
        <f>SUM(L16711:L16713)</f>
        <v>2.9952000000000005</v>
      </c>
      <c r="M16714" s="648"/>
      <c r="N16714" s="567"/>
      <c r="O16714" s="549"/>
      <c r="P16714" s="549"/>
    </row>
    <row r="16715" spans="1:16" s="1737" customFormat="1" ht="17.399999999999999">
      <c r="A16715" s="549"/>
      <c r="B16715" s="549"/>
      <c r="C16715" s="549"/>
      <c r="D16715" s="549"/>
      <c r="E16715" s="549"/>
      <c r="F16715" s="549"/>
      <c r="G16715" s="549"/>
      <c r="H16715" s="549"/>
      <c r="I16715" s="558"/>
      <c r="J16715" s="567"/>
      <c r="K16715" s="648"/>
      <c r="L16715" s="567"/>
      <c r="M16715" s="648"/>
      <c r="N16715" s="567"/>
      <c r="O16715" s="549"/>
      <c r="P16715" s="549"/>
    </row>
    <row r="16716" spans="1:16" s="1737" customFormat="1" ht="17.399999999999999">
      <c r="A16716" s="549"/>
      <c r="B16716" s="549"/>
      <c r="C16716" s="549"/>
      <c r="D16716" s="549"/>
      <c r="E16716" s="549"/>
      <c r="F16716" s="549"/>
      <c r="G16716" s="549"/>
      <c r="H16716" s="549"/>
      <c r="I16716" s="558"/>
      <c r="J16716" s="567"/>
      <c r="K16716" s="648"/>
      <c r="L16716" s="567"/>
      <c r="M16716" s="648"/>
      <c r="N16716" s="567"/>
      <c r="O16716" s="549"/>
      <c r="P16716" s="549"/>
    </row>
    <row r="16717" spans="1:16" s="1737" customFormat="1" ht="17.399999999999999">
      <c r="A16717" s="549"/>
      <c r="B16717" s="549"/>
      <c r="C16717" s="549"/>
      <c r="D16717" s="549"/>
      <c r="E16717" s="549"/>
      <c r="F16717" s="549"/>
      <c r="G16717" s="549"/>
      <c r="H16717" s="549"/>
      <c r="I16717" s="558"/>
      <c r="J16717" s="567"/>
      <c r="K16717" s="648"/>
      <c r="L16717" s="567"/>
      <c r="M16717" s="648"/>
      <c r="N16717" s="567"/>
      <c r="O16717" s="549"/>
      <c r="P16717" s="549"/>
    </row>
    <row r="16718" spans="1:16" s="1737" customFormat="1" ht="17.399999999999999">
      <c r="A16718" s="549"/>
      <c r="B16718" s="549"/>
      <c r="C16718" s="549"/>
      <c r="D16718" s="549"/>
      <c r="E16718" s="549"/>
      <c r="F16718" s="549"/>
      <c r="G16718" s="549"/>
      <c r="H16718" s="549"/>
      <c r="I16718" s="558"/>
      <c r="J16718" s="567"/>
      <c r="K16718" s="648"/>
      <c r="L16718" s="567"/>
      <c r="M16718" s="648"/>
      <c r="N16718" s="567"/>
      <c r="O16718" s="549"/>
      <c r="P16718" s="549"/>
    </row>
    <row r="16719" spans="1:16" s="1737" customFormat="1" ht="17.399999999999999">
      <c r="A16719" s="549"/>
      <c r="B16719" s="549"/>
      <c r="C16719" s="549"/>
      <c r="D16719" s="549"/>
      <c r="E16719" s="549"/>
      <c r="F16719" s="549"/>
      <c r="G16719" s="549"/>
      <c r="H16719" s="549"/>
      <c r="I16719" s="558"/>
      <c r="J16719" s="567"/>
      <c r="K16719" s="648"/>
      <c r="L16719" s="567"/>
      <c r="M16719" s="549"/>
      <c r="N16719" s="549"/>
      <c r="O16719" s="549"/>
      <c r="P16719" s="549"/>
    </row>
    <row r="16720" spans="1:16" ht="17.399999999999999">
      <c r="A16720" s="549"/>
      <c r="B16720" s="549"/>
      <c r="C16720" s="549"/>
      <c r="D16720" s="549"/>
      <c r="E16720" s="549"/>
      <c r="F16720" s="549"/>
      <c r="G16720" s="549"/>
      <c r="H16720" s="549"/>
      <c r="I16720" s="560"/>
      <c r="J16720" s="549"/>
      <c r="K16720" s="564">
        <f>+K16693+K16689+K16663+K16681+K16653+K16629</f>
        <v>2477</v>
      </c>
      <c r="L16720" s="568">
        <f>+L16693+L16689+L16663+L16681+L16653+L16629+L16704+L16698+L16714+L16709</f>
        <v>198.60246200000006</v>
      </c>
      <c r="M16720" s="564">
        <f>+M16693+M16689+M16663+M16681+M16653+M16629</f>
        <v>99</v>
      </c>
      <c r="N16720" s="568">
        <f>+N16693+N16689+N16663+N16681+N16653+N16629</f>
        <v>6.2191465000000008</v>
      </c>
      <c r="O16720" s="549"/>
      <c r="P16720" s="549"/>
    </row>
    <row r="16721" spans="1:16" ht="18">
      <c r="A16721" s="653" t="s">
        <v>48</v>
      </c>
      <c r="B16721" s="653"/>
      <c r="C16721" s="654"/>
      <c r="D16721" s="654"/>
      <c r="E16721" s="654"/>
      <c r="F16721" s="1928"/>
      <c r="G16721" s="654"/>
      <c r="H16721" s="1928"/>
      <c r="I16721" s="656"/>
      <c r="J16721" s="654"/>
      <c r="K16721" s="657"/>
      <c r="L16721" s="2003" t="s">
        <v>0</v>
      </c>
      <c r="M16721" s="2003"/>
      <c r="N16721" s="2003"/>
      <c r="O16721" s="2004"/>
      <c r="P16721" s="1097"/>
    </row>
    <row r="16722" spans="1:16" ht="18">
      <c r="A16722" s="658" t="s">
        <v>1</v>
      </c>
      <c r="B16722" s="658"/>
      <c r="C16722" s="658"/>
      <c r="D16722" s="659" t="s">
        <v>2</v>
      </c>
      <c r="E16722" s="659"/>
      <c r="F16722" s="660"/>
      <c r="G16722" s="660"/>
      <c r="H16722" s="660"/>
      <c r="I16722" s="661"/>
      <c r="J16722" s="660"/>
      <c r="K16722" s="662" t="s">
        <v>3</v>
      </c>
      <c r="L16722" s="660"/>
      <c r="M16722" s="658"/>
      <c r="N16722" s="660"/>
      <c r="O16722" s="663"/>
      <c r="P16722" s="1098"/>
    </row>
    <row r="16723" spans="1:16" ht="18">
      <c r="A16723" s="1928" t="s">
        <v>22</v>
      </c>
      <c r="B16723" s="1990" t="s">
        <v>23</v>
      </c>
      <c r="C16723" s="2005"/>
      <c r="D16723" s="1989"/>
      <c r="E16723" s="1928" t="s">
        <v>24</v>
      </c>
      <c r="F16723" s="1990" t="s">
        <v>25</v>
      </c>
      <c r="G16723" s="1989"/>
      <c r="H16723" s="1990" t="s">
        <v>26</v>
      </c>
      <c r="I16723" s="2005"/>
      <c r="J16723" s="2005"/>
      <c r="K16723" s="1989"/>
      <c r="L16723" s="2006" t="s">
        <v>27</v>
      </c>
      <c r="M16723" s="2006"/>
      <c r="N16723" s="2006"/>
      <c r="O16723" s="1990"/>
      <c r="P16723" s="1098"/>
    </row>
    <row r="16724" spans="1:16" ht="18">
      <c r="A16724" s="664"/>
      <c r="B16724" s="1975"/>
      <c r="C16724" s="1976"/>
      <c r="D16724" s="1977"/>
      <c r="E16724" s="665"/>
      <c r="F16724" s="1975"/>
      <c r="G16724" s="1977"/>
      <c r="H16724" s="1975"/>
      <c r="I16724" s="1976"/>
      <c r="J16724" s="1976"/>
      <c r="K16724" s="1977"/>
      <c r="L16724" s="1975"/>
      <c r="M16724" s="1976"/>
      <c r="N16724" s="1976"/>
      <c r="O16724" s="1976"/>
      <c r="P16724" s="1098"/>
    </row>
    <row r="16725" spans="1:16" s="1737" customFormat="1" ht="18">
      <c r="A16725" s="664"/>
      <c r="B16725" s="1918"/>
      <c r="C16725" s="1919"/>
      <c r="D16725" s="1920"/>
      <c r="E16725" s="665"/>
      <c r="F16725" s="1918"/>
      <c r="G16725" s="1920"/>
      <c r="H16725" s="1918"/>
      <c r="I16725" s="1919"/>
      <c r="J16725" s="1919"/>
      <c r="K16725" s="1920"/>
      <c r="L16725" s="1919"/>
      <c r="M16725" s="1919"/>
      <c r="N16725" s="1919"/>
      <c r="O16725" s="1919"/>
      <c r="P16725" s="1098"/>
    </row>
    <row r="16726" spans="1:16" s="1737" customFormat="1" ht="18">
      <c r="A16726" s="664" t="s">
        <v>28</v>
      </c>
      <c r="B16726" s="1975" t="s">
        <v>55</v>
      </c>
      <c r="C16726" s="1976"/>
      <c r="D16726" s="1977"/>
      <c r="E16726" s="665">
        <f>+L16629-3.895</f>
        <v>63.409405</v>
      </c>
      <c r="F16726" s="1973">
        <v>11</v>
      </c>
      <c r="G16726" s="1974"/>
      <c r="H16726" s="1975" t="s">
        <v>854</v>
      </c>
      <c r="I16726" s="1976"/>
      <c r="J16726" s="1976"/>
      <c r="K16726" s="1977"/>
      <c r="L16726" s="1976" t="s">
        <v>65</v>
      </c>
      <c r="M16726" s="1976"/>
      <c r="N16726" s="1976"/>
      <c r="O16726" s="1976"/>
      <c r="P16726" s="1098"/>
    </row>
    <row r="16727" spans="1:16" s="1737" customFormat="1" ht="18">
      <c r="A16727" s="664" t="s">
        <v>29</v>
      </c>
      <c r="B16727" s="1975" t="s">
        <v>56</v>
      </c>
      <c r="C16727" s="1976"/>
      <c r="D16727" s="1977"/>
      <c r="E16727" s="665">
        <f>+L16653-0.529</f>
        <v>40.770935999999999</v>
      </c>
      <c r="F16727" s="1973">
        <v>11</v>
      </c>
      <c r="G16727" s="1974"/>
      <c r="H16727" s="1975" t="s">
        <v>854</v>
      </c>
      <c r="I16727" s="1976"/>
      <c r="J16727" s="1976"/>
      <c r="K16727" s="1977"/>
      <c r="L16727" s="1976" t="s">
        <v>65</v>
      </c>
      <c r="M16727" s="1976"/>
      <c r="N16727" s="1976"/>
      <c r="O16727" s="1976"/>
      <c r="P16727" s="1098"/>
    </row>
    <row r="16728" spans="1:16" s="1737" customFormat="1" ht="18">
      <c r="A16728" s="664"/>
      <c r="B16728" s="1918"/>
      <c r="C16728" s="1919"/>
      <c r="D16728" s="1920"/>
      <c r="E16728" s="665"/>
      <c r="F16728" s="1921"/>
      <c r="G16728" s="1922"/>
      <c r="H16728" s="1918"/>
      <c r="I16728" s="1919"/>
      <c r="J16728" s="1919"/>
      <c r="K16728" s="1920"/>
      <c r="L16728" s="1919"/>
      <c r="M16728" s="1919"/>
      <c r="N16728" s="1919"/>
      <c r="O16728" s="1919"/>
      <c r="P16728" s="1098"/>
    </row>
    <row r="16729" spans="1:16" s="1737" customFormat="1" ht="18">
      <c r="A16729" s="664" t="s">
        <v>30</v>
      </c>
      <c r="B16729" s="1975" t="s">
        <v>279</v>
      </c>
      <c r="C16729" s="1976"/>
      <c r="D16729" s="1977"/>
      <c r="E16729" s="665">
        <f>+L16663-0.126</f>
        <v>30.049399999999999</v>
      </c>
      <c r="F16729" s="1973">
        <v>11</v>
      </c>
      <c r="G16729" s="1974"/>
      <c r="H16729" s="1975" t="s">
        <v>60</v>
      </c>
      <c r="I16729" s="1976"/>
      <c r="J16729" s="1976"/>
      <c r="K16729" s="1977"/>
      <c r="L16729" s="1976" t="s">
        <v>64</v>
      </c>
      <c r="M16729" s="1976"/>
      <c r="N16729" s="1976"/>
      <c r="O16729" s="1976"/>
      <c r="P16729" s="1098"/>
    </row>
    <row r="16730" spans="1:16" s="1737" customFormat="1" ht="18">
      <c r="A16730" s="664" t="s">
        <v>46</v>
      </c>
      <c r="B16730" s="1975" t="s">
        <v>280</v>
      </c>
      <c r="C16730" s="1976"/>
      <c r="D16730" s="1977"/>
      <c r="E16730" s="665">
        <f>+L16681-0.766</f>
        <v>48.033736000000012</v>
      </c>
      <c r="F16730" s="1973">
        <v>11</v>
      </c>
      <c r="G16730" s="1974"/>
      <c r="H16730" s="1975" t="s">
        <v>60</v>
      </c>
      <c r="I16730" s="1976"/>
      <c r="J16730" s="1976"/>
      <c r="K16730" s="1977"/>
      <c r="L16730" s="1976" t="s">
        <v>64</v>
      </c>
      <c r="M16730" s="1976"/>
      <c r="N16730" s="1976"/>
      <c r="O16730" s="1976"/>
      <c r="P16730" s="1098"/>
    </row>
    <row r="16731" spans="1:16" s="1737" customFormat="1" ht="18">
      <c r="A16731" s="664"/>
      <c r="B16731" s="1975"/>
      <c r="C16731" s="1976"/>
      <c r="D16731" s="1977"/>
      <c r="E16731" s="665"/>
      <c r="F16731" s="1973"/>
      <c r="G16731" s="1974"/>
      <c r="H16731" s="1975"/>
      <c r="I16731" s="1976"/>
      <c r="J16731" s="1976"/>
      <c r="K16731" s="1977"/>
      <c r="L16731" s="1976"/>
      <c r="M16731" s="1976"/>
      <c r="N16731" s="1976"/>
      <c r="O16731" s="1976"/>
      <c r="P16731" s="1098"/>
    </row>
    <row r="16732" spans="1:16" s="1737" customFormat="1" ht="18">
      <c r="A16732" s="664"/>
      <c r="B16732" s="1918"/>
      <c r="C16732" s="1919"/>
      <c r="D16732" s="1920"/>
      <c r="E16732" s="665"/>
      <c r="F16732" s="1921"/>
      <c r="G16732" s="1922"/>
      <c r="H16732" s="1919"/>
      <c r="I16732" s="1919"/>
      <c r="J16732" s="1919"/>
      <c r="K16732" s="1919"/>
      <c r="L16732" s="1919"/>
      <c r="M16732" s="1919"/>
      <c r="N16732" s="1919"/>
      <c r="O16732" s="1919"/>
      <c r="P16732" s="1098"/>
    </row>
    <row r="16733" spans="1:16" s="1737" customFormat="1" ht="18">
      <c r="A16733" s="664" t="s">
        <v>58</v>
      </c>
      <c r="B16733" s="1975" t="s">
        <v>280</v>
      </c>
      <c r="C16733" s="1976"/>
      <c r="D16733" s="1977"/>
      <c r="E16733" s="665">
        <f>+L16698</f>
        <v>3.5942400000000001</v>
      </c>
      <c r="F16733" s="1973">
        <v>11</v>
      </c>
      <c r="G16733" s="1974"/>
      <c r="H16733" s="1975" t="s">
        <v>450</v>
      </c>
      <c r="I16733" s="1976"/>
      <c r="J16733" s="1976"/>
      <c r="K16733" s="1977"/>
      <c r="L16733" s="1976" t="s">
        <v>64</v>
      </c>
      <c r="M16733" s="1976"/>
      <c r="N16733" s="1976"/>
      <c r="O16733" s="1976"/>
      <c r="P16733" s="1098"/>
    </row>
    <row r="16734" spans="1:16" s="1737" customFormat="1" ht="18">
      <c r="A16734" s="664" t="s">
        <v>163</v>
      </c>
      <c r="B16734" s="1975" t="s">
        <v>676</v>
      </c>
      <c r="C16734" s="1976"/>
      <c r="D16734" s="1977"/>
      <c r="E16734" s="665">
        <v>2</v>
      </c>
      <c r="F16734" s="1973">
        <v>11</v>
      </c>
      <c r="G16734" s="1974"/>
      <c r="H16734" s="1975" t="s">
        <v>450</v>
      </c>
      <c r="I16734" s="1976"/>
      <c r="J16734" s="1976"/>
      <c r="K16734" s="1977"/>
      <c r="L16734" s="1976" t="s">
        <v>64</v>
      </c>
      <c r="M16734" s="1976"/>
      <c r="N16734" s="1976"/>
      <c r="O16734" s="1976"/>
      <c r="P16734" s="1098"/>
    </row>
    <row r="16735" spans="1:16" s="1737" customFormat="1" ht="18">
      <c r="A16735" s="664"/>
      <c r="B16735" s="1918"/>
      <c r="C16735" s="1919"/>
      <c r="D16735" s="1920"/>
      <c r="E16735" s="665"/>
      <c r="F16735" s="1921"/>
      <c r="G16735" s="1922"/>
      <c r="H16735" s="1918"/>
      <c r="I16735" s="1919"/>
      <c r="J16735" s="1919"/>
      <c r="K16735" s="1920"/>
      <c r="L16735" s="1919"/>
      <c r="M16735" s="1919"/>
      <c r="N16735" s="1919"/>
      <c r="O16735" s="1919"/>
      <c r="P16735" s="1098"/>
    </row>
    <row r="16736" spans="1:16" ht="18">
      <c r="A16736" s="664" t="s">
        <v>302</v>
      </c>
      <c r="B16736" s="1975" t="s">
        <v>79</v>
      </c>
      <c r="C16736" s="1976"/>
      <c r="D16736" s="1977"/>
      <c r="E16736" s="665">
        <v>2</v>
      </c>
      <c r="F16736" s="1973">
        <v>11</v>
      </c>
      <c r="G16736" s="1974"/>
      <c r="H16736" s="1975" t="s">
        <v>447</v>
      </c>
      <c r="I16736" s="1976"/>
      <c r="J16736" s="1976"/>
      <c r="K16736" s="1977"/>
      <c r="L16736" s="1976" t="s">
        <v>65</v>
      </c>
      <c r="M16736" s="1976"/>
      <c r="N16736" s="1976"/>
      <c r="O16736" s="1976"/>
      <c r="P16736" s="1098"/>
    </row>
    <row r="16737" spans="1:16" ht="18">
      <c r="A16737" s="664" t="s">
        <v>380</v>
      </c>
      <c r="B16737" s="1975" t="s">
        <v>55</v>
      </c>
      <c r="C16737" s="1976"/>
      <c r="D16737" s="1977"/>
      <c r="E16737" s="665">
        <v>3</v>
      </c>
      <c r="F16737" s="1973">
        <v>11</v>
      </c>
      <c r="G16737" s="1974"/>
      <c r="H16737" s="1975" t="s">
        <v>447</v>
      </c>
      <c r="I16737" s="1976"/>
      <c r="J16737" s="1976"/>
      <c r="K16737" s="1977"/>
      <c r="L16737" s="1976" t="s">
        <v>65</v>
      </c>
      <c r="M16737" s="1976"/>
      <c r="N16737" s="1976"/>
      <c r="O16737" s="1976"/>
      <c r="P16737" s="1098"/>
    </row>
    <row r="16738" spans="1:16" ht="18">
      <c r="A16738" s="664"/>
      <c r="B16738" s="1975"/>
      <c r="C16738" s="1976"/>
      <c r="D16738" s="1977"/>
      <c r="E16738" s="665"/>
      <c r="F16738" s="1973"/>
      <c r="G16738" s="1974"/>
      <c r="H16738" s="1975"/>
      <c r="I16738" s="1976"/>
      <c r="J16738" s="1976"/>
      <c r="K16738" s="1977"/>
      <c r="L16738" s="1976"/>
      <c r="M16738" s="1976"/>
      <c r="N16738" s="1976"/>
      <c r="O16738" s="1976"/>
      <c r="P16738" s="1098"/>
    </row>
    <row r="16739" spans="1:16" ht="18.600000000000001" thickBot="1">
      <c r="A16739" s="664"/>
      <c r="B16739" s="1918"/>
      <c r="C16739" s="1919"/>
      <c r="D16739" s="1919"/>
      <c r="E16739" s="665"/>
      <c r="F16739" s="1919"/>
      <c r="G16739" s="1920"/>
      <c r="H16739" s="1918"/>
      <c r="I16739" s="1919"/>
      <c r="J16739" s="1919"/>
      <c r="K16739" s="669"/>
      <c r="L16739" s="672"/>
      <c r="M16739" s="673"/>
      <c r="N16739" s="673"/>
      <c r="O16739" s="673"/>
      <c r="P16739" s="1098"/>
    </row>
    <row r="16740" spans="1:16" ht="18">
      <c r="A16740" s="674"/>
      <c r="B16740" s="675"/>
      <c r="C16740" s="676"/>
      <c r="D16740" s="676"/>
      <c r="E16740" s="1980">
        <f>SUM(E16724:E16739)</f>
        <v>192.85771700000001</v>
      </c>
      <c r="F16740" s="677"/>
      <c r="G16740" s="678"/>
      <c r="H16740" s="679"/>
      <c r="I16740" s="1924"/>
      <c r="J16740" s="676"/>
      <c r="K16740" s="680"/>
      <c r="L16740" s="679"/>
      <c r="M16740" s="676"/>
      <c r="N16740" s="677"/>
      <c r="O16740" s="676"/>
      <c r="P16740" s="1098"/>
    </row>
    <row r="16741" spans="1:16" ht="18.600000000000001" thickBot="1">
      <c r="A16741" s="681"/>
      <c r="B16741" s="682"/>
      <c r="C16741" s="683"/>
      <c r="D16741" s="683"/>
      <c r="E16741" s="1981"/>
      <c r="F16741" s="684"/>
      <c r="G16741" s="685"/>
      <c r="H16741" s="686"/>
      <c r="I16741" s="1926"/>
      <c r="J16741" s="683"/>
      <c r="K16741" s="687"/>
      <c r="L16741" s="686"/>
      <c r="M16741" s="683"/>
      <c r="N16741" s="684"/>
      <c r="O16741" s="683"/>
      <c r="P16741" s="1098"/>
    </row>
    <row r="16742" spans="1:16" ht="18">
      <c r="A16742" s="688" t="s">
        <v>31</v>
      </c>
      <c r="B16742" s="676"/>
      <c r="C16742" s="676"/>
      <c r="D16742" s="676"/>
      <c r="E16742" s="676"/>
      <c r="F16742" s="677"/>
      <c r="G16742" s="676"/>
      <c r="H16742" s="677"/>
      <c r="I16742" s="1924"/>
      <c r="J16742" s="676"/>
      <c r="K16742" s="689"/>
      <c r="L16742" s="677"/>
      <c r="M16742" s="676"/>
      <c r="N16742" s="677"/>
      <c r="O16742" s="676"/>
      <c r="P16742" s="1098"/>
    </row>
    <row r="16743" spans="1:16" ht="18">
      <c r="A16743" s="690"/>
      <c r="B16743" s="691"/>
      <c r="C16743" s="691"/>
      <c r="D16743" s="691"/>
      <c r="E16743" s="691"/>
      <c r="F16743" s="1917"/>
      <c r="G16743" s="691"/>
      <c r="H16743" s="1917"/>
      <c r="I16743" s="1925"/>
      <c r="J16743" s="691"/>
      <c r="K16743" s="693"/>
      <c r="L16743" s="1917"/>
      <c r="M16743" s="691"/>
      <c r="N16743" s="1917"/>
      <c r="O16743" s="691"/>
      <c r="P16743" s="1098"/>
    </row>
    <row r="16744" spans="1:16" ht="18.600000000000001" thickBot="1">
      <c r="A16744" s="1982" t="s">
        <v>32</v>
      </c>
      <c r="B16744" s="1983"/>
      <c r="C16744" s="1984" t="s">
        <v>33</v>
      </c>
      <c r="D16744" s="1985"/>
      <c r="E16744" s="694" t="s">
        <v>34</v>
      </c>
      <c r="F16744" s="694" t="s">
        <v>35</v>
      </c>
      <c r="G16744" s="1986" t="s">
        <v>36</v>
      </c>
      <c r="H16744" s="1987"/>
      <c r="I16744" s="1987"/>
      <c r="J16744" s="1987"/>
      <c r="K16744" s="1987"/>
      <c r="L16744" s="1987"/>
      <c r="M16744" s="1987"/>
      <c r="N16744" s="1987"/>
      <c r="O16744" s="1987"/>
      <c r="P16744" s="1098"/>
    </row>
    <row r="16745" spans="1:16" ht="18">
      <c r="A16745" s="1988"/>
      <c r="B16745" s="1989"/>
      <c r="C16745" s="1990"/>
      <c r="D16745" s="1989"/>
      <c r="E16745" s="1928"/>
      <c r="F16745" s="1923"/>
      <c r="G16745" s="1991"/>
      <c r="H16745" s="1992"/>
      <c r="I16745" s="1992"/>
      <c r="J16745" s="1992"/>
      <c r="K16745" s="1992"/>
      <c r="L16745" s="1992"/>
      <c r="M16745" s="1992"/>
      <c r="N16745" s="1992"/>
      <c r="O16745" s="1992"/>
      <c r="P16745" s="1098"/>
    </row>
    <row r="16746" spans="1:16" ht="18">
      <c r="A16746" s="1997" t="s">
        <v>37</v>
      </c>
      <c r="B16746" s="1998"/>
      <c r="C16746" s="1990"/>
      <c r="D16746" s="1989"/>
      <c r="E16746" s="1928"/>
      <c r="F16746" s="1923"/>
      <c r="G16746" s="1993"/>
      <c r="H16746" s="1994"/>
      <c r="I16746" s="1994"/>
      <c r="J16746" s="1994"/>
      <c r="K16746" s="1994"/>
      <c r="L16746" s="1994"/>
      <c r="M16746" s="1994"/>
      <c r="N16746" s="1994"/>
      <c r="O16746" s="1994"/>
      <c r="P16746" s="1098"/>
    </row>
    <row r="16747" spans="1:16" ht="18">
      <c r="A16747" s="1997" t="s">
        <v>38</v>
      </c>
      <c r="B16747" s="1998"/>
      <c r="C16747" s="1990"/>
      <c r="D16747" s="1989"/>
      <c r="E16747" s="1928"/>
      <c r="F16747" s="1923"/>
      <c r="G16747" s="1993"/>
      <c r="H16747" s="1994"/>
      <c r="I16747" s="1994"/>
      <c r="J16747" s="1994"/>
      <c r="K16747" s="1994"/>
      <c r="L16747" s="1994"/>
      <c r="M16747" s="1994"/>
      <c r="N16747" s="1994"/>
      <c r="O16747" s="1994"/>
      <c r="P16747" s="1098"/>
    </row>
    <row r="16748" spans="1:16" ht="18">
      <c r="A16748" s="1997" t="s">
        <v>39</v>
      </c>
      <c r="B16748" s="1998"/>
      <c r="C16748" s="1990"/>
      <c r="D16748" s="1989"/>
      <c r="E16748" s="1928"/>
      <c r="F16748" s="1923"/>
      <c r="G16748" s="1993"/>
      <c r="H16748" s="1994"/>
      <c r="I16748" s="1994"/>
      <c r="J16748" s="1994"/>
      <c r="K16748" s="1994"/>
      <c r="L16748" s="1994"/>
      <c r="M16748" s="1994"/>
      <c r="N16748" s="1994"/>
      <c r="O16748" s="1994"/>
      <c r="P16748" s="1098"/>
    </row>
    <row r="16749" spans="1:16" ht="18">
      <c r="A16749" s="1997" t="s">
        <v>40</v>
      </c>
      <c r="B16749" s="1998"/>
      <c r="C16749" s="1990"/>
      <c r="D16749" s="1989"/>
      <c r="E16749" s="1928"/>
      <c r="F16749" s="1923"/>
      <c r="G16749" s="1993"/>
      <c r="H16749" s="1994"/>
      <c r="I16749" s="1994"/>
      <c r="J16749" s="1994"/>
      <c r="K16749" s="1994"/>
      <c r="L16749" s="1994"/>
      <c r="M16749" s="1994"/>
      <c r="N16749" s="1994"/>
      <c r="O16749" s="1994"/>
      <c r="P16749" s="1098"/>
    </row>
    <row r="16750" spans="1:16" ht="18.600000000000001" thickBot="1">
      <c r="A16750" s="1999" t="s">
        <v>41</v>
      </c>
      <c r="B16750" s="2000"/>
      <c r="C16750" s="2001"/>
      <c r="D16750" s="2002"/>
      <c r="E16750" s="696"/>
      <c r="F16750" s="1927"/>
      <c r="G16750" s="1995"/>
      <c r="H16750" s="1996"/>
      <c r="I16750" s="1996"/>
      <c r="J16750" s="1996"/>
      <c r="K16750" s="1996"/>
      <c r="L16750" s="1996"/>
      <c r="M16750" s="1996"/>
      <c r="N16750" s="1996"/>
      <c r="O16750" s="1996"/>
      <c r="P16750" s="1098"/>
    </row>
    <row r="16751" spans="1:16" ht="18">
      <c r="A16751" s="690"/>
      <c r="B16751" s="691"/>
      <c r="C16751" s="691"/>
      <c r="D16751" s="691"/>
      <c r="E16751" s="691"/>
      <c r="F16751" s="1917"/>
      <c r="G16751" s="691"/>
      <c r="H16751" s="698"/>
      <c r="I16751" s="699"/>
      <c r="J16751" s="700"/>
      <c r="K16751" s="701"/>
      <c r="L16751" s="702"/>
      <c r="M16751" s="691"/>
      <c r="N16751" s="1917"/>
      <c r="O16751" s="691"/>
      <c r="P16751" s="1098"/>
    </row>
    <row r="16752" spans="1:16" ht="18">
      <c r="A16752" s="703" t="s">
        <v>42</v>
      </c>
      <c r="B16752" s="704"/>
      <c r="C16752" s="691"/>
      <c r="D16752" s="691"/>
      <c r="E16752" s="691"/>
      <c r="F16752" s="1917"/>
      <c r="G16752" s="704"/>
      <c r="H16752" s="698"/>
      <c r="I16752" s="699"/>
      <c r="J16752" s="700"/>
      <c r="K16752" s="693"/>
      <c r="L16752" s="705"/>
      <c r="M16752" s="691"/>
      <c r="N16752" s="1979" t="s">
        <v>43</v>
      </c>
      <c r="O16752" s="1979"/>
      <c r="P16752" s="1098"/>
    </row>
    <row r="16753" spans="1:16" ht="18">
      <c r="A16753" s="703"/>
      <c r="B16753" s="704"/>
      <c r="C16753" s="691"/>
      <c r="D16753" s="691"/>
      <c r="E16753" s="691"/>
      <c r="F16753" s="1917"/>
      <c r="G16753" s="691"/>
      <c r="H16753" s="1917"/>
      <c r="I16753" s="1925"/>
      <c r="J16753" s="691"/>
      <c r="K16753" s="693"/>
      <c r="L16753" s="1917"/>
      <c r="M16753" s="691"/>
      <c r="N16753" s="1917"/>
      <c r="O16753" s="704"/>
      <c r="P16753" s="1098"/>
    </row>
    <row r="16754" spans="1:16" ht="18">
      <c r="A16754" s="703" t="s">
        <v>44</v>
      </c>
      <c r="B16754" s="704"/>
      <c r="C16754" s="691"/>
      <c r="D16754" s="691"/>
      <c r="E16754" s="691"/>
      <c r="F16754" s="1917"/>
      <c r="G16754" s="691"/>
      <c r="H16754" s="1917"/>
      <c r="I16754" s="1925"/>
      <c r="J16754" s="691"/>
      <c r="K16754" s="693"/>
      <c r="L16754" s="1917"/>
      <c r="M16754" s="691"/>
      <c r="N16754" s="1979" t="s">
        <v>45</v>
      </c>
      <c r="O16754" s="1979"/>
      <c r="P16754" s="1098"/>
    </row>
    <row r="16755" spans="1:16" ht="18.600000000000001" thickBot="1">
      <c r="A16755" s="682"/>
      <c r="B16755" s="683"/>
      <c r="C16755" s="683"/>
      <c r="D16755" s="683"/>
      <c r="E16755" s="683"/>
      <c r="F16755" s="684"/>
      <c r="G16755" s="683"/>
      <c r="H16755" s="684"/>
      <c r="I16755" s="1926"/>
      <c r="J16755" s="683"/>
      <c r="K16755" s="706"/>
      <c r="L16755" s="684"/>
      <c r="M16755" s="683"/>
      <c r="N16755" s="684"/>
      <c r="O16755" s="683"/>
      <c r="P16755" s="1099"/>
    </row>
    <row r="16759" spans="1:16" ht="17.399999999999999">
      <c r="A16759" s="711" t="s">
        <v>48</v>
      </c>
      <c r="B16759" s="711"/>
      <c r="C16759" s="712"/>
      <c r="D16759" s="712"/>
      <c r="E16759" s="712"/>
      <c r="F16759" s="713"/>
      <c r="G16759" s="712"/>
      <c r="H16759" s="712"/>
      <c r="I16759" s="714"/>
      <c r="J16759" s="715"/>
      <c r="K16759" s="716"/>
      <c r="L16759" s="1978" t="s">
        <v>0</v>
      </c>
      <c r="M16759" s="1978"/>
      <c r="N16759" s="1978"/>
      <c r="O16759" s="1978"/>
      <c r="P16759" s="717"/>
    </row>
    <row r="16760" spans="1:16" ht="17.399999999999999">
      <c r="A16760" s="718" t="s">
        <v>1</v>
      </c>
      <c r="B16760" s="718"/>
      <c r="C16760" s="718"/>
      <c r="D16760" s="719" t="s">
        <v>2</v>
      </c>
      <c r="E16760" s="719"/>
      <c r="F16760" s="720"/>
      <c r="G16760" s="720"/>
      <c r="H16760" s="720"/>
      <c r="I16760" s="721"/>
      <c r="J16760" s="1916"/>
      <c r="K16760" s="723" t="s">
        <v>3</v>
      </c>
      <c r="L16760" s="1916"/>
      <c r="M16760" s="718"/>
      <c r="N16760" s="720"/>
      <c r="O16760" s="718"/>
      <c r="P16760" s="724"/>
    </row>
    <row r="16761" spans="1:16" ht="52.2">
      <c r="A16761" s="640" t="s">
        <v>4</v>
      </c>
      <c r="B16761" s="640" t="s">
        <v>5</v>
      </c>
      <c r="C16761" s="640" t="s">
        <v>6</v>
      </c>
      <c r="D16761" s="640" t="s">
        <v>7</v>
      </c>
      <c r="E16761" s="640" t="s">
        <v>8</v>
      </c>
      <c r="F16761" s="641" t="s">
        <v>9</v>
      </c>
      <c r="G16761" s="642" t="s">
        <v>10</v>
      </c>
      <c r="H16761" s="642" t="s">
        <v>11</v>
      </c>
      <c r="I16761" s="643" t="s">
        <v>12</v>
      </c>
      <c r="J16761" s="644" t="s">
        <v>13</v>
      </c>
      <c r="K16761" s="645" t="s">
        <v>14</v>
      </c>
      <c r="L16761" s="646" t="s">
        <v>15</v>
      </c>
      <c r="M16761" s="641" t="s">
        <v>16</v>
      </c>
      <c r="N16761" s="641" t="s">
        <v>17</v>
      </c>
      <c r="O16761" s="642" t="s">
        <v>18</v>
      </c>
      <c r="P16761" s="641" t="s">
        <v>192</v>
      </c>
    </row>
    <row r="16762" spans="1:16" ht="17.399999999999999">
      <c r="A16762" s="547" t="s">
        <v>83</v>
      </c>
      <c r="B16762" s="547" t="s">
        <v>1748</v>
      </c>
      <c r="C16762" s="547" t="s">
        <v>19</v>
      </c>
      <c r="D16762" s="813" t="s">
        <v>854</v>
      </c>
      <c r="E16762" s="650" t="s">
        <v>1884</v>
      </c>
      <c r="F16762" s="549">
        <v>12</v>
      </c>
      <c r="G16762" s="549" t="s">
        <v>21</v>
      </c>
      <c r="H16762" s="549" t="s">
        <v>134</v>
      </c>
      <c r="I16762" s="558">
        <v>12.2</v>
      </c>
      <c r="J16762" s="567">
        <v>10.6</v>
      </c>
      <c r="K16762" s="648">
        <v>639</v>
      </c>
      <c r="L16762" s="552">
        <f t="shared" ref="L16762:L16765" si="3404">(I16762*J16762*K16762/1000)</f>
        <v>82.635480000000001</v>
      </c>
      <c r="M16762" s="549"/>
      <c r="N16762" s="549"/>
      <c r="O16762" s="549"/>
      <c r="P16762" s="549"/>
    </row>
    <row r="16763" spans="1:16" ht="17.399999999999999">
      <c r="A16763" s="549"/>
      <c r="B16763" s="549" t="s">
        <v>52</v>
      </c>
      <c r="C16763" s="549"/>
      <c r="D16763" s="549"/>
      <c r="E16763" s="549"/>
      <c r="F16763" s="549"/>
      <c r="G16763" s="549" t="s">
        <v>21</v>
      </c>
      <c r="H16763" s="549" t="s">
        <v>134</v>
      </c>
      <c r="I16763" s="558">
        <v>12.2</v>
      </c>
      <c r="J16763" s="567">
        <v>10.85</v>
      </c>
      <c r="K16763" s="648">
        <v>360</v>
      </c>
      <c r="L16763" s="552">
        <f t="shared" si="3404"/>
        <v>47.653199999999991</v>
      </c>
      <c r="M16763" s="549"/>
      <c r="N16763" s="549"/>
      <c r="O16763" s="549"/>
      <c r="P16763" s="549"/>
    </row>
    <row r="16764" spans="1:16" ht="17.399999999999999">
      <c r="A16764" s="549"/>
      <c r="B16764" s="549"/>
      <c r="C16764" s="549"/>
      <c r="D16764" s="549"/>
      <c r="E16764" s="549"/>
      <c r="F16764" s="549"/>
      <c r="G16764" s="549" t="s">
        <v>21</v>
      </c>
      <c r="H16764" s="549" t="s">
        <v>134</v>
      </c>
      <c r="I16764" s="558">
        <v>12.2</v>
      </c>
      <c r="J16764" s="567">
        <v>11.25</v>
      </c>
      <c r="K16764" s="648">
        <v>360</v>
      </c>
      <c r="L16764" s="552">
        <f t="shared" si="3404"/>
        <v>49.41</v>
      </c>
      <c r="M16764" s="549"/>
      <c r="N16764" s="549"/>
      <c r="O16764" s="549"/>
      <c r="P16764" s="549"/>
    </row>
    <row r="16765" spans="1:16" ht="17.399999999999999">
      <c r="A16765" s="549"/>
      <c r="B16765" s="549"/>
      <c r="C16765" s="549"/>
      <c r="D16765" s="549"/>
      <c r="E16765" s="549"/>
      <c r="F16765" s="549"/>
      <c r="G16765" s="549" t="s">
        <v>21</v>
      </c>
      <c r="H16765" s="549" t="s">
        <v>134</v>
      </c>
      <c r="I16765" s="558">
        <v>12.2</v>
      </c>
      <c r="J16765" s="567">
        <v>11.5</v>
      </c>
      <c r="K16765" s="648">
        <v>18</v>
      </c>
      <c r="L16765" s="552">
        <f t="shared" si="3404"/>
        <v>2.5253999999999994</v>
      </c>
      <c r="M16765" s="549"/>
      <c r="N16765" s="549"/>
      <c r="O16765" s="549"/>
      <c r="P16765" s="549"/>
    </row>
    <row r="16766" spans="1:16" ht="17.399999999999999">
      <c r="A16766" s="549"/>
      <c r="B16766" s="549"/>
      <c r="C16766" s="549"/>
      <c r="D16766" s="549"/>
      <c r="E16766" s="549"/>
      <c r="F16766" s="549"/>
      <c r="G16766" s="549"/>
      <c r="H16766" s="549"/>
      <c r="I16766" s="558"/>
      <c r="J16766" s="567"/>
      <c r="K16766" s="648">
        <f t="shared" ref="K16766:L16766" si="3405">SUM(K16762:K16765)</f>
        <v>1377</v>
      </c>
      <c r="L16766" s="567">
        <f t="shared" si="3405"/>
        <v>182.22407999999999</v>
      </c>
      <c r="M16766" s="549"/>
      <c r="N16766" s="549"/>
      <c r="O16766" s="549"/>
      <c r="P16766" s="549"/>
    </row>
    <row r="16767" spans="1:16" ht="17.399999999999999">
      <c r="A16767" s="549"/>
      <c r="B16767" s="549"/>
      <c r="C16767" s="549"/>
      <c r="D16767" s="549"/>
      <c r="E16767" s="549"/>
      <c r="F16767" s="549"/>
      <c r="G16767" s="549"/>
      <c r="H16767" s="549"/>
      <c r="I16767" s="558"/>
      <c r="J16767" s="549"/>
      <c r="K16767" s="561"/>
      <c r="L16767" s="560"/>
      <c r="M16767" s="549"/>
      <c r="N16767" s="549"/>
      <c r="O16767" s="549"/>
      <c r="P16767" s="549"/>
    </row>
    <row r="16768" spans="1:16" ht="17.399999999999999">
      <c r="A16768" s="547" t="s">
        <v>83</v>
      </c>
      <c r="B16768" s="547" t="s">
        <v>1746</v>
      </c>
      <c r="C16768" s="547" t="s">
        <v>19</v>
      </c>
      <c r="D16768" s="813" t="s">
        <v>854</v>
      </c>
      <c r="E16768" s="650" t="s">
        <v>878</v>
      </c>
      <c r="F16768" s="549">
        <v>12</v>
      </c>
      <c r="G16768" s="549" t="s">
        <v>21</v>
      </c>
      <c r="H16768" s="549" t="s">
        <v>134</v>
      </c>
      <c r="I16768" s="558">
        <v>12.2</v>
      </c>
      <c r="J16768" s="567">
        <v>6.1</v>
      </c>
      <c r="K16768" s="648">
        <v>30</v>
      </c>
      <c r="L16768" s="552">
        <f t="shared" ref="L16768:L16772" si="3406">(I16768*J16768*K16768/1000)</f>
        <v>2.2325999999999993</v>
      </c>
      <c r="M16768" s="549">
        <v>3</v>
      </c>
      <c r="N16768" s="567">
        <f t="shared" ref="N16768:N16772" si="3407">J16768*M16768*I16768/1000</f>
        <v>0.22325999999999996</v>
      </c>
      <c r="O16768" s="549"/>
      <c r="P16768" s="549"/>
    </row>
    <row r="16769" spans="1:16" ht="17.399999999999999">
      <c r="A16769" s="549"/>
      <c r="B16769" s="549" t="s">
        <v>1135</v>
      </c>
      <c r="C16769" s="549"/>
      <c r="D16769" s="549"/>
      <c r="E16769" s="549"/>
      <c r="F16769" s="549"/>
      <c r="G16769" s="549" t="s">
        <v>21</v>
      </c>
      <c r="H16769" s="549" t="s">
        <v>134</v>
      </c>
      <c r="I16769" s="558">
        <v>12.2</v>
      </c>
      <c r="J16769" s="567">
        <v>6.9</v>
      </c>
      <c r="K16769" s="648">
        <v>15</v>
      </c>
      <c r="L16769" s="552">
        <f t="shared" si="3406"/>
        <v>1.2626999999999997</v>
      </c>
      <c r="M16769" s="549"/>
      <c r="N16769" s="567">
        <f t="shared" si="3407"/>
        <v>0</v>
      </c>
      <c r="O16769" s="549"/>
      <c r="P16769" s="549"/>
    </row>
    <row r="16770" spans="1:16" ht="17.399999999999999">
      <c r="A16770" s="549"/>
      <c r="B16770" s="549"/>
      <c r="C16770" s="549"/>
      <c r="D16770" s="549"/>
      <c r="E16770" s="549"/>
      <c r="F16770" s="549"/>
      <c r="G16770" s="549" t="s">
        <v>21</v>
      </c>
      <c r="H16770" s="549" t="s">
        <v>134</v>
      </c>
      <c r="I16770" s="558">
        <v>12.2</v>
      </c>
      <c r="J16770" s="567">
        <v>9.8000000000000007</v>
      </c>
      <c r="K16770" s="648">
        <v>8</v>
      </c>
      <c r="L16770" s="552">
        <f t="shared" si="3406"/>
        <v>0.95648</v>
      </c>
      <c r="M16770" s="549">
        <v>5</v>
      </c>
      <c r="N16770" s="567">
        <f t="shared" si="3407"/>
        <v>0.5978</v>
      </c>
      <c r="O16770" s="549"/>
      <c r="P16770" s="549"/>
    </row>
    <row r="16771" spans="1:16" ht="17.399999999999999">
      <c r="A16771" s="549"/>
      <c r="B16771" s="549"/>
      <c r="C16771" s="549"/>
      <c r="D16771" s="549"/>
      <c r="E16771" s="549"/>
      <c r="F16771" s="549"/>
      <c r="G16771" s="549" t="s">
        <v>21</v>
      </c>
      <c r="H16771" s="549" t="s">
        <v>134</v>
      </c>
      <c r="I16771" s="558">
        <v>12.2</v>
      </c>
      <c r="J16771" s="567">
        <v>10.85</v>
      </c>
      <c r="K16771" s="648">
        <v>5</v>
      </c>
      <c r="L16771" s="552">
        <f t="shared" si="3406"/>
        <v>0.66184999999999994</v>
      </c>
      <c r="M16771" s="549"/>
      <c r="N16771" s="567">
        <f t="shared" si="3407"/>
        <v>0</v>
      </c>
      <c r="O16771" s="549"/>
      <c r="P16771" s="549"/>
    </row>
    <row r="16772" spans="1:16" ht="17.399999999999999">
      <c r="A16772" s="549"/>
      <c r="B16772" s="549"/>
      <c r="C16772" s="549"/>
      <c r="D16772" s="549"/>
      <c r="E16772" s="549"/>
      <c r="F16772" s="549"/>
      <c r="G16772" s="549" t="s">
        <v>21</v>
      </c>
      <c r="H16772" s="549" t="s">
        <v>134</v>
      </c>
      <c r="I16772" s="558">
        <v>12.2</v>
      </c>
      <c r="J16772" s="567">
        <v>11</v>
      </c>
      <c r="K16772" s="648">
        <v>24</v>
      </c>
      <c r="L16772" s="552">
        <f t="shared" si="3406"/>
        <v>3.2207999999999997</v>
      </c>
      <c r="M16772" s="549">
        <v>2</v>
      </c>
      <c r="N16772" s="567">
        <f t="shared" si="3407"/>
        <v>0.26839999999999997</v>
      </c>
      <c r="O16772" s="549"/>
      <c r="P16772" s="549"/>
    </row>
    <row r="16773" spans="1:16" ht="17.399999999999999">
      <c r="A16773" s="549"/>
      <c r="B16773" s="549"/>
      <c r="C16773" s="549"/>
      <c r="D16773" s="549"/>
      <c r="E16773" s="549"/>
      <c r="F16773" s="549"/>
      <c r="G16773" s="549"/>
      <c r="H16773" s="549"/>
      <c r="I16773" s="558"/>
      <c r="J16773" s="567"/>
      <c r="K16773" s="648">
        <f t="shared" ref="K16773:N16773" si="3408">SUM(K16768:K16772)</f>
        <v>82</v>
      </c>
      <c r="L16773" s="567">
        <f t="shared" si="3408"/>
        <v>8.3344299999999993</v>
      </c>
      <c r="M16773" s="648">
        <f t="shared" si="3408"/>
        <v>10</v>
      </c>
      <c r="N16773" s="567">
        <f t="shared" si="3408"/>
        <v>1.0894599999999999</v>
      </c>
      <c r="O16773" s="549"/>
      <c r="P16773" s="549"/>
    </row>
    <row r="16774" spans="1:16" ht="17.399999999999999">
      <c r="A16774" s="549"/>
      <c r="B16774" s="549"/>
      <c r="C16774" s="549"/>
      <c r="D16774" s="549"/>
      <c r="E16774" s="549"/>
      <c r="F16774" s="549"/>
      <c r="G16774" s="549"/>
      <c r="H16774" s="549"/>
      <c r="I16774" s="558"/>
      <c r="J16774" s="549"/>
      <c r="K16774" s="561"/>
      <c r="L16774" s="560"/>
      <c r="M16774" s="549"/>
      <c r="N16774" s="549"/>
      <c r="O16774" s="549"/>
      <c r="P16774" s="549"/>
    </row>
    <row r="16775" spans="1:16" ht="17.399999999999999">
      <c r="A16775" s="547" t="s">
        <v>83</v>
      </c>
      <c r="B16775" s="547" t="s">
        <v>1902</v>
      </c>
      <c r="C16775" s="547" t="s">
        <v>19</v>
      </c>
      <c r="D16775" s="813" t="s">
        <v>854</v>
      </c>
      <c r="E16775" s="768" t="s">
        <v>175</v>
      </c>
      <c r="F16775" s="549">
        <v>12</v>
      </c>
      <c r="G16775" s="549" t="s">
        <v>21</v>
      </c>
      <c r="H16775" s="549" t="s">
        <v>134</v>
      </c>
      <c r="I16775" s="558">
        <v>12.2</v>
      </c>
      <c r="J16775" s="567">
        <v>6.1</v>
      </c>
      <c r="K16775" s="648">
        <v>1</v>
      </c>
      <c r="L16775" s="552">
        <f t="shared" ref="L16775:L16776" si="3409">(I16775*J16775*K16775/1000)</f>
        <v>7.4419999999999986E-2</v>
      </c>
      <c r="M16775" s="549"/>
      <c r="N16775" s="549"/>
      <c r="O16775" s="549"/>
      <c r="P16775" s="549"/>
    </row>
    <row r="16776" spans="1:16" ht="17.399999999999999">
      <c r="A16776" s="549"/>
      <c r="B16776" s="549" t="s">
        <v>1135</v>
      </c>
      <c r="C16776" s="549"/>
      <c r="D16776" s="549"/>
      <c r="E16776" s="549"/>
      <c r="F16776" s="549"/>
      <c r="G16776" s="549" t="s">
        <v>21</v>
      </c>
      <c r="H16776" s="549" t="s">
        <v>134</v>
      </c>
      <c r="I16776" s="558">
        <v>12.2</v>
      </c>
      <c r="J16776" s="567">
        <v>6.3</v>
      </c>
      <c r="K16776" s="648">
        <v>1</v>
      </c>
      <c r="L16776" s="552">
        <f t="shared" si="3409"/>
        <v>7.6859999999999998E-2</v>
      </c>
      <c r="M16776" s="549"/>
      <c r="N16776" s="549"/>
      <c r="O16776" s="549"/>
      <c r="P16776" s="549"/>
    </row>
    <row r="16777" spans="1:16" ht="17.399999999999999">
      <c r="A16777" s="549"/>
      <c r="B16777" s="549"/>
      <c r="C16777" s="549"/>
      <c r="D16777" s="549"/>
      <c r="E16777" s="549"/>
      <c r="F16777" s="549"/>
      <c r="G16777" s="549"/>
      <c r="H16777" s="549"/>
      <c r="I16777" s="558"/>
      <c r="J16777" s="567"/>
      <c r="K16777" s="648">
        <f t="shared" ref="K16777" si="3410">SUM(K16775:K16776)</f>
        <v>2</v>
      </c>
      <c r="L16777" s="567">
        <f>SUM(L16775:L16776)</f>
        <v>0.15127999999999997</v>
      </c>
      <c r="M16777" s="549"/>
      <c r="N16777" s="549"/>
      <c r="O16777" s="549"/>
      <c r="P16777" s="549"/>
    </row>
    <row r="16778" spans="1:16" ht="17.399999999999999">
      <c r="A16778" s="549"/>
      <c r="B16778" s="549"/>
      <c r="C16778" s="549"/>
      <c r="D16778" s="549"/>
      <c r="E16778" s="549"/>
      <c r="F16778" s="549"/>
      <c r="G16778" s="549"/>
      <c r="H16778" s="549"/>
      <c r="I16778" s="558"/>
      <c r="J16778" s="549"/>
      <c r="K16778" s="561"/>
      <c r="L16778" s="560"/>
      <c r="M16778" s="549"/>
      <c r="N16778" s="549"/>
      <c r="O16778" s="549"/>
      <c r="P16778" s="549"/>
    </row>
    <row r="16779" spans="1:16" ht="17.399999999999999">
      <c r="A16779" s="547" t="s">
        <v>272</v>
      </c>
      <c r="B16779" s="547" t="s">
        <v>1847</v>
      </c>
      <c r="C16779" s="547" t="s">
        <v>19</v>
      </c>
      <c r="D16779" s="813" t="s">
        <v>854</v>
      </c>
      <c r="E16779" s="547" t="s">
        <v>359</v>
      </c>
      <c r="F16779" s="549">
        <v>12</v>
      </c>
      <c r="G16779" s="549" t="s">
        <v>21</v>
      </c>
      <c r="H16779" s="549" t="s">
        <v>134</v>
      </c>
      <c r="I16779" s="558">
        <v>12.18</v>
      </c>
      <c r="J16779" s="567">
        <v>6</v>
      </c>
      <c r="K16779" s="648">
        <v>1</v>
      </c>
      <c r="L16779" s="552">
        <f>(I16779*J16779*K16779/1000)</f>
        <v>7.3079999999999992E-2</v>
      </c>
      <c r="M16779" s="549"/>
      <c r="N16779" s="549"/>
      <c r="O16779" s="549"/>
      <c r="P16779" s="549"/>
    </row>
    <row r="16780" spans="1:16" ht="17.399999999999999">
      <c r="A16780" s="549"/>
      <c r="B16780" s="549" t="s">
        <v>1027</v>
      </c>
      <c r="C16780" s="549"/>
      <c r="D16780" s="549"/>
      <c r="E16780" s="549"/>
      <c r="F16780" s="549"/>
      <c r="G16780" s="549"/>
      <c r="H16780" s="549"/>
      <c r="I16780" s="558"/>
      <c r="J16780" s="567"/>
      <c r="K16780" s="648">
        <f t="shared" ref="K16780:L16780" si="3411">SUM(K16779)</f>
        <v>1</v>
      </c>
      <c r="L16780" s="765">
        <f t="shared" si="3411"/>
        <v>7.3079999999999992E-2</v>
      </c>
      <c r="M16780" s="549"/>
      <c r="N16780" s="549"/>
      <c r="O16780" s="549"/>
      <c r="P16780" s="549"/>
    </row>
    <row r="16781" spans="1:16" s="1737" customFormat="1" ht="17.399999999999999">
      <c r="A16781" s="549"/>
      <c r="B16781" s="549"/>
      <c r="C16781" s="549"/>
      <c r="D16781" s="549"/>
      <c r="E16781" s="549"/>
      <c r="F16781" s="549"/>
      <c r="G16781" s="549"/>
      <c r="H16781" s="549"/>
      <c r="I16781" s="558"/>
      <c r="J16781" s="567"/>
      <c r="K16781" s="766">
        <f>SUM(K16762:K16780)/2</f>
        <v>1462</v>
      </c>
      <c r="L16781" s="765">
        <f>SUM(L16762:L16780)/2</f>
        <v>190.78286999999997</v>
      </c>
      <c r="M16781" s="766">
        <f>SUM(M16762:M16780)/2</f>
        <v>10</v>
      </c>
      <c r="N16781" s="765">
        <f>SUM(N16762:N16780)/2</f>
        <v>1.0894599999999999</v>
      </c>
      <c r="O16781" s="549"/>
      <c r="P16781" s="549"/>
    </row>
    <row r="16782" spans="1:16" s="1737" customFormat="1" ht="17.399999999999999">
      <c r="A16782" s="549"/>
      <c r="B16782" s="549"/>
      <c r="C16782" s="549"/>
      <c r="D16782" s="549"/>
      <c r="E16782" s="549"/>
      <c r="F16782" s="549"/>
      <c r="G16782" s="549"/>
      <c r="H16782" s="549"/>
      <c r="I16782" s="558"/>
      <c r="J16782" s="567"/>
      <c r="K16782" s="766"/>
      <c r="L16782" s="765"/>
      <c r="M16782" s="549"/>
      <c r="N16782" s="549"/>
      <c r="O16782" s="549"/>
      <c r="P16782" s="549"/>
    </row>
    <row r="16783" spans="1:16" ht="17.399999999999999">
      <c r="A16783" s="549"/>
      <c r="B16783" s="549"/>
      <c r="C16783" s="549"/>
      <c r="D16783" s="549"/>
      <c r="E16783" s="549"/>
      <c r="F16783" s="549"/>
      <c r="G16783" s="549"/>
      <c r="H16783" s="549"/>
      <c r="I16783" s="558"/>
      <c r="J16783" s="549"/>
      <c r="K16783" s="561"/>
      <c r="L16783" s="560"/>
      <c r="M16783" s="549"/>
      <c r="N16783" s="549"/>
      <c r="O16783" s="549"/>
      <c r="P16783" s="549"/>
    </row>
    <row r="16784" spans="1:16" ht="17.399999999999999">
      <c r="A16784" s="547" t="s">
        <v>272</v>
      </c>
      <c r="B16784" s="547" t="s">
        <v>1850</v>
      </c>
      <c r="C16784" s="547" t="s">
        <v>19</v>
      </c>
      <c r="D16784" s="813" t="s">
        <v>854</v>
      </c>
      <c r="E16784" s="780" t="s">
        <v>1028</v>
      </c>
      <c r="F16784" s="549">
        <v>12</v>
      </c>
      <c r="G16784" s="549" t="s">
        <v>21</v>
      </c>
      <c r="H16784" s="549" t="s">
        <v>134</v>
      </c>
      <c r="I16784" s="558">
        <v>12.18</v>
      </c>
      <c r="J16784" s="567">
        <v>6</v>
      </c>
      <c r="K16784" s="648">
        <v>1</v>
      </c>
      <c r="L16784" s="552">
        <f>(I16784*J16784*K16784/1000)</f>
        <v>7.3079999999999992E-2</v>
      </c>
      <c r="M16784" s="549"/>
      <c r="N16784" s="549"/>
      <c r="O16784" s="549"/>
      <c r="P16784" s="549"/>
    </row>
    <row r="16785" spans="1:16" ht="17.399999999999999">
      <c r="A16785" s="549"/>
      <c r="B16785" s="549" t="s">
        <v>1027</v>
      </c>
      <c r="C16785" s="549"/>
      <c r="D16785" s="549"/>
      <c r="E16785" s="549"/>
      <c r="F16785" s="549"/>
      <c r="G16785" s="549"/>
      <c r="H16785" s="549"/>
      <c r="I16785" s="558"/>
      <c r="J16785" s="567"/>
      <c r="K16785" s="648">
        <f t="shared" ref="K16785:L16785" si="3412">SUM(K16784)</f>
        <v>1</v>
      </c>
      <c r="L16785" s="567">
        <f t="shared" si="3412"/>
        <v>7.3079999999999992E-2</v>
      </c>
      <c r="M16785" s="549"/>
      <c r="N16785" s="549"/>
      <c r="O16785" s="549"/>
      <c r="P16785" s="549"/>
    </row>
    <row r="16786" spans="1:16" s="1737" customFormat="1" ht="17.399999999999999">
      <c r="A16786" s="549"/>
      <c r="B16786" s="549"/>
      <c r="C16786" s="549"/>
      <c r="D16786" s="549"/>
      <c r="E16786" s="549"/>
      <c r="F16786" s="549"/>
      <c r="G16786" s="549"/>
      <c r="H16786" s="549"/>
      <c r="I16786" s="558"/>
      <c r="J16786" s="567"/>
      <c r="K16786" s="648"/>
      <c r="L16786" s="567"/>
      <c r="M16786" s="549"/>
      <c r="N16786" s="549"/>
      <c r="O16786" s="549"/>
      <c r="P16786" s="549"/>
    </row>
    <row r="16787" spans="1:16" ht="17.399999999999999">
      <c r="A16787" s="547" t="s">
        <v>83</v>
      </c>
      <c r="B16787" s="547" t="s">
        <v>1816</v>
      </c>
      <c r="C16787" s="547" t="s">
        <v>19</v>
      </c>
      <c r="D16787" s="813" t="s">
        <v>854</v>
      </c>
      <c r="E16787" s="768" t="s">
        <v>57</v>
      </c>
      <c r="F16787" s="549">
        <v>12</v>
      </c>
      <c r="G16787" s="549" t="s">
        <v>21</v>
      </c>
      <c r="H16787" s="549" t="s">
        <v>134</v>
      </c>
      <c r="I16787" s="558">
        <v>12.2</v>
      </c>
      <c r="J16787" s="567">
        <v>12</v>
      </c>
      <c r="K16787" s="648">
        <v>17</v>
      </c>
      <c r="L16787" s="552">
        <f>(I16787*J16787*K16787/1000)</f>
        <v>2.4887999999999999</v>
      </c>
      <c r="M16787" s="549"/>
      <c r="N16787" s="549"/>
      <c r="O16787" s="549"/>
      <c r="P16787" s="549"/>
    </row>
    <row r="16788" spans="1:16" ht="17.399999999999999">
      <c r="A16788" s="549"/>
      <c r="B16788" s="549" t="s">
        <v>1815</v>
      </c>
      <c r="C16788" s="549"/>
      <c r="D16788" s="549"/>
      <c r="E16788" s="549"/>
      <c r="F16788" s="549"/>
      <c r="G16788" s="549"/>
      <c r="H16788" s="549"/>
      <c r="I16788" s="558"/>
      <c r="J16788" s="567"/>
      <c r="K16788" s="648">
        <f t="shared" ref="K16788:L16788" si="3413">SUM(K16787)</f>
        <v>17</v>
      </c>
      <c r="L16788" s="567">
        <f t="shared" si="3413"/>
        <v>2.4887999999999999</v>
      </c>
      <c r="M16788" s="549"/>
      <c r="N16788" s="549"/>
      <c r="O16788" s="549"/>
      <c r="P16788" s="549"/>
    </row>
    <row r="16789" spans="1:16" ht="17.399999999999999">
      <c r="A16789" s="549"/>
      <c r="B16789" s="549"/>
      <c r="C16789" s="549"/>
      <c r="D16789" s="549"/>
      <c r="E16789" s="549"/>
      <c r="F16789" s="549"/>
      <c r="G16789" s="549"/>
      <c r="H16789" s="549"/>
      <c r="I16789" s="558"/>
      <c r="J16789" s="549"/>
      <c r="K16789" s="561"/>
      <c r="L16789" s="560"/>
      <c r="M16789" s="549"/>
      <c r="N16789" s="549"/>
      <c r="O16789" s="549"/>
      <c r="P16789" s="549"/>
    </row>
    <row r="16790" spans="1:16" ht="17.399999999999999">
      <c r="A16790" s="547" t="s">
        <v>83</v>
      </c>
      <c r="B16790" s="547" t="s">
        <v>1747</v>
      </c>
      <c r="C16790" s="547" t="s">
        <v>19</v>
      </c>
      <c r="D16790" s="813" t="s">
        <v>854</v>
      </c>
      <c r="E16790" s="650" t="s">
        <v>464</v>
      </c>
      <c r="F16790" s="549">
        <v>12</v>
      </c>
      <c r="G16790" s="549" t="s">
        <v>21</v>
      </c>
      <c r="H16790" s="549" t="s">
        <v>134</v>
      </c>
      <c r="I16790" s="558">
        <v>12.2</v>
      </c>
      <c r="J16790" s="567">
        <v>6.1</v>
      </c>
      <c r="K16790" s="648">
        <v>2</v>
      </c>
      <c r="L16790" s="552">
        <f>(I16790*J16790*K16790/1000)</f>
        <v>0.14883999999999997</v>
      </c>
      <c r="M16790" s="549"/>
      <c r="N16790" s="549"/>
      <c r="O16790" s="549"/>
      <c r="P16790" s="549"/>
    </row>
    <row r="16791" spans="1:16" ht="17.399999999999999">
      <c r="A16791" s="549"/>
      <c r="B16791" s="549" t="s">
        <v>439</v>
      </c>
      <c r="C16791" s="549"/>
      <c r="D16791" s="549"/>
      <c r="E16791" s="549"/>
      <c r="F16791" s="549"/>
      <c r="G16791" s="549"/>
      <c r="H16791" s="549"/>
      <c r="I16791" s="558"/>
      <c r="J16791" s="567"/>
      <c r="K16791" s="648">
        <f t="shared" ref="K16791" si="3414">SUM(K16790)</f>
        <v>2</v>
      </c>
      <c r="L16791" s="567">
        <f>SUM(L16790)</f>
        <v>0.14883999999999997</v>
      </c>
      <c r="M16791" s="549"/>
      <c r="N16791" s="549"/>
      <c r="O16791" s="549"/>
      <c r="P16791" s="549"/>
    </row>
    <row r="16792" spans="1:16" s="1737" customFormat="1" ht="17.399999999999999">
      <c r="A16792" s="549"/>
      <c r="B16792" s="549"/>
      <c r="C16792" s="549"/>
      <c r="D16792" s="549"/>
      <c r="E16792" s="549"/>
      <c r="F16792" s="549"/>
      <c r="G16792" s="549"/>
      <c r="H16792" s="549"/>
      <c r="I16792" s="558"/>
      <c r="J16792" s="567"/>
      <c r="K16792" s="648">
        <f>+K16791+K16788+K16785</f>
        <v>20</v>
      </c>
      <c r="L16792" s="567">
        <f>+L16791+L16788+L16785</f>
        <v>2.7107199999999998</v>
      </c>
      <c r="M16792" s="648">
        <f>+M16791+M16788+M16785</f>
        <v>0</v>
      </c>
      <c r="N16792" s="567">
        <f>+N16791+N16788+N16785</f>
        <v>0</v>
      </c>
      <c r="O16792" s="549"/>
      <c r="P16792" s="549"/>
    </row>
    <row r="16793" spans="1:16" s="1737" customFormat="1" ht="17.399999999999999">
      <c r="A16793" s="549"/>
      <c r="B16793" s="549"/>
      <c r="C16793" s="549"/>
      <c r="D16793" s="549"/>
      <c r="E16793" s="549"/>
      <c r="F16793" s="549"/>
      <c r="G16793" s="549"/>
      <c r="H16793" s="549"/>
      <c r="I16793" s="558"/>
      <c r="J16793" s="567"/>
      <c r="K16793" s="648"/>
      <c r="L16793" s="567"/>
      <c r="M16793" s="549"/>
      <c r="N16793" s="549"/>
      <c r="O16793" s="549"/>
      <c r="P16793" s="549"/>
    </row>
    <row r="16794" spans="1:16" ht="17.399999999999999">
      <c r="A16794" s="549"/>
      <c r="B16794" s="549"/>
      <c r="C16794" s="549"/>
      <c r="D16794" s="549"/>
      <c r="E16794" s="549"/>
      <c r="F16794" s="549"/>
      <c r="G16794" s="549"/>
      <c r="H16794" s="549"/>
      <c r="I16794" s="558"/>
      <c r="J16794" s="549"/>
      <c r="K16794" s="561"/>
      <c r="L16794" s="560"/>
      <c r="M16794" s="549"/>
      <c r="N16794" s="549"/>
      <c r="O16794" s="549"/>
      <c r="P16794" s="549"/>
    </row>
    <row r="16795" spans="1:16" ht="17.399999999999999">
      <c r="A16795" s="547" t="s">
        <v>83</v>
      </c>
      <c r="B16795" s="547" t="s">
        <v>1748</v>
      </c>
      <c r="C16795" s="547" t="s">
        <v>19</v>
      </c>
      <c r="D16795" s="813" t="s">
        <v>854</v>
      </c>
      <c r="E16795" s="650" t="s">
        <v>1884</v>
      </c>
      <c r="F16795" s="549">
        <v>12</v>
      </c>
      <c r="G16795" s="549" t="s">
        <v>21</v>
      </c>
      <c r="H16795" s="549" t="s">
        <v>205</v>
      </c>
      <c r="I16795" s="558">
        <v>13.6</v>
      </c>
      <c r="J16795" s="567">
        <v>6.55</v>
      </c>
      <c r="K16795" s="648">
        <v>96</v>
      </c>
      <c r="L16795" s="552">
        <f>(I16795*J16795*K16795/1000)</f>
        <v>8.5516800000000011</v>
      </c>
      <c r="M16795" s="549">
        <f>7+2</f>
        <v>9</v>
      </c>
      <c r="N16795" s="567">
        <f t="shared" ref="N16795" si="3415">J16795*M16795*I16795/1000</f>
        <v>0.80171999999999988</v>
      </c>
      <c r="O16795" s="549"/>
      <c r="P16795" s="549"/>
    </row>
    <row r="16796" spans="1:16" ht="17.399999999999999">
      <c r="A16796" s="549"/>
      <c r="B16796" s="549" t="s">
        <v>52</v>
      </c>
      <c r="C16796" s="549"/>
      <c r="D16796" s="549"/>
      <c r="E16796" s="549"/>
      <c r="F16796" s="549"/>
      <c r="G16796" s="549"/>
      <c r="H16796" s="549"/>
      <c r="I16796" s="558"/>
      <c r="J16796" s="567"/>
      <c r="K16796" s="648">
        <f t="shared" ref="K16796:N16796" si="3416">SUM(K16795)</f>
        <v>96</v>
      </c>
      <c r="L16796" s="567">
        <f t="shared" si="3416"/>
        <v>8.5516800000000011</v>
      </c>
      <c r="M16796" s="648">
        <f t="shared" si="3416"/>
        <v>9</v>
      </c>
      <c r="N16796" s="567">
        <f t="shared" si="3416"/>
        <v>0.80171999999999988</v>
      </c>
      <c r="O16796" s="549"/>
      <c r="P16796" s="549"/>
    </row>
    <row r="16797" spans="1:16" s="1737" customFormat="1" ht="17.399999999999999">
      <c r="A16797" s="549"/>
      <c r="B16797" s="549"/>
      <c r="C16797" s="549"/>
      <c r="D16797" s="549"/>
      <c r="E16797" s="549"/>
      <c r="F16797" s="549"/>
      <c r="G16797" s="549"/>
      <c r="H16797" s="549"/>
      <c r="I16797" s="558"/>
      <c r="J16797" s="567"/>
      <c r="K16797" s="648"/>
      <c r="L16797" s="567"/>
      <c r="M16797" s="549"/>
      <c r="N16797" s="549"/>
      <c r="O16797" s="549"/>
      <c r="P16797" s="549"/>
    </row>
    <row r="16798" spans="1:16" s="1737" customFormat="1" ht="17.399999999999999">
      <c r="A16798" s="549"/>
      <c r="B16798" s="549"/>
      <c r="C16798" s="549"/>
      <c r="D16798" s="549"/>
      <c r="E16798" s="549"/>
      <c r="F16798" s="549"/>
      <c r="G16798" s="549"/>
      <c r="H16798" s="549"/>
      <c r="I16798" s="558"/>
      <c r="J16798" s="567"/>
      <c r="K16798" s="648"/>
      <c r="L16798" s="567"/>
      <c r="M16798" s="549"/>
      <c r="N16798" s="549"/>
      <c r="O16798" s="549"/>
      <c r="P16798" s="549"/>
    </row>
    <row r="16799" spans="1:16" ht="17.399999999999999">
      <c r="A16799" s="549"/>
      <c r="B16799" s="549"/>
      <c r="C16799" s="549"/>
      <c r="D16799" s="549"/>
      <c r="E16799" s="549"/>
      <c r="F16799" s="549"/>
      <c r="G16799" s="549"/>
      <c r="H16799" s="549"/>
      <c r="I16799" s="558"/>
      <c r="J16799" s="549"/>
      <c r="K16799" s="561"/>
      <c r="L16799" s="560"/>
      <c r="M16799" s="549"/>
      <c r="N16799" s="549"/>
      <c r="O16799" s="549"/>
      <c r="P16799" s="549"/>
    </row>
    <row r="16800" spans="1:16" ht="17.399999999999999">
      <c r="A16800" s="547" t="s">
        <v>83</v>
      </c>
      <c r="B16800" s="547" t="s">
        <v>1746</v>
      </c>
      <c r="C16800" s="547" t="s">
        <v>19</v>
      </c>
      <c r="D16800" s="813" t="s">
        <v>854</v>
      </c>
      <c r="E16800" s="650" t="s">
        <v>878</v>
      </c>
      <c r="F16800" s="549">
        <v>12</v>
      </c>
      <c r="G16800" s="549" t="s">
        <v>21</v>
      </c>
      <c r="H16800" s="549" t="s">
        <v>119</v>
      </c>
      <c r="I16800" s="558">
        <v>10.7</v>
      </c>
      <c r="J16800" s="567">
        <v>6.1</v>
      </c>
      <c r="K16800" s="648">
        <v>16</v>
      </c>
      <c r="L16800" s="552">
        <f t="shared" ref="L16800:L16805" si="3417">(I16800*J16800*K16800/1000)</f>
        <v>1.0443199999999999</v>
      </c>
      <c r="M16800" s="549">
        <f>8+2+6</f>
        <v>16</v>
      </c>
      <c r="N16800" s="567">
        <f t="shared" ref="N16800" si="3418">J16800*M16800*I16800/1000</f>
        <v>1.0443199999999999</v>
      </c>
      <c r="O16800" s="549"/>
      <c r="P16800" s="549"/>
    </row>
    <row r="16801" spans="1:16" ht="17.399999999999999">
      <c r="A16801" s="549"/>
      <c r="B16801" s="549" t="s">
        <v>1135</v>
      </c>
      <c r="C16801" s="549"/>
      <c r="D16801" s="549"/>
      <c r="E16801" s="549"/>
      <c r="F16801" s="549"/>
      <c r="G16801" s="549" t="s">
        <v>21</v>
      </c>
      <c r="H16801" s="549" t="s">
        <v>119</v>
      </c>
      <c r="I16801" s="558">
        <v>10.7</v>
      </c>
      <c r="J16801" s="567">
        <v>7.8</v>
      </c>
      <c r="K16801" s="648">
        <v>2</v>
      </c>
      <c r="L16801" s="552">
        <f t="shared" si="3417"/>
        <v>0.16691999999999999</v>
      </c>
      <c r="M16801" s="549"/>
      <c r="N16801" s="549"/>
      <c r="O16801" s="549"/>
      <c r="P16801" s="549"/>
    </row>
    <row r="16802" spans="1:16" ht="17.399999999999999">
      <c r="A16802" s="549"/>
      <c r="B16802" s="549"/>
      <c r="C16802" s="549"/>
      <c r="D16802" s="549"/>
      <c r="E16802" s="549"/>
      <c r="F16802" s="549"/>
      <c r="G16802" s="549" t="s">
        <v>21</v>
      </c>
      <c r="H16802" s="549" t="s">
        <v>119</v>
      </c>
      <c r="I16802" s="558">
        <v>10.7</v>
      </c>
      <c r="J16802" s="567">
        <v>9.35</v>
      </c>
      <c r="K16802" s="648">
        <v>24</v>
      </c>
      <c r="L16802" s="552">
        <f t="shared" si="3417"/>
        <v>2.4010799999999999</v>
      </c>
      <c r="M16802" s="549"/>
      <c r="N16802" s="549"/>
      <c r="O16802" s="549"/>
      <c r="P16802" s="549"/>
    </row>
    <row r="16803" spans="1:16" ht="17.399999999999999">
      <c r="A16803" s="549"/>
      <c r="B16803" s="549"/>
      <c r="C16803" s="549"/>
      <c r="D16803" s="549"/>
      <c r="E16803" s="549"/>
      <c r="F16803" s="549"/>
      <c r="G16803" s="549" t="s">
        <v>21</v>
      </c>
      <c r="H16803" s="549" t="s">
        <v>119</v>
      </c>
      <c r="I16803" s="558">
        <v>10.7</v>
      </c>
      <c r="J16803" s="567">
        <v>10.4</v>
      </c>
      <c r="K16803" s="648">
        <v>6</v>
      </c>
      <c r="L16803" s="552">
        <f t="shared" si="3417"/>
        <v>0.66768000000000005</v>
      </c>
      <c r="M16803" s="549"/>
      <c r="N16803" s="549"/>
      <c r="O16803" s="549"/>
      <c r="P16803" s="549"/>
    </row>
    <row r="16804" spans="1:16" ht="17.399999999999999">
      <c r="A16804" s="549"/>
      <c r="B16804" s="549"/>
      <c r="C16804" s="549"/>
      <c r="D16804" s="549"/>
      <c r="E16804" s="549"/>
      <c r="F16804" s="549"/>
      <c r="G16804" s="549" t="s">
        <v>21</v>
      </c>
      <c r="H16804" s="549" t="s">
        <v>119</v>
      </c>
      <c r="I16804" s="558">
        <v>10.7</v>
      </c>
      <c r="J16804" s="567">
        <v>11.1</v>
      </c>
      <c r="K16804" s="648">
        <v>14</v>
      </c>
      <c r="L16804" s="552">
        <f t="shared" si="3417"/>
        <v>1.6627799999999997</v>
      </c>
      <c r="M16804" s="549"/>
      <c r="N16804" s="549"/>
      <c r="O16804" s="549"/>
      <c r="P16804" s="549"/>
    </row>
    <row r="16805" spans="1:16" ht="17.399999999999999">
      <c r="A16805" s="549"/>
      <c r="B16805" s="549"/>
      <c r="C16805" s="549"/>
      <c r="D16805" s="549"/>
      <c r="E16805" s="549"/>
      <c r="F16805" s="549"/>
      <c r="G16805" s="549" t="s">
        <v>21</v>
      </c>
      <c r="H16805" s="549" t="s">
        <v>119</v>
      </c>
      <c r="I16805" s="558">
        <v>10.7</v>
      </c>
      <c r="J16805" s="567">
        <v>12</v>
      </c>
      <c r="K16805" s="648">
        <v>5</v>
      </c>
      <c r="L16805" s="552">
        <f t="shared" si="3417"/>
        <v>0.6419999999999999</v>
      </c>
      <c r="M16805" s="549">
        <v>1</v>
      </c>
      <c r="N16805" s="567">
        <f t="shared" ref="N16805" si="3419">J16805*M16805*I16805/1000</f>
        <v>0.12839999999999999</v>
      </c>
      <c r="O16805" s="549"/>
      <c r="P16805" s="549"/>
    </row>
    <row r="16806" spans="1:16" ht="17.399999999999999">
      <c r="A16806" s="549"/>
      <c r="B16806" s="549"/>
      <c r="C16806" s="549"/>
      <c r="D16806" s="549"/>
      <c r="E16806" s="549"/>
      <c r="F16806" s="549"/>
      <c r="G16806" s="549"/>
      <c r="H16806" s="549"/>
      <c r="I16806" s="558"/>
      <c r="J16806" s="567"/>
      <c r="K16806" s="648">
        <f t="shared" ref="K16806:N16806" si="3420">SUM(K16800:K16805)</f>
        <v>67</v>
      </c>
      <c r="L16806" s="567">
        <f t="shared" si="3420"/>
        <v>6.5847799999999985</v>
      </c>
      <c r="M16806" s="648">
        <f t="shared" si="3420"/>
        <v>17</v>
      </c>
      <c r="N16806" s="567">
        <f t="shared" si="3420"/>
        <v>1.17272</v>
      </c>
      <c r="O16806" s="549"/>
      <c r="P16806" s="549"/>
    </row>
    <row r="16807" spans="1:16" ht="17.399999999999999">
      <c r="A16807" s="549"/>
      <c r="B16807" s="549"/>
      <c r="C16807" s="549"/>
      <c r="D16807" s="549"/>
      <c r="E16807" s="549"/>
      <c r="F16807" s="549"/>
      <c r="G16807" s="549"/>
      <c r="H16807" s="549"/>
      <c r="I16807" s="558"/>
      <c r="J16807" s="549"/>
      <c r="K16807" s="561"/>
      <c r="L16807" s="560"/>
      <c r="M16807" s="549"/>
      <c r="N16807" s="549"/>
      <c r="O16807" s="549"/>
      <c r="P16807" s="549"/>
    </row>
    <row r="16808" spans="1:16" ht="17.399999999999999">
      <c r="A16808" s="547" t="s">
        <v>83</v>
      </c>
      <c r="B16808" s="547" t="s">
        <v>1748</v>
      </c>
      <c r="C16808" s="547" t="s">
        <v>19</v>
      </c>
      <c r="D16808" s="813" t="s">
        <v>854</v>
      </c>
      <c r="E16808" s="650" t="s">
        <v>1884</v>
      </c>
      <c r="F16808" s="549">
        <v>12</v>
      </c>
      <c r="G16808" s="549" t="s">
        <v>21</v>
      </c>
      <c r="H16808" s="549" t="s">
        <v>119</v>
      </c>
      <c r="I16808" s="558">
        <v>10.7</v>
      </c>
      <c r="J16808" s="567">
        <v>7.8</v>
      </c>
      <c r="K16808" s="648">
        <v>640</v>
      </c>
      <c r="L16808" s="552">
        <f t="shared" ref="L16808:L16815" si="3421">(I16808*J16808*K16808/1000)</f>
        <v>53.414399999999993</v>
      </c>
      <c r="M16808" s="549">
        <f>8+3+3+2+2</f>
        <v>18</v>
      </c>
      <c r="N16808" s="567">
        <f t="shared" ref="N16808:N16810" si="3422">J16808*M16808*I16808/1000</f>
        <v>1.5022800000000001</v>
      </c>
      <c r="O16808" s="549"/>
      <c r="P16808" s="549"/>
    </row>
    <row r="16809" spans="1:16" ht="17.399999999999999">
      <c r="A16809" s="549"/>
      <c r="B16809" s="549" t="s">
        <v>52</v>
      </c>
      <c r="C16809" s="549"/>
      <c r="D16809" s="549"/>
      <c r="E16809" s="549"/>
      <c r="F16809" s="549"/>
      <c r="G16809" s="549" t="s">
        <v>21</v>
      </c>
      <c r="H16809" s="549" t="s">
        <v>119</v>
      </c>
      <c r="I16809" s="558">
        <v>10.7</v>
      </c>
      <c r="J16809" s="567">
        <v>9.35</v>
      </c>
      <c r="K16809" s="648">
        <v>520</v>
      </c>
      <c r="L16809" s="552">
        <f t="shared" si="3421"/>
        <v>52.023399999999995</v>
      </c>
      <c r="M16809" s="549">
        <v>5</v>
      </c>
      <c r="N16809" s="567">
        <f t="shared" si="3422"/>
        <v>0.50022499999999992</v>
      </c>
      <c r="O16809" s="549"/>
      <c r="P16809" s="549"/>
    </row>
    <row r="16810" spans="1:16" ht="17.399999999999999">
      <c r="A16810" s="549"/>
      <c r="B16810" s="549"/>
      <c r="C16810" s="549"/>
      <c r="D16810" s="549"/>
      <c r="E16810" s="549"/>
      <c r="F16810" s="549"/>
      <c r="G16810" s="549" t="s">
        <v>21</v>
      </c>
      <c r="H16810" s="549" t="s">
        <v>119</v>
      </c>
      <c r="I16810" s="558">
        <v>10.7</v>
      </c>
      <c r="J16810" s="567">
        <v>10.4</v>
      </c>
      <c r="K16810" s="648">
        <v>60</v>
      </c>
      <c r="L16810" s="552">
        <f t="shared" si="3421"/>
        <v>6.6768000000000001</v>
      </c>
      <c r="M16810" s="549">
        <v>10</v>
      </c>
      <c r="N16810" s="567">
        <f t="shared" si="3422"/>
        <v>1.1128</v>
      </c>
      <c r="O16810" s="549"/>
      <c r="P16810" s="549" t="s">
        <v>1908</v>
      </c>
    </row>
    <row r="16811" spans="1:16" ht="17.399999999999999">
      <c r="A16811" s="549"/>
      <c r="B16811" s="549"/>
      <c r="C16811" s="549"/>
      <c r="D16811" s="549"/>
      <c r="E16811" s="549"/>
      <c r="F16811" s="549"/>
      <c r="G16811" s="549" t="s">
        <v>21</v>
      </c>
      <c r="H16811" s="549" t="s">
        <v>119</v>
      </c>
      <c r="I16811" s="558">
        <v>10.7</v>
      </c>
      <c r="J16811" s="567">
        <v>11.1</v>
      </c>
      <c r="K16811" s="648">
        <v>80</v>
      </c>
      <c r="L16811" s="552">
        <f t="shared" si="3421"/>
        <v>9.501599999999998</v>
      </c>
      <c r="M16811" s="549"/>
      <c r="N16811" s="549"/>
      <c r="O16811" s="549"/>
      <c r="P16811" s="549"/>
    </row>
    <row r="16812" spans="1:16" ht="17.399999999999999">
      <c r="A16812" s="549"/>
      <c r="B16812" s="549"/>
      <c r="C16812" s="549"/>
      <c r="D16812" s="549"/>
      <c r="E16812" s="549"/>
      <c r="F16812" s="549"/>
      <c r="G16812" s="549" t="s">
        <v>21</v>
      </c>
      <c r="H16812" s="549" t="s">
        <v>119</v>
      </c>
      <c r="I16812" s="558">
        <v>10.7</v>
      </c>
      <c r="J16812" s="567">
        <v>11.3</v>
      </c>
      <c r="K16812" s="648">
        <v>240</v>
      </c>
      <c r="L16812" s="552">
        <f t="shared" si="3421"/>
        <v>29.018399999999996</v>
      </c>
      <c r="M16812" s="549"/>
      <c r="N16812" s="549"/>
      <c r="O16812" s="549"/>
      <c r="P16812" s="549"/>
    </row>
    <row r="16813" spans="1:16" ht="17.399999999999999">
      <c r="A16813" s="549"/>
      <c r="B16813" s="549"/>
      <c r="C16813" s="549"/>
      <c r="D16813" s="549"/>
      <c r="E16813" s="549"/>
      <c r="F16813" s="549"/>
      <c r="G16813" s="549" t="s">
        <v>21</v>
      </c>
      <c r="H16813" s="549" t="s">
        <v>119</v>
      </c>
      <c r="I16813" s="558">
        <v>10.7</v>
      </c>
      <c r="J16813" s="567">
        <v>11.6</v>
      </c>
      <c r="K16813" s="648">
        <v>60</v>
      </c>
      <c r="L16813" s="552">
        <f t="shared" si="3421"/>
        <v>7.4471999999999996</v>
      </c>
      <c r="M16813" s="549">
        <v>2</v>
      </c>
      <c r="N16813" s="567">
        <f t="shared" ref="N16813" si="3423">J16813*M16813*I16813/1000</f>
        <v>0.24823999999999999</v>
      </c>
      <c r="O16813" s="549"/>
      <c r="P16813" s="549"/>
    </row>
    <row r="16814" spans="1:16" ht="17.399999999999999">
      <c r="A16814" s="549"/>
      <c r="B16814" s="549"/>
      <c r="C16814" s="549"/>
      <c r="D16814" s="549"/>
      <c r="E16814" s="549"/>
      <c r="F16814" s="549"/>
      <c r="G16814" s="549" t="s">
        <v>21</v>
      </c>
      <c r="H16814" s="549" t="s">
        <v>119</v>
      </c>
      <c r="I16814" s="558">
        <v>10.7</v>
      </c>
      <c r="J16814" s="567">
        <v>11.85</v>
      </c>
      <c r="K16814" s="648">
        <v>360</v>
      </c>
      <c r="L16814" s="552">
        <f t="shared" si="3421"/>
        <v>45.6462</v>
      </c>
      <c r="M16814" s="549"/>
      <c r="N16814" s="549"/>
      <c r="O16814" s="549"/>
      <c r="P16814" s="549"/>
    </row>
    <row r="16815" spans="1:16" ht="17.399999999999999">
      <c r="A16815" s="549"/>
      <c r="B16815" s="549"/>
      <c r="C16815" s="549"/>
      <c r="D16815" s="549"/>
      <c r="E16815" s="549"/>
      <c r="F16815" s="549"/>
      <c r="G16815" s="549" t="s">
        <v>21</v>
      </c>
      <c r="H16815" s="549" t="s">
        <v>119</v>
      </c>
      <c r="I16815" s="558">
        <v>10.7</v>
      </c>
      <c r="J16815" s="567">
        <v>12</v>
      </c>
      <c r="K16815" s="648">
        <v>104</v>
      </c>
      <c r="L16815" s="552">
        <f t="shared" si="3421"/>
        <v>13.353599999999998</v>
      </c>
      <c r="M16815" s="549">
        <v>1</v>
      </c>
      <c r="N16815" s="567">
        <f t="shared" ref="N16815" si="3424">J16815*M16815*I16815/1000</f>
        <v>0.12839999999999999</v>
      </c>
      <c r="O16815" s="549"/>
      <c r="P16815" s="549"/>
    </row>
    <row r="16816" spans="1:16" ht="17.399999999999999">
      <c r="A16816" s="549"/>
      <c r="B16816" s="549"/>
      <c r="C16816" s="549"/>
      <c r="D16816" s="549"/>
      <c r="E16816" s="549"/>
      <c r="F16816" s="549"/>
      <c r="G16816" s="549"/>
      <c r="H16816" s="549"/>
      <c r="I16816" s="558"/>
      <c r="J16816" s="567"/>
      <c r="K16816" s="648">
        <f t="shared" ref="K16816:N16816" si="3425">SUM(K16808:K16815)</f>
        <v>2064</v>
      </c>
      <c r="L16816" s="567">
        <f t="shared" si="3425"/>
        <v>217.08159999999998</v>
      </c>
      <c r="M16816" s="648">
        <f t="shared" si="3425"/>
        <v>36</v>
      </c>
      <c r="N16816" s="567">
        <f t="shared" si="3425"/>
        <v>3.4919450000000003</v>
      </c>
      <c r="O16816" s="549"/>
      <c r="P16816" s="549"/>
    </row>
    <row r="16817" spans="1:16" s="1737" customFormat="1" ht="17.399999999999999">
      <c r="A16817" s="549"/>
      <c r="B16817" s="549"/>
      <c r="C16817" s="549"/>
      <c r="D16817" s="549"/>
      <c r="E16817" s="549"/>
      <c r="F16817" s="549"/>
      <c r="G16817" s="549"/>
      <c r="H16817" s="549"/>
      <c r="I16817" s="558"/>
      <c r="J16817" s="567"/>
      <c r="K16817" s="648"/>
      <c r="L16817" s="567"/>
      <c r="M16817" s="549"/>
      <c r="N16817" s="549"/>
      <c r="O16817" s="549"/>
      <c r="P16817" s="549"/>
    </row>
    <row r="16818" spans="1:16" ht="17.399999999999999">
      <c r="A16818" s="547" t="s">
        <v>83</v>
      </c>
      <c r="B16818" s="547" t="s">
        <v>1902</v>
      </c>
      <c r="C16818" s="547" t="s">
        <v>19</v>
      </c>
      <c r="D16818" s="813" t="s">
        <v>854</v>
      </c>
      <c r="E16818" s="768" t="s">
        <v>175</v>
      </c>
      <c r="F16818" s="549">
        <v>12</v>
      </c>
      <c r="G16818" s="549" t="s">
        <v>21</v>
      </c>
      <c r="H16818" s="549" t="s">
        <v>119</v>
      </c>
      <c r="I16818" s="558">
        <v>10.7</v>
      </c>
      <c r="J16818" s="567">
        <v>6</v>
      </c>
      <c r="K16818" s="648">
        <v>1</v>
      </c>
      <c r="L16818" s="552">
        <f t="shared" ref="L16818:L16820" si="3426">(I16818*J16818*K16818/1000)</f>
        <v>6.4199999999999993E-2</v>
      </c>
      <c r="M16818" s="549">
        <v>1</v>
      </c>
      <c r="N16818" s="567">
        <f t="shared" ref="N16818" si="3427">J16818*M16818*I16818/1000</f>
        <v>6.4199999999999993E-2</v>
      </c>
      <c r="O16818" s="549"/>
      <c r="P16818" s="549"/>
    </row>
    <row r="16819" spans="1:16" ht="17.399999999999999">
      <c r="A16819" s="549"/>
      <c r="B16819" s="549" t="s">
        <v>1135</v>
      </c>
      <c r="C16819" s="549"/>
      <c r="D16819" s="549"/>
      <c r="E16819" s="549"/>
      <c r="F16819" s="549"/>
      <c r="G16819" s="549" t="s">
        <v>21</v>
      </c>
      <c r="H16819" s="549" t="s">
        <v>119</v>
      </c>
      <c r="I16819" s="558">
        <v>10.7</v>
      </c>
      <c r="J16819" s="567">
        <v>8.1</v>
      </c>
      <c r="K16819" s="648">
        <v>2</v>
      </c>
      <c r="L16819" s="552">
        <f t="shared" si="3426"/>
        <v>0.17333999999999997</v>
      </c>
      <c r="M16819" s="549"/>
      <c r="N16819" s="549"/>
      <c r="O16819" s="549"/>
      <c r="P16819" s="549"/>
    </row>
    <row r="16820" spans="1:16" ht="17.399999999999999">
      <c r="A16820" s="549"/>
      <c r="B16820" s="549"/>
      <c r="C16820" s="549"/>
      <c r="D16820" s="549"/>
      <c r="E16820" s="549"/>
      <c r="F16820" s="549"/>
      <c r="G16820" s="549" t="s">
        <v>21</v>
      </c>
      <c r="H16820" s="549" t="s">
        <v>119</v>
      </c>
      <c r="I16820" s="558">
        <v>10.7</v>
      </c>
      <c r="J16820" s="567">
        <v>11.8</v>
      </c>
      <c r="K16820" s="648">
        <v>3</v>
      </c>
      <c r="L16820" s="552">
        <f t="shared" si="3426"/>
        <v>0.37878000000000001</v>
      </c>
      <c r="M16820" s="549"/>
      <c r="N16820" s="549"/>
      <c r="O16820" s="549"/>
      <c r="P16820" s="549"/>
    </row>
    <row r="16821" spans="1:16" ht="17.399999999999999">
      <c r="A16821" s="549"/>
      <c r="B16821" s="549"/>
      <c r="C16821" s="549"/>
      <c r="D16821" s="549"/>
      <c r="E16821" s="549"/>
      <c r="F16821" s="549"/>
      <c r="G16821" s="549"/>
      <c r="H16821" s="549"/>
      <c r="I16821" s="558"/>
      <c r="J16821" s="567"/>
      <c r="K16821" s="648">
        <f t="shared" ref="K16821:M16821" si="3428">SUM(K16818:K16820)</f>
        <v>6</v>
      </c>
      <c r="L16821" s="567">
        <f>SUM(L16818:L16820)</f>
        <v>0.61631999999999998</v>
      </c>
      <c r="M16821" s="648">
        <f t="shared" si="3428"/>
        <v>1</v>
      </c>
      <c r="N16821" s="567">
        <f>SUM(N16818:N16820)</f>
        <v>6.4199999999999993E-2</v>
      </c>
      <c r="O16821" s="549"/>
      <c r="P16821" s="549"/>
    </row>
    <row r="16822" spans="1:16" ht="17.399999999999999">
      <c r="A16822" s="549"/>
      <c r="B16822" s="549"/>
      <c r="C16822" s="549"/>
      <c r="D16822" s="549"/>
      <c r="E16822" s="549"/>
      <c r="F16822" s="549"/>
      <c r="G16822" s="549"/>
      <c r="H16822" s="549"/>
      <c r="I16822" s="558"/>
      <c r="J16822" s="549"/>
      <c r="K16822" s="561"/>
      <c r="L16822" s="560"/>
      <c r="M16822" s="549"/>
      <c r="N16822" s="549"/>
      <c r="O16822" s="549"/>
      <c r="P16822" s="549"/>
    </row>
    <row r="16823" spans="1:16" ht="17.399999999999999">
      <c r="A16823" s="547" t="s">
        <v>272</v>
      </c>
      <c r="B16823" s="547" t="s">
        <v>1745</v>
      </c>
      <c r="C16823" s="547" t="s">
        <v>19</v>
      </c>
      <c r="D16823" s="813" t="s">
        <v>854</v>
      </c>
      <c r="E16823" s="547" t="s">
        <v>359</v>
      </c>
      <c r="F16823" s="549">
        <v>12</v>
      </c>
      <c r="G16823" s="549" t="s">
        <v>21</v>
      </c>
      <c r="H16823" s="549" t="s">
        <v>119</v>
      </c>
      <c r="I16823" s="558">
        <v>10.73</v>
      </c>
      <c r="J16823" s="567">
        <v>10</v>
      </c>
      <c r="K16823" s="648">
        <v>7</v>
      </c>
      <c r="L16823" s="552">
        <f t="shared" ref="L16823:L16825" si="3429">(I16823*J16823*K16823/1000)</f>
        <v>0.7511000000000001</v>
      </c>
      <c r="M16823" s="549"/>
      <c r="N16823" s="549"/>
      <c r="O16823" s="549"/>
      <c r="P16823" s="549"/>
    </row>
    <row r="16824" spans="1:16" ht="17.399999999999999">
      <c r="A16824" s="549"/>
      <c r="B16824" s="549" t="s">
        <v>1027</v>
      </c>
      <c r="C16824" s="549"/>
      <c r="D16824" s="549"/>
      <c r="E16824" s="549"/>
      <c r="F16824" s="549"/>
      <c r="G16824" s="549" t="s">
        <v>21</v>
      </c>
      <c r="H16824" s="549" t="s">
        <v>119</v>
      </c>
      <c r="I16824" s="558">
        <v>10.73</v>
      </c>
      <c r="J16824" s="567">
        <v>10.5</v>
      </c>
      <c r="K16824" s="648">
        <v>10</v>
      </c>
      <c r="L16824" s="552">
        <f t="shared" si="3429"/>
        <v>1.1266500000000002</v>
      </c>
      <c r="M16824" s="549"/>
      <c r="N16824" s="549"/>
      <c r="O16824" s="549"/>
      <c r="P16824" s="549"/>
    </row>
    <row r="16825" spans="1:16" ht="17.399999999999999">
      <c r="A16825" s="549"/>
      <c r="B16825" s="549"/>
      <c r="C16825" s="549"/>
      <c r="D16825" s="549"/>
      <c r="E16825" s="549"/>
      <c r="F16825" s="549"/>
      <c r="G16825" s="549" t="s">
        <v>21</v>
      </c>
      <c r="H16825" s="549" t="s">
        <v>119</v>
      </c>
      <c r="I16825" s="558">
        <v>10.73</v>
      </c>
      <c r="J16825" s="567">
        <v>12</v>
      </c>
      <c r="K16825" s="648">
        <v>4</v>
      </c>
      <c r="L16825" s="552">
        <f t="shared" si="3429"/>
        <v>0.51503999999999994</v>
      </c>
      <c r="M16825" s="549"/>
      <c r="N16825" s="549"/>
      <c r="O16825" s="549"/>
      <c r="P16825" s="549"/>
    </row>
    <row r="16826" spans="1:16" ht="17.399999999999999">
      <c r="A16826" s="549"/>
      <c r="B16826" s="549"/>
      <c r="C16826" s="549"/>
      <c r="D16826" s="549"/>
      <c r="E16826" s="549"/>
      <c r="F16826" s="549"/>
      <c r="G16826" s="549"/>
      <c r="H16826" s="549"/>
      <c r="I16826" s="558"/>
      <c r="J16826" s="567"/>
      <c r="K16826" s="648">
        <f t="shared" ref="K16826:L16826" si="3430">SUM(K16823:K16825)</f>
        <v>21</v>
      </c>
      <c r="L16826" s="567">
        <f t="shared" si="3430"/>
        <v>2.3927900000000002</v>
      </c>
      <c r="M16826" s="549"/>
      <c r="N16826" s="549"/>
      <c r="O16826" s="549"/>
      <c r="P16826" s="549"/>
    </row>
    <row r="16827" spans="1:16" ht="17.399999999999999">
      <c r="A16827" s="549"/>
      <c r="B16827" s="549"/>
      <c r="C16827" s="549"/>
      <c r="D16827" s="549"/>
      <c r="E16827" s="549"/>
      <c r="F16827" s="549"/>
      <c r="G16827" s="549"/>
      <c r="H16827" s="549"/>
      <c r="I16827" s="558"/>
      <c r="J16827" s="549"/>
      <c r="K16827" s="561"/>
      <c r="L16827" s="560"/>
      <c r="M16827" s="549"/>
      <c r="N16827" s="549"/>
      <c r="O16827" s="549"/>
      <c r="P16827" s="549"/>
    </row>
    <row r="16828" spans="1:16" ht="17.399999999999999">
      <c r="A16828" s="547" t="s">
        <v>83</v>
      </c>
      <c r="B16828" s="547" t="s">
        <v>1816</v>
      </c>
      <c r="C16828" s="547" t="s">
        <v>19</v>
      </c>
      <c r="D16828" s="813" t="s">
        <v>854</v>
      </c>
      <c r="E16828" s="768" t="s">
        <v>57</v>
      </c>
      <c r="F16828" s="549">
        <v>12</v>
      </c>
      <c r="G16828" s="549" t="s">
        <v>21</v>
      </c>
      <c r="H16828" s="549" t="s">
        <v>119</v>
      </c>
      <c r="I16828" s="558">
        <v>10.7</v>
      </c>
      <c r="J16828" s="567">
        <v>12</v>
      </c>
      <c r="K16828" s="648">
        <v>9</v>
      </c>
      <c r="L16828" s="552">
        <f>(I16828*J16828*K16828/1000)</f>
        <v>1.1556</v>
      </c>
      <c r="M16828" s="549">
        <v>9</v>
      </c>
      <c r="N16828" s="567">
        <f>J16828*M16828*I16828/1000</f>
        <v>1.1556</v>
      </c>
      <c r="O16828" s="549" t="s">
        <v>1907</v>
      </c>
      <c r="P16828" s="549"/>
    </row>
    <row r="16829" spans="1:16" ht="17.399999999999999">
      <c r="A16829" s="549"/>
      <c r="B16829" s="549" t="s">
        <v>1815</v>
      </c>
      <c r="C16829" s="549"/>
      <c r="D16829" s="549"/>
      <c r="E16829" s="549"/>
      <c r="F16829" s="549"/>
      <c r="G16829" s="549"/>
      <c r="H16829" s="549"/>
      <c r="I16829" s="558"/>
      <c r="J16829" s="567"/>
      <c r="K16829" s="648">
        <f t="shared" ref="K16829:M16829" si="3431">SUM(K16828)</f>
        <v>9</v>
      </c>
      <c r="L16829" s="567">
        <f t="shared" si="3431"/>
        <v>1.1556</v>
      </c>
      <c r="M16829" s="648">
        <f t="shared" si="3431"/>
        <v>9</v>
      </c>
      <c r="N16829" s="567">
        <f>SUM(N16828)</f>
        <v>1.1556</v>
      </c>
      <c r="O16829" s="549"/>
      <c r="P16829" s="549"/>
    </row>
    <row r="16830" spans="1:16" s="1737" customFormat="1" ht="17.399999999999999">
      <c r="A16830" s="549"/>
      <c r="B16830" s="549"/>
      <c r="C16830" s="549"/>
      <c r="D16830" s="549"/>
      <c r="E16830" s="549"/>
      <c r="F16830" s="549"/>
      <c r="G16830" s="549"/>
      <c r="H16830" s="549"/>
      <c r="I16830" s="558"/>
      <c r="J16830" s="567"/>
      <c r="K16830" s="648"/>
      <c r="L16830" s="567"/>
      <c r="M16830" s="549"/>
      <c r="N16830" s="549"/>
      <c r="O16830" s="549"/>
      <c r="P16830" s="549"/>
    </row>
    <row r="16831" spans="1:16" ht="17.399999999999999">
      <c r="A16831" s="547" t="s">
        <v>83</v>
      </c>
      <c r="B16831" s="547" t="s">
        <v>1747</v>
      </c>
      <c r="C16831" s="547" t="s">
        <v>19</v>
      </c>
      <c r="D16831" s="813" t="s">
        <v>854</v>
      </c>
      <c r="E16831" s="650" t="s">
        <v>464</v>
      </c>
      <c r="F16831" s="549">
        <v>12</v>
      </c>
      <c r="G16831" s="549" t="s">
        <v>21</v>
      </c>
      <c r="H16831" s="549" t="s">
        <v>119</v>
      </c>
      <c r="I16831" s="558">
        <v>10.73</v>
      </c>
      <c r="J16831" s="567">
        <v>6.1</v>
      </c>
      <c r="K16831" s="648">
        <v>1</v>
      </c>
      <c r="L16831" s="552">
        <f>(I16831*J16831*K16831/1000)</f>
        <v>6.5452999999999997E-2</v>
      </c>
      <c r="M16831" s="549">
        <v>1</v>
      </c>
      <c r="N16831" s="567">
        <f>J16831*M16831*I16831/1000</f>
        <v>6.5452999999999997E-2</v>
      </c>
      <c r="O16831" s="549"/>
      <c r="P16831" s="549"/>
    </row>
    <row r="16832" spans="1:16" ht="17.399999999999999">
      <c r="A16832" s="549"/>
      <c r="B16832" s="549" t="s">
        <v>439</v>
      </c>
      <c r="C16832" s="549"/>
      <c r="D16832" s="549"/>
      <c r="E16832" s="549"/>
      <c r="F16832" s="549"/>
      <c r="G16832" s="549"/>
      <c r="H16832" s="549"/>
      <c r="I16832" s="558"/>
      <c r="J16832" s="567"/>
      <c r="K16832" s="648">
        <f t="shared" ref="K16832:M16832" si="3432">SUM(K16831)</f>
        <v>1</v>
      </c>
      <c r="L16832" s="567">
        <f t="shared" si="3432"/>
        <v>6.5452999999999997E-2</v>
      </c>
      <c r="M16832" s="648">
        <f t="shared" si="3432"/>
        <v>1</v>
      </c>
      <c r="N16832" s="567">
        <f>SUM(N16831)</f>
        <v>6.5452999999999997E-2</v>
      </c>
      <c r="O16832" s="549"/>
      <c r="P16832" s="549"/>
    </row>
    <row r="16833" spans="1:16" s="1737" customFormat="1" ht="17.399999999999999">
      <c r="A16833" s="549"/>
      <c r="B16833" s="549"/>
      <c r="C16833" s="549"/>
      <c r="D16833" s="549"/>
      <c r="E16833" s="549"/>
      <c r="F16833" s="549"/>
      <c r="G16833" s="549"/>
      <c r="H16833" s="549"/>
      <c r="I16833" s="558"/>
      <c r="J16833" s="567"/>
      <c r="K16833" s="648">
        <f>SUM(K16800:K16832)/2</f>
        <v>2168</v>
      </c>
      <c r="L16833" s="567">
        <f>SUM(L16800:L16832)/2</f>
        <v>227.89654299999995</v>
      </c>
      <c r="M16833" s="648">
        <f>SUM(M16800:M16832)/2</f>
        <v>64</v>
      </c>
      <c r="N16833" s="567">
        <f>SUM(N16800:N16832)/2</f>
        <v>5.9499179999999985</v>
      </c>
      <c r="O16833" s="549"/>
      <c r="P16833" s="549"/>
    </row>
    <row r="16834" spans="1:16" s="1737" customFormat="1" ht="17.399999999999999">
      <c r="A16834" s="549"/>
      <c r="B16834" s="549"/>
      <c r="C16834" s="549"/>
      <c r="D16834" s="549"/>
      <c r="E16834" s="549"/>
      <c r="F16834" s="549"/>
      <c r="G16834" s="549"/>
      <c r="H16834" s="549"/>
      <c r="I16834" s="558"/>
      <c r="J16834" s="567"/>
      <c r="K16834" s="648"/>
      <c r="L16834" s="567"/>
      <c r="M16834" s="549"/>
      <c r="N16834" s="549"/>
      <c r="O16834" s="549"/>
      <c r="P16834" s="549"/>
    </row>
    <row r="16835" spans="1:16" s="1737" customFormat="1" ht="17.399999999999999">
      <c r="A16835" s="549"/>
      <c r="B16835" s="549"/>
      <c r="C16835" s="549"/>
      <c r="D16835" s="549"/>
      <c r="E16835" s="549"/>
      <c r="F16835" s="549"/>
      <c r="G16835" s="549"/>
      <c r="H16835" s="549"/>
      <c r="I16835" s="558"/>
      <c r="J16835" s="567"/>
      <c r="K16835" s="648"/>
      <c r="L16835" s="567"/>
      <c r="M16835" s="549"/>
      <c r="N16835" s="549"/>
      <c r="O16835" s="549"/>
      <c r="P16835" s="549"/>
    </row>
    <row r="16836" spans="1:16" ht="17.399999999999999">
      <c r="A16836" s="549"/>
      <c r="B16836" s="549"/>
      <c r="C16836" s="549"/>
      <c r="D16836" s="549"/>
      <c r="E16836" s="549"/>
      <c r="F16836" s="549"/>
      <c r="G16836" s="549"/>
      <c r="H16836" s="549"/>
      <c r="I16836" s="558"/>
      <c r="J16836" s="549"/>
      <c r="K16836" s="561"/>
      <c r="L16836" s="560"/>
      <c r="M16836" s="549"/>
      <c r="N16836" s="549"/>
      <c r="O16836" s="549"/>
      <c r="P16836" s="549"/>
    </row>
    <row r="16837" spans="1:16" ht="17.399999999999999">
      <c r="A16837" s="547" t="s">
        <v>272</v>
      </c>
      <c r="B16837" s="547" t="s">
        <v>1745</v>
      </c>
      <c r="C16837" s="547" t="s">
        <v>19</v>
      </c>
      <c r="D16837" s="813" t="s">
        <v>854</v>
      </c>
      <c r="E16837" s="547" t="s">
        <v>359</v>
      </c>
      <c r="F16837" s="549">
        <v>12</v>
      </c>
      <c r="G16837" s="549" t="s">
        <v>21</v>
      </c>
      <c r="H16837" s="549" t="s">
        <v>118</v>
      </c>
      <c r="I16837" s="558">
        <v>9.26</v>
      </c>
      <c r="J16837" s="567">
        <v>10</v>
      </c>
      <c r="K16837" s="648">
        <v>5</v>
      </c>
      <c r="L16837" s="552">
        <f t="shared" ref="L16837:L16839" si="3433">(I16837*J16837*K16837/1000)</f>
        <v>0.46300000000000002</v>
      </c>
      <c r="M16837" s="549"/>
      <c r="N16837" s="549"/>
      <c r="O16837" s="549"/>
      <c r="P16837" s="549"/>
    </row>
    <row r="16838" spans="1:16" ht="17.399999999999999">
      <c r="A16838" s="549"/>
      <c r="B16838" s="549" t="s">
        <v>1027</v>
      </c>
      <c r="C16838" s="549"/>
      <c r="D16838" s="549"/>
      <c r="E16838" s="549"/>
      <c r="F16838" s="549"/>
      <c r="G16838" s="549" t="s">
        <v>21</v>
      </c>
      <c r="H16838" s="549" t="s">
        <v>118</v>
      </c>
      <c r="I16838" s="558">
        <v>9.26</v>
      </c>
      <c r="J16838" s="567">
        <v>10.5</v>
      </c>
      <c r="K16838" s="648">
        <v>8</v>
      </c>
      <c r="L16838" s="552">
        <f t="shared" si="3433"/>
        <v>0.77784000000000009</v>
      </c>
      <c r="M16838" s="549"/>
      <c r="N16838" s="549"/>
      <c r="O16838" s="549"/>
      <c r="P16838" s="549"/>
    </row>
    <row r="16839" spans="1:16" ht="17.399999999999999">
      <c r="A16839" s="549"/>
      <c r="B16839" s="549"/>
      <c r="C16839" s="549"/>
      <c r="D16839" s="549"/>
      <c r="E16839" s="549"/>
      <c r="F16839" s="549"/>
      <c r="G16839" s="549" t="s">
        <v>21</v>
      </c>
      <c r="H16839" s="549" t="s">
        <v>118</v>
      </c>
      <c r="I16839" s="558">
        <v>9.26</v>
      </c>
      <c r="J16839" s="567">
        <v>11</v>
      </c>
      <c r="K16839" s="648">
        <v>13</v>
      </c>
      <c r="L16839" s="552">
        <f t="shared" si="3433"/>
        <v>1.3241800000000001</v>
      </c>
      <c r="M16839" s="549"/>
      <c r="N16839" s="549"/>
      <c r="O16839" s="549"/>
      <c r="P16839" s="549"/>
    </row>
    <row r="16840" spans="1:16" ht="17.399999999999999">
      <c r="A16840" s="549"/>
      <c r="B16840" s="549"/>
      <c r="C16840" s="549"/>
      <c r="D16840" s="549"/>
      <c r="E16840" s="549"/>
      <c r="F16840" s="549"/>
      <c r="G16840" s="549"/>
      <c r="H16840" s="549"/>
      <c r="I16840" s="558"/>
      <c r="J16840" s="567"/>
      <c r="K16840" s="648">
        <f t="shared" ref="K16840:N16840" si="3434">SUM(K16837:K16839)</f>
        <v>26</v>
      </c>
      <c r="L16840" s="567">
        <f t="shared" si="3434"/>
        <v>2.5650200000000005</v>
      </c>
      <c r="M16840" s="648">
        <f t="shared" si="3434"/>
        <v>0</v>
      </c>
      <c r="N16840" s="567">
        <f t="shared" si="3434"/>
        <v>0</v>
      </c>
      <c r="O16840" s="549"/>
      <c r="P16840" s="549"/>
    </row>
    <row r="16841" spans="1:16" s="1737" customFormat="1" ht="17.399999999999999">
      <c r="A16841" s="549"/>
      <c r="B16841" s="549"/>
      <c r="C16841" s="549"/>
      <c r="D16841" s="549"/>
      <c r="E16841" s="549"/>
      <c r="F16841" s="549"/>
      <c r="G16841" s="549"/>
      <c r="H16841" s="549"/>
      <c r="I16841" s="558"/>
      <c r="J16841" s="567"/>
      <c r="K16841" s="648"/>
      <c r="L16841" s="567"/>
      <c r="M16841" s="549"/>
      <c r="N16841" s="549"/>
      <c r="O16841" s="549"/>
      <c r="P16841" s="549"/>
    </row>
    <row r="16842" spans="1:16" ht="17.399999999999999">
      <c r="A16842" s="547" t="s">
        <v>272</v>
      </c>
      <c r="B16842" s="547" t="s">
        <v>1847</v>
      </c>
      <c r="C16842" s="547" t="s">
        <v>19</v>
      </c>
      <c r="D16842" s="813" t="s">
        <v>854</v>
      </c>
      <c r="E16842" s="547" t="s">
        <v>359</v>
      </c>
      <c r="F16842" s="549">
        <v>12</v>
      </c>
      <c r="G16842" s="549" t="s">
        <v>21</v>
      </c>
      <c r="H16842" s="549" t="s">
        <v>118</v>
      </c>
      <c r="I16842" s="558">
        <v>9.26</v>
      </c>
      <c r="J16842" s="567">
        <v>6</v>
      </c>
      <c r="K16842" s="648">
        <v>3</v>
      </c>
      <c r="L16842" s="552">
        <f>(I16842*J16842*K16842/1000)</f>
        <v>0.16667999999999999</v>
      </c>
      <c r="M16842" s="549">
        <v>3</v>
      </c>
      <c r="N16842" s="567">
        <f t="shared" ref="N16842" si="3435">J16842*M16842*I16842/1000</f>
        <v>0.16667999999999999</v>
      </c>
      <c r="O16842" s="549"/>
      <c r="P16842" s="549"/>
    </row>
    <row r="16843" spans="1:16" ht="17.399999999999999">
      <c r="A16843" s="549"/>
      <c r="B16843" s="549" t="s">
        <v>1027</v>
      </c>
      <c r="C16843" s="549"/>
      <c r="D16843" s="549"/>
      <c r="E16843" s="549"/>
      <c r="F16843" s="549"/>
      <c r="G16843" s="549"/>
      <c r="H16843" s="549"/>
      <c r="I16843" s="558"/>
      <c r="J16843" s="567"/>
      <c r="K16843" s="648">
        <f t="shared" ref="K16843:N16843" si="3436">SUM(K16842)</f>
        <v>3</v>
      </c>
      <c r="L16843" s="765">
        <f t="shared" si="3436"/>
        <v>0.16667999999999999</v>
      </c>
      <c r="M16843" s="648">
        <f t="shared" si="3436"/>
        <v>3</v>
      </c>
      <c r="N16843" s="765">
        <f t="shared" si="3436"/>
        <v>0.16667999999999999</v>
      </c>
      <c r="O16843" s="549"/>
      <c r="P16843" s="549"/>
    </row>
    <row r="16844" spans="1:16" s="1737" customFormat="1" ht="17.399999999999999">
      <c r="A16844" s="549"/>
      <c r="B16844" s="549"/>
      <c r="C16844" s="549"/>
      <c r="D16844" s="549"/>
      <c r="E16844" s="549"/>
      <c r="F16844" s="549"/>
      <c r="G16844" s="549"/>
      <c r="H16844" s="549"/>
      <c r="I16844" s="558"/>
      <c r="J16844" s="567"/>
      <c r="K16844" s="648"/>
      <c r="L16844" s="765"/>
      <c r="M16844" s="549"/>
      <c r="N16844" s="549"/>
      <c r="O16844" s="549"/>
      <c r="P16844" s="549"/>
    </row>
    <row r="16845" spans="1:16" ht="17.399999999999999">
      <c r="A16845" s="547" t="s">
        <v>83</v>
      </c>
      <c r="B16845" s="547" t="s">
        <v>1746</v>
      </c>
      <c r="C16845" s="547" t="s">
        <v>19</v>
      </c>
      <c r="D16845" s="813" t="s">
        <v>854</v>
      </c>
      <c r="E16845" s="650" t="s">
        <v>878</v>
      </c>
      <c r="F16845" s="549">
        <v>12</v>
      </c>
      <c r="G16845" s="549" t="s">
        <v>21</v>
      </c>
      <c r="H16845" s="549" t="s">
        <v>118</v>
      </c>
      <c r="I16845" s="558">
        <v>9.26</v>
      </c>
      <c r="J16845" s="567">
        <v>6.4</v>
      </c>
      <c r="K16845" s="648">
        <v>17</v>
      </c>
      <c r="L16845" s="552">
        <f t="shared" ref="L16845:L16850" si="3437">(I16845*J16845*K16845/1000)</f>
        <v>1.0074880000000002</v>
      </c>
      <c r="M16845" s="549">
        <v>17</v>
      </c>
      <c r="N16845" s="567">
        <f t="shared" ref="N16845:N16850" si="3438">J16845*M16845*I16845/1000</f>
        <v>1.0074880000000002</v>
      </c>
      <c r="O16845" s="549"/>
      <c r="P16845" s="549"/>
    </row>
    <row r="16846" spans="1:16" ht="17.399999999999999">
      <c r="A16846" s="549"/>
      <c r="B16846" s="549" t="s">
        <v>1135</v>
      </c>
      <c r="C16846" s="549"/>
      <c r="D16846" s="549"/>
      <c r="E16846" s="549"/>
      <c r="F16846" s="549"/>
      <c r="G16846" s="549" t="s">
        <v>21</v>
      </c>
      <c r="H16846" s="549" t="s">
        <v>118</v>
      </c>
      <c r="I16846" s="558">
        <v>9.26</v>
      </c>
      <c r="J16846" s="567">
        <v>9</v>
      </c>
      <c r="K16846" s="648">
        <v>18</v>
      </c>
      <c r="L16846" s="552">
        <f t="shared" si="3437"/>
        <v>1.5001200000000001</v>
      </c>
      <c r="M16846" s="549">
        <f>2+8+8</f>
        <v>18</v>
      </c>
      <c r="N16846" s="567">
        <f t="shared" si="3438"/>
        <v>1.5001199999999999</v>
      </c>
      <c r="O16846" s="549"/>
      <c r="P16846" s="549"/>
    </row>
    <row r="16847" spans="1:16" ht="17.399999999999999">
      <c r="A16847" s="549"/>
      <c r="B16847" s="549"/>
      <c r="C16847" s="549"/>
      <c r="D16847" s="549"/>
      <c r="E16847" s="549"/>
      <c r="F16847" s="549"/>
      <c r="G16847" s="549" t="s">
        <v>21</v>
      </c>
      <c r="H16847" s="549" t="s">
        <v>118</v>
      </c>
      <c r="I16847" s="558">
        <v>9.26</v>
      </c>
      <c r="J16847" s="567">
        <v>10.85</v>
      </c>
      <c r="K16847" s="648">
        <v>4</v>
      </c>
      <c r="L16847" s="552">
        <f t="shared" si="3437"/>
        <v>0.40188399999999996</v>
      </c>
      <c r="M16847" s="549">
        <v>4</v>
      </c>
      <c r="N16847" s="567">
        <f t="shared" si="3438"/>
        <v>0.40188399999999996</v>
      </c>
      <c r="O16847" s="549"/>
      <c r="P16847" s="549"/>
    </row>
    <row r="16848" spans="1:16" ht="17.399999999999999">
      <c r="A16848" s="549"/>
      <c r="B16848" s="549"/>
      <c r="C16848" s="549"/>
      <c r="D16848" s="549"/>
      <c r="E16848" s="549"/>
      <c r="F16848" s="549"/>
      <c r="G16848" s="549" t="s">
        <v>21</v>
      </c>
      <c r="H16848" s="549" t="s">
        <v>118</v>
      </c>
      <c r="I16848" s="558">
        <v>9.26</v>
      </c>
      <c r="J16848" s="567">
        <v>11.1</v>
      </c>
      <c r="K16848" s="648">
        <v>4</v>
      </c>
      <c r="L16848" s="552">
        <f t="shared" si="3437"/>
        <v>0.41114400000000001</v>
      </c>
      <c r="M16848" s="549"/>
      <c r="N16848" s="567">
        <f t="shared" si="3438"/>
        <v>0</v>
      </c>
      <c r="O16848" s="549"/>
      <c r="P16848" s="549"/>
    </row>
    <row r="16849" spans="1:16" ht="17.399999999999999">
      <c r="A16849" s="549"/>
      <c r="B16849" s="549"/>
      <c r="C16849" s="549"/>
      <c r="D16849" s="549"/>
      <c r="E16849" s="549"/>
      <c r="F16849" s="549"/>
      <c r="G16849" s="549" t="s">
        <v>21</v>
      </c>
      <c r="H16849" s="549" t="s">
        <v>118</v>
      </c>
      <c r="I16849" s="558">
        <v>9.26</v>
      </c>
      <c r="J16849" s="567">
        <v>11.3</v>
      </c>
      <c r="K16849" s="648">
        <v>11</v>
      </c>
      <c r="L16849" s="552">
        <f t="shared" si="3437"/>
        <v>1.1510180000000001</v>
      </c>
      <c r="M16849" s="549"/>
      <c r="N16849" s="567">
        <f t="shared" si="3438"/>
        <v>0</v>
      </c>
      <c r="O16849" s="549"/>
      <c r="P16849" s="549"/>
    </row>
    <row r="16850" spans="1:16" ht="17.399999999999999">
      <c r="A16850" s="549"/>
      <c r="B16850" s="549"/>
      <c r="C16850" s="549"/>
      <c r="D16850" s="549"/>
      <c r="E16850" s="549"/>
      <c r="F16850" s="549"/>
      <c r="G16850" s="549" t="s">
        <v>21</v>
      </c>
      <c r="H16850" s="549" t="s">
        <v>118</v>
      </c>
      <c r="I16850" s="558">
        <v>9.26</v>
      </c>
      <c r="J16850" s="567">
        <v>11.9</v>
      </c>
      <c r="K16850" s="648">
        <v>9</v>
      </c>
      <c r="L16850" s="552">
        <f t="shared" si="3437"/>
        <v>0.99174600000000002</v>
      </c>
      <c r="M16850" s="549">
        <v>1</v>
      </c>
      <c r="N16850" s="567">
        <f t="shared" si="3438"/>
        <v>0.110194</v>
      </c>
      <c r="O16850" s="549"/>
      <c r="P16850" s="549"/>
    </row>
    <row r="16851" spans="1:16" ht="17.399999999999999">
      <c r="A16851" s="549"/>
      <c r="B16851" s="549"/>
      <c r="C16851" s="549"/>
      <c r="D16851" s="549"/>
      <c r="E16851" s="549"/>
      <c r="F16851" s="549"/>
      <c r="G16851" s="549"/>
      <c r="H16851" s="549"/>
      <c r="I16851" s="558"/>
      <c r="J16851" s="567"/>
      <c r="K16851" s="648">
        <f t="shared" ref="K16851:N16851" si="3439">SUM(K16845:K16850)</f>
        <v>63</v>
      </c>
      <c r="L16851" s="567">
        <f t="shared" si="3439"/>
        <v>5.4634000000000009</v>
      </c>
      <c r="M16851" s="648">
        <f t="shared" si="3439"/>
        <v>40</v>
      </c>
      <c r="N16851" s="567">
        <f t="shared" si="3439"/>
        <v>3.0196860000000001</v>
      </c>
      <c r="O16851" s="549"/>
      <c r="P16851" s="549"/>
    </row>
    <row r="16852" spans="1:16" s="1737" customFormat="1" ht="17.399999999999999">
      <c r="A16852" s="549"/>
      <c r="B16852" s="549"/>
      <c r="C16852" s="549"/>
      <c r="D16852" s="549"/>
      <c r="E16852" s="549"/>
      <c r="F16852" s="549"/>
      <c r="G16852" s="549"/>
      <c r="H16852" s="549"/>
      <c r="I16852" s="558"/>
      <c r="J16852" s="567"/>
      <c r="K16852" s="648"/>
      <c r="L16852" s="567"/>
      <c r="M16852" s="549"/>
      <c r="N16852" s="549"/>
      <c r="O16852" s="549"/>
      <c r="P16852" s="549"/>
    </row>
    <row r="16853" spans="1:16" ht="17.399999999999999">
      <c r="A16853" s="547" t="s">
        <v>83</v>
      </c>
      <c r="B16853" s="547" t="s">
        <v>1748</v>
      </c>
      <c r="C16853" s="547" t="s">
        <v>19</v>
      </c>
      <c r="D16853" s="813" t="s">
        <v>854</v>
      </c>
      <c r="E16853" s="650" t="s">
        <v>1884</v>
      </c>
      <c r="F16853" s="549">
        <v>12</v>
      </c>
      <c r="G16853" s="549" t="s">
        <v>21</v>
      </c>
      <c r="H16853" s="549" t="s">
        <v>118</v>
      </c>
      <c r="I16853" s="558">
        <v>9.26</v>
      </c>
      <c r="J16853" s="567">
        <v>10.5</v>
      </c>
      <c r="K16853" s="648">
        <v>82</v>
      </c>
      <c r="L16853" s="552">
        <f t="shared" ref="L16853:L16856" si="3440">(I16853*J16853*K16853/1000)</f>
        <v>7.9728600000000007</v>
      </c>
      <c r="M16853" s="549"/>
      <c r="N16853" s="567">
        <f t="shared" ref="N16853:N16856" si="3441">J16853*M16853*I16853/1000</f>
        <v>0</v>
      </c>
      <c r="O16853" s="549"/>
      <c r="P16853" s="549"/>
    </row>
    <row r="16854" spans="1:16" ht="17.399999999999999">
      <c r="A16854" s="549"/>
      <c r="B16854" s="549" t="s">
        <v>52</v>
      </c>
      <c r="C16854" s="549"/>
      <c r="D16854" s="549"/>
      <c r="E16854" s="549"/>
      <c r="F16854" s="549"/>
      <c r="G16854" s="549" t="s">
        <v>21</v>
      </c>
      <c r="H16854" s="549" t="s">
        <v>118</v>
      </c>
      <c r="I16854" s="558">
        <v>9.26</v>
      </c>
      <c r="J16854" s="567">
        <v>10.85</v>
      </c>
      <c r="K16854" s="648">
        <v>102</v>
      </c>
      <c r="L16854" s="552">
        <f t="shared" si="3440"/>
        <v>10.248042</v>
      </c>
      <c r="M16854" s="549"/>
      <c r="N16854" s="567">
        <f t="shared" si="3441"/>
        <v>0</v>
      </c>
      <c r="O16854" s="549"/>
      <c r="P16854" s="549"/>
    </row>
    <row r="16855" spans="1:16" ht="17.399999999999999">
      <c r="A16855" s="549"/>
      <c r="B16855" s="549"/>
      <c r="C16855" s="549"/>
      <c r="D16855" s="549"/>
      <c r="E16855" s="549"/>
      <c r="F16855" s="549"/>
      <c r="G16855" s="549" t="s">
        <v>21</v>
      </c>
      <c r="H16855" s="549" t="s">
        <v>118</v>
      </c>
      <c r="I16855" s="558">
        <v>9.26</v>
      </c>
      <c r="J16855" s="567">
        <v>11.1</v>
      </c>
      <c r="K16855" s="648">
        <v>80</v>
      </c>
      <c r="L16855" s="552">
        <f t="shared" si="3440"/>
        <v>8.2228800000000017</v>
      </c>
      <c r="M16855" s="549"/>
      <c r="N16855" s="567">
        <f t="shared" si="3441"/>
        <v>0</v>
      </c>
      <c r="O16855" s="549"/>
      <c r="P16855" s="549"/>
    </row>
    <row r="16856" spans="1:16" ht="17.399999999999999">
      <c r="A16856" s="549"/>
      <c r="B16856" s="549"/>
      <c r="C16856" s="549"/>
      <c r="D16856" s="549"/>
      <c r="E16856" s="549"/>
      <c r="F16856" s="549"/>
      <c r="G16856" s="549" t="s">
        <v>21</v>
      </c>
      <c r="H16856" s="549" t="s">
        <v>118</v>
      </c>
      <c r="I16856" s="558">
        <v>9.26</v>
      </c>
      <c r="J16856" s="567">
        <v>11.3</v>
      </c>
      <c r="K16856" s="648">
        <v>108</v>
      </c>
      <c r="L16856" s="552">
        <f t="shared" si="3440"/>
        <v>11.300904000000001</v>
      </c>
      <c r="M16856" s="549">
        <f>11+12</f>
        <v>23</v>
      </c>
      <c r="N16856" s="567">
        <f t="shared" si="3441"/>
        <v>2.4066740000000006</v>
      </c>
      <c r="O16856" s="549"/>
      <c r="P16856" s="549"/>
    </row>
    <row r="16857" spans="1:16" ht="17.399999999999999">
      <c r="A16857" s="549"/>
      <c r="B16857" s="549"/>
      <c r="C16857" s="549"/>
      <c r="D16857" s="549"/>
      <c r="E16857" s="549"/>
      <c r="F16857" s="549"/>
      <c r="G16857" s="549"/>
      <c r="H16857" s="549"/>
      <c r="I16857" s="558"/>
      <c r="J16857" s="567"/>
      <c r="K16857" s="648">
        <f t="shared" ref="K16857:N16857" si="3442">SUM(K16853:K16856)</f>
        <v>372</v>
      </c>
      <c r="L16857" s="567">
        <f t="shared" si="3442"/>
        <v>37.744686000000009</v>
      </c>
      <c r="M16857" s="648">
        <f t="shared" si="3442"/>
        <v>23</v>
      </c>
      <c r="N16857" s="567">
        <f t="shared" si="3442"/>
        <v>2.4066740000000006</v>
      </c>
      <c r="O16857" s="549"/>
      <c r="P16857" s="549"/>
    </row>
    <row r="16858" spans="1:16" s="1737" customFormat="1" ht="17.399999999999999">
      <c r="A16858" s="549"/>
      <c r="B16858" s="549"/>
      <c r="C16858" s="549"/>
      <c r="D16858" s="549"/>
      <c r="E16858" s="549"/>
      <c r="F16858" s="549"/>
      <c r="G16858" s="549"/>
      <c r="H16858" s="549"/>
      <c r="I16858" s="558"/>
      <c r="J16858" s="567"/>
      <c r="K16858" s="648"/>
      <c r="L16858" s="567"/>
      <c r="M16858" s="549"/>
      <c r="N16858" s="549"/>
      <c r="O16858" s="549"/>
      <c r="P16858" s="549"/>
    </row>
    <row r="16859" spans="1:16" ht="17.399999999999999">
      <c r="A16859" s="547" t="s">
        <v>83</v>
      </c>
      <c r="B16859" s="547" t="s">
        <v>1902</v>
      </c>
      <c r="C16859" s="547" t="s">
        <v>19</v>
      </c>
      <c r="D16859" s="813" t="s">
        <v>854</v>
      </c>
      <c r="E16859" s="768" t="s">
        <v>175</v>
      </c>
      <c r="F16859" s="549">
        <v>12</v>
      </c>
      <c r="G16859" s="549" t="s">
        <v>21</v>
      </c>
      <c r="H16859" s="549" t="s">
        <v>118</v>
      </c>
      <c r="I16859" s="558">
        <v>9.26</v>
      </c>
      <c r="J16859" s="567">
        <v>8.1</v>
      </c>
      <c r="K16859" s="648">
        <v>2</v>
      </c>
      <c r="L16859" s="552">
        <f t="shared" ref="L16859:L16863" si="3443">(I16859*J16859*K16859/1000)</f>
        <v>0.15001200000000001</v>
      </c>
      <c r="M16859" s="549">
        <v>2</v>
      </c>
      <c r="N16859" s="567">
        <f t="shared" ref="N16859:N16862" si="3444">J16859*M16859*I16859/1000</f>
        <v>0.15001200000000001</v>
      </c>
      <c r="O16859" s="549"/>
      <c r="P16859" s="549"/>
    </row>
    <row r="16860" spans="1:16" ht="17.399999999999999">
      <c r="A16860" s="549"/>
      <c r="B16860" s="549" t="s">
        <v>1135</v>
      </c>
      <c r="C16860" s="549"/>
      <c r="D16860" s="549"/>
      <c r="E16860" s="549"/>
      <c r="F16860" s="549"/>
      <c r="G16860" s="549" t="s">
        <v>21</v>
      </c>
      <c r="H16860" s="549" t="s">
        <v>118</v>
      </c>
      <c r="I16860" s="558">
        <v>9.26</v>
      </c>
      <c r="J16860" s="567">
        <v>9</v>
      </c>
      <c r="K16860" s="648">
        <v>3</v>
      </c>
      <c r="L16860" s="552">
        <f t="shared" si="3443"/>
        <v>0.25002000000000002</v>
      </c>
      <c r="M16860" s="549">
        <v>3</v>
      </c>
      <c r="N16860" s="567">
        <f t="shared" si="3444"/>
        <v>0.25001999999999996</v>
      </c>
      <c r="O16860" s="549"/>
      <c r="P16860" s="549"/>
    </row>
    <row r="16861" spans="1:16" ht="17.399999999999999">
      <c r="A16861" s="549"/>
      <c r="B16861" s="549"/>
      <c r="C16861" s="549"/>
      <c r="D16861" s="549"/>
      <c r="E16861" s="549"/>
      <c r="F16861" s="549"/>
      <c r="G16861" s="549" t="s">
        <v>21</v>
      </c>
      <c r="H16861" s="549" t="s">
        <v>118</v>
      </c>
      <c r="I16861" s="558">
        <v>9.26</v>
      </c>
      <c r="J16861" s="567">
        <v>9.8000000000000007</v>
      </c>
      <c r="K16861" s="648">
        <v>2</v>
      </c>
      <c r="L16861" s="552">
        <f t="shared" si="3443"/>
        <v>0.18149600000000002</v>
      </c>
      <c r="M16861" s="549">
        <f>1+1</f>
        <v>2</v>
      </c>
      <c r="N16861" s="567">
        <f t="shared" si="3444"/>
        <v>0.18149600000000002</v>
      </c>
      <c r="O16861" s="549"/>
      <c r="P16861" s="549"/>
    </row>
    <row r="16862" spans="1:16" ht="17.399999999999999">
      <c r="A16862" s="549"/>
      <c r="B16862" s="549"/>
      <c r="C16862" s="549"/>
      <c r="D16862" s="549"/>
      <c r="E16862" s="549"/>
      <c r="F16862" s="549"/>
      <c r="G16862" s="549" t="s">
        <v>21</v>
      </c>
      <c r="H16862" s="549" t="s">
        <v>118</v>
      </c>
      <c r="I16862" s="558">
        <v>9.26</v>
      </c>
      <c r="J16862" s="567">
        <v>11.3</v>
      </c>
      <c r="K16862" s="648">
        <v>4</v>
      </c>
      <c r="L16862" s="552">
        <f t="shared" si="3443"/>
        <v>0.41855200000000004</v>
      </c>
      <c r="M16862" s="549">
        <v>2</v>
      </c>
      <c r="N16862" s="567">
        <f t="shared" si="3444"/>
        <v>0.20927600000000002</v>
      </c>
      <c r="O16862" s="549"/>
      <c r="P16862" s="549"/>
    </row>
    <row r="16863" spans="1:16" ht="17.399999999999999">
      <c r="A16863" s="549"/>
      <c r="B16863" s="549"/>
      <c r="C16863" s="549"/>
      <c r="D16863" s="549"/>
      <c r="E16863" s="549"/>
      <c r="F16863" s="549"/>
      <c r="G16863" s="549" t="s">
        <v>21</v>
      </c>
      <c r="H16863" s="549" t="s">
        <v>118</v>
      </c>
      <c r="I16863" s="558">
        <v>9.26</v>
      </c>
      <c r="J16863" s="567">
        <v>11.8</v>
      </c>
      <c r="K16863" s="648">
        <v>5</v>
      </c>
      <c r="L16863" s="552">
        <f t="shared" si="3443"/>
        <v>0.54634000000000005</v>
      </c>
      <c r="M16863" s="549"/>
      <c r="N16863" s="549"/>
      <c r="O16863" s="549"/>
      <c r="P16863" s="549"/>
    </row>
    <row r="16864" spans="1:16" ht="17.399999999999999">
      <c r="A16864" s="549"/>
      <c r="B16864" s="549"/>
      <c r="C16864" s="549"/>
      <c r="D16864" s="549"/>
      <c r="E16864" s="549"/>
      <c r="F16864" s="549"/>
      <c r="G16864" s="549"/>
      <c r="H16864" s="549"/>
      <c r="I16864" s="558"/>
      <c r="J16864" s="567"/>
      <c r="K16864" s="648">
        <f>SUM(K16859:K16863)</f>
        <v>16</v>
      </c>
      <c r="L16864" s="567">
        <f>SUM(L16859:L16863)</f>
        <v>1.5464200000000001</v>
      </c>
      <c r="M16864" s="648">
        <f>SUM(M16859:M16863)</f>
        <v>9</v>
      </c>
      <c r="N16864" s="567">
        <f>SUM(N16859:N16863)</f>
        <v>0.79080399999999995</v>
      </c>
      <c r="O16864" s="549"/>
      <c r="P16864" s="549"/>
    </row>
    <row r="16865" spans="1:16" s="1737" customFormat="1" ht="17.399999999999999">
      <c r="A16865" s="549"/>
      <c r="B16865" s="549"/>
      <c r="C16865" s="549"/>
      <c r="D16865" s="549"/>
      <c r="E16865" s="549"/>
      <c r="F16865" s="549"/>
      <c r="G16865" s="549"/>
      <c r="H16865" s="549"/>
      <c r="I16865" s="558"/>
      <c r="J16865" s="567"/>
      <c r="K16865" s="648"/>
      <c r="L16865" s="567"/>
      <c r="M16865" s="549"/>
      <c r="N16865" s="549"/>
      <c r="O16865" s="549"/>
      <c r="P16865" s="549"/>
    </row>
    <row r="16866" spans="1:16" ht="17.399999999999999">
      <c r="A16866" s="547" t="s">
        <v>83</v>
      </c>
      <c r="B16866" s="547" t="s">
        <v>1816</v>
      </c>
      <c r="C16866" s="547" t="s">
        <v>19</v>
      </c>
      <c r="D16866" s="813" t="s">
        <v>854</v>
      </c>
      <c r="E16866" s="768" t="s">
        <v>57</v>
      </c>
      <c r="F16866" s="549">
        <v>12</v>
      </c>
      <c r="G16866" s="549" t="s">
        <v>21</v>
      </c>
      <c r="H16866" s="549" t="s">
        <v>118</v>
      </c>
      <c r="I16866" s="558">
        <v>9.26</v>
      </c>
      <c r="J16866" s="567">
        <v>12</v>
      </c>
      <c r="K16866" s="648">
        <v>13</v>
      </c>
      <c r="L16866" s="552">
        <f>(I16866*J16866*K16866/1000)</f>
        <v>1.4445599999999998</v>
      </c>
      <c r="M16866" s="549"/>
      <c r="N16866" s="567">
        <f t="shared" ref="N16866" si="3445">J16866*M16866*I16866/1000</f>
        <v>0</v>
      </c>
      <c r="O16866" s="549"/>
      <c r="P16866" s="549"/>
    </row>
    <row r="16867" spans="1:16" ht="17.399999999999999">
      <c r="A16867" s="549"/>
      <c r="B16867" s="549" t="s">
        <v>1815</v>
      </c>
      <c r="C16867" s="549"/>
      <c r="D16867" s="549"/>
      <c r="E16867" s="549"/>
      <c r="F16867" s="549"/>
      <c r="G16867" s="549"/>
      <c r="H16867" s="549"/>
      <c r="I16867" s="558"/>
      <c r="J16867" s="567"/>
      <c r="K16867" s="648">
        <f t="shared" ref="K16867:M16867" si="3446">SUM(K16866)</f>
        <v>13</v>
      </c>
      <c r="L16867" s="567">
        <f>SUM(L16866)</f>
        <v>1.4445599999999998</v>
      </c>
      <c r="M16867" s="648">
        <f t="shared" si="3446"/>
        <v>0</v>
      </c>
      <c r="N16867" s="567">
        <f>SUM(N16866)</f>
        <v>0</v>
      </c>
      <c r="O16867" s="549"/>
      <c r="P16867" s="549"/>
    </row>
    <row r="16868" spans="1:16" s="1737" customFormat="1" ht="17.399999999999999">
      <c r="A16868" s="549"/>
      <c r="B16868" s="549"/>
      <c r="C16868" s="549"/>
      <c r="D16868" s="549"/>
      <c r="E16868" s="549"/>
      <c r="F16868" s="549"/>
      <c r="G16868" s="549"/>
      <c r="H16868" s="549"/>
      <c r="I16868" s="558"/>
      <c r="J16868" s="567"/>
      <c r="K16868" s="648">
        <f>SUM(K16837:K16867)/2</f>
        <v>493</v>
      </c>
      <c r="L16868" s="567">
        <f>SUM(L16837:L16867)/2</f>
        <v>48.930766000000013</v>
      </c>
      <c r="M16868" s="648">
        <f>SUM(M16837:M16867)/2</f>
        <v>75</v>
      </c>
      <c r="N16868" s="567">
        <f>SUM(N16837:N16867)/2</f>
        <v>6.3838440000000007</v>
      </c>
      <c r="O16868" s="549"/>
      <c r="P16868" s="549"/>
    </row>
    <row r="16869" spans="1:16" s="1737" customFormat="1" ht="17.399999999999999">
      <c r="A16869" s="549"/>
      <c r="B16869" s="549"/>
      <c r="C16869" s="549"/>
      <c r="D16869" s="549"/>
      <c r="E16869" s="549"/>
      <c r="F16869" s="549"/>
      <c r="G16869" s="549"/>
      <c r="H16869" s="549"/>
      <c r="I16869" s="558"/>
      <c r="J16869" s="567"/>
      <c r="K16869" s="648"/>
      <c r="L16869" s="567"/>
      <c r="M16869" s="549"/>
      <c r="N16869" s="549"/>
      <c r="O16869" s="549"/>
      <c r="P16869" s="549"/>
    </row>
    <row r="16870" spans="1:16" s="1737" customFormat="1" ht="17.399999999999999">
      <c r="A16870" s="549"/>
      <c r="B16870" s="549"/>
      <c r="C16870" s="549"/>
      <c r="D16870" s="549"/>
      <c r="E16870" s="549"/>
      <c r="F16870" s="549"/>
      <c r="G16870" s="549"/>
      <c r="H16870" s="549"/>
      <c r="I16870" s="558"/>
      <c r="J16870" s="567"/>
      <c r="K16870" s="648"/>
      <c r="L16870" s="567"/>
      <c r="M16870" s="549"/>
      <c r="N16870" s="549"/>
      <c r="O16870" s="549"/>
      <c r="P16870" s="549"/>
    </row>
    <row r="16871" spans="1:16" ht="17.399999999999999">
      <c r="A16871" s="547" t="s">
        <v>83</v>
      </c>
      <c r="B16871" s="547" t="s">
        <v>1902</v>
      </c>
      <c r="C16871" s="547" t="s">
        <v>19</v>
      </c>
      <c r="D16871" s="813" t="s">
        <v>854</v>
      </c>
      <c r="E16871" s="768" t="s">
        <v>175</v>
      </c>
      <c r="F16871" s="549">
        <v>12</v>
      </c>
      <c r="G16871" s="549" t="s">
        <v>21</v>
      </c>
      <c r="H16871" s="549" t="s">
        <v>133</v>
      </c>
      <c r="I16871" s="558">
        <v>15</v>
      </c>
      <c r="J16871" s="567">
        <v>6.7</v>
      </c>
      <c r="K16871" s="648">
        <v>2</v>
      </c>
      <c r="L16871" s="552">
        <f>(I16871*J16871*K16871/1000)</f>
        <v>0.20100000000000001</v>
      </c>
      <c r="M16871" s="549">
        <v>2</v>
      </c>
      <c r="N16871" s="567">
        <f t="shared" ref="N16871" si="3447">J16871*M16871*I16871/1000</f>
        <v>0.20100000000000001</v>
      </c>
      <c r="O16871" s="549"/>
      <c r="P16871" s="549"/>
    </row>
    <row r="16872" spans="1:16" ht="17.399999999999999">
      <c r="A16872" s="549"/>
      <c r="B16872" s="549" t="s">
        <v>1135</v>
      </c>
      <c r="C16872" s="549"/>
      <c r="D16872" s="549"/>
      <c r="E16872" s="549"/>
      <c r="F16872" s="549"/>
      <c r="G16872" s="549"/>
      <c r="H16872" s="549"/>
      <c r="I16872" s="558"/>
      <c r="J16872" s="567"/>
      <c r="K16872" s="648">
        <f t="shared" ref="K16872:M16872" si="3448">SUM(K16871)</f>
        <v>2</v>
      </c>
      <c r="L16872" s="567">
        <f>SUM(L16871)</f>
        <v>0.20100000000000001</v>
      </c>
      <c r="M16872" s="648">
        <f t="shared" si="3448"/>
        <v>2</v>
      </c>
      <c r="N16872" s="567">
        <f>SUM(N16871)</f>
        <v>0.20100000000000001</v>
      </c>
      <c r="O16872" s="549"/>
      <c r="P16872" s="549"/>
    </row>
    <row r="16873" spans="1:16" s="1737" customFormat="1" ht="17.399999999999999">
      <c r="A16873" s="549"/>
      <c r="B16873" s="549"/>
      <c r="C16873" s="549"/>
      <c r="D16873" s="549"/>
      <c r="E16873" s="549"/>
      <c r="F16873" s="549"/>
      <c r="G16873" s="549"/>
      <c r="H16873" s="549"/>
      <c r="I16873" s="558"/>
      <c r="J16873" s="567"/>
      <c r="K16873" s="648"/>
      <c r="L16873" s="567"/>
      <c r="M16873" s="549"/>
      <c r="N16873" s="549"/>
      <c r="O16873" s="549"/>
      <c r="P16873" s="549"/>
    </row>
    <row r="16874" spans="1:16" ht="17.399999999999999">
      <c r="A16874" s="547" t="s">
        <v>83</v>
      </c>
      <c r="B16874" s="547" t="s">
        <v>1816</v>
      </c>
      <c r="C16874" s="547" t="s">
        <v>19</v>
      </c>
      <c r="D16874" s="813" t="s">
        <v>854</v>
      </c>
      <c r="E16874" s="768" t="s">
        <v>57</v>
      </c>
      <c r="F16874" s="549">
        <v>12</v>
      </c>
      <c r="G16874" s="549" t="s">
        <v>21</v>
      </c>
      <c r="H16874" s="549" t="s">
        <v>133</v>
      </c>
      <c r="I16874" s="558">
        <v>15</v>
      </c>
      <c r="J16874" s="567">
        <v>12</v>
      </c>
      <c r="K16874" s="648">
        <v>4</v>
      </c>
      <c r="L16874" s="552">
        <f>(I16874*J16874*K16874/1000)</f>
        <v>0.72</v>
      </c>
      <c r="M16874" s="549">
        <v>4</v>
      </c>
      <c r="N16874" s="567">
        <f t="shared" ref="N16874" si="3449">J16874*M16874*I16874/1000</f>
        <v>0.72</v>
      </c>
      <c r="O16874" s="549" t="s">
        <v>1760</v>
      </c>
      <c r="P16874" s="549"/>
    </row>
    <row r="16875" spans="1:16" ht="17.399999999999999">
      <c r="A16875" s="549"/>
      <c r="B16875" s="549" t="s">
        <v>1815</v>
      </c>
      <c r="C16875" s="549"/>
      <c r="D16875" s="549"/>
      <c r="E16875" s="549"/>
      <c r="F16875" s="549"/>
      <c r="G16875" s="549"/>
      <c r="H16875" s="549"/>
      <c r="I16875" s="558"/>
      <c r="J16875" s="567"/>
      <c r="K16875" s="648">
        <f>SUM(K16874)</f>
        <v>4</v>
      </c>
      <c r="L16875" s="567">
        <f>SUM(L16874)</f>
        <v>0.72</v>
      </c>
      <c r="M16875" s="648">
        <f>SUM(M16874)</f>
        <v>4</v>
      </c>
      <c r="N16875" s="567">
        <f>SUM(N16874)</f>
        <v>0.72</v>
      </c>
      <c r="O16875" s="549"/>
      <c r="P16875" s="549"/>
    </row>
    <row r="16876" spans="1:16" s="1737" customFormat="1" ht="17.399999999999999">
      <c r="A16876" s="549"/>
      <c r="B16876" s="549"/>
      <c r="C16876" s="549"/>
      <c r="D16876" s="549"/>
      <c r="E16876" s="549"/>
      <c r="F16876" s="549"/>
      <c r="G16876" s="549"/>
      <c r="H16876" s="549"/>
      <c r="I16876" s="558"/>
      <c r="J16876" s="567"/>
      <c r="K16876" s="648">
        <f>SUM(K16871:K16875)/2</f>
        <v>6</v>
      </c>
      <c r="L16876" s="567">
        <f>SUM(L16871:L16875)/2</f>
        <v>0.92099999999999993</v>
      </c>
      <c r="M16876" s="648">
        <f>SUM(M16871:M16875)/2</f>
        <v>6</v>
      </c>
      <c r="N16876" s="567">
        <f>SUM(N16871:N16875)/2</f>
        <v>0.92099999999999993</v>
      </c>
      <c r="O16876" s="549"/>
      <c r="P16876" s="549"/>
    </row>
    <row r="16877" spans="1:16" s="1737" customFormat="1" ht="17.399999999999999">
      <c r="A16877" s="549"/>
      <c r="B16877" s="549"/>
      <c r="C16877" s="549"/>
      <c r="D16877" s="549"/>
      <c r="E16877" s="549"/>
      <c r="F16877" s="549"/>
      <c r="G16877" s="549"/>
      <c r="H16877" s="549"/>
      <c r="I16877" s="558"/>
      <c r="J16877" s="567"/>
      <c r="K16877" s="648"/>
      <c r="L16877" s="567"/>
      <c r="M16877" s="549"/>
      <c r="N16877" s="549"/>
      <c r="O16877" s="549"/>
      <c r="P16877" s="549"/>
    </row>
    <row r="16878" spans="1:16" s="1737" customFormat="1" ht="17.399999999999999">
      <c r="A16878" s="549"/>
      <c r="B16878" s="549"/>
      <c r="C16878" s="549"/>
      <c r="D16878" s="549"/>
      <c r="E16878" s="549"/>
      <c r="F16878" s="549"/>
      <c r="G16878" s="549"/>
      <c r="H16878" s="549"/>
      <c r="I16878" s="558"/>
      <c r="J16878" s="567"/>
      <c r="K16878" s="648"/>
      <c r="L16878" s="567"/>
      <c r="M16878" s="549"/>
      <c r="N16878" s="549"/>
      <c r="O16878" s="549"/>
      <c r="P16878" s="549"/>
    </row>
    <row r="16879" spans="1:16" ht="17.399999999999999">
      <c r="A16879" s="547" t="s">
        <v>83</v>
      </c>
      <c r="B16879" s="547" t="s">
        <v>1748</v>
      </c>
      <c r="C16879" s="547" t="s">
        <v>19</v>
      </c>
      <c r="D16879" s="813" t="s">
        <v>60</v>
      </c>
      <c r="E16879" s="650" t="s">
        <v>1885</v>
      </c>
      <c r="F16879" s="549">
        <v>12</v>
      </c>
      <c r="G16879" s="549" t="s">
        <v>61</v>
      </c>
      <c r="H16879" s="549" t="s">
        <v>118</v>
      </c>
      <c r="I16879" s="558">
        <v>9.26</v>
      </c>
      <c r="J16879" s="567">
        <v>6.4</v>
      </c>
      <c r="K16879" s="648">
        <v>240</v>
      </c>
      <c r="L16879" s="552">
        <f>(I16879*J16879*K16879/1000)</f>
        <v>14.223360000000001</v>
      </c>
      <c r="M16879" s="549"/>
      <c r="N16879" s="567">
        <f t="shared" ref="N16879:N16881" si="3450">J16879*M16879*I16879/1000</f>
        <v>0</v>
      </c>
      <c r="O16879" s="549"/>
      <c r="P16879" s="549"/>
    </row>
    <row r="16880" spans="1:16" ht="17.399999999999999">
      <c r="A16880" s="549"/>
      <c r="B16880" s="549" t="s">
        <v>52</v>
      </c>
      <c r="C16880" s="549"/>
      <c r="D16880" s="549"/>
      <c r="E16880" s="549"/>
      <c r="F16880" s="549"/>
      <c r="G16880" s="549" t="s">
        <v>61</v>
      </c>
      <c r="H16880" s="549" t="s">
        <v>118</v>
      </c>
      <c r="I16880" s="558">
        <v>9.26</v>
      </c>
      <c r="J16880" s="567">
        <v>6.5</v>
      </c>
      <c r="K16880" s="648">
        <v>480</v>
      </c>
      <c r="L16880" s="552">
        <f>(I16880*J16880*K16880/1000)</f>
        <v>28.891199999999998</v>
      </c>
      <c r="M16880" s="549">
        <f>13+1+3+1+7+2</f>
        <v>27</v>
      </c>
      <c r="N16880" s="567">
        <f t="shared" si="3450"/>
        <v>1.62513</v>
      </c>
      <c r="O16880" s="549"/>
      <c r="P16880" s="549"/>
    </row>
    <row r="16881" spans="1:16" ht="17.399999999999999">
      <c r="A16881" s="549"/>
      <c r="B16881" s="549"/>
      <c r="C16881" s="549"/>
      <c r="D16881" s="549"/>
      <c r="E16881" s="549"/>
      <c r="F16881" s="549"/>
      <c r="G16881" s="549" t="s">
        <v>61</v>
      </c>
      <c r="H16881" s="549" t="s">
        <v>118</v>
      </c>
      <c r="I16881" s="558">
        <v>9.26</v>
      </c>
      <c r="J16881" s="567">
        <v>9.15</v>
      </c>
      <c r="K16881" s="648">
        <v>480</v>
      </c>
      <c r="L16881" s="552">
        <f>(I16881*J16881*K16881/1000)</f>
        <v>40.669919999999998</v>
      </c>
      <c r="M16881" s="549">
        <f>2+9</f>
        <v>11</v>
      </c>
      <c r="N16881" s="567">
        <f t="shared" si="3450"/>
        <v>0.93201900000000004</v>
      </c>
      <c r="O16881" s="549"/>
      <c r="P16881" s="549"/>
    </row>
    <row r="16882" spans="1:16" ht="17.399999999999999">
      <c r="A16882" s="549"/>
      <c r="B16882" s="549"/>
      <c r="C16882" s="549"/>
      <c r="D16882" s="549"/>
      <c r="E16882" s="549"/>
      <c r="F16882" s="549"/>
      <c r="G16882" s="549"/>
      <c r="H16882" s="549"/>
      <c r="I16882" s="558"/>
      <c r="J16882" s="567"/>
      <c r="K16882" s="648">
        <f t="shared" ref="K16882:M16882" si="3451">SUM(K16879:K16881)</f>
        <v>1200</v>
      </c>
      <c r="L16882" s="567">
        <f>SUM(L16879:L16881)</f>
        <v>83.784480000000002</v>
      </c>
      <c r="M16882" s="648">
        <f t="shared" si="3451"/>
        <v>38</v>
      </c>
      <c r="N16882" s="567">
        <f>SUM(N16879:N16881)</f>
        <v>2.5571489999999999</v>
      </c>
      <c r="O16882" s="549"/>
      <c r="P16882" s="549"/>
    </row>
    <row r="16883" spans="1:16" s="1737" customFormat="1" ht="17.399999999999999">
      <c r="A16883" s="549"/>
      <c r="B16883" s="549"/>
      <c r="C16883" s="549"/>
      <c r="D16883" s="549"/>
      <c r="E16883" s="549"/>
      <c r="F16883" s="549"/>
      <c r="G16883" s="549"/>
      <c r="H16883" s="549"/>
      <c r="I16883" s="558"/>
      <c r="J16883" s="567"/>
      <c r="K16883" s="648"/>
      <c r="L16883" s="567"/>
      <c r="M16883" s="549"/>
      <c r="N16883" s="549"/>
      <c r="O16883" s="549"/>
      <c r="P16883" s="549"/>
    </row>
    <row r="16884" spans="1:16" ht="17.399999999999999">
      <c r="A16884" s="547" t="s">
        <v>83</v>
      </c>
      <c r="B16884" s="547" t="s">
        <v>1903</v>
      </c>
      <c r="C16884" s="547" t="s">
        <v>19</v>
      </c>
      <c r="D16884" s="813" t="s">
        <v>155</v>
      </c>
      <c r="E16884" s="547" t="s">
        <v>270</v>
      </c>
      <c r="F16884" s="549">
        <v>12</v>
      </c>
      <c r="G16884" s="549" t="s">
        <v>61</v>
      </c>
      <c r="H16884" s="549" t="s">
        <v>118</v>
      </c>
      <c r="I16884" s="558">
        <v>9.26</v>
      </c>
      <c r="J16884" s="567">
        <v>11.1</v>
      </c>
      <c r="K16884" s="648">
        <v>4</v>
      </c>
      <c r="L16884" s="552">
        <f>(I16884*J16884*K16884/1000)</f>
        <v>0.41114400000000001</v>
      </c>
      <c r="M16884" s="549"/>
      <c r="N16884" s="549"/>
      <c r="O16884" s="549"/>
      <c r="P16884" s="549"/>
    </row>
    <row r="16885" spans="1:16" ht="17.399999999999999">
      <c r="A16885" s="549"/>
      <c r="B16885" s="549" t="s">
        <v>619</v>
      </c>
      <c r="C16885" s="549"/>
      <c r="D16885" s="549"/>
      <c r="E16885" s="549"/>
      <c r="F16885" s="549"/>
      <c r="G16885" s="549"/>
      <c r="H16885" s="549"/>
      <c r="I16885" s="558"/>
      <c r="J16885" s="567"/>
      <c r="K16885" s="648">
        <f t="shared" ref="K16885:L16885" si="3452">SUM(K16884)</f>
        <v>4</v>
      </c>
      <c r="L16885" s="567">
        <f t="shared" si="3452"/>
        <v>0.41114400000000001</v>
      </c>
      <c r="M16885" s="549"/>
      <c r="N16885" s="549"/>
      <c r="O16885" s="549"/>
      <c r="P16885" s="549"/>
    </row>
    <row r="16886" spans="1:16" ht="17.399999999999999">
      <c r="A16886" s="549"/>
      <c r="B16886" s="549"/>
      <c r="C16886" s="549"/>
      <c r="D16886" s="549"/>
      <c r="E16886" s="549"/>
      <c r="F16886" s="549"/>
      <c r="G16886" s="549"/>
      <c r="H16886" s="549"/>
      <c r="I16886" s="558"/>
      <c r="J16886" s="549"/>
      <c r="K16886" s="561"/>
      <c r="L16886" s="560"/>
      <c r="M16886" s="549"/>
      <c r="N16886" s="549"/>
      <c r="O16886" s="549"/>
      <c r="P16886" s="549"/>
    </row>
    <row r="16887" spans="1:16" ht="17.399999999999999">
      <c r="A16887" s="547" t="s">
        <v>272</v>
      </c>
      <c r="B16887" s="547" t="s">
        <v>1745</v>
      </c>
      <c r="C16887" s="547" t="s">
        <v>19</v>
      </c>
      <c r="D16887" s="813" t="s">
        <v>155</v>
      </c>
      <c r="E16887" s="547" t="s">
        <v>270</v>
      </c>
      <c r="F16887" s="549">
        <v>12</v>
      </c>
      <c r="G16887" s="549" t="s">
        <v>61</v>
      </c>
      <c r="H16887" s="549" t="s">
        <v>118</v>
      </c>
      <c r="I16887" s="558">
        <v>9.26</v>
      </c>
      <c r="J16887" s="567">
        <v>9.5</v>
      </c>
      <c r="K16887" s="648">
        <v>2</v>
      </c>
      <c r="L16887" s="552">
        <f>(I16887*J16887*K16887/1000)</f>
        <v>0.17593999999999999</v>
      </c>
      <c r="M16887" s="549"/>
      <c r="N16887" s="549"/>
      <c r="O16887" s="549"/>
      <c r="P16887" s="549"/>
    </row>
    <row r="16888" spans="1:16" ht="17.399999999999999">
      <c r="A16888" s="549"/>
      <c r="B16888" s="549" t="s">
        <v>1027</v>
      </c>
      <c r="C16888" s="549"/>
      <c r="D16888" s="549"/>
      <c r="E16888" s="549"/>
      <c r="F16888" s="549"/>
      <c r="G16888" s="549"/>
      <c r="H16888" s="549"/>
      <c r="I16888" s="558"/>
      <c r="J16888" s="567"/>
      <c r="K16888" s="648">
        <f>SUM(K16887)</f>
        <v>2</v>
      </c>
      <c r="L16888" s="567">
        <f t="shared" ref="L16888" si="3453">SUM(L16887)</f>
        <v>0.17593999999999999</v>
      </c>
      <c r="M16888" s="549"/>
      <c r="N16888" s="549"/>
      <c r="O16888" s="549"/>
      <c r="P16888" s="549"/>
    </row>
    <row r="16889" spans="1:16" s="1737" customFormat="1" ht="17.399999999999999">
      <c r="A16889" s="549"/>
      <c r="B16889" s="549"/>
      <c r="C16889" s="549"/>
      <c r="D16889" s="549"/>
      <c r="E16889" s="549"/>
      <c r="F16889" s="549"/>
      <c r="G16889" s="549"/>
      <c r="H16889" s="549"/>
      <c r="I16889" s="558"/>
      <c r="J16889" s="567"/>
      <c r="K16889" s="648"/>
      <c r="L16889" s="567"/>
      <c r="M16889" s="549"/>
      <c r="N16889" s="549"/>
      <c r="O16889" s="549"/>
      <c r="P16889" s="549"/>
    </row>
    <row r="16890" spans="1:16" ht="17.399999999999999">
      <c r="A16890" s="547" t="s">
        <v>272</v>
      </c>
      <c r="B16890" s="547" t="s">
        <v>1850</v>
      </c>
      <c r="C16890" s="547" t="s">
        <v>19</v>
      </c>
      <c r="D16890" s="813" t="s">
        <v>155</v>
      </c>
      <c r="E16890" s="780" t="s">
        <v>1104</v>
      </c>
      <c r="F16890" s="549">
        <v>12</v>
      </c>
      <c r="G16890" s="549" t="s">
        <v>61</v>
      </c>
      <c r="H16890" s="549" t="s">
        <v>118</v>
      </c>
      <c r="I16890" s="558">
        <v>9.26</v>
      </c>
      <c r="J16890" s="567">
        <v>6</v>
      </c>
      <c r="K16890" s="648">
        <v>1</v>
      </c>
      <c r="L16890" s="552">
        <f>(I16890*J16890*K16890/1000)</f>
        <v>5.5560000000000005E-2</v>
      </c>
      <c r="M16890" s="549"/>
      <c r="N16890" s="549"/>
      <c r="O16890" s="549"/>
      <c r="P16890" s="549"/>
    </row>
    <row r="16891" spans="1:16" ht="17.399999999999999">
      <c r="A16891" s="549"/>
      <c r="B16891" s="549" t="s">
        <v>1027</v>
      </c>
      <c r="C16891" s="549"/>
      <c r="D16891" s="549"/>
      <c r="E16891" s="549"/>
      <c r="F16891" s="549"/>
      <c r="G16891" s="549"/>
      <c r="H16891" s="549"/>
      <c r="I16891" s="558"/>
      <c r="J16891" s="567"/>
      <c r="K16891" s="648">
        <f t="shared" ref="K16891" si="3454">SUM(K16890)</f>
        <v>1</v>
      </c>
      <c r="L16891" s="567">
        <f>SUM(L16890)</f>
        <v>5.5560000000000005E-2</v>
      </c>
      <c r="M16891" s="549"/>
      <c r="N16891" s="549"/>
      <c r="O16891" s="549"/>
      <c r="P16891" s="549"/>
    </row>
    <row r="16892" spans="1:16" s="1737" customFormat="1" ht="17.399999999999999">
      <c r="A16892" s="549"/>
      <c r="B16892" s="549"/>
      <c r="C16892" s="549"/>
      <c r="D16892" s="549"/>
      <c r="E16892" s="549"/>
      <c r="F16892" s="549"/>
      <c r="G16892" s="549"/>
      <c r="H16892" s="549"/>
      <c r="I16892" s="558"/>
      <c r="J16892" s="567"/>
      <c r="K16892" s="648">
        <f>SUM(K16879:K16891)/2</f>
        <v>1207</v>
      </c>
      <c r="L16892" s="567">
        <f>SUM(L16879:L16891)/2</f>
        <v>84.42712400000002</v>
      </c>
      <c r="M16892" s="648">
        <f>SUM(M16879:M16891)/2</f>
        <v>38</v>
      </c>
      <c r="N16892" s="567">
        <f>SUM(N16879:N16891)/2</f>
        <v>2.5571489999999999</v>
      </c>
      <c r="O16892" s="549"/>
      <c r="P16892" s="549"/>
    </row>
    <row r="16893" spans="1:16" s="1737" customFormat="1" ht="17.399999999999999">
      <c r="A16893" s="549"/>
      <c r="B16893" s="549"/>
      <c r="C16893" s="549"/>
      <c r="D16893" s="549"/>
      <c r="E16893" s="549"/>
      <c r="F16893" s="549"/>
      <c r="G16893" s="549"/>
      <c r="H16893" s="549"/>
      <c r="I16893" s="558"/>
      <c r="J16893" s="567"/>
      <c r="K16893" s="648"/>
      <c r="L16893" s="567"/>
      <c r="M16893" s="549"/>
      <c r="N16893" s="549"/>
      <c r="O16893" s="549"/>
      <c r="P16893" s="549"/>
    </row>
    <row r="16894" spans="1:16" s="1737" customFormat="1" ht="17.399999999999999">
      <c r="A16894" s="549"/>
      <c r="B16894" s="549"/>
      <c r="C16894" s="549"/>
      <c r="D16894" s="549"/>
      <c r="E16894" s="549"/>
      <c r="F16894" s="549"/>
      <c r="G16894" s="549"/>
      <c r="H16894" s="549"/>
      <c r="I16894" s="558"/>
      <c r="J16894" s="567"/>
      <c r="K16894" s="648"/>
      <c r="L16894" s="567"/>
      <c r="M16894" s="549"/>
      <c r="N16894" s="549"/>
      <c r="O16894" s="549"/>
      <c r="P16894" s="549"/>
    </row>
    <row r="16895" spans="1:16" ht="17.399999999999999">
      <c r="A16895" s="547" t="s">
        <v>272</v>
      </c>
      <c r="B16895" s="547" t="s">
        <v>1745</v>
      </c>
      <c r="C16895" s="547" t="s">
        <v>19</v>
      </c>
      <c r="D16895" s="813" t="s">
        <v>155</v>
      </c>
      <c r="E16895" s="547" t="s">
        <v>270</v>
      </c>
      <c r="F16895" s="549">
        <v>12</v>
      </c>
      <c r="G16895" s="549" t="s">
        <v>61</v>
      </c>
      <c r="H16895" s="549" t="s">
        <v>119</v>
      </c>
      <c r="I16895" s="558">
        <v>10.73</v>
      </c>
      <c r="J16895" s="567">
        <v>7.1</v>
      </c>
      <c r="K16895" s="648">
        <v>4</v>
      </c>
      <c r="L16895" s="552">
        <f t="shared" ref="L16895:L16896" si="3455">(I16895*J16895*K16895/1000)</f>
        <v>0.30473199999999995</v>
      </c>
      <c r="M16895" s="549">
        <v>4</v>
      </c>
      <c r="N16895" s="567">
        <f t="shared" ref="N16895:N16896" si="3456">J16895*M16895*I16895/1000</f>
        <v>0.30473199999999995</v>
      </c>
      <c r="O16895" s="549"/>
      <c r="P16895" s="549"/>
    </row>
    <row r="16896" spans="1:16" ht="17.399999999999999">
      <c r="A16896" s="549"/>
      <c r="B16896" s="549" t="s">
        <v>1027</v>
      </c>
      <c r="C16896" s="549"/>
      <c r="D16896" s="549"/>
      <c r="E16896" s="549"/>
      <c r="F16896" s="549"/>
      <c r="G16896" s="549" t="s">
        <v>61</v>
      </c>
      <c r="H16896" s="549" t="s">
        <v>119</v>
      </c>
      <c r="I16896" s="558">
        <v>10.73</v>
      </c>
      <c r="J16896" s="567">
        <v>11.5</v>
      </c>
      <c r="K16896" s="648">
        <v>4</v>
      </c>
      <c r="L16896" s="552">
        <f t="shared" si="3455"/>
        <v>0.49358000000000002</v>
      </c>
      <c r="M16896" s="549">
        <v>4</v>
      </c>
      <c r="N16896" s="567">
        <f t="shared" si="3456"/>
        <v>0.49358000000000002</v>
      </c>
      <c r="O16896" s="549"/>
      <c r="P16896" s="549"/>
    </row>
    <row r="16897" spans="1:16" ht="17.399999999999999">
      <c r="A16897" s="549"/>
      <c r="B16897" s="549"/>
      <c r="C16897" s="549"/>
      <c r="D16897" s="549"/>
      <c r="E16897" s="549"/>
      <c r="F16897" s="549"/>
      <c r="G16897" s="549"/>
      <c r="H16897" s="549"/>
      <c r="I16897" s="558"/>
      <c r="J16897" s="567"/>
      <c r="K16897" s="648">
        <f t="shared" ref="K16897:N16897" si="3457">SUM(K16895:K16896)</f>
        <v>8</v>
      </c>
      <c r="L16897" s="567">
        <f t="shared" si="3457"/>
        <v>0.79831199999999991</v>
      </c>
      <c r="M16897" s="648">
        <f t="shared" si="3457"/>
        <v>8</v>
      </c>
      <c r="N16897" s="567">
        <f t="shared" si="3457"/>
        <v>0.79831199999999991</v>
      </c>
      <c r="O16897" s="549"/>
      <c r="P16897" s="549"/>
    </row>
    <row r="16898" spans="1:16" ht="17.399999999999999">
      <c r="A16898" s="549"/>
      <c r="B16898" s="549"/>
      <c r="C16898" s="549"/>
      <c r="D16898" s="549"/>
      <c r="E16898" s="549"/>
      <c r="F16898" s="549"/>
      <c r="G16898" s="549"/>
      <c r="H16898" s="549"/>
      <c r="I16898" s="558"/>
      <c r="J16898" s="549"/>
      <c r="K16898" s="561"/>
      <c r="L16898" s="560"/>
      <c r="M16898" s="549"/>
      <c r="N16898" s="549"/>
      <c r="O16898" s="549"/>
      <c r="P16898" s="549"/>
    </row>
    <row r="16899" spans="1:16" ht="17.399999999999999">
      <c r="A16899" s="547" t="s">
        <v>272</v>
      </c>
      <c r="B16899" s="547" t="s">
        <v>1850</v>
      </c>
      <c r="C16899" s="547" t="s">
        <v>19</v>
      </c>
      <c r="D16899" s="813" t="s">
        <v>155</v>
      </c>
      <c r="E16899" s="780" t="s">
        <v>1104</v>
      </c>
      <c r="F16899" s="549">
        <v>12</v>
      </c>
      <c r="G16899" s="549" t="s">
        <v>61</v>
      </c>
      <c r="H16899" s="549" t="s">
        <v>119</v>
      </c>
      <c r="I16899" s="558">
        <v>10.73</v>
      </c>
      <c r="J16899" s="567">
        <v>7.5</v>
      </c>
      <c r="K16899" s="648">
        <v>1</v>
      </c>
      <c r="L16899" s="552">
        <f>(I16899*J16899*K16899/1000)</f>
        <v>8.0475000000000005E-2</v>
      </c>
      <c r="M16899" s="549">
        <v>1</v>
      </c>
      <c r="N16899" s="567">
        <f t="shared" ref="N16899" si="3458">J16899*M16899*I16899/1000</f>
        <v>8.0475000000000005E-2</v>
      </c>
      <c r="O16899" s="549"/>
      <c r="P16899" s="549"/>
    </row>
    <row r="16900" spans="1:16" ht="17.399999999999999">
      <c r="A16900" s="549"/>
      <c r="B16900" s="549" t="s">
        <v>1027</v>
      </c>
      <c r="C16900" s="549"/>
      <c r="D16900" s="549"/>
      <c r="E16900" s="549"/>
      <c r="F16900" s="549"/>
      <c r="G16900" s="549"/>
      <c r="H16900" s="549"/>
      <c r="I16900" s="558"/>
      <c r="J16900" s="567"/>
      <c r="K16900" s="648">
        <f t="shared" ref="K16900:N16900" si="3459">SUM(K16899)</f>
        <v>1</v>
      </c>
      <c r="L16900" s="567">
        <f t="shared" si="3459"/>
        <v>8.0475000000000005E-2</v>
      </c>
      <c r="M16900" s="648">
        <f t="shared" si="3459"/>
        <v>1</v>
      </c>
      <c r="N16900" s="567">
        <f t="shared" si="3459"/>
        <v>8.0475000000000005E-2</v>
      </c>
      <c r="O16900" s="549"/>
      <c r="P16900" s="549"/>
    </row>
    <row r="16901" spans="1:16" ht="17.399999999999999">
      <c r="A16901" s="549"/>
      <c r="B16901" s="549"/>
      <c r="C16901" s="549"/>
      <c r="D16901" s="549"/>
      <c r="E16901" s="549"/>
      <c r="F16901" s="549"/>
      <c r="G16901" s="549"/>
      <c r="H16901" s="549"/>
      <c r="I16901" s="558"/>
      <c r="J16901" s="549"/>
      <c r="K16901" s="561"/>
      <c r="L16901" s="560"/>
      <c r="M16901" s="549"/>
      <c r="N16901" s="549"/>
      <c r="O16901" s="549"/>
      <c r="P16901" s="549"/>
    </row>
    <row r="16902" spans="1:16" ht="17.399999999999999">
      <c r="A16902" s="547" t="s">
        <v>83</v>
      </c>
      <c r="B16902" s="547" t="s">
        <v>1748</v>
      </c>
      <c r="C16902" s="547" t="s">
        <v>19</v>
      </c>
      <c r="D16902" s="813" t="s">
        <v>60</v>
      </c>
      <c r="E16902" s="650" t="s">
        <v>1885</v>
      </c>
      <c r="F16902" s="549">
        <v>12</v>
      </c>
      <c r="G16902" s="549" t="s">
        <v>61</v>
      </c>
      <c r="H16902" s="549" t="s">
        <v>119</v>
      </c>
      <c r="I16902" s="558">
        <v>10.7</v>
      </c>
      <c r="J16902" s="567">
        <v>6.45</v>
      </c>
      <c r="K16902" s="648">
        <v>240</v>
      </c>
      <c r="L16902" s="552">
        <f>(I16902*J16902*K16902/1000)</f>
        <v>16.563599999999997</v>
      </c>
      <c r="M16902" s="549">
        <v>1</v>
      </c>
      <c r="N16902" s="567">
        <f t="shared" ref="N16902" si="3460">J16902*M16902*I16902/1000</f>
        <v>6.9015000000000007E-2</v>
      </c>
      <c r="O16902" s="549"/>
      <c r="P16902" s="549"/>
    </row>
    <row r="16903" spans="1:16" ht="17.399999999999999">
      <c r="A16903" s="549"/>
      <c r="B16903" s="549" t="s">
        <v>52</v>
      </c>
      <c r="C16903" s="549"/>
      <c r="D16903" s="549"/>
      <c r="E16903" s="549"/>
      <c r="F16903" s="549"/>
      <c r="G16903" s="549"/>
      <c r="H16903" s="549"/>
      <c r="I16903" s="558"/>
      <c r="J16903" s="567"/>
      <c r="K16903" s="648">
        <f t="shared" ref="K16903:M16903" si="3461">SUM(K16902)</f>
        <v>240</v>
      </c>
      <c r="L16903" s="567">
        <f>SUM(L16902)</f>
        <v>16.563599999999997</v>
      </c>
      <c r="M16903" s="648">
        <f t="shared" si="3461"/>
        <v>1</v>
      </c>
      <c r="N16903" s="567">
        <f>SUM(N16902)</f>
        <v>6.9015000000000007E-2</v>
      </c>
      <c r="O16903" s="549"/>
      <c r="P16903" s="549"/>
    </row>
    <row r="16904" spans="1:16" s="1737" customFormat="1" ht="17.399999999999999">
      <c r="A16904" s="549"/>
      <c r="B16904" s="549"/>
      <c r="C16904" s="549"/>
      <c r="D16904" s="549"/>
      <c r="E16904" s="549"/>
      <c r="F16904" s="549"/>
      <c r="G16904" s="549"/>
      <c r="H16904" s="549"/>
      <c r="I16904" s="558"/>
      <c r="J16904" s="567"/>
      <c r="K16904" s="648">
        <f>SUM(K16895:K16903)/2</f>
        <v>249</v>
      </c>
      <c r="L16904" s="567">
        <f>SUM(L16895:L16903)/2</f>
        <v>17.442386999999997</v>
      </c>
      <c r="M16904" s="648">
        <f>SUM(M16895:M16903)/2</f>
        <v>10</v>
      </c>
      <c r="N16904" s="567">
        <f>SUM(N16895:N16903)/2</f>
        <v>0.94780200000000003</v>
      </c>
      <c r="O16904" s="549"/>
      <c r="P16904" s="549"/>
    </row>
    <row r="16905" spans="1:16" s="1737" customFormat="1" ht="17.399999999999999">
      <c r="A16905" s="549"/>
      <c r="B16905" s="549"/>
      <c r="C16905" s="549"/>
      <c r="D16905" s="549"/>
      <c r="E16905" s="549"/>
      <c r="F16905" s="549"/>
      <c r="G16905" s="549"/>
      <c r="H16905" s="549"/>
      <c r="I16905" s="558"/>
      <c r="J16905" s="567"/>
      <c r="K16905" s="648"/>
      <c r="L16905" s="567"/>
      <c r="M16905" s="549"/>
      <c r="N16905" s="549"/>
      <c r="O16905" s="549"/>
      <c r="P16905" s="549"/>
    </row>
    <row r="16906" spans="1:16" ht="17.399999999999999">
      <c r="A16906" s="549"/>
      <c r="B16906" s="549"/>
      <c r="C16906" s="549"/>
      <c r="D16906" s="549"/>
      <c r="E16906" s="549"/>
      <c r="F16906" s="549"/>
      <c r="G16906" s="549"/>
      <c r="H16906" s="549"/>
      <c r="I16906" s="558"/>
      <c r="J16906" s="549"/>
      <c r="K16906" s="561"/>
      <c r="L16906" s="560"/>
      <c r="M16906" s="549"/>
      <c r="N16906" s="549"/>
      <c r="O16906" s="549"/>
      <c r="P16906" s="549"/>
    </row>
    <row r="16907" spans="1:16" ht="17.399999999999999">
      <c r="A16907" s="547" t="s">
        <v>83</v>
      </c>
      <c r="B16907" s="547" t="s">
        <v>1746</v>
      </c>
      <c r="C16907" s="547" t="s">
        <v>19</v>
      </c>
      <c r="D16907" s="813" t="s">
        <v>60</v>
      </c>
      <c r="E16907" s="650" t="s">
        <v>90</v>
      </c>
      <c r="F16907" s="549">
        <v>12</v>
      </c>
      <c r="G16907" s="549" t="s">
        <v>61</v>
      </c>
      <c r="H16907" s="549" t="s">
        <v>134</v>
      </c>
      <c r="I16907" s="558">
        <v>12.2</v>
      </c>
      <c r="J16907" s="567">
        <v>7.95</v>
      </c>
      <c r="K16907" s="648">
        <v>1</v>
      </c>
      <c r="L16907" s="552">
        <f>(I16907*J16907*K16907/1000)</f>
        <v>9.6989999999999993E-2</v>
      </c>
      <c r="M16907" s="549">
        <v>1</v>
      </c>
      <c r="N16907" s="567">
        <f t="shared" ref="N16907" si="3462">J16907*M16907*I16907/1000</f>
        <v>9.6989999999999993E-2</v>
      </c>
      <c r="O16907" s="549"/>
      <c r="P16907" s="549"/>
    </row>
    <row r="16908" spans="1:16" ht="17.399999999999999">
      <c r="A16908" s="549"/>
      <c r="B16908" s="549" t="s">
        <v>1135</v>
      </c>
      <c r="C16908" s="549"/>
      <c r="D16908" s="549"/>
      <c r="E16908" s="549"/>
      <c r="F16908" s="549"/>
      <c r="G16908" s="549"/>
      <c r="H16908" s="549"/>
      <c r="I16908" s="558"/>
      <c r="J16908" s="567"/>
      <c r="K16908" s="648">
        <f t="shared" ref="K16908:N16908" si="3463">SUM(K16907)</f>
        <v>1</v>
      </c>
      <c r="L16908" s="567">
        <f t="shared" si="3463"/>
        <v>9.6989999999999993E-2</v>
      </c>
      <c r="M16908" s="648">
        <f t="shared" si="3463"/>
        <v>1</v>
      </c>
      <c r="N16908" s="567">
        <f t="shared" si="3463"/>
        <v>9.6989999999999993E-2</v>
      </c>
      <c r="O16908" s="549"/>
      <c r="P16908" s="549"/>
    </row>
    <row r="16909" spans="1:16" ht="17.399999999999999">
      <c r="A16909" s="549"/>
      <c r="B16909" s="549"/>
      <c r="C16909" s="549"/>
      <c r="D16909" s="549"/>
      <c r="E16909" s="549"/>
      <c r="F16909" s="549"/>
      <c r="G16909" s="549"/>
      <c r="H16909" s="549"/>
      <c r="I16909" s="558"/>
      <c r="J16909" s="549"/>
      <c r="K16909" s="561"/>
      <c r="L16909" s="560"/>
      <c r="M16909" s="549"/>
      <c r="N16909" s="549"/>
      <c r="O16909" s="549"/>
      <c r="P16909" s="549"/>
    </row>
    <row r="16910" spans="1:16" ht="17.399999999999999">
      <c r="A16910" s="547" t="s">
        <v>83</v>
      </c>
      <c r="B16910" s="547" t="s">
        <v>1748</v>
      </c>
      <c r="C16910" s="547" t="s">
        <v>19</v>
      </c>
      <c r="D16910" s="813" t="s">
        <v>60</v>
      </c>
      <c r="E16910" s="650" t="s">
        <v>1885</v>
      </c>
      <c r="F16910" s="549">
        <v>12</v>
      </c>
      <c r="G16910" s="549" t="s">
        <v>61</v>
      </c>
      <c r="H16910" s="549" t="s">
        <v>134</v>
      </c>
      <c r="I16910" s="558">
        <v>12.2</v>
      </c>
      <c r="J16910" s="567">
        <v>7.95</v>
      </c>
      <c r="K16910" s="648">
        <v>120</v>
      </c>
      <c r="L16910" s="552">
        <f>(I16910*J16910*K16910/1000)</f>
        <v>11.6388</v>
      </c>
      <c r="M16910" s="549">
        <v>2</v>
      </c>
      <c r="N16910" s="567">
        <f t="shared" ref="N16910" si="3464">J16910*M16910*I16910/1000</f>
        <v>0.19397999999999999</v>
      </c>
      <c r="O16910" s="549"/>
      <c r="P16910" s="549"/>
    </row>
    <row r="16911" spans="1:16" ht="17.399999999999999">
      <c r="A16911" s="549"/>
      <c r="B16911" s="549" t="s">
        <v>52</v>
      </c>
      <c r="C16911" s="549"/>
      <c r="D16911" s="549"/>
      <c r="E16911" s="549"/>
      <c r="F16911" s="549"/>
      <c r="G16911" s="549"/>
      <c r="H16911" s="549"/>
      <c r="I16911" s="558"/>
      <c r="J16911" s="567"/>
      <c r="K16911" s="648">
        <f t="shared" ref="K16911:N16911" si="3465">SUM(K16910)</f>
        <v>120</v>
      </c>
      <c r="L16911" s="567">
        <f t="shared" si="3465"/>
        <v>11.6388</v>
      </c>
      <c r="M16911" s="648">
        <f t="shared" si="3465"/>
        <v>2</v>
      </c>
      <c r="N16911" s="567">
        <f t="shared" si="3465"/>
        <v>0.19397999999999999</v>
      </c>
      <c r="O16911" s="549"/>
      <c r="P16911" s="549"/>
    </row>
    <row r="16912" spans="1:16" ht="17.399999999999999">
      <c r="A16912" s="549"/>
      <c r="B16912" s="549"/>
      <c r="C16912" s="549"/>
      <c r="D16912" s="549"/>
      <c r="E16912" s="549"/>
      <c r="F16912" s="549"/>
      <c r="G16912" s="549"/>
      <c r="H16912" s="549"/>
      <c r="I16912" s="558"/>
      <c r="J16912" s="549"/>
      <c r="K16912" s="564">
        <f>SUM(K16907:K16911)/2</f>
        <v>121</v>
      </c>
      <c r="L16912" s="565">
        <f>SUM(L16907:L16911)/2</f>
        <v>11.73579</v>
      </c>
      <c r="M16912" s="652">
        <f>SUM(M16907:M16911)/2</f>
        <v>3</v>
      </c>
      <c r="N16912" s="565">
        <f>SUM(N16907:N16911)/2</f>
        <v>0.29096999999999995</v>
      </c>
      <c r="O16912" s="549"/>
      <c r="P16912" s="549"/>
    </row>
    <row r="16913" spans="1:16" ht="17.399999999999999">
      <c r="A16913" s="549"/>
      <c r="B16913" s="549"/>
      <c r="C16913" s="549"/>
      <c r="D16913" s="549"/>
      <c r="E16913" s="549"/>
      <c r="F16913" s="549"/>
      <c r="G16913" s="549"/>
      <c r="H16913" s="549"/>
      <c r="I16913" s="558"/>
      <c r="J16913" s="549"/>
      <c r="K16913" s="561"/>
      <c r="L16913" s="560"/>
      <c r="M16913" s="549"/>
      <c r="N16913" s="549"/>
      <c r="O16913" s="549"/>
      <c r="P16913" s="549"/>
    </row>
    <row r="16914" spans="1:16" s="1737" customFormat="1" ht="17.399999999999999">
      <c r="A16914" s="549"/>
      <c r="B16914" s="549"/>
      <c r="C16914" s="549"/>
      <c r="D16914" s="549"/>
      <c r="E16914" s="549"/>
      <c r="F16914" s="549"/>
      <c r="G16914" s="549"/>
      <c r="H16914" s="549"/>
      <c r="I16914" s="558"/>
      <c r="J16914" s="549"/>
      <c r="K16914" s="561"/>
      <c r="L16914" s="560"/>
      <c r="M16914" s="549"/>
      <c r="N16914" s="549"/>
      <c r="O16914" s="549"/>
      <c r="P16914" s="549"/>
    </row>
    <row r="16915" spans="1:16" s="1737" customFormat="1" ht="17.399999999999999">
      <c r="A16915" s="549"/>
      <c r="B16915" s="549"/>
      <c r="C16915" s="549"/>
      <c r="D16915" s="549"/>
      <c r="E16915" s="549"/>
      <c r="F16915" s="549"/>
      <c r="G16915" s="549"/>
      <c r="H16915" s="549"/>
      <c r="I16915" s="558"/>
      <c r="J16915" s="549"/>
      <c r="K16915" s="561"/>
      <c r="L16915" s="560"/>
      <c r="M16915" s="549"/>
      <c r="N16915" s="549"/>
      <c r="O16915" s="549"/>
      <c r="P16915" s="549"/>
    </row>
    <row r="16916" spans="1:16" ht="17.399999999999999">
      <c r="A16916" s="549"/>
      <c r="B16916" s="549"/>
      <c r="C16916" s="549"/>
      <c r="D16916" s="549"/>
      <c r="E16916" s="549"/>
      <c r="F16916" s="549"/>
      <c r="G16916" s="549"/>
      <c r="H16916" s="549"/>
      <c r="I16916" s="558"/>
      <c r="J16916" s="549"/>
      <c r="K16916" s="561"/>
      <c r="L16916" s="560"/>
      <c r="M16916" s="549"/>
      <c r="N16916" s="549"/>
      <c r="O16916" s="549"/>
      <c r="P16916" s="549"/>
    </row>
    <row r="16917" spans="1:16" ht="17.399999999999999">
      <c r="A16917" s="547" t="s">
        <v>272</v>
      </c>
      <c r="B16917" s="547" t="s">
        <v>1901</v>
      </c>
      <c r="C16917" s="547" t="s">
        <v>19</v>
      </c>
      <c r="D16917" s="813" t="s">
        <v>155</v>
      </c>
      <c r="E16917" s="547" t="s">
        <v>270</v>
      </c>
      <c r="F16917" s="549">
        <v>8.5</v>
      </c>
      <c r="G16917" s="549" t="s">
        <v>61</v>
      </c>
      <c r="H16917" s="549" t="s">
        <v>134</v>
      </c>
      <c r="I16917" s="558">
        <v>12.18</v>
      </c>
      <c r="J16917" s="567">
        <v>6</v>
      </c>
      <c r="K16917" s="648">
        <v>1</v>
      </c>
      <c r="L16917" s="552">
        <f>(I16917*J16917*K16917/1000)</f>
        <v>7.3079999999999992E-2</v>
      </c>
      <c r="M16917" s="549"/>
      <c r="N16917" s="549"/>
      <c r="O16917" s="549"/>
      <c r="P16917" s="549"/>
    </row>
    <row r="16918" spans="1:16" ht="17.399999999999999">
      <c r="A16918" s="549"/>
      <c r="B16918" s="549" t="s">
        <v>271</v>
      </c>
      <c r="C16918" s="549"/>
      <c r="D16918" s="549"/>
      <c r="E16918" s="549"/>
      <c r="F16918" s="549"/>
      <c r="G16918" s="549" t="s">
        <v>61</v>
      </c>
      <c r="H16918" s="549" t="s">
        <v>134</v>
      </c>
      <c r="I16918" s="558">
        <v>12.18</v>
      </c>
      <c r="J16918" s="567">
        <v>6</v>
      </c>
      <c r="K16918" s="648">
        <v>1</v>
      </c>
      <c r="L16918" s="552">
        <f>(I16918*J16918*K16918/1000)</f>
        <v>7.3079999999999992E-2</v>
      </c>
      <c r="M16918" s="549"/>
      <c r="N16918" s="549"/>
      <c r="O16918" s="549"/>
      <c r="P16918" s="549"/>
    </row>
    <row r="16919" spans="1:16" ht="17.399999999999999">
      <c r="A16919" s="549"/>
      <c r="B16919" s="549"/>
      <c r="C16919" s="549"/>
      <c r="D16919" s="549"/>
      <c r="E16919" s="549"/>
      <c r="F16919" s="549"/>
      <c r="G16919" s="549" t="s">
        <v>61</v>
      </c>
      <c r="H16919" s="549" t="s">
        <v>134</v>
      </c>
      <c r="I16919" s="558">
        <v>12.18</v>
      </c>
      <c r="J16919" s="567">
        <v>8</v>
      </c>
      <c r="K16919" s="648">
        <v>1</v>
      </c>
      <c r="L16919" s="552">
        <f>(I16919*J16919*K16919/1000)</f>
        <v>9.7439999999999999E-2</v>
      </c>
      <c r="M16919" s="549"/>
      <c r="N16919" s="549"/>
      <c r="O16919" s="549"/>
      <c r="P16919" s="549"/>
    </row>
    <row r="16920" spans="1:16" ht="17.399999999999999">
      <c r="A16920" s="549"/>
      <c r="B16920" s="549"/>
      <c r="C16920" s="549"/>
      <c r="D16920" s="549"/>
      <c r="E16920" s="549"/>
      <c r="F16920" s="549"/>
      <c r="G16920" s="549" t="s">
        <v>61</v>
      </c>
      <c r="H16920" s="549" t="s">
        <v>134</v>
      </c>
      <c r="I16920" s="558">
        <v>12.18</v>
      </c>
      <c r="J16920" s="567">
        <v>11</v>
      </c>
      <c r="K16920" s="648">
        <v>53</v>
      </c>
      <c r="L16920" s="552">
        <f>(I16920*J16920*K16920/1000)</f>
        <v>7.1009399999999996</v>
      </c>
      <c r="M16920" s="549"/>
      <c r="N16920" s="549"/>
      <c r="O16920" s="549"/>
      <c r="P16920" s="549"/>
    </row>
    <row r="16921" spans="1:16" ht="17.399999999999999">
      <c r="A16921" s="549"/>
      <c r="B16921" s="549"/>
      <c r="C16921" s="549"/>
      <c r="D16921" s="549"/>
      <c r="E16921" s="549"/>
      <c r="F16921" s="549"/>
      <c r="G16921" s="549"/>
      <c r="H16921" s="549"/>
      <c r="I16921" s="558"/>
      <c r="J16921" s="567"/>
      <c r="K16921" s="648">
        <f>SUM(K16917:K16920)</f>
        <v>56</v>
      </c>
      <c r="L16921" s="567">
        <f>SUM(L16917:L16920)</f>
        <v>7.3445399999999994</v>
      </c>
      <c r="M16921" s="648">
        <f>SUM(M16917:M16920)</f>
        <v>0</v>
      </c>
      <c r="N16921" s="567">
        <f>SUM(N16917:N16920)</f>
        <v>0</v>
      </c>
      <c r="O16921" s="549"/>
      <c r="P16921" s="549"/>
    </row>
    <row r="16922" spans="1:16" s="1737" customFormat="1" ht="17.399999999999999">
      <c r="A16922" s="549"/>
      <c r="B16922" s="549"/>
      <c r="C16922" s="549"/>
      <c r="D16922" s="549"/>
      <c r="E16922" s="549"/>
      <c r="F16922" s="549"/>
      <c r="G16922" s="549"/>
      <c r="H16922" s="549"/>
      <c r="I16922" s="558"/>
      <c r="J16922" s="567"/>
      <c r="K16922" s="648"/>
      <c r="L16922" s="567"/>
      <c r="M16922" s="549"/>
      <c r="N16922" s="549"/>
      <c r="O16922" s="549"/>
      <c r="P16922" s="549"/>
    </row>
    <row r="16923" spans="1:16" s="1737" customFormat="1" ht="17.399999999999999">
      <c r="A16923" s="549"/>
      <c r="B16923" s="549"/>
      <c r="C16923" s="549"/>
      <c r="D16923" s="549"/>
      <c r="E16923" s="549"/>
      <c r="F16923" s="549"/>
      <c r="G16923" s="549"/>
      <c r="H16923" s="549"/>
      <c r="I16923" s="558"/>
      <c r="J16923" s="567"/>
      <c r="K16923" s="648"/>
      <c r="L16923" s="567"/>
      <c r="M16923" s="549"/>
      <c r="N16923" s="549"/>
      <c r="O16923" s="549"/>
      <c r="P16923" s="549"/>
    </row>
    <row r="16924" spans="1:16" ht="17.399999999999999">
      <c r="A16924" s="547" t="s">
        <v>272</v>
      </c>
      <c r="B16924" s="547" t="s">
        <v>1901</v>
      </c>
      <c r="C16924" s="547" t="s">
        <v>19</v>
      </c>
      <c r="D16924" s="813" t="s">
        <v>155</v>
      </c>
      <c r="E16924" s="547" t="s">
        <v>270</v>
      </c>
      <c r="F16924" s="549">
        <v>8.5</v>
      </c>
      <c r="G16924" s="549" t="s">
        <v>61</v>
      </c>
      <c r="H16924" s="549" t="s">
        <v>118</v>
      </c>
      <c r="I16924" s="558">
        <v>9.26</v>
      </c>
      <c r="J16924" s="567">
        <v>9.15</v>
      </c>
      <c r="K16924" s="648">
        <v>1</v>
      </c>
      <c r="L16924" s="552">
        <f>(I16924*J16924*K16924/1000)</f>
        <v>8.4728999999999999E-2</v>
      </c>
      <c r="M16924" s="549">
        <v>1</v>
      </c>
      <c r="N16924" s="567">
        <f t="shared" ref="N16924:N16925" si="3466">J16924*M16924*I16924/1000</f>
        <v>8.4728999999999999E-2</v>
      </c>
      <c r="O16924" s="549"/>
      <c r="P16924" s="549"/>
    </row>
    <row r="16925" spans="1:16" ht="17.399999999999999">
      <c r="A16925" s="549"/>
      <c r="B16925" s="549" t="s">
        <v>271</v>
      </c>
      <c r="C16925" s="549"/>
      <c r="D16925" s="549"/>
      <c r="E16925" s="549"/>
      <c r="F16925" s="549"/>
      <c r="G16925" s="549" t="s">
        <v>61</v>
      </c>
      <c r="H16925" s="549" t="s">
        <v>118</v>
      </c>
      <c r="I16925" s="558">
        <v>9.26</v>
      </c>
      <c r="J16925" s="567">
        <v>10</v>
      </c>
      <c r="K16925" s="648">
        <v>1</v>
      </c>
      <c r="L16925" s="552">
        <f>(I16925*J16925*K16925/1000)</f>
        <v>9.2599999999999988E-2</v>
      </c>
      <c r="M16925" s="549">
        <v>1</v>
      </c>
      <c r="N16925" s="567">
        <f t="shared" si="3466"/>
        <v>9.2599999999999988E-2</v>
      </c>
      <c r="O16925" s="549"/>
      <c r="P16925" s="549"/>
    </row>
    <row r="16926" spans="1:16" ht="17.399999999999999">
      <c r="A16926" s="549"/>
      <c r="B16926" s="549"/>
      <c r="C16926" s="549"/>
      <c r="D16926" s="549"/>
      <c r="E16926" s="549"/>
      <c r="F16926" s="549"/>
      <c r="G16926" s="549"/>
      <c r="H16926" s="549"/>
      <c r="I16926" s="558"/>
      <c r="J16926" s="567"/>
      <c r="K16926" s="648">
        <f>SUM(K16924:K16925)</f>
        <v>2</v>
      </c>
      <c r="L16926" s="567">
        <f>SUM(L16924:L16925)</f>
        <v>0.17732899999999999</v>
      </c>
      <c r="M16926" s="648">
        <f>SUM(M16924:M16925)</f>
        <v>2</v>
      </c>
      <c r="N16926" s="567">
        <f>SUM(N16924:N16925)</f>
        <v>0.17732899999999999</v>
      </c>
      <c r="O16926" s="549"/>
      <c r="P16926" s="549"/>
    </row>
    <row r="16927" spans="1:16" ht="17.399999999999999">
      <c r="A16927" s="549"/>
      <c r="B16927" s="549"/>
      <c r="C16927" s="549"/>
      <c r="D16927" s="549"/>
      <c r="E16927" s="549"/>
      <c r="F16927" s="549"/>
      <c r="G16927" s="549"/>
      <c r="H16927" s="549"/>
      <c r="I16927" s="558"/>
      <c r="J16927" s="549"/>
      <c r="K16927" s="561"/>
      <c r="L16927" s="560"/>
      <c r="M16927" s="549"/>
      <c r="N16927" s="549"/>
      <c r="O16927" s="549"/>
      <c r="P16927" s="549"/>
    </row>
    <row r="16928" spans="1:16" ht="17.399999999999999">
      <c r="A16928" s="549"/>
      <c r="B16928" s="549"/>
      <c r="C16928" s="549"/>
      <c r="D16928" s="549"/>
      <c r="E16928" s="549"/>
      <c r="F16928" s="549"/>
      <c r="G16928" s="549"/>
      <c r="H16928" s="549"/>
      <c r="I16928" s="560"/>
      <c r="J16928" s="549"/>
      <c r="K16928" s="561"/>
      <c r="L16928" s="560"/>
      <c r="M16928" s="549"/>
      <c r="N16928" s="549"/>
      <c r="O16928" s="549"/>
      <c r="P16928" s="549"/>
    </row>
    <row r="16929" spans="1:16" ht="17.399999999999999">
      <c r="A16929" s="549"/>
      <c r="B16929" s="549"/>
      <c r="C16929" s="549"/>
      <c r="D16929" s="549"/>
      <c r="E16929" s="549"/>
      <c r="F16929" s="549"/>
      <c r="G16929" s="549"/>
      <c r="H16929" s="549"/>
      <c r="I16929" s="560"/>
      <c r="J16929" s="549"/>
      <c r="K16929" s="561"/>
      <c r="L16929" s="560"/>
      <c r="M16929" s="549"/>
      <c r="N16929" s="549"/>
      <c r="O16929" s="549"/>
      <c r="P16929" s="549"/>
    </row>
    <row r="16930" spans="1:16" ht="17.399999999999999">
      <c r="A16930" s="547" t="s">
        <v>272</v>
      </c>
      <c r="B16930" s="547" t="s">
        <v>1850</v>
      </c>
      <c r="C16930" s="547" t="s">
        <v>19</v>
      </c>
      <c r="D16930" s="813" t="s">
        <v>155</v>
      </c>
      <c r="E16930" s="780" t="s">
        <v>1104</v>
      </c>
      <c r="F16930" s="549">
        <v>8.5</v>
      </c>
      <c r="G16930" s="549" t="s">
        <v>61</v>
      </c>
      <c r="H16930" s="549" t="s">
        <v>133</v>
      </c>
      <c r="I16930" s="647">
        <v>15.04</v>
      </c>
      <c r="J16930" s="567">
        <v>6</v>
      </c>
      <c r="K16930" s="648">
        <v>1</v>
      </c>
      <c r="L16930" s="552">
        <f>(I16930*J16930*K16930/1000)</f>
        <v>9.0240000000000001E-2</v>
      </c>
      <c r="M16930" s="549">
        <v>1</v>
      </c>
      <c r="N16930" s="567">
        <f t="shared" ref="N16930" si="3467">J16930*M16930*I16930/1000</f>
        <v>9.0240000000000001E-2</v>
      </c>
      <c r="O16930" s="549"/>
      <c r="P16930" s="549"/>
    </row>
    <row r="16931" spans="1:16" ht="17.399999999999999">
      <c r="A16931" s="549"/>
      <c r="B16931" s="549" t="s">
        <v>1027</v>
      </c>
      <c r="C16931" s="549"/>
      <c r="D16931" s="549"/>
      <c r="E16931" s="549"/>
      <c r="F16931" s="549"/>
      <c r="G16931" s="549"/>
      <c r="H16931" s="549"/>
      <c r="I16931" s="647"/>
      <c r="J16931" s="567"/>
      <c r="K16931" s="648">
        <f t="shared" ref="K16931:N16931" si="3468">SUM(K16930)</f>
        <v>1</v>
      </c>
      <c r="L16931" s="567">
        <f t="shared" si="3468"/>
        <v>9.0240000000000001E-2</v>
      </c>
      <c r="M16931" s="648">
        <f t="shared" si="3468"/>
        <v>1</v>
      </c>
      <c r="N16931" s="567">
        <f t="shared" si="3468"/>
        <v>9.0240000000000001E-2</v>
      </c>
      <c r="O16931" s="549"/>
      <c r="P16931" s="549"/>
    </row>
    <row r="16932" spans="1:16" ht="17.399999999999999">
      <c r="A16932" s="549"/>
      <c r="B16932" s="549"/>
      <c r="C16932" s="549"/>
      <c r="D16932" s="549"/>
      <c r="E16932" s="549"/>
      <c r="F16932" s="549"/>
      <c r="G16932" s="549"/>
      <c r="H16932" s="549"/>
      <c r="I16932" s="560"/>
      <c r="J16932" s="549"/>
      <c r="K16932" s="561"/>
      <c r="L16932" s="560"/>
      <c r="M16932" s="549"/>
      <c r="N16932" s="549"/>
      <c r="O16932" s="549"/>
      <c r="P16932" s="549"/>
    </row>
    <row r="16933" spans="1:16" ht="17.399999999999999">
      <c r="A16933" s="547" t="s">
        <v>83</v>
      </c>
      <c r="B16933" s="547" t="s">
        <v>1903</v>
      </c>
      <c r="C16933" s="547" t="s">
        <v>19</v>
      </c>
      <c r="D16933" s="813" t="s">
        <v>155</v>
      </c>
      <c r="E16933" s="547" t="s">
        <v>270</v>
      </c>
      <c r="F16933" s="549">
        <v>8.5</v>
      </c>
      <c r="G16933" s="549" t="s">
        <v>61</v>
      </c>
      <c r="H16933" s="549" t="s">
        <v>133</v>
      </c>
      <c r="I16933" s="647">
        <v>15.04</v>
      </c>
      <c r="J16933" s="567">
        <v>8.1</v>
      </c>
      <c r="K16933" s="648">
        <v>2</v>
      </c>
      <c r="L16933" s="552">
        <f t="shared" ref="L16933:L16934" si="3469">(I16933*J16933*K16933/1000)</f>
        <v>0.24364799999999998</v>
      </c>
      <c r="M16933" s="549">
        <v>2</v>
      </c>
      <c r="N16933" s="567">
        <f>J16933*M16933*I16933/1000</f>
        <v>0.24364799999999998</v>
      </c>
      <c r="O16933" s="549"/>
      <c r="P16933" s="549"/>
    </row>
    <row r="16934" spans="1:16" ht="17.399999999999999">
      <c r="A16934" s="549"/>
      <c r="B16934" s="549" t="s">
        <v>1820</v>
      </c>
      <c r="C16934" s="549"/>
      <c r="D16934" s="549"/>
      <c r="E16934" s="549"/>
      <c r="F16934" s="549"/>
      <c r="G16934" s="549" t="s">
        <v>61</v>
      </c>
      <c r="H16934" s="549" t="s">
        <v>133</v>
      </c>
      <c r="I16934" s="647">
        <v>15.04</v>
      </c>
      <c r="J16934" s="567">
        <v>8.4</v>
      </c>
      <c r="K16934" s="648">
        <v>7</v>
      </c>
      <c r="L16934" s="552">
        <f t="shared" si="3469"/>
        <v>0.88435200000000003</v>
      </c>
      <c r="M16934" s="549">
        <v>7</v>
      </c>
      <c r="N16934" s="567">
        <f>J16934*M16934*I16934/1000</f>
        <v>0.88435200000000003</v>
      </c>
      <c r="O16934" s="549"/>
      <c r="P16934" s="549"/>
    </row>
    <row r="16935" spans="1:16" ht="17.399999999999999">
      <c r="A16935" s="549"/>
      <c r="B16935" s="549"/>
      <c r="C16935" s="549"/>
      <c r="D16935" s="549"/>
      <c r="E16935" s="549"/>
      <c r="F16935" s="549"/>
      <c r="G16935" s="549"/>
      <c r="H16935" s="549"/>
      <c r="I16935" s="647"/>
      <c r="J16935" s="567"/>
      <c r="K16935" s="648">
        <f t="shared" ref="K16935:L16935" si="3470">SUM(K16933:K16934)</f>
        <v>9</v>
      </c>
      <c r="L16935" s="567">
        <f t="shared" si="3470"/>
        <v>1.1280000000000001</v>
      </c>
      <c r="M16935" s="648">
        <f t="shared" ref="M16935" si="3471">SUM(M16933:M16934)</f>
        <v>9</v>
      </c>
      <c r="N16935" s="567">
        <f>SUM(N16933:N16934)</f>
        <v>1.1280000000000001</v>
      </c>
      <c r="O16935" s="549" t="s">
        <v>1907</v>
      </c>
      <c r="P16935" s="549"/>
    </row>
    <row r="16936" spans="1:16" s="1737" customFormat="1" ht="17.399999999999999">
      <c r="A16936" s="549"/>
      <c r="B16936" s="549"/>
      <c r="C16936" s="549"/>
      <c r="D16936" s="549"/>
      <c r="E16936" s="549"/>
      <c r="F16936" s="549"/>
      <c r="G16936" s="549"/>
      <c r="H16936" s="549"/>
      <c r="I16936" s="647"/>
      <c r="J16936" s="567"/>
      <c r="K16936" s="648">
        <f>SUM(K16930:K16935)/2</f>
        <v>10</v>
      </c>
      <c r="L16936" s="567">
        <f>SUM(L16930:L16935)/2</f>
        <v>1.21824</v>
      </c>
      <c r="M16936" s="648">
        <f>SUM(M16930:M16935)/2</f>
        <v>10</v>
      </c>
      <c r="N16936" s="567">
        <f>SUM(N16930:N16935)/2</f>
        <v>1.21824</v>
      </c>
      <c r="O16936" s="549"/>
      <c r="P16936" s="549"/>
    </row>
    <row r="16937" spans="1:16" s="1737" customFormat="1" ht="17.399999999999999">
      <c r="A16937" s="549"/>
      <c r="B16937" s="549"/>
      <c r="C16937" s="549"/>
      <c r="D16937" s="549"/>
      <c r="E16937" s="549"/>
      <c r="F16937" s="549"/>
      <c r="G16937" s="549"/>
      <c r="H16937" s="549"/>
      <c r="I16937" s="647"/>
      <c r="J16937" s="567"/>
      <c r="K16937" s="648"/>
      <c r="L16937" s="567"/>
      <c r="M16937" s="549"/>
      <c r="N16937" s="549"/>
      <c r="O16937" s="549"/>
      <c r="P16937" s="549"/>
    </row>
    <row r="16938" spans="1:16" ht="17.399999999999999">
      <c r="A16938" s="549"/>
      <c r="B16938" s="549"/>
      <c r="C16938" s="549"/>
      <c r="D16938" s="549"/>
      <c r="E16938" s="549"/>
      <c r="F16938" s="549"/>
      <c r="G16938" s="549"/>
      <c r="H16938" s="549"/>
      <c r="I16938" s="560"/>
      <c r="J16938" s="549"/>
      <c r="K16938" s="564">
        <f>+K16936+K16926+K16921+K16912+K16904+K16892+K16876+K16868+K16833+K16796+K16792+K16781</f>
        <v>5890</v>
      </c>
      <c r="L16938" s="565">
        <f>+L16936+L16926+L16921+L16912+L16904+L16892+L16876+L16868+L16833+L16796+L16792+L16781</f>
        <v>602.13898899999992</v>
      </c>
      <c r="M16938" s="652">
        <f>+M16936+M16926+M16921+M16912+M16904+M16892+M16876+M16868+M16833+M16796+M16792+M16781</f>
        <v>227</v>
      </c>
      <c r="N16938" s="565">
        <f>+N16936+N16926+N16921+N16912+N16904+N16892+N16876+N16868+N16833+N16796+N16792+N16781</f>
        <v>20.337432</v>
      </c>
      <c r="O16938" s="549"/>
      <c r="P16938" s="549"/>
    </row>
    <row r="16939" spans="1:16" ht="18">
      <c r="A16939" s="653" t="s">
        <v>48</v>
      </c>
      <c r="B16939" s="653"/>
      <c r="C16939" s="654"/>
      <c r="D16939" s="654"/>
      <c r="E16939" s="654"/>
      <c r="F16939" s="1944"/>
      <c r="G16939" s="654"/>
      <c r="H16939" s="1944"/>
      <c r="I16939" s="656"/>
      <c r="J16939" s="654"/>
      <c r="K16939" s="657"/>
      <c r="L16939" s="2003" t="s">
        <v>0</v>
      </c>
      <c r="M16939" s="2003"/>
      <c r="N16939" s="2003"/>
      <c r="O16939" s="2004"/>
      <c r="P16939" s="1097"/>
    </row>
    <row r="16940" spans="1:16" ht="18">
      <c r="A16940" s="658" t="s">
        <v>1</v>
      </c>
      <c r="B16940" s="658"/>
      <c r="C16940" s="658"/>
      <c r="D16940" s="659" t="s">
        <v>2</v>
      </c>
      <c r="E16940" s="659"/>
      <c r="F16940" s="660"/>
      <c r="G16940" s="660"/>
      <c r="H16940" s="660"/>
      <c r="I16940" s="661"/>
      <c r="J16940" s="660"/>
      <c r="K16940" s="662" t="s">
        <v>3</v>
      </c>
      <c r="L16940" s="660"/>
      <c r="M16940" s="658"/>
      <c r="N16940" s="660"/>
      <c r="O16940" s="663"/>
      <c r="P16940" s="1098"/>
    </row>
    <row r="16941" spans="1:16" ht="18">
      <c r="A16941" s="1944" t="s">
        <v>22</v>
      </c>
      <c r="B16941" s="1990" t="s">
        <v>23</v>
      </c>
      <c r="C16941" s="2005"/>
      <c r="D16941" s="1989"/>
      <c r="E16941" s="1944" t="s">
        <v>24</v>
      </c>
      <c r="F16941" s="1990" t="s">
        <v>25</v>
      </c>
      <c r="G16941" s="1989"/>
      <c r="H16941" s="1990" t="s">
        <v>26</v>
      </c>
      <c r="I16941" s="2005"/>
      <c r="J16941" s="2005"/>
      <c r="K16941" s="1989"/>
      <c r="L16941" s="2006" t="s">
        <v>27</v>
      </c>
      <c r="M16941" s="2006"/>
      <c r="N16941" s="2006"/>
      <c r="O16941" s="1990"/>
      <c r="P16941" s="1098"/>
    </row>
    <row r="16942" spans="1:16" ht="18">
      <c r="A16942" s="664"/>
      <c r="B16942" s="1975"/>
      <c r="C16942" s="1976"/>
      <c r="D16942" s="1977"/>
      <c r="E16942" s="665"/>
      <c r="F16942" s="1975"/>
      <c r="G16942" s="1977"/>
      <c r="H16942" s="1975"/>
      <c r="I16942" s="1976"/>
      <c r="J16942" s="1976"/>
      <c r="K16942" s="1977"/>
      <c r="L16942" s="1975"/>
      <c r="M16942" s="1976"/>
      <c r="N16942" s="1976"/>
      <c r="O16942" s="1976"/>
      <c r="P16942" s="1098"/>
    </row>
    <row r="16943" spans="1:16" ht="18">
      <c r="A16943" s="664"/>
      <c r="B16943" s="1936"/>
      <c r="C16943" s="1937"/>
      <c r="D16943" s="1938"/>
      <c r="E16943" s="665"/>
      <c r="F16943" s="1936"/>
      <c r="G16943" s="1938"/>
      <c r="H16943" s="1936"/>
      <c r="I16943" s="1937"/>
      <c r="J16943" s="1937"/>
      <c r="K16943" s="1938"/>
      <c r="L16943" s="1937"/>
      <c r="M16943" s="1937"/>
      <c r="N16943" s="1937"/>
      <c r="O16943" s="1937"/>
      <c r="P16943" s="1098"/>
    </row>
    <row r="16944" spans="1:16" ht="18">
      <c r="A16944" s="664" t="s">
        <v>28</v>
      </c>
      <c r="B16944" s="1975" t="s">
        <v>138</v>
      </c>
      <c r="C16944" s="1976"/>
      <c r="D16944" s="1977"/>
      <c r="E16944" s="665">
        <f>+L16781+L16792-1.089</f>
        <v>192.40458999999998</v>
      </c>
      <c r="F16944" s="1973">
        <v>12</v>
      </c>
      <c r="G16944" s="1974"/>
      <c r="H16944" s="1975" t="s">
        <v>854</v>
      </c>
      <c r="I16944" s="1976"/>
      <c r="J16944" s="1976"/>
      <c r="K16944" s="1977"/>
      <c r="L16944" s="1976" t="s">
        <v>1695</v>
      </c>
      <c r="M16944" s="1976"/>
      <c r="N16944" s="1976"/>
      <c r="O16944" s="1976"/>
      <c r="P16944" s="1098"/>
    </row>
    <row r="16945" spans="1:16" ht="18">
      <c r="A16945" s="664" t="s">
        <v>29</v>
      </c>
      <c r="B16945" s="1975" t="s">
        <v>741</v>
      </c>
      <c r="C16945" s="1976"/>
      <c r="D16945" s="1977"/>
      <c r="E16945" s="665">
        <f>+L16796-0.802</f>
        <v>7.7496800000000015</v>
      </c>
      <c r="F16945" s="1973">
        <v>12</v>
      </c>
      <c r="G16945" s="1974"/>
      <c r="H16945" s="1975" t="s">
        <v>854</v>
      </c>
      <c r="I16945" s="1976"/>
      <c r="J16945" s="1976"/>
      <c r="K16945" s="1977"/>
      <c r="L16945" s="1976" t="s">
        <v>1631</v>
      </c>
      <c r="M16945" s="1976"/>
      <c r="N16945" s="1976"/>
      <c r="O16945" s="1976"/>
      <c r="P16945" s="1098"/>
    </row>
    <row r="16946" spans="1:16" s="1737" customFormat="1" ht="18">
      <c r="A16946" s="664" t="s">
        <v>30</v>
      </c>
      <c r="B16946" s="1975" t="s">
        <v>137</v>
      </c>
      <c r="C16946" s="1976"/>
      <c r="D16946" s="1977"/>
      <c r="E16946" s="665">
        <f>+L16833-5.95</f>
        <v>221.94654299999996</v>
      </c>
      <c r="F16946" s="1973">
        <v>12</v>
      </c>
      <c r="G16946" s="1974"/>
      <c r="H16946" s="1975" t="s">
        <v>854</v>
      </c>
      <c r="I16946" s="1976"/>
      <c r="J16946" s="1976"/>
      <c r="K16946" s="1977"/>
      <c r="L16946" s="1976" t="s">
        <v>1631</v>
      </c>
      <c r="M16946" s="1976"/>
      <c r="N16946" s="1976"/>
      <c r="O16946" s="1976"/>
      <c r="P16946" s="1098"/>
    </row>
    <row r="16947" spans="1:16" s="1737" customFormat="1" ht="18">
      <c r="A16947" s="664" t="s">
        <v>46</v>
      </c>
      <c r="B16947" s="1975" t="s">
        <v>136</v>
      </c>
      <c r="C16947" s="1976"/>
      <c r="D16947" s="1977"/>
      <c r="E16947" s="665">
        <f>+L16868-6.384</f>
        <v>42.546766000000012</v>
      </c>
      <c r="F16947" s="1973">
        <v>12</v>
      </c>
      <c r="G16947" s="1974"/>
      <c r="H16947" s="1975" t="s">
        <v>854</v>
      </c>
      <c r="I16947" s="1976"/>
      <c r="J16947" s="1976"/>
      <c r="K16947" s="1977"/>
      <c r="L16947" s="1976" t="s">
        <v>1695</v>
      </c>
      <c r="M16947" s="1976"/>
      <c r="N16947" s="1976"/>
      <c r="O16947" s="1976"/>
      <c r="P16947" s="1098"/>
    </row>
    <row r="16948" spans="1:16" s="1737" customFormat="1" ht="18">
      <c r="A16948" s="664"/>
      <c r="B16948" s="1975"/>
      <c r="C16948" s="1976"/>
      <c r="D16948" s="1977"/>
      <c r="E16948" s="665"/>
      <c r="F16948" s="1973"/>
      <c r="G16948" s="1974"/>
      <c r="H16948" s="1975"/>
      <c r="I16948" s="1976"/>
      <c r="J16948" s="1976"/>
      <c r="K16948" s="1977"/>
      <c r="L16948" s="1976"/>
      <c r="M16948" s="1976"/>
      <c r="N16948" s="1976"/>
      <c r="O16948" s="1976"/>
      <c r="P16948" s="1098"/>
    </row>
    <row r="16949" spans="1:16" s="1737" customFormat="1" ht="18">
      <c r="A16949" s="664"/>
      <c r="B16949" s="1950"/>
      <c r="C16949" s="1951"/>
      <c r="D16949" s="1952"/>
      <c r="E16949" s="665"/>
      <c r="F16949" s="1953"/>
      <c r="G16949" s="1954"/>
      <c r="H16949" s="1950"/>
      <c r="I16949" s="1951"/>
      <c r="J16949" s="1951"/>
      <c r="K16949" s="1952"/>
      <c r="L16949" s="1951"/>
      <c r="M16949" s="1951"/>
      <c r="N16949" s="1951"/>
      <c r="O16949" s="1951"/>
      <c r="P16949" s="1098"/>
    </row>
    <row r="16950" spans="1:16" s="1737" customFormat="1" ht="18">
      <c r="A16950" s="664" t="s">
        <v>58</v>
      </c>
      <c r="B16950" s="1975" t="s">
        <v>154</v>
      </c>
      <c r="C16950" s="1976"/>
      <c r="D16950" s="1977"/>
      <c r="E16950" s="665">
        <f>+L16892-2.557</f>
        <v>81.870124000000018</v>
      </c>
      <c r="F16950" s="1973">
        <v>12</v>
      </c>
      <c r="G16950" s="1974"/>
      <c r="H16950" s="1975" t="s">
        <v>60</v>
      </c>
      <c r="I16950" s="1976"/>
      <c r="J16950" s="1976"/>
      <c r="K16950" s="1977"/>
      <c r="L16950" s="1976" t="s">
        <v>64</v>
      </c>
      <c r="M16950" s="1976"/>
      <c r="N16950" s="1976"/>
      <c r="O16950" s="1976"/>
      <c r="P16950" s="1098"/>
    </row>
    <row r="16951" spans="1:16" ht="18">
      <c r="A16951" s="664" t="s">
        <v>163</v>
      </c>
      <c r="B16951" s="1975" t="s">
        <v>1182</v>
      </c>
      <c r="C16951" s="1976"/>
      <c r="D16951" s="1977"/>
      <c r="E16951" s="665">
        <f>+L16904-0.948</f>
        <v>16.494386999999996</v>
      </c>
      <c r="F16951" s="1973">
        <v>12</v>
      </c>
      <c r="G16951" s="1974"/>
      <c r="H16951" s="1975" t="s">
        <v>60</v>
      </c>
      <c r="I16951" s="1976"/>
      <c r="J16951" s="1976"/>
      <c r="K16951" s="1977"/>
      <c r="L16951" s="1976" t="s">
        <v>64</v>
      </c>
      <c r="M16951" s="1976"/>
      <c r="N16951" s="1976"/>
      <c r="O16951" s="1976"/>
      <c r="P16951" s="1098"/>
    </row>
    <row r="16952" spans="1:16" ht="18">
      <c r="A16952" s="664" t="s">
        <v>302</v>
      </c>
      <c r="B16952" s="1975" t="s">
        <v>1183</v>
      </c>
      <c r="C16952" s="1976"/>
      <c r="D16952" s="1977"/>
      <c r="E16952" s="665">
        <f>+L16912-0.291</f>
        <v>11.444789999999999</v>
      </c>
      <c r="F16952" s="1973">
        <v>12</v>
      </c>
      <c r="G16952" s="1974"/>
      <c r="H16952" s="1975" t="s">
        <v>60</v>
      </c>
      <c r="I16952" s="1976"/>
      <c r="J16952" s="1976"/>
      <c r="K16952" s="1977"/>
      <c r="L16952" s="1976" t="s">
        <v>64</v>
      </c>
      <c r="M16952" s="1976"/>
      <c r="N16952" s="1976"/>
      <c r="O16952" s="1976"/>
      <c r="P16952" s="1098"/>
    </row>
    <row r="16953" spans="1:16" s="1737" customFormat="1" ht="18">
      <c r="A16953" s="664"/>
      <c r="B16953" s="1950"/>
      <c r="C16953" s="1951"/>
      <c r="D16953" s="1952"/>
      <c r="E16953" s="665"/>
      <c r="F16953" s="1953"/>
      <c r="G16953" s="1954"/>
      <c r="H16953" s="1950"/>
      <c r="I16953" s="1951"/>
      <c r="J16953" s="1951"/>
      <c r="K16953" s="1952"/>
      <c r="L16953" s="1951"/>
      <c r="M16953" s="1951"/>
      <c r="N16953" s="1951"/>
      <c r="O16953" s="1951"/>
      <c r="P16953" s="1098"/>
    </row>
    <row r="16954" spans="1:16" ht="18">
      <c r="A16954" s="664" t="s">
        <v>380</v>
      </c>
      <c r="B16954" s="1975" t="s">
        <v>1183</v>
      </c>
      <c r="C16954" s="1976"/>
      <c r="D16954" s="1977"/>
      <c r="E16954" s="665">
        <f>+L16921</f>
        <v>7.3445399999999994</v>
      </c>
      <c r="F16954" s="1973">
        <v>8.5</v>
      </c>
      <c r="G16954" s="1974"/>
      <c r="H16954" s="2007" t="s">
        <v>1185</v>
      </c>
      <c r="I16954" s="2007"/>
      <c r="J16954" s="2007"/>
      <c r="K16954" s="2007"/>
      <c r="L16954" s="1976" t="s">
        <v>64</v>
      </c>
      <c r="M16954" s="1976"/>
      <c r="N16954" s="1976"/>
      <c r="O16954" s="1976"/>
      <c r="P16954" s="1098"/>
    </row>
    <row r="16955" spans="1:16" s="1737" customFormat="1" ht="18">
      <c r="A16955" s="664"/>
      <c r="B16955" s="1950"/>
      <c r="C16955" s="1951"/>
      <c r="D16955" s="1952"/>
      <c r="E16955" s="665"/>
      <c r="F16955" s="1953"/>
      <c r="G16955" s="1954"/>
      <c r="H16955" s="1956"/>
      <c r="I16955" s="1956"/>
      <c r="J16955" s="1956"/>
      <c r="K16955" s="1956"/>
      <c r="L16955" s="1951"/>
      <c r="M16955" s="1951"/>
      <c r="N16955" s="1951"/>
      <c r="O16955" s="1951"/>
      <c r="P16955" s="1098"/>
    </row>
    <row r="16956" spans="1:16" ht="18">
      <c r="A16956" s="664"/>
      <c r="B16956" s="1975"/>
      <c r="C16956" s="1976"/>
      <c r="D16956" s="1977"/>
      <c r="E16956" s="665"/>
      <c r="F16956" s="1973"/>
      <c r="G16956" s="1974"/>
      <c r="H16956" s="1975"/>
      <c r="I16956" s="1976"/>
      <c r="J16956" s="1976"/>
      <c r="K16956" s="1977"/>
      <c r="L16956" s="1976"/>
      <c r="M16956" s="1976"/>
      <c r="N16956" s="1976"/>
      <c r="O16956" s="1976"/>
      <c r="P16956" s="1098"/>
    </row>
    <row r="16957" spans="1:16" ht="18.600000000000001" thickBot="1">
      <c r="A16957" s="664"/>
      <c r="B16957" s="1936"/>
      <c r="C16957" s="1937"/>
      <c r="D16957" s="1937"/>
      <c r="E16957" s="665"/>
      <c r="F16957" s="1937"/>
      <c r="G16957" s="1938"/>
      <c r="H16957" s="1936"/>
      <c r="I16957" s="1937"/>
      <c r="J16957" s="1937"/>
      <c r="K16957" s="669"/>
      <c r="L16957" s="672"/>
      <c r="M16957" s="673"/>
      <c r="N16957" s="673"/>
      <c r="O16957" s="673"/>
      <c r="P16957" s="1098"/>
    </row>
    <row r="16958" spans="1:16" ht="18">
      <c r="A16958" s="674"/>
      <c r="B16958" s="675"/>
      <c r="C16958" s="676"/>
      <c r="D16958" s="676"/>
      <c r="E16958" s="1980">
        <f>SUM(E16942:E16957)</f>
        <v>581.80142000000001</v>
      </c>
      <c r="F16958" s="677"/>
      <c r="G16958" s="678"/>
      <c r="H16958" s="679"/>
      <c r="I16958" s="1940"/>
      <c r="J16958" s="676"/>
      <c r="K16958" s="680"/>
      <c r="L16958" s="679"/>
      <c r="M16958" s="676"/>
      <c r="N16958" s="677"/>
      <c r="O16958" s="676"/>
      <c r="P16958" s="1098"/>
    </row>
    <row r="16959" spans="1:16" ht="18.600000000000001" thickBot="1">
      <c r="A16959" s="681"/>
      <c r="B16959" s="682"/>
      <c r="C16959" s="683"/>
      <c r="D16959" s="683"/>
      <c r="E16959" s="1981"/>
      <c r="F16959" s="684"/>
      <c r="G16959" s="685"/>
      <c r="H16959" s="686"/>
      <c r="I16959" s="1942"/>
      <c r="J16959" s="683"/>
      <c r="K16959" s="687"/>
      <c r="L16959" s="686"/>
      <c r="M16959" s="683"/>
      <c r="N16959" s="684"/>
      <c r="O16959" s="683"/>
      <c r="P16959" s="1098"/>
    </row>
    <row r="16960" spans="1:16" ht="18">
      <c r="A16960" s="688" t="s">
        <v>31</v>
      </c>
      <c r="B16960" s="676"/>
      <c r="C16960" s="676"/>
      <c r="D16960" s="676"/>
      <c r="E16960" s="676"/>
      <c r="F16960" s="677"/>
      <c r="G16960" s="676"/>
      <c r="H16960" s="677"/>
      <c r="I16960" s="1940"/>
      <c r="J16960" s="676"/>
      <c r="K16960" s="689"/>
      <c r="L16960" s="677"/>
      <c r="M16960" s="676"/>
      <c r="N16960" s="677"/>
      <c r="O16960" s="676"/>
      <c r="P16960" s="1098"/>
    </row>
    <row r="16961" spans="1:16" ht="18">
      <c r="A16961" s="690"/>
      <c r="B16961" s="691"/>
      <c r="C16961" s="691"/>
      <c r="D16961" s="691"/>
      <c r="E16961" s="691"/>
      <c r="F16961" s="1935"/>
      <c r="G16961" s="691"/>
      <c r="H16961" s="1935"/>
      <c r="I16961" s="1941"/>
      <c r="J16961" s="691"/>
      <c r="K16961" s="693"/>
      <c r="L16961" s="1935"/>
      <c r="M16961" s="691"/>
      <c r="N16961" s="1935"/>
      <c r="O16961" s="691"/>
      <c r="P16961" s="1098"/>
    </row>
    <row r="16962" spans="1:16" ht="18.600000000000001" thickBot="1">
      <c r="A16962" s="1982" t="s">
        <v>32</v>
      </c>
      <c r="B16962" s="1983"/>
      <c r="C16962" s="1984" t="s">
        <v>33</v>
      </c>
      <c r="D16962" s="1985"/>
      <c r="E16962" s="694" t="s">
        <v>34</v>
      </c>
      <c r="F16962" s="694" t="s">
        <v>35</v>
      </c>
      <c r="G16962" s="1986" t="s">
        <v>36</v>
      </c>
      <c r="H16962" s="1987"/>
      <c r="I16962" s="1987"/>
      <c r="J16962" s="1987"/>
      <c r="K16962" s="1987"/>
      <c r="L16962" s="1987"/>
      <c r="M16962" s="1987"/>
      <c r="N16962" s="1987"/>
      <c r="O16962" s="1987"/>
      <c r="P16962" s="1098"/>
    </row>
    <row r="16963" spans="1:16" ht="18">
      <c r="A16963" s="1988"/>
      <c r="B16963" s="1989"/>
      <c r="C16963" s="1990"/>
      <c r="D16963" s="1989"/>
      <c r="E16963" s="1944"/>
      <c r="F16963" s="1939"/>
      <c r="G16963" s="1991"/>
      <c r="H16963" s="1992"/>
      <c r="I16963" s="1992"/>
      <c r="J16963" s="1992"/>
      <c r="K16963" s="1992"/>
      <c r="L16963" s="1992"/>
      <c r="M16963" s="1992"/>
      <c r="N16963" s="1992"/>
      <c r="O16963" s="1992"/>
      <c r="P16963" s="1098"/>
    </row>
    <row r="16964" spans="1:16" ht="18">
      <c r="A16964" s="1997" t="s">
        <v>37</v>
      </c>
      <c r="B16964" s="1998"/>
      <c r="C16964" s="1990"/>
      <c r="D16964" s="1989"/>
      <c r="E16964" s="1944"/>
      <c r="F16964" s="1939"/>
      <c r="G16964" s="1993"/>
      <c r="H16964" s="1994"/>
      <c r="I16964" s="1994"/>
      <c r="J16964" s="1994"/>
      <c r="K16964" s="1994"/>
      <c r="L16964" s="1994"/>
      <c r="M16964" s="1994"/>
      <c r="N16964" s="1994"/>
      <c r="O16964" s="1994"/>
      <c r="P16964" s="1098"/>
    </row>
    <row r="16965" spans="1:16" ht="18">
      <c r="A16965" s="1997" t="s">
        <v>38</v>
      </c>
      <c r="B16965" s="1998"/>
      <c r="C16965" s="1990"/>
      <c r="D16965" s="1989"/>
      <c r="E16965" s="1944"/>
      <c r="F16965" s="1939"/>
      <c r="G16965" s="1993"/>
      <c r="H16965" s="1994"/>
      <c r="I16965" s="1994"/>
      <c r="J16965" s="1994"/>
      <c r="K16965" s="1994"/>
      <c r="L16965" s="1994"/>
      <c r="M16965" s="1994"/>
      <c r="N16965" s="1994"/>
      <c r="O16965" s="1994"/>
      <c r="P16965" s="1098"/>
    </row>
    <row r="16966" spans="1:16" ht="18">
      <c r="A16966" s="1997" t="s">
        <v>39</v>
      </c>
      <c r="B16966" s="1998"/>
      <c r="C16966" s="1990"/>
      <c r="D16966" s="1989"/>
      <c r="E16966" s="1944"/>
      <c r="F16966" s="1939"/>
      <c r="G16966" s="1993"/>
      <c r="H16966" s="1994"/>
      <c r="I16966" s="1994"/>
      <c r="J16966" s="1994"/>
      <c r="K16966" s="1994"/>
      <c r="L16966" s="1994"/>
      <c r="M16966" s="1994"/>
      <c r="N16966" s="1994"/>
      <c r="O16966" s="1994"/>
      <c r="P16966" s="1098"/>
    </row>
    <row r="16967" spans="1:16" ht="18">
      <c r="A16967" s="1997" t="s">
        <v>40</v>
      </c>
      <c r="B16967" s="1998"/>
      <c r="C16967" s="1990"/>
      <c r="D16967" s="1989"/>
      <c r="E16967" s="1944"/>
      <c r="F16967" s="1939"/>
      <c r="G16967" s="1993"/>
      <c r="H16967" s="1994"/>
      <c r="I16967" s="1994"/>
      <c r="J16967" s="1994"/>
      <c r="K16967" s="1994"/>
      <c r="L16967" s="1994"/>
      <c r="M16967" s="1994"/>
      <c r="N16967" s="1994"/>
      <c r="O16967" s="1994"/>
      <c r="P16967" s="1098"/>
    </row>
    <row r="16968" spans="1:16" ht="18.600000000000001" thickBot="1">
      <c r="A16968" s="1999" t="s">
        <v>41</v>
      </c>
      <c r="B16968" s="2000"/>
      <c r="C16968" s="2001"/>
      <c r="D16968" s="2002"/>
      <c r="E16968" s="696"/>
      <c r="F16968" s="1943"/>
      <c r="G16968" s="1995"/>
      <c r="H16968" s="1996"/>
      <c r="I16968" s="1996"/>
      <c r="J16968" s="1996"/>
      <c r="K16968" s="1996"/>
      <c r="L16968" s="1996"/>
      <c r="M16968" s="1996"/>
      <c r="N16968" s="1996"/>
      <c r="O16968" s="1996"/>
      <c r="P16968" s="1098"/>
    </row>
    <row r="16969" spans="1:16" ht="18">
      <c r="A16969" s="690"/>
      <c r="B16969" s="691"/>
      <c r="C16969" s="691"/>
      <c r="D16969" s="691"/>
      <c r="E16969" s="691"/>
      <c r="F16969" s="1935"/>
      <c r="G16969" s="691"/>
      <c r="H16969" s="698"/>
      <c r="I16969" s="699"/>
      <c r="J16969" s="700"/>
      <c r="K16969" s="701"/>
      <c r="L16969" s="702"/>
      <c r="M16969" s="691"/>
      <c r="N16969" s="1935"/>
      <c r="O16969" s="691"/>
      <c r="P16969" s="1098"/>
    </row>
    <row r="16970" spans="1:16" ht="18">
      <c r="A16970" s="703" t="s">
        <v>42</v>
      </c>
      <c r="B16970" s="704"/>
      <c r="C16970" s="691"/>
      <c r="D16970" s="691"/>
      <c r="E16970" s="691"/>
      <c r="F16970" s="1935"/>
      <c r="G16970" s="704"/>
      <c r="H16970" s="698"/>
      <c r="I16970" s="699"/>
      <c r="J16970" s="700"/>
      <c r="K16970" s="693"/>
      <c r="L16970" s="705"/>
      <c r="M16970" s="691"/>
      <c r="N16970" s="1979" t="s">
        <v>43</v>
      </c>
      <c r="O16970" s="1979"/>
      <c r="P16970" s="1098"/>
    </row>
    <row r="16971" spans="1:16" ht="18">
      <c r="A16971" s="703"/>
      <c r="B16971" s="704"/>
      <c r="C16971" s="691"/>
      <c r="D16971" s="691"/>
      <c r="E16971" s="691"/>
      <c r="F16971" s="1935"/>
      <c r="G16971" s="691"/>
      <c r="H16971" s="1935"/>
      <c r="I16971" s="1941"/>
      <c r="J16971" s="691"/>
      <c r="K16971" s="693"/>
      <c r="L16971" s="1935"/>
      <c r="M16971" s="691"/>
      <c r="N16971" s="1935"/>
      <c r="O16971" s="704"/>
      <c r="P16971" s="1098"/>
    </row>
    <row r="16972" spans="1:16" ht="18">
      <c r="A16972" s="703" t="s">
        <v>44</v>
      </c>
      <c r="B16972" s="704"/>
      <c r="C16972" s="691"/>
      <c r="D16972" s="691"/>
      <c r="E16972" s="691"/>
      <c r="F16972" s="1935"/>
      <c r="G16972" s="691"/>
      <c r="H16972" s="1935"/>
      <c r="I16972" s="1941"/>
      <c r="J16972" s="691"/>
      <c r="K16972" s="693"/>
      <c r="L16972" s="1935"/>
      <c r="M16972" s="691"/>
      <c r="N16972" s="1979" t="s">
        <v>45</v>
      </c>
      <c r="O16972" s="1979"/>
      <c r="P16972" s="1098"/>
    </row>
    <row r="16973" spans="1:16" ht="18.600000000000001" thickBot="1">
      <c r="A16973" s="682"/>
      <c r="B16973" s="683"/>
      <c r="C16973" s="683"/>
      <c r="D16973" s="683"/>
      <c r="E16973" s="683"/>
      <c r="F16973" s="684"/>
      <c r="G16973" s="683"/>
      <c r="H16973" s="684"/>
      <c r="I16973" s="1942"/>
      <c r="J16973" s="683"/>
      <c r="K16973" s="706"/>
      <c r="L16973" s="684"/>
      <c r="M16973" s="683"/>
      <c r="N16973" s="684"/>
      <c r="O16973" s="683"/>
      <c r="P16973" s="1099"/>
    </row>
    <row r="16977" spans="1:16" ht="17.399999999999999">
      <c r="A16977" s="711" t="s">
        <v>48</v>
      </c>
      <c r="B16977" s="711"/>
      <c r="C16977" s="712"/>
      <c r="D16977" s="712"/>
      <c r="E16977" s="712"/>
      <c r="F16977" s="713"/>
      <c r="G16977" s="712"/>
      <c r="H16977" s="712"/>
      <c r="I16977" s="714"/>
      <c r="J16977" s="715"/>
      <c r="K16977" s="716"/>
      <c r="L16977" s="1978" t="s">
        <v>0</v>
      </c>
      <c r="M16977" s="1978"/>
      <c r="N16977" s="1978"/>
      <c r="O16977" s="1978"/>
      <c r="P16977" s="717"/>
    </row>
    <row r="16978" spans="1:16" ht="17.399999999999999">
      <c r="A16978" s="718" t="s">
        <v>1</v>
      </c>
      <c r="B16978" s="718"/>
      <c r="C16978" s="718"/>
      <c r="D16978" s="719" t="s">
        <v>2</v>
      </c>
      <c r="E16978" s="719"/>
      <c r="F16978" s="720"/>
      <c r="G16978" s="720"/>
      <c r="H16978" s="720"/>
      <c r="I16978" s="721"/>
      <c r="J16978" s="1955"/>
      <c r="K16978" s="723" t="s">
        <v>3</v>
      </c>
      <c r="L16978" s="1955"/>
      <c r="M16978" s="718"/>
      <c r="N16978" s="720"/>
      <c r="O16978" s="718"/>
      <c r="P16978" s="724"/>
    </row>
    <row r="16979" spans="1:16" ht="52.2">
      <c r="A16979" s="640" t="s">
        <v>4</v>
      </c>
      <c r="B16979" s="640" t="s">
        <v>5</v>
      </c>
      <c r="C16979" s="640" t="s">
        <v>6</v>
      </c>
      <c r="D16979" s="640" t="s">
        <v>7</v>
      </c>
      <c r="E16979" s="640" t="s">
        <v>8</v>
      </c>
      <c r="F16979" s="641" t="s">
        <v>9</v>
      </c>
      <c r="G16979" s="642" t="s">
        <v>10</v>
      </c>
      <c r="H16979" s="642" t="s">
        <v>11</v>
      </c>
      <c r="I16979" s="643" t="s">
        <v>12</v>
      </c>
      <c r="J16979" s="644" t="s">
        <v>13</v>
      </c>
      <c r="K16979" s="645" t="s">
        <v>14</v>
      </c>
      <c r="L16979" s="646" t="s">
        <v>15</v>
      </c>
      <c r="M16979" s="641" t="s">
        <v>16</v>
      </c>
      <c r="N16979" s="641" t="s">
        <v>17</v>
      </c>
      <c r="O16979" s="642" t="s">
        <v>18</v>
      </c>
      <c r="P16979" s="641" t="s">
        <v>192</v>
      </c>
    </row>
    <row r="16980" spans="1:16" ht="17.399999999999999">
      <c r="A16980" s="547" t="s">
        <v>272</v>
      </c>
      <c r="B16980" s="547" t="s">
        <v>1745</v>
      </c>
      <c r="C16980" s="547" t="s">
        <v>19</v>
      </c>
      <c r="D16980" s="813" t="s">
        <v>854</v>
      </c>
      <c r="E16980" s="547" t="s">
        <v>359</v>
      </c>
      <c r="F16980" s="549">
        <v>13</v>
      </c>
      <c r="G16980" s="549" t="s">
        <v>21</v>
      </c>
      <c r="H16980" s="549" t="s">
        <v>120</v>
      </c>
      <c r="I16980" s="558">
        <v>18.149999999999999</v>
      </c>
      <c r="J16980" s="567">
        <v>7</v>
      </c>
      <c r="K16980" s="648">
        <v>6</v>
      </c>
      <c r="L16980" s="552">
        <f t="shared" ref="L16980:L16982" si="3472">(I16980*J16980*K16980/1000)</f>
        <v>0.76229999999999998</v>
      </c>
      <c r="M16980" s="549"/>
      <c r="N16980" s="549"/>
      <c r="O16980" s="549"/>
      <c r="P16980" s="549"/>
    </row>
    <row r="16981" spans="1:16" ht="17.399999999999999">
      <c r="A16981" s="549"/>
      <c r="B16981" s="549" t="s">
        <v>1027</v>
      </c>
      <c r="C16981" s="549"/>
      <c r="D16981" s="549"/>
      <c r="E16981" s="549"/>
      <c r="F16981" s="549"/>
      <c r="G16981" s="549" t="s">
        <v>21</v>
      </c>
      <c r="H16981" s="549" t="s">
        <v>120</v>
      </c>
      <c r="I16981" s="558">
        <v>18.149999999999999</v>
      </c>
      <c r="J16981" s="567">
        <v>7.3</v>
      </c>
      <c r="K16981" s="648">
        <v>4</v>
      </c>
      <c r="L16981" s="552">
        <f t="shared" si="3472"/>
        <v>0.5299799999999999</v>
      </c>
      <c r="M16981" s="549"/>
      <c r="N16981" s="549"/>
      <c r="O16981" s="549"/>
      <c r="P16981" s="549"/>
    </row>
    <row r="16982" spans="1:16" ht="17.399999999999999">
      <c r="A16982" s="549"/>
      <c r="B16982" s="549"/>
      <c r="C16982" s="549"/>
      <c r="D16982" s="549"/>
      <c r="E16982" s="549"/>
      <c r="F16982" s="549"/>
      <c r="G16982" s="549" t="s">
        <v>21</v>
      </c>
      <c r="H16982" s="549" t="s">
        <v>120</v>
      </c>
      <c r="I16982" s="558">
        <v>18.149999999999999</v>
      </c>
      <c r="J16982" s="567">
        <v>11</v>
      </c>
      <c r="K16982" s="648">
        <v>2</v>
      </c>
      <c r="L16982" s="552">
        <f t="shared" si="3472"/>
        <v>0.39929999999999993</v>
      </c>
      <c r="M16982" s="549"/>
      <c r="N16982" s="549"/>
      <c r="O16982" s="549"/>
      <c r="P16982" s="549"/>
    </row>
    <row r="16983" spans="1:16" ht="17.399999999999999">
      <c r="A16983" s="549"/>
      <c r="B16983" s="549"/>
      <c r="C16983" s="549"/>
      <c r="D16983" s="549"/>
      <c r="E16983" s="549"/>
      <c r="F16983" s="549"/>
      <c r="G16983" s="549"/>
      <c r="H16983" s="549"/>
      <c r="I16983" s="558"/>
      <c r="J16983" s="567"/>
      <c r="K16983" s="648">
        <f t="shared" ref="K16983:L16983" si="3473">SUM(K16980:K16982)</f>
        <v>12</v>
      </c>
      <c r="L16983" s="567">
        <f t="shared" si="3473"/>
        <v>1.6915799999999999</v>
      </c>
      <c r="M16983" s="549"/>
      <c r="N16983" s="549"/>
      <c r="O16983" s="549"/>
      <c r="P16983" s="549"/>
    </row>
    <row r="16984" spans="1:16" s="1737" customFormat="1" ht="17.399999999999999">
      <c r="A16984" s="549"/>
      <c r="B16984" s="549"/>
      <c r="C16984" s="549"/>
      <c r="D16984" s="549"/>
      <c r="E16984" s="549"/>
      <c r="F16984" s="549"/>
      <c r="G16984" s="549"/>
      <c r="H16984" s="549"/>
      <c r="I16984" s="558"/>
      <c r="J16984" s="567"/>
      <c r="K16984" s="648"/>
      <c r="L16984" s="567"/>
      <c r="M16984" s="549"/>
      <c r="N16984" s="549"/>
      <c r="O16984" s="549"/>
      <c r="P16984" s="549"/>
    </row>
    <row r="16985" spans="1:16" ht="17.399999999999999">
      <c r="A16985" s="547" t="s">
        <v>272</v>
      </c>
      <c r="B16985" s="547" t="s">
        <v>1847</v>
      </c>
      <c r="C16985" s="547" t="s">
        <v>19</v>
      </c>
      <c r="D16985" s="813" t="s">
        <v>854</v>
      </c>
      <c r="E16985" s="547" t="s">
        <v>359</v>
      </c>
      <c r="F16985" s="549">
        <v>13</v>
      </c>
      <c r="G16985" s="549" t="s">
        <v>21</v>
      </c>
      <c r="H16985" s="549" t="s">
        <v>120</v>
      </c>
      <c r="I16985" s="558">
        <v>18.149999999999999</v>
      </c>
      <c r="J16985" s="567">
        <v>6</v>
      </c>
      <c r="K16985" s="648">
        <v>1</v>
      </c>
      <c r="L16985" s="552">
        <f>(I16985*J16985*K16985/1000)</f>
        <v>0.1089</v>
      </c>
      <c r="M16985" s="549"/>
      <c r="N16985" s="549"/>
      <c r="O16985" s="549"/>
      <c r="P16985" s="549"/>
    </row>
    <row r="16986" spans="1:16" ht="17.399999999999999">
      <c r="A16986" s="549"/>
      <c r="B16986" s="549" t="s">
        <v>1027</v>
      </c>
      <c r="C16986" s="549"/>
      <c r="D16986" s="549"/>
      <c r="E16986" s="549"/>
      <c r="F16986" s="549"/>
      <c r="G16986" s="549"/>
      <c r="H16986" s="549"/>
      <c r="I16986" s="558"/>
      <c r="J16986" s="567"/>
      <c r="K16986" s="648">
        <f t="shared" ref="K16986:L16986" si="3474">SUM(K16985)</f>
        <v>1</v>
      </c>
      <c r="L16986" s="567">
        <f t="shared" si="3474"/>
        <v>0.1089</v>
      </c>
      <c r="M16986" s="549"/>
      <c r="N16986" s="549"/>
      <c r="O16986" s="549"/>
      <c r="P16986" s="549"/>
    </row>
    <row r="16987" spans="1:16" ht="17.399999999999999">
      <c r="A16987" s="549"/>
      <c r="B16987" s="549"/>
      <c r="C16987" s="549"/>
      <c r="D16987" s="549"/>
      <c r="E16987" s="549"/>
      <c r="F16987" s="549"/>
      <c r="G16987" s="549"/>
      <c r="H16987" s="549"/>
      <c r="I16987" s="558"/>
      <c r="J16987" s="549"/>
      <c r="K16987" s="561"/>
      <c r="L16987" s="560"/>
      <c r="M16987" s="549"/>
      <c r="N16987" s="549"/>
      <c r="O16987" s="549"/>
      <c r="P16987" s="549"/>
    </row>
    <row r="16988" spans="1:16" ht="17.399999999999999">
      <c r="A16988" s="547" t="s">
        <v>272</v>
      </c>
      <c r="B16988" s="547" t="s">
        <v>1725</v>
      </c>
      <c r="C16988" s="547" t="s">
        <v>19</v>
      </c>
      <c r="D16988" s="813" t="s">
        <v>854</v>
      </c>
      <c r="E16988" s="547" t="s">
        <v>359</v>
      </c>
      <c r="F16988" s="549">
        <v>13</v>
      </c>
      <c r="G16988" s="549" t="s">
        <v>21</v>
      </c>
      <c r="H16988" s="549" t="s">
        <v>120</v>
      </c>
      <c r="I16988" s="558">
        <v>18.149999999999999</v>
      </c>
      <c r="J16988" s="567">
        <v>8</v>
      </c>
      <c r="K16988" s="648">
        <v>20</v>
      </c>
      <c r="L16988" s="552">
        <f t="shared" ref="L16988:L16990" si="3475">(I16988*J16988*K16988/1000)</f>
        <v>2.9039999999999999</v>
      </c>
      <c r="M16988" s="549"/>
      <c r="N16988" s="549"/>
      <c r="O16988" s="549"/>
      <c r="P16988" s="549"/>
    </row>
    <row r="16989" spans="1:16" ht="17.399999999999999">
      <c r="A16989" s="549"/>
      <c r="B16989" s="549" t="s">
        <v>1780</v>
      </c>
      <c r="C16989" s="549"/>
      <c r="D16989" s="549"/>
      <c r="E16989" s="549"/>
      <c r="F16989" s="549"/>
      <c r="G16989" s="549" t="s">
        <v>21</v>
      </c>
      <c r="H16989" s="549" t="s">
        <v>120</v>
      </c>
      <c r="I16989" s="558">
        <v>18.149999999999999</v>
      </c>
      <c r="J16989" s="567">
        <v>8.25</v>
      </c>
      <c r="K16989" s="648">
        <v>6</v>
      </c>
      <c r="L16989" s="552">
        <f t="shared" si="3475"/>
        <v>0.89842499999999992</v>
      </c>
      <c r="M16989" s="549"/>
      <c r="N16989" s="549"/>
      <c r="O16989" s="549"/>
      <c r="P16989" s="549"/>
    </row>
    <row r="16990" spans="1:16" ht="17.399999999999999">
      <c r="A16990" s="549"/>
      <c r="B16990" s="549"/>
      <c r="C16990" s="549"/>
      <c r="D16990" s="549"/>
      <c r="E16990" s="549"/>
      <c r="F16990" s="549"/>
      <c r="G16990" s="549" t="s">
        <v>21</v>
      </c>
      <c r="H16990" s="549" t="s">
        <v>120</v>
      </c>
      <c r="I16990" s="558">
        <v>18.149999999999999</v>
      </c>
      <c r="J16990" s="567">
        <v>12</v>
      </c>
      <c r="K16990" s="648">
        <v>4</v>
      </c>
      <c r="L16990" s="552">
        <f t="shared" si="3475"/>
        <v>0.87119999999999997</v>
      </c>
      <c r="M16990" s="549"/>
      <c r="N16990" s="549"/>
      <c r="O16990" s="549"/>
      <c r="P16990" s="549"/>
    </row>
    <row r="16991" spans="1:16" ht="17.399999999999999">
      <c r="A16991" s="549"/>
      <c r="B16991" s="549"/>
      <c r="C16991" s="549"/>
      <c r="D16991" s="549"/>
      <c r="E16991" s="549"/>
      <c r="F16991" s="549"/>
      <c r="G16991" s="549"/>
      <c r="H16991" s="549"/>
      <c r="I16991" s="558"/>
      <c r="J16991" s="567"/>
      <c r="K16991" s="648">
        <f t="shared" ref="K16991:L16991" si="3476">SUM(K16988:K16990)</f>
        <v>30</v>
      </c>
      <c r="L16991" s="567">
        <f t="shared" si="3476"/>
        <v>4.6736249999999995</v>
      </c>
      <c r="M16991" s="549"/>
      <c r="N16991" s="549"/>
      <c r="O16991" s="549"/>
      <c r="P16991" s="549"/>
    </row>
    <row r="16992" spans="1:16" ht="17.399999999999999">
      <c r="A16992" s="549"/>
      <c r="B16992" s="549"/>
      <c r="C16992" s="549"/>
      <c r="D16992" s="549"/>
      <c r="E16992" s="549"/>
      <c r="F16992" s="549"/>
      <c r="G16992" s="549"/>
      <c r="H16992" s="549"/>
      <c r="I16992" s="558"/>
      <c r="J16992" s="549"/>
      <c r="K16992" s="561"/>
      <c r="L16992" s="560"/>
      <c r="M16992" s="549"/>
      <c r="N16992" s="549"/>
      <c r="O16992" s="549"/>
      <c r="P16992" s="549"/>
    </row>
    <row r="16993" spans="1:16" ht="17.399999999999999">
      <c r="A16993" s="547" t="s">
        <v>83</v>
      </c>
      <c r="B16993" s="547" t="s">
        <v>1746</v>
      </c>
      <c r="C16993" s="547" t="s">
        <v>19</v>
      </c>
      <c r="D16993" s="813" t="s">
        <v>854</v>
      </c>
      <c r="E16993" s="650" t="s">
        <v>878</v>
      </c>
      <c r="F16993" s="549">
        <v>13</v>
      </c>
      <c r="G16993" s="549" t="s">
        <v>21</v>
      </c>
      <c r="H16993" s="549" t="s">
        <v>120</v>
      </c>
      <c r="I16993" s="558">
        <v>18.2</v>
      </c>
      <c r="J16993" s="567">
        <v>7.4</v>
      </c>
      <c r="K16993" s="648">
        <v>12</v>
      </c>
      <c r="L16993" s="552">
        <f t="shared" ref="L16993:L16998" si="3477">(I16993*J16993*K16993/1000)</f>
        <v>1.61616</v>
      </c>
      <c r="M16993" s="549"/>
      <c r="N16993" s="549"/>
      <c r="O16993" s="549"/>
      <c r="P16993" s="549"/>
    </row>
    <row r="16994" spans="1:16" ht="17.399999999999999">
      <c r="A16994" s="549"/>
      <c r="B16994" s="549" t="s">
        <v>1135</v>
      </c>
      <c r="C16994" s="549"/>
      <c r="D16994" s="549"/>
      <c r="E16994" s="549"/>
      <c r="F16994" s="549"/>
      <c r="G16994" s="549" t="s">
        <v>21</v>
      </c>
      <c r="H16994" s="549" t="s">
        <v>120</v>
      </c>
      <c r="I16994" s="558">
        <v>18.2</v>
      </c>
      <c r="J16994" s="567">
        <v>8.1999999999999993</v>
      </c>
      <c r="K16994" s="648">
        <v>24</v>
      </c>
      <c r="L16994" s="552">
        <f t="shared" si="3477"/>
        <v>3.5817599999999992</v>
      </c>
      <c r="M16994" s="549"/>
      <c r="N16994" s="549"/>
      <c r="O16994" s="549"/>
      <c r="P16994" s="549"/>
    </row>
    <row r="16995" spans="1:16" ht="17.399999999999999">
      <c r="A16995" s="549"/>
      <c r="B16995" s="549"/>
      <c r="C16995" s="549"/>
      <c r="D16995" s="549"/>
      <c r="E16995" s="549"/>
      <c r="F16995" s="549"/>
      <c r="G16995" s="549" t="s">
        <v>21</v>
      </c>
      <c r="H16995" s="549" t="s">
        <v>120</v>
      </c>
      <c r="I16995" s="558">
        <v>18.2</v>
      </c>
      <c r="J16995" s="567">
        <v>9.5</v>
      </c>
      <c r="K16995" s="648">
        <v>3</v>
      </c>
      <c r="L16995" s="552">
        <f t="shared" si="3477"/>
        <v>0.51870000000000005</v>
      </c>
      <c r="M16995" s="549"/>
      <c r="N16995" s="549"/>
      <c r="O16995" s="549"/>
      <c r="P16995" s="549"/>
    </row>
    <row r="16996" spans="1:16" ht="17.399999999999999">
      <c r="A16996" s="549"/>
      <c r="B16996" s="549"/>
      <c r="C16996" s="549"/>
      <c r="D16996" s="549"/>
      <c r="E16996" s="549"/>
      <c r="F16996" s="549"/>
      <c r="G16996" s="549" t="s">
        <v>21</v>
      </c>
      <c r="H16996" s="549" t="s">
        <v>120</v>
      </c>
      <c r="I16996" s="558">
        <v>18.2</v>
      </c>
      <c r="J16996" s="567">
        <v>10.6</v>
      </c>
      <c r="K16996" s="648">
        <v>12</v>
      </c>
      <c r="L16996" s="552">
        <f t="shared" si="3477"/>
        <v>2.3150399999999998</v>
      </c>
      <c r="M16996" s="549"/>
      <c r="N16996" s="549"/>
      <c r="O16996" s="549"/>
      <c r="P16996" s="549"/>
    </row>
    <row r="16997" spans="1:16" ht="17.399999999999999">
      <c r="A16997" s="549"/>
      <c r="B16997" s="549"/>
      <c r="C16997" s="549"/>
      <c r="D16997" s="549"/>
      <c r="E16997" s="549"/>
      <c r="F16997" s="549"/>
      <c r="G16997" s="549" t="s">
        <v>21</v>
      </c>
      <c r="H16997" s="549" t="s">
        <v>120</v>
      </c>
      <c r="I16997" s="558">
        <v>18.2</v>
      </c>
      <c r="J16997" s="567">
        <v>11.3</v>
      </c>
      <c r="K16997" s="648">
        <v>20</v>
      </c>
      <c r="L16997" s="552">
        <f t="shared" si="3477"/>
        <v>4.1132</v>
      </c>
      <c r="M16997" s="549"/>
      <c r="N16997" s="549"/>
      <c r="O16997" s="549"/>
      <c r="P16997" s="549"/>
    </row>
    <row r="16998" spans="1:16" ht="17.399999999999999">
      <c r="A16998" s="549"/>
      <c r="B16998" s="549"/>
      <c r="C16998" s="549"/>
      <c r="D16998" s="549"/>
      <c r="E16998" s="549"/>
      <c r="F16998" s="549"/>
      <c r="G16998" s="549" t="s">
        <v>21</v>
      </c>
      <c r="H16998" s="549" t="s">
        <v>120</v>
      </c>
      <c r="I16998" s="558">
        <v>18.2</v>
      </c>
      <c r="J16998" s="567">
        <v>11.8</v>
      </c>
      <c r="K16998" s="648">
        <v>4</v>
      </c>
      <c r="L16998" s="552">
        <f t="shared" si="3477"/>
        <v>0.85903999999999991</v>
      </c>
      <c r="M16998" s="549"/>
      <c r="N16998" s="549"/>
      <c r="O16998" s="549"/>
      <c r="P16998" s="549"/>
    </row>
    <row r="16999" spans="1:16" ht="17.399999999999999">
      <c r="A16999" s="549"/>
      <c r="B16999" s="549"/>
      <c r="C16999" s="549"/>
      <c r="D16999" s="549"/>
      <c r="E16999" s="549"/>
      <c r="F16999" s="549"/>
      <c r="G16999" s="549"/>
      <c r="H16999" s="549"/>
      <c r="I16999" s="558"/>
      <c r="J16999" s="567"/>
      <c r="K16999" s="648">
        <f t="shared" ref="K16999:L16999" si="3478">SUM(K16993:K16998)</f>
        <v>75</v>
      </c>
      <c r="L16999" s="567">
        <f t="shared" si="3478"/>
        <v>13.003899999999998</v>
      </c>
      <c r="M16999" s="549"/>
      <c r="N16999" s="549"/>
      <c r="O16999" s="549"/>
      <c r="P16999" s="549"/>
    </row>
    <row r="17000" spans="1:16" s="1737" customFormat="1" ht="17.399999999999999">
      <c r="A17000" s="549"/>
      <c r="B17000" s="549"/>
      <c r="C17000" s="549"/>
      <c r="D17000" s="549"/>
      <c r="E17000" s="549"/>
      <c r="F17000" s="549"/>
      <c r="G17000" s="549"/>
      <c r="H17000" s="549"/>
      <c r="I17000" s="558"/>
      <c r="J17000" s="567"/>
      <c r="K17000" s="648"/>
      <c r="L17000" s="567"/>
      <c r="M17000" s="549"/>
      <c r="N17000" s="549"/>
      <c r="O17000" s="549"/>
      <c r="P17000" s="549"/>
    </row>
    <row r="17001" spans="1:16" ht="17.399999999999999">
      <c r="A17001" s="547" t="s">
        <v>83</v>
      </c>
      <c r="B17001" s="547" t="s">
        <v>1902</v>
      </c>
      <c r="C17001" s="547" t="s">
        <v>19</v>
      </c>
      <c r="D17001" s="813" t="s">
        <v>854</v>
      </c>
      <c r="E17001" s="768" t="s">
        <v>175</v>
      </c>
      <c r="F17001" s="549">
        <v>13</v>
      </c>
      <c r="G17001" s="549" t="s">
        <v>21</v>
      </c>
      <c r="H17001" s="549" t="s">
        <v>120</v>
      </c>
      <c r="I17001" s="558">
        <v>18.2</v>
      </c>
      <c r="J17001" s="567">
        <v>9.1</v>
      </c>
      <c r="K17001" s="648">
        <v>1</v>
      </c>
      <c r="L17001" s="552">
        <f t="shared" ref="L17001:L17002" si="3479">(I17001*J17001*K17001/1000)</f>
        <v>0.16561999999999999</v>
      </c>
      <c r="M17001" s="549"/>
      <c r="N17001" s="549"/>
      <c r="O17001" s="549"/>
      <c r="P17001" s="549"/>
    </row>
    <row r="17002" spans="1:16" ht="17.399999999999999">
      <c r="A17002" s="549"/>
      <c r="B17002" s="549" t="s">
        <v>1135</v>
      </c>
      <c r="C17002" s="549"/>
      <c r="D17002" s="549"/>
      <c r="E17002" s="549"/>
      <c r="F17002" s="549"/>
      <c r="G17002" s="549" t="s">
        <v>21</v>
      </c>
      <c r="H17002" s="549" t="s">
        <v>120</v>
      </c>
      <c r="I17002" s="558">
        <v>18.2</v>
      </c>
      <c r="J17002" s="567">
        <v>10.1</v>
      </c>
      <c r="K17002" s="648">
        <v>4</v>
      </c>
      <c r="L17002" s="552">
        <f t="shared" si="3479"/>
        <v>0.73527999999999993</v>
      </c>
      <c r="M17002" s="549"/>
      <c r="N17002" s="549"/>
      <c r="O17002" s="549"/>
      <c r="P17002" s="549"/>
    </row>
    <row r="17003" spans="1:16" ht="17.399999999999999">
      <c r="A17003" s="549"/>
      <c r="B17003" s="549"/>
      <c r="C17003" s="549"/>
      <c r="D17003" s="549"/>
      <c r="E17003" s="549"/>
      <c r="F17003" s="549"/>
      <c r="G17003" s="549"/>
      <c r="H17003" s="549"/>
      <c r="I17003" s="558"/>
      <c r="J17003" s="567"/>
      <c r="K17003" s="648">
        <f>SUM(K17001:K17002)</f>
        <v>5</v>
      </c>
      <c r="L17003" s="567">
        <f>SUM(L17001:L17002)</f>
        <v>0.90089999999999992</v>
      </c>
      <c r="M17003" s="549"/>
      <c r="N17003" s="549"/>
      <c r="O17003" s="549"/>
      <c r="P17003" s="549"/>
    </row>
    <row r="17004" spans="1:16" ht="17.399999999999999">
      <c r="A17004" s="549"/>
      <c r="B17004" s="549"/>
      <c r="C17004" s="549"/>
      <c r="D17004" s="549"/>
      <c r="E17004" s="549"/>
      <c r="F17004" s="549"/>
      <c r="G17004" s="549"/>
      <c r="H17004" s="549"/>
      <c r="I17004" s="558"/>
      <c r="J17004" s="549"/>
      <c r="K17004" s="561"/>
      <c r="L17004" s="560"/>
      <c r="M17004" s="549"/>
      <c r="N17004" s="549"/>
      <c r="O17004" s="549"/>
      <c r="P17004" s="549"/>
    </row>
    <row r="17005" spans="1:16" ht="17.399999999999999">
      <c r="A17005" s="547" t="s">
        <v>83</v>
      </c>
      <c r="B17005" s="547" t="s">
        <v>1748</v>
      </c>
      <c r="C17005" s="547" t="s">
        <v>19</v>
      </c>
      <c r="D17005" s="813" t="s">
        <v>854</v>
      </c>
      <c r="E17005" s="650" t="s">
        <v>1884</v>
      </c>
      <c r="F17005" s="549">
        <v>13</v>
      </c>
      <c r="G17005" s="549" t="s">
        <v>21</v>
      </c>
      <c r="H17005" s="549" t="s">
        <v>120</v>
      </c>
      <c r="I17005" s="558">
        <v>18.2</v>
      </c>
      <c r="J17005" s="567">
        <v>9.5</v>
      </c>
      <c r="K17005" s="648">
        <v>12</v>
      </c>
      <c r="L17005" s="552">
        <f t="shared" ref="L17005:L17006" si="3480">(I17005*J17005*K17005/1000)</f>
        <v>2.0748000000000002</v>
      </c>
      <c r="M17005" s="549"/>
      <c r="N17005" s="549"/>
      <c r="O17005" s="549"/>
      <c r="P17005" s="549"/>
    </row>
    <row r="17006" spans="1:16" ht="17.399999999999999">
      <c r="A17006" s="549"/>
      <c r="B17006" s="549" t="s">
        <v>52</v>
      </c>
      <c r="C17006" s="549"/>
      <c r="D17006" s="549"/>
      <c r="E17006" s="549"/>
      <c r="F17006" s="549"/>
      <c r="G17006" s="549" t="s">
        <v>21</v>
      </c>
      <c r="H17006" s="549" t="s">
        <v>120</v>
      </c>
      <c r="I17006" s="558">
        <v>18.2</v>
      </c>
      <c r="J17006" s="567">
        <v>10.4</v>
      </c>
      <c r="K17006" s="648">
        <v>120</v>
      </c>
      <c r="L17006" s="552">
        <f t="shared" si="3480"/>
        <v>22.7136</v>
      </c>
      <c r="M17006" s="549"/>
      <c r="N17006" s="549"/>
      <c r="O17006" s="549"/>
      <c r="P17006" s="549"/>
    </row>
    <row r="17007" spans="1:16" ht="17.399999999999999">
      <c r="A17007" s="549"/>
      <c r="B17007" s="549"/>
      <c r="C17007" s="549"/>
      <c r="D17007" s="549"/>
      <c r="E17007" s="549"/>
      <c r="F17007" s="549"/>
      <c r="G17007" s="549"/>
      <c r="H17007" s="549"/>
      <c r="I17007" s="558"/>
      <c r="J17007" s="567"/>
      <c r="K17007" s="648">
        <f t="shared" ref="K17007:L17007" si="3481">SUM(K17005:K17006)</f>
        <v>132</v>
      </c>
      <c r="L17007" s="567">
        <f t="shared" si="3481"/>
        <v>24.788399999999999</v>
      </c>
      <c r="M17007" s="549"/>
      <c r="N17007" s="549"/>
      <c r="O17007" s="549"/>
      <c r="P17007" s="549"/>
    </row>
    <row r="17008" spans="1:16" s="1737" customFormat="1" ht="17.399999999999999">
      <c r="A17008" s="549"/>
      <c r="B17008" s="549"/>
      <c r="C17008" s="549"/>
      <c r="D17008" s="549"/>
      <c r="E17008" s="549"/>
      <c r="F17008" s="549"/>
      <c r="G17008" s="549"/>
      <c r="H17008" s="549"/>
      <c r="I17008" s="558"/>
      <c r="J17008" s="567"/>
      <c r="K17008" s="648">
        <f>SUM(K16980:K17007)/2</f>
        <v>255</v>
      </c>
      <c r="L17008" s="567">
        <f>SUM(L16980:L17007)/2</f>
        <v>45.167304999999999</v>
      </c>
      <c r="M17008" s="549"/>
      <c r="N17008" s="549"/>
      <c r="O17008" s="549"/>
      <c r="P17008" s="549"/>
    </row>
    <row r="17009" spans="1:16" s="1737" customFormat="1" ht="17.399999999999999">
      <c r="A17009" s="549"/>
      <c r="B17009" s="549"/>
      <c r="C17009" s="549"/>
      <c r="D17009" s="549"/>
      <c r="E17009" s="549"/>
      <c r="F17009" s="549"/>
      <c r="G17009" s="549"/>
      <c r="H17009" s="549"/>
      <c r="I17009" s="558"/>
      <c r="J17009" s="567"/>
      <c r="K17009" s="648"/>
      <c r="L17009" s="567"/>
      <c r="M17009" s="549"/>
      <c r="N17009" s="549"/>
      <c r="O17009" s="549"/>
      <c r="P17009" s="549"/>
    </row>
    <row r="17010" spans="1:16" s="1737" customFormat="1" ht="17.399999999999999">
      <c r="A17010" s="549"/>
      <c r="B17010" s="549"/>
      <c r="C17010" s="549"/>
      <c r="D17010" s="549"/>
      <c r="E17010" s="549"/>
      <c r="F17010" s="549"/>
      <c r="G17010" s="549"/>
      <c r="H17010" s="549"/>
      <c r="I17010" s="558"/>
      <c r="J17010" s="567"/>
      <c r="K17010" s="648"/>
      <c r="L17010" s="567"/>
      <c r="M17010" s="549"/>
      <c r="N17010" s="549"/>
      <c r="O17010" s="549"/>
      <c r="P17010" s="549"/>
    </row>
    <row r="17011" spans="1:16" ht="17.399999999999999">
      <c r="A17011" s="547" t="s">
        <v>541</v>
      </c>
      <c r="B17011" s="547" t="s">
        <v>1779</v>
      </c>
      <c r="C17011" s="547" t="s">
        <v>19</v>
      </c>
      <c r="D17011" s="813" t="s">
        <v>854</v>
      </c>
      <c r="E17011" s="768" t="s">
        <v>57</v>
      </c>
      <c r="F17011" s="549">
        <v>13</v>
      </c>
      <c r="G17011" s="549" t="s">
        <v>21</v>
      </c>
      <c r="H17011" s="549" t="s">
        <v>120</v>
      </c>
      <c r="I17011" s="558">
        <v>18.2</v>
      </c>
      <c r="J17011" s="567">
        <v>9.5</v>
      </c>
      <c r="K17011" s="648">
        <v>16</v>
      </c>
      <c r="L17011" s="552">
        <f t="shared" ref="L17011:L17013" si="3482">(I17011*J17011*K17011/1000)</f>
        <v>2.7664</v>
      </c>
      <c r="M17011" s="549"/>
      <c r="N17011" s="549"/>
      <c r="O17011" s="549"/>
      <c r="P17011" s="549"/>
    </row>
    <row r="17012" spans="1:16" ht="17.399999999999999">
      <c r="A17012" s="549"/>
      <c r="B17012" s="549" t="s">
        <v>1845</v>
      </c>
      <c r="C17012" s="549"/>
      <c r="D17012" s="549"/>
      <c r="E17012" s="549"/>
      <c r="F17012" s="549"/>
      <c r="G17012" s="549" t="s">
        <v>21</v>
      </c>
      <c r="H17012" s="549" t="s">
        <v>120</v>
      </c>
      <c r="I17012" s="558">
        <v>18.2</v>
      </c>
      <c r="J17012" s="567">
        <v>10.8</v>
      </c>
      <c r="K17012" s="648">
        <v>63</v>
      </c>
      <c r="L17012" s="552">
        <f t="shared" si="3482"/>
        <v>12.383280000000001</v>
      </c>
      <c r="M17012" s="549"/>
      <c r="N17012" s="549"/>
      <c r="O17012" s="549"/>
      <c r="P17012" s="549"/>
    </row>
    <row r="17013" spans="1:16" ht="17.399999999999999">
      <c r="A17013" s="549"/>
      <c r="B17013" s="549"/>
      <c r="C17013" s="549"/>
      <c r="D17013" s="549"/>
      <c r="E17013" s="549"/>
      <c r="F17013" s="549"/>
      <c r="G17013" s="549" t="s">
        <v>21</v>
      </c>
      <c r="H17013" s="549" t="s">
        <v>120</v>
      </c>
      <c r="I17013" s="558">
        <v>18.2</v>
      </c>
      <c r="J17013" s="567">
        <v>11.3</v>
      </c>
      <c r="K17013" s="648">
        <v>57</v>
      </c>
      <c r="L17013" s="552">
        <f t="shared" si="3482"/>
        <v>11.722619999999999</v>
      </c>
      <c r="M17013" s="549"/>
      <c r="N17013" s="549"/>
      <c r="O17013" s="549"/>
      <c r="P17013" s="549"/>
    </row>
    <row r="17014" spans="1:16" ht="17.399999999999999">
      <c r="A17014" s="549"/>
      <c r="B17014" s="549"/>
      <c r="C17014" s="549"/>
      <c r="D17014" s="549"/>
      <c r="E17014" s="549"/>
      <c r="F17014" s="549"/>
      <c r="G17014" s="549"/>
      <c r="H17014" s="549"/>
      <c r="I17014" s="558"/>
      <c r="J17014" s="567"/>
      <c r="K17014" s="648">
        <f>SUM(K17011:K17013)</f>
        <v>136</v>
      </c>
      <c r="L17014" s="567">
        <f>SUM(L17011:L17013)</f>
        <v>26.872299999999999</v>
      </c>
      <c r="M17014" s="549"/>
      <c r="N17014" s="549"/>
      <c r="O17014" s="549"/>
      <c r="P17014" s="549"/>
    </row>
    <row r="17015" spans="1:16" s="1737" customFormat="1" ht="17.399999999999999">
      <c r="A17015" s="549"/>
      <c r="B17015" s="549"/>
      <c r="C17015" s="549"/>
      <c r="D17015" s="549"/>
      <c r="E17015" s="549"/>
      <c r="F17015" s="549"/>
      <c r="G17015" s="549"/>
      <c r="H17015" s="549"/>
      <c r="I17015" s="558"/>
      <c r="J17015" s="567"/>
      <c r="K17015" s="648"/>
      <c r="L17015" s="567"/>
      <c r="M17015" s="549"/>
      <c r="N17015" s="549"/>
      <c r="O17015" s="549"/>
      <c r="P17015" s="549"/>
    </row>
    <row r="17016" spans="1:16" s="1737" customFormat="1" ht="17.399999999999999">
      <c r="A17016" s="549"/>
      <c r="B17016" s="549"/>
      <c r="C17016" s="549"/>
      <c r="D17016" s="549"/>
      <c r="E17016" s="549"/>
      <c r="F17016" s="549"/>
      <c r="G17016" s="549"/>
      <c r="H17016" s="549"/>
      <c r="I17016" s="558"/>
      <c r="J17016" s="567"/>
      <c r="K17016" s="648"/>
      <c r="L17016" s="567"/>
      <c r="M17016" s="549"/>
      <c r="N17016" s="549"/>
      <c r="O17016" s="549"/>
      <c r="P17016" s="549"/>
    </row>
    <row r="17017" spans="1:16" s="1737" customFormat="1" ht="17.399999999999999">
      <c r="A17017" s="549"/>
      <c r="B17017" s="549"/>
      <c r="C17017" s="549"/>
      <c r="D17017" s="549"/>
      <c r="E17017" s="549"/>
      <c r="F17017" s="549"/>
      <c r="G17017" s="549"/>
      <c r="H17017" s="549"/>
      <c r="I17017" s="558"/>
      <c r="J17017" s="567"/>
      <c r="K17017" s="648"/>
      <c r="L17017" s="567"/>
      <c r="M17017" s="549"/>
      <c r="N17017" s="549"/>
      <c r="O17017" s="549"/>
      <c r="P17017" s="549"/>
    </row>
    <row r="17018" spans="1:16" ht="17.399999999999999">
      <c r="A17018" s="547" t="s">
        <v>83</v>
      </c>
      <c r="B17018" s="547" t="s">
        <v>1748</v>
      </c>
      <c r="C17018" s="547" t="s">
        <v>19</v>
      </c>
      <c r="D17018" s="813" t="s">
        <v>854</v>
      </c>
      <c r="E17018" s="650" t="s">
        <v>1884</v>
      </c>
      <c r="F17018" s="549">
        <v>13</v>
      </c>
      <c r="G17018" s="549" t="s">
        <v>21</v>
      </c>
      <c r="H17018" s="549" t="s">
        <v>1454</v>
      </c>
      <c r="I17018" s="558">
        <v>19.899999999999999</v>
      </c>
      <c r="J17018" s="567">
        <v>11.6</v>
      </c>
      <c r="K17018" s="648">
        <v>24</v>
      </c>
      <c r="L17018" s="552">
        <f t="shared" ref="L17018:L17019" si="3483">(I17018*J17018*K17018/1000)</f>
        <v>5.5401600000000002</v>
      </c>
      <c r="M17018" s="549"/>
      <c r="N17018" s="549"/>
      <c r="O17018" s="549"/>
      <c r="P17018" s="549"/>
    </row>
    <row r="17019" spans="1:16" ht="17.399999999999999">
      <c r="A17019" s="549"/>
      <c r="B17019" s="549" t="s">
        <v>52</v>
      </c>
      <c r="C17019" s="549"/>
      <c r="D17019" s="549"/>
      <c r="E17019" s="549"/>
      <c r="F17019" s="549"/>
      <c r="G17019" s="549" t="s">
        <v>21</v>
      </c>
      <c r="H17019" s="549" t="s">
        <v>1454</v>
      </c>
      <c r="I17019" s="558">
        <v>19.899999999999999</v>
      </c>
      <c r="J17019" s="567">
        <v>12</v>
      </c>
      <c r="K17019" s="648">
        <v>12</v>
      </c>
      <c r="L17019" s="552">
        <f t="shared" si="3483"/>
        <v>2.8655999999999997</v>
      </c>
      <c r="M17019" s="549"/>
      <c r="N17019" s="549"/>
      <c r="O17019" s="549"/>
      <c r="P17019" s="549"/>
    </row>
    <row r="17020" spans="1:16" ht="17.399999999999999">
      <c r="A17020" s="549"/>
      <c r="B17020" s="549"/>
      <c r="C17020" s="549"/>
      <c r="D17020" s="549"/>
      <c r="E17020" s="549"/>
      <c r="F17020" s="549"/>
      <c r="G17020" s="549"/>
      <c r="H17020" s="549"/>
      <c r="I17020" s="558"/>
      <c r="J17020" s="567"/>
      <c r="K17020" s="648">
        <f t="shared" ref="K17020:L17020" si="3484">SUM(K17018:K17019)</f>
        <v>36</v>
      </c>
      <c r="L17020" s="567">
        <f t="shared" si="3484"/>
        <v>8.4057600000000008</v>
      </c>
      <c r="M17020" s="549"/>
      <c r="N17020" s="549"/>
      <c r="O17020" s="549"/>
      <c r="P17020" s="549"/>
    </row>
    <row r="17021" spans="1:16" s="1737" customFormat="1" ht="17.399999999999999">
      <c r="A17021" s="549"/>
      <c r="B17021" s="549"/>
      <c r="C17021" s="549"/>
      <c r="D17021" s="549"/>
      <c r="E17021" s="549"/>
      <c r="F17021" s="549"/>
      <c r="G17021" s="549"/>
      <c r="H17021" s="549"/>
      <c r="I17021" s="558"/>
      <c r="J17021" s="567"/>
      <c r="K17021" s="648"/>
      <c r="L17021" s="567"/>
      <c r="M17021" s="549"/>
      <c r="N17021" s="549"/>
      <c r="O17021" s="549"/>
      <c r="P17021" s="549"/>
    </row>
    <row r="17022" spans="1:16" s="1737" customFormat="1" ht="17.399999999999999">
      <c r="A17022" s="549"/>
      <c r="B17022" s="549"/>
      <c r="C17022" s="549"/>
      <c r="D17022" s="549"/>
      <c r="E17022" s="549"/>
      <c r="F17022" s="549"/>
      <c r="G17022" s="549"/>
      <c r="H17022" s="549"/>
      <c r="I17022" s="558"/>
      <c r="J17022" s="567"/>
      <c r="K17022" s="648"/>
      <c r="L17022" s="567"/>
      <c r="M17022" s="549"/>
      <c r="N17022" s="549"/>
      <c r="O17022" s="549"/>
      <c r="P17022" s="549"/>
    </row>
    <row r="17023" spans="1:16" s="1737" customFormat="1" ht="17.399999999999999">
      <c r="A17023" s="549"/>
      <c r="B17023" s="549"/>
      <c r="C17023" s="549"/>
      <c r="D17023" s="549"/>
      <c r="E17023" s="549"/>
      <c r="F17023" s="549"/>
      <c r="G17023" s="549"/>
      <c r="H17023" s="549"/>
      <c r="I17023" s="558"/>
      <c r="J17023" s="567"/>
      <c r="K17023" s="648"/>
      <c r="L17023" s="567"/>
      <c r="M17023" s="549"/>
      <c r="N17023" s="549"/>
      <c r="O17023" s="549"/>
      <c r="P17023" s="549"/>
    </row>
    <row r="17024" spans="1:16" ht="17.399999999999999">
      <c r="A17024" s="547" t="s">
        <v>83</v>
      </c>
      <c r="B17024" s="547" t="s">
        <v>1748</v>
      </c>
      <c r="C17024" s="547" t="s">
        <v>19</v>
      </c>
      <c r="D17024" s="813" t="s">
        <v>854</v>
      </c>
      <c r="E17024" s="650" t="s">
        <v>1884</v>
      </c>
      <c r="F17024" s="549">
        <v>13</v>
      </c>
      <c r="G17024" s="549" t="s">
        <v>21</v>
      </c>
      <c r="H17024" s="549" t="s">
        <v>123</v>
      </c>
      <c r="I17024" s="558">
        <v>16.5</v>
      </c>
      <c r="J17024" s="567">
        <v>6.9</v>
      </c>
      <c r="K17024" s="648">
        <v>720</v>
      </c>
      <c r="L17024" s="552">
        <f t="shared" ref="L17024:L17026" si="3485">(I17024*J17024*K17024/1000)</f>
        <v>81.971999999999994</v>
      </c>
      <c r="M17024" s="549"/>
      <c r="N17024" s="549"/>
      <c r="O17024" s="549"/>
      <c r="P17024" s="549"/>
    </row>
    <row r="17025" spans="1:16" ht="17.399999999999999">
      <c r="A17025" s="549"/>
      <c r="B17025" s="549" t="s">
        <v>52</v>
      </c>
      <c r="C17025" s="549"/>
      <c r="D17025" s="549"/>
      <c r="E17025" s="549"/>
      <c r="F17025" s="549"/>
      <c r="G17025" s="549" t="s">
        <v>21</v>
      </c>
      <c r="H17025" s="549" t="s">
        <v>123</v>
      </c>
      <c r="I17025" s="558">
        <v>16.5</v>
      </c>
      <c r="J17025" s="567">
        <v>9.3000000000000007</v>
      </c>
      <c r="K17025" s="648">
        <v>36</v>
      </c>
      <c r="L17025" s="552">
        <f t="shared" si="3485"/>
        <v>5.5242000000000004</v>
      </c>
      <c r="M17025" s="549"/>
      <c r="N17025" s="549"/>
      <c r="O17025" s="549"/>
      <c r="P17025" s="549"/>
    </row>
    <row r="17026" spans="1:16" ht="17.399999999999999">
      <c r="A17026" s="549"/>
      <c r="B17026" s="549"/>
      <c r="C17026" s="549"/>
      <c r="D17026" s="549"/>
      <c r="E17026" s="549"/>
      <c r="F17026" s="549"/>
      <c r="G17026" s="549" t="s">
        <v>21</v>
      </c>
      <c r="H17026" s="549" t="s">
        <v>123</v>
      </c>
      <c r="I17026" s="558">
        <v>16.5</v>
      </c>
      <c r="J17026" s="567">
        <v>11.1</v>
      </c>
      <c r="K17026" s="648">
        <v>360</v>
      </c>
      <c r="L17026" s="552">
        <f t="shared" si="3485"/>
        <v>65.933999999999997</v>
      </c>
      <c r="M17026" s="549"/>
      <c r="N17026" s="549"/>
      <c r="O17026" s="549"/>
      <c r="P17026" s="549"/>
    </row>
    <row r="17027" spans="1:16" ht="17.399999999999999">
      <c r="A17027" s="549"/>
      <c r="B17027" s="549"/>
      <c r="C17027" s="549"/>
      <c r="D17027" s="549"/>
      <c r="E17027" s="549"/>
      <c r="F17027" s="549"/>
      <c r="G17027" s="549"/>
      <c r="H17027" s="549"/>
      <c r="I17027" s="558"/>
      <c r="J17027" s="567"/>
      <c r="K17027" s="648">
        <f t="shared" ref="K17027" si="3486">SUM(K17024:K17026)</f>
        <v>1116</v>
      </c>
      <c r="L17027" s="567">
        <f>SUM(L17024:L17026)</f>
        <v>153.43019999999999</v>
      </c>
      <c r="M17027" s="549"/>
      <c r="N17027" s="549"/>
      <c r="O17027" s="549"/>
      <c r="P17027" s="549"/>
    </row>
    <row r="17028" spans="1:16" s="1737" customFormat="1" ht="17.399999999999999">
      <c r="A17028" s="549"/>
      <c r="B17028" s="549"/>
      <c r="C17028" s="549"/>
      <c r="D17028" s="549"/>
      <c r="E17028" s="549"/>
      <c r="F17028" s="549"/>
      <c r="G17028" s="549"/>
      <c r="H17028" s="549"/>
      <c r="I17028" s="558"/>
      <c r="J17028" s="567"/>
      <c r="K17028" s="648"/>
      <c r="L17028" s="567"/>
      <c r="M17028" s="549"/>
      <c r="N17028" s="549"/>
      <c r="O17028" s="549"/>
      <c r="P17028" s="549"/>
    </row>
    <row r="17029" spans="1:16" ht="17.399999999999999">
      <c r="A17029" s="549"/>
      <c r="B17029" s="549"/>
      <c r="C17029" s="549"/>
      <c r="D17029" s="549"/>
      <c r="E17029" s="549"/>
      <c r="F17029" s="549"/>
      <c r="G17029" s="549"/>
      <c r="H17029" s="549"/>
      <c r="I17029" s="558"/>
      <c r="J17029" s="549"/>
      <c r="K17029" s="561"/>
      <c r="L17029" s="560"/>
      <c r="M17029" s="549"/>
      <c r="N17029" s="549"/>
      <c r="O17029" s="549"/>
      <c r="P17029" s="549"/>
    </row>
    <row r="17030" spans="1:16" ht="17.399999999999999">
      <c r="A17030" s="547" t="s">
        <v>272</v>
      </c>
      <c r="B17030" s="547" t="s">
        <v>1745</v>
      </c>
      <c r="C17030" s="547" t="s">
        <v>19</v>
      </c>
      <c r="D17030" s="813" t="s">
        <v>854</v>
      </c>
      <c r="E17030" s="547" t="s">
        <v>359</v>
      </c>
      <c r="F17030" s="549">
        <v>13</v>
      </c>
      <c r="G17030" s="549" t="s">
        <v>21</v>
      </c>
      <c r="H17030" s="549" t="s">
        <v>122</v>
      </c>
      <c r="I17030" s="558">
        <v>14.66</v>
      </c>
      <c r="J17030" s="567">
        <v>6</v>
      </c>
      <c r="K17030" s="648">
        <v>4</v>
      </c>
      <c r="L17030" s="552">
        <f t="shared" ref="L17030:L17032" si="3487">(I17030*J17030*K17030/1000)</f>
        <v>0.35184000000000004</v>
      </c>
      <c r="M17030" s="549"/>
      <c r="N17030" s="549"/>
      <c r="O17030" s="549"/>
      <c r="P17030" s="549"/>
    </row>
    <row r="17031" spans="1:16" ht="17.399999999999999">
      <c r="A17031" s="549"/>
      <c r="B17031" s="549" t="s">
        <v>1027</v>
      </c>
      <c r="C17031" s="549"/>
      <c r="D17031" s="549"/>
      <c r="E17031" s="549"/>
      <c r="F17031" s="549"/>
      <c r="G17031" s="549" t="s">
        <v>21</v>
      </c>
      <c r="H17031" s="549" t="s">
        <v>122</v>
      </c>
      <c r="I17031" s="558">
        <v>14.66</v>
      </c>
      <c r="J17031" s="567">
        <v>11</v>
      </c>
      <c r="K17031" s="648">
        <v>4</v>
      </c>
      <c r="L17031" s="552">
        <f t="shared" si="3487"/>
        <v>0.64503999999999995</v>
      </c>
      <c r="M17031" s="549"/>
      <c r="N17031" s="549"/>
      <c r="O17031" s="549"/>
      <c r="P17031" s="549"/>
    </row>
    <row r="17032" spans="1:16" ht="17.399999999999999">
      <c r="A17032" s="549"/>
      <c r="B17032" s="549"/>
      <c r="C17032" s="549"/>
      <c r="D17032" s="549"/>
      <c r="E17032" s="549"/>
      <c r="F17032" s="549"/>
      <c r="G17032" s="549" t="s">
        <v>21</v>
      </c>
      <c r="H17032" s="549" t="s">
        <v>122</v>
      </c>
      <c r="I17032" s="558">
        <v>14.66</v>
      </c>
      <c r="J17032" s="567">
        <v>12</v>
      </c>
      <c r="K17032" s="648">
        <v>5</v>
      </c>
      <c r="L17032" s="552">
        <f t="shared" si="3487"/>
        <v>0.87960000000000016</v>
      </c>
      <c r="M17032" s="549"/>
      <c r="N17032" s="549"/>
      <c r="O17032" s="549"/>
      <c r="P17032" s="549"/>
    </row>
    <row r="17033" spans="1:16" ht="17.399999999999999">
      <c r="A17033" s="549"/>
      <c r="B17033" s="549"/>
      <c r="C17033" s="549"/>
      <c r="D17033" s="549"/>
      <c r="E17033" s="549"/>
      <c r="F17033" s="549"/>
      <c r="G17033" s="549"/>
      <c r="H17033" s="549"/>
      <c r="I17033" s="558"/>
      <c r="J17033" s="567"/>
      <c r="K17033" s="648">
        <f t="shared" ref="K17033:L17033" si="3488">SUM(K17030:K17032)</f>
        <v>13</v>
      </c>
      <c r="L17033" s="567">
        <f t="shared" si="3488"/>
        <v>1.8764800000000001</v>
      </c>
      <c r="M17033" s="549"/>
      <c r="N17033" s="549"/>
      <c r="O17033" s="549"/>
      <c r="P17033" s="549"/>
    </row>
    <row r="17034" spans="1:16" ht="17.399999999999999">
      <c r="A17034" s="549"/>
      <c r="B17034" s="549"/>
      <c r="C17034" s="549"/>
      <c r="D17034" s="549"/>
      <c r="E17034" s="549"/>
      <c r="F17034" s="549"/>
      <c r="G17034" s="549"/>
      <c r="H17034" s="549"/>
      <c r="I17034" s="558"/>
      <c r="J17034" s="549"/>
      <c r="K17034" s="561"/>
      <c r="L17034" s="560"/>
      <c r="M17034" s="549"/>
      <c r="N17034" s="549"/>
      <c r="O17034" s="549"/>
      <c r="P17034" s="549"/>
    </row>
    <row r="17035" spans="1:16" ht="17.399999999999999">
      <c r="A17035" s="547" t="s">
        <v>83</v>
      </c>
      <c r="B17035" s="547" t="s">
        <v>1746</v>
      </c>
      <c r="C17035" s="547" t="s">
        <v>19</v>
      </c>
      <c r="D17035" s="813" t="s">
        <v>854</v>
      </c>
      <c r="E17035" s="650" t="s">
        <v>878</v>
      </c>
      <c r="F17035" s="549">
        <v>13</v>
      </c>
      <c r="G17035" s="549" t="s">
        <v>21</v>
      </c>
      <c r="H17035" s="549" t="s">
        <v>122</v>
      </c>
      <c r="I17035" s="558">
        <v>14.7</v>
      </c>
      <c r="J17035" s="567">
        <v>11.4</v>
      </c>
      <c r="K17035" s="648">
        <v>10</v>
      </c>
      <c r="L17035" s="552">
        <f>(I17035*J17035*K17035/1000)</f>
        <v>1.6757999999999997</v>
      </c>
      <c r="M17035" s="549"/>
      <c r="N17035" s="549"/>
      <c r="O17035" s="549"/>
      <c r="P17035" s="549"/>
    </row>
    <row r="17036" spans="1:16" ht="17.399999999999999">
      <c r="A17036" s="549"/>
      <c r="B17036" s="549" t="s">
        <v>1135</v>
      </c>
      <c r="C17036" s="549"/>
      <c r="D17036" s="549"/>
      <c r="E17036" s="549"/>
      <c r="F17036" s="549"/>
      <c r="G17036" s="549"/>
      <c r="H17036" s="549"/>
      <c r="I17036" s="558"/>
      <c r="J17036" s="567"/>
      <c r="K17036" s="648">
        <f t="shared" ref="K17036:L17036" si="3489">SUM(K17035)</f>
        <v>10</v>
      </c>
      <c r="L17036" s="567">
        <f t="shared" si="3489"/>
        <v>1.6757999999999997</v>
      </c>
      <c r="M17036" s="549"/>
      <c r="N17036" s="549"/>
      <c r="O17036" s="549"/>
      <c r="P17036" s="549"/>
    </row>
    <row r="17037" spans="1:16" ht="17.399999999999999">
      <c r="A17037" s="549"/>
      <c r="B17037" s="549"/>
      <c r="C17037" s="549"/>
      <c r="D17037" s="549"/>
      <c r="E17037" s="549"/>
      <c r="F17037" s="549"/>
      <c r="G17037" s="549"/>
      <c r="H17037" s="549"/>
      <c r="I17037" s="558"/>
      <c r="J17037" s="549"/>
      <c r="K17037" s="561"/>
      <c r="L17037" s="560"/>
      <c r="M17037" s="549"/>
      <c r="N17037" s="549"/>
      <c r="O17037" s="549"/>
      <c r="P17037" s="549"/>
    </row>
    <row r="17038" spans="1:16" ht="17.399999999999999">
      <c r="A17038" s="547" t="s">
        <v>83</v>
      </c>
      <c r="B17038" s="547" t="s">
        <v>1748</v>
      </c>
      <c r="C17038" s="547" t="s">
        <v>19</v>
      </c>
      <c r="D17038" s="813" t="s">
        <v>854</v>
      </c>
      <c r="E17038" s="650" t="s">
        <v>1884</v>
      </c>
      <c r="F17038" s="549">
        <v>13</v>
      </c>
      <c r="G17038" s="549" t="s">
        <v>21</v>
      </c>
      <c r="H17038" s="549" t="s">
        <v>122</v>
      </c>
      <c r="I17038" s="558">
        <v>14.7</v>
      </c>
      <c r="J17038" s="567">
        <v>8.5500000000000007</v>
      </c>
      <c r="K17038" s="648">
        <v>60</v>
      </c>
      <c r="L17038" s="552">
        <f>(I17038*J17038*K17038/1000)</f>
        <v>7.5411000000000001</v>
      </c>
      <c r="M17038" s="549"/>
      <c r="N17038" s="549"/>
      <c r="O17038" s="549"/>
      <c r="P17038" s="549"/>
    </row>
    <row r="17039" spans="1:16" ht="17.399999999999999">
      <c r="A17039" s="549"/>
      <c r="B17039" s="549" t="s">
        <v>52</v>
      </c>
      <c r="C17039" s="549"/>
      <c r="D17039" s="549"/>
      <c r="E17039" s="549"/>
      <c r="F17039" s="549"/>
      <c r="G17039" s="549"/>
      <c r="H17039" s="549"/>
      <c r="I17039" s="558"/>
      <c r="J17039" s="567"/>
      <c r="K17039" s="648">
        <f t="shared" ref="K17039:L17039" si="3490">SUM(K17038)</f>
        <v>60</v>
      </c>
      <c r="L17039" s="567">
        <f t="shared" si="3490"/>
        <v>7.5411000000000001</v>
      </c>
      <c r="M17039" s="549"/>
      <c r="N17039" s="549"/>
      <c r="O17039" s="549"/>
      <c r="P17039" s="549"/>
    </row>
    <row r="17040" spans="1:16" ht="17.399999999999999">
      <c r="A17040" s="549"/>
      <c r="B17040" s="549"/>
      <c r="C17040" s="549"/>
      <c r="D17040" s="549"/>
      <c r="E17040" s="549"/>
      <c r="F17040" s="549"/>
      <c r="G17040" s="549"/>
      <c r="H17040" s="549"/>
      <c r="I17040" s="558"/>
      <c r="J17040" s="549"/>
      <c r="K17040" s="652">
        <f>SUM(K17030:K17039)/2</f>
        <v>83</v>
      </c>
      <c r="L17040" s="565">
        <f>SUM(L17030:L17039)/2</f>
        <v>11.09338</v>
      </c>
      <c r="M17040" s="549"/>
      <c r="N17040" s="549"/>
      <c r="O17040" s="549"/>
      <c r="P17040" s="549"/>
    </row>
    <row r="17041" spans="1:16" ht="17.399999999999999">
      <c r="A17041" s="549"/>
      <c r="B17041" s="549"/>
      <c r="C17041" s="549"/>
      <c r="D17041" s="549"/>
      <c r="E17041" s="549"/>
      <c r="F17041" s="549"/>
      <c r="G17041" s="549"/>
      <c r="H17041" s="549"/>
      <c r="I17041" s="558"/>
      <c r="J17041" s="549"/>
      <c r="K17041" s="561"/>
      <c r="L17041" s="560"/>
      <c r="M17041" s="549"/>
      <c r="N17041" s="549"/>
      <c r="O17041" s="549"/>
      <c r="P17041" s="549"/>
    </row>
    <row r="17042" spans="1:16" ht="17.399999999999999">
      <c r="A17042" s="549"/>
      <c r="B17042" s="549"/>
      <c r="C17042" s="549"/>
      <c r="D17042" s="549"/>
      <c r="E17042" s="549"/>
      <c r="F17042" s="549"/>
      <c r="G17042" s="549"/>
      <c r="H17042" s="549"/>
      <c r="I17042" s="558"/>
      <c r="J17042" s="549"/>
      <c r="K17042" s="561"/>
      <c r="L17042" s="560"/>
      <c r="M17042" s="549"/>
      <c r="N17042" s="549"/>
      <c r="O17042" s="549"/>
      <c r="P17042" s="549"/>
    </row>
    <row r="17043" spans="1:16" ht="17.399999999999999">
      <c r="A17043" s="547" t="s">
        <v>83</v>
      </c>
      <c r="B17043" s="547" t="s">
        <v>1816</v>
      </c>
      <c r="C17043" s="547" t="s">
        <v>19</v>
      </c>
      <c r="D17043" s="813" t="s">
        <v>854</v>
      </c>
      <c r="E17043" s="768" t="s">
        <v>57</v>
      </c>
      <c r="F17043" s="549">
        <v>13</v>
      </c>
      <c r="G17043" s="549" t="s">
        <v>21</v>
      </c>
      <c r="H17043" s="549" t="s">
        <v>122</v>
      </c>
      <c r="I17043" s="558">
        <v>14.7</v>
      </c>
      <c r="J17043" s="567">
        <v>12</v>
      </c>
      <c r="K17043" s="648">
        <v>2</v>
      </c>
      <c r="L17043" s="552">
        <f>(I17043*J17043*K17043/1000)</f>
        <v>0.35279999999999995</v>
      </c>
      <c r="M17043" s="549"/>
      <c r="N17043" s="549"/>
      <c r="O17043" s="549"/>
      <c r="P17043" s="549"/>
    </row>
    <row r="17044" spans="1:16" ht="17.399999999999999">
      <c r="A17044" s="549"/>
      <c r="B17044" s="549" t="s">
        <v>1815</v>
      </c>
      <c r="C17044" s="549"/>
      <c r="D17044" s="549"/>
      <c r="E17044" s="549"/>
      <c r="F17044" s="549"/>
      <c r="G17044" s="549"/>
      <c r="H17044" s="549"/>
      <c r="I17044" s="558"/>
      <c r="J17044" s="567"/>
      <c r="K17044" s="648">
        <f t="shared" ref="K17044:L17044" si="3491">SUM(K17043)</f>
        <v>2</v>
      </c>
      <c r="L17044" s="567">
        <f t="shared" si="3491"/>
        <v>0.35279999999999995</v>
      </c>
      <c r="M17044" s="549"/>
      <c r="N17044" s="549"/>
      <c r="O17044" s="549"/>
      <c r="P17044" s="549"/>
    </row>
    <row r="17045" spans="1:16" ht="17.399999999999999">
      <c r="A17045" s="549"/>
      <c r="B17045" s="549"/>
      <c r="C17045" s="549"/>
      <c r="D17045" s="549"/>
      <c r="E17045" s="549"/>
      <c r="F17045" s="549"/>
      <c r="G17045" s="549"/>
      <c r="H17045" s="549"/>
      <c r="I17045" s="558"/>
      <c r="J17045" s="549"/>
      <c r="K17045" s="561"/>
      <c r="L17045" s="560"/>
      <c r="M17045" s="549"/>
      <c r="N17045" s="549"/>
      <c r="O17045" s="549"/>
      <c r="P17045" s="549"/>
    </row>
    <row r="17046" spans="1:16" ht="17.399999999999999">
      <c r="A17046" s="547" t="s">
        <v>272</v>
      </c>
      <c r="B17046" s="547" t="s">
        <v>1850</v>
      </c>
      <c r="C17046" s="547" t="s">
        <v>19</v>
      </c>
      <c r="D17046" s="813" t="s">
        <v>854</v>
      </c>
      <c r="E17046" s="780" t="s">
        <v>1028</v>
      </c>
      <c r="F17046" s="549">
        <v>13</v>
      </c>
      <c r="G17046" s="549" t="s">
        <v>21</v>
      </c>
      <c r="H17046" s="549" t="s">
        <v>122</v>
      </c>
      <c r="I17046" s="558">
        <v>14.66</v>
      </c>
      <c r="J17046" s="567">
        <v>6</v>
      </c>
      <c r="K17046" s="648">
        <v>1</v>
      </c>
      <c r="L17046" s="552">
        <f>(I17046*J17046*K17046/1000)</f>
        <v>8.796000000000001E-2</v>
      </c>
      <c r="M17046" s="549"/>
      <c r="N17046" s="549"/>
      <c r="O17046" s="549"/>
      <c r="P17046" s="549"/>
    </row>
    <row r="17047" spans="1:16" ht="17.399999999999999">
      <c r="A17047" s="549"/>
      <c r="B17047" s="549" t="s">
        <v>1027</v>
      </c>
      <c r="C17047" s="549"/>
      <c r="D17047" s="549"/>
      <c r="E17047" s="549"/>
      <c r="F17047" s="549"/>
      <c r="G17047" s="549"/>
      <c r="H17047" s="549"/>
      <c r="I17047" s="558"/>
      <c r="J17047" s="567"/>
      <c r="K17047" s="648">
        <f t="shared" ref="K17047:L17047" si="3492">SUM(K17046)</f>
        <v>1</v>
      </c>
      <c r="L17047" s="567">
        <f t="shared" si="3492"/>
        <v>8.796000000000001E-2</v>
      </c>
      <c r="M17047" s="549"/>
      <c r="N17047" s="549"/>
      <c r="O17047" s="549"/>
      <c r="P17047" s="549"/>
    </row>
    <row r="17048" spans="1:16" s="1737" customFormat="1" ht="17.399999999999999">
      <c r="A17048" s="549"/>
      <c r="B17048" s="549"/>
      <c r="C17048" s="549"/>
      <c r="D17048" s="549"/>
      <c r="E17048" s="549"/>
      <c r="F17048" s="549"/>
      <c r="G17048" s="549"/>
      <c r="H17048" s="549"/>
      <c r="I17048" s="558"/>
      <c r="J17048" s="567"/>
      <c r="K17048" s="648">
        <f>SUM(K17043:K17047)/2</f>
        <v>3</v>
      </c>
      <c r="L17048" s="567">
        <f>SUM(L17043:L17047)/2</f>
        <v>0.44075999999999999</v>
      </c>
      <c r="M17048" s="549"/>
      <c r="N17048" s="549"/>
      <c r="O17048" s="549"/>
      <c r="P17048" s="549"/>
    </row>
    <row r="17049" spans="1:16" s="1737" customFormat="1" ht="17.399999999999999">
      <c r="A17049" s="549"/>
      <c r="B17049" s="549"/>
      <c r="C17049" s="549"/>
      <c r="D17049" s="549"/>
      <c r="E17049" s="549"/>
      <c r="F17049" s="549"/>
      <c r="G17049" s="549"/>
      <c r="H17049" s="549"/>
      <c r="I17049" s="558"/>
      <c r="J17049" s="567"/>
      <c r="K17049" s="648"/>
      <c r="L17049" s="567"/>
      <c r="M17049" s="549"/>
      <c r="N17049" s="549"/>
      <c r="O17049" s="549"/>
      <c r="P17049" s="549"/>
    </row>
    <row r="17050" spans="1:16" s="1737" customFormat="1" ht="17.399999999999999">
      <c r="A17050" s="549"/>
      <c r="B17050" s="549"/>
      <c r="C17050" s="549"/>
      <c r="D17050" s="549"/>
      <c r="E17050" s="549"/>
      <c r="F17050" s="549"/>
      <c r="G17050" s="549"/>
      <c r="H17050" s="549"/>
      <c r="I17050" s="558"/>
      <c r="J17050" s="567"/>
      <c r="K17050" s="648"/>
      <c r="L17050" s="567"/>
      <c r="M17050" s="549"/>
      <c r="N17050" s="549"/>
      <c r="O17050" s="549"/>
      <c r="P17050" s="549"/>
    </row>
    <row r="17051" spans="1:16" ht="17.399999999999999">
      <c r="A17051" s="547" t="s">
        <v>272</v>
      </c>
      <c r="B17051" s="547" t="s">
        <v>1900</v>
      </c>
      <c r="C17051" s="547" t="s">
        <v>19</v>
      </c>
      <c r="D17051" s="813" t="s">
        <v>155</v>
      </c>
      <c r="E17051" s="547" t="s">
        <v>270</v>
      </c>
      <c r="F17051" s="549">
        <v>13</v>
      </c>
      <c r="G17051" s="549" t="s">
        <v>61</v>
      </c>
      <c r="H17051" s="549" t="s">
        <v>120</v>
      </c>
      <c r="I17051" s="558">
        <v>18.149999999999999</v>
      </c>
      <c r="J17051" s="567">
        <v>6</v>
      </c>
      <c r="K17051" s="648">
        <v>1</v>
      </c>
      <c r="L17051" s="552">
        <f>(I17051*J17051*K17051/1000)</f>
        <v>0.1089</v>
      </c>
      <c r="M17051" s="549"/>
      <c r="N17051" s="549"/>
      <c r="O17051" s="549"/>
      <c r="P17051" s="549"/>
    </row>
    <row r="17052" spans="1:16" ht="17.399999999999999">
      <c r="A17052" s="549"/>
      <c r="B17052" s="549" t="s">
        <v>333</v>
      </c>
      <c r="C17052" s="549"/>
      <c r="D17052" s="549"/>
      <c r="E17052" s="549"/>
      <c r="F17052" s="549"/>
      <c r="G17052" s="549"/>
      <c r="H17052" s="549"/>
      <c r="I17052" s="558"/>
      <c r="J17052" s="567"/>
      <c r="K17052" s="648">
        <f t="shared" ref="K17052" si="3493">SUM(K17051)</f>
        <v>1</v>
      </c>
      <c r="L17052" s="567">
        <f>SUM(L17051)</f>
        <v>0.1089</v>
      </c>
      <c r="M17052" s="549"/>
      <c r="N17052" s="549"/>
      <c r="O17052" s="549"/>
      <c r="P17052" s="549"/>
    </row>
    <row r="17053" spans="1:16" ht="17.399999999999999">
      <c r="A17053" s="549"/>
      <c r="B17053" s="549"/>
      <c r="C17053" s="549"/>
      <c r="D17053" s="549"/>
      <c r="E17053" s="549"/>
      <c r="F17053" s="549"/>
      <c r="G17053" s="549"/>
      <c r="H17053" s="549"/>
      <c r="I17053" s="558"/>
      <c r="J17053" s="549"/>
      <c r="K17053" s="561"/>
      <c r="L17053" s="560"/>
      <c r="M17053" s="549"/>
      <c r="N17053" s="549"/>
      <c r="O17053" s="549"/>
      <c r="P17053" s="549"/>
    </row>
    <row r="17054" spans="1:16" ht="17.399999999999999">
      <c r="A17054" s="547" t="s">
        <v>272</v>
      </c>
      <c r="B17054" s="547" t="s">
        <v>1725</v>
      </c>
      <c r="C17054" s="547" t="s">
        <v>19</v>
      </c>
      <c r="D17054" s="813" t="s">
        <v>155</v>
      </c>
      <c r="E17054" s="547" t="s">
        <v>270</v>
      </c>
      <c r="F17054" s="549">
        <v>13</v>
      </c>
      <c r="G17054" s="549" t="s">
        <v>61</v>
      </c>
      <c r="H17054" s="549" t="s">
        <v>122</v>
      </c>
      <c r="I17054" s="558">
        <v>14.66</v>
      </c>
      <c r="J17054" s="567">
        <v>9.5</v>
      </c>
      <c r="K17054" s="648">
        <v>14</v>
      </c>
      <c r="L17054" s="552">
        <f>(I17054*J17054*K17054/1000)</f>
        <v>1.9497800000000003</v>
      </c>
      <c r="M17054" s="549"/>
      <c r="N17054" s="549"/>
      <c r="O17054" s="549"/>
      <c r="P17054" s="549"/>
    </row>
    <row r="17055" spans="1:16" ht="17.399999999999999">
      <c r="A17055" s="549"/>
      <c r="B17055" s="549" t="s">
        <v>1780</v>
      </c>
      <c r="C17055" s="549"/>
      <c r="D17055" s="549"/>
      <c r="E17055" s="549"/>
      <c r="F17055" s="549"/>
      <c r="G17055" s="549" t="s">
        <v>61</v>
      </c>
      <c r="H17055" s="549" t="s">
        <v>122</v>
      </c>
      <c r="I17055" s="558">
        <v>14.66</v>
      </c>
      <c r="J17055" s="567">
        <v>11.5</v>
      </c>
      <c r="K17055" s="648">
        <v>4</v>
      </c>
      <c r="L17055" s="552">
        <f>(I17055*J17055*K17055/1000)</f>
        <v>0.67435999999999996</v>
      </c>
      <c r="M17055" s="549"/>
      <c r="N17055" s="549"/>
      <c r="O17055" s="549"/>
      <c r="P17055" s="549"/>
    </row>
    <row r="17056" spans="1:16" ht="17.399999999999999">
      <c r="A17056" s="549"/>
      <c r="B17056" s="549"/>
      <c r="C17056" s="549"/>
      <c r="D17056" s="549"/>
      <c r="E17056" s="549"/>
      <c r="F17056" s="549"/>
      <c r="G17056" s="549"/>
      <c r="H17056" s="549"/>
      <c r="I17056" s="647"/>
      <c r="J17056" s="567"/>
      <c r="K17056" s="648">
        <f t="shared" ref="K17056" si="3494">SUM(K17054:K17055)</f>
        <v>18</v>
      </c>
      <c r="L17056" s="567">
        <f>SUM(L17054:L17055)</f>
        <v>2.6241400000000001</v>
      </c>
      <c r="M17056" s="549"/>
      <c r="N17056" s="549"/>
      <c r="O17056" s="549"/>
      <c r="P17056" s="549"/>
    </row>
    <row r="17057" spans="1:16" ht="17.399999999999999">
      <c r="A17057" s="549"/>
      <c r="B17057" s="549"/>
      <c r="C17057" s="549"/>
      <c r="D17057" s="549"/>
      <c r="E17057" s="549"/>
      <c r="F17057" s="549"/>
      <c r="G17057" s="549"/>
      <c r="H17057" s="549"/>
      <c r="I17057" s="560"/>
      <c r="J17057" s="549"/>
      <c r="K17057" s="561"/>
      <c r="L17057" s="560"/>
      <c r="M17057" s="549"/>
      <c r="N17057" s="549"/>
      <c r="O17057" s="549"/>
      <c r="P17057" s="549"/>
    </row>
    <row r="17058" spans="1:16" ht="17.399999999999999">
      <c r="A17058" s="549"/>
      <c r="B17058" s="549"/>
      <c r="C17058" s="549"/>
      <c r="D17058" s="549"/>
      <c r="E17058" s="549"/>
      <c r="F17058" s="549"/>
      <c r="G17058" s="549"/>
      <c r="H17058" s="549"/>
      <c r="I17058" s="560"/>
      <c r="J17058" s="549"/>
      <c r="K17058" s="561"/>
      <c r="L17058" s="560"/>
      <c r="M17058" s="549"/>
      <c r="N17058" s="549"/>
      <c r="O17058" s="549"/>
      <c r="P17058" s="549"/>
    </row>
    <row r="17059" spans="1:16" s="1737" customFormat="1" ht="17.399999999999999">
      <c r="A17059" s="549"/>
      <c r="B17059" s="549"/>
      <c r="C17059" s="549"/>
      <c r="D17059" s="549"/>
      <c r="E17059" s="549"/>
      <c r="F17059" s="549"/>
      <c r="G17059" s="549"/>
      <c r="H17059" s="549"/>
      <c r="I17059" s="560"/>
      <c r="J17059" s="549"/>
      <c r="K17059" s="561"/>
      <c r="L17059" s="560"/>
      <c r="M17059" s="549"/>
      <c r="N17059" s="549"/>
      <c r="O17059" s="549"/>
      <c r="P17059" s="549"/>
    </row>
    <row r="17060" spans="1:16" s="1737" customFormat="1" ht="17.399999999999999">
      <c r="A17060" s="549"/>
      <c r="B17060" s="549"/>
      <c r="C17060" s="549"/>
      <c r="D17060" s="549"/>
      <c r="E17060" s="549"/>
      <c r="F17060" s="549"/>
      <c r="G17060" s="549"/>
      <c r="H17060" s="549"/>
      <c r="I17060" s="560"/>
      <c r="J17060" s="549"/>
      <c r="K17060" s="561"/>
      <c r="L17060" s="560"/>
      <c r="M17060" s="549"/>
      <c r="N17060" s="549"/>
      <c r="O17060" s="549"/>
      <c r="P17060" s="549"/>
    </row>
    <row r="17061" spans="1:16" ht="17.399999999999999">
      <c r="A17061" s="549"/>
      <c r="B17061" s="549"/>
      <c r="C17061" s="549"/>
      <c r="D17061" s="549"/>
      <c r="E17061" s="549"/>
      <c r="F17061" s="549"/>
      <c r="G17061" s="549"/>
      <c r="H17061" s="549"/>
      <c r="I17061" s="560"/>
      <c r="J17061" s="549"/>
      <c r="K17061" s="561"/>
      <c r="L17061" s="568">
        <f>+L17056+L17052+L17048+L17040+L17027+L17020+L17014+L17008</f>
        <v>248.14274499999999</v>
      </c>
      <c r="M17061" s="549"/>
      <c r="N17061" s="549"/>
      <c r="O17061" s="549"/>
      <c r="P17061" s="549"/>
    </row>
    <row r="17062" spans="1:16" s="1737" customFormat="1" ht="17.399999999999999">
      <c r="A17062" s="1059"/>
      <c r="B17062" s="1059"/>
      <c r="C17062" s="1059"/>
      <c r="D17062" s="1059"/>
      <c r="E17062" s="1059"/>
      <c r="F17062" s="1059"/>
      <c r="G17062" s="1059"/>
      <c r="H17062" s="1059"/>
      <c r="I17062" s="1071"/>
      <c r="J17062" s="1059"/>
      <c r="K17062" s="1962"/>
      <c r="L17062" s="1965"/>
      <c r="M17062" s="1059"/>
      <c r="N17062" s="1059"/>
      <c r="O17062" s="1059"/>
      <c r="P17062" s="1059"/>
    </row>
    <row r="17063" spans="1:16" s="1737" customFormat="1" ht="17.399999999999999">
      <c r="A17063" s="1059"/>
      <c r="B17063" s="1059"/>
      <c r="C17063" s="1059"/>
      <c r="D17063" s="1059"/>
      <c r="E17063" s="1059"/>
      <c r="F17063" s="1059"/>
      <c r="G17063" s="1059"/>
      <c r="H17063" s="1059"/>
      <c r="I17063" s="1071"/>
      <c r="J17063" s="1059"/>
      <c r="K17063" s="1962"/>
      <c r="L17063" s="1965"/>
      <c r="M17063" s="1059"/>
      <c r="N17063" s="1059"/>
      <c r="O17063" s="1059"/>
      <c r="P17063" s="1059"/>
    </row>
    <row r="17064" spans="1:16" s="1737" customFormat="1" ht="17.399999999999999">
      <c r="A17064" s="1059"/>
      <c r="B17064" s="1059"/>
      <c r="C17064" s="1059"/>
      <c r="D17064" s="1059"/>
      <c r="E17064" s="1059"/>
      <c r="F17064" s="1059"/>
      <c r="G17064" s="1059"/>
      <c r="H17064" s="1059"/>
      <c r="I17064" s="1071"/>
      <c r="J17064" s="1059"/>
      <c r="K17064" s="1962"/>
      <c r="L17064" s="1965"/>
      <c r="M17064" s="1059"/>
      <c r="N17064" s="1059"/>
      <c r="O17064" s="1059"/>
      <c r="P17064" s="1059"/>
    </row>
    <row r="17065" spans="1:16" s="1737" customFormat="1" ht="17.399999999999999">
      <c r="A17065" s="1059"/>
      <c r="B17065" s="1059"/>
      <c r="C17065" s="1059"/>
      <c r="D17065" s="1059"/>
      <c r="E17065" s="1059"/>
      <c r="F17065" s="1059"/>
      <c r="G17065" s="1059"/>
      <c r="H17065" s="1059"/>
      <c r="I17065" s="1071"/>
      <c r="J17065" s="1059"/>
      <c r="K17065" s="1962"/>
      <c r="L17065" s="1965"/>
      <c r="M17065" s="1059"/>
      <c r="N17065" s="1059"/>
      <c r="O17065" s="1059"/>
      <c r="P17065" s="1059"/>
    </row>
    <row r="17066" spans="1:16" s="1737" customFormat="1" ht="17.399999999999999">
      <c r="A17066" s="1059"/>
      <c r="B17066" s="1059"/>
      <c r="C17066" s="1059"/>
      <c r="D17066" s="1059"/>
      <c r="E17066" s="1059"/>
      <c r="F17066" s="1059"/>
      <c r="G17066" s="1059"/>
      <c r="H17066" s="1059"/>
      <c r="I17066" s="1071"/>
      <c r="J17066" s="1059"/>
      <c r="K17066" s="1962"/>
      <c r="L17066" s="1965"/>
      <c r="M17066" s="1059"/>
      <c r="N17066" s="1059"/>
      <c r="O17066" s="1059"/>
      <c r="P17066" s="1059"/>
    </row>
    <row r="17067" spans="1:16" s="1737" customFormat="1" ht="17.399999999999999">
      <c r="A17067" s="1059"/>
      <c r="B17067" s="1059"/>
      <c r="C17067" s="1059"/>
      <c r="D17067" s="1059"/>
      <c r="E17067" s="1059"/>
      <c r="F17067" s="1059"/>
      <c r="G17067" s="1059"/>
      <c r="H17067" s="1059"/>
      <c r="I17067" s="1071"/>
      <c r="J17067" s="1059"/>
      <c r="K17067" s="1962"/>
      <c r="L17067" s="1965"/>
      <c r="M17067" s="1059"/>
      <c r="N17067" s="1059"/>
      <c r="O17067" s="1059"/>
      <c r="P17067" s="1059"/>
    </row>
    <row r="17068" spans="1:16" s="1737" customFormat="1" ht="17.399999999999999">
      <c r="A17068" s="1059"/>
      <c r="B17068" s="1059"/>
      <c r="C17068" s="1059"/>
      <c r="D17068" s="1059"/>
      <c r="E17068" s="1059"/>
      <c r="F17068" s="1059"/>
      <c r="G17068" s="1059"/>
      <c r="H17068" s="1059"/>
      <c r="I17068" s="1071"/>
      <c r="J17068" s="1059"/>
      <c r="K17068" s="1962"/>
      <c r="L17068" s="1965"/>
      <c r="M17068" s="1059"/>
      <c r="N17068" s="1059"/>
      <c r="O17068" s="1059"/>
      <c r="P17068" s="1059"/>
    </row>
    <row r="17072" spans="1:16" ht="17.399999999999999">
      <c r="A17072" s="711" t="s">
        <v>48</v>
      </c>
      <c r="B17072" s="711"/>
      <c r="C17072" s="712"/>
      <c r="D17072" s="712"/>
      <c r="E17072" s="712"/>
      <c r="F17072" s="713"/>
      <c r="G17072" s="712"/>
      <c r="H17072" s="712"/>
      <c r="I17072" s="714"/>
      <c r="J17072" s="715"/>
      <c r="K17072" s="716"/>
      <c r="L17072" s="1978" t="s">
        <v>0</v>
      </c>
      <c r="M17072" s="1978"/>
      <c r="N17072" s="1978"/>
      <c r="O17072" s="1978"/>
      <c r="P17072" s="717"/>
    </row>
    <row r="17073" spans="1:16" ht="17.399999999999999">
      <c r="A17073" s="718" t="s">
        <v>1</v>
      </c>
      <c r="B17073" s="718"/>
      <c r="C17073" s="718"/>
      <c r="D17073" s="719" t="s">
        <v>2</v>
      </c>
      <c r="E17073" s="719"/>
      <c r="F17073" s="720"/>
      <c r="G17073" s="720"/>
      <c r="H17073" s="720"/>
      <c r="I17073" s="721"/>
      <c r="J17073" s="1955"/>
      <c r="K17073" s="723" t="s">
        <v>3</v>
      </c>
      <c r="L17073" s="1955"/>
      <c r="M17073" s="718"/>
      <c r="N17073" s="720"/>
      <c r="O17073" s="718"/>
      <c r="P17073" s="724"/>
    </row>
    <row r="17074" spans="1:16" ht="52.2">
      <c r="A17074" s="640" t="s">
        <v>4</v>
      </c>
      <c r="B17074" s="640" t="s">
        <v>5</v>
      </c>
      <c r="C17074" s="640" t="s">
        <v>6</v>
      </c>
      <c r="D17074" s="640" t="s">
        <v>7</v>
      </c>
      <c r="E17074" s="640" t="s">
        <v>8</v>
      </c>
      <c r="F17074" s="641" t="s">
        <v>9</v>
      </c>
      <c r="G17074" s="642" t="s">
        <v>10</v>
      </c>
      <c r="H17074" s="642" t="s">
        <v>11</v>
      </c>
      <c r="I17074" s="643" t="s">
        <v>12</v>
      </c>
      <c r="J17074" s="644" t="s">
        <v>13</v>
      </c>
      <c r="K17074" s="645" t="s">
        <v>14</v>
      </c>
      <c r="L17074" s="646" t="s">
        <v>15</v>
      </c>
      <c r="M17074" s="641" t="s">
        <v>16</v>
      </c>
      <c r="N17074" s="641" t="s">
        <v>17</v>
      </c>
      <c r="O17074" s="642" t="s">
        <v>18</v>
      </c>
      <c r="P17074" s="641" t="s">
        <v>192</v>
      </c>
    </row>
    <row r="17076" spans="1:16" ht="17.399999999999999">
      <c r="A17076" s="547" t="s">
        <v>83</v>
      </c>
      <c r="B17076" s="547" t="s">
        <v>1902</v>
      </c>
      <c r="C17076" s="547" t="s">
        <v>19</v>
      </c>
      <c r="D17076" s="813" t="s">
        <v>854</v>
      </c>
      <c r="E17076" s="768" t="s">
        <v>175</v>
      </c>
      <c r="F17076" s="549"/>
      <c r="G17076" s="549" t="s">
        <v>21</v>
      </c>
      <c r="H17076" s="549" t="s">
        <v>126</v>
      </c>
      <c r="I17076" s="647">
        <v>23.6</v>
      </c>
      <c r="J17076" s="567">
        <v>6</v>
      </c>
      <c r="K17076" s="648">
        <v>1</v>
      </c>
      <c r="L17076" s="552">
        <f>(I17076*J17076*K17076/1000)</f>
        <v>0.14160000000000003</v>
      </c>
      <c r="M17076" s="549"/>
      <c r="N17076" s="549"/>
      <c r="O17076" s="549"/>
      <c r="P17076" s="549"/>
    </row>
    <row r="17077" spans="1:16" ht="17.399999999999999">
      <c r="A17077" s="549"/>
      <c r="B17077" s="549" t="s">
        <v>1135</v>
      </c>
      <c r="C17077" s="549"/>
      <c r="D17077" s="549"/>
      <c r="E17077" s="549"/>
      <c r="F17077" s="549"/>
      <c r="G17077" s="549" t="s">
        <v>21</v>
      </c>
      <c r="H17077" s="549" t="s">
        <v>126</v>
      </c>
      <c r="I17077" s="647">
        <v>23.6</v>
      </c>
      <c r="J17077" s="567">
        <v>7.2</v>
      </c>
      <c r="K17077" s="648">
        <v>7</v>
      </c>
      <c r="L17077" s="552">
        <f>(I17077*J17077*K17077/1000)</f>
        <v>1.1894400000000001</v>
      </c>
      <c r="M17077" s="549"/>
      <c r="N17077" s="549"/>
      <c r="O17077" s="549"/>
      <c r="P17077" s="549"/>
    </row>
    <row r="17078" spans="1:16" ht="17.399999999999999">
      <c r="A17078" s="549"/>
      <c r="B17078" s="549"/>
      <c r="C17078" s="549"/>
      <c r="D17078" s="549"/>
      <c r="E17078" s="549"/>
      <c r="F17078" s="549"/>
      <c r="G17078" s="549" t="s">
        <v>21</v>
      </c>
      <c r="H17078" s="549" t="s">
        <v>126</v>
      </c>
      <c r="I17078" s="647">
        <v>23.6</v>
      </c>
      <c r="J17078" s="567">
        <v>10.199999999999999</v>
      </c>
      <c r="K17078" s="648">
        <v>4</v>
      </c>
      <c r="L17078" s="552">
        <f>(I17078*J17078*K17078/1000)</f>
        <v>0.96287999999999996</v>
      </c>
      <c r="M17078" s="549"/>
      <c r="N17078" s="549"/>
      <c r="O17078" s="549"/>
      <c r="P17078" s="549"/>
    </row>
    <row r="17079" spans="1:16" ht="17.399999999999999">
      <c r="A17079" s="549"/>
      <c r="B17079" s="549"/>
      <c r="C17079" s="549"/>
      <c r="D17079" s="549"/>
      <c r="E17079" s="549"/>
      <c r="F17079" s="549"/>
      <c r="G17079" s="549" t="s">
        <v>21</v>
      </c>
      <c r="H17079" s="549" t="s">
        <v>126</v>
      </c>
      <c r="I17079" s="647">
        <v>23.6</v>
      </c>
      <c r="J17079" s="567">
        <v>10.25</v>
      </c>
      <c r="K17079" s="648">
        <v>11</v>
      </c>
      <c r="L17079" s="552">
        <f>(I17079*J17079*K17079/1000)</f>
        <v>2.6609000000000003</v>
      </c>
      <c r="M17079" s="549"/>
      <c r="N17079" s="549"/>
      <c r="O17079" s="549"/>
      <c r="P17079" s="549"/>
    </row>
    <row r="17080" spans="1:16" ht="17.399999999999999">
      <c r="A17080" s="549"/>
      <c r="B17080" s="549"/>
      <c r="C17080" s="549"/>
      <c r="D17080" s="549"/>
      <c r="E17080" s="549"/>
      <c r="F17080" s="549"/>
      <c r="G17080" s="549"/>
      <c r="H17080" s="549"/>
      <c r="I17080" s="647"/>
      <c r="J17080" s="567"/>
      <c r="K17080" s="648">
        <f>SUM(K17076:K17079)</f>
        <v>23</v>
      </c>
      <c r="L17080" s="567">
        <f>SUM(L17076:L17079)</f>
        <v>4.9548199999999998</v>
      </c>
      <c r="M17080" s="549"/>
      <c r="N17080" s="549"/>
      <c r="O17080" s="549"/>
      <c r="P17080" s="549"/>
    </row>
    <row r="17081" spans="1:16" s="1737" customFormat="1" ht="17.399999999999999">
      <c r="A17081" s="549"/>
      <c r="B17081" s="549"/>
      <c r="C17081" s="549"/>
      <c r="D17081" s="549"/>
      <c r="E17081" s="549"/>
      <c r="F17081" s="549"/>
      <c r="G17081" s="549"/>
      <c r="H17081" s="549"/>
      <c r="I17081" s="647"/>
      <c r="J17081" s="567"/>
      <c r="K17081" s="648"/>
      <c r="L17081" s="567"/>
      <c r="M17081" s="549"/>
      <c r="N17081" s="549"/>
      <c r="O17081" s="549"/>
      <c r="P17081" s="549"/>
    </row>
    <row r="17082" spans="1:16" ht="17.399999999999999">
      <c r="A17082" s="549"/>
      <c r="B17082" s="549"/>
      <c r="C17082" s="549"/>
      <c r="D17082" s="549"/>
      <c r="E17082" s="549"/>
      <c r="F17082" s="549"/>
      <c r="G17082" s="549"/>
      <c r="H17082" s="549"/>
      <c r="I17082" s="560"/>
      <c r="J17082" s="549"/>
      <c r="K17082" s="561"/>
      <c r="L17082" s="560"/>
      <c r="M17082" s="549"/>
      <c r="N17082" s="549"/>
      <c r="O17082" s="549"/>
      <c r="P17082" s="549"/>
    </row>
    <row r="17083" spans="1:16" ht="17.399999999999999">
      <c r="A17083" s="547" t="s">
        <v>541</v>
      </c>
      <c r="B17083" s="547" t="s">
        <v>1904</v>
      </c>
      <c r="C17083" s="547" t="s">
        <v>19</v>
      </c>
      <c r="D17083" s="813" t="s">
        <v>854</v>
      </c>
      <c r="E17083" s="768" t="s">
        <v>57</v>
      </c>
      <c r="F17083" s="549"/>
      <c r="G17083" s="549" t="s">
        <v>21</v>
      </c>
      <c r="H17083" s="549" t="s">
        <v>126</v>
      </c>
      <c r="I17083" s="647">
        <v>23.6</v>
      </c>
      <c r="J17083" s="567">
        <v>9.6999999999999993</v>
      </c>
      <c r="K17083" s="648">
        <v>31</v>
      </c>
      <c r="L17083" s="552">
        <f>(I17083*J17083*K17083/1000)</f>
        <v>7.0965199999999999</v>
      </c>
      <c r="M17083" s="549"/>
      <c r="N17083" s="549"/>
      <c r="O17083" s="549"/>
      <c r="P17083" s="549"/>
    </row>
    <row r="17084" spans="1:16" ht="17.399999999999999">
      <c r="A17084" s="549"/>
      <c r="B17084" s="549" t="s">
        <v>1845</v>
      </c>
      <c r="C17084" s="549"/>
      <c r="D17084" s="549"/>
      <c r="E17084" s="549"/>
      <c r="F17084" s="549"/>
      <c r="G17084" s="549" t="s">
        <v>21</v>
      </c>
      <c r="H17084" s="549" t="s">
        <v>126</v>
      </c>
      <c r="I17084" s="647">
        <v>23.6</v>
      </c>
      <c r="J17084" s="567">
        <v>10.3</v>
      </c>
      <c r="K17084" s="648">
        <v>48</v>
      </c>
      <c r="L17084" s="552">
        <f>(I17084*J17084*K17084/1000)</f>
        <v>11.667840000000002</v>
      </c>
      <c r="M17084" s="549"/>
      <c r="N17084" s="549"/>
      <c r="O17084" s="549"/>
      <c r="P17084" s="549"/>
    </row>
    <row r="17085" spans="1:16" ht="17.399999999999999">
      <c r="A17085" s="549"/>
      <c r="B17085" s="549"/>
      <c r="C17085" s="549"/>
      <c r="D17085" s="549"/>
      <c r="E17085" s="549"/>
      <c r="F17085" s="549"/>
      <c r="G17085" s="549" t="s">
        <v>21</v>
      </c>
      <c r="H17085" s="549" t="s">
        <v>126</v>
      </c>
      <c r="I17085" s="647">
        <v>23.6</v>
      </c>
      <c r="J17085" s="567">
        <v>10.9</v>
      </c>
      <c r="K17085" s="648">
        <v>8</v>
      </c>
      <c r="L17085" s="552">
        <f>(I17085*J17085*K17085/1000)</f>
        <v>2.0579200000000002</v>
      </c>
      <c r="M17085" s="549"/>
      <c r="N17085" s="549"/>
      <c r="O17085" s="549"/>
      <c r="P17085" s="549"/>
    </row>
    <row r="17086" spans="1:16" ht="17.399999999999999">
      <c r="A17086" s="549"/>
      <c r="B17086" s="549"/>
      <c r="C17086" s="549"/>
      <c r="D17086" s="549"/>
      <c r="E17086" s="549"/>
      <c r="F17086" s="549"/>
      <c r="G17086" s="549" t="s">
        <v>21</v>
      </c>
      <c r="H17086" s="549" t="s">
        <v>126</v>
      </c>
      <c r="I17086" s="647">
        <v>23.6</v>
      </c>
      <c r="J17086" s="567">
        <v>11.8</v>
      </c>
      <c r="K17086" s="648">
        <v>12</v>
      </c>
      <c r="L17086" s="552">
        <f>(I17086*J17086*K17086/1000)</f>
        <v>3.3417600000000003</v>
      </c>
      <c r="M17086" s="549"/>
      <c r="N17086" s="549"/>
      <c r="O17086" s="549"/>
      <c r="P17086" s="549"/>
    </row>
    <row r="17087" spans="1:16" ht="17.399999999999999">
      <c r="A17087" s="549"/>
      <c r="B17087" s="549"/>
      <c r="C17087" s="549"/>
      <c r="D17087" s="549"/>
      <c r="E17087" s="549"/>
      <c r="F17087" s="549"/>
      <c r="G17087" s="549"/>
      <c r="H17087" s="549"/>
      <c r="I17087" s="647"/>
      <c r="J17087" s="567"/>
      <c r="K17087" s="648">
        <f>SUM(K17083:K17086)</f>
        <v>99</v>
      </c>
      <c r="L17087" s="567">
        <f>SUM(L17083:L17086)</f>
        <v>24.164040000000004</v>
      </c>
      <c r="M17087" s="549"/>
      <c r="N17087" s="549"/>
      <c r="O17087" s="549"/>
      <c r="P17087" s="549"/>
    </row>
    <row r="17088" spans="1:16" s="1737" customFormat="1" ht="17.399999999999999">
      <c r="A17088" s="549"/>
      <c r="B17088" s="549"/>
      <c r="C17088" s="549"/>
      <c r="D17088" s="549"/>
      <c r="E17088" s="549"/>
      <c r="F17088" s="549"/>
      <c r="G17088" s="549"/>
      <c r="H17088" s="549"/>
      <c r="I17088" s="647"/>
      <c r="J17088" s="567"/>
      <c r="K17088" s="648"/>
      <c r="L17088" s="567"/>
      <c r="M17088" s="549"/>
      <c r="N17088" s="549"/>
      <c r="O17088" s="549"/>
      <c r="P17088" s="549"/>
    </row>
    <row r="17089" spans="1:16" s="1737" customFormat="1" ht="17.399999999999999">
      <c r="A17089" s="1059"/>
      <c r="B17089" s="1059"/>
      <c r="C17089" s="1059"/>
      <c r="D17089" s="1059"/>
      <c r="E17089" s="1059"/>
      <c r="F17089" s="1059"/>
      <c r="G17089" s="1059"/>
      <c r="H17089" s="1059"/>
      <c r="I17089" s="1963"/>
      <c r="J17089" s="1067"/>
      <c r="K17089" s="1964"/>
      <c r="L17089" s="1067"/>
      <c r="M17089" s="1059"/>
      <c r="N17089" s="1059"/>
      <c r="O17089" s="1059"/>
      <c r="P17089" s="1059"/>
    </row>
    <row r="17091" spans="1:16" ht="17.399999999999999">
      <c r="A17091" s="547" t="s">
        <v>83</v>
      </c>
      <c r="B17091" s="547" t="s">
        <v>1746</v>
      </c>
      <c r="C17091" s="547" t="s">
        <v>19</v>
      </c>
      <c r="D17091" s="813" t="s">
        <v>854</v>
      </c>
      <c r="E17091" s="559" t="s">
        <v>878</v>
      </c>
      <c r="F17091" s="550">
        <v>14</v>
      </c>
      <c r="G17091" s="549" t="s">
        <v>21</v>
      </c>
      <c r="H17091" s="550" t="s">
        <v>125</v>
      </c>
      <c r="I17091" s="558">
        <v>21.7</v>
      </c>
      <c r="J17091" s="567">
        <v>7</v>
      </c>
      <c r="K17091" s="648">
        <v>24</v>
      </c>
      <c r="L17091" s="552">
        <f>(I17091*J17091*K17091/1000)</f>
        <v>3.6456000000000004</v>
      </c>
      <c r="M17091" s="549">
        <v>6</v>
      </c>
      <c r="N17091" s="567">
        <f>J17091*M17091*I17091/1000</f>
        <v>0.91139999999999999</v>
      </c>
      <c r="O17091" s="648">
        <f>M17091-K17091</f>
        <v>-18</v>
      </c>
      <c r="P17091" s="1737"/>
    </row>
    <row r="17092" spans="1:16" ht="17.399999999999999">
      <c r="A17092" s="549"/>
      <c r="B17092" s="549" t="s">
        <v>1135</v>
      </c>
      <c r="C17092" s="549"/>
      <c r="D17092" s="549"/>
      <c r="E17092" s="549"/>
      <c r="F17092" s="549"/>
      <c r="G17092" s="549" t="s">
        <v>21</v>
      </c>
      <c r="H17092" s="549" t="s">
        <v>125</v>
      </c>
      <c r="I17092" s="558">
        <v>21.7</v>
      </c>
      <c r="J17092" s="567">
        <v>8.5500000000000007</v>
      </c>
      <c r="K17092" s="648">
        <v>24</v>
      </c>
      <c r="L17092" s="552">
        <f>(I17092*J17092*K17092/1000)</f>
        <v>4.4528400000000001</v>
      </c>
      <c r="M17092" s="549">
        <v>9</v>
      </c>
      <c r="N17092" s="567">
        <f>J17092*M17092*I17092/1000</f>
        <v>1.669815</v>
      </c>
      <c r="O17092" s="648">
        <f>M17092-K17092</f>
        <v>-15</v>
      </c>
      <c r="P17092" s="1737"/>
    </row>
    <row r="17093" spans="1:16" ht="17.399999999999999">
      <c r="A17093" s="549"/>
      <c r="B17093" s="964" t="s">
        <v>73</v>
      </c>
      <c r="C17093" s="549"/>
      <c r="D17093" s="549"/>
      <c r="E17093" s="549"/>
      <c r="F17093" s="549"/>
      <c r="G17093" s="549"/>
      <c r="H17093" s="549"/>
      <c r="I17093" s="558"/>
      <c r="J17093" s="567"/>
      <c r="K17093" s="648">
        <f t="shared" ref="K17093" si="3495">SUM(K17091:K17092)</f>
        <v>48</v>
      </c>
      <c r="L17093" s="567">
        <f>SUM(L17091:L17092)</f>
        <v>8.0984400000000001</v>
      </c>
      <c r="M17093" s="648">
        <f t="shared" ref="M17093" si="3496">SUM(M17091:M17092)</f>
        <v>15</v>
      </c>
      <c r="N17093" s="567">
        <f>SUM(N17091:N17092)</f>
        <v>2.5812150000000003</v>
      </c>
      <c r="O17093" s="567">
        <f>N17093-L17093</f>
        <v>-5.5172249999999998</v>
      </c>
      <c r="P17093" s="1737"/>
    </row>
    <row r="17094" spans="1:16" ht="17.399999999999999">
      <c r="A17094" s="549"/>
      <c r="B17094" s="549"/>
      <c r="C17094" s="549"/>
      <c r="D17094" s="549"/>
      <c r="E17094" s="549"/>
      <c r="F17094" s="549"/>
      <c r="G17094" s="549"/>
      <c r="H17094" s="549"/>
      <c r="I17094" s="560"/>
      <c r="J17094" s="549"/>
      <c r="K17094" s="561"/>
      <c r="L17094" s="560"/>
      <c r="M17094" s="549"/>
      <c r="N17094" s="549"/>
      <c r="O17094" s="549"/>
      <c r="P17094" s="549"/>
    </row>
    <row r="17096" spans="1:16" ht="17.399999999999999">
      <c r="A17096" s="547" t="s">
        <v>272</v>
      </c>
      <c r="B17096" s="547" t="s">
        <v>1850</v>
      </c>
      <c r="C17096" s="547" t="s">
        <v>19</v>
      </c>
      <c r="D17096" s="813" t="s">
        <v>854</v>
      </c>
      <c r="E17096" s="780" t="s">
        <v>1028</v>
      </c>
      <c r="F17096" s="549"/>
      <c r="G17096" s="549" t="s">
        <v>21</v>
      </c>
      <c r="H17096" s="549" t="s">
        <v>124</v>
      </c>
      <c r="I17096" s="647">
        <v>19.72</v>
      </c>
      <c r="J17096" s="567">
        <v>6</v>
      </c>
      <c r="K17096" s="648">
        <v>1</v>
      </c>
      <c r="L17096" s="552">
        <f>(I17096*J17096*K17096/1000)</f>
        <v>0.11831999999999999</v>
      </c>
      <c r="M17096" s="549"/>
      <c r="N17096" s="549"/>
      <c r="O17096" s="549"/>
      <c r="P17096" s="549"/>
    </row>
    <row r="17097" spans="1:16" ht="17.399999999999999">
      <c r="A17097" s="549"/>
      <c r="B17097" s="549" t="s">
        <v>1027</v>
      </c>
      <c r="C17097" s="549"/>
      <c r="D17097" s="549"/>
      <c r="E17097" s="549"/>
      <c r="F17097" s="549"/>
      <c r="G17097" s="549"/>
      <c r="H17097" s="549"/>
      <c r="I17097" s="647"/>
      <c r="J17097" s="567"/>
      <c r="K17097" s="648">
        <f t="shared" ref="K17097:L17097" si="3497">SUM(K17096)</f>
        <v>1</v>
      </c>
      <c r="L17097" s="567">
        <f t="shared" si="3497"/>
        <v>0.11831999999999999</v>
      </c>
      <c r="M17097" s="549"/>
      <c r="N17097" s="549"/>
      <c r="O17097" s="549"/>
      <c r="P17097" s="549"/>
    </row>
    <row r="17098" spans="1:16" ht="17.399999999999999">
      <c r="A17098" s="549"/>
      <c r="B17098" s="549"/>
      <c r="C17098" s="549"/>
      <c r="D17098" s="549"/>
      <c r="E17098" s="549"/>
      <c r="F17098" s="549"/>
      <c r="G17098" s="549"/>
      <c r="H17098" s="549"/>
      <c r="I17098" s="560"/>
      <c r="J17098" s="549"/>
      <c r="K17098" s="561"/>
      <c r="L17098" s="560"/>
      <c r="M17098" s="549"/>
      <c r="N17098" s="549"/>
      <c r="O17098" s="549"/>
      <c r="P17098" s="549"/>
    </row>
    <row r="17099" spans="1:16" ht="17.399999999999999">
      <c r="A17099" s="547" t="s">
        <v>83</v>
      </c>
      <c r="B17099" s="547" t="s">
        <v>1816</v>
      </c>
      <c r="C17099" s="547" t="s">
        <v>19</v>
      </c>
      <c r="D17099" s="813" t="s">
        <v>854</v>
      </c>
      <c r="E17099" s="768" t="s">
        <v>57</v>
      </c>
      <c r="F17099" s="549"/>
      <c r="G17099" s="549" t="s">
        <v>21</v>
      </c>
      <c r="H17099" s="549" t="s">
        <v>124</v>
      </c>
      <c r="I17099" s="647">
        <v>19.8</v>
      </c>
      <c r="J17099" s="567">
        <v>12</v>
      </c>
      <c r="K17099" s="648">
        <v>4</v>
      </c>
      <c r="L17099" s="552">
        <f>(I17099*J17099*K17099/1000)</f>
        <v>0.95040000000000013</v>
      </c>
      <c r="M17099" s="549"/>
      <c r="N17099" s="549"/>
      <c r="O17099" s="549"/>
      <c r="P17099" s="549"/>
    </row>
    <row r="17100" spans="1:16" ht="17.399999999999999">
      <c r="A17100" s="549"/>
      <c r="B17100" s="549" t="s">
        <v>1815</v>
      </c>
      <c r="C17100" s="549"/>
      <c r="D17100" s="549"/>
      <c r="E17100" s="549"/>
      <c r="F17100" s="549"/>
      <c r="G17100" s="549"/>
      <c r="H17100" s="549"/>
      <c r="I17100" s="647"/>
      <c r="J17100" s="567"/>
      <c r="K17100" s="648">
        <f t="shared" ref="K17100:L17100" si="3498">SUM(K17099)</f>
        <v>4</v>
      </c>
      <c r="L17100" s="567">
        <f t="shared" si="3498"/>
        <v>0.95040000000000013</v>
      </c>
      <c r="M17100" s="549"/>
      <c r="N17100" s="549"/>
      <c r="O17100" s="549"/>
      <c r="P17100" s="549"/>
    </row>
    <row r="17101" spans="1:16" s="1737" customFormat="1" ht="17.399999999999999">
      <c r="A17101" s="549"/>
      <c r="B17101" s="549"/>
      <c r="C17101" s="549"/>
      <c r="D17101" s="549"/>
      <c r="E17101" s="549"/>
      <c r="F17101" s="549"/>
      <c r="G17101" s="549"/>
      <c r="H17101" s="549"/>
      <c r="I17101" s="647"/>
      <c r="J17101" s="567"/>
      <c r="K17101" s="648"/>
      <c r="L17101" s="567"/>
      <c r="M17101" s="549"/>
      <c r="N17101" s="549"/>
      <c r="O17101" s="549"/>
      <c r="P17101" s="549"/>
    </row>
    <row r="17102" spans="1:16" ht="17.399999999999999">
      <c r="A17102" s="547" t="s">
        <v>541</v>
      </c>
      <c r="B17102" s="547" t="s">
        <v>1904</v>
      </c>
      <c r="C17102" s="547" t="s">
        <v>19</v>
      </c>
      <c r="D17102" s="813" t="s">
        <v>854</v>
      </c>
      <c r="E17102" s="768" t="s">
        <v>57</v>
      </c>
      <c r="F17102" s="549"/>
      <c r="G17102" s="549" t="s">
        <v>21</v>
      </c>
      <c r="H17102" s="549" t="s">
        <v>124</v>
      </c>
      <c r="I17102" s="647">
        <v>19.8</v>
      </c>
      <c r="J17102" s="567">
        <v>10.3</v>
      </c>
      <c r="K17102" s="648">
        <v>30</v>
      </c>
      <c r="L17102" s="552">
        <f>(I17102*J17102*K17102/1000)</f>
        <v>6.1182000000000007</v>
      </c>
      <c r="M17102" s="549"/>
      <c r="N17102" s="549"/>
      <c r="O17102" s="549"/>
      <c r="P17102" s="549"/>
    </row>
    <row r="17103" spans="1:16" ht="17.399999999999999">
      <c r="A17103" s="549"/>
      <c r="B17103" s="549" t="s">
        <v>1845</v>
      </c>
      <c r="C17103" s="549"/>
      <c r="D17103" s="549"/>
      <c r="E17103" s="549"/>
      <c r="F17103" s="549"/>
      <c r="G17103" s="549"/>
      <c r="H17103" s="549"/>
      <c r="I17103" s="647"/>
      <c r="J17103" s="567"/>
      <c r="K17103" s="648">
        <f>SUM(K17102:K17102)</f>
        <v>30</v>
      </c>
      <c r="L17103" s="567">
        <f>SUM(L17102:L17102)</f>
        <v>6.1182000000000007</v>
      </c>
      <c r="M17103" s="549"/>
      <c r="N17103" s="549"/>
      <c r="O17103" s="549"/>
      <c r="P17103" s="549"/>
    </row>
    <row r="17104" spans="1:16" s="1737" customFormat="1" ht="17.399999999999999">
      <c r="A17104" s="549"/>
      <c r="B17104" s="549"/>
      <c r="C17104" s="549"/>
      <c r="D17104" s="549"/>
      <c r="E17104" s="549"/>
      <c r="F17104" s="549"/>
      <c r="G17104" s="549"/>
      <c r="H17104" s="549"/>
      <c r="I17104" s="647"/>
      <c r="J17104" s="567"/>
      <c r="K17104" s="648"/>
      <c r="L17104" s="567"/>
      <c r="M17104" s="549"/>
      <c r="N17104" s="549"/>
      <c r="O17104" s="549"/>
      <c r="P17104" s="549"/>
    </row>
    <row r="17105" spans="1:16" ht="17.399999999999999">
      <c r="A17105" s="547" t="s">
        <v>541</v>
      </c>
      <c r="B17105" s="547" t="s">
        <v>1909</v>
      </c>
      <c r="C17105" s="547" t="s">
        <v>19</v>
      </c>
      <c r="D17105" s="813" t="s">
        <v>854</v>
      </c>
      <c r="E17105" s="768" t="s">
        <v>57</v>
      </c>
      <c r="F17105" s="549"/>
      <c r="G17105" s="549" t="s">
        <v>21</v>
      </c>
      <c r="H17105" s="549" t="s">
        <v>124</v>
      </c>
      <c r="I17105" s="647">
        <v>19.8</v>
      </c>
      <c r="J17105" s="567">
        <v>6.3</v>
      </c>
      <c r="K17105" s="648">
        <v>53</v>
      </c>
      <c r="L17105" s="552">
        <f>(I17105*J17105*K17105/1000)</f>
        <v>6.6112199999999994</v>
      </c>
      <c r="M17105" s="549"/>
      <c r="N17105" s="549"/>
      <c r="O17105" s="549"/>
      <c r="P17105" s="549"/>
    </row>
    <row r="17106" spans="1:16" ht="17.399999999999999">
      <c r="A17106" s="549"/>
      <c r="B17106" s="549" t="s">
        <v>1910</v>
      </c>
      <c r="C17106" s="549"/>
      <c r="D17106" s="549"/>
      <c r="E17106" s="549"/>
      <c r="F17106" s="549"/>
      <c r="G17106" s="549"/>
      <c r="H17106" s="549"/>
      <c r="I17106" s="647"/>
      <c r="J17106" s="567"/>
      <c r="K17106" s="648">
        <f t="shared" ref="K17106:L17106" si="3499">SUM(K17105)</f>
        <v>53</v>
      </c>
      <c r="L17106" s="567">
        <f t="shared" si="3499"/>
        <v>6.6112199999999994</v>
      </c>
      <c r="M17106" s="549"/>
      <c r="N17106" s="549"/>
      <c r="O17106" s="549"/>
      <c r="P17106" s="549"/>
    </row>
    <row r="17107" spans="1:16" s="1737" customFormat="1" ht="17.399999999999999">
      <c r="A17107" s="549"/>
      <c r="B17107" s="549"/>
      <c r="C17107" s="549"/>
      <c r="D17107" s="549"/>
      <c r="E17107" s="549"/>
      <c r="F17107" s="549"/>
      <c r="G17107" s="549"/>
      <c r="H17107" s="549"/>
      <c r="I17107" s="647"/>
      <c r="J17107" s="567"/>
      <c r="K17107" s="648">
        <f>SUM(K17096:K17106)/2</f>
        <v>88</v>
      </c>
      <c r="L17107" s="567">
        <f>SUM(L17096:L17106)/2</f>
        <v>13.79814</v>
      </c>
      <c r="M17107" s="549"/>
      <c r="N17107" s="549"/>
      <c r="O17107" s="549"/>
      <c r="P17107" s="549"/>
    </row>
    <row r="17108" spans="1:16" s="1737" customFormat="1" ht="17.399999999999999">
      <c r="A17108" s="549"/>
      <c r="B17108" s="549"/>
      <c r="C17108" s="549"/>
      <c r="D17108" s="549"/>
      <c r="E17108" s="549"/>
      <c r="F17108" s="549"/>
      <c r="G17108" s="549"/>
      <c r="H17108" s="549"/>
      <c r="I17108" s="647"/>
      <c r="J17108" s="567"/>
      <c r="K17108" s="648"/>
      <c r="L17108" s="567"/>
      <c r="M17108" s="549"/>
      <c r="N17108" s="549"/>
      <c r="O17108" s="549"/>
      <c r="P17108" s="549"/>
    </row>
    <row r="17109" spans="1:16" ht="17.399999999999999">
      <c r="A17109" s="549"/>
      <c r="B17109" s="549"/>
      <c r="C17109" s="549"/>
      <c r="D17109" s="549"/>
      <c r="E17109" s="549"/>
      <c r="F17109" s="549"/>
      <c r="G17109" s="549"/>
      <c r="H17109" s="549"/>
      <c r="I17109" s="560"/>
      <c r="J17109" s="549"/>
      <c r="K17109" s="561"/>
      <c r="L17109" s="560"/>
      <c r="M17109" s="549"/>
      <c r="N17109" s="549"/>
      <c r="O17109" s="549"/>
      <c r="P17109" s="549"/>
    </row>
    <row r="17110" spans="1:16" ht="17.399999999999999">
      <c r="A17110" s="547" t="s">
        <v>272</v>
      </c>
      <c r="B17110" s="547" t="s">
        <v>1847</v>
      </c>
      <c r="C17110" s="547" t="s">
        <v>19</v>
      </c>
      <c r="D17110" s="813" t="s">
        <v>854</v>
      </c>
      <c r="E17110" s="547" t="s">
        <v>359</v>
      </c>
      <c r="F17110" s="549"/>
      <c r="G17110" s="549" t="s">
        <v>21</v>
      </c>
      <c r="H17110" s="549" t="s">
        <v>124</v>
      </c>
      <c r="I17110" s="647">
        <v>19.72</v>
      </c>
      <c r="J17110" s="567">
        <v>6</v>
      </c>
      <c r="K17110" s="648">
        <v>1</v>
      </c>
      <c r="L17110" s="552">
        <f>(I17110*J17110*K17110/1000)</f>
        <v>0.11831999999999999</v>
      </c>
      <c r="M17110" s="549"/>
      <c r="N17110" s="549"/>
      <c r="O17110" s="549"/>
      <c r="P17110" s="549"/>
    </row>
    <row r="17111" spans="1:16" ht="17.399999999999999">
      <c r="A17111" s="549"/>
      <c r="B17111" s="549" t="s">
        <v>1027</v>
      </c>
      <c r="C17111" s="549"/>
      <c r="D17111" s="549"/>
      <c r="E17111" s="549"/>
      <c r="F17111" s="549"/>
      <c r="G17111" s="549"/>
      <c r="H17111" s="549"/>
      <c r="I17111" s="647"/>
      <c r="J17111" s="567"/>
      <c r="K17111" s="648">
        <f t="shared" ref="K17111:L17111" si="3500">SUM(K17110)</f>
        <v>1</v>
      </c>
      <c r="L17111" s="567">
        <f t="shared" si="3500"/>
        <v>0.11831999999999999</v>
      </c>
      <c r="M17111" s="549"/>
      <c r="N17111" s="549"/>
      <c r="O17111" s="549"/>
      <c r="P17111" s="549"/>
    </row>
    <row r="17112" spans="1:16" ht="17.399999999999999">
      <c r="A17112" s="549"/>
      <c r="B17112" s="549"/>
      <c r="C17112" s="549"/>
      <c r="D17112" s="549"/>
      <c r="E17112" s="549"/>
      <c r="F17112" s="549"/>
      <c r="G17112" s="549"/>
      <c r="H17112" s="549"/>
      <c r="I17112" s="560"/>
      <c r="J17112" s="549"/>
      <c r="K17112" s="561"/>
      <c r="L17112" s="560"/>
      <c r="M17112" s="549"/>
      <c r="N17112" s="549"/>
      <c r="O17112" s="549"/>
      <c r="P17112" s="549"/>
    </row>
    <row r="17113" spans="1:16" ht="17.399999999999999">
      <c r="A17113" s="547" t="s">
        <v>83</v>
      </c>
      <c r="B17113" s="547" t="s">
        <v>1902</v>
      </c>
      <c r="C17113" s="547" t="s">
        <v>19</v>
      </c>
      <c r="D17113" s="813" t="s">
        <v>854</v>
      </c>
      <c r="E17113" s="768" t="s">
        <v>175</v>
      </c>
      <c r="F17113" s="549"/>
      <c r="G17113" s="549" t="s">
        <v>21</v>
      </c>
      <c r="H17113" s="549" t="s">
        <v>124</v>
      </c>
      <c r="I17113" s="647">
        <v>19.8</v>
      </c>
      <c r="J17113" s="567">
        <v>8.25</v>
      </c>
      <c r="K17113" s="648">
        <v>7</v>
      </c>
      <c r="L17113" s="552">
        <f t="shared" ref="L17113:L17115" si="3501">(I17113*J17113*K17113/1000)</f>
        <v>1.1434500000000001</v>
      </c>
      <c r="M17113" s="549"/>
      <c r="N17113" s="549"/>
      <c r="O17113" s="549"/>
      <c r="P17113" s="549"/>
    </row>
    <row r="17114" spans="1:16" ht="17.399999999999999">
      <c r="A17114" s="549"/>
      <c r="B17114" s="549" t="s">
        <v>1135</v>
      </c>
      <c r="C17114" s="549"/>
      <c r="D17114" s="549"/>
      <c r="E17114" s="549"/>
      <c r="F17114" s="549"/>
      <c r="G17114" s="549" t="s">
        <v>21</v>
      </c>
      <c r="H17114" s="549" t="s">
        <v>124</v>
      </c>
      <c r="I17114" s="647">
        <v>19.8</v>
      </c>
      <c r="J17114" s="567">
        <v>9.25</v>
      </c>
      <c r="K17114" s="648">
        <v>16</v>
      </c>
      <c r="L17114" s="552">
        <f t="shared" si="3501"/>
        <v>2.9304000000000001</v>
      </c>
      <c r="M17114" s="549"/>
      <c r="N17114" s="549"/>
      <c r="O17114" s="549"/>
      <c r="P17114" s="549"/>
    </row>
    <row r="17115" spans="1:16" ht="17.399999999999999">
      <c r="A17115" s="549"/>
      <c r="B17115" s="549"/>
      <c r="C17115" s="549"/>
      <c r="D17115" s="549"/>
      <c r="E17115" s="549"/>
      <c r="F17115" s="549"/>
      <c r="G17115" s="549" t="s">
        <v>21</v>
      </c>
      <c r="H17115" s="549" t="s">
        <v>124</v>
      </c>
      <c r="I17115" s="647">
        <v>19.8</v>
      </c>
      <c r="J17115" s="567">
        <v>10.9</v>
      </c>
      <c r="K17115" s="648">
        <v>1</v>
      </c>
      <c r="L17115" s="552">
        <f t="shared" si="3501"/>
        <v>0.21582000000000001</v>
      </c>
      <c r="M17115" s="549"/>
      <c r="N17115" s="549"/>
      <c r="O17115" s="549"/>
      <c r="P17115" s="549"/>
    </row>
    <row r="17116" spans="1:16" ht="17.399999999999999">
      <c r="A17116" s="549"/>
      <c r="B17116" s="549"/>
      <c r="C17116" s="549"/>
      <c r="D17116" s="549"/>
      <c r="E17116" s="549"/>
      <c r="F17116" s="549"/>
      <c r="G17116" s="549"/>
      <c r="H17116" s="549"/>
      <c r="I17116" s="647"/>
      <c r="J17116" s="567"/>
      <c r="K17116" s="648">
        <f>SUM(K17113:K17115)</f>
        <v>24</v>
      </c>
      <c r="L17116" s="567">
        <f>SUM(L17113:L17115)</f>
        <v>4.2896700000000001</v>
      </c>
      <c r="M17116" s="549"/>
      <c r="N17116" s="549"/>
      <c r="O17116" s="549"/>
      <c r="P17116" s="549"/>
    </row>
    <row r="17117" spans="1:16" s="1737" customFormat="1" ht="17.399999999999999">
      <c r="A17117" s="549"/>
      <c r="B17117" s="549"/>
      <c r="C17117" s="549"/>
      <c r="D17117" s="549"/>
      <c r="E17117" s="549"/>
      <c r="F17117" s="549"/>
      <c r="G17117" s="549"/>
      <c r="H17117" s="549"/>
      <c r="I17117" s="647"/>
      <c r="J17117" s="567"/>
      <c r="K17117" s="648">
        <f>+K17116+K17111</f>
        <v>25</v>
      </c>
      <c r="L17117" s="567">
        <f>+L17116+L17111</f>
        <v>4.4079899999999999</v>
      </c>
      <c r="M17117" s="549"/>
      <c r="N17117" s="549"/>
      <c r="O17117" s="549"/>
      <c r="P17117" s="549"/>
    </row>
    <row r="17118" spans="1:16" s="1737" customFormat="1" ht="17.399999999999999">
      <c r="A17118" s="549"/>
      <c r="B17118" s="549"/>
      <c r="C17118" s="549"/>
      <c r="D17118" s="549"/>
      <c r="E17118" s="549"/>
      <c r="F17118" s="549"/>
      <c r="G17118" s="549"/>
      <c r="H17118" s="549"/>
      <c r="I17118" s="647"/>
      <c r="J17118" s="567"/>
      <c r="K17118" s="648"/>
      <c r="L17118" s="567"/>
      <c r="M17118" s="549"/>
      <c r="N17118" s="549"/>
      <c r="O17118" s="549"/>
      <c r="P17118" s="549"/>
    </row>
    <row r="17119" spans="1:16" ht="17.399999999999999">
      <c r="A17119" s="549"/>
      <c r="B17119" s="549"/>
      <c r="C17119" s="549"/>
      <c r="D17119" s="549"/>
      <c r="E17119" s="549"/>
      <c r="F17119" s="549"/>
      <c r="G17119" s="549"/>
      <c r="H17119" s="549"/>
      <c r="I17119" s="560"/>
      <c r="J17119" s="549"/>
      <c r="K17119" s="561"/>
      <c r="L17119" s="560"/>
      <c r="M17119" s="549"/>
      <c r="N17119" s="549"/>
      <c r="O17119" s="549"/>
      <c r="P17119" s="549"/>
    </row>
    <row r="17120" spans="1:16" ht="17.399999999999999">
      <c r="A17120" s="547" t="s">
        <v>83</v>
      </c>
      <c r="B17120" s="547" t="s">
        <v>1816</v>
      </c>
      <c r="C17120" s="547" t="s">
        <v>19</v>
      </c>
      <c r="D17120" s="813" t="s">
        <v>854</v>
      </c>
      <c r="E17120" s="768" t="s">
        <v>57</v>
      </c>
      <c r="F17120" s="549"/>
      <c r="G17120" s="549" t="s">
        <v>21</v>
      </c>
      <c r="H17120" s="549" t="s">
        <v>129</v>
      </c>
      <c r="I17120" s="647">
        <v>17.899999999999999</v>
      </c>
      <c r="J17120" s="567">
        <v>10</v>
      </c>
      <c r="K17120" s="648">
        <v>4</v>
      </c>
      <c r="L17120" s="552">
        <f>(I17120*J17120*K17120/1000)</f>
        <v>0.71599999999999997</v>
      </c>
      <c r="M17120" s="549"/>
      <c r="N17120" s="549"/>
      <c r="O17120" s="549"/>
      <c r="P17120" s="549"/>
    </row>
    <row r="17121" spans="1:16" ht="17.399999999999999">
      <c r="A17121" s="549"/>
      <c r="B17121" s="549" t="s">
        <v>1815</v>
      </c>
      <c r="C17121" s="549"/>
      <c r="D17121" s="549"/>
      <c r="E17121" s="549"/>
      <c r="F17121" s="549"/>
      <c r="G17121" s="549"/>
      <c r="H17121" s="549"/>
      <c r="I17121" s="647"/>
      <c r="J17121" s="567"/>
      <c r="K17121" s="648">
        <f t="shared" ref="K17121:L17121" si="3502">SUM(K17120)</f>
        <v>4</v>
      </c>
      <c r="L17121" s="567">
        <f t="shared" si="3502"/>
        <v>0.71599999999999997</v>
      </c>
      <c r="M17121" s="549"/>
      <c r="N17121" s="549"/>
      <c r="O17121" s="549"/>
      <c r="P17121" s="549"/>
    </row>
    <row r="17122" spans="1:16" ht="17.399999999999999">
      <c r="A17122" s="549"/>
      <c r="B17122" s="549"/>
      <c r="C17122" s="549"/>
      <c r="D17122" s="549"/>
      <c r="E17122" s="549"/>
      <c r="F17122" s="549"/>
      <c r="G17122" s="549"/>
      <c r="H17122" s="549"/>
      <c r="I17122" s="560"/>
      <c r="J17122" s="549"/>
      <c r="K17122" s="561"/>
      <c r="L17122" s="560"/>
      <c r="M17122" s="549"/>
      <c r="N17122" s="549"/>
      <c r="O17122" s="549"/>
      <c r="P17122" s="549"/>
    </row>
    <row r="17123" spans="1:16" ht="17.399999999999999">
      <c r="A17123" s="547" t="s">
        <v>541</v>
      </c>
      <c r="B17123" s="547" t="s">
        <v>1904</v>
      </c>
      <c r="C17123" s="547" t="s">
        <v>19</v>
      </c>
      <c r="D17123" s="813" t="s">
        <v>854</v>
      </c>
      <c r="E17123" s="768" t="s">
        <v>57</v>
      </c>
      <c r="F17123" s="549"/>
      <c r="G17123" s="549" t="s">
        <v>21</v>
      </c>
      <c r="H17123" s="549" t="s">
        <v>129</v>
      </c>
      <c r="I17123" s="647">
        <v>17.899999999999999</v>
      </c>
      <c r="J17123" s="567">
        <v>6.2</v>
      </c>
      <c r="K17123" s="648">
        <v>36</v>
      </c>
      <c r="L17123" s="552">
        <f>(I17123*J17123*K17123/1000)</f>
        <v>3.9952799999999997</v>
      </c>
      <c r="M17123" s="549"/>
      <c r="N17123" s="549"/>
      <c r="O17123" s="549"/>
      <c r="P17123" s="549"/>
    </row>
    <row r="17124" spans="1:16" ht="17.399999999999999">
      <c r="A17124" s="549"/>
      <c r="B17124" s="549" t="s">
        <v>1845</v>
      </c>
      <c r="C17124" s="549"/>
      <c r="D17124" s="549"/>
      <c r="E17124" s="549"/>
      <c r="F17124" s="549"/>
      <c r="G17124" s="549"/>
      <c r="H17124" s="549"/>
      <c r="I17124" s="647"/>
      <c r="J17124" s="567"/>
      <c r="K17124" s="648">
        <f t="shared" ref="K17124:L17124" si="3503">SUM(K17123)</f>
        <v>36</v>
      </c>
      <c r="L17124" s="567">
        <f t="shared" si="3503"/>
        <v>3.9952799999999997</v>
      </c>
      <c r="M17124" s="549"/>
      <c r="N17124" s="549"/>
      <c r="O17124" s="549"/>
      <c r="P17124" s="549"/>
    </row>
    <row r="17125" spans="1:16" s="1737" customFormat="1" ht="17.399999999999999">
      <c r="A17125" s="549"/>
      <c r="B17125" s="549"/>
      <c r="C17125" s="549"/>
      <c r="D17125" s="549"/>
      <c r="E17125" s="549"/>
      <c r="F17125" s="549"/>
      <c r="G17125" s="549"/>
      <c r="H17125" s="549"/>
      <c r="I17125" s="647"/>
      <c r="J17125" s="567"/>
      <c r="K17125" s="648">
        <f>SUM(K17120:K17124)/2</f>
        <v>40</v>
      </c>
      <c r="L17125" s="567">
        <f>SUM(L17120:L17124)/2</f>
        <v>4.7112799999999995</v>
      </c>
      <c r="M17125" s="549"/>
      <c r="N17125" s="549"/>
      <c r="O17125" s="549"/>
      <c r="P17125" s="549"/>
    </row>
    <row r="17126" spans="1:16" s="1737" customFormat="1" ht="17.399999999999999">
      <c r="A17126" s="549"/>
      <c r="B17126" s="549"/>
      <c r="C17126" s="549"/>
      <c r="D17126" s="549"/>
      <c r="E17126" s="549"/>
      <c r="F17126" s="549"/>
      <c r="G17126" s="549"/>
      <c r="H17126" s="549"/>
      <c r="I17126" s="647"/>
      <c r="J17126" s="567"/>
      <c r="K17126" s="648"/>
      <c r="L17126" s="567"/>
      <c r="M17126" s="549"/>
      <c r="N17126" s="549"/>
      <c r="O17126" s="549"/>
      <c r="P17126" s="549"/>
    </row>
    <row r="17127" spans="1:16" s="1737" customFormat="1" ht="17.399999999999999">
      <c r="A17127" s="549"/>
      <c r="B17127" s="549"/>
      <c r="C17127" s="549"/>
      <c r="D17127" s="549"/>
      <c r="E17127" s="549"/>
      <c r="F17127" s="549"/>
      <c r="G17127" s="549"/>
      <c r="H17127" s="549"/>
      <c r="I17127" s="647"/>
      <c r="J17127" s="567"/>
      <c r="K17127" s="648"/>
      <c r="L17127" s="567"/>
      <c r="M17127" s="549"/>
      <c r="N17127" s="549"/>
      <c r="O17127" s="549"/>
      <c r="P17127" s="549"/>
    </row>
    <row r="17128" spans="1:16" ht="17.399999999999999">
      <c r="A17128" s="547" t="s">
        <v>272</v>
      </c>
      <c r="B17128" s="547" t="s">
        <v>1900</v>
      </c>
      <c r="C17128" s="547" t="s">
        <v>19</v>
      </c>
      <c r="D17128" s="813" t="s">
        <v>155</v>
      </c>
      <c r="E17128" s="547" t="s">
        <v>270</v>
      </c>
      <c r="F17128" s="549"/>
      <c r="G17128" s="549" t="s">
        <v>61</v>
      </c>
      <c r="H17128" s="549" t="s">
        <v>124</v>
      </c>
      <c r="I17128" s="647">
        <v>19.72</v>
      </c>
      <c r="J17128" s="567">
        <v>6.5</v>
      </c>
      <c r="K17128" s="648">
        <v>2</v>
      </c>
      <c r="L17128" s="552">
        <f>(I17128*J17128*K17128/1000)</f>
        <v>0.25636000000000003</v>
      </c>
      <c r="M17128" s="549"/>
      <c r="N17128" s="549"/>
      <c r="O17128" s="549"/>
      <c r="P17128" s="549"/>
    </row>
    <row r="17129" spans="1:16" ht="17.399999999999999">
      <c r="A17129" s="549"/>
      <c r="B17129" s="549" t="s">
        <v>333</v>
      </c>
      <c r="C17129" s="549"/>
      <c r="D17129" s="549"/>
      <c r="E17129" s="549"/>
      <c r="F17129" s="549"/>
      <c r="G17129" s="549"/>
      <c r="H17129" s="549"/>
      <c r="I17129" s="647"/>
      <c r="J17129" s="567"/>
      <c r="K17129" s="648">
        <f t="shared" ref="K17129:L17129" si="3504">SUM(K17128)</f>
        <v>2</v>
      </c>
      <c r="L17129" s="567">
        <f t="shared" si="3504"/>
        <v>0.25636000000000003</v>
      </c>
      <c r="M17129" s="549"/>
      <c r="N17129" s="549"/>
      <c r="O17129" s="549"/>
      <c r="P17129" s="549"/>
    </row>
    <row r="17130" spans="1:16" s="1737" customFormat="1" ht="17.399999999999999">
      <c r="A17130" s="549"/>
      <c r="B17130" s="549"/>
      <c r="C17130" s="549"/>
      <c r="D17130" s="549"/>
      <c r="E17130" s="549"/>
      <c r="F17130" s="549"/>
      <c r="G17130" s="549"/>
      <c r="H17130" s="549"/>
      <c r="I17130" s="647"/>
      <c r="J17130" s="567"/>
      <c r="K17130" s="648"/>
      <c r="L17130" s="567"/>
      <c r="M17130" s="549"/>
      <c r="N17130" s="549"/>
      <c r="O17130" s="549"/>
      <c r="P17130" s="549"/>
    </row>
    <row r="17131" spans="1:16" ht="17.399999999999999">
      <c r="A17131" s="549"/>
      <c r="B17131" s="549"/>
      <c r="C17131" s="549"/>
      <c r="D17131" s="549"/>
      <c r="E17131" s="549"/>
      <c r="F17131" s="549"/>
      <c r="G17131" s="549"/>
      <c r="H17131" s="549"/>
      <c r="I17131" s="560"/>
      <c r="J17131" s="549"/>
      <c r="K17131" s="561"/>
      <c r="L17131" s="568">
        <f>+L17129+L17125+L17117+L17107+L17093+L17087+L17080</f>
        <v>60.391069999999999</v>
      </c>
      <c r="M17131" s="549"/>
      <c r="N17131" s="568">
        <f>+N17129+N17125+N17117+N17107+N17093+N17087+N17080</f>
        <v>2.5812150000000003</v>
      </c>
      <c r="O17131" s="549"/>
      <c r="P17131" s="549"/>
    </row>
  </sheetData>
  <sortState ref="G12154:L12158">
    <sortCondition ref="J12154:J12158"/>
  </sortState>
  <mergeCells count="7014">
    <mergeCell ref="L16977:O16977"/>
    <mergeCell ref="L17072:O17072"/>
    <mergeCell ref="B16946:D16946"/>
    <mergeCell ref="F16946:G16946"/>
    <mergeCell ref="H16946:K16946"/>
    <mergeCell ref="L16946:O16946"/>
    <mergeCell ref="B16947:D16947"/>
    <mergeCell ref="F16947:G16947"/>
    <mergeCell ref="H16947:K16947"/>
    <mergeCell ref="L16947:O16947"/>
    <mergeCell ref="B16948:D16948"/>
    <mergeCell ref="F16948:G16948"/>
    <mergeCell ref="H16948:K16948"/>
    <mergeCell ref="L16948:O16948"/>
    <mergeCell ref="B16950:D16950"/>
    <mergeCell ref="F16950:G16950"/>
    <mergeCell ref="H16950:K16950"/>
    <mergeCell ref="L16950:O16950"/>
    <mergeCell ref="B16951:D16951"/>
    <mergeCell ref="F16951:G16951"/>
    <mergeCell ref="H16951:K16951"/>
    <mergeCell ref="L16951:O16951"/>
    <mergeCell ref="N16970:O16970"/>
    <mergeCell ref="N16972:O16972"/>
    <mergeCell ref="E16958:E16959"/>
    <mergeCell ref="A16962:B16962"/>
    <mergeCell ref="C16962:D16962"/>
    <mergeCell ref="G16962:O16962"/>
    <mergeCell ref="A16963:B16963"/>
    <mergeCell ref="C16963:D16963"/>
    <mergeCell ref="G16963:O16968"/>
    <mergeCell ref="A16964:B16964"/>
    <mergeCell ref="C16964:D16964"/>
    <mergeCell ref="A16965:B16965"/>
    <mergeCell ref="C16965:D16965"/>
    <mergeCell ref="A16966:B16966"/>
    <mergeCell ref="C16966:D16966"/>
    <mergeCell ref="A16967:B16967"/>
    <mergeCell ref="C16967:D16967"/>
    <mergeCell ref="A16968:B16968"/>
    <mergeCell ref="C16968:D16968"/>
    <mergeCell ref="B16952:D16952"/>
    <mergeCell ref="F16952:G16952"/>
    <mergeCell ref="H16952:K16952"/>
    <mergeCell ref="L16952:O16952"/>
    <mergeCell ref="B16954:D16954"/>
    <mergeCell ref="F16954:G16954"/>
    <mergeCell ref="H16954:K16954"/>
    <mergeCell ref="L16954:O16954"/>
    <mergeCell ref="B16956:D16956"/>
    <mergeCell ref="F16956:G16956"/>
    <mergeCell ref="H16956:K16956"/>
    <mergeCell ref="L16956:O16956"/>
    <mergeCell ref="L16939:O16939"/>
    <mergeCell ref="B16941:D16941"/>
    <mergeCell ref="F16941:G16941"/>
    <mergeCell ref="H16941:K16941"/>
    <mergeCell ref="L16941:O16941"/>
    <mergeCell ref="B16942:D16942"/>
    <mergeCell ref="F16942:G16942"/>
    <mergeCell ref="H16942:K16942"/>
    <mergeCell ref="L16942:O16942"/>
    <mergeCell ref="B16944:D16944"/>
    <mergeCell ref="F16944:G16944"/>
    <mergeCell ref="H16944:K16944"/>
    <mergeCell ref="L16944:O16944"/>
    <mergeCell ref="B16945:D16945"/>
    <mergeCell ref="F16945:G16945"/>
    <mergeCell ref="H16945:K16945"/>
    <mergeCell ref="L16945:O16945"/>
    <mergeCell ref="N16752:O16752"/>
    <mergeCell ref="N16754:O16754"/>
    <mergeCell ref="B16726:D16726"/>
    <mergeCell ref="F16726:G16726"/>
    <mergeCell ref="H16726:K16726"/>
    <mergeCell ref="L16726:O16726"/>
    <mergeCell ref="B16727:D16727"/>
    <mergeCell ref="F16727:G16727"/>
    <mergeCell ref="H16727:K16727"/>
    <mergeCell ref="L16727:O16727"/>
    <mergeCell ref="B16729:D16729"/>
    <mergeCell ref="F16729:G16729"/>
    <mergeCell ref="H16729:K16729"/>
    <mergeCell ref="L16729:O16729"/>
    <mergeCell ref="B16730:D16730"/>
    <mergeCell ref="F16730:G16730"/>
    <mergeCell ref="H16730:K16730"/>
    <mergeCell ref="L16730:O16730"/>
    <mergeCell ref="B16731:D16731"/>
    <mergeCell ref="F16731:G16731"/>
    <mergeCell ref="H16731:K16731"/>
    <mergeCell ref="L16731:O16731"/>
    <mergeCell ref="B16734:D16734"/>
    <mergeCell ref="F16734:G16734"/>
    <mergeCell ref="H16734:K16734"/>
    <mergeCell ref="L16734:O16734"/>
    <mergeCell ref="E16740:E16741"/>
    <mergeCell ref="A16744:B16744"/>
    <mergeCell ref="C16744:D16744"/>
    <mergeCell ref="G16744:O16744"/>
    <mergeCell ref="A16745:B16745"/>
    <mergeCell ref="C16745:D16745"/>
    <mergeCell ref="G16745:O16750"/>
    <mergeCell ref="A16746:B16746"/>
    <mergeCell ref="C16746:D16746"/>
    <mergeCell ref="A16747:B16747"/>
    <mergeCell ref="C16747:D16747"/>
    <mergeCell ref="A16748:B16748"/>
    <mergeCell ref="C16748:D16748"/>
    <mergeCell ref="A16749:B16749"/>
    <mergeCell ref="C16749:D16749"/>
    <mergeCell ref="A16750:B16750"/>
    <mergeCell ref="C16750:D16750"/>
    <mergeCell ref="L16759:O16759"/>
    <mergeCell ref="B16738:D16738"/>
    <mergeCell ref="F16738:G16738"/>
    <mergeCell ref="H16738:K16738"/>
    <mergeCell ref="L16738:O16738"/>
    <mergeCell ref="L16721:O16721"/>
    <mergeCell ref="B16723:D16723"/>
    <mergeCell ref="F16723:G16723"/>
    <mergeCell ref="H16723:K16723"/>
    <mergeCell ref="L16723:O16723"/>
    <mergeCell ref="B16724:D16724"/>
    <mergeCell ref="F16724:G16724"/>
    <mergeCell ref="H16724:K16724"/>
    <mergeCell ref="L16724:O16724"/>
    <mergeCell ref="B16737:D16737"/>
    <mergeCell ref="F16737:G16737"/>
    <mergeCell ref="H16737:K16737"/>
    <mergeCell ref="L16737:O16737"/>
    <mergeCell ref="B16736:D16736"/>
    <mergeCell ref="F16736:G16736"/>
    <mergeCell ref="H16736:K16736"/>
    <mergeCell ref="L16736:O16736"/>
    <mergeCell ref="L16114:O16114"/>
    <mergeCell ref="N16108:O16108"/>
    <mergeCell ref="B16082:D16082"/>
    <mergeCell ref="F16082:G16082"/>
    <mergeCell ref="H16082:K16082"/>
    <mergeCell ref="L16082:O16082"/>
    <mergeCell ref="B16081:D16081"/>
    <mergeCell ref="F16081:G16081"/>
    <mergeCell ref="H16081:K16081"/>
    <mergeCell ref="L16081:O16081"/>
    <mergeCell ref="B16088:D16088"/>
    <mergeCell ref="F16088:G16088"/>
    <mergeCell ref="H16088:K16088"/>
    <mergeCell ref="L16088:O16088"/>
    <mergeCell ref="B16086:D16086"/>
    <mergeCell ref="F16086:G16086"/>
    <mergeCell ref="H16086:K16086"/>
    <mergeCell ref="L16086:O16086"/>
    <mergeCell ref="B16085:D16085"/>
    <mergeCell ref="F16085:G16085"/>
    <mergeCell ref="H16085:K16085"/>
    <mergeCell ref="L16085:O16085"/>
    <mergeCell ref="A16098:B16098"/>
    <mergeCell ref="C16098:D16098"/>
    <mergeCell ref="G16098:O16098"/>
    <mergeCell ref="C16102:D16102"/>
    <mergeCell ref="A16103:B16103"/>
    <mergeCell ref="C16103:D16103"/>
    <mergeCell ref="A16104:B16104"/>
    <mergeCell ref="C16104:D16104"/>
    <mergeCell ref="N16106:O16106"/>
    <mergeCell ref="E16094:E16095"/>
    <mergeCell ref="L15908:O15908"/>
    <mergeCell ref="L16073:O16073"/>
    <mergeCell ref="B16075:D16075"/>
    <mergeCell ref="F16075:G16075"/>
    <mergeCell ref="H16075:K16075"/>
    <mergeCell ref="L16075:O16075"/>
    <mergeCell ref="B16076:D16076"/>
    <mergeCell ref="F16076:G16076"/>
    <mergeCell ref="H16076:K16076"/>
    <mergeCell ref="L16076:O16076"/>
    <mergeCell ref="B16091:D16091"/>
    <mergeCell ref="F16091:G16091"/>
    <mergeCell ref="H16091:K16091"/>
    <mergeCell ref="L16091:O16091"/>
    <mergeCell ref="A16102:B16102"/>
    <mergeCell ref="C16100:D16100"/>
    <mergeCell ref="A16101:B16101"/>
    <mergeCell ref="C16101:D16101"/>
    <mergeCell ref="B16078:D16078"/>
    <mergeCell ref="F16078:G16078"/>
    <mergeCell ref="H16078:K16078"/>
    <mergeCell ref="L16078:O16078"/>
    <mergeCell ref="B16079:D16079"/>
    <mergeCell ref="L15471:O15471"/>
    <mergeCell ref="N15464:O15464"/>
    <mergeCell ref="N15466:O15466"/>
    <mergeCell ref="B15439:D15439"/>
    <mergeCell ref="F15439:G15439"/>
    <mergeCell ref="H15439:K15439"/>
    <mergeCell ref="L15439:O15439"/>
    <mergeCell ref="B15440:D15440"/>
    <mergeCell ref="F15440:G15440"/>
    <mergeCell ref="H15440:K15440"/>
    <mergeCell ref="L15440:O15440"/>
    <mergeCell ref="B15443:D15443"/>
    <mergeCell ref="F15443:G15443"/>
    <mergeCell ref="H15443:K15443"/>
    <mergeCell ref="L15443:O15443"/>
    <mergeCell ref="B15444:D15444"/>
    <mergeCell ref="F15444:G15444"/>
    <mergeCell ref="H15444:K15444"/>
    <mergeCell ref="L15444:O15444"/>
    <mergeCell ref="B15445:D15445"/>
    <mergeCell ref="F15445:G15445"/>
    <mergeCell ref="H15445:K15445"/>
    <mergeCell ref="L15445:O15445"/>
    <mergeCell ref="B15446:D15446"/>
    <mergeCell ref="F15446:G15446"/>
    <mergeCell ref="H15446:K15446"/>
    <mergeCell ref="L15446:O15446"/>
    <mergeCell ref="B15447:D15447"/>
    <mergeCell ref="F15447:G15447"/>
    <mergeCell ref="H15447:K15447"/>
    <mergeCell ref="L15447:O15447"/>
    <mergeCell ref="B15448:D15448"/>
    <mergeCell ref="F15448:G15448"/>
    <mergeCell ref="B15438:D15438"/>
    <mergeCell ref="F15438:G15438"/>
    <mergeCell ref="H15438:K15438"/>
    <mergeCell ref="L15438:O15438"/>
    <mergeCell ref="E15452:E15453"/>
    <mergeCell ref="A15456:B15456"/>
    <mergeCell ref="C15456:D15456"/>
    <mergeCell ref="G15456:O15456"/>
    <mergeCell ref="A15457:B15457"/>
    <mergeCell ref="C15457:D15457"/>
    <mergeCell ref="G15457:O15462"/>
    <mergeCell ref="A15458:B15458"/>
    <mergeCell ref="C15458:D15458"/>
    <mergeCell ref="A15459:B15459"/>
    <mergeCell ref="C15459:D15459"/>
    <mergeCell ref="A15460:B15460"/>
    <mergeCell ref="C15460:D15460"/>
    <mergeCell ref="A15461:B15461"/>
    <mergeCell ref="C15461:D15461"/>
    <mergeCell ref="A15462:B15462"/>
    <mergeCell ref="C15462:D15462"/>
    <mergeCell ref="H15448:K15448"/>
    <mergeCell ref="L15448:O15448"/>
    <mergeCell ref="B15432:D15432"/>
    <mergeCell ref="F15432:G15432"/>
    <mergeCell ref="H15432:K15432"/>
    <mergeCell ref="L15432:O15432"/>
    <mergeCell ref="B15434:D15434"/>
    <mergeCell ref="F15434:G15434"/>
    <mergeCell ref="H15434:K15434"/>
    <mergeCell ref="L15434:O15434"/>
    <mergeCell ref="B15435:D15435"/>
    <mergeCell ref="F15435:G15435"/>
    <mergeCell ref="H15435:K15435"/>
    <mergeCell ref="L15435:O15435"/>
    <mergeCell ref="B15436:D15436"/>
    <mergeCell ref="F15436:G15436"/>
    <mergeCell ref="H15436:K15436"/>
    <mergeCell ref="L15436:O15436"/>
    <mergeCell ref="B15437:D15437"/>
    <mergeCell ref="F15437:G15437"/>
    <mergeCell ref="H15437:K15437"/>
    <mergeCell ref="L15437:O15437"/>
    <mergeCell ref="N15423:O15423"/>
    <mergeCell ref="B15396:D15396"/>
    <mergeCell ref="F15396:G15396"/>
    <mergeCell ref="H15396:K15396"/>
    <mergeCell ref="L15396:O15396"/>
    <mergeCell ref="B15397:D15397"/>
    <mergeCell ref="F15397:G15397"/>
    <mergeCell ref="H15397:K15397"/>
    <mergeCell ref="L15397:O15397"/>
    <mergeCell ref="B15398:D15398"/>
    <mergeCell ref="F15398:G15398"/>
    <mergeCell ref="H15398:K15398"/>
    <mergeCell ref="L15398:O15398"/>
    <mergeCell ref="L15429:O15429"/>
    <mergeCell ref="B15431:D15431"/>
    <mergeCell ref="F15431:G15431"/>
    <mergeCell ref="H15431:K15431"/>
    <mergeCell ref="L15431:O15431"/>
    <mergeCell ref="A15413:B15413"/>
    <mergeCell ref="C15413:D15413"/>
    <mergeCell ref="G15413:O15413"/>
    <mergeCell ref="A15414:B15414"/>
    <mergeCell ref="C15414:D15414"/>
    <mergeCell ref="G15414:O15419"/>
    <mergeCell ref="A15415:B15415"/>
    <mergeCell ref="C15415:D15415"/>
    <mergeCell ref="A15416:B15416"/>
    <mergeCell ref="C15416:D15416"/>
    <mergeCell ref="A15417:B15417"/>
    <mergeCell ref="C15417:D15417"/>
    <mergeCell ref="A15418:B15418"/>
    <mergeCell ref="C15418:D15418"/>
    <mergeCell ref="A15419:B15419"/>
    <mergeCell ref="C15419:D15419"/>
    <mergeCell ref="N15421:O15421"/>
    <mergeCell ref="E15409:E15410"/>
    <mergeCell ref="B15405:D15405"/>
    <mergeCell ref="F15405:G15405"/>
    <mergeCell ref="H15405:K15405"/>
    <mergeCell ref="L15405:O15405"/>
    <mergeCell ref="L15391:O15391"/>
    <mergeCell ref="B15393:D15393"/>
    <mergeCell ref="F15393:G15393"/>
    <mergeCell ref="H15393:K15393"/>
    <mergeCell ref="L15393:O15393"/>
    <mergeCell ref="B15394:D15394"/>
    <mergeCell ref="F15394:G15394"/>
    <mergeCell ref="H15394:K15394"/>
    <mergeCell ref="L15394:O15394"/>
    <mergeCell ref="B15400:D15400"/>
    <mergeCell ref="F15400:G15400"/>
    <mergeCell ref="H15400:K15400"/>
    <mergeCell ref="L15400:O15400"/>
    <mergeCell ref="B15403:D15403"/>
    <mergeCell ref="F15403:G15403"/>
    <mergeCell ref="H15403:K15403"/>
    <mergeCell ref="L15403:O15403"/>
    <mergeCell ref="L15213:O15213"/>
    <mergeCell ref="N15206:O15206"/>
    <mergeCell ref="N15208:O15208"/>
    <mergeCell ref="B15174:D15174"/>
    <mergeCell ref="F15174:G15174"/>
    <mergeCell ref="H15174:K15174"/>
    <mergeCell ref="L15174:O15174"/>
    <mergeCell ref="B15176:D15176"/>
    <mergeCell ref="F15176:G15176"/>
    <mergeCell ref="H15176:K15176"/>
    <mergeCell ref="L15176:O15176"/>
    <mergeCell ref="B15177:D15177"/>
    <mergeCell ref="F15177:G15177"/>
    <mergeCell ref="H15177:K15177"/>
    <mergeCell ref="L15177:O15177"/>
    <mergeCell ref="B15180:D15180"/>
    <mergeCell ref="F15180:G15180"/>
    <mergeCell ref="H15180:K15180"/>
    <mergeCell ref="L15180:O15180"/>
    <mergeCell ref="B15181:D15181"/>
    <mergeCell ref="F15181:G15181"/>
    <mergeCell ref="H15181:K15181"/>
    <mergeCell ref="L15181:O15181"/>
    <mergeCell ref="B15182:D15182"/>
    <mergeCell ref="F15182:G15182"/>
    <mergeCell ref="H15182:K15182"/>
    <mergeCell ref="L15182:O15182"/>
    <mergeCell ref="E15194:E15195"/>
    <mergeCell ref="A15198:B15198"/>
    <mergeCell ref="C15198:D15198"/>
    <mergeCell ref="G15198:O15198"/>
    <mergeCell ref="A15199:B15199"/>
    <mergeCell ref="C15199:D15199"/>
    <mergeCell ref="G15199:O15204"/>
    <mergeCell ref="A15200:B15200"/>
    <mergeCell ref="C15200:D15200"/>
    <mergeCell ref="A15201:B15201"/>
    <mergeCell ref="C15201:D15201"/>
    <mergeCell ref="A15202:B15202"/>
    <mergeCell ref="C15202:D15202"/>
    <mergeCell ref="A15203:B15203"/>
    <mergeCell ref="C15203:D15203"/>
    <mergeCell ref="A15204:B15204"/>
    <mergeCell ref="C15204:D15204"/>
    <mergeCell ref="B15187:D15187"/>
    <mergeCell ref="F15187:G15187"/>
    <mergeCell ref="H15187:K15187"/>
    <mergeCell ref="L15187:O15187"/>
    <mergeCell ref="B15190:D15190"/>
    <mergeCell ref="F15190:G15190"/>
    <mergeCell ref="H15190:K15190"/>
    <mergeCell ref="L15190:O15190"/>
    <mergeCell ref="B15192:D15192"/>
    <mergeCell ref="F15192:G15192"/>
    <mergeCell ref="H15192:K15192"/>
    <mergeCell ref="L15192:O15192"/>
    <mergeCell ref="L15170:O15170"/>
    <mergeCell ref="B15172:D15172"/>
    <mergeCell ref="F15172:G15172"/>
    <mergeCell ref="H15172:K15172"/>
    <mergeCell ref="L15172:O15172"/>
    <mergeCell ref="B15173:D15173"/>
    <mergeCell ref="F15173:G15173"/>
    <mergeCell ref="H15173:K15173"/>
    <mergeCell ref="L15173:O15173"/>
    <mergeCell ref="B15185:D15185"/>
    <mergeCell ref="F15185:G15185"/>
    <mergeCell ref="H15185:K15185"/>
    <mergeCell ref="L15185:O15185"/>
    <mergeCell ref="B15186:D15186"/>
    <mergeCell ref="F15186:G15186"/>
    <mergeCell ref="H15186:K15186"/>
    <mergeCell ref="L15186:O15186"/>
    <mergeCell ref="L14942:O14942"/>
    <mergeCell ref="N14938:O14938"/>
    <mergeCell ref="B14917:D14917"/>
    <mergeCell ref="F14917:G14917"/>
    <mergeCell ref="H14917:K14917"/>
    <mergeCell ref="L14917:O14917"/>
    <mergeCell ref="B14920:D14920"/>
    <mergeCell ref="F14920:G14920"/>
    <mergeCell ref="H14920:K14920"/>
    <mergeCell ref="L14920:O14920"/>
    <mergeCell ref="A14928:B14928"/>
    <mergeCell ref="C14928:D14928"/>
    <mergeCell ref="G14928:O14928"/>
    <mergeCell ref="A14929:B14929"/>
    <mergeCell ref="C14929:D14929"/>
    <mergeCell ref="G14929:O14934"/>
    <mergeCell ref="A14930:B14930"/>
    <mergeCell ref="C14930:D14930"/>
    <mergeCell ref="A14931:B14931"/>
    <mergeCell ref="C14931:D14931"/>
    <mergeCell ref="A14932:B14932"/>
    <mergeCell ref="C14932:D14932"/>
    <mergeCell ref="A14933:B14933"/>
    <mergeCell ref="C14933:D14933"/>
    <mergeCell ref="A14934:B14934"/>
    <mergeCell ref="C14934:D14934"/>
    <mergeCell ref="N14936:O14936"/>
    <mergeCell ref="E14924:E14925"/>
    <mergeCell ref="N14785:O14785"/>
    <mergeCell ref="N14787:O14787"/>
    <mergeCell ref="L14909:O14909"/>
    <mergeCell ref="B14911:D14911"/>
    <mergeCell ref="F14911:G14911"/>
    <mergeCell ref="H14911:K14911"/>
    <mergeCell ref="L14911:O14911"/>
    <mergeCell ref="B14912:D14912"/>
    <mergeCell ref="F14912:G14912"/>
    <mergeCell ref="H14912:K14912"/>
    <mergeCell ref="L14912:O14912"/>
    <mergeCell ref="B14916:D14916"/>
    <mergeCell ref="F14916:G14916"/>
    <mergeCell ref="H14916:K14916"/>
    <mergeCell ref="L14916:O14916"/>
    <mergeCell ref="B14918:D14918"/>
    <mergeCell ref="F14918:G14918"/>
    <mergeCell ref="H14918:K14918"/>
    <mergeCell ref="L14918:O14918"/>
    <mergeCell ref="B14914:D14914"/>
    <mergeCell ref="F14914:G14914"/>
    <mergeCell ref="H14914:K14914"/>
    <mergeCell ref="L14914:O14914"/>
    <mergeCell ref="F14771:G14771"/>
    <mergeCell ref="H14771:K14771"/>
    <mergeCell ref="L14771:O14771"/>
    <mergeCell ref="E14773:E14774"/>
    <mergeCell ref="A14777:B14777"/>
    <mergeCell ref="C14777:D14777"/>
    <mergeCell ref="G14777:O14777"/>
    <mergeCell ref="A14778:B14778"/>
    <mergeCell ref="C14778:D14778"/>
    <mergeCell ref="G14778:O14783"/>
    <mergeCell ref="A14779:B14779"/>
    <mergeCell ref="C14779:D14779"/>
    <mergeCell ref="A14780:B14780"/>
    <mergeCell ref="C14780:D14780"/>
    <mergeCell ref="A14781:B14781"/>
    <mergeCell ref="C14781:D14781"/>
    <mergeCell ref="A14782:B14782"/>
    <mergeCell ref="C14782:D14782"/>
    <mergeCell ref="A14783:B14783"/>
    <mergeCell ref="C14783:D14783"/>
    <mergeCell ref="L14703:O14703"/>
    <mergeCell ref="L14793:O14793"/>
    <mergeCell ref="L14758:O14758"/>
    <mergeCell ref="B14760:D14760"/>
    <mergeCell ref="F14760:G14760"/>
    <mergeCell ref="H14760:K14760"/>
    <mergeCell ref="L14760:O14760"/>
    <mergeCell ref="B14761:D14761"/>
    <mergeCell ref="F14761:G14761"/>
    <mergeCell ref="H14761:K14761"/>
    <mergeCell ref="L14761:O14761"/>
    <mergeCell ref="B14763:D14763"/>
    <mergeCell ref="F14763:G14763"/>
    <mergeCell ref="H14763:K14763"/>
    <mergeCell ref="L14763:O14763"/>
    <mergeCell ref="B14764:D14764"/>
    <mergeCell ref="F14764:G14764"/>
    <mergeCell ref="H14764:K14764"/>
    <mergeCell ref="L14764:O14764"/>
    <mergeCell ref="B14767:D14767"/>
    <mergeCell ref="F14767:G14767"/>
    <mergeCell ref="H14767:K14767"/>
    <mergeCell ref="L14767:O14767"/>
    <mergeCell ref="B14768:D14768"/>
    <mergeCell ref="F14768:G14768"/>
    <mergeCell ref="H14768:K14768"/>
    <mergeCell ref="L14768:O14768"/>
    <mergeCell ref="B14769:D14769"/>
    <mergeCell ref="F14769:G14769"/>
    <mergeCell ref="H14769:K14769"/>
    <mergeCell ref="L14769:O14769"/>
    <mergeCell ref="B14771:D14771"/>
    <mergeCell ref="L14472:O14472"/>
    <mergeCell ref="B14060:D14060"/>
    <mergeCell ref="F14060:G14060"/>
    <mergeCell ref="H14060:K14060"/>
    <mergeCell ref="L14060:O14060"/>
    <mergeCell ref="N13626:O13626"/>
    <mergeCell ref="B13601:D13601"/>
    <mergeCell ref="F13601:G13601"/>
    <mergeCell ref="H13601:K13601"/>
    <mergeCell ref="L13601:O13601"/>
    <mergeCell ref="A13616:B13616"/>
    <mergeCell ref="C13616:D13616"/>
    <mergeCell ref="G13616:O13616"/>
    <mergeCell ref="A13617:B13617"/>
    <mergeCell ref="C13617:D13617"/>
    <mergeCell ref="G13617:O13622"/>
    <mergeCell ref="A13618:B13618"/>
    <mergeCell ref="C13618:D13618"/>
    <mergeCell ref="A13619:B13619"/>
    <mergeCell ref="C13619:D13619"/>
    <mergeCell ref="A13620:B13620"/>
    <mergeCell ref="C13620:D13620"/>
    <mergeCell ref="A13621:B13621"/>
    <mergeCell ref="C13621:D13621"/>
    <mergeCell ref="A13622:B13622"/>
    <mergeCell ref="C13622:D13622"/>
    <mergeCell ref="N13624:O13624"/>
    <mergeCell ref="H13603:K13603"/>
    <mergeCell ref="L13603:O13603"/>
    <mergeCell ref="B13604:D13604"/>
    <mergeCell ref="F13604:G13604"/>
    <mergeCell ref="H13604:K13604"/>
    <mergeCell ref="L13604:O13604"/>
    <mergeCell ref="B13605:D13605"/>
    <mergeCell ref="F13605:G13605"/>
    <mergeCell ref="H13605:K13605"/>
    <mergeCell ref="L13605:O13605"/>
    <mergeCell ref="N13461:O13461"/>
    <mergeCell ref="B13599:D13599"/>
    <mergeCell ref="F13599:G13599"/>
    <mergeCell ref="H13599:K13599"/>
    <mergeCell ref="L13599:O13599"/>
    <mergeCell ref="E13612:E13613"/>
    <mergeCell ref="L13592:O13592"/>
    <mergeCell ref="B13594:D13594"/>
    <mergeCell ref="F13594:G13594"/>
    <mergeCell ref="H13594:K13594"/>
    <mergeCell ref="L13594:O13594"/>
    <mergeCell ref="B13595:D13595"/>
    <mergeCell ref="F13595:G13595"/>
    <mergeCell ref="H13595:K13595"/>
    <mergeCell ref="L13595:O13595"/>
    <mergeCell ref="B13597:D13597"/>
    <mergeCell ref="F13597:G13597"/>
    <mergeCell ref="H13597:K13597"/>
    <mergeCell ref="L13597:O13597"/>
    <mergeCell ref="B13598:D13598"/>
    <mergeCell ref="F13598:G13598"/>
    <mergeCell ref="H13598:K13598"/>
    <mergeCell ref="L13598:O13598"/>
    <mergeCell ref="B13603:D13603"/>
    <mergeCell ref="F13603:G13603"/>
    <mergeCell ref="B13608:D13608"/>
    <mergeCell ref="F13608:G13608"/>
    <mergeCell ref="H13608:K13608"/>
    <mergeCell ref="L13608:O13608"/>
    <mergeCell ref="H13442:K13442"/>
    <mergeCell ref="L13442:O13442"/>
    <mergeCell ref="B13444:D13444"/>
    <mergeCell ref="F13444:G13444"/>
    <mergeCell ref="H13444:K13444"/>
    <mergeCell ref="L13444:O13444"/>
    <mergeCell ref="B13445:D13445"/>
    <mergeCell ref="F13445:G13445"/>
    <mergeCell ref="H13445:K13445"/>
    <mergeCell ref="L13445:O13445"/>
    <mergeCell ref="B13446:D13446"/>
    <mergeCell ref="F13446:G13446"/>
    <mergeCell ref="H13446:K13446"/>
    <mergeCell ref="L13446:O13446"/>
    <mergeCell ref="E13449:E13450"/>
    <mergeCell ref="N13463:O13463"/>
    <mergeCell ref="A13453:B13453"/>
    <mergeCell ref="C13453:D13453"/>
    <mergeCell ref="G13453:O13453"/>
    <mergeCell ref="A13454:B13454"/>
    <mergeCell ref="C13454:D13454"/>
    <mergeCell ref="G13454:O13459"/>
    <mergeCell ref="A13455:B13455"/>
    <mergeCell ref="C13455:D13455"/>
    <mergeCell ref="A13456:B13456"/>
    <mergeCell ref="C13456:D13456"/>
    <mergeCell ref="A13457:B13457"/>
    <mergeCell ref="C13457:D13457"/>
    <mergeCell ref="A13458:B13458"/>
    <mergeCell ref="C13458:D13458"/>
    <mergeCell ref="A13459:B13459"/>
    <mergeCell ref="C13459:D13459"/>
    <mergeCell ref="L13215:O13215"/>
    <mergeCell ref="N13080:O13080"/>
    <mergeCell ref="A13070:B13070"/>
    <mergeCell ref="C13070:D13070"/>
    <mergeCell ref="G13070:O13070"/>
    <mergeCell ref="A13071:B13071"/>
    <mergeCell ref="C13071:D13071"/>
    <mergeCell ref="G13071:O13076"/>
    <mergeCell ref="A13072:B13072"/>
    <mergeCell ref="C13072:D13072"/>
    <mergeCell ref="A13073:B13073"/>
    <mergeCell ref="C13073:D13073"/>
    <mergeCell ref="A13074:B13074"/>
    <mergeCell ref="C13074:D13074"/>
    <mergeCell ref="A13075:B13075"/>
    <mergeCell ref="C13075:D13075"/>
    <mergeCell ref="A13076:B13076"/>
    <mergeCell ref="C13076:D13076"/>
    <mergeCell ref="N13078:O13078"/>
    <mergeCell ref="L13085:O13085"/>
    <mergeCell ref="L13180:O13180"/>
    <mergeCell ref="B13182:D13182"/>
    <mergeCell ref="F13182:G13182"/>
    <mergeCell ref="H13182:K13182"/>
    <mergeCell ref="L13182:O13182"/>
    <mergeCell ref="B13183:D13183"/>
    <mergeCell ref="F13183:G13183"/>
    <mergeCell ref="H13183:K13183"/>
    <mergeCell ref="L13183:O13183"/>
    <mergeCell ref="B13185:D13185"/>
    <mergeCell ref="F13185:G13185"/>
    <mergeCell ref="H13185:K13185"/>
    <mergeCell ref="E13066:E13067"/>
    <mergeCell ref="B13060:D13060"/>
    <mergeCell ref="F13060:G13060"/>
    <mergeCell ref="H13060:K13060"/>
    <mergeCell ref="L13060:O13060"/>
    <mergeCell ref="B13063:D13063"/>
    <mergeCell ref="F13063:G13063"/>
    <mergeCell ref="H13063:K13063"/>
    <mergeCell ref="L13063:O13063"/>
    <mergeCell ref="B13062:D13062"/>
    <mergeCell ref="F13062:G13062"/>
    <mergeCell ref="H13062:K13062"/>
    <mergeCell ref="L13062:O13062"/>
    <mergeCell ref="B13064:D13064"/>
    <mergeCell ref="F13064:G13064"/>
    <mergeCell ref="H13064:K13064"/>
    <mergeCell ref="L13064:O13064"/>
    <mergeCell ref="L13185:O13185"/>
    <mergeCell ref="N13020:O13020"/>
    <mergeCell ref="N13022:O13022"/>
    <mergeCell ref="B12997:D12997"/>
    <mergeCell ref="F12997:G12997"/>
    <mergeCell ref="H12997:K12997"/>
    <mergeCell ref="L12997:O12997"/>
    <mergeCell ref="B12998:D12998"/>
    <mergeCell ref="F12998:G12998"/>
    <mergeCell ref="H12998:K12998"/>
    <mergeCell ref="L12998:O12998"/>
    <mergeCell ref="B12999:D12999"/>
    <mergeCell ref="F12999:G12999"/>
    <mergeCell ref="H12999:K12999"/>
    <mergeCell ref="L12999:O12999"/>
    <mergeCell ref="L13028:O13028"/>
    <mergeCell ref="L13057:O13057"/>
    <mergeCell ref="B13059:D13059"/>
    <mergeCell ref="F13059:G13059"/>
    <mergeCell ref="H13059:K13059"/>
    <mergeCell ref="L13059:O13059"/>
    <mergeCell ref="E13008:E13009"/>
    <mergeCell ref="A13012:B13012"/>
    <mergeCell ref="C13012:D13012"/>
    <mergeCell ref="G13012:O13012"/>
    <mergeCell ref="A13013:B13013"/>
    <mergeCell ref="C13013:D13013"/>
    <mergeCell ref="G13013:O13018"/>
    <mergeCell ref="A13014:B13014"/>
    <mergeCell ref="C13014:D13014"/>
    <mergeCell ref="A13015:B13015"/>
    <mergeCell ref="C13015:D13015"/>
    <mergeCell ref="A13016:B13016"/>
    <mergeCell ref="C13016:D13016"/>
    <mergeCell ref="A13017:B13017"/>
    <mergeCell ref="C13017:D13017"/>
    <mergeCell ref="A13018:B13018"/>
    <mergeCell ref="C13018:D13018"/>
    <mergeCell ref="B13006:D13006"/>
    <mergeCell ref="F13006:G13006"/>
    <mergeCell ref="H13006:K13006"/>
    <mergeCell ref="L13006:O13006"/>
    <mergeCell ref="L13004:O13004"/>
    <mergeCell ref="B13004:D13004"/>
    <mergeCell ref="F13004:G13004"/>
    <mergeCell ref="H13004:K13004"/>
    <mergeCell ref="B13005:D13005"/>
    <mergeCell ref="F13005:G13005"/>
    <mergeCell ref="H13005:K13005"/>
    <mergeCell ref="L13005:O13005"/>
    <mergeCell ref="L12992:O12992"/>
    <mergeCell ref="B12994:D12994"/>
    <mergeCell ref="F12994:G12994"/>
    <mergeCell ref="H12994:K12994"/>
    <mergeCell ref="L12994:O12994"/>
    <mergeCell ref="B12995:D12995"/>
    <mergeCell ref="F12995:G12995"/>
    <mergeCell ref="H12995:K12995"/>
    <mergeCell ref="L12995:O12995"/>
    <mergeCell ref="B13001:D13001"/>
    <mergeCell ref="F13001:G13001"/>
    <mergeCell ref="H13001:K13001"/>
    <mergeCell ref="L13001:O13001"/>
    <mergeCell ref="B13002:D13002"/>
    <mergeCell ref="F13002:G13002"/>
    <mergeCell ref="H13002:K13002"/>
    <mergeCell ref="L13002:O13002"/>
    <mergeCell ref="N12881:O12881"/>
    <mergeCell ref="B12856:D12856"/>
    <mergeCell ref="F12856:G12856"/>
    <mergeCell ref="H12856:K12856"/>
    <mergeCell ref="L12856:O12856"/>
    <mergeCell ref="B12857:D12857"/>
    <mergeCell ref="F12857:G12857"/>
    <mergeCell ref="H12857:K12857"/>
    <mergeCell ref="L12857:O12857"/>
    <mergeCell ref="B12858:D12858"/>
    <mergeCell ref="F12858:G12858"/>
    <mergeCell ref="H12858:K12858"/>
    <mergeCell ref="L12858:O12858"/>
    <mergeCell ref="B12861:D12861"/>
    <mergeCell ref="F12861:G12861"/>
    <mergeCell ref="H12861:K12861"/>
    <mergeCell ref="L12861:O12861"/>
    <mergeCell ref="A12871:B12871"/>
    <mergeCell ref="C12871:D12871"/>
    <mergeCell ref="G12871:O12871"/>
    <mergeCell ref="A12872:B12872"/>
    <mergeCell ref="C12872:D12872"/>
    <mergeCell ref="G12872:O12877"/>
    <mergeCell ref="A12873:B12873"/>
    <mergeCell ref="C12873:D12873"/>
    <mergeCell ref="A12874:B12874"/>
    <mergeCell ref="C12874:D12874"/>
    <mergeCell ref="A12875:B12875"/>
    <mergeCell ref="C12875:D12875"/>
    <mergeCell ref="A12876:B12876"/>
    <mergeCell ref="C12876:D12876"/>
    <mergeCell ref="A12877:B12877"/>
    <mergeCell ref="C12877:D12877"/>
    <mergeCell ref="N12879:O12879"/>
    <mergeCell ref="B12852:D12852"/>
    <mergeCell ref="F12852:G12852"/>
    <mergeCell ref="H12852:K12852"/>
    <mergeCell ref="L12852:O12852"/>
    <mergeCell ref="B12863:D12863"/>
    <mergeCell ref="F12863:G12863"/>
    <mergeCell ref="H12863:K12863"/>
    <mergeCell ref="L12863:O12863"/>
    <mergeCell ref="B12862:D12862"/>
    <mergeCell ref="F12862:G12862"/>
    <mergeCell ref="H12862:K12862"/>
    <mergeCell ref="L12862:O12862"/>
    <mergeCell ref="B12864:D12864"/>
    <mergeCell ref="F12864:G12864"/>
    <mergeCell ref="H12864:K12864"/>
    <mergeCell ref="L12864:O12864"/>
    <mergeCell ref="E12867:E12868"/>
    <mergeCell ref="B12850:D12850"/>
    <mergeCell ref="F12850:G12850"/>
    <mergeCell ref="H12850:K12850"/>
    <mergeCell ref="L12850:O12850"/>
    <mergeCell ref="B12853:D12853"/>
    <mergeCell ref="F12853:G12853"/>
    <mergeCell ref="H12853:K12853"/>
    <mergeCell ref="L12853:O12853"/>
    <mergeCell ref="L12843:O12843"/>
    <mergeCell ref="B12845:D12845"/>
    <mergeCell ref="F12845:G12845"/>
    <mergeCell ref="H12845:K12845"/>
    <mergeCell ref="L12845:O12845"/>
    <mergeCell ref="B12846:D12846"/>
    <mergeCell ref="F12846:G12846"/>
    <mergeCell ref="H12846:K12846"/>
    <mergeCell ref="L12846:O12846"/>
    <mergeCell ref="B12848:D12848"/>
    <mergeCell ref="F12848:G12848"/>
    <mergeCell ref="H12848:K12848"/>
    <mergeCell ref="L12848:O12848"/>
    <mergeCell ref="B12849:D12849"/>
    <mergeCell ref="F12849:G12849"/>
    <mergeCell ref="H12849:K12849"/>
    <mergeCell ref="L12849:O12849"/>
    <mergeCell ref="B12583:D12583"/>
    <mergeCell ref="F12583:G12583"/>
    <mergeCell ref="H12583:K12583"/>
    <mergeCell ref="L12583:O12583"/>
    <mergeCell ref="N12687:O12687"/>
    <mergeCell ref="A12677:B12677"/>
    <mergeCell ref="C12677:D12677"/>
    <mergeCell ref="G12677:O12677"/>
    <mergeCell ref="A12678:B12678"/>
    <mergeCell ref="C12678:D12678"/>
    <mergeCell ref="G12678:O12683"/>
    <mergeCell ref="A12679:B12679"/>
    <mergeCell ref="C12679:D12679"/>
    <mergeCell ref="A12680:B12680"/>
    <mergeCell ref="C12680:D12680"/>
    <mergeCell ref="A12681:B12681"/>
    <mergeCell ref="C12681:D12681"/>
    <mergeCell ref="A12682:B12682"/>
    <mergeCell ref="C12682:D12682"/>
    <mergeCell ref="A12683:B12683"/>
    <mergeCell ref="C12683:D12683"/>
    <mergeCell ref="N12685:O12685"/>
    <mergeCell ref="B12665:D12665"/>
    <mergeCell ref="F12665:G12665"/>
    <mergeCell ref="H12665:K12665"/>
    <mergeCell ref="L12665:O12665"/>
    <mergeCell ref="B12662:D12662"/>
    <mergeCell ref="F12662:G12662"/>
    <mergeCell ref="H12662:K12662"/>
    <mergeCell ref="L12662:O12662"/>
    <mergeCell ref="B12664:D12664"/>
    <mergeCell ref="F12664:G12664"/>
    <mergeCell ref="H12664:K12664"/>
    <mergeCell ref="L12664:O12664"/>
    <mergeCell ref="B12668:D12668"/>
    <mergeCell ref="F12668:G12668"/>
    <mergeCell ref="H12668:K12668"/>
    <mergeCell ref="L12668:O12668"/>
    <mergeCell ref="E12673:E12674"/>
    <mergeCell ref="B12669:D12669"/>
    <mergeCell ref="F12669:G12669"/>
    <mergeCell ref="H12669:K12669"/>
    <mergeCell ref="L12669:O12669"/>
    <mergeCell ref="B12670:D12670"/>
    <mergeCell ref="F12670:G12670"/>
    <mergeCell ref="H12670:K12670"/>
    <mergeCell ref="L12670:O12670"/>
    <mergeCell ref="B12666:D12666"/>
    <mergeCell ref="F12666:G12666"/>
    <mergeCell ref="H12666:K12666"/>
    <mergeCell ref="L12666:O12666"/>
    <mergeCell ref="N12647:O12647"/>
    <mergeCell ref="N12649:O12649"/>
    <mergeCell ref="L12655:O12655"/>
    <mergeCell ref="B12657:D12657"/>
    <mergeCell ref="F12657:G12657"/>
    <mergeCell ref="H12657:K12657"/>
    <mergeCell ref="L12657:O12657"/>
    <mergeCell ref="B12658:D12658"/>
    <mergeCell ref="F12658:G12658"/>
    <mergeCell ref="H12658:K12658"/>
    <mergeCell ref="L12658:O12658"/>
    <mergeCell ref="B12660:D12660"/>
    <mergeCell ref="F12660:G12660"/>
    <mergeCell ref="H12660:K12660"/>
    <mergeCell ref="L12660:O12660"/>
    <mergeCell ref="B12661:D12661"/>
    <mergeCell ref="F12661:G12661"/>
    <mergeCell ref="H12661:K12661"/>
    <mergeCell ref="L12661:O12661"/>
    <mergeCell ref="B12631:D12631"/>
    <mergeCell ref="F12631:G12631"/>
    <mergeCell ref="H12631:K12631"/>
    <mergeCell ref="L12631:O12631"/>
    <mergeCell ref="B12630:D12630"/>
    <mergeCell ref="F12630:G12630"/>
    <mergeCell ref="H12630:K12630"/>
    <mergeCell ref="L12630:O12630"/>
    <mergeCell ref="E12635:E12636"/>
    <mergeCell ref="A12639:B12639"/>
    <mergeCell ref="C12639:D12639"/>
    <mergeCell ref="G12639:O12639"/>
    <mergeCell ref="A12640:B12640"/>
    <mergeCell ref="C12640:D12640"/>
    <mergeCell ref="G12640:O12645"/>
    <mergeCell ref="A12641:B12641"/>
    <mergeCell ref="C12641:D12641"/>
    <mergeCell ref="A12642:B12642"/>
    <mergeCell ref="C12642:D12642"/>
    <mergeCell ref="A12643:B12643"/>
    <mergeCell ref="C12643:D12643"/>
    <mergeCell ref="A12644:B12644"/>
    <mergeCell ref="C12644:D12644"/>
    <mergeCell ref="A12645:B12645"/>
    <mergeCell ref="C12645:D12645"/>
    <mergeCell ref="B12627:D12627"/>
    <mergeCell ref="F12627:G12627"/>
    <mergeCell ref="H12627:K12627"/>
    <mergeCell ref="L12627:O12627"/>
    <mergeCell ref="B12621:D12621"/>
    <mergeCell ref="F12621:G12621"/>
    <mergeCell ref="H12621:K12621"/>
    <mergeCell ref="L12621:O12621"/>
    <mergeCell ref="B12623:D12623"/>
    <mergeCell ref="F12623:G12623"/>
    <mergeCell ref="H12623:K12623"/>
    <mergeCell ref="L12623:O12623"/>
    <mergeCell ref="B12622:D12622"/>
    <mergeCell ref="F12622:G12622"/>
    <mergeCell ref="H12622:K12622"/>
    <mergeCell ref="L12622:O12622"/>
    <mergeCell ref="B12625:D12625"/>
    <mergeCell ref="F12625:G12625"/>
    <mergeCell ref="H12625:K12625"/>
    <mergeCell ref="L12625:O12625"/>
    <mergeCell ref="L12619:O12619"/>
    <mergeCell ref="B12620:D12620"/>
    <mergeCell ref="F12620:G12620"/>
    <mergeCell ref="H12620:K12620"/>
    <mergeCell ref="L12620:O12620"/>
    <mergeCell ref="L12605:O12605"/>
    <mergeCell ref="L12614:O12614"/>
    <mergeCell ref="B12616:D12616"/>
    <mergeCell ref="F12616:G12616"/>
    <mergeCell ref="H12616:K12616"/>
    <mergeCell ref="L12616:O12616"/>
    <mergeCell ref="B12617:D12617"/>
    <mergeCell ref="F12617:G12617"/>
    <mergeCell ref="H12617:K12617"/>
    <mergeCell ref="L12617:O12617"/>
    <mergeCell ref="B12626:D12626"/>
    <mergeCell ref="F12626:G12626"/>
    <mergeCell ref="H12626:K12626"/>
    <mergeCell ref="L12626:O12626"/>
    <mergeCell ref="N12413:O12413"/>
    <mergeCell ref="N12415:O12415"/>
    <mergeCell ref="B12386:D12386"/>
    <mergeCell ref="F12386:G12386"/>
    <mergeCell ref="H12386:K12386"/>
    <mergeCell ref="L12386:O12386"/>
    <mergeCell ref="B12387:D12387"/>
    <mergeCell ref="F12387:G12387"/>
    <mergeCell ref="H12387:K12387"/>
    <mergeCell ref="L12387:O12387"/>
    <mergeCell ref="B12388:D12388"/>
    <mergeCell ref="F12388:G12388"/>
    <mergeCell ref="H12388:K12388"/>
    <mergeCell ref="L12388:O12388"/>
    <mergeCell ref="B12389:D12389"/>
    <mergeCell ref="F12389:G12389"/>
    <mergeCell ref="H12389:K12389"/>
    <mergeCell ref="L12389:O12389"/>
    <mergeCell ref="B12390:D12390"/>
    <mergeCell ref="F12390:G12390"/>
    <mergeCell ref="H12390:K12390"/>
    <mergeCell ref="L12390:O12390"/>
    <mergeCell ref="B12396:D12396"/>
    <mergeCell ref="F12396:G12396"/>
    <mergeCell ref="H12396:K12396"/>
    <mergeCell ref="L12396:O12396"/>
    <mergeCell ref="B12399:D12399"/>
    <mergeCell ref="F12399:G12399"/>
    <mergeCell ref="H12399:K12399"/>
    <mergeCell ref="L12399:O12399"/>
    <mergeCell ref="E12401:E12402"/>
    <mergeCell ref="A12405:B12405"/>
    <mergeCell ref="C12405:D12405"/>
    <mergeCell ref="G12405:O12405"/>
    <mergeCell ref="A12406:B12406"/>
    <mergeCell ref="C12406:D12406"/>
    <mergeCell ref="G12406:O12411"/>
    <mergeCell ref="A12407:B12407"/>
    <mergeCell ref="C12407:D12407"/>
    <mergeCell ref="A12408:B12408"/>
    <mergeCell ref="C12408:D12408"/>
    <mergeCell ref="A12409:B12409"/>
    <mergeCell ref="C12409:D12409"/>
    <mergeCell ref="A12410:B12410"/>
    <mergeCell ref="C12410:D12410"/>
    <mergeCell ref="A12411:B12411"/>
    <mergeCell ref="C12411:D12411"/>
    <mergeCell ref="B12395:D12395"/>
    <mergeCell ref="F12395:G12395"/>
    <mergeCell ref="H12395:K12395"/>
    <mergeCell ref="L12395:O12395"/>
    <mergeCell ref="B12397:D12397"/>
    <mergeCell ref="F12397:G12397"/>
    <mergeCell ref="H12397:K12397"/>
    <mergeCell ref="L12397:O12397"/>
    <mergeCell ref="B12398:D12398"/>
    <mergeCell ref="F12398:G12398"/>
    <mergeCell ref="H12398:K12398"/>
    <mergeCell ref="L12398:O12398"/>
    <mergeCell ref="F12394:G12394"/>
    <mergeCell ref="B12394:D12394"/>
    <mergeCell ref="H12394:K12394"/>
    <mergeCell ref="L12394:O12394"/>
    <mergeCell ref="L12381:O12381"/>
    <mergeCell ref="B12383:D12383"/>
    <mergeCell ref="F12383:G12383"/>
    <mergeCell ref="H12383:K12383"/>
    <mergeCell ref="L12383:O12383"/>
    <mergeCell ref="B12384:D12384"/>
    <mergeCell ref="F12384:G12384"/>
    <mergeCell ref="H12384:K12384"/>
    <mergeCell ref="L12384:O12384"/>
    <mergeCell ref="B12393:D12393"/>
    <mergeCell ref="F12393:G12393"/>
    <mergeCell ref="H12393:K12393"/>
    <mergeCell ref="L12393:O12393"/>
    <mergeCell ref="B12392:D12392"/>
    <mergeCell ref="F12392:G12392"/>
    <mergeCell ref="H12392:K12392"/>
    <mergeCell ref="L12392:O12392"/>
    <mergeCell ref="L12248:O12248"/>
    <mergeCell ref="L12420:O12420"/>
    <mergeCell ref="B12214:D12214"/>
    <mergeCell ref="F12214:G12214"/>
    <mergeCell ref="H12214:K12214"/>
    <mergeCell ref="L12214:O12214"/>
    <mergeCell ref="B12215:D12215"/>
    <mergeCell ref="F12215:G12215"/>
    <mergeCell ref="H12215:K12215"/>
    <mergeCell ref="L12215:O12215"/>
    <mergeCell ref="B12216:D12216"/>
    <mergeCell ref="F12216:G12216"/>
    <mergeCell ref="H12216:K12216"/>
    <mergeCell ref="L12216:O12216"/>
    <mergeCell ref="B12210:D12210"/>
    <mergeCell ref="F12210:G12210"/>
    <mergeCell ref="H12210:K12210"/>
    <mergeCell ref="L12210:O12210"/>
    <mergeCell ref="B12211:D12211"/>
    <mergeCell ref="F12211:G12211"/>
    <mergeCell ref="H12211:K12211"/>
    <mergeCell ref="L12211:O12211"/>
    <mergeCell ref="B12219:D12219"/>
    <mergeCell ref="F12219:G12219"/>
    <mergeCell ref="H12219:K12219"/>
    <mergeCell ref="L12219:O12219"/>
    <mergeCell ref="B12222:D12222"/>
    <mergeCell ref="F12222:G12222"/>
    <mergeCell ref="H12222:K12222"/>
    <mergeCell ref="L12222:O12222"/>
    <mergeCell ref="F12225:G12225"/>
    <mergeCell ref="H12225:K12225"/>
    <mergeCell ref="B12020:D12020"/>
    <mergeCell ref="F12020:G12020"/>
    <mergeCell ref="H12020:K12020"/>
    <mergeCell ref="L12020:O12020"/>
    <mergeCell ref="B12021:D12021"/>
    <mergeCell ref="F12021:G12021"/>
    <mergeCell ref="H12021:K12021"/>
    <mergeCell ref="L12021:O12021"/>
    <mergeCell ref="B12022:D12022"/>
    <mergeCell ref="F12022:G12022"/>
    <mergeCell ref="H12022:K12022"/>
    <mergeCell ref="L12022:O12022"/>
    <mergeCell ref="B12025:D12025"/>
    <mergeCell ref="F12025:G12025"/>
    <mergeCell ref="H12025:K12025"/>
    <mergeCell ref="L12025:O12025"/>
    <mergeCell ref="B12026:D12026"/>
    <mergeCell ref="F12026:G12026"/>
    <mergeCell ref="H12026:K12026"/>
    <mergeCell ref="L12026:O12026"/>
    <mergeCell ref="L12032:O12032"/>
    <mergeCell ref="L12205:O12205"/>
    <mergeCell ref="B12207:D12207"/>
    <mergeCell ref="F12207:G12207"/>
    <mergeCell ref="B12224:D12224"/>
    <mergeCell ref="F12224:G12224"/>
    <mergeCell ref="H12224:K12224"/>
    <mergeCell ref="L12224:O12224"/>
    <mergeCell ref="B12226:D12226"/>
    <mergeCell ref="F12226:G12226"/>
    <mergeCell ref="H12226:K12226"/>
    <mergeCell ref="L12226:O12226"/>
    <mergeCell ref="E12228:E12229"/>
    <mergeCell ref="N12242:O12242"/>
    <mergeCell ref="A12232:B12232"/>
    <mergeCell ref="C12232:D12232"/>
    <mergeCell ref="G12232:O12232"/>
    <mergeCell ref="A12233:B12233"/>
    <mergeCell ref="C12233:D12233"/>
    <mergeCell ref="G12233:O12238"/>
    <mergeCell ref="A12234:B12234"/>
    <mergeCell ref="C12234:D12234"/>
    <mergeCell ref="A12235:B12235"/>
    <mergeCell ref="C12235:D12235"/>
    <mergeCell ref="A12236:B12236"/>
    <mergeCell ref="C12236:D12236"/>
    <mergeCell ref="A12237:B12237"/>
    <mergeCell ref="C12237:D12237"/>
    <mergeCell ref="A12238:B12238"/>
    <mergeCell ref="C12238:D12238"/>
    <mergeCell ref="N12240:O12240"/>
    <mergeCell ref="B12225:D12225"/>
    <mergeCell ref="L12225:O12225"/>
    <mergeCell ref="H12207:K12207"/>
    <mergeCell ref="L12207:O12207"/>
    <mergeCell ref="B12208:D12208"/>
    <mergeCell ref="F12208:G12208"/>
    <mergeCell ref="H12208:K12208"/>
    <mergeCell ref="L12208:O12208"/>
    <mergeCell ref="B12221:D12221"/>
    <mergeCell ref="F12221:G12221"/>
    <mergeCell ref="H12221:K12221"/>
    <mergeCell ref="L12221:O12221"/>
    <mergeCell ref="N12053:O12053"/>
    <mergeCell ref="N12051:O12051"/>
    <mergeCell ref="B12220:D12220"/>
    <mergeCell ref="F12220:G12220"/>
    <mergeCell ref="H12220:K12220"/>
    <mergeCell ref="L12220:O12220"/>
    <mergeCell ref="B12015:D12015"/>
    <mergeCell ref="F12015:G12015"/>
    <mergeCell ref="H12015:K12015"/>
    <mergeCell ref="L12015:O12015"/>
    <mergeCell ref="B12016:D12016"/>
    <mergeCell ref="F12016:G12016"/>
    <mergeCell ref="H12016:K12016"/>
    <mergeCell ref="L12016:O12016"/>
    <mergeCell ref="B12017:D12017"/>
    <mergeCell ref="F12017:G12017"/>
    <mergeCell ref="H12017:K12017"/>
    <mergeCell ref="L12017:O12017"/>
    <mergeCell ref="B12018:D12018"/>
    <mergeCell ref="F12018:G12018"/>
    <mergeCell ref="H12018:K12018"/>
    <mergeCell ref="L12018:O12018"/>
    <mergeCell ref="B12019:D12019"/>
    <mergeCell ref="F12019:G12019"/>
    <mergeCell ref="H12019:K12019"/>
    <mergeCell ref="L12019:O12019"/>
    <mergeCell ref="B12027:D12027"/>
    <mergeCell ref="F12027:G12027"/>
    <mergeCell ref="H12027:K12027"/>
    <mergeCell ref="L12027:O12027"/>
    <mergeCell ref="B12030:D12030"/>
    <mergeCell ref="F12030:G12030"/>
    <mergeCell ref="H12030:K12030"/>
    <mergeCell ref="L12030:O12030"/>
    <mergeCell ref="B12031:D12031"/>
    <mergeCell ref="F12031:G12031"/>
    <mergeCell ref="H12031:K12031"/>
    <mergeCell ref="A12043:B12043"/>
    <mergeCell ref="C12043:D12043"/>
    <mergeCell ref="G12043:O12043"/>
    <mergeCell ref="A12044:B12044"/>
    <mergeCell ref="C12044:D12044"/>
    <mergeCell ref="G12044:O12049"/>
    <mergeCell ref="A12045:B12045"/>
    <mergeCell ref="C12045:D12045"/>
    <mergeCell ref="A12046:B12046"/>
    <mergeCell ref="C12046:D12046"/>
    <mergeCell ref="A12047:B12047"/>
    <mergeCell ref="C12047:D12047"/>
    <mergeCell ref="A12048:B12048"/>
    <mergeCell ref="C12048:D12048"/>
    <mergeCell ref="A12049:B12049"/>
    <mergeCell ref="C12049:D12049"/>
    <mergeCell ref="E12039:E12040"/>
    <mergeCell ref="L12031:O12031"/>
    <mergeCell ref="B12032:D12032"/>
    <mergeCell ref="F12032:G12032"/>
    <mergeCell ref="H12032:K12032"/>
    <mergeCell ref="L11779:O11779"/>
    <mergeCell ref="L12059:O12059"/>
    <mergeCell ref="L12010:O12010"/>
    <mergeCell ref="B12012:D12012"/>
    <mergeCell ref="F12012:G12012"/>
    <mergeCell ref="H12012:K12012"/>
    <mergeCell ref="L12012:O12012"/>
    <mergeCell ref="B12013:D12013"/>
    <mergeCell ref="F12013:G12013"/>
    <mergeCell ref="H12013:K12013"/>
    <mergeCell ref="L12013:O12013"/>
    <mergeCell ref="B12033:D12033"/>
    <mergeCell ref="F12033:G12033"/>
    <mergeCell ref="H12033:K12033"/>
    <mergeCell ref="L12033:O12033"/>
    <mergeCell ref="L11749:O11749"/>
    <mergeCell ref="B11750:D11750"/>
    <mergeCell ref="F11750:G11750"/>
    <mergeCell ref="H11750:K11750"/>
    <mergeCell ref="L11750:O11750"/>
    <mergeCell ref="B11751:D11751"/>
    <mergeCell ref="F11751:G11751"/>
    <mergeCell ref="H11751:K11751"/>
    <mergeCell ref="B11754:D11754"/>
    <mergeCell ref="F11754:G11754"/>
    <mergeCell ref="H11754:K11754"/>
    <mergeCell ref="L11754:O11754"/>
    <mergeCell ref="E11760:E11761"/>
    <mergeCell ref="L11751:O11751"/>
    <mergeCell ref="B11752:D11752"/>
    <mergeCell ref="F11752:G11752"/>
    <mergeCell ref="H11752:K11752"/>
    <mergeCell ref="B11741:D11741"/>
    <mergeCell ref="F11741:G11741"/>
    <mergeCell ref="H11741:K11741"/>
    <mergeCell ref="L11741:O11741"/>
    <mergeCell ref="B11739:D11739"/>
    <mergeCell ref="F11739:G11739"/>
    <mergeCell ref="H11739:K11739"/>
    <mergeCell ref="L11739:O11739"/>
    <mergeCell ref="B11742:D11742"/>
    <mergeCell ref="F11742:G11742"/>
    <mergeCell ref="H11742:K11742"/>
    <mergeCell ref="L11742:O11742"/>
    <mergeCell ref="B11740:D11740"/>
    <mergeCell ref="F11740:G11740"/>
    <mergeCell ref="H11740:K11740"/>
    <mergeCell ref="L11740:O11740"/>
    <mergeCell ref="L11748:O11748"/>
    <mergeCell ref="B11745:D11745"/>
    <mergeCell ref="F11745:G11745"/>
    <mergeCell ref="H11745:K11745"/>
    <mergeCell ref="L11745:O11745"/>
    <mergeCell ref="B11746:D11746"/>
    <mergeCell ref="F11746:G11746"/>
    <mergeCell ref="H11746:K11746"/>
    <mergeCell ref="L11746:O11746"/>
    <mergeCell ref="B11747:D11747"/>
    <mergeCell ref="F11747:G11747"/>
    <mergeCell ref="H11747:K11747"/>
    <mergeCell ref="L11747:O11747"/>
    <mergeCell ref="B11748:D11748"/>
    <mergeCell ref="F11748:G11748"/>
    <mergeCell ref="H11748:K11748"/>
    <mergeCell ref="N11499:O11499"/>
    <mergeCell ref="N11501:O11501"/>
    <mergeCell ref="B11469:D11469"/>
    <mergeCell ref="F11469:G11469"/>
    <mergeCell ref="H11469:K11469"/>
    <mergeCell ref="L11469:O11469"/>
    <mergeCell ref="B11470:D11470"/>
    <mergeCell ref="F11470:G11470"/>
    <mergeCell ref="H11470:K11470"/>
    <mergeCell ref="L11470:O11470"/>
    <mergeCell ref="B11471:D11471"/>
    <mergeCell ref="F11471:G11471"/>
    <mergeCell ref="H11471:K11471"/>
    <mergeCell ref="L11471:O11471"/>
    <mergeCell ref="B11477:D11477"/>
    <mergeCell ref="F11477:G11477"/>
    <mergeCell ref="H11477:K11477"/>
    <mergeCell ref="L11477:O11477"/>
    <mergeCell ref="B11476:D11476"/>
    <mergeCell ref="F11476:G11476"/>
    <mergeCell ref="H11476:K11476"/>
    <mergeCell ref="L11476:O11476"/>
    <mergeCell ref="B11479:D11479"/>
    <mergeCell ref="F11479:G11479"/>
    <mergeCell ref="H11479:K11479"/>
    <mergeCell ref="L11479:O11479"/>
    <mergeCell ref="B11485:D11485"/>
    <mergeCell ref="E11487:E11488"/>
    <mergeCell ref="A11491:B11491"/>
    <mergeCell ref="C11491:D11491"/>
    <mergeCell ref="G11491:O11491"/>
    <mergeCell ref="A11492:B11492"/>
    <mergeCell ref="C11492:D11492"/>
    <mergeCell ref="G11492:O11497"/>
    <mergeCell ref="A11493:B11493"/>
    <mergeCell ref="C11493:D11493"/>
    <mergeCell ref="A11494:B11494"/>
    <mergeCell ref="C11494:D11494"/>
    <mergeCell ref="A11495:B11495"/>
    <mergeCell ref="C11495:D11495"/>
    <mergeCell ref="A11496:B11496"/>
    <mergeCell ref="C11496:D11496"/>
    <mergeCell ref="A11497:B11497"/>
    <mergeCell ref="C11497:D11497"/>
    <mergeCell ref="B11478:D11478"/>
    <mergeCell ref="F11478:G11478"/>
    <mergeCell ref="H11478:K11478"/>
    <mergeCell ref="L11478:O11478"/>
    <mergeCell ref="B11482:D11482"/>
    <mergeCell ref="F11482:G11482"/>
    <mergeCell ref="H11482:K11482"/>
    <mergeCell ref="L11482:O11482"/>
    <mergeCell ref="B11483:D11483"/>
    <mergeCell ref="F11483:G11483"/>
    <mergeCell ref="H11483:K11483"/>
    <mergeCell ref="L11483:O11483"/>
    <mergeCell ref="B11484:D11484"/>
    <mergeCell ref="F11484:G11484"/>
    <mergeCell ref="H11484:K11484"/>
    <mergeCell ref="L11484:O11484"/>
    <mergeCell ref="F11485:G11485"/>
    <mergeCell ref="H11485:K11485"/>
    <mergeCell ref="L11485:O11485"/>
    <mergeCell ref="A11308:B11308"/>
    <mergeCell ref="C11308:D11308"/>
    <mergeCell ref="G11308:O11308"/>
    <mergeCell ref="A11309:B11309"/>
    <mergeCell ref="C11309:D11309"/>
    <mergeCell ref="G11309:O11314"/>
    <mergeCell ref="A11310:B11310"/>
    <mergeCell ref="C11310:D11310"/>
    <mergeCell ref="A11311:B11311"/>
    <mergeCell ref="C11311:D11311"/>
    <mergeCell ref="B11475:D11475"/>
    <mergeCell ref="F11475:G11475"/>
    <mergeCell ref="H11475:K11475"/>
    <mergeCell ref="L11475:O11475"/>
    <mergeCell ref="L11322:O11322"/>
    <mergeCell ref="L11464:O11464"/>
    <mergeCell ref="B11466:D11466"/>
    <mergeCell ref="F11466:G11466"/>
    <mergeCell ref="H11466:K11466"/>
    <mergeCell ref="L11466:O11466"/>
    <mergeCell ref="B11467:D11467"/>
    <mergeCell ref="F11467:G11467"/>
    <mergeCell ref="H11467:K11467"/>
    <mergeCell ref="L11467:O11467"/>
    <mergeCell ref="B11472:D11472"/>
    <mergeCell ref="F11472:G11472"/>
    <mergeCell ref="H11472:K11472"/>
    <mergeCell ref="L11472:O11472"/>
    <mergeCell ref="B11473:D11473"/>
    <mergeCell ref="F11473:G11473"/>
    <mergeCell ref="H11473:K11473"/>
    <mergeCell ref="L11473:O11473"/>
    <mergeCell ref="L11289:O11289"/>
    <mergeCell ref="B11290:D11290"/>
    <mergeCell ref="F11290:G11290"/>
    <mergeCell ref="H11290:K11290"/>
    <mergeCell ref="L11290:O11290"/>
    <mergeCell ref="B11291:D11291"/>
    <mergeCell ref="F11291:G11291"/>
    <mergeCell ref="H11291:K11291"/>
    <mergeCell ref="L11291:O11291"/>
    <mergeCell ref="B11298:D11298"/>
    <mergeCell ref="F11298:G11298"/>
    <mergeCell ref="H11298:K11298"/>
    <mergeCell ref="L11298:O11298"/>
    <mergeCell ref="B11299:D11299"/>
    <mergeCell ref="F11299:G11299"/>
    <mergeCell ref="H11299:K11299"/>
    <mergeCell ref="L11299:O11299"/>
    <mergeCell ref="F11297:G11297"/>
    <mergeCell ref="H11297:K11297"/>
    <mergeCell ref="L11297:O11297"/>
    <mergeCell ref="B11289:D11289"/>
    <mergeCell ref="F11289:G11289"/>
    <mergeCell ref="H11289:K11289"/>
    <mergeCell ref="A11312:B11312"/>
    <mergeCell ref="C11312:D11312"/>
    <mergeCell ref="A11313:B11313"/>
    <mergeCell ref="C11313:D11313"/>
    <mergeCell ref="A11314:B11314"/>
    <mergeCell ref="C11314:D11314"/>
    <mergeCell ref="N11316:O11316"/>
    <mergeCell ref="N11318:O11318"/>
    <mergeCell ref="E11304:E11305"/>
    <mergeCell ref="L11172:O11172"/>
    <mergeCell ref="L11284:O11284"/>
    <mergeCell ref="B11286:D11286"/>
    <mergeCell ref="F11286:G11286"/>
    <mergeCell ref="H11286:K11286"/>
    <mergeCell ref="L11286:O11286"/>
    <mergeCell ref="B11287:D11287"/>
    <mergeCell ref="F11287:G11287"/>
    <mergeCell ref="H11287:K11287"/>
    <mergeCell ref="L11287:O11287"/>
    <mergeCell ref="B11301:D11301"/>
    <mergeCell ref="F11301:G11301"/>
    <mergeCell ref="H11301:K11301"/>
    <mergeCell ref="L11301:O11301"/>
    <mergeCell ref="B11302:D11302"/>
    <mergeCell ref="F11302:G11302"/>
    <mergeCell ref="H11302:K11302"/>
    <mergeCell ref="L11302:O11302"/>
    <mergeCell ref="B11294:D11294"/>
    <mergeCell ref="F11294:G11294"/>
    <mergeCell ref="H11294:K11294"/>
    <mergeCell ref="L11294:O11294"/>
    <mergeCell ref="B11297:D11297"/>
    <mergeCell ref="N10899:O10899"/>
    <mergeCell ref="N10901:O10901"/>
    <mergeCell ref="B10884:D10884"/>
    <mergeCell ref="F10884:G10884"/>
    <mergeCell ref="H10884:K10884"/>
    <mergeCell ref="L10884:O10884"/>
    <mergeCell ref="E10887:E10888"/>
    <mergeCell ref="A10891:B10891"/>
    <mergeCell ref="C10891:D10891"/>
    <mergeCell ref="G10891:O10891"/>
    <mergeCell ref="A10892:B10892"/>
    <mergeCell ref="C10892:D10892"/>
    <mergeCell ref="G10892:O10897"/>
    <mergeCell ref="A10893:B10893"/>
    <mergeCell ref="C10893:D10893"/>
    <mergeCell ref="A10894:B10894"/>
    <mergeCell ref="C10894:D10894"/>
    <mergeCell ref="A10895:B10895"/>
    <mergeCell ref="C10895:D10895"/>
    <mergeCell ref="A10896:B10896"/>
    <mergeCell ref="C10896:D10896"/>
    <mergeCell ref="A10897:B10897"/>
    <mergeCell ref="C10897:D10897"/>
    <mergeCell ref="B10877:D10877"/>
    <mergeCell ref="F10877:G10877"/>
    <mergeCell ref="H10877:K10877"/>
    <mergeCell ref="L10877:O10877"/>
    <mergeCell ref="B10878:D10878"/>
    <mergeCell ref="F10878:G10878"/>
    <mergeCell ref="H10878:K10878"/>
    <mergeCell ref="L10878:O10878"/>
    <mergeCell ref="B10879:D10879"/>
    <mergeCell ref="F10879:G10879"/>
    <mergeCell ref="H10879:K10879"/>
    <mergeCell ref="L10879:O10879"/>
    <mergeCell ref="B10880:D10880"/>
    <mergeCell ref="F10880:G10880"/>
    <mergeCell ref="H10880:K10880"/>
    <mergeCell ref="L10880:O10880"/>
    <mergeCell ref="B10883:D10883"/>
    <mergeCell ref="F10883:G10883"/>
    <mergeCell ref="H10883:K10883"/>
    <mergeCell ref="L10883:O10883"/>
    <mergeCell ref="N10711:O10711"/>
    <mergeCell ref="N10713:O10713"/>
    <mergeCell ref="L10718:O10718"/>
    <mergeCell ref="L10868:O10868"/>
    <mergeCell ref="B10870:D10870"/>
    <mergeCell ref="F10870:G10870"/>
    <mergeCell ref="H10870:K10870"/>
    <mergeCell ref="L10870:O10870"/>
    <mergeCell ref="B10871:D10871"/>
    <mergeCell ref="F10871:G10871"/>
    <mergeCell ref="H10871:K10871"/>
    <mergeCell ref="L10871:O10871"/>
    <mergeCell ref="B10873:D10873"/>
    <mergeCell ref="F10873:G10873"/>
    <mergeCell ref="H10873:K10873"/>
    <mergeCell ref="L10873:O10873"/>
    <mergeCell ref="B10874:D10874"/>
    <mergeCell ref="F10874:G10874"/>
    <mergeCell ref="H10874:K10874"/>
    <mergeCell ref="L10874:O10874"/>
    <mergeCell ref="E10699:E10700"/>
    <mergeCell ref="A10703:B10703"/>
    <mergeCell ref="C10703:D10703"/>
    <mergeCell ref="G10703:O10703"/>
    <mergeCell ref="A10704:B10704"/>
    <mergeCell ref="C10704:D10704"/>
    <mergeCell ref="G10704:O10709"/>
    <mergeCell ref="A10705:B10705"/>
    <mergeCell ref="C10705:D10705"/>
    <mergeCell ref="A10706:B10706"/>
    <mergeCell ref="C10706:D10706"/>
    <mergeCell ref="A10707:B10707"/>
    <mergeCell ref="C10707:D10707"/>
    <mergeCell ref="A10708:B10708"/>
    <mergeCell ref="C10708:D10708"/>
    <mergeCell ref="A10709:B10709"/>
    <mergeCell ref="C10709:D10709"/>
    <mergeCell ref="B10689:D10689"/>
    <mergeCell ref="F10689:G10689"/>
    <mergeCell ref="H10689:K10689"/>
    <mergeCell ref="L10689:O10689"/>
    <mergeCell ref="B10692:D10692"/>
    <mergeCell ref="F10692:G10692"/>
    <mergeCell ref="H10692:K10692"/>
    <mergeCell ref="L10692:O10692"/>
    <mergeCell ref="B10693:D10693"/>
    <mergeCell ref="F10693:G10693"/>
    <mergeCell ref="H10693:K10693"/>
    <mergeCell ref="L10693:O10693"/>
    <mergeCell ref="B10696:D10696"/>
    <mergeCell ref="F10696:G10696"/>
    <mergeCell ref="H10696:K10696"/>
    <mergeCell ref="L10696:O10696"/>
    <mergeCell ref="B10697:D10697"/>
    <mergeCell ref="F10697:G10697"/>
    <mergeCell ref="H10697:K10697"/>
    <mergeCell ref="L10697:O10697"/>
    <mergeCell ref="B10682:D10682"/>
    <mergeCell ref="F10682:G10682"/>
    <mergeCell ref="H10682:K10682"/>
    <mergeCell ref="L10682:O10682"/>
    <mergeCell ref="B10683:D10683"/>
    <mergeCell ref="F10683:G10683"/>
    <mergeCell ref="H10683:K10683"/>
    <mergeCell ref="L10683:O10683"/>
    <mergeCell ref="B10684:D10684"/>
    <mergeCell ref="F10684:G10684"/>
    <mergeCell ref="H10684:K10684"/>
    <mergeCell ref="L10684:O10684"/>
    <mergeCell ref="B10687:D10687"/>
    <mergeCell ref="F10687:G10687"/>
    <mergeCell ref="H10687:K10687"/>
    <mergeCell ref="L10687:O10687"/>
    <mergeCell ref="B10688:D10688"/>
    <mergeCell ref="F10688:G10688"/>
    <mergeCell ref="H10688:K10688"/>
    <mergeCell ref="L10688:O10688"/>
    <mergeCell ref="L10676:O10676"/>
    <mergeCell ref="B10678:D10678"/>
    <mergeCell ref="F10678:G10678"/>
    <mergeCell ref="H10678:K10678"/>
    <mergeCell ref="L10678:O10678"/>
    <mergeCell ref="B10679:D10679"/>
    <mergeCell ref="F10679:G10679"/>
    <mergeCell ref="H10679:K10679"/>
    <mergeCell ref="L10679:O10679"/>
    <mergeCell ref="B10681:D10681"/>
    <mergeCell ref="L10541:O10541"/>
    <mergeCell ref="N10533:O10533"/>
    <mergeCell ref="N10535:O10535"/>
    <mergeCell ref="B10518:D10518"/>
    <mergeCell ref="F10518:G10518"/>
    <mergeCell ref="H10518:K10518"/>
    <mergeCell ref="L10518:O10518"/>
    <mergeCell ref="F10681:G10681"/>
    <mergeCell ref="H10681:K10681"/>
    <mergeCell ref="L10681:O10681"/>
    <mergeCell ref="B10517:D10517"/>
    <mergeCell ref="F10517:G10517"/>
    <mergeCell ref="H10517:K10517"/>
    <mergeCell ref="L10517:O10517"/>
    <mergeCell ref="B10519:D10519"/>
    <mergeCell ref="F10519:G10519"/>
    <mergeCell ref="H10519:K10519"/>
    <mergeCell ref="L10519:O10519"/>
    <mergeCell ref="E10521:E10522"/>
    <mergeCell ref="A10525:B10525"/>
    <mergeCell ref="C10525:D10525"/>
    <mergeCell ref="G10525:O10525"/>
    <mergeCell ref="A10526:B10526"/>
    <mergeCell ref="C10526:D10526"/>
    <mergeCell ref="G10526:O10531"/>
    <mergeCell ref="A10527:B10527"/>
    <mergeCell ref="C10527:D10527"/>
    <mergeCell ref="A10528:B10528"/>
    <mergeCell ref="C10528:D10528"/>
    <mergeCell ref="A10529:B10529"/>
    <mergeCell ref="C10529:D10529"/>
    <mergeCell ref="A10530:B10530"/>
    <mergeCell ref="C10530:D10530"/>
    <mergeCell ref="A10531:B10531"/>
    <mergeCell ref="C10531:D10531"/>
    <mergeCell ref="L10445:O10445"/>
    <mergeCell ref="L10510:O10510"/>
    <mergeCell ref="B10512:D10512"/>
    <mergeCell ref="F10512:G10512"/>
    <mergeCell ref="H10512:K10512"/>
    <mergeCell ref="L10512:O10512"/>
    <mergeCell ref="B10513:D10513"/>
    <mergeCell ref="F10513:G10513"/>
    <mergeCell ref="H10513:K10513"/>
    <mergeCell ref="L10513:O10513"/>
    <mergeCell ref="B10515:D10515"/>
    <mergeCell ref="F10515:G10515"/>
    <mergeCell ref="H10515:K10515"/>
    <mergeCell ref="L10515:O10515"/>
    <mergeCell ref="B10516:D10516"/>
    <mergeCell ref="F10516:G10516"/>
    <mergeCell ref="H10516:K10516"/>
    <mergeCell ref="L10516:O10516"/>
    <mergeCell ref="N10438:O10438"/>
    <mergeCell ref="N10440:O10440"/>
    <mergeCell ref="B10422:D10422"/>
    <mergeCell ref="F10422:G10422"/>
    <mergeCell ref="H10422:K10422"/>
    <mergeCell ref="L10422:O10422"/>
    <mergeCell ref="B10423:D10423"/>
    <mergeCell ref="F10423:G10423"/>
    <mergeCell ref="H10423:K10423"/>
    <mergeCell ref="L10423:O10423"/>
    <mergeCell ref="B10419:D10419"/>
    <mergeCell ref="F10419:G10419"/>
    <mergeCell ref="H10419:K10419"/>
    <mergeCell ref="L10419:O10419"/>
    <mergeCell ref="B10420:D10420"/>
    <mergeCell ref="F10420:G10420"/>
    <mergeCell ref="H10420:K10420"/>
    <mergeCell ref="L10420:O10420"/>
    <mergeCell ref="E10426:E10427"/>
    <mergeCell ref="A10430:B10430"/>
    <mergeCell ref="C10430:D10430"/>
    <mergeCell ref="G10430:O10430"/>
    <mergeCell ref="A10431:B10431"/>
    <mergeCell ref="C10431:D10431"/>
    <mergeCell ref="G10431:O10436"/>
    <mergeCell ref="A10432:B10432"/>
    <mergeCell ref="C10432:D10432"/>
    <mergeCell ref="A10433:B10433"/>
    <mergeCell ref="C10433:D10433"/>
    <mergeCell ref="A10434:B10434"/>
    <mergeCell ref="C10434:D10434"/>
    <mergeCell ref="A10435:B10435"/>
    <mergeCell ref="C10435:D10435"/>
    <mergeCell ref="A10436:B10436"/>
    <mergeCell ref="C10436:D10436"/>
    <mergeCell ref="B10418:D10418"/>
    <mergeCell ref="F10418:G10418"/>
    <mergeCell ref="H10418:K10418"/>
    <mergeCell ref="L10418:O10418"/>
    <mergeCell ref="L10355:O10355"/>
    <mergeCell ref="L10413:O10413"/>
    <mergeCell ref="B10415:D10415"/>
    <mergeCell ref="F10415:G10415"/>
    <mergeCell ref="H10415:K10415"/>
    <mergeCell ref="L10415:O10415"/>
    <mergeCell ref="B10416:D10416"/>
    <mergeCell ref="F10416:G10416"/>
    <mergeCell ref="H10416:K10416"/>
    <mergeCell ref="L10416:O10416"/>
    <mergeCell ref="N10347:O10347"/>
    <mergeCell ref="N10349:O10349"/>
    <mergeCell ref="B10318:D10318"/>
    <mergeCell ref="F10318:G10318"/>
    <mergeCell ref="H10318:K10318"/>
    <mergeCell ref="L10318:O10318"/>
    <mergeCell ref="B10317:D10317"/>
    <mergeCell ref="F10317:G10317"/>
    <mergeCell ref="H10317:K10317"/>
    <mergeCell ref="L10317:O10317"/>
    <mergeCell ref="B10320:D10320"/>
    <mergeCell ref="F10320:G10320"/>
    <mergeCell ref="H10320:K10320"/>
    <mergeCell ref="L10320:O10320"/>
    <mergeCell ref="B10322:D10322"/>
    <mergeCell ref="F10322:G10322"/>
    <mergeCell ref="H10322:K10322"/>
    <mergeCell ref="L10322:O10322"/>
    <mergeCell ref="B10323:D10323"/>
    <mergeCell ref="F10323:G10323"/>
    <mergeCell ref="H10323:K10323"/>
    <mergeCell ref="L10323:O10323"/>
    <mergeCell ref="B10324:D10324"/>
    <mergeCell ref="F10324:G10324"/>
    <mergeCell ref="H10324:K10324"/>
    <mergeCell ref="L10324:O10324"/>
    <mergeCell ref="B10325:D10325"/>
    <mergeCell ref="F10325:G10325"/>
    <mergeCell ref="H10325:K10325"/>
    <mergeCell ref="L10325:O10325"/>
    <mergeCell ref="B10330:D10330"/>
    <mergeCell ref="F10330:G10330"/>
    <mergeCell ref="B10329:D10329"/>
    <mergeCell ref="F10329:G10329"/>
    <mergeCell ref="H10329:K10329"/>
    <mergeCell ref="L10329:O10329"/>
    <mergeCell ref="B10332:D10332"/>
    <mergeCell ref="F10332:G10332"/>
    <mergeCell ref="H10332:K10332"/>
    <mergeCell ref="L10332:O10332"/>
    <mergeCell ref="E10335:E10336"/>
    <mergeCell ref="A10339:B10339"/>
    <mergeCell ref="C10339:D10339"/>
    <mergeCell ref="G10339:O10339"/>
    <mergeCell ref="A10340:B10340"/>
    <mergeCell ref="C10340:D10340"/>
    <mergeCell ref="G10340:O10345"/>
    <mergeCell ref="A10341:B10341"/>
    <mergeCell ref="C10341:D10341"/>
    <mergeCell ref="A10342:B10342"/>
    <mergeCell ref="C10342:D10342"/>
    <mergeCell ref="A10343:B10343"/>
    <mergeCell ref="C10343:D10343"/>
    <mergeCell ref="A10344:B10344"/>
    <mergeCell ref="C10344:D10344"/>
    <mergeCell ref="A10345:B10345"/>
    <mergeCell ref="C10345:D10345"/>
    <mergeCell ref="H10330:K10330"/>
    <mergeCell ref="L10330:O10330"/>
    <mergeCell ref="B10331:D10331"/>
    <mergeCell ref="F10331:G10331"/>
    <mergeCell ref="H10331:K10331"/>
    <mergeCell ref="L10331:O10331"/>
    <mergeCell ref="F10315:G10315"/>
    <mergeCell ref="H10313:K10313"/>
    <mergeCell ref="B10314:D10314"/>
    <mergeCell ref="F10314:G10314"/>
    <mergeCell ref="H10314:K10314"/>
    <mergeCell ref="L10314:O10314"/>
    <mergeCell ref="B10313:D10313"/>
    <mergeCell ref="F10313:G10313"/>
    <mergeCell ref="L10313:O10313"/>
    <mergeCell ref="B10316:D10316"/>
    <mergeCell ref="F10316:G10316"/>
    <mergeCell ref="H10316:K10316"/>
    <mergeCell ref="L10316:O10316"/>
    <mergeCell ref="B10319:D10319"/>
    <mergeCell ref="F10319:G10319"/>
    <mergeCell ref="H10319:K10319"/>
    <mergeCell ref="L10319:O10319"/>
    <mergeCell ref="B10315:D10315"/>
    <mergeCell ref="H10315:K10315"/>
    <mergeCell ref="L10315:O10315"/>
    <mergeCell ref="L10010:O10010"/>
    <mergeCell ref="L10303:O10303"/>
    <mergeCell ref="B10305:D10305"/>
    <mergeCell ref="F10305:G10305"/>
    <mergeCell ref="H10305:K10305"/>
    <mergeCell ref="L10305:O10305"/>
    <mergeCell ref="B10306:D10306"/>
    <mergeCell ref="F10306:G10306"/>
    <mergeCell ref="H10306:K10306"/>
    <mergeCell ref="L10306:O10306"/>
    <mergeCell ref="B10311:D10311"/>
    <mergeCell ref="F10311:G10311"/>
    <mergeCell ref="H10311:K10311"/>
    <mergeCell ref="L10311:O10311"/>
    <mergeCell ref="B10309:D10309"/>
    <mergeCell ref="F10309:G10309"/>
    <mergeCell ref="H10309:K10309"/>
    <mergeCell ref="L10309:O10309"/>
    <mergeCell ref="B10310:D10310"/>
    <mergeCell ref="F10310:G10310"/>
    <mergeCell ref="H10310:K10310"/>
    <mergeCell ref="L10310:O10310"/>
    <mergeCell ref="B10308:D10308"/>
    <mergeCell ref="F10308:G10308"/>
    <mergeCell ref="H10308:K10308"/>
    <mergeCell ref="L10308:O10308"/>
    <mergeCell ref="L9600:O9600"/>
    <mergeCell ref="L9741:O9741"/>
    <mergeCell ref="N9780:O9780"/>
    <mergeCell ref="N9782:O9782"/>
    <mergeCell ref="B9746:D9746"/>
    <mergeCell ref="F9746:G9746"/>
    <mergeCell ref="H9746:K9746"/>
    <mergeCell ref="L9746:O9746"/>
    <mergeCell ref="B9748:D9748"/>
    <mergeCell ref="F9748:G9748"/>
    <mergeCell ref="H9748:K9748"/>
    <mergeCell ref="L9748:O9748"/>
    <mergeCell ref="B9750:D9750"/>
    <mergeCell ref="F9750:G9750"/>
    <mergeCell ref="H9750:K9750"/>
    <mergeCell ref="L9750:O9750"/>
    <mergeCell ref="B9757:D9757"/>
    <mergeCell ref="F9757:G9757"/>
    <mergeCell ref="H9757:K9757"/>
    <mergeCell ref="L9757:O9757"/>
    <mergeCell ref="B9758:D9758"/>
    <mergeCell ref="F9758:G9758"/>
    <mergeCell ref="H9762:K9762"/>
    <mergeCell ref="L9762:O9762"/>
    <mergeCell ref="E9768:E9769"/>
    <mergeCell ref="A9772:B9772"/>
    <mergeCell ref="B9753:D9753"/>
    <mergeCell ref="F9753:G9753"/>
    <mergeCell ref="H9753:K9753"/>
    <mergeCell ref="L9753:O9753"/>
    <mergeCell ref="B9754:D9754"/>
    <mergeCell ref="F9754:G9754"/>
    <mergeCell ref="P9741:P9783"/>
    <mergeCell ref="B9743:D9743"/>
    <mergeCell ref="F9743:G9743"/>
    <mergeCell ref="H9743:K9743"/>
    <mergeCell ref="L9743:O9743"/>
    <mergeCell ref="B9744:D9744"/>
    <mergeCell ref="F9744:G9744"/>
    <mergeCell ref="H9744:K9744"/>
    <mergeCell ref="L9744:O9744"/>
    <mergeCell ref="B9759:D9759"/>
    <mergeCell ref="F9759:G9759"/>
    <mergeCell ref="H9759:K9759"/>
    <mergeCell ref="L9759:O9759"/>
    <mergeCell ref="B9760:D9760"/>
    <mergeCell ref="F9760:G9760"/>
    <mergeCell ref="H9760:K9760"/>
    <mergeCell ref="L9760:O9760"/>
    <mergeCell ref="B9761:D9761"/>
    <mergeCell ref="F9761:G9761"/>
    <mergeCell ref="H9761:K9761"/>
    <mergeCell ref="L9761:O9761"/>
    <mergeCell ref="B9763:D9763"/>
    <mergeCell ref="A9774:B9774"/>
    <mergeCell ref="C9774:D9774"/>
    <mergeCell ref="A9775:B9775"/>
    <mergeCell ref="C9775:D9775"/>
    <mergeCell ref="F9763:G9763"/>
    <mergeCell ref="H9763:K9763"/>
    <mergeCell ref="L9763:O9763"/>
    <mergeCell ref="C9772:D9772"/>
    <mergeCell ref="A9776:B9776"/>
    <mergeCell ref="C9776:D9776"/>
    <mergeCell ref="N9186:O9186"/>
    <mergeCell ref="N9188:O9188"/>
    <mergeCell ref="A9377:B9377"/>
    <mergeCell ref="C9377:D9377"/>
    <mergeCell ref="G9377:O9382"/>
    <mergeCell ref="A9378:B9378"/>
    <mergeCell ref="C9378:D9378"/>
    <mergeCell ref="A9379:B9379"/>
    <mergeCell ref="C9379:D9379"/>
    <mergeCell ref="A9380:B9380"/>
    <mergeCell ref="C9380:D9380"/>
    <mergeCell ref="A9381:B9381"/>
    <mergeCell ref="C9381:D9381"/>
    <mergeCell ref="A9382:B9382"/>
    <mergeCell ref="C9382:D9382"/>
    <mergeCell ref="N9384:O9384"/>
    <mergeCell ref="N9386:O9386"/>
    <mergeCell ref="F9363:G9363"/>
    <mergeCell ref="H9363:K9363"/>
    <mergeCell ref="L9363:O9363"/>
    <mergeCell ref="B9364:D9364"/>
    <mergeCell ref="F9364:G9364"/>
    <mergeCell ref="H9364:K9364"/>
    <mergeCell ref="L9364:O9364"/>
    <mergeCell ref="B9370:D9370"/>
    <mergeCell ref="F9370:G9370"/>
    <mergeCell ref="L9347:O9347"/>
    <mergeCell ref="L9359:O9359"/>
    <mergeCell ref="B9360:D9360"/>
    <mergeCell ref="F9360:G9360"/>
    <mergeCell ref="H9360:K9360"/>
    <mergeCell ref="L9360:O9360"/>
    <mergeCell ref="B9362:D9362"/>
    <mergeCell ref="P9347:P9387"/>
    <mergeCell ref="B9349:D9349"/>
    <mergeCell ref="F9349:G9349"/>
    <mergeCell ref="H9349:K9349"/>
    <mergeCell ref="L9349:O9349"/>
    <mergeCell ref="B9350:D9350"/>
    <mergeCell ref="F9350:G9350"/>
    <mergeCell ref="H9350:K9350"/>
    <mergeCell ref="L9350:O9350"/>
    <mergeCell ref="B9352:D9352"/>
    <mergeCell ref="F9352:G9352"/>
    <mergeCell ref="H9352:K9352"/>
    <mergeCell ref="L9352:O9352"/>
    <mergeCell ref="B9353:D9353"/>
    <mergeCell ref="F9353:G9353"/>
    <mergeCell ref="H9353:K9353"/>
    <mergeCell ref="L9353:O9353"/>
    <mergeCell ref="B9354:D9354"/>
    <mergeCell ref="F9354:G9354"/>
    <mergeCell ref="H9354:K9354"/>
    <mergeCell ref="L9354:O9354"/>
    <mergeCell ref="B9355:D9355"/>
    <mergeCell ref="F9355:G9355"/>
    <mergeCell ref="H9355:K9355"/>
    <mergeCell ref="L9355:O9355"/>
    <mergeCell ref="B9356:D9356"/>
    <mergeCell ref="F9356:G9356"/>
    <mergeCell ref="H9356:K9356"/>
    <mergeCell ref="F9362:G9362"/>
    <mergeCell ref="H9362:K9362"/>
    <mergeCell ref="L9362:O9362"/>
    <mergeCell ref="B9363:D9363"/>
    <mergeCell ref="B9523:D9523"/>
    <mergeCell ref="L9537:O9537"/>
    <mergeCell ref="B9531:D9531"/>
    <mergeCell ref="F9531:G9531"/>
    <mergeCell ref="H9531:K9531"/>
    <mergeCell ref="L9531:O9531"/>
    <mergeCell ref="H9370:K9370"/>
    <mergeCell ref="L9370:O9370"/>
    <mergeCell ref="L9356:O9356"/>
    <mergeCell ref="B9359:D9359"/>
    <mergeCell ref="F9359:G9359"/>
    <mergeCell ref="H9359:K9359"/>
    <mergeCell ref="A9591:B9591"/>
    <mergeCell ref="N9593:O9593"/>
    <mergeCell ref="B9574:D9574"/>
    <mergeCell ref="L9579:O9579"/>
    <mergeCell ref="L9559:O9559"/>
    <mergeCell ref="F9574:G9574"/>
    <mergeCell ref="H9574:K9574"/>
    <mergeCell ref="L9574:O9574"/>
    <mergeCell ref="B9577:D9577"/>
    <mergeCell ref="F9577:G9577"/>
    <mergeCell ref="H9577:K9577"/>
    <mergeCell ref="L9577:O9577"/>
    <mergeCell ref="B9578:D9578"/>
    <mergeCell ref="F9578:G9578"/>
    <mergeCell ref="H9578:K9578"/>
    <mergeCell ref="L9578:O9578"/>
    <mergeCell ref="B9569:D9569"/>
    <mergeCell ref="A9590:B9590"/>
    <mergeCell ref="C9590:D9590"/>
    <mergeCell ref="P9559:P9596"/>
    <mergeCell ref="B9561:D9561"/>
    <mergeCell ref="F9561:G9561"/>
    <mergeCell ref="H9561:K9561"/>
    <mergeCell ref="L9561:O9561"/>
    <mergeCell ref="B9562:D9562"/>
    <mergeCell ref="F9562:G9562"/>
    <mergeCell ref="H9562:K9562"/>
    <mergeCell ref="L9562:O9562"/>
    <mergeCell ref="B9564:D9564"/>
    <mergeCell ref="F9564:G9564"/>
    <mergeCell ref="H9564:K9564"/>
    <mergeCell ref="L9564:O9564"/>
    <mergeCell ref="B9565:D9565"/>
    <mergeCell ref="F9565:G9565"/>
    <mergeCell ref="H9565:K9565"/>
    <mergeCell ref="L9565:O9565"/>
    <mergeCell ref="A9585:B9585"/>
    <mergeCell ref="C9585:D9585"/>
    <mergeCell ref="B9566:D9566"/>
    <mergeCell ref="F9566:G9566"/>
    <mergeCell ref="H9566:K9566"/>
    <mergeCell ref="L9566:O9566"/>
    <mergeCell ref="B9572:D9572"/>
    <mergeCell ref="F9572:G9572"/>
    <mergeCell ref="H9572:K9572"/>
    <mergeCell ref="L9573:O9573"/>
    <mergeCell ref="C9591:D9591"/>
    <mergeCell ref="H9568:K9568"/>
    <mergeCell ref="L9568:O9568"/>
    <mergeCell ref="A9589:B9589"/>
    <mergeCell ref="C9589:D9589"/>
    <mergeCell ref="B8549:D8549"/>
    <mergeCell ref="F8549:G8549"/>
    <mergeCell ref="H8549:K8549"/>
    <mergeCell ref="L8549:O8549"/>
    <mergeCell ref="B8551:D8551"/>
    <mergeCell ref="L8546:O8546"/>
    <mergeCell ref="B8547:D8547"/>
    <mergeCell ref="F8547:G8547"/>
    <mergeCell ref="H8547:K8547"/>
    <mergeCell ref="N8568:O8568"/>
    <mergeCell ref="L8590:O8590"/>
    <mergeCell ref="N8570:O8570"/>
    <mergeCell ref="B8550:D8550"/>
    <mergeCell ref="F8550:G8550"/>
    <mergeCell ref="H8550:K8550"/>
    <mergeCell ref="L8550:O8550"/>
    <mergeCell ref="E8556:E8557"/>
    <mergeCell ref="A8560:B8560"/>
    <mergeCell ref="C8560:D8560"/>
    <mergeCell ref="G8560:O8560"/>
    <mergeCell ref="A8561:B8561"/>
    <mergeCell ref="C8561:D8561"/>
    <mergeCell ref="G8561:O8566"/>
    <mergeCell ref="A8562:B8562"/>
    <mergeCell ref="C8562:D8562"/>
    <mergeCell ref="A8563:B8563"/>
    <mergeCell ref="C8563:D8563"/>
    <mergeCell ref="A8564:B8564"/>
    <mergeCell ref="C8564:D8564"/>
    <mergeCell ref="A8565:B8565"/>
    <mergeCell ref="C8565:D8565"/>
    <mergeCell ref="A8566:B8566"/>
    <mergeCell ref="N8442:O8442"/>
    <mergeCell ref="N8444:O8444"/>
    <mergeCell ref="B8427:D8427"/>
    <mergeCell ref="F8427:G8427"/>
    <mergeCell ref="H8427:K8427"/>
    <mergeCell ref="L8427:O8427"/>
    <mergeCell ref="B8420:D8420"/>
    <mergeCell ref="F8420:G8420"/>
    <mergeCell ref="H8420:K8420"/>
    <mergeCell ref="L8420:O8420"/>
    <mergeCell ref="B8424:D8424"/>
    <mergeCell ref="F8424:G8424"/>
    <mergeCell ref="H8424:K8424"/>
    <mergeCell ref="L8424:O8424"/>
    <mergeCell ref="L8547:O8547"/>
    <mergeCell ref="B8548:D8548"/>
    <mergeCell ref="F8548:G8548"/>
    <mergeCell ref="H8548:K8548"/>
    <mergeCell ref="L8548:O8548"/>
    <mergeCell ref="B8544:D8544"/>
    <mergeCell ref="F8544:G8544"/>
    <mergeCell ref="H8544:K8544"/>
    <mergeCell ref="L8544:O8544"/>
    <mergeCell ref="B8419:D8419"/>
    <mergeCell ref="F8419:G8419"/>
    <mergeCell ref="H8419:K8419"/>
    <mergeCell ref="L8419:O8419"/>
    <mergeCell ref="B8423:D8423"/>
    <mergeCell ref="F8423:G8423"/>
    <mergeCell ref="H8423:K8423"/>
    <mergeCell ref="L8423:O8423"/>
    <mergeCell ref="E8430:E8431"/>
    <mergeCell ref="A8434:B8434"/>
    <mergeCell ref="C8435:D8435"/>
    <mergeCell ref="G8435:O8440"/>
    <mergeCell ref="A8436:B8436"/>
    <mergeCell ref="C8436:D8436"/>
    <mergeCell ref="A8437:B8437"/>
    <mergeCell ref="C8437:D8437"/>
    <mergeCell ref="A8438:B8438"/>
    <mergeCell ref="C8438:D8438"/>
    <mergeCell ref="A8439:B8439"/>
    <mergeCell ref="C8439:D8439"/>
    <mergeCell ref="A8440:B8440"/>
    <mergeCell ref="C8440:D8440"/>
    <mergeCell ref="B8422:D8422"/>
    <mergeCell ref="F8422:G8422"/>
    <mergeCell ref="H8422:K8422"/>
    <mergeCell ref="L8422:O8422"/>
    <mergeCell ref="B8425:D8425"/>
    <mergeCell ref="F8425:G8425"/>
    <mergeCell ref="H8425:K8425"/>
    <mergeCell ref="L8425:O8425"/>
    <mergeCell ref="P8408:P8445"/>
    <mergeCell ref="B8410:D8410"/>
    <mergeCell ref="F8410:G8410"/>
    <mergeCell ref="H8410:K8410"/>
    <mergeCell ref="L8410:O8410"/>
    <mergeCell ref="B8411:D8411"/>
    <mergeCell ref="F8411:G8411"/>
    <mergeCell ref="H8411:K8411"/>
    <mergeCell ref="L8411:O8411"/>
    <mergeCell ref="B8413:D8413"/>
    <mergeCell ref="F8413:G8413"/>
    <mergeCell ref="H8413:K8413"/>
    <mergeCell ref="L8413:O8413"/>
    <mergeCell ref="B8415:D8415"/>
    <mergeCell ref="F8415:G8415"/>
    <mergeCell ref="H8415:K8415"/>
    <mergeCell ref="B8418:D8418"/>
    <mergeCell ref="F8418:G8418"/>
    <mergeCell ref="H8418:K8418"/>
    <mergeCell ref="L8418:O8418"/>
    <mergeCell ref="B8421:D8421"/>
    <mergeCell ref="F8421:G8421"/>
    <mergeCell ref="H8421:K8421"/>
    <mergeCell ref="L8421:O8421"/>
    <mergeCell ref="L8415:O8415"/>
    <mergeCell ref="B8416:D8416"/>
    <mergeCell ref="F8416:G8416"/>
    <mergeCell ref="H8416:K8416"/>
    <mergeCell ref="L8416:O8416"/>
    <mergeCell ref="C8434:D8434"/>
    <mergeCell ref="G8434:O8434"/>
    <mergeCell ref="A8435:B8435"/>
    <mergeCell ref="G8284:O8289"/>
    <mergeCell ref="A8285:B8285"/>
    <mergeCell ref="C8285:D8285"/>
    <mergeCell ref="A8286:B8286"/>
    <mergeCell ref="C8286:D8286"/>
    <mergeCell ref="A8287:B8287"/>
    <mergeCell ref="C8287:D8287"/>
    <mergeCell ref="A8288:B8288"/>
    <mergeCell ref="C8288:D8288"/>
    <mergeCell ref="A8289:B8289"/>
    <mergeCell ref="C8289:D8289"/>
    <mergeCell ref="L8408:O8408"/>
    <mergeCell ref="H8269:K8269"/>
    <mergeCell ref="L8269:O8269"/>
    <mergeCell ref="B8275:D8275"/>
    <mergeCell ref="F8275:G8275"/>
    <mergeCell ref="H8275:K8275"/>
    <mergeCell ref="L8275:O8275"/>
    <mergeCell ref="H8271:K8271"/>
    <mergeCell ref="L8271:O8271"/>
    <mergeCell ref="B8276:D8276"/>
    <mergeCell ref="F8276:G8276"/>
    <mergeCell ref="H8276:K8276"/>
    <mergeCell ref="L8276:O8276"/>
    <mergeCell ref="B8273:D8273"/>
    <mergeCell ref="F8273:G8273"/>
    <mergeCell ref="H8273:K8273"/>
    <mergeCell ref="L8273:O8273"/>
    <mergeCell ref="B8270:D8270"/>
    <mergeCell ref="L8132:O8132"/>
    <mergeCell ref="F8270:G8270"/>
    <mergeCell ref="H8270:K8270"/>
    <mergeCell ref="L8270:O8270"/>
    <mergeCell ref="L8161:O8161"/>
    <mergeCell ref="L8263:O8263"/>
    <mergeCell ref="H8132:K8132"/>
    <mergeCell ref="P8263:P8294"/>
    <mergeCell ref="B8265:D8265"/>
    <mergeCell ref="F8265:G8265"/>
    <mergeCell ref="H8265:K8265"/>
    <mergeCell ref="L8265:O8265"/>
    <mergeCell ref="B8266:D8266"/>
    <mergeCell ref="F8266:G8266"/>
    <mergeCell ref="H8266:K8266"/>
    <mergeCell ref="L8266:O8266"/>
    <mergeCell ref="B8272:D8272"/>
    <mergeCell ref="F8272:G8272"/>
    <mergeCell ref="H8272:K8272"/>
    <mergeCell ref="L8272:O8272"/>
    <mergeCell ref="B8274:D8274"/>
    <mergeCell ref="A8284:B8284"/>
    <mergeCell ref="C8284:D8284"/>
    <mergeCell ref="F8267:G8267"/>
    <mergeCell ref="H8267:K8267"/>
    <mergeCell ref="L8267:O8267"/>
    <mergeCell ref="F8274:G8274"/>
    <mergeCell ref="H8274:K8274"/>
    <mergeCell ref="L8274:O8274"/>
    <mergeCell ref="E8279:E8280"/>
    <mergeCell ref="A8283:B8283"/>
    <mergeCell ref="C8283:D8283"/>
    <mergeCell ref="P8123:P8156"/>
    <mergeCell ref="B8125:D8125"/>
    <mergeCell ref="F8125:G8125"/>
    <mergeCell ref="H8125:K8125"/>
    <mergeCell ref="L8125:O8125"/>
    <mergeCell ref="B8126:D8126"/>
    <mergeCell ref="F8126:G8126"/>
    <mergeCell ref="H8126:K8126"/>
    <mergeCell ref="L8126:O8126"/>
    <mergeCell ref="B8129:D8129"/>
    <mergeCell ref="F8129:G8129"/>
    <mergeCell ref="H8129:K8129"/>
    <mergeCell ref="L8129:O8129"/>
    <mergeCell ref="B8130:D8130"/>
    <mergeCell ref="F8130:G8130"/>
    <mergeCell ref="H8130:K8130"/>
    <mergeCell ref="L8130:O8130"/>
    <mergeCell ref="B8131:D8131"/>
    <mergeCell ref="F8131:G8131"/>
    <mergeCell ref="H8131:K8131"/>
    <mergeCell ref="L8131:O8131"/>
    <mergeCell ref="B8132:D8132"/>
    <mergeCell ref="F8132:G8132"/>
    <mergeCell ref="A8146:B8146"/>
    <mergeCell ref="C8146:D8146"/>
    <mergeCell ref="G8146:O8151"/>
    <mergeCell ref="A8147:B8147"/>
    <mergeCell ref="B8135:D8135"/>
    <mergeCell ref="C8147:D8147"/>
    <mergeCell ref="A8148:B8148"/>
    <mergeCell ref="C8148:D8148"/>
    <mergeCell ref="A8149:B8149"/>
    <mergeCell ref="C7910:D7910"/>
    <mergeCell ref="A7911:B7911"/>
    <mergeCell ref="C7911:D7911"/>
    <mergeCell ref="A7912:B7912"/>
    <mergeCell ref="C7912:D7912"/>
    <mergeCell ref="A7913:B7913"/>
    <mergeCell ref="C7913:D7913"/>
    <mergeCell ref="A7914:B7914"/>
    <mergeCell ref="C7914:D7914"/>
    <mergeCell ref="L7791:O7791"/>
    <mergeCell ref="B7891:D7891"/>
    <mergeCell ref="F7891:G7891"/>
    <mergeCell ref="H7891:K7891"/>
    <mergeCell ref="L7891:O7891"/>
    <mergeCell ref="B7894:D7894"/>
    <mergeCell ref="F7894:G7894"/>
    <mergeCell ref="H7894:K7894"/>
    <mergeCell ref="L7894:O7894"/>
    <mergeCell ref="B7898:D7898"/>
    <mergeCell ref="F7898:G7898"/>
    <mergeCell ref="H7898:K7898"/>
    <mergeCell ref="L7898:O7898"/>
    <mergeCell ref="B7900:D7900"/>
    <mergeCell ref="F7900:G7900"/>
    <mergeCell ref="H7900:K7900"/>
    <mergeCell ref="L7900:O7900"/>
    <mergeCell ref="B7899:D7899"/>
    <mergeCell ref="F7899:G7899"/>
    <mergeCell ref="L7899:O7899"/>
    <mergeCell ref="L7889:O7889"/>
    <mergeCell ref="H7899:K7899"/>
    <mergeCell ref="A7910:B7910"/>
    <mergeCell ref="N7784:O7784"/>
    <mergeCell ref="N7786:O7786"/>
    <mergeCell ref="B7768:D7768"/>
    <mergeCell ref="F7768:G7768"/>
    <mergeCell ref="H7768:K7768"/>
    <mergeCell ref="L7768:O7768"/>
    <mergeCell ref="B7769:D7769"/>
    <mergeCell ref="F7769:G7769"/>
    <mergeCell ref="H7769:K7769"/>
    <mergeCell ref="L7769:O7769"/>
    <mergeCell ref="E7772:E7773"/>
    <mergeCell ref="A7776:B7776"/>
    <mergeCell ref="C7776:D7776"/>
    <mergeCell ref="G7776:O7776"/>
    <mergeCell ref="A7777:B7777"/>
    <mergeCell ref="C7777:D7777"/>
    <mergeCell ref="G7777:O7782"/>
    <mergeCell ref="A7778:B7778"/>
    <mergeCell ref="C7778:D7778"/>
    <mergeCell ref="A7779:B7779"/>
    <mergeCell ref="C7779:D7779"/>
    <mergeCell ref="A7780:B7780"/>
    <mergeCell ref="C7780:D7780"/>
    <mergeCell ref="A7781:B7781"/>
    <mergeCell ref="C7781:D7781"/>
    <mergeCell ref="A7782:B7782"/>
    <mergeCell ref="C7782:D7782"/>
    <mergeCell ref="B7766:D7766"/>
    <mergeCell ref="F7766:G7766"/>
    <mergeCell ref="H7766:K7766"/>
    <mergeCell ref="L7766:O7766"/>
    <mergeCell ref="E7248:E7249"/>
    <mergeCell ref="A7252:B7252"/>
    <mergeCell ref="C7252:D7252"/>
    <mergeCell ref="G7252:O7252"/>
    <mergeCell ref="L7229:O7229"/>
    <mergeCell ref="B7232:D7232"/>
    <mergeCell ref="F7232:G7232"/>
    <mergeCell ref="H7232:K7232"/>
    <mergeCell ref="L7232:O7232"/>
    <mergeCell ref="L7691:O7691"/>
    <mergeCell ref="L7758:O7758"/>
    <mergeCell ref="P7758:P7787"/>
    <mergeCell ref="B7760:D7760"/>
    <mergeCell ref="F7760:G7760"/>
    <mergeCell ref="H7760:K7760"/>
    <mergeCell ref="L7760:O7760"/>
    <mergeCell ref="B7761:D7761"/>
    <mergeCell ref="F7761:G7761"/>
    <mergeCell ref="H7761:K7761"/>
    <mergeCell ref="L7761:O7761"/>
    <mergeCell ref="B7763:D7763"/>
    <mergeCell ref="F7763:G7763"/>
    <mergeCell ref="H7763:K7763"/>
    <mergeCell ref="L7763:O7763"/>
    <mergeCell ref="B7764:D7764"/>
    <mergeCell ref="F7764:G7764"/>
    <mergeCell ref="H7764:K7764"/>
    <mergeCell ref="L7764:O7764"/>
    <mergeCell ref="H7765:K7765"/>
    <mergeCell ref="L7765:O7765"/>
    <mergeCell ref="B7238:D7238"/>
    <mergeCell ref="F7238:G7238"/>
    <mergeCell ref="H7238:K7238"/>
    <mergeCell ref="L7238:O7238"/>
    <mergeCell ref="P7149:P7150"/>
    <mergeCell ref="B7236:D7236"/>
    <mergeCell ref="F7236:G7236"/>
    <mergeCell ref="H7236:K7236"/>
    <mergeCell ref="L7236:O7236"/>
    <mergeCell ref="B7237:D7237"/>
    <mergeCell ref="F7237:G7237"/>
    <mergeCell ref="H7237:K7237"/>
    <mergeCell ref="B7235:D7235"/>
    <mergeCell ref="F7235:G7235"/>
    <mergeCell ref="H7235:K7235"/>
    <mergeCell ref="L7235:O7235"/>
    <mergeCell ref="B7245:D7245"/>
    <mergeCell ref="F7245:G7245"/>
    <mergeCell ref="H7245:K7245"/>
    <mergeCell ref="L7245:O7245"/>
    <mergeCell ref="B7234:D7234"/>
    <mergeCell ref="F7234:G7234"/>
    <mergeCell ref="H7234:K7234"/>
    <mergeCell ref="L7234:O7234"/>
    <mergeCell ref="L7230:O7230"/>
    <mergeCell ref="N7328:O7328"/>
    <mergeCell ref="N7330:O7330"/>
    <mergeCell ref="H7441:K7441"/>
    <mergeCell ref="B7443:D7443"/>
    <mergeCell ref="F7443:G7443"/>
    <mergeCell ref="L7066:O7066"/>
    <mergeCell ref="P7069:P7077"/>
    <mergeCell ref="P7089:P7092"/>
    <mergeCell ref="P7094:P7097"/>
    <mergeCell ref="P7101:P7108"/>
    <mergeCell ref="P7110:P7111"/>
    <mergeCell ref="P7117:P7123"/>
    <mergeCell ref="P7131:P7134"/>
    <mergeCell ref="L7227:O7227"/>
    <mergeCell ref="P7227:P7263"/>
    <mergeCell ref="B7229:D7229"/>
    <mergeCell ref="F7229:G7229"/>
    <mergeCell ref="H7229:K7229"/>
    <mergeCell ref="B7230:D7230"/>
    <mergeCell ref="F7230:G7230"/>
    <mergeCell ref="H7230:K7230"/>
    <mergeCell ref="B7242:D7242"/>
    <mergeCell ref="F7242:G7242"/>
    <mergeCell ref="H7242:K7242"/>
    <mergeCell ref="L7242:O7242"/>
    <mergeCell ref="B7244:D7244"/>
    <mergeCell ref="C7256:D7256"/>
    <mergeCell ref="A7257:B7257"/>
    <mergeCell ref="C7257:D7257"/>
    <mergeCell ref="A7258:B7258"/>
    <mergeCell ref="C7258:D7258"/>
    <mergeCell ref="L7237:O7237"/>
    <mergeCell ref="L7443:O7443"/>
    <mergeCell ref="B7239:D7239"/>
    <mergeCell ref="F7239:G7239"/>
    <mergeCell ref="H7239:K7239"/>
    <mergeCell ref="L7239:O7239"/>
    <mergeCell ref="B7241:D7241"/>
    <mergeCell ref="F7241:G7241"/>
    <mergeCell ref="H7241:K7241"/>
    <mergeCell ref="L7241:O7241"/>
    <mergeCell ref="F7244:G7244"/>
    <mergeCell ref="H7244:K7244"/>
    <mergeCell ref="L7244:O7244"/>
    <mergeCell ref="A7253:B7253"/>
    <mergeCell ref="C7253:D7253"/>
    <mergeCell ref="G7253:O7258"/>
    <mergeCell ref="N7260:O7260"/>
    <mergeCell ref="N7262:O7262"/>
    <mergeCell ref="A7254:B7254"/>
    <mergeCell ref="C7254:D7254"/>
    <mergeCell ref="A7255:B7255"/>
    <mergeCell ref="C7255:D7255"/>
    <mergeCell ref="A7256:B7256"/>
    <mergeCell ref="L7336:O7336"/>
    <mergeCell ref="L7436:O7436"/>
    <mergeCell ref="F7314:G7314"/>
    <mergeCell ref="H7314:K7314"/>
    <mergeCell ref="L7314:O7314"/>
    <mergeCell ref="P7387:P7394"/>
    <mergeCell ref="P7436:P7471"/>
    <mergeCell ref="B7438:D7438"/>
    <mergeCell ref="F7438:G7438"/>
    <mergeCell ref="H7438:K7438"/>
    <mergeCell ref="L7438:O7438"/>
    <mergeCell ref="B7439:D7439"/>
    <mergeCell ref="F7439:G7439"/>
    <mergeCell ref="H7439:K7439"/>
    <mergeCell ref="L7439:O7439"/>
    <mergeCell ref="B7440:D7440"/>
    <mergeCell ref="F7440:G7440"/>
    <mergeCell ref="H7440:K7440"/>
    <mergeCell ref="L7440:O7440"/>
    <mergeCell ref="B7441:D7441"/>
    <mergeCell ref="F7441:G7441"/>
    <mergeCell ref="H7443:K7443"/>
    <mergeCell ref="B7454:D7454"/>
    <mergeCell ref="A7466:B7466"/>
    <mergeCell ref="C7466:D7466"/>
    <mergeCell ref="H7454:K7454"/>
    <mergeCell ref="L7454:O7454"/>
    <mergeCell ref="B7452:D7452"/>
    <mergeCell ref="F7452:G7452"/>
    <mergeCell ref="H7452:K7452"/>
    <mergeCell ref="L7452:O7452"/>
    <mergeCell ref="B7446:D7446"/>
    <mergeCell ref="L7441:O7441"/>
    <mergeCell ref="B7442:D7442"/>
    <mergeCell ref="F7442:G7442"/>
    <mergeCell ref="H7442:K7442"/>
    <mergeCell ref="L7442:O7442"/>
    <mergeCell ref="P7273:P7281"/>
    <mergeCell ref="A7321:B7321"/>
    <mergeCell ref="C7321:D7321"/>
    <mergeCell ref="G7321:O7326"/>
    <mergeCell ref="A7322:B7322"/>
    <mergeCell ref="C7322:D7322"/>
    <mergeCell ref="A7323:B7323"/>
    <mergeCell ref="B7312:D7312"/>
    <mergeCell ref="F7312:G7312"/>
    <mergeCell ref="H7312:K7312"/>
    <mergeCell ref="L7312:O7312"/>
    <mergeCell ref="E7316:E7317"/>
    <mergeCell ref="A7320:B7320"/>
    <mergeCell ref="C7320:D7320"/>
    <mergeCell ref="G7320:O7320"/>
    <mergeCell ref="C7323:D7323"/>
    <mergeCell ref="A7324:B7324"/>
    <mergeCell ref="C7324:D7324"/>
    <mergeCell ref="A7325:B7325"/>
    <mergeCell ref="C7325:D7325"/>
    <mergeCell ref="A7326:B7326"/>
    <mergeCell ref="C7326:D7326"/>
    <mergeCell ref="P7285:P7300"/>
    <mergeCell ref="F6872:G6872"/>
    <mergeCell ref="H6872:K6872"/>
    <mergeCell ref="L6872:O6872"/>
    <mergeCell ref="N6890:O6890"/>
    <mergeCell ref="N6892:O6892"/>
    <mergeCell ref="A6883:B6883"/>
    <mergeCell ref="C6883:D6883"/>
    <mergeCell ref="G6883:O6888"/>
    <mergeCell ref="A6884:B6884"/>
    <mergeCell ref="C6884:D6884"/>
    <mergeCell ref="A6885:B6885"/>
    <mergeCell ref="C6885:D6885"/>
    <mergeCell ref="L7270:O7270"/>
    <mergeCell ref="L7306:O7306"/>
    <mergeCell ref="P7306:P7331"/>
    <mergeCell ref="B7308:D7308"/>
    <mergeCell ref="F7308:G7308"/>
    <mergeCell ref="H7308:K7308"/>
    <mergeCell ref="L7308:O7308"/>
    <mergeCell ref="B7309:D7309"/>
    <mergeCell ref="F7309:G7309"/>
    <mergeCell ref="H7309:K7309"/>
    <mergeCell ref="L7309:O7309"/>
    <mergeCell ref="B7311:D7311"/>
    <mergeCell ref="F7311:G7311"/>
    <mergeCell ref="H7311:K7311"/>
    <mergeCell ref="L7311:O7311"/>
    <mergeCell ref="B7313:D7313"/>
    <mergeCell ref="F7313:G7313"/>
    <mergeCell ref="H7313:K7313"/>
    <mergeCell ref="L7313:O7313"/>
    <mergeCell ref="B7314:D7314"/>
    <mergeCell ref="N7060:O7060"/>
    <mergeCell ref="N7062:O7062"/>
    <mergeCell ref="B7042:D7042"/>
    <mergeCell ref="F7042:G7042"/>
    <mergeCell ref="H7042:K7042"/>
    <mergeCell ref="L7042:O7042"/>
    <mergeCell ref="E7048:E7049"/>
    <mergeCell ref="L6837:O6837"/>
    <mergeCell ref="B6874:D6874"/>
    <mergeCell ref="F6874:G6874"/>
    <mergeCell ref="H6874:K6874"/>
    <mergeCell ref="L6874:O6874"/>
    <mergeCell ref="B6875:D6875"/>
    <mergeCell ref="F6875:G6875"/>
    <mergeCell ref="H6875:K6875"/>
    <mergeCell ref="L6875:O6875"/>
    <mergeCell ref="B6876:D6876"/>
    <mergeCell ref="F6876:G6876"/>
    <mergeCell ref="H6876:K6876"/>
    <mergeCell ref="L6876:O6876"/>
    <mergeCell ref="E6878:E6879"/>
    <mergeCell ref="A6882:B6882"/>
    <mergeCell ref="C6882:D6882"/>
    <mergeCell ref="G6882:O6882"/>
    <mergeCell ref="L6861:O6861"/>
    <mergeCell ref="F6865:G6865"/>
    <mergeCell ref="H6865:K6865"/>
    <mergeCell ref="L6865:O6865"/>
    <mergeCell ref="B6866:D6866"/>
    <mergeCell ref="F6866:G6866"/>
    <mergeCell ref="H6866:K6866"/>
    <mergeCell ref="L6866:O6866"/>
    <mergeCell ref="F6870:G6870"/>
    <mergeCell ref="H6870:K6870"/>
    <mergeCell ref="L6870:O6870"/>
    <mergeCell ref="B7046:D7046"/>
    <mergeCell ref="P6910:P6914"/>
    <mergeCell ref="P6931:P6941"/>
    <mergeCell ref="P6926:P6929"/>
    <mergeCell ref="P6916:P6924"/>
    <mergeCell ref="P6982:P6984"/>
    <mergeCell ref="P6975:P6980"/>
    <mergeCell ref="P6967:P6973"/>
    <mergeCell ref="P6961:P6965"/>
    <mergeCell ref="P6951:P6959"/>
    <mergeCell ref="P6944:P6949"/>
    <mergeCell ref="P6986:P6993"/>
    <mergeCell ref="F7038:G7038"/>
    <mergeCell ref="H7038:K7038"/>
    <mergeCell ref="B7040:D7040"/>
    <mergeCell ref="B6871:D6871"/>
    <mergeCell ref="F6871:G6871"/>
    <mergeCell ref="B7044:D7044"/>
    <mergeCell ref="F7044:G7044"/>
    <mergeCell ref="H7044:K7044"/>
    <mergeCell ref="A6886:B6886"/>
    <mergeCell ref="C6886:D6886"/>
    <mergeCell ref="A6887:B6887"/>
    <mergeCell ref="C6887:D6887"/>
    <mergeCell ref="A6888:B6888"/>
    <mergeCell ref="C6888:D6888"/>
    <mergeCell ref="H6871:K6871"/>
    <mergeCell ref="L6871:O6871"/>
    <mergeCell ref="B6872:D6872"/>
    <mergeCell ref="L7044:O7044"/>
    <mergeCell ref="B7038:D7038"/>
    <mergeCell ref="L7038:O7038"/>
    <mergeCell ref="P6861:P6893"/>
    <mergeCell ref="B6863:D6863"/>
    <mergeCell ref="F6863:G6863"/>
    <mergeCell ref="H6863:K6863"/>
    <mergeCell ref="A7052:B7052"/>
    <mergeCell ref="C7052:D7052"/>
    <mergeCell ref="G7052:O7052"/>
    <mergeCell ref="A7053:B7053"/>
    <mergeCell ref="C7053:D7053"/>
    <mergeCell ref="G7053:O7058"/>
    <mergeCell ref="A7054:B7054"/>
    <mergeCell ref="C7054:D7054"/>
    <mergeCell ref="A7055:B7055"/>
    <mergeCell ref="C7055:D7055"/>
    <mergeCell ref="A7056:B7056"/>
    <mergeCell ref="C7056:D7056"/>
    <mergeCell ref="A7057:B7057"/>
    <mergeCell ref="C7057:D7057"/>
    <mergeCell ref="A7058:B7058"/>
    <mergeCell ref="C7058:D7058"/>
    <mergeCell ref="B6867:D6867"/>
    <mergeCell ref="F6867:G6867"/>
    <mergeCell ref="H6867:K6867"/>
    <mergeCell ref="L6867:O6867"/>
    <mergeCell ref="B6868:D6868"/>
    <mergeCell ref="F6868:G6868"/>
    <mergeCell ref="H6868:K6868"/>
    <mergeCell ref="L6868:O6868"/>
    <mergeCell ref="B6870:D6870"/>
    <mergeCell ref="P5912:P5913"/>
    <mergeCell ref="P5918:P5919"/>
    <mergeCell ref="P5921:P5925"/>
    <mergeCell ref="F7040:G7040"/>
    <mergeCell ref="H7040:K7040"/>
    <mergeCell ref="L7040:O7040"/>
    <mergeCell ref="L6907:O6907"/>
    <mergeCell ref="L7033:O7033"/>
    <mergeCell ref="B7035:D7035"/>
    <mergeCell ref="F7035:G7035"/>
    <mergeCell ref="H7035:K7035"/>
    <mergeCell ref="L7035:O7035"/>
    <mergeCell ref="B7036:D7036"/>
    <mergeCell ref="F7036:G7036"/>
    <mergeCell ref="H7036:K7036"/>
    <mergeCell ref="L7036:O7036"/>
    <mergeCell ref="L6863:O6863"/>
    <mergeCell ref="B6864:D6864"/>
    <mergeCell ref="F6864:G6864"/>
    <mergeCell ref="H6864:K6864"/>
    <mergeCell ref="L6864:O6864"/>
    <mergeCell ref="B6865:D6865"/>
    <mergeCell ref="F6516:G6516"/>
    <mergeCell ref="H6516:K6516"/>
    <mergeCell ref="L6516:O6516"/>
    <mergeCell ref="B6513:D6513"/>
    <mergeCell ref="H6518:K6518"/>
    <mergeCell ref="L6518:O6518"/>
    <mergeCell ref="C6535:D6535"/>
    <mergeCell ref="F6306:G6306"/>
    <mergeCell ref="H6306:K6306"/>
    <mergeCell ref="L6306:O6306"/>
    <mergeCell ref="P5631:P5651"/>
    <mergeCell ref="P5653:P5663"/>
    <mergeCell ref="P5673:P5682"/>
    <mergeCell ref="P5686:P5699"/>
    <mergeCell ref="P5702:P5709"/>
    <mergeCell ref="P5724:P5731"/>
    <mergeCell ref="F6291:G6291"/>
    <mergeCell ref="H6291:K6291"/>
    <mergeCell ref="L6291:O6291"/>
    <mergeCell ref="B6292:D6292"/>
    <mergeCell ref="F6292:G6292"/>
    <mergeCell ref="H6292:K6292"/>
    <mergeCell ref="B5957:D5957"/>
    <mergeCell ref="F5957:G5957"/>
    <mergeCell ref="H5957:K5957"/>
    <mergeCell ref="L5957:O5957"/>
    <mergeCell ref="B5960:D5960"/>
    <mergeCell ref="F5960:G5960"/>
    <mergeCell ref="H5960:K5960"/>
    <mergeCell ref="L5960:O5960"/>
    <mergeCell ref="P5819:P5842"/>
    <mergeCell ref="P5844:P5847"/>
    <mergeCell ref="P5855:P5856"/>
    <mergeCell ref="P5861:P5868"/>
    <mergeCell ref="P5872:P5885"/>
    <mergeCell ref="P5887:P5888"/>
    <mergeCell ref="P5894:P5895"/>
    <mergeCell ref="P5901:P5905"/>
    <mergeCell ref="P5907:P5910"/>
    <mergeCell ref="P5929:P5937"/>
    <mergeCell ref="P5942:P5943"/>
    <mergeCell ref="F5785:G5785"/>
    <mergeCell ref="P6507:P6541"/>
    <mergeCell ref="B6509:D6509"/>
    <mergeCell ref="F6509:G6509"/>
    <mergeCell ref="H6509:K6509"/>
    <mergeCell ref="L6509:O6509"/>
    <mergeCell ref="B6510:D6510"/>
    <mergeCell ref="F6510:G6510"/>
    <mergeCell ref="H6510:K6510"/>
    <mergeCell ref="L6510:O6510"/>
    <mergeCell ref="B6511:D6511"/>
    <mergeCell ref="F6522:G6522"/>
    <mergeCell ref="H6522:K6522"/>
    <mergeCell ref="L6522:O6522"/>
    <mergeCell ref="F6513:G6513"/>
    <mergeCell ref="H6513:K6513"/>
    <mergeCell ref="L6513:O6513"/>
    <mergeCell ref="B6514:D6514"/>
    <mergeCell ref="F6514:G6514"/>
    <mergeCell ref="H6514:K6514"/>
    <mergeCell ref="L6514:O6514"/>
    <mergeCell ref="B6516:D6516"/>
    <mergeCell ref="L6524:O6524"/>
    <mergeCell ref="B6519:D6519"/>
    <mergeCell ref="F6519:G6519"/>
    <mergeCell ref="H6519:K6519"/>
    <mergeCell ref="L6519:O6519"/>
    <mergeCell ref="B6520:D6520"/>
    <mergeCell ref="F6520:G6520"/>
    <mergeCell ref="H6520:K6520"/>
    <mergeCell ref="L6520:O6520"/>
    <mergeCell ref="F6521:G6521"/>
    <mergeCell ref="H6521:K6521"/>
    <mergeCell ref="H6290:K6290"/>
    <mergeCell ref="B6522:D6522"/>
    <mergeCell ref="B6518:D6518"/>
    <mergeCell ref="F6518:G6518"/>
    <mergeCell ref="L6303:O6303"/>
    <mergeCell ref="E6310:E6311"/>
    <mergeCell ref="B6305:D6305"/>
    <mergeCell ref="L6305:O6305"/>
    <mergeCell ref="B6306:D6306"/>
    <mergeCell ref="A6315:B6315"/>
    <mergeCell ref="H6305:K6305"/>
    <mergeCell ref="C6315:D6315"/>
    <mergeCell ref="F6305:G6305"/>
    <mergeCell ref="L6507:O6507"/>
    <mergeCell ref="N6324:O6324"/>
    <mergeCell ref="A6317:B6317"/>
    <mergeCell ref="C6317:D6317"/>
    <mergeCell ref="A6318:B6318"/>
    <mergeCell ref="C6318:D6318"/>
    <mergeCell ref="A6319:B6319"/>
    <mergeCell ref="C6319:D6319"/>
    <mergeCell ref="A6320:B6320"/>
    <mergeCell ref="F6511:G6511"/>
    <mergeCell ref="H6511:K6511"/>
    <mergeCell ref="L6511:O6511"/>
    <mergeCell ref="B6512:D6512"/>
    <mergeCell ref="F6512:G6512"/>
    <mergeCell ref="H6512:K6512"/>
    <mergeCell ref="L6512:O6512"/>
    <mergeCell ref="C6314:D6314"/>
    <mergeCell ref="G6314:O6314"/>
    <mergeCell ref="H6297:K6297"/>
    <mergeCell ref="H5785:K5785"/>
    <mergeCell ref="L5785:O5785"/>
    <mergeCell ref="B5788:D5788"/>
    <mergeCell ref="F5788:G5788"/>
    <mergeCell ref="H5788:K5788"/>
    <mergeCell ref="L5788:O5788"/>
    <mergeCell ref="B5789:D5789"/>
    <mergeCell ref="F5789:G5789"/>
    <mergeCell ref="H5789:K5789"/>
    <mergeCell ref="L5789:O5789"/>
    <mergeCell ref="B5791:D5791"/>
    <mergeCell ref="F5791:G5791"/>
    <mergeCell ref="H5791:K5791"/>
    <mergeCell ref="L5791:O5791"/>
    <mergeCell ref="B5793:D5793"/>
    <mergeCell ref="F5793:G5793"/>
    <mergeCell ref="H5793:K5793"/>
    <mergeCell ref="L5793:O5793"/>
    <mergeCell ref="L6297:O6297"/>
    <mergeCell ref="L6290:O6290"/>
    <mergeCell ref="B6291:D6291"/>
    <mergeCell ref="N6538:O6538"/>
    <mergeCell ref="N6540:O6540"/>
    <mergeCell ref="B6523:D6523"/>
    <mergeCell ref="F6523:G6523"/>
    <mergeCell ref="H6523:K6523"/>
    <mergeCell ref="L6523:O6523"/>
    <mergeCell ref="E6526:E6527"/>
    <mergeCell ref="A6530:B6530"/>
    <mergeCell ref="C6530:D6530"/>
    <mergeCell ref="G6530:O6530"/>
    <mergeCell ref="A6531:B6531"/>
    <mergeCell ref="C6531:D6531"/>
    <mergeCell ref="G6531:O6536"/>
    <mergeCell ref="A6532:B6532"/>
    <mergeCell ref="C6532:D6532"/>
    <mergeCell ref="A6533:B6533"/>
    <mergeCell ref="C6533:D6533"/>
    <mergeCell ref="A6534:B6534"/>
    <mergeCell ref="C6534:D6534"/>
    <mergeCell ref="A6535:B6535"/>
    <mergeCell ref="A6536:B6536"/>
    <mergeCell ref="C6536:D6536"/>
    <mergeCell ref="B6524:D6524"/>
    <mergeCell ref="F6524:G6524"/>
    <mergeCell ref="H6524:K6524"/>
    <mergeCell ref="F6300:G6300"/>
    <mergeCell ref="H6300:K6300"/>
    <mergeCell ref="L6300:O6300"/>
    <mergeCell ref="B6521:D6521"/>
    <mergeCell ref="L6521:O6521"/>
    <mergeCell ref="E5589:E5590"/>
    <mergeCell ref="A5593:B5593"/>
    <mergeCell ref="C5593:D5593"/>
    <mergeCell ref="G5593:O5593"/>
    <mergeCell ref="A5594:B5594"/>
    <mergeCell ref="C5594:D5594"/>
    <mergeCell ref="G5594:O5599"/>
    <mergeCell ref="A5595:B5595"/>
    <mergeCell ref="C5595:D5595"/>
    <mergeCell ref="A5596:B5596"/>
    <mergeCell ref="C5596:D5596"/>
    <mergeCell ref="B5785:D5785"/>
    <mergeCell ref="L6286:O6286"/>
    <mergeCell ref="C5800:D5800"/>
    <mergeCell ref="G5800:O5800"/>
    <mergeCell ref="A5801:B5801"/>
    <mergeCell ref="C5801:D5801"/>
    <mergeCell ref="H5784:K5784"/>
    <mergeCell ref="B5783:D5783"/>
    <mergeCell ref="F5783:G5783"/>
    <mergeCell ref="H5783:K5783"/>
    <mergeCell ref="L5783:O5783"/>
    <mergeCell ref="B5784:D5784"/>
    <mergeCell ref="L5784:O5784"/>
    <mergeCell ref="A5800:B5800"/>
    <mergeCell ref="C5803:D5803"/>
    <mergeCell ref="A5804:B5804"/>
    <mergeCell ref="C5804:D5804"/>
    <mergeCell ref="A5805:B5805"/>
    <mergeCell ref="C5805:D5805"/>
    <mergeCell ref="A5806:B5806"/>
    <mergeCell ref="P6286:P6325"/>
    <mergeCell ref="B6288:D6288"/>
    <mergeCell ref="F6288:G6288"/>
    <mergeCell ref="H6288:K6288"/>
    <mergeCell ref="L6288:O6288"/>
    <mergeCell ref="B6289:D6289"/>
    <mergeCell ref="F6289:G6289"/>
    <mergeCell ref="H6289:K6289"/>
    <mergeCell ref="L6289:O6289"/>
    <mergeCell ref="B6290:D6290"/>
    <mergeCell ref="F6290:G6290"/>
    <mergeCell ref="L6292:O6292"/>
    <mergeCell ref="B6293:D6293"/>
    <mergeCell ref="F6293:G6293"/>
    <mergeCell ref="H6293:K6293"/>
    <mergeCell ref="L6293:O6293"/>
    <mergeCell ref="B6299:D6299"/>
    <mergeCell ref="F6299:G6299"/>
    <mergeCell ref="H6299:K6299"/>
    <mergeCell ref="B6300:D6300"/>
    <mergeCell ref="L6299:O6299"/>
    <mergeCell ref="B6301:D6301"/>
    <mergeCell ref="G6315:O6320"/>
    <mergeCell ref="A6316:B6316"/>
    <mergeCell ref="C6316:D6316"/>
    <mergeCell ref="B6296:D6296"/>
    <mergeCell ref="F6296:G6296"/>
    <mergeCell ref="H6296:K6296"/>
    <mergeCell ref="H6303:K6303"/>
    <mergeCell ref="L6296:O6296"/>
    <mergeCell ref="B6297:D6297"/>
    <mergeCell ref="F6297:G6297"/>
    <mergeCell ref="P5575:P5604"/>
    <mergeCell ref="B5577:D5577"/>
    <mergeCell ref="F5577:G5577"/>
    <mergeCell ref="H5577:K5577"/>
    <mergeCell ref="L5577:O5577"/>
    <mergeCell ref="B5578:D5578"/>
    <mergeCell ref="F5578:G5578"/>
    <mergeCell ref="H5578:K5578"/>
    <mergeCell ref="L5578:O5578"/>
    <mergeCell ref="B5580:D5580"/>
    <mergeCell ref="F5580:G5580"/>
    <mergeCell ref="H5580:K5580"/>
    <mergeCell ref="L5580:O5580"/>
    <mergeCell ref="B5581:D5581"/>
    <mergeCell ref="F5581:G5581"/>
    <mergeCell ref="H5581:K5581"/>
    <mergeCell ref="L5581:O5581"/>
    <mergeCell ref="F5587:G5587"/>
    <mergeCell ref="N5601:O5601"/>
    <mergeCell ref="N5603:O5603"/>
    <mergeCell ref="B5582:D5582"/>
    <mergeCell ref="F5582:G5582"/>
    <mergeCell ref="H5582:K5582"/>
    <mergeCell ref="L5582:O5582"/>
    <mergeCell ref="B5583:D5583"/>
    <mergeCell ref="F5583:G5583"/>
    <mergeCell ref="H5583:K5583"/>
    <mergeCell ref="L5583:O5583"/>
    <mergeCell ref="B5584:D5584"/>
    <mergeCell ref="F5584:G5584"/>
    <mergeCell ref="H5584:K5584"/>
    <mergeCell ref="L5584:O5584"/>
    <mergeCell ref="L4101:O4101"/>
    <mergeCell ref="H4101:K4101"/>
    <mergeCell ref="F4101:G4101"/>
    <mergeCell ref="B4101:D4101"/>
    <mergeCell ref="L3768:O3768"/>
    <mergeCell ref="L4097:O4097"/>
    <mergeCell ref="L4107:O4107"/>
    <mergeCell ref="B4108:D4108"/>
    <mergeCell ref="F4108:G4108"/>
    <mergeCell ref="H4108:K4108"/>
    <mergeCell ref="L4108:O4108"/>
    <mergeCell ref="E4123:E4124"/>
    <mergeCell ref="A4127:B4127"/>
    <mergeCell ref="C4127:D4127"/>
    <mergeCell ref="G4127:O4127"/>
    <mergeCell ref="F4115:G4115"/>
    <mergeCell ref="H4115:K4115"/>
    <mergeCell ref="L4115:O4115"/>
    <mergeCell ref="B4116:D4116"/>
    <mergeCell ref="F4116:G4116"/>
    <mergeCell ref="H4116:K4116"/>
    <mergeCell ref="L4116:O4116"/>
    <mergeCell ref="B4117:D4117"/>
    <mergeCell ref="L4117:O4117"/>
    <mergeCell ref="B4118:D4118"/>
    <mergeCell ref="F4118:G4118"/>
    <mergeCell ref="H4118:K4118"/>
    <mergeCell ref="L4118:O4118"/>
    <mergeCell ref="B4120:D4120"/>
    <mergeCell ref="F4120:G4120"/>
    <mergeCell ref="H4120:K4120"/>
    <mergeCell ref="L4120:O4120"/>
    <mergeCell ref="L3377:O3377"/>
    <mergeCell ref="B3378:D3378"/>
    <mergeCell ref="F3378:G3378"/>
    <mergeCell ref="H3378:K3378"/>
    <mergeCell ref="L3378:O3378"/>
    <mergeCell ref="F3705:G3705"/>
    <mergeCell ref="H3705:K3705"/>
    <mergeCell ref="L3705:O3705"/>
    <mergeCell ref="L3698:O3698"/>
    <mergeCell ref="A3527:B3527"/>
    <mergeCell ref="B3515:D3515"/>
    <mergeCell ref="F3515:G3515"/>
    <mergeCell ref="H3515:K3515"/>
    <mergeCell ref="L3515:O3515"/>
    <mergeCell ref="B3517:D3517"/>
    <mergeCell ref="F3517:G3517"/>
    <mergeCell ref="H3517:K3517"/>
    <mergeCell ref="B3510:D3510"/>
    <mergeCell ref="F3510:G3510"/>
    <mergeCell ref="H3510:K3510"/>
    <mergeCell ref="L3510:O3510"/>
    <mergeCell ref="B3519:D3519"/>
    <mergeCell ref="F3519:G3519"/>
    <mergeCell ref="H3519:K3519"/>
    <mergeCell ref="L3519:O3519"/>
    <mergeCell ref="H3521:K3521"/>
    <mergeCell ref="L3521:O3521"/>
    <mergeCell ref="L3509:O3509"/>
    <mergeCell ref="C3258:D3258"/>
    <mergeCell ref="A3254:B3254"/>
    <mergeCell ref="C3254:D3254"/>
    <mergeCell ref="L3267:O3267"/>
    <mergeCell ref="L3401:O3401"/>
    <mergeCell ref="L3541:O3541"/>
    <mergeCell ref="L3368:O3368"/>
    <mergeCell ref="A3533:B3533"/>
    <mergeCell ref="C3533:D3533"/>
    <mergeCell ref="A3390:B3390"/>
    <mergeCell ref="B5586:D5586"/>
    <mergeCell ref="F5586:G5586"/>
    <mergeCell ref="H5586:K5586"/>
    <mergeCell ref="L5586:O5586"/>
    <mergeCell ref="C3390:D3390"/>
    <mergeCell ref="A3391:B3391"/>
    <mergeCell ref="C3391:D3391"/>
    <mergeCell ref="A3392:B3392"/>
    <mergeCell ref="C3392:D3392"/>
    <mergeCell ref="N3394:O3394"/>
    <mergeCell ref="N3396:O3396"/>
    <mergeCell ref="L3504:O3504"/>
    <mergeCell ref="N3535:O3535"/>
    <mergeCell ref="N3537:O3537"/>
    <mergeCell ref="B3509:D3509"/>
    <mergeCell ref="F3509:G3509"/>
    <mergeCell ref="H3509:K3509"/>
    <mergeCell ref="F4117:G4117"/>
    <mergeCell ref="H4117:K4117"/>
    <mergeCell ref="B3377:D3377"/>
    <mergeCell ref="F3377:G3377"/>
    <mergeCell ref="H3377:K3377"/>
    <mergeCell ref="L3110:O3110"/>
    <mergeCell ref="B3112:D3112"/>
    <mergeCell ref="F3112:G3112"/>
    <mergeCell ref="H3112:K3112"/>
    <mergeCell ref="L3112:O3112"/>
    <mergeCell ref="A3121:B3121"/>
    <mergeCell ref="C3121:D3121"/>
    <mergeCell ref="A3122:B3122"/>
    <mergeCell ref="C3122:D3122"/>
    <mergeCell ref="A3123:B3123"/>
    <mergeCell ref="C3123:D3123"/>
    <mergeCell ref="A3120:B3120"/>
    <mergeCell ref="C3120:D3120"/>
    <mergeCell ref="L3517:O3517"/>
    <mergeCell ref="L3739:O3739"/>
    <mergeCell ref="A3119:B3119"/>
    <mergeCell ref="C3119:D3119"/>
    <mergeCell ref="G3119:O3124"/>
    <mergeCell ref="N3126:O3126"/>
    <mergeCell ref="A3724:B3724"/>
    <mergeCell ref="C3724:D3724"/>
    <mergeCell ref="A3725:B3725"/>
    <mergeCell ref="C3725:D3725"/>
    <mergeCell ref="A3726:B3726"/>
    <mergeCell ref="C3726:D3726"/>
    <mergeCell ref="A3727:B3727"/>
    <mergeCell ref="C3727:D3727"/>
    <mergeCell ref="E3523:E3524"/>
    <mergeCell ref="F3242:G3242"/>
    <mergeCell ref="A3257:B3257"/>
    <mergeCell ref="C3257:D3257"/>
    <mergeCell ref="A3258:B3258"/>
    <mergeCell ref="H3740:K3740"/>
    <mergeCell ref="B3707:D3707"/>
    <mergeCell ref="F3707:G3707"/>
    <mergeCell ref="H3707:K3707"/>
    <mergeCell ref="L3707:O3707"/>
    <mergeCell ref="B3708:D3708"/>
    <mergeCell ref="F3708:G3708"/>
    <mergeCell ref="H3708:K3708"/>
    <mergeCell ref="L3708:O3708"/>
    <mergeCell ref="H3242:K3242"/>
    <mergeCell ref="L3242:O3242"/>
    <mergeCell ref="B3245:D3245"/>
    <mergeCell ref="F3245:G3245"/>
    <mergeCell ref="H3245:K3245"/>
    <mergeCell ref="L3245:O3245"/>
    <mergeCell ref="B3242:D3242"/>
    <mergeCell ref="L3236:O3236"/>
    <mergeCell ref="A3255:B3255"/>
    <mergeCell ref="C3255:D3255"/>
    <mergeCell ref="B3709:D3709"/>
    <mergeCell ref="F3709:G3709"/>
    <mergeCell ref="H3709:K3709"/>
    <mergeCell ref="L3709:O3709"/>
    <mergeCell ref="N3731:O3731"/>
    <mergeCell ref="A3721:B3721"/>
    <mergeCell ref="C3721:D3721"/>
    <mergeCell ref="G3721:O3721"/>
    <mergeCell ref="A3722:B3722"/>
    <mergeCell ref="C3722:D3722"/>
    <mergeCell ref="G3722:O3727"/>
    <mergeCell ref="A3723:B3723"/>
    <mergeCell ref="C3723:D3723"/>
    <mergeCell ref="F3005:G3005"/>
    <mergeCell ref="H3005:K3005"/>
    <mergeCell ref="L3005:O3005"/>
    <mergeCell ref="B3006:D3006"/>
    <mergeCell ref="F3006:G3006"/>
    <mergeCell ref="H3006:K3006"/>
    <mergeCell ref="L3006:O3006"/>
    <mergeCell ref="A3014:B3014"/>
    <mergeCell ref="C3014:D3014"/>
    <mergeCell ref="G3014:O3014"/>
    <mergeCell ref="A3015:B3015"/>
    <mergeCell ref="C3015:D3015"/>
    <mergeCell ref="G3015:O3020"/>
    <mergeCell ref="A3016:B3016"/>
    <mergeCell ref="C3016:D3016"/>
    <mergeCell ref="A3017:B3017"/>
    <mergeCell ref="C3017:D3017"/>
    <mergeCell ref="A3018:B3018"/>
    <mergeCell ref="C3018:D3018"/>
    <mergeCell ref="A3019:B3019"/>
    <mergeCell ref="C3019:D3019"/>
    <mergeCell ref="A3020:B3020"/>
    <mergeCell ref="C3020:D3020"/>
    <mergeCell ref="E3010:E3011"/>
    <mergeCell ref="N3022:O3022"/>
    <mergeCell ref="F3109:G3109"/>
    <mergeCell ref="H3109:K3109"/>
    <mergeCell ref="P2994:P3025"/>
    <mergeCell ref="B2996:D2996"/>
    <mergeCell ref="F2996:G2996"/>
    <mergeCell ref="H2996:K2996"/>
    <mergeCell ref="L2996:O2996"/>
    <mergeCell ref="B2997:D2997"/>
    <mergeCell ref="F2997:G2997"/>
    <mergeCell ref="H2997:K2997"/>
    <mergeCell ref="L2997:O2997"/>
    <mergeCell ref="B2999:D2999"/>
    <mergeCell ref="F2999:G2999"/>
    <mergeCell ref="H2999:K2999"/>
    <mergeCell ref="L2999:O2999"/>
    <mergeCell ref="B3000:D3000"/>
    <mergeCell ref="F3000:G3000"/>
    <mergeCell ref="H3000:K3000"/>
    <mergeCell ref="L3000:O3000"/>
    <mergeCell ref="B3001:D3001"/>
    <mergeCell ref="F3001:G3001"/>
    <mergeCell ref="H3001:K3001"/>
    <mergeCell ref="L3001:O3001"/>
    <mergeCell ref="B3004:D3004"/>
    <mergeCell ref="F3004:G3004"/>
    <mergeCell ref="H3004:K3004"/>
    <mergeCell ref="L3004:O3004"/>
    <mergeCell ref="B3008:D3008"/>
    <mergeCell ref="F3008:G3008"/>
    <mergeCell ref="H3008:K3008"/>
    <mergeCell ref="L3008:O3008"/>
    <mergeCell ref="N3024:O3024"/>
    <mergeCell ref="B3005:D3005"/>
    <mergeCell ref="N2743:O2743"/>
    <mergeCell ref="N2745:O2745"/>
    <mergeCell ref="B2724:D2724"/>
    <mergeCell ref="F2724:G2724"/>
    <mergeCell ref="H2724:K2724"/>
    <mergeCell ref="L2724:O2724"/>
    <mergeCell ref="B2727:D2727"/>
    <mergeCell ref="F2727:G2727"/>
    <mergeCell ref="H2727:K2727"/>
    <mergeCell ref="L2727:O2727"/>
    <mergeCell ref="B2728:D2728"/>
    <mergeCell ref="F2728:G2728"/>
    <mergeCell ref="H2728:K2728"/>
    <mergeCell ref="L2728:O2728"/>
    <mergeCell ref="E2731:E2732"/>
    <mergeCell ref="A2735:B2735"/>
    <mergeCell ref="C2735:D2735"/>
    <mergeCell ref="G2735:O2735"/>
    <mergeCell ref="A2736:B2736"/>
    <mergeCell ref="C2736:D2736"/>
    <mergeCell ref="G2736:O2741"/>
    <mergeCell ref="A2737:B2737"/>
    <mergeCell ref="C2737:D2737"/>
    <mergeCell ref="A2738:B2738"/>
    <mergeCell ref="C2738:D2738"/>
    <mergeCell ref="A2739:B2739"/>
    <mergeCell ref="C2739:D2739"/>
    <mergeCell ref="A2740:B2740"/>
    <mergeCell ref="C2740:D2740"/>
    <mergeCell ref="A2741:B2741"/>
    <mergeCell ref="C2741:D2741"/>
    <mergeCell ref="J2699:K2699"/>
    <mergeCell ref="J2704:K2704"/>
    <mergeCell ref="L2713:O2713"/>
    <mergeCell ref="P2713:P2746"/>
    <mergeCell ref="B2715:D2715"/>
    <mergeCell ref="F2715:G2715"/>
    <mergeCell ref="H2715:K2715"/>
    <mergeCell ref="L2715:O2715"/>
    <mergeCell ref="B2716:D2716"/>
    <mergeCell ref="F2716:G2716"/>
    <mergeCell ref="H2716:K2716"/>
    <mergeCell ref="L2716:O2716"/>
    <mergeCell ref="B2718:D2718"/>
    <mergeCell ref="F2718:G2718"/>
    <mergeCell ref="H2718:K2718"/>
    <mergeCell ref="L2718:O2718"/>
    <mergeCell ref="B2719:D2719"/>
    <mergeCell ref="F2719:G2719"/>
    <mergeCell ref="H2719:K2719"/>
    <mergeCell ref="L2719:O2719"/>
    <mergeCell ref="B2720:D2720"/>
    <mergeCell ref="F2720:G2720"/>
    <mergeCell ref="H2720:K2720"/>
    <mergeCell ref="L2720:O2720"/>
    <mergeCell ref="B2722:D2722"/>
    <mergeCell ref="F2722:G2722"/>
    <mergeCell ref="H2722:K2722"/>
    <mergeCell ref="L2722:O2722"/>
    <mergeCell ref="B2723:D2723"/>
    <mergeCell ref="F2723:G2723"/>
    <mergeCell ref="H2723:K2723"/>
    <mergeCell ref="L2723:O2723"/>
    <mergeCell ref="N2603:O2603"/>
    <mergeCell ref="N2605:O2605"/>
    <mergeCell ref="J2483:K2483"/>
    <mergeCell ref="L2609:O2609"/>
    <mergeCell ref="L2588:O2588"/>
    <mergeCell ref="E2591:E2592"/>
    <mergeCell ref="A2595:B2595"/>
    <mergeCell ref="C2595:D2595"/>
    <mergeCell ref="G2595:O2595"/>
    <mergeCell ref="A2596:B2596"/>
    <mergeCell ref="C2596:D2596"/>
    <mergeCell ref="G2596:O2601"/>
    <mergeCell ref="A2597:B2597"/>
    <mergeCell ref="C2597:D2597"/>
    <mergeCell ref="A2598:B2598"/>
    <mergeCell ref="C2598:D2598"/>
    <mergeCell ref="A2599:B2599"/>
    <mergeCell ref="C2599:D2599"/>
    <mergeCell ref="A2600:B2600"/>
    <mergeCell ref="C2600:D2600"/>
    <mergeCell ref="A2601:B2601"/>
    <mergeCell ref="C2601:D2601"/>
    <mergeCell ref="P2576:P2606"/>
    <mergeCell ref="B2578:D2578"/>
    <mergeCell ref="F2578:G2578"/>
    <mergeCell ref="H2578:K2578"/>
    <mergeCell ref="L2578:O2578"/>
    <mergeCell ref="B2579:D2579"/>
    <mergeCell ref="F2579:G2579"/>
    <mergeCell ref="H2579:K2579"/>
    <mergeCell ref="L2579:O2579"/>
    <mergeCell ref="B2581:D2581"/>
    <mergeCell ref="F2581:G2581"/>
    <mergeCell ref="H2581:K2581"/>
    <mergeCell ref="L2581:O2581"/>
    <mergeCell ref="B2582:D2582"/>
    <mergeCell ref="F2582:G2582"/>
    <mergeCell ref="H2582:K2582"/>
    <mergeCell ref="L2582:O2582"/>
    <mergeCell ref="B2584:D2584"/>
    <mergeCell ref="F2584:G2584"/>
    <mergeCell ref="H2584:K2584"/>
    <mergeCell ref="L2584:O2584"/>
    <mergeCell ref="B2585:D2585"/>
    <mergeCell ref="F2585:G2585"/>
    <mergeCell ref="H2585:K2585"/>
    <mergeCell ref="L2585:O2585"/>
    <mergeCell ref="B2587:D2587"/>
    <mergeCell ref="F2587:G2587"/>
    <mergeCell ref="H2587:K2587"/>
    <mergeCell ref="L2587:O2587"/>
    <mergeCell ref="B2588:D2588"/>
    <mergeCell ref="F2588:G2588"/>
    <mergeCell ref="H2588:K2588"/>
    <mergeCell ref="A2446:B2446"/>
    <mergeCell ref="C2446:D2446"/>
    <mergeCell ref="G2446:O2451"/>
    <mergeCell ref="A2447:B2447"/>
    <mergeCell ref="C2447:D2447"/>
    <mergeCell ref="A2448:B2448"/>
    <mergeCell ref="C2448:D2448"/>
    <mergeCell ref="A2449:B2449"/>
    <mergeCell ref="C2449:D2449"/>
    <mergeCell ref="A2450:B2450"/>
    <mergeCell ref="C2450:D2450"/>
    <mergeCell ref="A2451:B2451"/>
    <mergeCell ref="C2451:D2451"/>
    <mergeCell ref="N2453:O2453"/>
    <mergeCell ref="N2455:O2455"/>
    <mergeCell ref="L2459:O2459"/>
    <mergeCell ref="L2576:O2576"/>
    <mergeCell ref="L2372:O2372"/>
    <mergeCell ref="J2375:K2375"/>
    <mergeCell ref="L2427:O2427"/>
    <mergeCell ref="P2427:P2456"/>
    <mergeCell ref="B2429:D2429"/>
    <mergeCell ref="F2429:G2429"/>
    <mergeCell ref="H2429:K2429"/>
    <mergeCell ref="L2429:O2429"/>
    <mergeCell ref="B2430:D2430"/>
    <mergeCell ref="F2430:G2430"/>
    <mergeCell ref="H2430:K2430"/>
    <mergeCell ref="L2430:O2430"/>
    <mergeCell ref="B2432:D2432"/>
    <mergeCell ref="F2432:G2432"/>
    <mergeCell ref="H2432:K2432"/>
    <mergeCell ref="L2432:O2432"/>
    <mergeCell ref="B2435:D2435"/>
    <mergeCell ref="F2435:G2435"/>
    <mergeCell ref="H2435:K2435"/>
    <mergeCell ref="L2435:O2435"/>
    <mergeCell ref="B2437:D2437"/>
    <mergeCell ref="F2437:G2437"/>
    <mergeCell ref="H2437:K2437"/>
    <mergeCell ref="L2437:O2437"/>
    <mergeCell ref="B2438:D2438"/>
    <mergeCell ref="F2438:G2438"/>
    <mergeCell ref="H2438:K2438"/>
    <mergeCell ref="L2438:O2438"/>
    <mergeCell ref="E2441:E2442"/>
    <mergeCell ref="A2445:B2445"/>
    <mergeCell ref="C2445:D2445"/>
    <mergeCell ref="G2445:O2445"/>
    <mergeCell ref="C2322:D2322"/>
    <mergeCell ref="G2322:O2327"/>
    <mergeCell ref="A2323:B2323"/>
    <mergeCell ref="C2323:D2323"/>
    <mergeCell ref="A2324:B2324"/>
    <mergeCell ref="C2324:D2324"/>
    <mergeCell ref="A2325:B2325"/>
    <mergeCell ref="C2325:D2325"/>
    <mergeCell ref="A2326:B2326"/>
    <mergeCell ref="C2326:D2326"/>
    <mergeCell ref="A2327:B2327"/>
    <mergeCell ref="C2327:D2327"/>
    <mergeCell ref="B2347:D2347"/>
    <mergeCell ref="F2347:G2347"/>
    <mergeCell ref="H2347:K2347"/>
    <mergeCell ref="L2347:O2347"/>
    <mergeCell ref="L2339:O2339"/>
    <mergeCell ref="P2305:P2332"/>
    <mergeCell ref="B2307:D2307"/>
    <mergeCell ref="F2307:G2307"/>
    <mergeCell ref="H2307:K2307"/>
    <mergeCell ref="L2307:O2307"/>
    <mergeCell ref="B2308:D2308"/>
    <mergeCell ref="F2308:G2308"/>
    <mergeCell ref="H2308:K2308"/>
    <mergeCell ref="L2308:O2308"/>
    <mergeCell ref="B2313:D2313"/>
    <mergeCell ref="F2313:G2313"/>
    <mergeCell ref="H2313:K2313"/>
    <mergeCell ref="L2313:O2313"/>
    <mergeCell ref="B2314:D2314"/>
    <mergeCell ref="F2314:G2314"/>
    <mergeCell ref="H2314:K2314"/>
    <mergeCell ref="L2314:O2314"/>
    <mergeCell ref="N2329:O2329"/>
    <mergeCell ref="N2331:O2331"/>
    <mergeCell ref="B2310:D2310"/>
    <mergeCell ref="F2310:G2310"/>
    <mergeCell ref="H2310:K2310"/>
    <mergeCell ref="L2310:O2310"/>
    <mergeCell ref="B2311:D2311"/>
    <mergeCell ref="F2311:G2311"/>
    <mergeCell ref="H2311:K2311"/>
    <mergeCell ref="L2311:O2311"/>
    <mergeCell ref="E2317:E2318"/>
    <mergeCell ref="A2321:B2321"/>
    <mergeCell ref="C2321:D2321"/>
    <mergeCell ref="G2321:O2321"/>
    <mergeCell ref="A2322:B2322"/>
    <mergeCell ref="F2037:G2037"/>
    <mergeCell ref="H2037:K2037"/>
    <mergeCell ref="L2037:O2037"/>
    <mergeCell ref="P2094:P2119"/>
    <mergeCell ref="B2096:D2096"/>
    <mergeCell ref="F2096:G2096"/>
    <mergeCell ref="H2096:K2096"/>
    <mergeCell ref="L2096:O2096"/>
    <mergeCell ref="B2097:D2097"/>
    <mergeCell ref="F2097:G2097"/>
    <mergeCell ref="H2097:K2097"/>
    <mergeCell ref="L2097:O2097"/>
    <mergeCell ref="B2101:D2101"/>
    <mergeCell ref="F2101:G2101"/>
    <mergeCell ref="H2101:K2101"/>
    <mergeCell ref="L2101:O2101"/>
    <mergeCell ref="B2102:D2102"/>
    <mergeCell ref="F2102:G2102"/>
    <mergeCell ref="H2102:K2102"/>
    <mergeCell ref="L2102:O2102"/>
    <mergeCell ref="A2108:B2108"/>
    <mergeCell ref="P2062:P2091"/>
    <mergeCell ref="L2062:O2062"/>
    <mergeCell ref="L2070:O2070"/>
    <mergeCell ref="B2071:D2071"/>
    <mergeCell ref="F2071:G2071"/>
    <mergeCell ref="H2071:K2071"/>
    <mergeCell ref="L2071:O2071"/>
    <mergeCell ref="B2072:D2072"/>
    <mergeCell ref="F2072:G2072"/>
    <mergeCell ref="H2072:K2072"/>
    <mergeCell ref="L2072:O2072"/>
    <mergeCell ref="C2257:D2257"/>
    <mergeCell ref="G2257:O2257"/>
    <mergeCell ref="L2064:O2064"/>
    <mergeCell ref="C2083:D2083"/>
    <mergeCell ref="A2084:B2084"/>
    <mergeCell ref="C2084:D2084"/>
    <mergeCell ref="B2246:D2246"/>
    <mergeCell ref="F2246:G2246"/>
    <mergeCell ref="H2246:K2246"/>
    <mergeCell ref="L2246:O2246"/>
    <mergeCell ref="L2251:O2251"/>
    <mergeCell ref="L2203:O2203"/>
    <mergeCell ref="L2131:O2131"/>
    <mergeCell ref="L2153:O2153"/>
    <mergeCell ref="G2108:O2108"/>
    <mergeCell ref="L2241:O2241"/>
    <mergeCell ref="B2073:D2073"/>
    <mergeCell ref="H2067:K2067"/>
    <mergeCell ref="L2067:O2067"/>
    <mergeCell ref="B2068:D2068"/>
    <mergeCell ref="A2263:B2263"/>
    <mergeCell ref="C2263:D2263"/>
    <mergeCell ref="E2253:E2254"/>
    <mergeCell ref="N2088:O2088"/>
    <mergeCell ref="N2090:O2090"/>
    <mergeCell ref="A2082:B2082"/>
    <mergeCell ref="C2082:D2082"/>
    <mergeCell ref="A2083:B2083"/>
    <mergeCell ref="C2108:D2108"/>
    <mergeCell ref="A2109:B2109"/>
    <mergeCell ref="C2109:D2109"/>
    <mergeCell ref="C2260:D2260"/>
    <mergeCell ref="A2261:B2261"/>
    <mergeCell ref="C2261:D2261"/>
    <mergeCell ref="A2262:B2262"/>
    <mergeCell ref="C2262:D2262"/>
    <mergeCell ref="N2118:O2118"/>
    <mergeCell ref="B2099:D2099"/>
    <mergeCell ref="F2099:G2099"/>
    <mergeCell ref="H2099:K2099"/>
    <mergeCell ref="L2099:O2099"/>
    <mergeCell ref="B2100:D2100"/>
    <mergeCell ref="F2100:G2100"/>
    <mergeCell ref="H2100:K2100"/>
    <mergeCell ref="L2100:O2100"/>
    <mergeCell ref="L2094:O2094"/>
    <mergeCell ref="A2110:B2110"/>
    <mergeCell ref="C2110:D2110"/>
    <mergeCell ref="A2111:B2111"/>
    <mergeCell ref="C2111:D2111"/>
    <mergeCell ref="A2112:B2112"/>
    <mergeCell ref="A2257:B2257"/>
    <mergeCell ref="P2241:P2268"/>
    <mergeCell ref="B2243:D2243"/>
    <mergeCell ref="F2243:G2243"/>
    <mergeCell ref="H2243:K2243"/>
    <mergeCell ref="L2243:O2243"/>
    <mergeCell ref="B2244:D2244"/>
    <mergeCell ref="F2244:G2244"/>
    <mergeCell ref="H2244:K2244"/>
    <mergeCell ref="L2244:O2244"/>
    <mergeCell ref="B2248:D2248"/>
    <mergeCell ref="F2248:G2248"/>
    <mergeCell ref="H2248:K2248"/>
    <mergeCell ref="L2248:O2248"/>
    <mergeCell ref="B2249:D2249"/>
    <mergeCell ref="F2249:G2249"/>
    <mergeCell ref="H2249:K2249"/>
    <mergeCell ref="L2249:O2249"/>
    <mergeCell ref="B2250:D2250"/>
    <mergeCell ref="F2250:G2250"/>
    <mergeCell ref="H2250:K2250"/>
    <mergeCell ref="L2250:O2250"/>
    <mergeCell ref="B2251:D2251"/>
    <mergeCell ref="F2251:G2251"/>
    <mergeCell ref="H2251:K2251"/>
    <mergeCell ref="N2265:O2265"/>
    <mergeCell ref="A2258:B2258"/>
    <mergeCell ref="C2258:D2258"/>
    <mergeCell ref="G2258:O2263"/>
    <mergeCell ref="A2259:B2259"/>
    <mergeCell ref="C2259:D2259"/>
    <mergeCell ref="N2267:O2267"/>
    <mergeCell ref="A2260:B2260"/>
    <mergeCell ref="C1617:D1617"/>
    <mergeCell ref="A1618:B1618"/>
    <mergeCell ref="G1613:O1618"/>
    <mergeCell ref="F2069:G2069"/>
    <mergeCell ref="H2069:K2069"/>
    <mergeCell ref="L2069:O2069"/>
    <mergeCell ref="C2112:D2112"/>
    <mergeCell ref="A2113:B2113"/>
    <mergeCell ref="C2113:D2113"/>
    <mergeCell ref="B2064:D2064"/>
    <mergeCell ref="F2064:G2064"/>
    <mergeCell ref="H2064:K2064"/>
    <mergeCell ref="N1622:O1622"/>
    <mergeCell ref="E1716:E1717"/>
    <mergeCell ref="A1720:B1720"/>
    <mergeCell ref="C1720:D1720"/>
    <mergeCell ref="G1720:O1720"/>
    <mergeCell ref="N1730:O1730"/>
    <mergeCell ref="L2034:O2034"/>
    <mergeCell ref="L1627:O1627"/>
    <mergeCell ref="L1711:O1711"/>
    <mergeCell ref="B1713:D1713"/>
    <mergeCell ref="F1713:G1713"/>
    <mergeCell ref="H1713:K1713"/>
    <mergeCell ref="F2068:G2068"/>
    <mergeCell ref="H2068:K2068"/>
    <mergeCell ref="L2068:O2068"/>
    <mergeCell ref="B2069:D2069"/>
    <mergeCell ref="E2076:E2077"/>
    <mergeCell ref="A2080:B2080"/>
    <mergeCell ref="C2080:D2080"/>
    <mergeCell ref="G2080:O2080"/>
    <mergeCell ref="B1603:D1603"/>
    <mergeCell ref="F1603:G1603"/>
    <mergeCell ref="H1603:K1603"/>
    <mergeCell ref="L1603:O1603"/>
    <mergeCell ref="B1601:D1601"/>
    <mergeCell ref="F1601:G1601"/>
    <mergeCell ref="H1601:K1601"/>
    <mergeCell ref="N1620:O1620"/>
    <mergeCell ref="H1599:K1599"/>
    <mergeCell ref="E1608:E1609"/>
    <mergeCell ref="A1612:B1612"/>
    <mergeCell ref="C1612:D1612"/>
    <mergeCell ref="A1613:B1613"/>
    <mergeCell ref="C1613:D1613"/>
    <mergeCell ref="A1614:B1614"/>
    <mergeCell ref="C1614:D1614"/>
    <mergeCell ref="A1615:B1615"/>
    <mergeCell ref="B1599:D1599"/>
    <mergeCell ref="B1604:D1604"/>
    <mergeCell ref="F1604:G1604"/>
    <mergeCell ref="H1604:K1604"/>
    <mergeCell ref="L1604:O1604"/>
    <mergeCell ref="B1605:D1605"/>
    <mergeCell ref="F1605:G1605"/>
    <mergeCell ref="F1599:G1599"/>
    <mergeCell ref="H1605:K1605"/>
    <mergeCell ref="L1605:O1605"/>
    <mergeCell ref="G1612:O1612"/>
    <mergeCell ref="C1615:D1615"/>
    <mergeCell ref="A1616:B1616"/>
    <mergeCell ref="C1616:D1616"/>
    <mergeCell ref="A1617:B1617"/>
    <mergeCell ref="B1461:D1461"/>
    <mergeCell ref="F1461:G1461"/>
    <mergeCell ref="H1461:K1461"/>
    <mergeCell ref="L1461:O1461"/>
    <mergeCell ref="B1462:D1462"/>
    <mergeCell ref="H1462:K1462"/>
    <mergeCell ref="B1467:D1467"/>
    <mergeCell ref="B1465:D1465"/>
    <mergeCell ref="F1465:G1465"/>
    <mergeCell ref="H1465:K1465"/>
    <mergeCell ref="L1465:O1465"/>
    <mergeCell ref="B1466:D1466"/>
    <mergeCell ref="F1466:G1466"/>
    <mergeCell ref="H1466:K1466"/>
    <mergeCell ref="N1482:O1482"/>
    <mergeCell ref="N1484:O1484"/>
    <mergeCell ref="H1596:K1596"/>
    <mergeCell ref="H1464:K1464"/>
    <mergeCell ref="L1464:O1464"/>
    <mergeCell ref="F1467:G1467"/>
    <mergeCell ref="G1475:O1480"/>
    <mergeCell ref="H1467:K1467"/>
    <mergeCell ref="L1487:O1487"/>
    <mergeCell ref="L1594:O1594"/>
    <mergeCell ref="B1597:D1597"/>
    <mergeCell ref="F1597:G1597"/>
    <mergeCell ref="H1597:K1597"/>
    <mergeCell ref="L1597:O1597"/>
    <mergeCell ref="B1600:D1600"/>
    <mergeCell ref="F1600:G1600"/>
    <mergeCell ref="H1600:K1600"/>
    <mergeCell ref="L1600:O1600"/>
    <mergeCell ref="AA190:AA198"/>
    <mergeCell ref="AA202:AA213"/>
    <mergeCell ref="AA218:AA238"/>
    <mergeCell ref="AA242:AA249"/>
    <mergeCell ref="AA259:AA263"/>
    <mergeCell ref="AA267:AA294"/>
    <mergeCell ref="L1254:O1254"/>
    <mergeCell ref="L1139:O1139"/>
    <mergeCell ref="P1104:P1132"/>
    <mergeCell ref="L978:O978"/>
    <mergeCell ref="P486:P503"/>
    <mergeCell ref="L822:O822"/>
    <mergeCell ref="P190:P198"/>
    <mergeCell ref="P202:P213"/>
    <mergeCell ref="P218:P238"/>
    <mergeCell ref="P242:P249"/>
    <mergeCell ref="P259:P263"/>
    <mergeCell ref="P507:P524"/>
    <mergeCell ref="P527:P531"/>
    <mergeCell ref="P726:P741"/>
    <mergeCell ref="P744:P757"/>
    <mergeCell ref="P760:P773"/>
    <mergeCell ref="P638:P663"/>
    <mergeCell ref="P624:P635"/>
    <mergeCell ref="P600:P618"/>
    <mergeCell ref="P666:P679"/>
    <mergeCell ref="P682:P692"/>
    <mergeCell ref="G283:O283"/>
    <mergeCell ref="G284:O289"/>
    <mergeCell ref="P535:P536"/>
    <mergeCell ref="P848:P873"/>
    <mergeCell ref="P966:P995"/>
    <mergeCell ref="P1594:P1623"/>
    <mergeCell ref="P1370:P1398"/>
    <mergeCell ref="N1397:O1397"/>
    <mergeCell ref="N1277:O1277"/>
    <mergeCell ref="N1279:O1279"/>
    <mergeCell ref="L1283:O1283"/>
    <mergeCell ref="L1370:O1370"/>
    <mergeCell ref="P1254:P1280"/>
    <mergeCell ref="L1599:O1599"/>
    <mergeCell ref="L1596:O1596"/>
    <mergeCell ref="L1400:O1400"/>
    <mergeCell ref="L1459:O1459"/>
    <mergeCell ref="L1468:O1468"/>
    <mergeCell ref="G1387:O1387"/>
    <mergeCell ref="G1388:O1393"/>
    <mergeCell ref="L1378:O1378"/>
    <mergeCell ref="L1466:O1466"/>
    <mergeCell ref="L1601:O1601"/>
    <mergeCell ref="L1467:O1467"/>
    <mergeCell ref="F1462:G1462"/>
    <mergeCell ref="F1468:G1468"/>
    <mergeCell ref="P1459:P1485"/>
    <mergeCell ref="G1270:O1275"/>
    <mergeCell ref="F1464:G1464"/>
    <mergeCell ref="F1373:G1373"/>
    <mergeCell ref="H1373:K1373"/>
    <mergeCell ref="L1373:O1373"/>
    <mergeCell ref="A1393:B1393"/>
    <mergeCell ref="C1393:D1393"/>
    <mergeCell ref="B1375:D1375"/>
    <mergeCell ref="F1375:G1375"/>
    <mergeCell ref="H1375:K1375"/>
    <mergeCell ref="L1375:O1375"/>
    <mergeCell ref="L1462:O1462"/>
    <mergeCell ref="B1464:D1464"/>
    <mergeCell ref="N1395:O1395"/>
    <mergeCell ref="E1383:E1384"/>
    <mergeCell ref="P776:P778"/>
    <mergeCell ref="L1106:O1106"/>
    <mergeCell ref="L1114:O1114"/>
    <mergeCell ref="L298:O298"/>
    <mergeCell ref="L483:O483"/>
    <mergeCell ref="L567:O567"/>
    <mergeCell ref="P565:P593"/>
    <mergeCell ref="C1389:D1389"/>
    <mergeCell ref="A1390:B1390"/>
    <mergeCell ref="C1390:D1390"/>
    <mergeCell ref="A1391:B1391"/>
    <mergeCell ref="C1391:D1391"/>
    <mergeCell ref="A1392:B1392"/>
    <mergeCell ref="C1392:D1392"/>
    <mergeCell ref="A1275:B1275"/>
    <mergeCell ref="C1275:D1275"/>
    <mergeCell ref="B1376:D1376"/>
    <mergeCell ref="F1376:G1376"/>
    <mergeCell ref="H1376:K1376"/>
    <mergeCell ref="L1376:O1376"/>
    <mergeCell ref="B1378:D1378"/>
    <mergeCell ref="F1378:G1378"/>
    <mergeCell ref="H1378:K1378"/>
    <mergeCell ref="B1380:D1380"/>
    <mergeCell ref="F1380:G1380"/>
    <mergeCell ref="H1380:K1380"/>
    <mergeCell ref="L1380:O1380"/>
    <mergeCell ref="C1618:D1618"/>
    <mergeCell ref="C1477:D1477"/>
    <mergeCell ref="A1478:B1478"/>
    <mergeCell ref="C1478:D1478"/>
    <mergeCell ref="A1479:B1479"/>
    <mergeCell ref="C1479:D1479"/>
    <mergeCell ref="A1480:B1480"/>
    <mergeCell ref="C1480:D1480"/>
    <mergeCell ref="C1474:D1474"/>
    <mergeCell ref="G1474:O1474"/>
    <mergeCell ref="B1468:D1468"/>
    <mergeCell ref="H1468:K1468"/>
    <mergeCell ref="B1596:D1596"/>
    <mergeCell ref="F1596:G1596"/>
    <mergeCell ref="A1388:B1388"/>
    <mergeCell ref="C1388:D1388"/>
    <mergeCell ref="A1389:B1389"/>
    <mergeCell ref="E1470:E1471"/>
    <mergeCell ref="A1474:B1474"/>
    <mergeCell ref="A1476:B1476"/>
    <mergeCell ref="C1476:D1476"/>
    <mergeCell ref="A1477:B1477"/>
    <mergeCell ref="A1475:B1475"/>
    <mergeCell ref="C1475:D1475"/>
    <mergeCell ref="B1372:D1372"/>
    <mergeCell ref="F1372:G1372"/>
    <mergeCell ref="H1372:K1372"/>
    <mergeCell ref="L1372:O1372"/>
    <mergeCell ref="B1373:D1373"/>
    <mergeCell ref="A1387:B1387"/>
    <mergeCell ref="C1387:D1387"/>
    <mergeCell ref="A1271:B1271"/>
    <mergeCell ref="H1381:K1381"/>
    <mergeCell ref="L1381:O1381"/>
    <mergeCell ref="E1265:E1266"/>
    <mergeCell ref="H1262:K1262"/>
    <mergeCell ref="L1262:O1262"/>
    <mergeCell ref="B1263:D1263"/>
    <mergeCell ref="F1263:G1263"/>
    <mergeCell ref="H1263:K1263"/>
    <mergeCell ref="L1263:O1263"/>
    <mergeCell ref="B1264:D1264"/>
    <mergeCell ref="F1264:G1264"/>
    <mergeCell ref="H1264:K1264"/>
    <mergeCell ref="L1264:O1264"/>
    <mergeCell ref="B1262:D1262"/>
    <mergeCell ref="F1262:G1262"/>
    <mergeCell ref="C1269:D1269"/>
    <mergeCell ref="G1269:O1269"/>
    <mergeCell ref="A1270:B1270"/>
    <mergeCell ref="C1270:D1270"/>
    <mergeCell ref="A1269:B1269"/>
    <mergeCell ref="B1381:D1381"/>
    <mergeCell ref="F1381:G1381"/>
    <mergeCell ref="C1271:D1271"/>
    <mergeCell ref="A1272:B1272"/>
    <mergeCell ref="C1272:D1272"/>
    <mergeCell ref="A1273:B1273"/>
    <mergeCell ref="C1273:D1273"/>
    <mergeCell ref="A1274:B1274"/>
    <mergeCell ref="C1274:D1274"/>
    <mergeCell ref="B1260:D1260"/>
    <mergeCell ref="F1260:G1260"/>
    <mergeCell ref="H1260:K1260"/>
    <mergeCell ref="L1260:O1260"/>
    <mergeCell ref="A1127:B1127"/>
    <mergeCell ref="C1127:D1127"/>
    <mergeCell ref="B1261:D1261"/>
    <mergeCell ref="F1261:G1261"/>
    <mergeCell ref="H1261:K1261"/>
    <mergeCell ref="L1261:O1261"/>
    <mergeCell ref="N1129:O1129"/>
    <mergeCell ref="B1256:D1256"/>
    <mergeCell ref="F1256:G1256"/>
    <mergeCell ref="H1256:K1256"/>
    <mergeCell ref="L1256:O1256"/>
    <mergeCell ref="B1257:D1257"/>
    <mergeCell ref="F1257:G1257"/>
    <mergeCell ref="H1257:K1257"/>
    <mergeCell ref="L1257:O1257"/>
    <mergeCell ref="B1259:D1259"/>
    <mergeCell ref="F1259:G1259"/>
    <mergeCell ref="H1259:K1259"/>
    <mergeCell ref="L1259:O1259"/>
    <mergeCell ref="N1131:O1131"/>
    <mergeCell ref="A1125:B1125"/>
    <mergeCell ref="C1125:D1125"/>
    <mergeCell ref="A1126:B1126"/>
    <mergeCell ref="C1126:D1126"/>
    <mergeCell ref="F1107:G1107"/>
    <mergeCell ref="H1107:K1107"/>
    <mergeCell ref="A1121:B1121"/>
    <mergeCell ref="N992:O992"/>
    <mergeCell ref="N994:O994"/>
    <mergeCell ref="C1121:D1121"/>
    <mergeCell ref="G1121:O1121"/>
    <mergeCell ref="E1117:E1118"/>
    <mergeCell ref="H1112:K1112"/>
    <mergeCell ref="B1111:D1111"/>
    <mergeCell ref="F1111:G1111"/>
    <mergeCell ref="H1111:K1111"/>
    <mergeCell ref="L1111:O1111"/>
    <mergeCell ref="B1114:D1114"/>
    <mergeCell ref="F1114:G1114"/>
    <mergeCell ref="H1114:K1114"/>
    <mergeCell ref="L1112:O1112"/>
    <mergeCell ref="L1104:O1104"/>
    <mergeCell ref="B1107:D1107"/>
    <mergeCell ref="A990:B990"/>
    <mergeCell ref="C990:D990"/>
    <mergeCell ref="L1107:O1107"/>
    <mergeCell ref="B1110:D1110"/>
    <mergeCell ref="F1110:G1110"/>
    <mergeCell ref="H1110:K1110"/>
    <mergeCell ref="L1110:O1110"/>
    <mergeCell ref="H1109:K1109"/>
    <mergeCell ref="L1109:O1109"/>
    <mergeCell ref="B1109:D1109"/>
    <mergeCell ref="F1109:G1109"/>
    <mergeCell ref="L977:O977"/>
    <mergeCell ref="A989:B989"/>
    <mergeCell ref="C989:D989"/>
    <mergeCell ref="A986:B986"/>
    <mergeCell ref="C986:D986"/>
    <mergeCell ref="A987:B987"/>
    <mergeCell ref="C987:D987"/>
    <mergeCell ref="C985:D985"/>
    <mergeCell ref="G985:O990"/>
    <mergeCell ref="H978:K978"/>
    <mergeCell ref="E980:E981"/>
    <mergeCell ref="B978:D978"/>
    <mergeCell ref="F978:G978"/>
    <mergeCell ref="B977:D977"/>
    <mergeCell ref="F977:G977"/>
    <mergeCell ref="H977:K977"/>
    <mergeCell ref="B568:D568"/>
    <mergeCell ref="F568:G568"/>
    <mergeCell ref="H568:K568"/>
    <mergeCell ref="L568:O568"/>
    <mergeCell ref="L565:O565"/>
    <mergeCell ref="C988:D988"/>
    <mergeCell ref="H576:K576"/>
    <mergeCell ref="L576:O576"/>
    <mergeCell ref="F572:G572"/>
    <mergeCell ref="B572:D572"/>
    <mergeCell ref="B575:D575"/>
    <mergeCell ref="F575:G575"/>
    <mergeCell ref="N592:O592"/>
    <mergeCell ref="B801:D801"/>
    <mergeCell ref="F801:G801"/>
    <mergeCell ref="H801:K801"/>
    <mergeCell ref="L723:O723"/>
    <mergeCell ref="B573:D573"/>
    <mergeCell ref="F573:G573"/>
    <mergeCell ref="H573:K573"/>
    <mergeCell ref="L573:O573"/>
    <mergeCell ref="B567:D567"/>
    <mergeCell ref="F567:G567"/>
    <mergeCell ref="H567:K567"/>
    <mergeCell ref="A583:B583"/>
    <mergeCell ref="B576:D576"/>
    <mergeCell ref="A585:B585"/>
    <mergeCell ref="B570:D570"/>
    <mergeCell ref="F570:G570"/>
    <mergeCell ref="H570:K570"/>
    <mergeCell ref="L570:O570"/>
    <mergeCell ref="B571:D571"/>
    <mergeCell ref="C584:D584"/>
    <mergeCell ref="L597:O597"/>
    <mergeCell ref="H575:K575"/>
    <mergeCell ref="L575:O575"/>
    <mergeCell ref="E578:E579"/>
    <mergeCell ref="A582:B582"/>
    <mergeCell ref="C582:D582"/>
    <mergeCell ref="G582:O582"/>
    <mergeCell ref="L702:O702"/>
    <mergeCell ref="H699:K699"/>
    <mergeCell ref="L699:O699"/>
    <mergeCell ref="A709:B709"/>
    <mergeCell ref="C709:D709"/>
    <mergeCell ref="G709:O709"/>
    <mergeCell ref="F703:G703"/>
    <mergeCell ref="H703:K703"/>
    <mergeCell ref="L703:O703"/>
    <mergeCell ref="L696:O696"/>
    <mergeCell ref="B701:D701"/>
    <mergeCell ref="F701:G701"/>
    <mergeCell ref="P696:P720"/>
    <mergeCell ref="B698:D698"/>
    <mergeCell ref="F698:G698"/>
    <mergeCell ref="H698:K698"/>
    <mergeCell ref="L698:O698"/>
    <mergeCell ref="B704:D704"/>
    <mergeCell ref="F704:G704"/>
    <mergeCell ref="H704:K704"/>
    <mergeCell ref="B703:D703"/>
    <mergeCell ref="B699:D699"/>
    <mergeCell ref="F699:G699"/>
    <mergeCell ref="C711:D711"/>
    <mergeCell ref="A712:B712"/>
    <mergeCell ref="C712:D712"/>
    <mergeCell ref="A713:B713"/>
    <mergeCell ref="H702:K702"/>
    <mergeCell ref="F571:G571"/>
    <mergeCell ref="H571:K571"/>
    <mergeCell ref="L571:O571"/>
    <mergeCell ref="H572:K572"/>
    <mergeCell ref="L572:O572"/>
    <mergeCell ref="C586:D586"/>
    <mergeCell ref="A587:B587"/>
    <mergeCell ref="C587:D587"/>
    <mergeCell ref="A588:B588"/>
    <mergeCell ref="C588:D588"/>
    <mergeCell ref="C583:D583"/>
    <mergeCell ref="F576:G576"/>
    <mergeCell ref="H701:K701"/>
    <mergeCell ref="L701:O701"/>
    <mergeCell ref="B702:D702"/>
    <mergeCell ref="F702:G702"/>
    <mergeCell ref="H163:K163"/>
    <mergeCell ref="F163:G163"/>
    <mergeCell ref="P14:P17"/>
    <mergeCell ref="P20:P22"/>
    <mergeCell ref="B80:D80"/>
    <mergeCell ref="F80:G80"/>
    <mergeCell ref="H80:K80"/>
    <mergeCell ref="L80:O80"/>
    <mergeCell ref="B81:D81"/>
    <mergeCell ref="F81:G81"/>
    <mergeCell ref="H81:K81"/>
    <mergeCell ref="L81:O81"/>
    <mergeCell ref="H75:K75"/>
    <mergeCell ref="L75:O75"/>
    <mergeCell ref="P53:P64"/>
    <mergeCell ref="L78:O78"/>
    <mergeCell ref="B75:D75"/>
    <mergeCell ref="F75:G75"/>
    <mergeCell ref="A88:B88"/>
    <mergeCell ref="C88:D88"/>
    <mergeCell ref="G88:O88"/>
    <mergeCell ref="P117:P130"/>
    <mergeCell ref="N96:O96"/>
    <mergeCell ref="N98:O98"/>
    <mergeCell ref="A89:B89"/>
    <mergeCell ref="C89:D89"/>
    <mergeCell ref="G89:O94"/>
    <mergeCell ref="A90:B90"/>
    <mergeCell ref="C90:D90"/>
    <mergeCell ref="A91:B91"/>
    <mergeCell ref="P105:P113"/>
    <mergeCell ref="H72:K72"/>
    <mergeCell ref="A176:B176"/>
    <mergeCell ref="C93:D93"/>
    <mergeCell ref="C92:D92"/>
    <mergeCell ref="A93:B93"/>
    <mergeCell ref="H269:K269"/>
    <mergeCell ref="L269:O269"/>
    <mergeCell ref="B270:D270"/>
    <mergeCell ref="A285:B285"/>
    <mergeCell ref="C285:D285"/>
    <mergeCell ref="N291:O291"/>
    <mergeCell ref="L157:O157"/>
    <mergeCell ref="F164:G164"/>
    <mergeCell ref="H164:K164"/>
    <mergeCell ref="H274:K274"/>
    <mergeCell ref="L274:O274"/>
    <mergeCell ref="L2:O2"/>
    <mergeCell ref="L70:O70"/>
    <mergeCell ref="B276:D276"/>
    <mergeCell ref="F276:G276"/>
    <mergeCell ref="H276:K276"/>
    <mergeCell ref="A174:B174"/>
    <mergeCell ref="C174:D174"/>
    <mergeCell ref="A175:B175"/>
    <mergeCell ref="C175:D175"/>
    <mergeCell ref="N180:O180"/>
    <mergeCell ref="N182:O182"/>
    <mergeCell ref="L186:O186"/>
    <mergeCell ref="L267:O267"/>
    <mergeCell ref="L276:O276"/>
    <mergeCell ref="F165:G165"/>
    <mergeCell ref="B165:D165"/>
    <mergeCell ref="F72:G72"/>
    <mergeCell ref="L72:O72"/>
    <mergeCell ref="B73:D73"/>
    <mergeCell ref="F73:G73"/>
    <mergeCell ref="H73:K73"/>
    <mergeCell ref="L73:O73"/>
    <mergeCell ref="B77:D77"/>
    <mergeCell ref="F77:G77"/>
    <mergeCell ref="H77:K77"/>
    <mergeCell ref="L77:O77"/>
    <mergeCell ref="B78:D78"/>
    <mergeCell ref="F78:G78"/>
    <mergeCell ref="H78:K78"/>
    <mergeCell ref="E84:E85"/>
    <mergeCell ref="A94:B94"/>
    <mergeCell ref="C94:D94"/>
    <mergeCell ref="C91:D91"/>
    <mergeCell ref="A92:B92"/>
    <mergeCell ref="P32:P50"/>
    <mergeCell ref="P6:P10"/>
    <mergeCell ref="L102:O102"/>
    <mergeCell ref="H275:K275"/>
    <mergeCell ref="L275:O275"/>
    <mergeCell ref="F275:G275"/>
    <mergeCell ref="P157:P183"/>
    <mergeCell ref="B159:D159"/>
    <mergeCell ref="F159:G159"/>
    <mergeCell ref="H159:K159"/>
    <mergeCell ref="L159:O159"/>
    <mergeCell ref="B160:D160"/>
    <mergeCell ref="F160:G160"/>
    <mergeCell ref="H160:K160"/>
    <mergeCell ref="L160:O160"/>
    <mergeCell ref="B162:D162"/>
    <mergeCell ref="F162:G162"/>
    <mergeCell ref="H162:K162"/>
    <mergeCell ref="L162:O162"/>
    <mergeCell ref="B163:D163"/>
    <mergeCell ref="A177:B177"/>
    <mergeCell ref="L164:O164"/>
    <mergeCell ref="P134:P140"/>
    <mergeCell ref="P143:P147"/>
    <mergeCell ref="C177:D177"/>
    <mergeCell ref="G173:O178"/>
    <mergeCell ref="L163:O163"/>
    <mergeCell ref="B164:D164"/>
    <mergeCell ref="H165:K165"/>
    <mergeCell ref="L165:O165"/>
    <mergeCell ref="P70:P99"/>
    <mergeCell ref="B72:D72"/>
    <mergeCell ref="P267:P294"/>
    <mergeCell ref="B272:D272"/>
    <mergeCell ref="F272:G272"/>
    <mergeCell ref="H272:K272"/>
    <mergeCell ref="L272:O272"/>
    <mergeCell ref="B273:D273"/>
    <mergeCell ref="F273:G273"/>
    <mergeCell ref="H273:K273"/>
    <mergeCell ref="L273:O273"/>
    <mergeCell ref="B277:D277"/>
    <mergeCell ref="F277:G277"/>
    <mergeCell ref="H277:K277"/>
    <mergeCell ref="L277:O277"/>
    <mergeCell ref="E279:E280"/>
    <mergeCell ref="A284:B284"/>
    <mergeCell ref="C284:D284"/>
    <mergeCell ref="B274:D274"/>
    <mergeCell ref="H270:K270"/>
    <mergeCell ref="L270:O270"/>
    <mergeCell ref="A289:B289"/>
    <mergeCell ref="C289:D289"/>
    <mergeCell ref="F270:G270"/>
    <mergeCell ref="A283:B283"/>
    <mergeCell ref="B275:D275"/>
    <mergeCell ref="N293:O293"/>
    <mergeCell ref="A714:B714"/>
    <mergeCell ref="C714:D714"/>
    <mergeCell ref="N719:O719"/>
    <mergeCell ref="A286:B286"/>
    <mergeCell ref="C286:D286"/>
    <mergeCell ref="A287:B287"/>
    <mergeCell ref="C287:D287"/>
    <mergeCell ref="A288:B288"/>
    <mergeCell ref="C288:D288"/>
    <mergeCell ref="C283:D283"/>
    <mergeCell ref="B269:D269"/>
    <mergeCell ref="F269:G269"/>
    <mergeCell ref="E168:E169"/>
    <mergeCell ref="A172:B172"/>
    <mergeCell ref="C172:D172"/>
    <mergeCell ref="G172:O172"/>
    <mergeCell ref="F274:G274"/>
    <mergeCell ref="C173:D173"/>
    <mergeCell ref="A173:B173"/>
    <mergeCell ref="C176:D176"/>
    <mergeCell ref="A178:B178"/>
    <mergeCell ref="C178:D178"/>
    <mergeCell ref="B700:D700"/>
    <mergeCell ref="F700:G700"/>
    <mergeCell ref="H700:K700"/>
    <mergeCell ref="L700:O700"/>
    <mergeCell ref="L704:O704"/>
    <mergeCell ref="C585:D585"/>
    <mergeCell ref="A586:B586"/>
    <mergeCell ref="N590:O590"/>
    <mergeCell ref="G583:O588"/>
    <mergeCell ref="A584:B584"/>
    <mergeCell ref="F855:G855"/>
    <mergeCell ref="H855:K855"/>
    <mergeCell ref="L855:O855"/>
    <mergeCell ref="C814:D814"/>
    <mergeCell ref="H803:K803"/>
    <mergeCell ref="L803:O803"/>
    <mergeCell ref="L795:O795"/>
    <mergeCell ref="N717:O717"/>
    <mergeCell ref="N818:O818"/>
    <mergeCell ref="E804:E805"/>
    <mergeCell ref="A808:B808"/>
    <mergeCell ref="C808:D808"/>
    <mergeCell ref="G808:O808"/>
    <mergeCell ref="A809:B809"/>
    <mergeCell ref="C809:D809"/>
    <mergeCell ref="G809:O814"/>
    <mergeCell ref="A810:B810"/>
    <mergeCell ref="C810:D810"/>
    <mergeCell ref="A811:B811"/>
    <mergeCell ref="C811:D811"/>
    <mergeCell ref="A812:B812"/>
    <mergeCell ref="C812:D812"/>
    <mergeCell ref="A813:B813"/>
    <mergeCell ref="F802:G802"/>
    <mergeCell ref="F798:G798"/>
    <mergeCell ref="H798:K798"/>
    <mergeCell ref="L798:O798"/>
    <mergeCell ref="B800:D800"/>
    <mergeCell ref="F800:G800"/>
    <mergeCell ref="H800:K800"/>
    <mergeCell ref="L800:O800"/>
    <mergeCell ref="N816:O816"/>
    <mergeCell ref="A867:B867"/>
    <mergeCell ref="C867:D867"/>
    <mergeCell ref="A868:B868"/>
    <mergeCell ref="C868:D868"/>
    <mergeCell ref="B856:D856"/>
    <mergeCell ref="F856:G856"/>
    <mergeCell ref="H856:K856"/>
    <mergeCell ref="L856:O856"/>
    <mergeCell ref="E858:E859"/>
    <mergeCell ref="A862:B862"/>
    <mergeCell ref="C862:D862"/>
    <mergeCell ref="G862:O862"/>
    <mergeCell ref="C864:D864"/>
    <mergeCell ref="A865:B865"/>
    <mergeCell ref="C865:D865"/>
    <mergeCell ref="A866:B866"/>
    <mergeCell ref="A710:B710"/>
    <mergeCell ref="C710:D710"/>
    <mergeCell ref="G710:O715"/>
    <mergeCell ref="A711:B711"/>
    <mergeCell ref="A715:B715"/>
    <mergeCell ref="C715:D715"/>
    <mergeCell ref="C713:D713"/>
    <mergeCell ref="B853:D853"/>
    <mergeCell ref="F853:G853"/>
    <mergeCell ref="H853:K853"/>
    <mergeCell ref="L853:O853"/>
    <mergeCell ref="B854:D854"/>
    <mergeCell ref="F854:G854"/>
    <mergeCell ref="H854:K854"/>
    <mergeCell ref="L854:O854"/>
    <mergeCell ref="B855:D855"/>
    <mergeCell ref="B850:D850"/>
    <mergeCell ref="F850:G850"/>
    <mergeCell ref="H850:K850"/>
    <mergeCell ref="L850:O850"/>
    <mergeCell ref="B851:D851"/>
    <mergeCell ref="F851:G851"/>
    <mergeCell ref="H851:K851"/>
    <mergeCell ref="L851:O851"/>
    <mergeCell ref="C813:D813"/>
    <mergeCell ref="A814:B814"/>
    <mergeCell ref="B803:D803"/>
    <mergeCell ref="F803:G803"/>
    <mergeCell ref="L848:O848"/>
    <mergeCell ref="N870:O870"/>
    <mergeCell ref="N872:O872"/>
    <mergeCell ref="P795:P819"/>
    <mergeCell ref="B797:D797"/>
    <mergeCell ref="F797:G797"/>
    <mergeCell ref="H797:K797"/>
    <mergeCell ref="L797:O797"/>
    <mergeCell ref="B798:D798"/>
    <mergeCell ref="L801:O801"/>
    <mergeCell ref="B802:D802"/>
    <mergeCell ref="H802:K802"/>
    <mergeCell ref="L802:O802"/>
    <mergeCell ref="P825:P833"/>
    <mergeCell ref="P836:P843"/>
    <mergeCell ref="A863:B863"/>
    <mergeCell ref="C863:D863"/>
    <mergeCell ref="G863:O868"/>
    <mergeCell ref="A864:B864"/>
    <mergeCell ref="C866:D866"/>
    <mergeCell ref="F968:G968"/>
    <mergeCell ref="H968:K968"/>
    <mergeCell ref="L968:O968"/>
    <mergeCell ref="B969:D969"/>
    <mergeCell ref="F969:G969"/>
    <mergeCell ref="H969:K969"/>
    <mergeCell ref="L969:O969"/>
    <mergeCell ref="B971:D971"/>
    <mergeCell ref="F971:G971"/>
    <mergeCell ref="H971:K971"/>
    <mergeCell ref="L971:O971"/>
    <mergeCell ref="L972:O972"/>
    <mergeCell ref="B976:D976"/>
    <mergeCell ref="F976:G976"/>
    <mergeCell ref="H976:K976"/>
    <mergeCell ref="L976:O976"/>
    <mergeCell ref="B973:D973"/>
    <mergeCell ref="B972:D972"/>
    <mergeCell ref="F972:G972"/>
    <mergeCell ref="H972:K972"/>
    <mergeCell ref="B975:D975"/>
    <mergeCell ref="F975:G975"/>
    <mergeCell ref="H975:K975"/>
    <mergeCell ref="F973:G973"/>
    <mergeCell ref="H973:K973"/>
    <mergeCell ref="O875:P875"/>
    <mergeCell ref="L876:O876"/>
    <mergeCell ref="L966:O966"/>
    <mergeCell ref="N2056:O2056"/>
    <mergeCell ref="E2042:E2043"/>
    <mergeCell ref="L1735:O1735"/>
    <mergeCell ref="L1834:O1834"/>
    <mergeCell ref="A1122:B1122"/>
    <mergeCell ref="C1122:D1122"/>
    <mergeCell ref="G1122:O1127"/>
    <mergeCell ref="A1123:B1123"/>
    <mergeCell ref="C1123:D1123"/>
    <mergeCell ref="A1124:B1124"/>
    <mergeCell ref="C1124:D1124"/>
    <mergeCell ref="L973:O973"/>
    <mergeCell ref="B974:D974"/>
    <mergeCell ref="F974:G974"/>
    <mergeCell ref="H974:K974"/>
    <mergeCell ref="L974:O974"/>
    <mergeCell ref="L975:O975"/>
    <mergeCell ref="A984:B984"/>
    <mergeCell ref="C984:D984"/>
    <mergeCell ref="G984:O984"/>
    <mergeCell ref="A985:B985"/>
    <mergeCell ref="L1000:O1000"/>
    <mergeCell ref="A988:B988"/>
    <mergeCell ref="B1112:D1112"/>
    <mergeCell ref="F1112:G1112"/>
    <mergeCell ref="B1106:D1106"/>
    <mergeCell ref="F1106:G1106"/>
    <mergeCell ref="H1106:K1106"/>
    <mergeCell ref="B968:D968"/>
    <mergeCell ref="P2029:P2057"/>
    <mergeCell ref="B2031:D2031"/>
    <mergeCell ref="F2031:G2031"/>
    <mergeCell ref="H2031:K2031"/>
    <mergeCell ref="L2031:O2031"/>
    <mergeCell ref="B2032:D2032"/>
    <mergeCell ref="F2032:G2032"/>
    <mergeCell ref="H2032:K2032"/>
    <mergeCell ref="L2032:O2032"/>
    <mergeCell ref="A2051:B2051"/>
    <mergeCell ref="C2051:D2051"/>
    <mergeCell ref="A2052:B2052"/>
    <mergeCell ref="C2052:D2052"/>
    <mergeCell ref="B2034:D2034"/>
    <mergeCell ref="F2034:G2034"/>
    <mergeCell ref="H2034:K2034"/>
    <mergeCell ref="A1726:B1726"/>
    <mergeCell ref="C1726:D1726"/>
    <mergeCell ref="B1809:D1809"/>
    <mergeCell ref="N2054:O2054"/>
    <mergeCell ref="A2046:B2046"/>
    <mergeCell ref="C2046:D2046"/>
    <mergeCell ref="G2046:O2046"/>
    <mergeCell ref="A2047:B2047"/>
    <mergeCell ref="C2047:D2047"/>
    <mergeCell ref="G2047:O2052"/>
    <mergeCell ref="A2048:B2048"/>
    <mergeCell ref="C2048:D2048"/>
    <mergeCell ref="A2049:B2049"/>
    <mergeCell ref="C2049:D2049"/>
    <mergeCell ref="A2050:B2050"/>
    <mergeCell ref="C2050:D2050"/>
    <mergeCell ref="P1704:P1731"/>
    <mergeCell ref="B1706:D1706"/>
    <mergeCell ref="F1706:G1706"/>
    <mergeCell ref="H1706:K1706"/>
    <mergeCell ref="F1711:G1711"/>
    <mergeCell ref="L1709:O1709"/>
    <mergeCell ref="B1710:D1710"/>
    <mergeCell ref="F1710:G1710"/>
    <mergeCell ref="H1710:K1710"/>
    <mergeCell ref="L1710:O1710"/>
    <mergeCell ref="A1722:B1722"/>
    <mergeCell ref="B1711:D1711"/>
    <mergeCell ref="A1723:B1723"/>
    <mergeCell ref="G1721:O1726"/>
    <mergeCell ref="C1722:D1722"/>
    <mergeCell ref="C1724:D1724"/>
    <mergeCell ref="A1725:B1725"/>
    <mergeCell ref="C1725:D1725"/>
    <mergeCell ref="B1712:D1712"/>
    <mergeCell ref="F1712:G1712"/>
    <mergeCell ref="H1712:K1712"/>
    <mergeCell ref="L1712:O1712"/>
    <mergeCell ref="B1709:D1709"/>
    <mergeCell ref="F1709:G1709"/>
    <mergeCell ref="H1709:K1709"/>
    <mergeCell ref="A1721:B1721"/>
    <mergeCell ref="C1721:D1721"/>
    <mergeCell ref="N1728:O1728"/>
    <mergeCell ref="B1707:D1707"/>
    <mergeCell ref="F1707:G1707"/>
    <mergeCell ref="H1707:K1707"/>
    <mergeCell ref="L1707:O1707"/>
    <mergeCell ref="P1804:P1831"/>
    <mergeCell ref="B1806:D1806"/>
    <mergeCell ref="F1806:G1806"/>
    <mergeCell ref="H1806:K1806"/>
    <mergeCell ref="L1806:O1806"/>
    <mergeCell ref="B1807:D1807"/>
    <mergeCell ref="F1807:G1807"/>
    <mergeCell ref="H1807:K1807"/>
    <mergeCell ref="L1807:O1807"/>
    <mergeCell ref="B1812:D1812"/>
    <mergeCell ref="F1812:G1812"/>
    <mergeCell ref="H1812:K1812"/>
    <mergeCell ref="L1812:O1812"/>
    <mergeCell ref="B1813:D1813"/>
    <mergeCell ref="F1813:G1813"/>
    <mergeCell ref="H1813:K1813"/>
    <mergeCell ref="L1813:O1813"/>
    <mergeCell ref="L1810:O1810"/>
    <mergeCell ref="N1828:O1828"/>
    <mergeCell ref="N1830:O1830"/>
    <mergeCell ref="A1820:B1820"/>
    <mergeCell ref="C1820:D1820"/>
    <mergeCell ref="G1820:O1820"/>
    <mergeCell ref="L1804:O1804"/>
    <mergeCell ref="A1821:B1821"/>
    <mergeCell ref="C1821:D1821"/>
    <mergeCell ref="H1809:K1809"/>
    <mergeCell ref="L1809:O1809"/>
    <mergeCell ref="B1810:D1810"/>
    <mergeCell ref="F1810:G1810"/>
    <mergeCell ref="H1810:K1810"/>
    <mergeCell ref="G1821:O1826"/>
    <mergeCell ref="L1713:O1713"/>
    <mergeCell ref="C1723:D1723"/>
    <mergeCell ref="A1724:B1724"/>
    <mergeCell ref="H1711:K1711"/>
    <mergeCell ref="L1704:O1704"/>
    <mergeCell ref="E1816:E1817"/>
    <mergeCell ref="B2038:D2038"/>
    <mergeCell ref="G2109:O2114"/>
    <mergeCell ref="A2114:B2114"/>
    <mergeCell ref="C2114:D2114"/>
    <mergeCell ref="E2104:E2105"/>
    <mergeCell ref="A2085:B2085"/>
    <mergeCell ref="C2085:D2085"/>
    <mergeCell ref="A2086:B2086"/>
    <mergeCell ref="C2086:D2086"/>
    <mergeCell ref="N2116:O2116"/>
    <mergeCell ref="L1706:O1706"/>
    <mergeCell ref="B2036:D2036"/>
    <mergeCell ref="F2036:G2036"/>
    <mergeCell ref="H2036:K2036"/>
    <mergeCell ref="L2036:O2036"/>
    <mergeCell ref="C1822:D1822"/>
    <mergeCell ref="A1823:B1823"/>
    <mergeCell ref="C1823:D1823"/>
    <mergeCell ref="A1824:B1824"/>
    <mergeCell ref="C1824:D1824"/>
    <mergeCell ref="L2029:O2029"/>
    <mergeCell ref="B2035:D2035"/>
    <mergeCell ref="F2035:G2035"/>
    <mergeCell ref="H2035:K2035"/>
    <mergeCell ref="L2035:O2035"/>
    <mergeCell ref="F1809:G1809"/>
    <mergeCell ref="A1822:B1822"/>
    <mergeCell ref="A1825:B1825"/>
    <mergeCell ref="C1825:D1825"/>
    <mergeCell ref="A1826:B1826"/>
    <mergeCell ref="C1826:D1826"/>
    <mergeCell ref="F2073:G2073"/>
    <mergeCell ref="H2073:K2073"/>
    <mergeCell ref="L2073:O2073"/>
    <mergeCell ref="B2074:D2074"/>
    <mergeCell ref="F2074:G2074"/>
    <mergeCell ref="H2074:K2074"/>
    <mergeCell ref="L2074:O2074"/>
    <mergeCell ref="H2065:K2065"/>
    <mergeCell ref="L2065:O2065"/>
    <mergeCell ref="B2067:D2067"/>
    <mergeCell ref="F2067:G2067"/>
    <mergeCell ref="G2081:O2086"/>
    <mergeCell ref="A2081:B2081"/>
    <mergeCell ref="C2081:D2081"/>
    <mergeCell ref="B2065:D2065"/>
    <mergeCell ref="F2065:G2065"/>
    <mergeCell ref="F2038:G2038"/>
    <mergeCell ref="H2038:K2038"/>
    <mergeCell ref="L2038:O2038"/>
    <mergeCell ref="B2039:D2039"/>
    <mergeCell ref="F2039:G2039"/>
    <mergeCell ref="H2039:K2039"/>
    <mergeCell ref="L2039:O2039"/>
    <mergeCell ref="B2070:D2070"/>
    <mergeCell ref="F2070:G2070"/>
    <mergeCell ref="H2070:K2070"/>
    <mergeCell ref="B2037:D2037"/>
    <mergeCell ref="L2272:O2272"/>
    <mergeCell ref="P2272:P2302"/>
    <mergeCell ref="B2274:D2274"/>
    <mergeCell ref="F2274:G2274"/>
    <mergeCell ref="H2274:K2274"/>
    <mergeCell ref="L2274:O2274"/>
    <mergeCell ref="B2275:D2275"/>
    <mergeCell ref="F2275:G2275"/>
    <mergeCell ref="H2275:K2275"/>
    <mergeCell ref="L2275:O2275"/>
    <mergeCell ref="B2277:D2277"/>
    <mergeCell ref="F2277:G2277"/>
    <mergeCell ref="H2277:K2277"/>
    <mergeCell ref="L2277:O2277"/>
    <mergeCell ref="B2280:D2280"/>
    <mergeCell ref="F2280:G2280"/>
    <mergeCell ref="H2280:K2280"/>
    <mergeCell ref="L2280:O2280"/>
    <mergeCell ref="E2287:E2288"/>
    <mergeCell ref="A2291:B2291"/>
    <mergeCell ref="B2281:D2281"/>
    <mergeCell ref="F2281:G2281"/>
    <mergeCell ref="B2278:D2278"/>
    <mergeCell ref="F2278:G2278"/>
    <mergeCell ref="H2278:K2278"/>
    <mergeCell ref="L2278:O2278"/>
    <mergeCell ref="H2281:K2281"/>
    <mergeCell ref="L2281:O2281"/>
    <mergeCell ref="B2283:D2283"/>
    <mergeCell ref="F2283:G2283"/>
    <mergeCell ref="A2359:B2359"/>
    <mergeCell ref="C2359:D2359"/>
    <mergeCell ref="A2360:B2360"/>
    <mergeCell ref="C2360:D2360"/>
    <mergeCell ref="A2361:B2361"/>
    <mergeCell ref="C2361:D2361"/>
    <mergeCell ref="A2362:B2362"/>
    <mergeCell ref="C2362:D2362"/>
    <mergeCell ref="H2283:K2283"/>
    <mergeCell ref="L2283:O2283"/>
    <mergeCell ref="B2284:D2284"/>
    <mergeCell ref="F2284:G2284"/>
    <mergeCell ref="H2284:K2284"/>
    <mergeCell ref="L2284:O2284"/>
    <mergeCell ref="C2291:D2291"/>
    <mergeCell ref="G2291:O2291"/>
    <mergeCell ref="A2292:B2292"/>
    <mergeCell ref="C2292:D2292"/>
    <mergeCell ref="G2292:O2297"/>
    <mergeCell ref="A2293:B2293"/>
    <mergeCell ref="C2293:D2293"/>
    <mergeCell ref="A2294:B2294"/>
    <mergeCell ref="C2294:D2294"/>
    <mergeCell ref="A2295:B2295"/>
    <mergeCell ref="C2295:D2295"/>
    <mergeCell ref="A2296:B2296"/>
    <mergeCell ref="C2296:D2296"/>
    <mergeCell ref="A2297:B2297"/>
    <mergeCell ref="C2297:D2297"/>
    <mergeCell ref="N2299:O2299"/>
    <mergeCell ref="N2301:O2301"/>
    <mergeCell ref="L2305:O2305"/>
    <mergeCell ref="A2363:B2363"/>
    <mergeCell ref="C2363:D2363"/>
    <mergeCell ref="N2365:O2365"/>
    <mergeCell ref="N2367:O2367"/>
    <mergeCell ref="B2344:D2344"/>
    <mergeCell ref="F2344:G2344"/>
    <mergeCell ref="H2344:K2344"/>
    <mergeCell ref="L2344:O2344"/>
    <mergeCell ref="P2339:P2368"/>
    <mergeCell ref="B2341:D2341"/>
    <mergeCell ref="F2341:G2341"/>
    <mergeCell ref="H2341:K2341"/>
    <mergeCell ref="L2341:O2341"/>
    <mergeCell ref="B2342:D2342"/>
    <mergeCell ref="F2342:G2342"/>
    <mergeCell ref="H2342:K2342"/>
    <mergeCell ref="L2342:O2342"/>
    <mergeCell ref="B2349:D2349"/>
    <mergeCell ref="F2349:G2349"/>
    <mergeCell ref="H2349:K2349"/>
    <mergeCell ref="L2349:O2349"/>
    <mergeCell ref="B2350:D2350"/>
    <mergeCell ref="F2350:G2350"/>
    <mergeCell ref="H2350:K2350"/>
    <mergeCell ref="L2350:O2350"/>
    <mergeCell ref="E2353:E2354"/>
    <mergeCell ref="A2357:B2357"/>
    <mergeCell ref="C2357:D2357"/>
    <mergeCell ref="G2357:O2357"/>
    <mergeCell ref="A2358:B2358"/>
    <mergeCell ref="C2358:D2358"/>
    <mergeCell ref="G2358:O2363"/>
    <mergeCell ref="L2750:O2750"/>
    <mergeCell ref="L2820:O2820"/>
    <mergeCell ref="P2820:P2847"/>
    <mergeCell ref="B2822:D2822"/>
    <mergeCell ref="F2822:G2822"/>
    <mergeCell ref="H2822:K2822"/>
    <mergeCell ref="L2822:O2822"/>
    <mergeCell ref="B2823:D2823"/>
    <mergeCell ref="F2823:G2823"/>
    <mergeCell ref="H2823:K2823"/>
    <mergeCell ref="L2823:O2823"/>
    <mergeCell ref="B2825:D2825"/>
    <mergeCell ref="F2825:G2825"/>
    <mergeCell ref="H2825:K2825"/>
    <mergeCell ref="L2825:O2825"/>
    <mergeCell ref="B2826:D2826"/>
    <mergeCell ref="F2826:G2826"/>
    <mergeCell ref="H2826:K2826"/>
    <mergeCell ref="L2826:O2826"/>
    <mergeCell ref="B2827:D2827"/>
    <mergeCell ref="F2827:G2827"/>
    <mergeCell ref="H2827:K2827"/>
    <mergeCell ref="L2827:O2827"/>
    <mergeCell ref="B2829:D2829"/>
    <mergeCell ref="F2829:G2829"/>
    <mergeCell ref="H2829:K2829"/>
    <mergeCell ref="L2829:O2829"/>
    <mergeCell ref="N2844:O2844"/>
    <mergeCell ref="N2846:O2846"/>
    <mergeCell ref="B2828:D2828"/>
    <mergeCell ref="F2828:G2828"/>
    <mergeCell ref="H2828:K2828"/>
    <mergeCell ref="B3002:D3002"/>
    <mergeCell ref="F3002:G3002"/>
    <mergeCell ref="H3002:K3002"/>
    <mergeCell ref="L3002:O3002"/>
    <mergeCell ref="L2828:O2828"/>
    <mergeCell ref="E2832:E2833"/>
    <mergeCell ref="A2836:B2836"/>
    <mergeCell ref="C2836:D2836"/>
    <mergeCell ref="G2836:O2836"/>
    <mergeCell ref="A2837:B2837"/>
    <mergeCell ref="C2837:D2837"/>
    <mergeCell ref="G2837:O2842"/>
    <mergeCell ref="A2838:B2838"/>
    <mergeCell ref="C2838:D2838"/>
    <mergeCell ref="A2839:B2839"/>
    <mergeCell ref="C2839:D2839"/>
    <mergeCell ref="A2840:B2840"/>
    <mergeCell ref="C2840:D2840"/>
    <mergeCell ref="A2841:B2841"/>
    <mergeCell ref="C2841:D2841"/>
    <mergeCell ref="A2842:B2842"/>
    <mergeCell ref="C2842:D2842"/>
    <mergeCell ref="L2851:O2851"/>
    <mergeCell ref="L2994:O2994"/>
    <mergeCell ref="L3029:O3029"/>
    <mergeCell ref="L3133:O3133"/>
    <mergeCell ref="L3102:O3102"/>
    <mergeCell ref="P3102:P3129"/>
    <mergeCell ref="B3104:D3104"/>
    <mergeCell ref="F3104:G3104"/>
    <mergeCell ref="H3104:K3104"/>
    <mergeCell ref="L3104:O3104"/>
    <mergeCell ref="B3105:D3105"/>
    <mergeCell ref="F3105:G3105"/>
    <mergeCell ref="H3105:K3105"/>
    <mergeCell ref="L3105:O3105"/>
    <mergeCell ref="B3107:D3107"/>
    <mergeCell ref="F3107:G3107"/>
    <mergeCell ref="H3107:K3107"/>
    <mergeCell ref="L3107:O3107"/>
    <mergeCell ref="B3108:D3108"/>
    <mergeCell ref="F3108:G3108"/>
    <mergeCell ref="H3108:K3108"/>
    <mergeCell ref="L3108:O3108"/>
    <mergeCell ref="B3109:D3109"/>
    <mergeCell ref="E3114:E3115"/>
    <mergeCell ref="A3118:B3118"/>
    <mergeCell ref="C3118:D3118"/>
    <mergeCell ref="G3118:O3118"/>
    <mergeCell ref="A3124:B3124"/>
    <mergeCell ref="C3124:D3124"/>
    <mergeCell ref="N3128:O3128"/>
    <mergeCell ref="L3109:O3109"/>
    <mergeCell ref="B3110:D3110"/>
    <mergeCell ref="F3110:G3110"/>
    <mergeCell ref="H3110:K3110"/>
    <mergeCell ref="P3236:P3263"/>
    <mergeCell ref="B3238:D3238"/>
    <mergeCell ref="F3238:G3238"/>
    <mergeCell ref="H3238:K3238"/>
    <mergeCell ref="L3238:O3238"/>
    <mergeCell ref="B3239:D3239"/>
    <mergeCell ref="F3239:G3239"/>
    <mergeCell ref="H3239:K3239"/>
    <mergeCell ref="L3239:O3239"/>
    <mergeCell ref="B3241:D3241"/>
    <mergeCell ref="F3241:G3241"/>
    <mergeCell ref="H3241:K3241"/>
    <mergeCell ref="L3241:O3241"/>
    <mergeCell ref="B3243:D3243"/>
    <mergeCell ref="F3243:G3243"/>
    <mergeCell ref="H3243:K3243"/>
    <mergeCell ref="L3243:O3243"/>
    <mergeCell ref="B3246:D3246"/>
    <mergeCell ref="F3246:G3246"/>
    <mergeCell ref="H3246:K3246"/>
    <mergeCell ref="L3246:O3246"/>
    <mergeCell ref="N3260:O3260"/>
    <mergeCell ref="N3262:O3262"/>
    <mergeCell ref="E3248:E3249"/>
    <mergeCell ref="A3252:B3252"/>
    <mergeCell ref="C3252:D3252"/>
    <mergeCell ref="G3252:O3252"/>
    <mergeCell ref="A3253:B3253"/>
    <mergeCell ref="C3253:D3253"/>
    <mergeCell ref="G3253:O3258"/>
    <mergeCell ref="A3256:B3256"/>
    <mergeCell ref="C3256:D3256"/>
    <mergeCell ref="P3368:P3397"/>
    <mergeCell ref="B3370:D3370"/>
    <mergeCell ref="F3370:G3370"/>
    <mergeCell ref="H3370:K3370"/>
    <mergeCell ref="L3370:O3370"/>
    <mergeCell ref="B3371:D3371"/>
    <mergeCell ref="F3371:G3371"/>
    <mergeCell ref="H3371:K3371"/>
    <mergeCell ref="L3371:O3371"/>
    <mergeCell ref="B3373:D3373"/>
    <mergeCell ref="F3373:G3373"/>
    <mergeCell ref="H3373:K3373"/>
    <mergeCell ref="L3373:O3373"/>
    <mergeCell ref="B3374:D3374"/>
    <mergeCell ref="F3374:G3374"/>
    <mergeCell ref="H3374:K3374"/>
    <mergeCell ref="L3374:O3374"/>
    <mergeCell ref="B3375:D3375"/>
    <mergeCell ref="F3375:G3375"/>
    <mergeCell ref="H3375:K3375"/>
    <mergeCell ref="L3375:O3375"/>
    <mergeCell ref="E3382:E3383"/>
    <mergeCell ref="A3386:B3386"/>
    <mergeCell ref="C3386:D3386"/>
    <mergeCell ref="G3386:O3386"/>
    <mergeCell ref="A3387:B3387"/>
    <mergeCell ref="C3387:D3387"/>
    <mergeCell ref="G3387:O3392"/>
    <mergeCell ref="A3388:B3388"/>
    <mergeCell ref="C3388:D3388"/>
    <mergeCell ref="A3389:B3389"/>
    <mergeCell ref="C3389:D3389"/>
    <mergeCell ref="P3504:P3538"/>
    <mergeCell ref="B3506:D3506"/>
    <mergeCell ref="F3506:G3506"/>
    <mergeCell ref="H3506:K3506"/>
    <mergeCell ref="L3506:O3506"/>
    <mergeCell ref="B3507:D3507"/>
    <mergeCell ref="F3507:G3507"/>
    <mergeCell ref="H3507:K3507"/>
    <mergeCell ref="L3507:O3507"/>
    <mergeCell ref="B3512:D3512"/>
    <mergeCell ref="F3512:G3512"/>
    <mergeCell ref="H3512:K3512"/>
    <mergeCell ref="L3512:O3512"/>
    <mergeCell ref="B3514:D3514"/>
    <mergeCell ref="F3514:G3514"/>
    <mergeCell ref="H3514:K3514"/>
    <mergeCell ref="L3514:O3514"/>
    <mergeCell ref="B3521:D3521"/>
    <mergeCell ref="F3521:G3521"/>
    <mergeCell ref="C3527:D3527"/>
    <mergeCell ref="G3527:O3527"/>
    <mergeCell ref="A3528:B3528"/>
    <mergeCell ref="C3528:D3528"/>
    <mergeCell ref="G3528:O3533"/>
    <mergeCell ref="A3529:B3529"/>
    <mergeCell ref="C3529:D3529"/>
    <mergeCell ref="A3530:B3530"/>
    <mergeCell ref="C3530:D3530"/>
    <mergeCell ref="A3531:B3531"/>
    <mergeCell ref="C3531:D3531"/>
    <mergeCell ref="A3532:B3532"/>
    <mergeCell ref="C3532:D3532"/>
    <mergeCell ref="P3698:P3732"/>
    <mergeCell ref="B3700:D3700"/>
    <mergeCell ref="F3700:G3700"/>
    <mergeCell ref="H3700:K3700"/>
    <mergeCell ref="L3700:O3700"/>
    <mergeCell ref="B3701:D3701"/>
    <mergeCell ref="F3701:G3701"/>
    <mergeCell ref="H3701:K3701"/>
    <mergeCell ref="L3701:O3701"/>
    <mergeCell ref="B3703:D3703"/>
    <mergeCell ref="F3703:G3703"/>
    <mergeCell ref="H3703:K3703"/>
    <mergeCell ref="L3703:O3703"/>
    <mergeCell ref="B3704:D3704"/>
    <mergeCell ref="F3704:G3704"/>
    <mergeCell ref="H3704:K3704"/>
    <mergeCell ref="L3704:O3704"/>
    <mergeCell ref="B3712:D3712"/>
    <mergeCell ref="F3712:G3712"/>
    <mergeCell ref="H3712:K3712"/>
    <mergeCell ref="L3712:O3712"/>
    <mergeCell ref="B3713:D3713"/>
    <mergeCell ref="F3713:G3713"/>
    <mergeCell ref="H3713:K3713"/>
    <mergeCell ref="L3713:O3713"/>
    <mergeCell ref="B3714:D3714"/>
    <mergeCell ref="F3714:G3714"/>
    <mergeCell ref="H3714:K3714"/>
    <mergeCell ref="L3714:O3714"/>
    <mergeCell ref="E3717:E3718"/>
    <mergeCell ref="N3729:O3729"/>
    <mergeCell ref="B3705:D3705"/>
    <mergeCell ref="H3741:K3741"/>
    <mergeCell ref="L3741:O3741"/>
    <mergeCell ref="B3746:D3746"/>
    <mergeCell ref="F3746:G3746"/>
    <mergeCell ref="H3746:K3746"/>
    <mergeCell ref="L3746:O3746"/>
    <mergeCell ref="B3747:D3747"/>
    <mergeCell ref="F3747:G3747"/>
    <mergeCell ref="H3747:K3747"/>
    <mergeCell ref="L3747:O3747"/>
    <mergeCell ref="E3749:E3750"/>
    <mergeCell ref="A3753:B3753"/>
    <mergeCell ref="C3753:D3753"/>
    <mergeCell ref="G3753:O3753"/>
    <mergeCell ref="L3735:O3735"/>
    <mergeCell ref="P3735:P3764"/>
    <mergeCell ref="B3737:D3737"/>
    <mergeCell ref="F3737:G3737"/>
    <mergeCell ref="H3737:K3737"/>
    <mergeCell ref="L3737:O3737"/>
    <mergeCell ref="B3738:D3738"/>
    <mergeCell ref="F3738:G3738"/>
    <mergeCell ref="H3738:K3738"/>
    <mergeCell ref="L3738:O3738"/>
    <mergeCell ref="B3740:D3740"/>
    <mergeCell ref="F3740:G3740"/>
    <mergeCell ref="L3740:O3740"/>
    <mergeCell ref="B3741:D3741"/>
    <mergeCell ref="F3741:G3741"/>
    <mergeCell ref="B3739:D3739"/>
    <mergeCell ref="F3739:G3739"/>
    <mergeCell ref="H3739:K3739"/>
    <mergeCell ref="A3754:B3754"/>
    <mergeCell ref="C3754:D3754"/>
    <mergeCell ref="G3754:O3759"/>
    <mergeCell ref="A3755:B3755"/>
    <mergeCell ref="C3755:D3755"/>
    <mergeCell ref="A3756:B3756"/>
    <mergeCell ref="C3756:D3756"/>
    <mergeCell ref="A3757:B3757"/>
    <mergeCell ref="C3757:D3757"/>
    <mergeCell ref="A3758:B3758"/>
    <mergeCell ref="C3758:D3758"/>
    <mergeCell ref="A3759:B3759"/>
    <mergeCell ref="C3759:D3759"/>
    <mergeCell ref="N3761:O3761"/>
    <mergeCell ref="N3763:O3763"/>
    <mergeCell ref="B3742:D3742"/>
    <mergeCell ref="F3742:G3742"/>
    <mergeCell ref="H3742:K3742"/>
    <mergeCell ref="L3742:O3742"/>
    <mergeCell ref="B3743:D3743"/>
    <mergeCell ref="F3743:G3743"/>
    <mergeCell ref="H3743:K3743"/>
    <mergeCell ref="L3743:O3743"/>
    <mergeCell ref="B3744:D3744"/>
    <mergeCell ref="F3744:G3744"/>
    <mergeCell ref="H3744:K3744"/>
    <mergeCell ref="L3744:O3744"/>
    <mergeCell ref="B3745:D3745"/>
    <mergeCell ref="F3745:G3745"/>
    <mergeCell ref="H3745:K3745"/>
    <mergeCell ref="L3745:O3745"/>
    <mergeCell ref="P4097:P4138"/>
    <mergeCell ref="B4099:D4099"/>
    <mergeCell ref="F4099:G4099"/>
    <mergeCell ref="H4099:K4099"/>
    <mergeCell ref="L4099:O4099"/>
    <mergeCell ref="B4100:D4100"/>
    <mergeCell ref="F4100:G4100"/>
    <mergeCell ref="H4100:K4100"/>
    <mergeCell ref="L4100:O4100"/>
    <mergeCell ref="B4103:D4103"/>
    <mergeCell ref="F4103:G4103"/>
    <mergeCell ref="H4103:K4103"/>
    <mergeCell ref="L4103:O4103"/>
    <mergeCell ref="B4102:D4102"/>
    <mergeCell ref="F4102:G4102"/>
    <mergeCell ref="H4102:K4102"/>
    <mergeCell ref="L4102:O4102"/>
    <mergeCell ref="B4104:D4104"/>
    <mergeCell ref="F4104:G4104"/>
    <mergeCell ref="H4104:K4104"/>
    <mergeCell ref="L4104:O4104"/>
    <mergeCell ref="B4105:D4105"/>
    <mergeCell ref="F4105:G4105"/>
    <mergeCell ref="H4105:K4105"/>
    <mergeCell ref="L4105:O4105"/>
    <mergeCell ref="B4106:D4106"/>
    <mergeCell ref="F4106:G4106"/>
    <mergeCell ref="H4106:K4106"/>
    <mergeCell ref="L4106:O4106"/>
    <mergeCell ref="B4107:D4107"/>
    <mergeCell ref="F4107:G4107"/>
    <mergeCell ref="H4107:K4107"/>
    <mergeCell ref="B4121:D4121"/>
    <mergeCell ref="F4121:G4121"/>
    <mergeCell ref="H4121:K4121"/>
    <mergeCell ref="B4111:D4111"/>
    <mergeCell ref="F4111:G4111"/>
    <mergeCell ref="H4111:K4111"/>
    <mergeCell ref="L4111:O4111"/>
    <mergeCell ref="B4112:D4112"/>
    <mergeCell ref="F4112:G4112"/>
    <mergeCell ref="H4112:K4112"/>
    <mergeCell ref="L4112:O4112"/>
    <mergeCell ref="B4113:D4113"/>
    <mergeCell ref="F4113:G4113"/>
    <mergeCell ref="H4113:K4113"/>
    <mergeCell ref="L4113:O4113"/>
    <mergeCell ref="B4114:D4114"/>
    <mergeCell ref="F4114:G4114"/>
    <mergeCell ref="H4114:K4114"/>
    <mergeCell ref="L4114:O4114"/>
    <mergeCell ref="B4115:D4115"/>
    <mergeCell ref="L4121:O4121"/>
    <mergeCell ref="A4128:B4128"/>
    <mergeCell ref="C4128:D4128"/>
    <mergeCell ref="G4128:O4133"/>
    <mergeCell ref="A4129:B4129"/>
    <mergeCell ref="C4129:D4129"/>
    <mergeCell ref="A4130:B4130"/>
    <mergeCell ref="C4130:D4130"/>
    <mergeCell ref="A4131:B4131"/>
    <mergeCell ref="C4131:D4131"/>
    <mergeCell ref="A4132:B4132"/>
    <mergeCell ref="C4132:D4132"/>
    <mergeCell ref="A4133:B4133"/>
    <mergeCell ref="C4133:D4133"/>
    <mergeCell ref="N4135:O4135"/>
    <mergeCell ref="N4137:O4137"/>
    <mergeCell ref="F4435:G4435"/>
    <mergeCell ref="H4435:K4435"/>
    <mergeCell ref="L4435:O4435"/>
    <mergeCell ref="L4143:O4143"/>
    <mergeCell ref="L4415:O4415"/>
    <mergeCell ref="L4424:O4424"/>
    <mergeCell ref="B4419:D4419"/>
    <mergeCell ref="F4419:G4419"/>
    <mergeCell ref="H4419:K4419"/>
    <mergeCell ref="L4419:O4419"/>
    <mergeCell ref="B4420:D4420"/>
    <mergeCell ref="F4420:G4420"/>
    <mergeCell ref="H4420:K4420"/>
    <mergeCell ref="L4420:O4420"/>
    <mergeCell ref="B4421:D4421"/>
    <mergeCell ref="F4421:G4421"/>
    <mergeCell ref="H4421:K4421"/>
    <mergeCell ref="P4415:P4455"/>
    <mergeCell ref="B4417:D4417"/>
    <mergeCell ref="F4417:G4417"/>
    <mergeCell ref="H4417:K4417"/>
    <mergeCell ref="L4417:O4417"/>
    <mergeCell ref="B4418:D4418"/>
    <mergeCell ref="F4418:G4418"/>
    <mergeCell ref="H4418:K4418"/>
    <mergeCell ref="L4418:O4418"/>
    <mergeCell ref="B4425:D4425"/>
    <mergeCell ref="F4425:G4425"/>
    <mergeCell ref="H4425:K4425"/>
    <mergeCell ref="L4425:O4425"/>
    <mergeCell ref="B4432:D4432"/>
    <mergeCell ref="F4432:G4432"/>
    <mergeCell ref="H4432:K4432"/>
    <mergeCell ref="L4432:O4432"/>
    <mergeCell ref="B4428:D4428"/>
    <mergeCell ref="F4428:G4428"/>
    <mergeCell ref="H4428:K4428"/>
    <mergeCell ref="L4428:O4428"/>
    <mergeCell ref="B4429:D4429"/>
    <mergeCell ref="C4445:D4445"/>
    <mergeCell ref="H4436:K4436"/>
    <mergeCell ref="L4436:O4436"/>
    <mergeCell ref="G4445:O4450"/>
    <mergeCell ref="A4446:B4446"/>
    <mergeCell ref="A4448:B4448"/>
    <mergeCell ref="C4448:D4448"/>
    <mergeCell ref="A4449:B4449"/>
    <mergeCell ref="C4449:D4449"/>
    <mergeCell ref="A4450:B4450"/>
    <mergeCell ref="L5264:O5264"/>
    <mergeCell ref="L4421:O4421"/>
    <mergeCell ref="B4422:D4422"/>
    <mergeCell ref="F4422:G4422"/>
    <mergeCell ref="H4422:K4422"/>
    <mergeCell ref="L4422:O4422"/>
    <mergeCell ref="B5076:D5076"/>
    <mergeCell ref="F5076:G5076"/>
    <mergeCell ref="H5076:K5076"/>
    <mergeCell ref="L5076:O5076"/>
    <mergeCell ref="B5077:D5077"/>
    <mergeCell ref="F5077:G5077"/>
    <mergeCell ref="H5077:K5077"/>
    <mergeCell ref="L5077:O5077"/>
    <mergeCell ref="E5083:E5084"/>
    <mergeCell ref="B4423:D4423"/>
    <mergeCell ref="F4423:G4423"/>
    <mergeCell ref="H4423:K4423"/>
    <mergeCell ref="L4423:O4423"/>
    <mergeCell ref="B4426:D4426"/>
    <mergeCell ref="F4426:G4426"/>
    <mergeCell ref="H4426:K4426"/>
    <mergeCell ref="L4426:O4426"/>
    <mergeCell ref="F4429:G4429"/>
    <mergeCell ref="H4429:K4429"/>
    <mergeCell ref="L4429:O4429"/>
    <mergeCell ref="H4434:K4434"/>
    <mergeCell ref="L4434:O4434"/>
    <mergeCell ref="A4445:B4445"/>
    <mergeCell ref="B4427:D4427"/>
    <mergeCell ref="F4427:G4427"/>
    <mergeCell ref="L5153:O5153"/>
    <mergeCell ref="L5257:O5257"/>
    <mergeCell ref="L4929:O4929"/>
    <mergeCell ref="L5069:O5069"/>
    <mergeCell ref="L5079:O5079"/>
    <mergeCell ref="B5080:D5080"/>
    <mergeCell ref="F5080:G5080"/>
    <mergeCell ref="H5080:K5080"/>
    <mergeCell ref="L5080:O5080"/>
    <mergeCell ref="C4450:D4450"/>
    <mergeCell ref="B4436:D4436"/>
    <mergeCell ref="F4436:G4436"/>
    <mergeCell ref="C4444:D4444"/>
    <mergeCell ref="G4444:O4444"/>
    <mergeCell ref="N4452:O4452"/>
    <mergeCell ref="N4454:O4454"/>
    <mergeCell ref="B4437:D4437"/>
    <mergeCell ref="F4437:G4437"/>
    <mergeCell ref="H4437:K4437"/>
    <mergeCell ref="L4437:O4437"/>
    <mergeCell ref="E4440:E4441"/>
    <mergeCell ref="A4444:B4444"/>
    <mergeCell ref="C4446:D4446"/>
    <mergeCell ref="A4447:B4447"/>
    <mergeCell ref="C4447:D4447"/>
    <mergeCell ref="H5078:K5078"/>
    <mergeCell ref="L5078:O5078"/>
    <mergeCell ref="H5079:K5079"/>
    <mergeCell ref="B4435:D4435"/>
    <mergeCell ref="L4459:O4459"/>
    <mergeCell ref="B4424:D4424"/>
    <mergeCell ref="F4424:G4424"/>
    <mergeCell ref="H4424:K4424"/>
    <mergeCell ref="A5092:B5092"/>
    <mergeCell ref="C5092:D5092"/>
    <mergeCell ref="A5093:B5093"/>
    <mergeCell ref="C5093:D5093"/>
    <mergeCell ref="N5095:O5095"/>
    <mergeCell ref="N5097:O5097"/>
    <mergeCell ref="B4430:D4430"/>
    <mergeCell ref="F4430:G4430"/>
    <mergeCell ref="H4430:K4430"/>
    <mergeCell ref="L4430:O4430"/>
    <mergeCell ref="B4431:D4431"/>
    <mergeCell ref="F4431:G4431"/>
    <mergeCell ref="H4431:K4431"/>
    <mergeCell ref="L4431:O4431"/>
    <mergeCell ref="B4433:D4433"/>
    <mergeCell ref="F4433:G4433"/>
    <mergeCell ref="H4433:K4433"/>
    <mergeCell ref="L4433:O4433"/>
    <mergeCell ref="B4434:D4434"/>
    <mergeCell ref="F4434:G4434"/>
    <mergeCell ref="H4427:K4427"/>
    <mergeCell ref="L4427:O4427"/>
    <mergeCell ref="P5069:P5098"/>
    <mergeCell ref="B5071:D5071"/>
    <mergeCell ref="F5071:G5071"/>
    <mergeCell ref="H5071:K5071"/>
    <mergeCell ref="L5071:O5071"/>
    <mergeCell ref="B5072:D5072"/>
    <mergeCell ref="F5072:G5072"/>
    <mergeCell ref="H5072:K5072"/>
    <mergeCell ref="L5072:O5072"/>
    <mergeCell ref="B5073:D5073"/>
    <mergeCell ref="F5073:G5073"/>
    <mergeCell ref="H5073:K5073"/>
    <mergeCell ref="L5073:O5073"/>
    <mergeCell ref="B5074:D5074"/>
    <mergeCell ref="F5074:G5074"/>
    <mergeCell ref="H5074:K5074"/>
    <mergeCell ref="L5074:O5074"/>
    <mergeCell ref="B5075:D5075"/>
    <mergeCell ref="F5075:G5075"/>
    <mergeCell ref="H5075:K5075"/>
    <mergeCell ref="L5075:O5075"/>
    <mergeCell ref="B5081:D5081"/>
    <mergeCell ref="F5081:G5081"/>
    <mergeCell ref="H5081:K5081"/>
    <mergeCell ref="L5081:O5081"/>
    <mergeCell ref="F5078:G5078"/>
    <mergeCell ref="B5079:D5079"/>
    <mergeCell ref="F5079:G5079"/>
    <mergeCell ref="B5078:D5078"/>
    <mergeCell ref="P5257:P5286"/>
    <mergeCell ref="B5259:D5259"/>
    <mergeCell ref="F5259:G5259"/>
    <mergeCell ref="H5259:K5259"/>
    <mergeCell ref="L5259:O5259"/>
    <mergeCell ref="B5260:D5260"/>
    <mergeCell ref="F5260:G5260"/>
    <mergeCell ref="H5260:K5260"/>
    <mergeCell ref="L5260:O5260"/>
    <mergeCell ref="B5262:D5262"/>
    <mergeCell ref="F5262:G5262"/>
    <mergeCell ref="H5262:K5262"/>
    <mergeCell ref="L5262:O5262"/>
    <mergeCell ref="B5263:D5263"/>
    <mergeCell ref="F5263:G5263"/>
    <mergeCell ref="H5263:K5263"/>
    <mergeCell ref="L5263:O5263"/>
    <mergeCell ref="B5264:D5264"/>
    <mergeCell ref="F5267:G5267"/>
    <mergeCell ref="H5267:K5267"/>
    <mergeCell ref="L5267:O5267"/>
    <mergeCell ref="F5268:G5268"/>
    <mergeCell ref="F5269:G5269"/>
    <mergeCell ref="H5269:K5269"/>
    <mergeCell ref="L5269:O5269"/>
    <mergeCell ref="B5268:D5268"/>
    <mergeCell ref="H5268:K5268"/>
    <mergeCell ref="L5268:O5268"/>
    <mergeCell ref="B5269:D5269"/>
    <mergeCell ref="B5265:D5265"/>
    <mergeCell ref="F5264:G5264"/>
    <mergeCell ref="H5264:K5264"/>
    <mergeCell ref="F5265:G5265"/>
    <mergeCell ref="H5265:K5265"/>
    <mergeCell ref="L5265:O5265"/>
    <mergeCell ref="A5087:B5087"/>
    <mergeCell ref="C5087:D5087"/>
    <mergeCell ref="G5087:O5087"/>
    <mergeCell ref="A5088:B5088"/>
    <mergeCell ref="C5088:D5088"/>
    <mergeCell ref="G5088:O5093"/>
    <mergeCell ref="A5089:B5089"/>
    <mergeCell ref="C5089:D5089"/>
    <mergeCell ref="A5090:B5090"/>
    <mergeCell ref="C5090:D5090"/>
    <mergeCell ref="A5091:B5091"/>
    <mergeCell ref="C5091:D5091"/>
    <mergeCell ref="H5781:K5781"/>
    <mergeCell ref="L5781:O5781"/>
    <mergeCell ref="A5597:B5597"/>
    <mergeCell ref="C5597:D5597"/>
    <mergeCell ref="A5598:B5598"/>
    <mergeCell ref="C5598:D5598"/>
    <mergeCell ref="A5599:B5599"/>
    <mergeCell ref="C5599:D5599"/>
    <mergeCell ref="L5575:O5575"/>
    <mergeCell ref="L5609:O5609"/>
    <mergeCell ref="B5585:D5585"/>
    <mergeCell ref="F5585:G5585"/>
    <mergeCell ref="H5585:K5585"/>
    <mergeCell ref="L5585:O5585"/>
    <mergeCell ref="H5587:K5587"/>
    <mergeCell ref="L5290:O5290"/>
    <mergeCell ref="L5587:O5587"/>
    <mergeCell ref="N5285:O5285"/>
    <mergeCell ref="B5266:D5266"/>
    <mergeCell ref="F5266:G5266"/>
    <mergeCell ref="H5266:K5266"/>
    <mergeCell ref="L5266:O5266"/>
    <mergeCell ref="E5271:E5272"/>
    <mergeCell ref="A5275:B5275"/>
    <mergeCell ref="C5275:D5275"/>
    <mergeCell ref="G5275:O5275"/>
    <mergeCell ref="A5276:B5276"/>
    <mergeCell ref="C5276:D5276"/>
    <mergeCell ref="G5276:O5281"/>
    <mergeCell ref="A5277:B5277"/>
    <mergeCell ref="C5277:D5277"/>
    <mergeCell ref="A5278:B5278"/>
    <mergeCell ref="C5278:D5278"/>
    <mergeCell ref="A5279:B5279"/>
    <mergeCell ref="C5279:D5279"/>
    <mergeCell ref="A5280:B5280"/>
    <mergeCell ref="C5280:D5280"/>
    <mergeCell ref="A5281:B5281"/>
    <mergeCell ref="C5281:D5281"/>
    <mergeCell ref="B5267:D5267"/>
    <mergeCell ref="N5283:O5283"/>
    <mergeCell ref="B5587:D5587"/>
    <mergeCell ref="F5784:G5784"/>
    <mergeCell ref="B5794:D5794"/>
    <mergeCell ref="F5794:G5794"/>
    <mergeCell ref="H5794:K5794"/>
    <mergeCell ref="L5794:O5794"/>
    <mergeCell ref="L5948:O5948"/>
    <mergeCell ref="L5964:O5964"/>
    <mergeCell ref="E5966:E5967"/>
    <mergeCell ref="A5970:B5970"/>
    <mergeCell ref="C5970:D5970"/>
    <mergeCell ref="G5970:O5970"/>
    <mergeCell ref="A5971:B5971"/>
    <mergeCell ref="C5971:D5971"/>
    <mergeCell ref="L5628:O5628"/>
    <mergeCell ref="L5775:O5775"/>
    <mergeCell ref="P5775:P5811"/>
    <mergeCell ref="B5777:D5777"/>
    <mergeCell ref="F5777:G5777"/>
    <mergeCell ref="H5777:K5777"/>
    <mergeCell ref="L5777:O5777"/>
    <mergeCell ref="B5778:D5778"/>
    <mergeCell ref="F5778:G5778"/>
    <mergeCell ref="H5778:K5778"/>
    <mergeCell ref="L5778:O5778"/>
    <mergeCell ref="B5780:D5780"/>
    <mergeCell ref="F5780:G5780"/>
    <mergeCell ref="H5780:K5780"/>
    <mergeCell ref="L5780:O5780"/>
    <mergeCell ref="B5781:D5781"/>
    <mergeCell ref="F5781:G5781"/>
    <mergeCell ref="E5796:E5797"/>
    <mergeCell ref="P5948:P5981"/>
    <mergeCell ref="B5950:D5950"/>
    <mergeCell ref="F5950:G5950"/>
    <mergeCell ref="H5950:K5950"/>
    <mergeCell ref="L5950:O5950"/>
    <mergeCell ref="B5951:D5951"/>
    <mergeCell ref="F5951:G5951"/>
    <mergeCell ref="H5951:K5951"/>
    <mergeCell ref="L5951:O5951"/>
    <mergeCell ref="B5953:D5953"/>
    <mergeCell ref="F5953:G5953"/>
    <mergeCell ref="H5953:K5953"/>
    <mergeCell ref="L5953:O5953"/>
    <mergeCell ref="B5954:D5954"/>
    <mergeCell ref="F5954:G5954"/>
    <mergeCell ref="H5954:K5954"/>
    <mergeCell ref="L5954:O5954"/>
    <mergeCell ref="B5955:D5955"/>
    <mergeCell ref="F5955:G5955"/>
    <mergeCell ref="C5972:D5972"/>
    <mergeCell ref="F5964:G5964"/>
    <mergeCell ref="H5964:K5964"/>
    <mergeCell ref="A5973:B5973"/>
    <mergeCell ref="C5973:D5973"/>
    <mergeCell ref="A5974:B5974"/>
    <mergeCell ref="C5974:D5974"/>
    <mergeCell ref="A5975:B5975"/>
    <mergeCell ref="C5975:D5975"/>
    <mergeCell ref="A5976:B5976"/>
    <mergeCell ref="C5976:D5976"/>
    <mergeCell ref="G5971:O5976"/>
    <mergeCell ref="C5806:D5806"/>
    <mergeCell ref="H5955:K5955"/>
    <mergeCell ref="L5955:O5955"/>
    <mergeCell ref="B5956:D5956"/>
    <mergeCell ref="F5956:G5956"/>
    <mergeCell ref="H5956:K5956"/>
    <mergeCell ref="L5956:O5956"/>
    <mergeCell ref="N5808:O5808"/>
    <mergeCell ref="N5810:O5810"/>
    <mergeCell ref="L5815:O5815"/>
    <mergeCell ref="B5958:D5958"/>
    <mergeCell ref="F5958:G5958"/>
    <mergeCell ref="H5958:K5958"/>
    <mergeCell ref="L5958:O5958"/>
    <mergeCell ref="G5801:O5806"/>
    <mergeCell ref="A5802:B5802"/>
    <mergeCell ref="C5802:D5802"/>
    <mergeCell ref="A5803:B5803"/>
    <mergeCell ref="L6546:O6546"/>
    <mergeCell ref="B6515:D6515"/>
    <mergeCell ref="F6515:G6515"/>
    <mergeCell ref="H6515:K6515"/>
    <mergeCell ref="L6515:O6515"/>
    <mergeCell ref="N5978:O5978"/>
    <mergeCell ref="N5980:O5980"/>
    <mergeCell ref="B5959:D5959"/>
    <mergeCell ref="F5959:G5959"/>
    <mergeCell ref="H5959:K5959"/>
    <mergeCell ref="L5959:O5959"/>
    <mergeCell ref="B5963:D5963"/>
    <mergeCell ref="F5963:G5963"/>
    <mergeCell ref="H5963:K5963"/>
    <mergeCell ref="L5963:O5963"/>
    <mergeCell ref="B5964:D5964"/>
    <mergeCell ref="L6329:O6329"/>
    <mergeCell ref="L5986:O5986"/>
    <mergeCell ref="L6097:O6097"/>
    <mergeCell ref="F6301:G6301"/>
    <mergeCell ref="H6301:K6301"/>
    <mergeCell ref="L6301:O6301"/>
    <mergeCell ref="A6314:B6314"/>
    <mergeCell ref="C6320:D6320"/>
    <mergeCell ref="N6322:O6322"/>
    <mergeCell ref="B6302:D6302"/>
    <mergeCell ref="F6302:G6302"/>
    <mergeCell ref="H6302:K6302"/>
    <mergeCell ref="L6302:O6302"/>
    <mergeCell ref="B6303:D6303"/>
    <mergeCell ref="F6303:G6303"/>
    <mergeCell ref="A5972:B5972"/>
    <mergeCell ref="L6596:O6596"/>
    <mergeCell ref="L6797:O6797"/>
    <mergeCell ref="P6797:P6832"/>
    <mergeCell ref="B6799:D6799"/>
    <mergeCell ref="F6799:G6799"/>
    <mergeCell ref="H6799:K6799"/>
    <mergeCell ref="L6799:O6799"/>
    <mergeCell ref="B6800:D6800"/>
    <mergeCell ref="F6800:G6800"/>
    <mergeCell ref="H6800:K6800"/>
    <mergeCell ref="L6800:O6800"/>
    <mergeCell ref="B6801:D6801"/>
    <mergeCell ref="F6801:G6801"/>
    <mergeCell ref="H6801:K6801"/>
    <mergeCell ref="L6801:O6801"/>
    <mergeCell ref="B6802:D6802"/>
    <mergeCell ref="F6802:G6802"/>
    <mergeCell ref="H6802:K6802"/>
    <mergeCell ref="L6802:O6802"/>
    <mergeCell ref="B6803:D6803"/>
    <mergeCell ref="F6803:G6803"/>
    <mergeCell ref="H6803:K6803"/>
    <mergeCell ref="L6803:O6803"/>
    <mergeCell ref="B6805:D6805"/>
    <mergeCell ref="F6805:G6805"/>
    <mergeCell ref="H6805:K6805"/>
    <mergeCell ref="L6805:O6805"/>
    <mergeCell ref="B6806:D6806"/>
    <mergeCell ref="F6806:G6806"/>
    <mergeCell ref="H6806:K6806"/>
    <mergeCell ref="L6806:O6806"/>
    <mergeCell ref="B6807:D6807"/>
    <mergeCell ref="H6807:K6807"/>
    <mergeCell ref="L6807:O6807"/>
    <mergeCell ref="B6809:D6809"/>
    <mergeCell ref="F6809:G6809"/>
    <mergeCell ref="H6809:K6809"/>
    <mergeCell ref="L6809:O6809"/>
    <mergeCell ref="B6811:D6811"/>
    <mergeCell ref="F6811:G6811"/>
    <mergeCell ref="H6811:K6811"/>
    <mergeCell ref="L6811:O6811"/>
    <mergeCell ref="B6813:D6813"/>
    <mergeCell ref="F6813:G6813"/>
    <mergeCell ref="H6813:K6813"/>
    <mergeCell ref="L6813:O6813"/>
    <mergeCell ref="B6810:D6810"/>
    <mergeCell ref="F6810:G6810"/>
    <mergeCell ref="H6810:K6810"/>
    <mergeCell ref="L6810:O6810"/>
    <mergeCell ref="N6829:O6829"/>
    <mergeCell ref="N6831:O6831"/>
    <mergeCell ref="B6804:D6804"/>
    <mergeCell ref="F6804:G6804"/>
    <mergeCell ref="H6804:K6804"/>
    <mergeCell ref="L6804:O6804"/>
    <mergeCell ref="B6814:D6814"/>
    <mergeCell ref="F6814:G6814"/>
    <mergeCell ref="H6814:K6814"/>
    <mergeCell ref="L6814:O6814"/>
    <mergeCell ref="B6815:D6815"/>
    <mergeCell ref="F6815:G6815"/>
    <mergeCell ref="H6815:K6815"/>
    <mergeCell ref="L6815:O6815"/>
    <mergeCell ref="E6817:E6818"/>
    <mergeCell ref="A6821:B6821"/>
    <mergeCell ref="C6821:D6821"/>
    <mergeCell ref="G6821:O6821"/>
    <mergeCell ref="A6822:B6822"/>
    <mergeCell ref="C6822:D6822"/>
    <mergeCell ref="G6822:O6827"/>
    <mergeCell ref="A6823:B6823"/>
    <mergeCell ref="C6823:D6823"/>
    <mergeCell ref="A6824:B6824"/>
    <mergeCell ref="C6824:D6824"/>
    <mergeCell ref="A6825:B6825"/>
    <mergeCell ref="C6825:D6825"/>
    <mergeCell ref="A6826:B6826"/>
    <mergeCell ref="C6826:D6826"/>
    <mergeCell ref="A6827:B6827"/>
    <mergeCell ref="C6827:D6827"/>
    <mergeCell ref="F6807:G6807"/>
    <mergeCell ref="F7446:G7446"/>
    <mergeCell ref="H7446:K7446"/>
    <mergeCell ref="L7446:O7446"/>
    <mergeCell ref="B7448:D7448"/>
    <mergeCell ref="F7448:G7448"/>
    <mergeCell ref="H7448:K7448"/>
    <mergeCell ref="L7448:O7448"/>
    <mergeCell ref="B7449:D7449"/>
    <mergeCell ref="F7449:G7449"/>
    <mergeCell ref="H7449:K7449"/>
    <mergeCell ref="L7449:O7449"/>
    <mergeCell ref="B7450:D7450"/>
    <mergeCell ref="F7450:G7450"/>
    <mergeCell ref="H7450:K7450"/>
    <mergeCell ref="L7450:O7450"/>
    <mergeCell ref="L7451:O7451"/>
    <mergeCell ref="B7451:D7451"/>
    <mergeCell ref="F7451:G7451"/>
    <mergeCell ref="H7451:K7451"/>
    <mergeCell ref="L7660:O7660"/>
    <mergeCell ref="N7468:O7468"/>
    <mergeCell ref="N7470:O7470"/>
    <mergeCell ref="F7454:G7454"/>
    <mergeCell ref="E7456:E7457"/>
    <mergeCell ref="A7460:B7460"/>
    <mergeCell ref="C7460:D7460"/>
    <mergeCell ref="G7460:O7460"/>
    <mergeCell ref="A7461:B7461"/>
    <mergeCell ref="C7463:D7463"/>
    <mergeCell ref="A7464:B7464"/>
    <mergeCell ref="C7464:D7464"/>
    <mergeCell ref="A7465:B7465"/>
    <mergeCell ref="C7465:D7465"/>
    <mergeCell ref="B7665:D7665"/>
    <mergeCell ref="F7665:G7665"/>
    <mergeCell ref="H7665:K7665"/>
    <mergeCell ref="L7665:O7665"/>
    <mergeCell ref="B7664:D7664"/>
    <mergeCell ref="F7664:G7664"/>
    <mergeCell ref="H7664:K7664"/>
    <mergeCell ref="L7664:O7664"/>
    <mergeCell ref="B7661:D7661"/>
    <mergeCell ref="F7661:G7661"/>
    <mergeCell ref="H7661:K7661"/>
    <mergeCell ref="L7661:O7661"/>
    <mergeCell ref="C7461:D7461"/>
    <mergeCell ref="G7461:O7466"/>
    <mergeCell ref="A7462:B7462"/>
    <mergeCell ref="C7462:D7462"/>
    <mergeCell ref="A7463:B7463"/>
    <mergeCell ref="P7339:P7342"/>
    <mergeCell ref="P7345:P7351"/>
    <mergeCell ref="P7370:P7373"/>
    <mergeCell ref="L7475:O7475"/>
    <mergeCell ref="L7654:O7654"/>
    <mergeCell ref="P7654:P7688"/>
    <mergeCell ref="B7656:D7656"/>
    <mergeCell ref="F7656:G7656"/>
    <mergeCell ref="H7656:K7656"/>
    <mergeCell ref="L7656:O7656"/>
    <mergeCell ref="B7657:D7657"/>
    <mergeCell ref="F7657:G7657"/>
    <mergeCell ref="H7657:K7657"/>
    <mergeCell ref="L7657:O7657"/>
    <mergeCell ref="B7659:D7659"/>
    <mergeCell ref="F7659:G7659"/>
    <mergeCell ref="B7667:D7667"/>
    <mergeCell ref="F7667:G7667"/>
    <mergeCell ref="H7667:K7667"/>
    <mergeCell ref="N7685:O7685"/>
    <mergeCell ref="N7687:O7687"/>
    <mergeCell ref="E7673:E7674"/>
    <mergeCell ref="A7677:B7677"/>
    <mergeCell ref="H7659:K7659"/>
    <mergeCell ref="L7659:O7659"/>
    <mergeCell ref="B7660:D7660"/>
    <mergeCell ref="F7660:G7660"/>
    <mergeCell ref="B7662:D7662"/>
    <mergeCell ref="F7662:G7662"/>
    <mergeCell ref="H7662:K7662"/>
    <mergeCell ref="L7662:O7662"/>
    <mergeCell ref="H7660:K7660"/>
    <mergeCell ref="F7666:G7666"/>
    <mergeCell ref="H7666:K7666"/>
    <mergeCell ref="L7668:O7668"/>
    <mergeCell ref="C7677:D7677"/>
    <mergeCell ref="G7677:O7677"/>
    <mergeCell ref="A7678:B7678"/>
    <mergeCell ref="C7678:D7678"/>
    <mergeCell ref="G7678:O7683"/>
    <mergeCell ref="A7679:B7679"/>
    <mergeCell ref="C7679:D7679"/>
    <mergeCell ref="A7680:B7680"/>
    <mergeCell ref="C7680:D7680"/>
    <mergeCell ref="A7681:B7681"/>
    <mergeCell ref="C7681:D7681"/>
    <mergeCell ref="A7682:B7682"/>
    <mergeCell ref="C7682:D7682"/>
    <mergeCell ref="A7683:B7683"/>
    <mergeCell ref="C7683:D7683"/>
    <mergeCell ref="L7667:O7667"/>
    <mergeCell ref="B7669:D7669"/>
    <mergeCell ref="F7669:G7669"/>
    <mergeCell ref="H7669:K7669"/>
    <mergeCell ref="L7669:O7669"/>
    <mergeCell ref="B7666:D7666"/>
    <mergeCell ref="L7666:O7666"/>
    <mergeCell ref="B7668:D7668"/>
    <mergeCell ref="F7668:G7668"/>
    <mergeCell ref="H7668:K7668"/>
    <mergeCell ref="B7765:D7765"/>
    <mergeCell ref="F7765:G7765"/>
    <mergeCell ref="B7936:D7936"/>
    <mergeCell ref="F7936:G7936"/>
    <mergeCell ref="P7889:P7920"/>
    <mergeCell ref="B7892:D7892"/>
    <mergeCell ref="F7892:G7892"/>
    <mergeCell ref="H7892:K7892"/>
    <mergeCell ref="L7892:O7892"/>
    <mergeCell ref="B7895:D7895"/>
    <mergeCell ref="F7895:G7895"/>
    <mergeCell ref="H7895:K7895"/>
    <mergeCell ref="L7895:O7895"/>
    <mergeCell ref="B7903:D7903"/>
    <mergeCell ref="F7903:G7903"/>
    <mergeCell ref="H7903:K7903"/>
    <mergeCell ref="L7903:O7903"/>
    <mergeCell ref="E7905:E7906"/>
    <mergeCell ref="G7909:O7909"/>
    <mergeCell ref="G7910:O7915"/>
    <mergeCell ref="A7915:B7915"/>
    <mergeCell ref="C7915:D7915"/>
    <mergeCell ref="N7917:O7917"/>
    <mergeCell ref="N7919:O7919"/>
    <mergeCell ref="B7901:D7901"/>
    <mergeCell ref="B7902:D7902"/>
    <mergeCell ref="F7902:G7902"/>
    <mergeCell ref="H7902:K7902"/>
    <mergeCell ref="L7902:O7902"/>
    <mergeCell ref="F7901:G7901"/>
    <mergeCell ref="H7901:K7901"/>
    <mergeCell ref="L7901:O7901"/>
    <mergeCell ref="A7909:B7909"/>
    <mergeCell ref="C7909:D7909"/>
    <mergeCell ref="C7946:D7946"/>
    <mergeCell ref="G7946:O7946"/>
    <mergeCell ref="L7924:O7924"/>
    <mergeCell ref="P7924:P7957"/>
    <mergeCell ref="B7926:D7926"/>
    <mergeCell ref="F7926:G7926"/>
    <mergeCell ref="H7926:K7926"/>
    <mergeCell ref="L7926:O7926"/>
    <mergeCell ref="B7927:D7927"/>
    <mergeCell ref="F7927:G7927"/>
    <mergeCell ref="H7927:K7927"/>
    <mergeCell ref="L7927:O7927"/>
    <mergeCell ref="B7929:D7929"/>
    <mergeCell ref="F7929:G7929"/>
    <mergeCell ref="H7929:K7929"/>
    <mergeCell ref="L7929:O7929"/>
    <mergeCell ref="B7930:D7930"/>
    <mergeCell ref="F7930:G7930"/>
    <mergeCell ref="H7930:K7930"/>
    <mergeCell ref="L7930:O7930"/>
    <mergeCell ref="B7931:D7931"/>
    <mergeCell ref="F7931:G7931"/>
    <mergeCell ref="H7931:K7931"/>
    <mergeCell ref="L7931:O7931"/>
    <mergeCell ref="B7932:D7932"/>
    <mergeCell ref="F7932:G7932"/>
    <mergeCell ref="H7932:K7932"/>
    <mergeCell ref="L7932:O7932"/>
    <mergeCell ref="B7933:D7933"/>
    <mergeCell ref="F7933:G7933"/>
    <mergeCell ref="H7933:K7933"/>
    <mergeCell ref="L7933:O7933"/>
    <mergeCell ref="P8538:P8571"/>
    <mergeCell ref="B8540:D8540"/>
    <mergeCell ref="F8540:G8540"/>
    <mergeCell ref="H8540:K8540"/>
    <mergeCell ref="L8540:O8540"/>
    <mergeCell ref="B8541:D8541"/>
    <mergeCell ref="F8541:G8541"/>
    <mergeCell ref="H8541:K8541"/>
    <mergeCell ref="L8541:O8541"/>
    <mergeCell ref="B8543:D8543"/>
    <mergeCell ref="F8543:G8543"/>
    <mergeCell ref="H8543:K8543"/>
    <mergeCell ref="L8543:O8543"/>
    <mergeCell ref="B8546:D8546"/>
    <mergeCell ref="F8546:G8546"/>
    <mergeCell ref="H8546:K8546"/>
    <mergeCell ref="H7936:K7936"/>
    <mergeCell ref="L7936:O7936"/>
    <mergeCell ref="B7937:D7937"/>
    <mergeCell ref="F7937:G7937"/>
    <mergeCell ref="H7937:K7937"/>
    <mergeCell ref="L7937:O7937"/>
    <mergeCell ref="B7938:D7938"/>
    <mergeCell ref="F7938:G7938"/>
    <mergeCell ref="H7938:K7938"/>
    <mergeCell ref="L7938:O7938"/>
    <mergeCell ref="B7940:D7940"/>
    <mergeCell ref="F7940:G7940"/>
    <mergeCell ref="H7940:K7940"/>
    <mergeCell ref="L7940:O7940"/>
    <mergeCell ref="E7942:E7943"/>
    <mergeCell ref="A7946:B7946"/>
    <mergeCell ref="A7947:B7947"/>
    <mergeCell ref="C7947:D7947"/>
    <mergeCell ref="G7947:O7952"/>
    <mergeCell ref="A7948:B7948"/>
    <mergeCell ref="C7948:D7948"/>
    <mergeCell ref="A7949:B7949"/>
    <mergeCell ref="C7949:D7949"/>
    <mergeCell ref="A7950:B7950"/>
    <mergeCell ref="C7950:D7950"/>
    <mergeCell ref="A7951:B7951"/>
    <mergeCell ref="C7951:D7951"/>
    <mergeCell ref="A7952:B7952"/>
    <mergeCell ref="C7952:D7952"/>
    <mergeCell ref="N7954:O7954"/>
    <mergeCell ref="N7956:O7956"/>
    <mergeCell ref="L7961:O7961"/>
    <mergeCell ref="L8123:O8123"/>
    <mergeCell ref="C8149:D8149"/>
    <mergeCell ref="A8150:B8150"/>
    <mergeCell ref="C8150:D8150"/>
    <mergeCell ref="A8151:B8151"/>
    <mergeCell ref="C8151:D8151"/>
    <mergeCell ref="N8153:O8153"/>
    <mergeCell ref="N8155:O8155"/>
    <mergeCell ref="B8267:D8267"/>
    <mergeCell ref="B8128:D8128"/>
    <mergeCell ref="F8128:G8128"/>
    <mergeCell ref="H8128:K8128"/>
    <mergeCell ref="L8128:O8128"/>
    <mergeCell ref="G8596:O8596"/>
    <mergeCell ref="L8589:O8589"/>
    <mergeCell ref="B8590:D8590"/>
    <mergeCell ref="F8590:G8590"/>
    <mergeCell ref="H8590:K8590"/>
    <mergeCell ref="F8135:G8135"/>
    <mergeCell ref="H8135:K8135"/>
    <mergeCell ref="L8135:O8135"/>
    <mergeCell ref="B8136:D8136"/>
    <mergeCell ref="F8136:G8136"/>
    <mergeCell ref="H8136:K8136"/>
    <mergeCell ref="L8136:O8136"/>
    <mergeCell ref="B8137:D8137"/>
    <mergeCell ref="F8137:G8137"/>
    <mergeCell ref="H8137:K8137"/>
    <mergeCell ref="L8137:O8137"/>
    <mergeCell ref="B8139:D8139"/>
    <mergeCell ref="A8145:B8145"/>
    <mergeCell ref="A8599:B8599"/>
    <mergeCell ref="F8139:G8139"/>
    <mergeCell ref="H8139:K8139"/>
    <mergeCell ref="L8139:O8139"/>
    <mergeCell ref="E8141:E8142"/>
    <mergeCell ref="H8552:K8552"/>
    <mergeCell ref="L8552:O8552"/>
    <mergeCell ref="B8553:D8553"/>
    <mergeCell ref="F8553:G8553"/>
    <mergeCell ref="H8553:K8553"/>
    <mergeCell ref="L8553:O8553"/>
    <mergeCell ref="B8554:D8554"/>
    <mergeCell ref="F8554:G8554"/>
    <mergeCell ref="H8554:K8554"/>
    <mergeCell ref="L8554:O8554"/>
    <mergeCell ref="L8450:O8450"/>
    <mergeCell ref="L8538:O8538"/>
    <mergeCell ref="C8145:D8145"/>
    <mergeCell ref="G8145:O8145"/>
    <mergeCell ref="G8283:O8283"/>
    <mergeCell ref="B8269:D8269"/>
    <mergeCell ref="F8269:G8269"/>
    <mergeCell ref="B8589:D8589"/>
    <mergeCell ref="F8589:G8589"/>
    <mergeCell ref="B8271:D8271"/>
    <mergeCell ref="F8271:G8271"/>
    <mergeCell ref="H8589:K8589"/>
    <mergeCell ref="H8582:K8582"/>
    <mergeCell ref="L8574:O8574"/>
    <mergeCell ref="L8297:O8297"/>
    <mergeCell ref="N8291:O8291"/>
    <mergeCell ref="N8293:O8293"/>
    <mergeCell ref="N8604:O8604"/>
    <mergeCell ref="N8606:O8606"/>
    <mergeCell ref="L8582:O8582"/>
    <mergeCell ref="E8592:E8593"/>
    <mergeCell ref="C8566:D8566"/>
    <mergeCell ref="F8551:G8551"/>
    <mergeCell ref="H8551:K8551"/>
    <mergeCell ref="L8551:O8551"/>
    <mergeCell ref="B8552:D8552"/>
    <mergeCell ref="F8552:G8552"/>
    <mergeCell ref="C8601:D8601"/>
    <mergeCell ref="B8579:D8579"/>
    <mergeCell ref="F8579:G8579"/>
    <mergeCell ref="H8579:K8579"/>
    <mergeCell ref="L8579:O8579"/>
    <mergeCell ref="B8580:D8580"/>
    <mergeCell ref="F8580:G8580"/>
    <mergeCell ref="H8580:K8580"/>
    <mergeCell ref="L8580:O8580"/>
    <mergeCell ref="B8581:D8581"/>
    <mergeCell ref="F8581:G8581"/>
    <mergeCell ref="H8581:K8581"/>
    <mergeCell ref="L8581:O8581"/>
    <mergeCell ref="B8582:D8582"/>
    <mergeCell ref="F8582:G8582"/>
    <mergeCell ref="A8596:B8596"/>
    <mergeCell ref="C8596:D8596"/>
    <mergeCell ref="A8597:B8597"/>
    <mergeCell ref="C8597:D8597"/>
    <mergeCell ref="G8597:O8602"/>
    <mergeCell ref="A8598:B8598"/>
    <mergeCell ref="C8598:D8598"/>
    <mergeCell ref="F8619:G8619"/>
    <mergeCell ref="H8619:K8619"/>
    <mergeCell ref="L8619:O8619"/>
    <mergeCell ref="B8620:D8620"/>
    <mergeCell ref="F8620:G8620"/>
    <mergeCell ref="H8620:K8620"/>
    <mergeCell ref="L8620:O8620"/>
    <mergeCell ref="B8621:D8621"/>
    <mergeCell ref="F8621:G8621"/>
    <mergeCell ref="A8631:B8631"/>
    <mergeCell ref="C8631:D8631"/>
    <mergeCell ref="P8574:P8607"/>
    <mergeCell ref="B8576:D8576"/>
    <mergeCell ref="F8576:G8576"/>
    <mergeCell ref="H8576:K8576"/>
    <mergeCell ref="L8576:O8576"/>
    <mergeCell ref="B8577:D8577"/>
    <mergeCell ref="F8577:G8577"/>
    <mergeCell ref="H8577:K8577"/>
    <mergeCell ref="L8577:O8577"/>
    <mergeCell ref="B8584:D8584"/>
    <mergeCell ref="F8584:G8584"/>
    <mergeCell ref="H8584:K8584"/>
    <mergeCell ref="L8584:O8584"/>
    <mergeCell ref="B8585:D8585"/>
    <mergeCell ref="F8585:G8585"/>
    <mergeCell ref="H8585:K8585"/>
    <mergeCell ref="L8585:O8585"/>
    <mergeCell ref="B8588:D8588"/>
    <mergeCell ref="F8588:G8588"/>
    <mergeCell ref="H8588:K8588"/>
    <mergeCell ref="L8588:O8588"/>
    <mergeCell ref="L8621:O8621"/>
    <mergeCell ref="B8622:D8622"/>
    <mergeCell ref="F8622:G8622"/>
    <mergeCell ref="H8622:K8622"/>
    <mergeCell ref="L8622:O8622"/>
    <mergeCell ref="B8623:D8623"/>
    <mergeCell ref="F8623:G8623"/>
    <mergeCell ref="H8623:K8623"/>
    <mergeCell ref="L8623:O8623"/>
    <mergeCell ref="B8624:D8624"/>
    <mergeCell ref="F8624:G8624"/>
    <mergeCell ref="H8624:K8624"/>
    <mergeCell ref="L8624:O8624"/>
    <mergeCell ref="E8626:E8627"/>
    <mergeCell ref="C8599:D8599"/>
    <mergeCell ref="A8600:B8600"/>
    <mergeCell ref="C8600:D8600"/>
    <mergeCell ref="A8601:B8601"/>
    <mergeCell ref="A8602:B8602"/>
    <mergeCell ref="L8610:O8610"/>
    <mergeCell ref="C8602:D8602"/>
    <mergeCell ref="B8612:D8612"/>
    <mergeCell ref="F8612:G8612"/>
    <mergeCell ref="H8612:K8612"/>
    <mergeCell ref="L8612:O8612"/>
    <mergeCell ref="B8613:D8613"/>
    <mergeCell ref="F8613:G8613"/>
    <mergeCell ref="H8613:K8613"/>
    <mergeCell ref="L8613:O8613"/>
    <mergeCell ref="L8617:O8617"/>
    <mergeCell ref="B8617:D8617"/>
    <mergeCell ref="F8617:G8617"/>
    <mergeCell ref="P8645:P8676"/>
    <mergeCell ref="B8647:D8647"/>
    <mergeCell ref="F8647:G8647"/>
    <mergeCell ref="H8647:K8647"/>
    <mergeCell ref="L8647:O8647"/>
    <mergeCell ref="B8648:D8648"/>
    <mergeCell ref="F8648:G8648"/>
    <mergeCell ref="H8648:K8648"/>
    <mergeCell ref="L8648:O8648"/>
    <mergeCell ref="B8650:D8650"/>
    <mergeCell ref="F8650:G8650"/>
    <mergeCell ref="H8650:K8650"/>
    <mergeCell ref="L8650:O8650"/>
    <mergeCell ref="B8651:D8651"/>
    <mergeCell ref="F8651:G8651"/>
    <mergeCell ref="H8651:K8651"/>
    <mergeCell ref="G8631:O8636"/>
    <mergeCell ref="A8632:B8632"/>
    <mergeCell ref="C8632:D8632"/>
    <mergeCell ref="A8633:B8633"/>
    <mergeCell ref="C8633:D8633"/>
    <mergeCell ref="A8634:B8634"/>
    <mergeCell ref="C8634:D8634"/>
    <mergeCell ref="A8635:B8635"/>
    <mergeCell ref="C8635:D8635"/>
    <mergeCell ref="A8636:B8636"/>
    <mergeCell ref="C8636:D8636"/>
    <mergeCell ref="N8638:O8638"/>
    <mergeCell ref="N8640:O8640"/>
    <mergeCell ref="P8610:P8641"/>
    <mergeCell ref="H8617:K8617"/>
    <mergeCell ref="B8619:D8619"/>
    <mergeCell ref="L8653:O8653"/>
    <mergeCell ref="B8654:D8654"/>
    <mergeCell ref="F8654:G8654"/>
    <mergeCell ref="H8654:K8654"/>
    <mergeCell ref="L8654:O8654"/>
    <mergeCell ref="B8655:D8655"/>
    <mergeCell ref="F8655:G8655"/>
    <mergeCell ref="H8655:K8655"/>
    <mergeCell ref="L8655:O8655"/>
    <mergeCell ref="B8656:D8656"/>
    <mergeCell ref="F8656:G8656"/>
    <mergeCell ref="A8630:B8630"/>
    <mergeCell ref="C8630:D8630"/>
    <mergeCell ref="G8630:O8630"/>
    <mergeCell ref="B8614:D8614"/>
    <mergeCell ref="F8614:G8614"/>
    <mergeCell ref="H8614:K8614"/>
    <mergeCell ref="L8614:O8614"/>
    <mergeCell ref="B8615:D8615"/>
    <mergeCell ref="F8615:G8615"/>
    <mergeCell ref="H8615:K8615"/>
    <mergeCell ref="L8615:O8615"/>
    <mergeCell ref="B8616:D8616"/>
    <mergeCell ref="F8616:G8616"/>
    <mergeCell ref="H8616:K8616"/>
    <mergeCell ref="L8616:O8616"/>
    <mergeCell ref="L8645:O8645"/>
    <mergeCell ref="B8618:D8618"/>
    <mergeCell ref="F8618:G8618"/>
    <mergeCell ref="H8618:K8618"/>
    <mergeCell ref="L8618:O8618"/>
    <mergeCell ref="H8621:K8621"/>
    <mergeCell ref="C8671:D8671"/>
    <mergeCell ref="N8673:O8673"/>
    <mergeCell ref="L8835:O8835"/>
    <mergeCell ref="B8836:D8836"/>
    <mergeCell ref="F8836:G8836"/>
    <mergeCell ref="H8836:K8836"/>
    <mergeCell ref="L8836:O8836"/>
    <mergeCell ref="B8837:D8837"/>
    <mergeCell ref="F8837:G8837"/>
    <mergeCell ref="H8837:K8837"/>
    <mergeCell ref="L8837:O8837"/>
    <mergeCell ref="L8651:O8651"/>
    <mergeCell ref="B8652:D8652"/>
    <mergeCell ref="F8652:G8652"/>
    <mergeCell ref="B8657:D8657"/>
    <mergeCell ref="F8657:G8657"/>
    <mergeCell ref="H8657:K8657"/>
    <mergeCell ref="L8657:O8657"/>
    <mergeCell ref="B8658:D8658"/>
    <mergeCell ref="F8658:G8658"/>
    <mergeCell ref="H8658:K8658"/>
    <mergeCell ref="L8658:O8658"/>
    <mergeCell ref="B8659:D8659"/>
    <mergeCell ref="F8659:G8659"/>
    <mergeCell ref="H8659:K8659"/>
    <mergeCell ref="L8659:O8659"/>
    <mergeCell ref="E8661:E8662"/>
    <mergeCell ref="H8652:K8652"/>
    <mergeCell ref="L8652:O8652"/>
    <mergeCell ref="B8653:D8653"/>
    <mergeCell ref="F8653:G8653"/>
    <mergeCell ref="H8653:K8653"/>
    <mergeCell ref="P8826:P8862"/>
    <mergeCell ref="B8828:D8828"/>
    <mergeCell ref="F8828:G8828"/>
    <mergeCell ref="H8828:K8828"/>
    <mergeCell ref="L8828:O8828"/>
    <mergeCell ref="B8829:D8829"/>
    <mergeCell ref="F8829:G8829"/>
    <mergeCell ref="H8829:K8829"/>
    <mergeCell ref="L8829:O8829"/>
    <mergeCell ref="B8830:D8830"/>
    <mergeCell ref="F8830:G8830"/>
    <mergeCell ref="H8656:K8656"/>
    <mergeCell ref="L8656:O8656"/>
    <mergeCell ref="N8675:O8675"/>
    <mergeCell ref="L8680:O8680"/>
    <mergeCell ref="L8724:O8724"/>
    <mergeCell ref="L8868:O8868"/>
    <mergeCell ref="A8665:B8665"/>
    <mergeCell ref="C8665:D8665"/>
    <mergeCell ref="G8665:O8665"/>
    <mergeCell ref="A8666:B8666"/>
    <mergeCell ref="C8666:D8666"/>
    <mergeCell ref="G8666:O8671"/>
    <mergeCell ref="A8667:B8667"/>
    <mergeCell ref="C8667:D8667"/>
    <mergeCell ref="A8668:B8668"/>
    <mergeCell ref="C8668:D8668"/>
    <mergeCell ref="A8669:B8669"/>
    <mergeCell ref="C8669:D8669"/>
    <mergeCell ref="A8670:B8670"/>
    <mergeCell ref="C8670:D8670"/>
    <mergeCell ref="A8671:B8671"/>
    <mergeCell ref="L8969:O8969"/>
    <mergeCell ref="P8969:P8999"/>
    <mergeCell ref="B8971:D8971"/>
    <mergeCell ref="F8971:G8971"/>
    <mergeCell ref="H8971:K8971"/>
    <mergeCell ref="L8971:O8971"/>
    <mergeCell ref="B8972:D8972"/>
    <mergeCell ref="F8972:G8972"/>
    <mergeCell ref="H8972:K8972"/>
    <mergeCell ref="L8972:O8972"/>
    <mergeCell ref="B8974:D8974"/>
    <mergeCell ref="F8974:G8974"/>
    <mergeCell ref="H8974:K8974"/>
    <mergeCell ref="L8974:O8974"/>
    <mergeCell ref="G8988:O8988"/>
    <mergeCell ref="A8989:B8989"/>
    <mergeCell ref="F8981:G8981"/>
    <mergeCell ref="H8981:K8981"/>
    <mergeCell ref="L8981:O8981"/>
    <mergeCell ref="L8826:O8826"/>
    <mergeCell ref="C8989:D8989"/>
    <mergeCell ref="G8989:O8994"/>
    <mergeCell ref="A8990:B8990"/>
    <mergeCell ref="C8990:D8990"/>
    <mergeCell ref="A8991:B8991"/>
    <mergeCell ref="C8991:D8991"/>
    <mergeCell ref="A8992:B8992"/>
    <mergeCell ref="C8992:D8992"/>
    <mergeCell ref="A8993:B8993"/>
    <mergeCell ref="C8993:D8993"/>
    <mergeCell ref="A8994:B8994"/>
    <mergeCell ref="C8994:D8994"/>
    <mergeCell ref="N8996:O8996"/>
    <mergeCell ref="B8975:D8975"/>
    <mergeCell ref="F8975:G8975"/>
    <mergeCell ref="H8975:K8975"/>
    <mergeCell ref="L8975:O8975"/>
    <mergeCell ref="B8978:D8978"/>
    <mergeCell ref="F8978:G8978"/>
    <mergeCell ref="H8978:K8978"/>
    <mergeCell ref="L8978:O8978"/>
    <mergeCell ref="B8979:D8979"/>
    <mergeCell ref="F8979:G8979"/>
    <mergeCell ref="H8979:K8979"/>
    <mergeCell ref="L8979:O8979"/>
    <mergeCell ref="B8980:D8980"/>
    <mergeCell ref="F8980:G8980"/>
    <mergeCell ref="H8980:K8980"/>
    <mergeCell ref="L8980:O8980"/>
    <mergeCell ref="E8984:E8985"/>
    <mergeCell ref="B8981:D8981"/>
    <mergeCell ref="G8852:O8857"/>
    <mergeCell ref="A8853:B8853"/>
    <mergeCell ref="H8830:K8830"/>
    <mergeCell ref="L8830:O8830"/>
    <mergeCell ref="B8831:D8831"/>
    <mergeCell ref="F8831:G8831"/>
    <mergeCell ref="H8831:K8831"/>
    <mergeCell ref="L8831:O8831"/>
    <mergeCell ref="B8832:D8832"/>
    <mergeCell ref="F8832:G8832"/>
    <mergeCell ref="H8832:K8832"/>
    <mergeCell ref="L8832:O8832"/>
    <mergeCell ref="B8833:D8833"/>
    <mergeCell ref="F8833:G8833"/>
    <mergeCell ref="H8833:K8833"/>
    <mergeCell ref="L8833:O8833"/>
    <mergeCell ref="B8834:D8834"/>
    <mergeCell ref="F8834:G8834"/>
    <mergeCell ref="H8834:K8834"/>
    <mergeCell ref="L8834:O8834"/>
    <mergeCell ref="B8838:D8838"/>
    <mergeCell ref="F8838:G8838"/>
    <mergeCell ref="L9160:O9160"/>
    <mergeCell ref="B9161:D9161"/>
    <mergeCell ref="B8835:D8835"/>
    <mergeCell ref="F8835:G8835"/>
    <mergeCell ref="H8835:K8835"/>
    <mergeCell ref="H8838:K8838"/>
    <mergeCell ref="L8838:O8838"/>
    <mergeCell ref="B8839:D8839"/>
    <mergeCell ref="F8839:G8839"/>
    <mergeCell ref="H8839:K8839"/>
    <mergeCell ref="B8842:D8842"/>
    <mergeCell ref="F8842:G8842"/>
    <mergeCell ref="H8842:K8842"/>
    <mergeCell ref="L8842:O8842"/>
    <mergeCell ref="N8859:O8859"/>
    <mergeCell ref="N8861:O8861"/>
    <mergeCell ref="L8839:O8839"/>
    <mergeCell ref="L9004:O9004"/>
    <mergeCell ref="B8843:D8843"/>
    <mergeCell ref="F8843:G8843"/>
    <mergeCell ref="H8843:K8843"/>
    <mergeCell ref="L8843:O8843"/>
    <mergeCell ref="B8845:D8845"/>
    <mergeCell ref="F8845:G8845"/>
    <mergeCell ref="H8845:K8845"/>
    <mergeCell ref="L8845:O8845"/>
    <mergeCell ref="E8847:E8848"/>
    <mergeCell ref="A8851:B8851"/>
    <mergeCell ref="C8851:D8851"/>
    <mergeCell ref="G8851:O8851"/>
    <mergeCell ref="A8852:B8852"/>
    <mergeCell ref="C8852:D8852"/>
    <mergeCell ref="H9168:K9168"/>
    <mergeCell ref="L9168:O9168"/>
    <mergeCell ref="C8853:D8853"/>
    <mergeCell ref="A8854:B8854"/>
    <mergeCell ref="C8854:D8854"/>
    <mergeCell ref="A8855:B8855"/>
    <mergeCell ref="C8855:D8855"/>
    <mergeCell ref="A8856:B8856"/>
    <mergeCell ref="C8856:D8856"/>
    <mergeCell ref="A8857:B8857"/>
    <mergeCell ref="C8857:D8857"/>
    <mergeCell ref="N8998:O8998"/>
    <mergeCell ref="A8988:B8988"/>
    <mergeCell ref="C8988:D8988"/>
    <mergeCell ref="L9154:O9154"/>
    <mergeCell ref="P9154:P9189"/>
    <mergeCell ref="B9156:D9156"/>
    <mergeCell ref="F9156:G9156"/>
    <mergeCell ref="H9156:K9156"/>
    <mergeCell ref="L9156:O9156"/>
    <mergeCell ref="B9157:D9157"/>
    <mergeCell ref="F9157:G9157"/>
    <mergeCell ref="H9157:K9157"/>
    <mergeCell ref="L9157:O9157"/>
    <mergeCell ref="C9182:D9182"/>
    <mergeCell ref="B9159:D9159"/>
    <mergeCell ref="F9159:G9159"/>
    <mergeCell ref="H9159:K9159"/>
    <mergeCell ref="L9159:O9159"/>
    <mergeCell ref="B9160:D9160"/>
    <mergeCell ref="F9160:G9160"/>
    <mergeCell ref="H9160:K9160"/>
    <mergeCell ref="L9523:O9523"/>
    <mergeCell ref="B9524:D9524"/>
    <mergeCell ref="F9161:G9161"/>
    <mergeCell ref="H9161:K9161"/>
    <mergeCell ref="L9161:O9161"/>
    <mergeCell ref="B9164:D9164"/>
    <mergeCell ref="F9164:G9164"/>
    <mergeCell ref="H9164:K9164"/>
    <mergeCell ref="L9164:O9164"/>
    <mergeCell ref="B9165:D9165"/>
    <mergeCell ref="F9165:G9165"/>
    <mergeCell ref="H9165:K9165"/>
    <mergeCell ref="L9165:O9165"/>
    <mergeCell ref="E9174:E9175"/>
    <mergeCell ref="A9178:B9178"/>
    <mergeCell ref="C9178:D9178"/>
    <mergeCell ref="G9178:O9178"/>
    <mergeCell ref="A9179:B9179"/>
    <mergeCell ref="C9179:D9179"/>
    <mergeCell ref="G9179:O9184"/>
    <mergeCell ref="A9180:B9180"/>
    <mergeCell ref="C9180:D9180"/>
    <mergeCell ref="A9181:B9181"/>
    <mergeCell ref="C9181:D9181"/>
    <mergeCell ref="A9182:B9182"/>
    <mergeCell ref="A9183:B9183"/>
    <mergeCell ref="C9183:D9183"/>
    <mergeCell ref="A9184:B9184"/>
    <mergeCell ref="C9184:D9184"/>
    <mergeCell ref="B9168:D9168"/>
    <mergeCell ref="F9168:G9168"/>
    <mergeCell ref="L9170:O9170"/>
    <mergeCell ref="L9171:O9171"/>
    <mergeCell ref="B9171:D9171"/>
    <mergeCell ref="P9518:P9554"/>
    <mergeCell ref="B9520:D9520"/>
    <mergeCell ref="F9520:G9520"/>
    <mergeCell ref="H9520:K9520"/>
    <mergeCell ref="L9520:O9520"/>
    <mergeCell ref="B9521:D9521"/>
    <mergeCell ref="F9521:G9521"/>
    <mergeCell ref="H9521:K9521"/>
    <mergeCell ref="L9521:O9521"/>
    <mergeCell ref="B9525:D9525"/>
    <mergeCell ref="F9525:G9525"/>
    <mergeCell ref="H9525:K9525"/>
    <mergeCell ref="L9525:O9525"/>
    <mergeCell ref="B9526:D9526"/>
    <mergeCell ref="F9526:G9526"/>
    <mergeCell ref="H9526:K9526"/>
    <mergeCell ref="L9526:O9526"/>
    <mergeCell ref="L9528:O9528"/>
    <mergeCell ref="B9529:D9529"/>
    <mergeCell ref="F9529:G9529"/>
    <mergeCell ref="H9529:K9529"/>
    <mergeCell ref="L9529:O9529"/>
    <mergeCell ref="H9537:K9537"/>
    <mergeCell ref="L9533:O9533"/>
    <mergeCell ref="F9532:G9532"/>
    <mergeCell ref="B9528:D9528"/>
    <mergeCell ref="F9534:G9534"/>
    <mergeCell ref="L9534:O9534"/>
    <mergeCell ref="F9523:G9523"/>
    <mergeCell ref="H9523:K9523"/>
    <mergeCell ref="N9595:O9595"/>
    <mergeCell ref="A9586:B9586"/>
    <mergeCell ref="B9162:D9162"/>
    <mergeCell ref="F9162:G9162"/>
    <mergeCell ref="H9162:K9162"/>
    <mergeCell ref="L9162:O9162"/>
    <mergeCell ref="C9546:D9546"/>
    <mergeCell ref="A9547:B9547"/>
    <mergeCell ref="C9547:D9547"/>
    <mergeCell ref="A9548:B9548"/>
    <mergeCell ref="C9548:D9548"/>
    <mergeCell ref="A9549:B9549"/>
    <mergeCell ref="C9549:D9549"/>
    <mergeCell ref="B9530:D9530"/>
    <mergeCell ref="F9530:G9530"/>
    <mergeCell ref="H9530:K9530"/>
    <mergeCell ref="H9532:K9532"/>
    <mergeCell ref="L9532:O9532"/>
    <mergeCell ref="B9533:D9533"/>
    <mergeCell ref="F9533:G9533"/>
    <mergeCell ref="H9533:K9533"/>
    <mergeCell ref="B9169:D9169"/>
    <mergeCell ref="F9169:G9169"/>
    <mergeCell ref="H9169:K9169"/>
    <mergeCell ref="L9169:O9169"/>
    <mergeCell ref="B9170:D9170"/>
    <mergeCell ref="F9170:G9170"/>
    <mergeCell ref="H9170:K9170"/>
    <mergeCell ref="L9193:O9193"/>
    <mergeCell ref="B9163:D9163"/>
    <mergeCell ref="F9171:G9171"/>
    <mergeCell ref="H9171:K9171"/>
    <mergeCell ref="H9536:K9536"/>
    <mergeCell ref="L9536:O9536"/>
    <mergeCell ref="E9581:E9582"/>
    <mergeCell ref="G9585:O9585"/>
    <mergeCell ref="B9568:D9568"/>
    <mergeCell ref="F9568:G9568"/>
    <mergeCell ref="B9579:D9579"/>
    <mergeCell ref="F9579:G9579"/>
    <mergeCell ref="H9579:K9579"/>
    <mergeCell ref="F9524:G9524"/>
    <mergeCell ref="H9524:K9524"/>
    <mergeCell ref="L9524:O9524"/>
    <mergeCell ref="B9535:D9535"/>
    <mergeCell ref="F9535:G9535"/>
    <mergeCell ref="N9551:O9551"/>
    <mergeCell ref="N9553:O9553"/>
    <mergeCell ref="L9530:O9530"/>
    <mergeCell ref="E9539:E9540"/>
    <mergeCell ref="A9543:B9543"/>
    <mergeCell ref="C9543:D9543"/>
    <mergeCell ref="G9543:O9543"/>
    <mergeCell ref="F9528:G9528"/>
    <mergeCell ref="H9528:K9528"/>
    <mergeCell ref="B9534:D9534"/>
    <mergeCell ref="H9534:K9534"/>
    <mergeCell ref="F9569:G9569"/>
    <mergeCell ref="H9569:K9569"/>
    <mergeCell ref="L9569:O9569"/>
    <mergeCell ref="L9572:O9572"/>
    <mergeCell ref="B9573:D9573"/>
    <mergeCell ref="F9573:G9573"/>
    <mergeCell ref="H9573:K9573"/>
    <mergeCell ref="F9163:G9163"/>
    <mergeCell ref="H9163:K9163"/>
    <mergeCell ref="L9163:O9163"/>
    <mergeCell ref="B9367:D9367"/>
    <mergeCell ref="F9367:G9367"/>
    <mergeCell ref="H9367:K9367"/>
    <mergeCell ref="L9367:O9367"/>
    <mergeCell ref="E9372:E9373"/>
    <mergeCell ref="A9376:B9376"/>
    <mergeCell ref="C9376:D9376"/>
    <mergeCell ref="G9376:O9376"/>
    <mergeCell ref="C9586:D9586"/>
    <mergeCell ref="G9586:O9591"/>
    <mergeCell ref="A9587:B9587"/>
    <mergeCell ref="C9587:D9587"/>
    <mergeCell ref="A9588:B9588"/>
    <mergeCell ref="C9588:D9588"/>
    <mergeCell ref="L9390:O9390"/>
    <mergeCell ref="L9518:O9518"/>
    <mergeCell ref="B9537:D9537"/>
    <mergeCell ref="F9537:G9537"/>
    <mergeCell ref="A9544:B9544"/>
    <mergeCell ref="C9544:D9544"/>
    <mergeCell ref="G9544:O9549"/>
    <mergeCell ref="A9545:B9545"/>
    <mergeCell ref="C9545:D9545"/>
    <mergeCell ref="A9546:B9546"/>
    <mergeCell ref="B9532:D9532"/>
    <mergeCell ref="H9535:K9535"/>
    <mergeCell ref="L9535:O9535"/>
    <mergeCell ref="B9536:D9536"/>
    <mergeCell ref="F9536:G9536"/>
    <mergeCell ref="H9754:K9754"/>
    <mergeCell ref="L9754:O9754"/>
    <mergeCell ref="B9764:D9764"/>
    <mergeCell ref="F9764:G9764"/>
    <mergeCell ref="H9764:K9764"/>
    <mergeCell ref="L9764:O9764"/>
    <mergeCell ref="L9787:O9787"/>
    <mergeCell ref="G9772:O9772"/>
    <mergeCell ref="A9773:B9773"/>
    <mergeCell ref="H9758:K9758"/>
    <mergeCell ref="L9758:O9758"/>
    <mergeCell ref="B9762:D9762"/>
    <mergeCell ref="F9762:G9762"/>
    <mergeCell ref="C9773:D9773"/>
    <mergeCell ref="G9773:O9778"/>
    <mergeCell ref="A9777:B9777"/>
    <mergeCell ref="C9777:D9777"/>
    <mergeCell ref="A9778:B9778"/>
    <mergeCell ref="C9778:D9778"/>
    <mergeCell ref="L9967:O9967"/>
    <mergeCell ref="P9967:P10005"/>
    <mergeCell ref="B9969:D9969"/>
    <mergeCell ref="F9969:G9969"/>
    <mergeCell ref="H9969:K9969"/>
    <mergeCell ref="L9969:O9969"/>
    <mergeCell ref="B9970:D9970"/>
    <mergeCell ref="F9970:G9970"/>
    <mergeCell ref="H9970:K9970"/>
    <mergeCell ref="L9970:O9970"/>
    <mergeCell ref="B9980:D9980"/>
    <mergeCell ref="F9980:G9980"/>
    <mergeCell ref="H9980:K9980"/>
    <mergeCell ref="L9980:O9980"/>
    <mergeCell ref="B9982:D9982"/>
    <mergeCell ref="F9982:G9982"/>
    <mergeCell ref="H9982:K9982"/>
    <mergeCell ref="L9982:O9982"/>
    <mergeCell ref="B9983:D9983"/>
    <mergeCell ref="F9983:G9983"/>
    <mergeCell ref="H9983:K9983"/>
    <mergeCell ref="L9983:O9983"/>
    <mergeCell ref="B9986:D9986"/>
    <mergeCell ref="F9986:G9986"/>
    <mergeCell ref="H9986:K9986"/>
    <mergeCell ref="L9986:O9986"/>
    <mergeCell ref="B9987:D9987"/>
    <mergeCell ref="F9987:G9987"/>
    <mergeCell ref="H9987:K9987"/>
    <mergeCell ref="L9987:O9987"/>
    <mergeCell ref="B9981:D9981"/>
    <mergeCell ref="F9981:G9981"/>
    <mergeCell ref="E9990:E9991"/>
    <mergeCell ref="A9994:B9994"/>
    <mergeCell ref="C9994:D9994"/>
    <mergeCell ref="G9994:O9994"/>
    <mergeCell ref="A9995:B9995"/>
    <mergeCell ref="C9995:D9995"/>
    <mergeCell ref="G9995:O10000"/>
    <mergeCell ref="A9996:B9996"/>
    <mergeCell ref="C9996:D9996"/>
    <mergeCell ref="A9997:B9997"/>
    <mergeCell ref="C9997:D9997"/>
    <mergeCell ref="A9998:B9998"/>
    <mergeCell ref="C9998:D9998"/>
    <mergeCell ref="A9999:B9999"/>
    <mergeCell ref="C9999:D9999"/>
    <mergeCell ref="A10000:B10000"/>
    <mergeCell ref="C10000:D10000"/>
    <mergeCell ref="B10327:D10327"/>
    <mergeCell ref="F10327:G10327"/>
    <mergeCell ref="H10327:K10327"/>
    <mergeCell ref="L10327:O10327"/>
    <mergeCell ref="H9981:K9981"/>
    <mergeCell ref="L9981:O9981"/>
    <mergeCell ref="N10002:O10002"/>
    <mergeCell ref="N10004:O10004"/>
    <mergeCell ref="B9972:D9972"/>
    <mergeCell ref="F9972:G9972"/>
    <mergeCell ref="H9972:K9972"/>
    <mergeCell ref="L9972:O9972"/>
    <mergeCell ref="B9973:D9973"/>
    <mergeCell ref="F9973:G9973"/>
    <mergeCell ref="H9973:K9973"/>
    <mergeCell ref="L9973:O9973"/>
    <mergeCell ref="B9975:D9975"/>
    <mergeCell ref="F9975:G9975"/>
    <mergeCell ref="H9975:K9975"/>
    <mergeCell ref="L9975:O9975"/>
    <mergeCell ref="B9976:D9976"/>
    <mergeCell ref="F9976:G9976"/>
    <mergeCell ref="H9976:K9976"/>
    <mergeCell ref="L9976:O9976"/>
    <mergeCell ref="B9977:D9977"/>
    <mergeCell ref="F9977:G9977"/>
    <mergeCell ref="H9977:K9977"/>
    <mergeCell ref="L9977:O9977"/>
    <mergeCell ref="B9979:D9979"/>
    <mergeCell ref="F9979:G9979"/>
    <mergeCell ref="H9979:K9979"/>
    <mergeCell ref="L9979:O9979"/>
    <mergeCell ref="C10928:D10928"/>
    <mergeCell ref="G10928:O10928"/>
    <mergeCell ref="A10929:B10929"/>
    <mergeCell ref="C10929:D10929"/>
    <mergeCell ref="G10929:O10934"/>
    <mergeCell ref="A10930:B10930"/>
    <mergeCell ref="C10930:D10930"/>
    <mergeCell ref="A10931:B10931"/>
    <mergeCell ref="C10931:D10931"/>
    <mergeCell ref="A10932:B10932"/>
    <mergeCell ref="C10932:D10932"/>
    <mergeCell ref="A10933:B10933"/>
    <mergeCell ref="C10933:D10933"/>
    <mergeCell ref="A10934:B10934"/>
    <mergeCell ref="C10934:D10934"/>
    <mergeCell ref="L10907:O10907"/>
    <mergeCell ref="B10909:D10909"/>
    <mergeCell ref="F10909:G10909"/>
    <mergeCell ref="H10909:K10909"/>
    <mergeCell ref="L10909:O10909"/>
    <mergeCell ref="B10910:D10910"/>
    <mergeCell ref="F10910:G10910"/>
    <mergeCell ref="H10910:K10910"/>
    <mergeCell ref="L10910:O10910"/>
    <mergeCell ref="B10912:D10912"/>
    <mergeCell ref="F10912:G10912"/>
    <mergeCell ref="H10912:K10912"/>
    <mergeCell ref="L10912:O10912"/>
    <mergeCell ref="B10913:D10913"/>
    <mergeCell ref="F10913:G10913"/>
    <mergeCell ref="H10913:K10913"/>
    <mergeCell ref="L10913:O10913"/>
    <mergeCell ref="N10936:O10936"/>
    <mergeCell ref="N10938:O10938"/>
    <mergeCell ref="B10915:D10915"/>
    <mergeCell ref="F10915:G10915"/>
    <mergeCell ref="H10915:K10915"/>
    <mergeCell ref="L10915:O10915"/>
    <mergeCell ref="B10916:D10916"/>
    <mergeCell ref="F10916:G10916"/>
    <mergeCell ref="H10916:K10916"/>
    <mergeCell ref="L10916:O10916"/>
    <mergeCell ref="B10917:D10917"/>
    <mergeCell ref="F10917:G10917"/>
    <mergeCell ref="H10917:K10917"/>
    <mergeCell ref="L10917:O10917"/>
    <mergeCell ref="B10918:D10918"/>
    <mergeCell ref="F10918:G10918"/>
    <mergeCell ref="H10918:K10918"/>
    <mergeCell ref="L10918:O10918"/>
    <mergeCell ref="B10919:D10919"/>
    <mergeCell ref="F10919:G10919"/>
    <mergeCell ref="H10919:K10919"/>
    <mergeCell ref="L10919:O10919"/>
    <mergeCell ref="B10920:D10920"/>
    <mergeCell ref="F10920:G10920"/>
    <mergeCell ref="H10920:K10920"/>
    <mergeCell ref="L10920:O10920"/>
    <mergeCell ref="B10921:D10921"/>
    <mergeCell ref="F10921:G10921"/>
    <mergeCell ref="H10921:K10921"/>
    <mergeCell ref="L10921:O10921"/>
    <mergeCell ref="E10924:E10925"/>
    <mergeCell ref="A10928:B10928"/>
    <mergeCell ref="L10944:O10944"/>
    <mergeCell ref="L11012:O11012"/>
    <mergeCell ref="B11014:D11014"/>
    <mergeCell ref="F11014:G11014"/>
    <mergeCell ref="H11014:K11014"/>
    <mergeCell ref="L11014:O11014"/>
    <mergeCell ref="B11015:D11015"/>
    <mergeCell ref="F11015:G11015"/>
    <mergeCell ref="H11015:K11015"/>
    <mergeCell ref="L11015:O11015"/>
    <mergeCell ref="B11017:D11017"/>
    <mergeCell ref="F11017:G11017"/>
    <mergeCell ref="H11017:K11017"/>
    <mergeCell ref="L11017:O11017"/>
    <mergeCell ref="B11018:D11018"/>
    <mergeCell ref="F11018:G11018"/>
    <mergeCell ref="H11018:K11018"/>
    <mergeCell ref="L11018:O11018"/>
    <mergeCell ref="B11020:D11020"/>
    <mergeCell ref="F11020:G11020"/>
    <mergeCell ref="H11020:K11020"/>
    <mergeCell ref="L11020:O11020"/>
    <mergeCell ref="B11021:D11021"/>
    <mergeCell ref="F11021:G11021"/>
    <mergeCell ref="H11021:K11021"/>
    <mergeCell ref="L11021:O11021"/>
    <mergeCell ref="B11022:D11022"/>
    <mergeCell ref="F11022:G11022"/>
    <mergeCell ref="H11022:K11022"/>
    <mergeCell ref="L11022:O11022"/>
    <mergeCell ref="B11023:D11023"/>
    <mergeCell ref="F11023:G11023"/>
    <mergeCell ref="H11023:K11023"/>
    <mergeCell ref="L11023:O11023"/>
    <mergeCell ref="B11024:D11024"/>
    <mergeCell ref="F11024:G11024"/>
    <mergeCell ref="H11024:K11024"/>
    <mergeCell ref="L11024:O11024"/>
    <mergeCell ref="N11044:O11044"/>
    <mergeCell ref="N11046:O11046"/>
    <mergeCell ref="B11025:D11025"/>
    <mergeCell ref="F11025:G11025"/>
    <mergeCell ref="H11025:K11025"/>
    <mergeCell ref="L11025:O11025"/>
    <mergeCell ref="B11026:D11026"/>
    <mergeCell ref="F11026:G11026"/>
    <mergeCell ref="H11026:K11026"/>
    <mergeCell ref="L11026:O11026"/>
    <mergeCell ref="E11032:E11033"/>
    <mergeCell ref="A11036:B11036"/>
    <mergeCell ref="C11036:D11036"/>
    <mergeCell ref="G11036:O11036"/>
    <mergeCell ref="A11037:B11037"/>
    <mergeCell ref="C11037:D11037"/>
    <mergeCell ref="G11037:O11042"/>
    <mergeCell ref="A11038:B11038"/>
    <mergeCell ref="C11038:D11038"/>
    <mergeCell ref="A11039:B11039"/>
    <mergeCell ref="C11039:D11039"/>
    <mergeCell ref="A11040:B11040"/>
    <mergeCell ref="C11040:D11040"/>
    <mergeCell ref="A11041:B11041"/>
    <mergeCell ref="C11041:D11041"/>
    <mergeCell ref="A11042:B11042"/>
    <mergeCell ref="C11042:D11042"/>
    <mergeCell ref="B11028:D11028"/>
    <mergeCell ref="F11028:G11028"/>
    <mergeCell ref="H11028:K11028"/>
    <mergeCell ref="L11028:O11028"/>
    <mergeCell ref="B11029:D11029"/>
    <mergeCell ref="H11146:K11146"/>
    <mergeCell ref="L11146:O11146"/>
    <mergeCell ref="B11147:D11147"/>
    <mergeCell ref="F11147:G11147"/>
    <mergeCell ref="H11147:K11147"/>
    <mergeCell ref="L11147:O11147"/>
    <mergeCell ref="B11142:D11142"/>
    <mergeCell ref="F11142:G11142"/>
    <mergeCell ref="H11142:K11142"/>
    <mergeCell ref="L11142:O11142"/>
    <mergeCell ref="B11143:D11143"/>
    <mergeCell ref="F11143:G11143"/>
    <mergeCell ref="H11143:K11143"/>
    <mergeCell ref="L11143:O11143"/>
    <mergeCell ref="L11051:O11051"/>
    <mergeCell ref="L11137:O11137"/>
    <mergeCell ref="B11139:D11139"/>
    <mergeCell ref="F11139:G11139"/>
    <mergeCell ref="H11139:K11139"/>
    <mergeCell ref="L11139:O11139"/>
    <mergeCell ref="B11140:D11140"/>
    <mergeCell ref="F11140:G11140"/>
    <mergeCell ref="H11140:K11140"/>
    <mergeCell ref="L11140:O11140"/>
    <mergeCell ref="F11029:G11029"/>
    <mergeCell ref="H11029:K11029"/>
    <mergeCell ref="L11029:O11029"/>
    <mergeCell ref="N11164:O11164"/>
    <mergeCell ref="N11166:O11166"/>
    <mergeCell ref="B11148:D11148"/>
    <mergeCell ref="F11148:G11148"/>
    <mergeCell ref="H11148:K11148"/>
    <mergeCell ref="L11148:O11148"/>
    <mergeCell ref="B11149:D11149"/>
    <mergeCell ref="F11149:G11149"/>
    <mergeCell ref="H11149:K11149"/>
    <mergeCell ref="L11149:O11149"/>
    <mergeCell ref="E11152:E11153"/>
    <mergeCell ref="A11156:B11156"/>
    <mergeCell ref="C11156:D11156"/>
    <mergeCell ref="G11156:O11156"/>
    <mergeCell ref="A11157:B11157"/>
    <mergeCell ref="C11157:D11157"/>
    <mergeCell ref="G11157:O11162"/>
    <mergeCell ref="A11158:B11158"/>
    <mergeCell ref="C11158:D11158"/>
    <mergeCell ref="A11159:B11159"/>
    <mergeCell ref="C11159:D11159"/>
    <mergeCell ref="A11160:B11160"/>
    <mergeCell ref="C11160:D11160"/>
    <mergeCell ref="A11161:B11161"/>
    <mergeCell ref="C11161:D11161"/>
    <mergeCell ref="A11162:B11162"/>
    <mergeCell ref="C11162:D11162"/>
    <mergeCell ref="B11146:D11146"/>
    <mergeCell ref="F11146:G11146"/>
    <mergeCell ref="L11506:O11506"/>
    <mergeCell ref="L11733:O11733"/>
    <mergeCell ref="B11735:D11735"/>
    <mergeCell ref="F11735:G11735"/>
    <mergeCell ref="H11735:K11735"/>
    <mergeCell ref="L11735:O11735"/>
    <mergeCell ref="B11736:D11736"/>
    <mergeCell ref="F11736:G11736"/>
    <mergeCell ref="H11736:K11736"/>
    <mergeCell ref="L11736:O11736"/>
    <mergeCell ref="B11737:D11737"/>
    <mergeCell ref="F11737:G11737"/>
    <mergeCell ref="H11737:K11737"/>
    <mergeCell ref="L11737:O11737"/>
    <mergeCell ref="B11738:D11738"/>
    <mergeCell ref="F11738:G11738"/>
    <mergeCell ref="H11738:K11738"/>
    <mergeCell ref="L11738:O11738"/>
    <mergeCell ref="L11752:O11752"/>
    <mergeCell ref="B11753:D11753"/>
    <mergeCell ref="F11753:G11753"/>
    <mergeCell ref="H11753:K11753"/>
    <mergeCell ref="L11753:O11753"/>
    <mergeCell ref="B11749:D11749"/>
    <mergeCell ref="F11749:G11749"/>
    <mergeCell ref="H11749:K11749"/>
    <mergeCell ref="N11774:O11774"/>
    <mergeCell ref="A11764:B11764"/>
    <mergeCell ref="C11764:D11764"/>
    <mergeCell ref="G11764:O11764"/>
    <mergeCell ref="A11765:B11765"/>
    <mergeCell ref="C11765:D11765"/>
    <mergeCell ref="G11765:O11770"/>
    <mergeCell ref="A11766:B11766"/>
    <mergeCell ref="C11766:D11766"/>
    <mergeCell ref="A11767:B11767"/>
    <mergeCell ref="C11767:D11767"/>
    <mergeCell ref="A11768:B11768"/>
    <mergeCell ref="C11768:D11768"/>
    <mergeCell ref="A11769:B11769"/>
    <mergeCell ref="C11769:D11769"/>
    <mergeCell ref="A11770:B11770"/>
    <mergeCell ref="C11770:D11770"/>
    <mergeCell ref="N11772:O11772"/>
    <mergeCell ref="B11756:D11756"/>
    <mergeCell ref="F11756:G11756"/>
    <mergeCell ref="H11756:K11756"/>
    <mergeCell ref="L11756:O11756"/>
    <mergeCell ref="L12565:O12565"/>
    <mergeCell ref="B12567:D12567"/>
    <mergeCell ref="F12567:G12567"/>
    <mergeCell ref="H12567:K12567"/>
    <mergeCell ref="L12567:O12567"/>
    <mergeCell ref="B12568:D12568"/>
    <mergeCell ref="F12568:G12568"/>
    <mergeCell ref="H12568:K12568"/>
    <mergeCell ref="L12568:O12568"/>
    <mergeCell ref="B12570:D12570"/>
    <mergeCell ref="F12570:G12570"/>
    <mergeCell ref="H12570:K12570"/>
    <mergeCell ref="L12570:O12570"/>
    <mergeCell ref="B12571:D12571"/>
    <mergeCell ref="F12571:G12571"/>
    <mergeCell ref="H12571:K12571"/>
    <mergeCell ref="L12571:O12571"/>
    <mergeCell ref="B12572:D12572"/>
    <mergeCell ref="F12572:G12572"/>
    <mergeCell ref="H12572:K12572"/>
    <mergeCell ref="L12572:O12572"/>
    <mergeCell ref="B12573:D12573"/>
    <mergeCell ref="F12573:G12573"/>
    <mergeCell ref="H12573:K12573"/>
    <mergeCell ref="L12573:O12573"/>
    <mergeCell ref="B12574:D12574"/>
    <mergeCell ref="F12574:G12574"/>
    <mergeCell ref="H12574:K12574"/>
    <mergeCell ref="L12574:O12574"/>
    <mergeCell ref="B12576:D12576"/>
    <mergeCell ref="F12576:G12576"/>
    <mergeCell ref="H12576:K12576"/>
    <mergeCell ref="L12576:O12576"/>
    <mergeCell ref="B12577:D12577"/>
    <mergeCell ref="F12577:G12577"/>
    <mergeCell ref="H12577:K12577"/>
    <mergeCell ref="L12577:O12577"/>
    <mergeCell ref="B12578:D12578"/>
    <mergeCell ref="F12578:G12578"/>
    <mergeCell ref="H12578:K12578"/>
    <mergeCell ref="L12578:O12578"/>
    <mergeCell ref="B12579:D12579"/>
    <mergeCell ref="F12579:G12579"/>
    <mergeCell ref="H12579:K12579"/>
    <mergeCell ref="L12579:O12579"/>
    <mergeCell ref="B12580:D12580"/>
    <mergeCell ref="F12580:G12580"/>
    <mergeCell ref="H12580:K12580"/>
    <mergeCell ref="L12580:O12580"/>
    <mergeCell ref="B12582:D12582"/>
    <mergeCell ref="F12582:G12582"/>
    <mergeCell ref="H12582:K12582"/>
    <mergeCell ref="L12582:O12582"/>
    <mergeCell ref="B12581:D12581"/>
    <mergeCell ref="F12581:G12581"/>
    <mergeCell ref="H12581:K12581"/>
    <mergeCell ref="L12581:O12581"/>
    <mergeCell ref="L12692:O12692"/>
    <mergeCell ref="L12901:O12901"/>
    <mergeCell ref="N12598:O12598"/>
    <mergeCell ref="N12600:O12600"/>
    <mergeCell ref="B12584:D12584"/>
    <mergeCell ref="F12584:G12584"/>
    <mergeCell ref="H12584:K12584"/>
    <mergeCell ref="L12584:O12584"/>
    <mergeCell ref="E12586:E12587"/>
    <mergeCell ref="A12590:B12590"/>
    <mergeCell ref="C12590:D12590"/>
    <mergeCell ref="G12590:O12590"/>
    <mergeCell ref="A12591:B12591"/>
    <mergeCell ref="C12591:D12591"/>
    <mergeCell ref="G12591:O12596"/>
    <mergeCell ref="A12592:B12592"/>
    <mergeCell ref="C12592:D12592"/>
    <mergeCell ref="A12593:B12593"/>
    <mergeCell ref="C12593:D12593"/>
    <mergeCell ref="A12594:B12594"/>
    <mergeCell ref="C12594:D12594"/>
    <mergeCell ref="A12595:B12595"/>
    <mergeCell ref="C12595:D12595"/>
    <mergeCell ref="A12596:B12596"/>
    <mergeCell ref="C12596:D12596"/>
    <mergeCell ref="B12632:D12632"/>
    <mergeCell ref="F12632:G12632"/>
    <mergeCell ref="H12632:K12632"/>
    <mergeCell ref="L12632:O12632"/>
    <mergeCell ref="B12619:D12619"/>
    <mergeCell ref="F12619:G12619"/>
    <mergeCell ref="H12619:K12619"/>
    <mergeCell ref="B13186:D13186"/>
    <mergeCell ref="F13186:G13186"/>
    <mergeCell ref="H13186:K13186"/>
    <mergeCell ref="L13186:O13186"/>
    <mergeCell ref="B13187:D13187"/>
    <mergeCell ref="F13187:G13187"/>
    <mergeCell ref="H13187:K13187"/>
    <mergeCell ref="L13187:O13187"/>
    <mergeCell ref="B13188:D13188"/>
    <mergeCell ref="F13188:G13188"/>
    <mergeCell ref="H13188:K13188"/>
    <mergeCell ref="L13188:O13188"/>
    <mergeCell ref="B13189:D13189"/>
    <mergeCell ref="F13189:G13189"/>
    <mergeCell ref="H13189:K13189"/>
    <mergeCell ref="L13189:O13189"/>
    <mergeCell ref="L13311:O13311"/>
    <mergeCell ref="B13313:D13313"/>
    <mergeCell ref="F13313:G13313"/>
    <mergeCell ref="H13313:K13313"/>
    <mergeCell ref="L13313:O13313"/>
    <mergeCell ref="B13314:D13314"/>
    <mergeCell ref="F13314:G13314"/>
    <mergeCell ref="H13314:K13314"/>
    <mergeCell ref="L13314:O13314"/>
    <mergeCell ref="B13316:D13316"/>
    <mergeCell ref="F13316:G13316"/>
    <mergeCell ref="H13316:K13316"/>
    <mergeCell ref="L13316:O13316"/>
    <mergeCell ref="N13208:O13208"/>
    <mergeCell ref="N13210:O13210"/>
    <mergeCell ref="E13196:E13197"/>
    <mergeCell ref="A13200:B13200"/>
    <mergeCell ref="C13200:D13200"/>
    <mergeCell ref="G13200:O13200"/>
    <mergeCell ref="A13201:B13201"/>
    <mergeCell ref="C13201:D13201"/>
    <mergeCell ref="G13201:O13206"/>
    <mergeCell ref="A13202:B13202"/>
    <mergeCell ref="C13202:D13202"/>
    <mergeCell ref="A13203:B13203"/>
    <mergeCell ref="C13203:D13203"/>
    <mergeCell ref="A13204:B13204"/>
    <mergeCell ref="C13204:D13204"/>
    <mergeCell ref="A13205:B13205"/>
    <mergeCell ref="C13205:D13205"/>
    <mergeCell ref="A13206:B13206"/>
    <mergeCell ref="C13206:D13206"/>
    <mergeCell ref="B13317:D13317"/>
    <mergeCell ref="F13317:G13317"/>
    <mergeCell ref="H13317:K13317"/>
    <mergeCell ref="L13317:O13317"/>
    <mergeCell ref="B13320:D13320"/>
    <mergeCell ref="F13320:G13320"/>
    <mergeCell ref="H13320:K13320"/>
    <mergeCell ref="L13320:O13320"/>
    <mergeCell ref="B13322:D13322"/>
    <mergeCell ref="F13322:G13322"/>
    <mergeCell ref="H13322:K13322"/>
    <mergeCell ref="L13322:O13322"/>
    <mergeCell ref="E13325:E13326"/>
    <mergeCell ref="A13329:B13329"/>
    <mergeCell ref="C13329:D13329"/>
    <mergeCell ref="G13329:O13329"/>
    <mergeCell ref="A13330:B13330"/>
    <mergeCell ref="C13330:D13330"/>
    <mergeCell ref="G13330:O13335"/>
    <mergeCell ref="A13331:B13331"/>
    <mergeCell ref="C13331:D13331"/>
    <mergeCell ref="A13332:B13332"/>
    <mergeCell ref="C13332:D13332"/>
    <mergeCell ref="A13333:B13333"/>
    <mergeCell ref="C13333:D13333"/>
    <mergeCell ref="A13334:B13334"/>
    <mergeCell ref="C13334:D13334"/>
    <mergeCell ref="A13335:B13335"/>
    <mergeCell ref="C13335:D13335"/>
    <mergeCell ref="L13631:O13631"/>
    <mergeCell ref="B13609:D13609"/>
    <mergeCell ref="F13609:G13609"/>
    <mergeCell ref="H13609:K13609"/>
    <mergeCell ref="L13609:O13609"/>
    <mergeCell ref="L13468:O13468"/>
    <mergeCell ref="L13344:O13344"/>
    <mergeCell ref="N13337:O13337"/>
    <mergeCell ref="N13339:O13339"/>
    <mergeCell ref="B13321:D13321"/>
    <mergeCell ref="F13321:G13321"/>
    <mergeCell ref="H13321:K13321"/>
    <mergeCell ref="L13321:O13321"/>
    <mergeCell ref="L13435:O13435"/>
    <mergeCell ref="B13437:D13437"/>
    <mergeCell ref="F13437:G13437"/>
    <mergeCell ref="H13437:K13437"/>
    <mergeCell ref="L13437:O13437"/>
    <mergeCell ref="B13438:D13438"/>
    <mergeCell ref="F13438:G13438"/>
    <mergeCell ref="H13438:K13438"/>
    <mergeCell ref="L13438:O13438"/>
    <mergeCell ref="B13440:D13440"/>
    <mergeCell ref="F13440:G13440"/>
    <mergeCell ref="H13440:K13440"/>
    <mergeCell ref="L13440:O13440"/>
    <mergeCell ref="B13441:D13441"/>
    <mergeCell ref="F13441:G13441"/>
    <mergeCell ref="H13441:K13441"/>
    <mergeCell ref="L13441:O13441"/>
    <mergeCell ref="B13442:D13442"/>
    <mergeCell ref="F13442:G13442"/>
    <mergeCell ref="H13716:J13716"/>
    <mergeCell ref="L13766:O13766"/>
    <mergeCell ref="B13768:D13768"/>
    <mergeCell ref="F13768:G13768"/>
    <mergeCell ref="H13768:K13768"/>
    <mergeCell ref="L13768:O13768"/>
    <mergeCell ref="B13769:D13769"/>
    <mergeCell ref="F13769:G13769"/>
    <mergeCell ref="H13769:K13769"/>
    <mergeCell ref="L13769:O13769"/>
    <mergeCell ref="B13771:D13771"/>
    <mergeCell ref="F13771:G13771"/>
    <mergeCell ref="H13771:K13771"/>
    <mergeCell ref="L13771:O13771"/>
    <mergeCell ref="B13772:D13772"/>
    <mergeCell ref="F13772:G13772"/>
    <mergeCell ref="H13772:K13772"/>
    <mergeCell ref="L13772:O13772"/>
    <mergeCell ref="G13793:O13798"/>
    <mergeCell ref="A13794:B13794"/>
    <mergeCell ref="C13794:D13794"/>
    <mergeCell ref="A13795:B13795"/>
    <mergeCell ref="C13795:D13795"/>
    <mergeCell ref="A13796:B13796"/>
    <mergeCell ref="C13796:D13796"/>
    <mergeCell ref="A13797:B13797"/>
    <mergeCell ref="C13797:D13797"/>
    <mergeCell ref="A13798:B13798"/>
    <mergeCell ref="C13798:D13798"/>
    <mergeCell ref="B13773:D13773"/>
    <mergeCell ref="F13773:G13773"/>
    <mergeCell ref="H13773:K13773"/>
    <mergeCell ref="L13773:O13773"/>
    <mergeCell ref="B13775:D13775"/>
    <mergeCell ref="F13775:G13775"/>
    <mergeCell ref="H13775:K13775"/>
    <mergeCell ref="L13775:O13775"/>
    <mergeCell ref="B13780:D13780"/>
    <mergeCell ref="F13780:G13780"/>
    <mergeCell ref="H13780:K13780"/>
    <mergeCell ref="L13780:O13780"/>
    <mergeCell ref="B13781:D13781"/>
    <mergeCell ref="F13781:G13781"/>
    <mergeCell ref="H13781:K13781"/>
    <mergeCell ref="L13781:O13781"/>
    <mergeCell ref="B13782:D13782"/>
    <mergeCell ref="F13782:G13782"/>
    <mergeCell ref="H13782:K13782"/>
    <mergeCell ref="L13782:O13782"/>
    <mergeCell ref="N13800:O13800"/>
    <mergeCell ref="N13802:O13802"/>
    <mergeCell ref="B13774:D13774"/>
    <mergeCell ref="F13774:G13774"/>
    <mergeCell ref="H13774:K13774"/>
    <mergeCell ref="L13774:O13774"/>
    <mergeCell ref="B13778:D13778"/>
    <mergeCell ref="F13778:G13778"/>
    <mergeCell ref="H13778:K13778"/>
    <mergeCell ref="L13778:O13778"/>
    <mergeCell ref="B13779:D13779"/>
    <mergeCell ref="F13779:G13779"/>
    <mergeCell ref="H13779:K13779"/>
    <mergeCell ref="L13779:O13779"/>
    <mergeCell ref="B13783:D13783"/>
    <mergeCell ref="F13783:G13783"/>
    <mergeCell ref="H13783:K13783"/>
    <mergeCell ref="L13783:O13783"/>
    <mergeCell ref="B13784:D13784"/>
    <mergeCell ref="F13784:G13784"/>
    <mergeCell ref="H13784:K13784"/>
    <mergeCell ref="L13784:O13784"/>
    <mergeCell ref="B13785:D13785"/>
    <mergeCell ref="F13785:G13785"/>
    <mergeCell ref="H13785:K13785"/>
    <mergeCell ref="L13785:O13785"/>
    <mergeCell ref="E13788:E13789"/>
    <mergeCell ref="A13792:B13792"/>
    <mergeCell ref="C13792:D13792"/>
    <mergeCell ref="G13792:O13792"/>
    <mergeCell ref="A13793:B13793"/>
    <mergeCell ref="C13793:D13793"/>
    <mergeCell ref="B13888:D13888"/>
    <mergeCell ref="F13888:G13888"/>
    <mergeCell ref="H13888:K13888"/>
    <mergeCell ref="L13888:O13888"/>
    <mergeCell ref="B13893:D13893"/>
    <mergeCell ref="F13893:G13893"/>
    <mergeCell ref="H13893:K13893"/>
    <mergeCell ref="L13893:O13893"/>
    <mergeCell ref="L13807:O13807"/>
    <mergeCell ref="L13881:O13881"/>
    <mergeCell ref="B13883:D13883"/>
    <mergeCell ref="F13883:G13883"/>
    <mergeCell ref="H13883:K13883"/>
    <mergeCell ref="L13883:O13883"/>
    <mergeCell ref="B13884:D13884"/>
    <mergeCell ref="F13884:G13884"/>
    <mergeCell ref="H13884:K13884"/>
    <mergeCell ref="L13884:O13884"/>
    <mergeCell ref="B13886:D13886"/>
    <mergeCell ref="F13886:G13886"/>
    <mergeCell ref="H13886:K13886"/>
    <mergeCell ref="L13886:O13886"/>
    <mergeCell ref="B13887:D13887"/>
    <mergeCell ref="F13887:G13887"/>
    <mergeCell ref="H13887:K13887"/>
    <mergeCell ref="L13887:O13887"/>
    <mergeCell ref="B13891:D13891"/>
    <mergeCell ref="F13891:G13891"/>
    <mergeCell ref="H13891:K13891"/>
    <mergeCell ref="L13891:O13891"/>
    <mergeCell ref="E13895:E13896"/>
    <mergeCell ref="A13899:B13899"/>
    <mergeCell ref="C13899:D13899"/>
    <mergeCell ref="G13899:O13899"/>
    <mergeCell ref="A13900:B13900"/>
    <mergeCell ref="C13900:D13900"/>
    <mergeCell ref="G13900:O13905"/>
    <mergeCell ref="A13901:B13901"/>
    <mergeCell ref="C13901:D13901"/>
    <mergeCell ref="A13902:B13902"/>
    <mergeCell ref="C13902:D13902"/>
    <mergeCell ref="A13903:B13903"/>
    <mergeCell ref="C13903:D13903"/>
    <mergeCell ref="A13904:B13904"/>
    <mergeCell ref="C13904:D13904"/>
    <mergeCell ref="A13905:B13905"/>
    <mergeCell ref="C13905:D13905"/>
    <mergeCell ref="N13907:O13907"/>
    <mergeCell ref="N13909:O13909"/>
    <mergeCell ref="L13913:O13913"/>
    <mergeCell ref="L14044:O14044"/>
    <mergeCell ref="B14046:D14046"/>
    <mergeCell ref="F14046:G14046"/>
    <mergeCell ref="H14046:K14046"/>
    <mergeCell ref="L14046:O14046"/>
    <mergeCell ref="B14047:D14047"/>
    <mergeCell ref="F14047:G14047"/>
    <mergeCell ref="H14047:K14047"/>
    <mergeCell ref="L14047:O14047"/>
    <mergeCell ref="B14053:D14053"/>
    <mergeCell ref="F14053:G14053"/>
    <mergeCell ref="H14053:K14053"/>
    <mergeCell ref="L14053:O14053"/>
    <mergeCell ref="B14054:D14054"/>
    <mergeCell ref="F14054:G14054"/>
    <mergeCell ref="H14054:K14054"/>
    <mergeCell ref="L14054:O14054"/>
    <mergeCell ref="B14049:D14049"/>
    <mergeCell ref="F14049:G14049"/>
    <mergeCell ref="H14049:K14049"/>
    <mergeCell ref="L14049:O14049"/>
    <mergeCell ref="B14050:D14050"/>
    <mergeCell ref="F14050:G14050"/>
    <mergeCell ref="H14050:K14050"/>
    <mergeCell ref="L14050:O14050"/>
    <mergeCell ref="L14082:O14082"/>
    <mergeCell ref="B14055:D14055"/>
    <mergeCell ref="F14055:G14055"/>
    <mergeCell ref="H14055:K14055"/>
    <mergeCell ref="L14055:O14055"/>
    <mergeCell ref="B14057:D14057"/>
    <mergeCell ref="F14057:G14057"/>
    <mergeCell ref="H14057:K14057"/>
    <mergeCell ref="L14057:O14057"/>
    <mergeCell ref="B14058:D14058"/>
    <mergeCell ref="F14058:G14058"/>
    <mergeCell ref="H14058:K14058"/>
    <mergeCell ref="L14058:O14058"/>
    <mergeCell ref="N14075:O14075"/>
    <mergeCell ref="N14077:O14077"/>
    <mergeCell ref="E14063:E14064"/>
    <mergeCell ref="A14067:B14067"/>
    <mergeCell ref="C14067:D14067"/>
    <mergeCell ref="G14067:O14067"/>
    <mergeCell ref="A14068:B14068"/>
    <mergeCell ref="C14068:D14068"/>
    <mergeCell ref="G14068:O14073"/>
    <mergeCell ref="A14069:B14069"/>
    <mergeCell ref="C14069:D14069"/>
    <mergeCell ref="A14070:B14070"/>
    <mergeCell ref="C14070:D14070"/>
    <mergeCell ref="A14071:B14071"/>
    <mergeCell ref="C14071:D14071"/>
    <mergeCell ref="A14072:B14072"/>
    <mergeCell ref="C14072:D14072"/>
    <mergeCell ref="A14073:B14073"/>
    <mergeCell ref="C14073:D14073"/>
    <mergeCell ref="C14260:D14260"/>
    <mergeCell ref="A14261:B14261"/>
    <mergeCell ref="C14261:D14261"/>
    <mergeCell ref="A14262:B14262"/>
    <mergeCell ref="C14262:D14262"/>
    <mergeCell ref="A14263:B14263"/>
    <mergeCell ref="C14263:D14263"/>
    <mergeCell ref="L14153:O14153"/>
    <mergeCell ref="L14236:O14236"/>
    <mergeCell ref="B14238:D14238"/>
    <mergeCell ref="F14238:G14238"/>
    <mergeCell ref="H14238:K14238"/>
    <mergeCell ref="L14238:O14238"/>
    <mergeCell ref="B14239:D14239"/>
    <mergeCell ref="F14239:G14239"/>
    <mergeCell ref="H14239:K14239"/>
    <mergeCell ref="L14239:O14239"/>
    <mergeCell ref="B14241:D14241"/>
    <mergeCell ref="F14241:G14241"/>
    <mergeCell ref="H14241:K14241"/>
    <mergeCell ref="L14241:O14241"/>
    <mergeCell ref="B14242:D14242"/>
    <mergeCell ref="F14242:G14242"/>
    <mergeCell ref="H14242:K14242"/>
    <mergeCell ref="L14242:O14242"/>
    <mergeCell ref="N14265:O14265"/>
    <mergeCell ref="N14267:O14267"/>
    <mergeCell ref="B14248:D14248"/>
    <mergeCell ref="F14248:G14248"/>
    <mergeCell ref="H14248:K14248"/>
    <mergeCell ref="L14248:O14248"/>
    <mergeCell ref="B14249:D14249"/>
    <mergeCell ref="F14249:G14249"/>
    <mergeCell ref="H14249:K14249"/>
    <mergeCell ref="L14249:O14249"/>
    <mergeCell ref="B14244:D14244"/>
    <mergeCell ref="F14244:G14244"/>
    <mergeCell ref="H14244:K14244"/>
    <mergeCell ref="L14244:O14244"/>
    <mergeCell ref="B14247:D14247"/>
    <mergeCell ref="F14247:G14247"/>
    <mergeCell ref="H14247:K14247"/>
    <mergeCell ref="L14247:O14247"/>
    <mergeCell ref="B14251:D14251"/>
    <mergeCell ref="F14251:G14251"/>
    <mergeCell ref="H14251:K14251"/>
    <mergeCell ref="L14251:O14251"/>
    <mergeCell ref="E14253:E14254"/>
    <mergeCell ref="A14257:B14257"/>
    <mergeCell ref="C14257:D14257"/>
    <mergeCell ref="G14257:O14257"/>
    <mergeCell ref="A14258:B14258"/>
    <mergeCell ref="C14258:D14258"/>
    <mergeCell ref="G14258:O14263"/>
    <mergeCell ref="A14259:B14259"/>
    <mergeCell ref="C14259:D14259"/>
    <mergeCell ref="A14260:B14260"/>
    <mergeCell ref="L14272:O14272"/>
    <mergeCell ref="L14431:O14431"/>
    <mergeCell ref="B14433:D14433"/>
    <mergeCell ref="F14433:G14433"/>
    <mergeCell ref="H14433:K14433"/>
    <mergeCell ref="L14433:O14433"/>
    <mergeCell ref="B14434:D14434"/>
    <mergeCell ref="F14434:G14434"/>
    <mergeCell ref="H14434:K14434"/>
    <mergeCell ref="L14434:O14434"/>
    <mergeCell ref="B14436:D14436"/>
    <mergeCell ref="F14436:G14436"/>
    <mergeCell ref="H14436:K14436"/>
    <mergeCell ref="L14436:O14436"/>
    <mergeCell ref="B14437:D14437"/>
    <mergeCell ref="F14437:G14437"/>
    <mergeCell ref="H14437:K14437"/>
    <mergeCell ref="L14437:O14437"/>
    <mergeCell ref="C14462:D14462"/>
    <mergeCell ref="A14463:B14463"/>
    <mergeCell ref="C14463:D14463"/>
    <mergeCell ref="B14447:D14447"/>
    <mergeCell ref="F14447:G14447"/>
    <mergeCell ref="H14447:K14447"/>
    <mergeCell ref="L14447:O14447"/>
    <mergeCell ref="B14448:D14448"/>
    <mergeCell ref="F14448:G14448"/>
    <mergeCell ref="H14448:K14448"/>
    <mergeCell ref="L14448:O14448"/>
    <mergeCell ref="B14449:D14449"/>
    <mergeCell ref="F14449:G14449"/>
    <mergeCell ref="H14449:K14449"/>
    <mergeCell ref="L14449:O14449"/>
    <mergeCell ref="B14451:D14451"/>
    <mergeCell ref="F14451:G14451"/>
    <mergeCell ref="H14451:K14451"/>
    <mergeCell ref="L14451:O14451"/>
    <mergeCell ref="N14465:O14465"/>
    <mergeCell ref="N14467:O14467"/>
    <mergeCell ref="B14442:D14442"/>
    <mergeCell ref="F14442:G14442"/>
    <mergeCell ref="H14442:K14442"/>
    <mergeCell ref="L14442:O14442"/>
    <mergeCell ref="B14443:D14443"/>
    <mergeCell ref="F14443:G14443"/>
    <mergeCell ref="H14443:K14443"/>
    <mergeCell ref="L14443:O14443"/>
    <mergeCell ref="B14444:D14444"/>
    <mergeCell ref="F14444:G14444"/>
    <mergeCell ref="H14444:K14444"/>
    <mergeCell ref="L14444:O14444"/>
    <mergeCell ref="B14439:D14439"/>
    <mergeCell ref="F14439:G14439"/>
    <mergeCell ref="H14439:K14439"/>
    <mergeCell ref="L14439:O14439"/>
    <mergeCell ref="E14453:E14454"/>
    <mergeCell ref="A14457:B14457"/>
    <mergeCell ref="C14457:D14457"/>
    <mergeCell ref="G14457:O14457"/>
    <mergeCell ref="A14458:B14458"/>
    <mergeCell ref="C14458:D14458"/>
    <mergeCell ref="G14458:O14463"/>
    <mergeCell ref="A14459:B14459"/>
    <mergeCell ref="C14459:D14459"/>
    <mergeCell ref="A14460:B14460"/>
    <mergeCell ref="C14460:D14460"/>
    <mergeCell ref="A14461:B14461"/>
    <mergeCell ref="C14461:D14461"/>
    <mergeCell ref="A14462:B14462"/>
    <mergeCell ref="B14617:D14617"/>
    <mergeCell ref="F14617:G14617"/>
    <mergeCell ref="H14617:K14617"/>
    <mergeCell ref="L14617:O14617"/>
    <mergeCell ref="B14619:D14619"/>
    <mergeCell ref="F14619:G14619"/>
    <mergeCell ref="H14619:K14619"/>
    <mergeCell ref="L14619:O14619"/>
    <mergeCell ref="L14612:O14612"/>
    <mergeCell ref="B14614:D14614"/>
    <mergeCell ref="F14614:G14614"/>
    <mergeCell ref="H14614:K14614"/>
    <mergeCell ref="L14614:O14614"/>
    <mergeCell ref="B14615:D14615"/>
    <mergeCell ref="F14615:G14615"/>
    <mergeCell ref="H14615:K14615"/>
    <mergeCell ref="L14615:O14615"/>
    <mergeCell ref="B14627:D14627"/>
    <mergeCell ref="F14627:G14627"/>
    <mergeCell ref="H14627:K14627"/>
    <mergeCell ref="L14627:O14627"/>
    <mergeCell ref="B14618:D14618"/>
    <mergeCell ref="F14618:G14618"/>
    <mergeCell ref="H14618:K14618"/>
    <mergeCell ref="L14618:O14618"/>
    <mergeCell ref="N14643:O14643"/>
    <mergeCell ref="N14645:O14645"/>
    <mergeCell ref="B14621:D14621"/>
    <mergeCell ref="F14621:G14621"/>
    <mergeCell ref="H14621:K14621"/>
    <mergeCell ref="L14621:O14621"/>
    <mergeCell ref="B14622:D14622"/>
    <mergeCell ref="F14622:G14622"/>
    <mergeCell ref="H14622:K14622"/>
    <mergeCell ref="L14622:O14622"/>
    <mergeCell ref="B14625:D14625"/>
    <mergeCell ref="F14625:G14625"/>
    <mergeCell ref="H14625:K14625"/>
    <mergeCell ref="L14625:O14625"/>
    <mergeCell ref="B14623:D14623"/>
    <mergeCell ref="F14623:G14623"/>
    <mergeCell ref="H14623:K14623"/>
    <mergeCell ref="L14623:O14623"/>
    <mergeCell ref="B14624:D14624"/>
    <mergeCell ref="F14624:G14624"/>
    <mergeCell ref="H14624:K14624"/>
    <mergeCell ref="L14624:O14624"/>
    <mergeCell ref="B14629:D14629"/>
    <mergeCell ref="F14629:G14629"/>
    <mergeCell ref="H14629:K14629"/>
    <mergeCell ref="L14629:O14629"/>
    <mergeCell ref="E14631:E14632"/>
    <mergeCell ref="A14635:B14635"/>
    <mergeCell ref="C14635:D14635"/>
    <mergeCell ref="G14635:O14635"/>
    <mergeCell ref="A14636:B14636"/>
    <mergeCell ref="C14636:D14636"/>
    <mergeCell ref="F14678:G14678"/>
    <mergeCell ref="H14678:K14678"/>
    <mergeCell ref="L14678:O14678"/>
    <mergeCell ref="B14673:D14673"/>
    <mergeCell ref="F14673:G14673"/>
    <mergeCell ref="H14673:K14673"/>
    <mergeCell ref="L14673:O14673"/>
    <mergeCell ref="L14667:O14667"/>
    <mergeCell ref="B14669:D14669"/>
    <mergeCell ref="F14669:G14669"/>
    <mergeCell ref="H14669:K14669"/>
    <mergeCell ref="L14669:O14669"/>
    <mergeCell ref="B14670:D14670"/>
    <mergeCell ref="F14670:G14670"/>
    <mergeCell ref="H14670:K14670"/>
    <mergeCell ref="L14670:O14670"/>
    <mergeCell ref="B14676:D14676"/>
    <mergeCell ref="F14676:G14676"/>
    <mergeCell ref="G14636:O14641"/>
    <mergeCell ref="A14637:B14637"/>
    <mergeCell ref="C14637:D14637"/>
    <mergeCell ref="A14638:B14638"/>
    <mergeCell ref="C14638:D14638"/>
    <mergeCell ref="A14639:B14639"/>
    <mergeCell ref="N14695:O14695"/>
    <mergeCell ref="N14697:O14697"/>
    <mergeCell ref="B14679:D14679"/>
    <mergeCell ref="F14679:G14679"/>
    <mergeCell ref="H14679:K14679"/>
    <mergeCell ref="L14679:O14679"/>
    <mergeCell ref="B14672:D14672"/>
    <mergeCell ref="F14672:G14672"/>
    <mergeCell ref="H14672:K14672"/>
    <mergeCell ref="L14672:O14672"/>
    <mergeCell ref="B14681:D14681"/>
    <mergeCell ref="F14681:G14681"/>
    <mergeCell ref="H14681:K14681"/>
    <mergeCell ref="L14681:O14681"/>
    <mergeCell ref="E14683:E14684"/>
    <mergeCell ref="A14687:B14687"/>
    <mergeCell ref="C14687:D14687"/>
    <mergeCell ref="G14687:O14687"/>
    <mergeCell ref="A14688:B14688"/>
    <mergeCell ref="C14688:D14688"/>
    <mergeCell ref="C14639:D14639"/>
    <mergeCell ref="A14640:B14640"/>
    <mergeCell ref="C14640:D14640"/>
    <mergeCell ref="A14641:B14641"/>
    <mergeCell ref="C14641:D14641"/>
    <mergeCell ref="L14650:O14650"/>
    <mergeCell ref="G14688:O14693"/>
    <mergeCell ref="A14689:B14689"/>
    <mergeCell ref="C14689:D14689"/>
    <mergeCell ref="A14690:B14690"/>
    <mergeCell ref="C14690:D14690"/>
    <mergeCell ref="A14691:B14691"/>
    <mergeCell ref="C14691:D14691"/>
    <mergeCell ref="A14692:B14692"/>
    <mergeCell ref="C14692:D14692"/>
    <mergeCell ref="A14693:B14693"/>
    <mergeCell ref="C14693:D14693"/>
    <mergeCell ref="B14678:D14678"/>
    <mergeCell ref="H14676:K14676"/>
    <mergeCell ref="L14676:O14676"/>
    <mergeCell ref="B14677:D14677"/>
    <mergeCell ref="F14677:G14677"/>
    <mergeCell ref="H14677:K14677"/>
    <mergeCell ref="L14677:O14677"/>
    <mergeCell ref="B15722:D15722"/>
    <mergeCell ref="F15722:G15722"/>
    <mergeCell ref="H15722:K15722"/>
    <mergeCell ref="L15722:O15722"/>
    <mergeCell ref="B15723:D15723"/>
    <mergeCell ref="F15723:G15723"/>
    <mergeCell ref="H15723:K15723"/>
    <mergeCell ref="L15723:O15723"/>
    <mergeCell ref="B15724:D15724"/>
    <mergeCell ref="F15724:G15724"/>
    <mergeCell ref="H15724:K15724"/>
    <mergeCell ref="L15708:O15708"/>
    <mergeCell ref="B15710:D15710"/>
    <mergeCell ref="F15710:G15710"/>
    <mergeCell ref="H15710:K15710"/>
    <mergeCell ref="L15710:O15710"/>
    <mergeCell ref="B15711:D15711"/>
    <mergeCell ref="F15711:G15711"/>
    <mergeCell ref="H15711:K15711"/>
    <mergeCell ref="L15711:O15711"/>
    <mergeCell ref="B15713:D15713"/>
    <mergeCell ref="F15713:G15713"/>
    <mergeCell ref="H15713:K15713"/>
    <mergeCell ref="L15713:O15713"/>
    <mergeCell ref="B15714:D15714"/>
    <mergeCell ref="F15714:G15714"/>
    <mergeCell ref="H15714:K15714"/>
    <mergeCell ref="L15714:O15714"/>
    <mergeCell ref="B15715:D15715"/>
    <mergeCell ref="F15715:G15715"/>
    <mergeCell ref="H15715:K15715"/>
    <mergeCell ref="L15715:O15715"/>
    <mergeCell ref="B15716:D15716"/>
    <mergeCell ref="F15716:G15716"/>
    <mergeCell ref="H15716:K15716"/>
    <mergeCell ref="L15716:O15716"/>
    <mergeCell ref="B15717:D15717"/>
    <mergeCell ref="F15717:G15717"/>
    <mergeCell ref="H15717:K15717"/>
    <mergeCell ref="L15717:O15717"/>
    <mergeCell ref="B15718:D15718"/>
    <mergeCell ref="F15718:G15718"/>
    <mergeCell ref="H15718:K15718"/>
    <mergeCell ref="L15718:O15718"/>
    <mergeCell ref="B15719:D15719"/>
    <mergeCell ref="F15719:G15719"/>
    <mergeCell ref="H15719:K15719"/>
    <mergeCell ref="L15719:O15719"/>
    <mergeCell ref="L15724:O15724"/>
    <mergeCell ref="B15725:D15725"/>
    <mergeCell ref="F15725:G15725"/>
    <mergeCell ref="H15725:K15725"/>
    <mergeCell ref="L15725:O15725"/>
    <mergeCell ref="B15726:D15726"/>
    <mergeCell ref="F15726:G15726"/>
    <mergeCell ref="H15726:K15726"/>
    <mergeCell ref="L15726:O15726"/>
    <mergeCell ref="B15727:D15727"/>
    <mergeCell ref="F15727:G15727"/>
    <mergeCell ref="H15727:K15727"/>
    <mergeCell ref="L15727:O15727"/>
    <mergeCell ref="E15736:E15737"/>
    <mergeCell ref="A15740:B15740"/>
    <mergeCell ref="C15740:D15740"/>
    <mergeCell ref="G15740:O15740"/>
    <mergeCell ref="L15732:O15732"/>
    <mergeCell ref="F15880:G15880"/>
    <mergeCell ref="H15880:K15880"/>
    <mergeCell ref="L15880:O15880"/>
    <mergeCell ref="A15741:B15741"/>
    <mergeCell ref="C15741:D15741"/>
    <mergeCell ref="G15741:O15746"/>
    <mergeCell ref="A15742:B15742"/>
    <mergeCell ref="C15742:D15742"/>
    <mergeCell ref="A15743:B15743"/>
    <mergeCell ref="C15743:D15743"/>
    <mergeCell ref="A15744:B15744"/>
    <mergeCell ref="C15744:D15744"/>
    <mergeCell ref="A15745:B15745"/>
    <mergeCell ref="C15745:D15745"/>
    <mergeCell ref="A15746:B15746"/>
    <mergeCell ref="C15746:D15746"/>
    <mergeCell ref="B15730:D15730"/>
    <mergeCell ref="F15730:G15730"/>
    <mergeCell ref="H15730:K15730"/>
    <mergeCell ref="L15730:O15730"/>
    <mergeCell ref="B15731:D15731"/>
    <mergeCell ref="F15731:G15731"/>
    <mergeCell ref="H15731:K15731"/>
    <mergeCell ref="L15731:O15731"/>
    <mergeCell ref="B15732:D15732"/>
    <mergeCell ref="F15732:G15732"/>
    <mergeCell ref="H15732:K15732"/>
    <mergeCell ref="C16099:D16099"/>
    <mergeCell ref="G16099:O16104"/>
    <mergeCell ref="A16100:B16100"/>
    <mergeCell ref="B15883:D15883"/>
    <mergeCell ref="F15883:G15883"/>
    <mergeCell ref="H15883:K15883"/>
    <mergeCell ref="L15883:O15883"/>
    <mergeCell ref="B15884:D15884"/>
    <mergeCell ref="F15884:G15884"/>
    <mergeCell ref="H15884:K15884"/>
    <mergeCell ref="L15884:O15884"/>
    <mergeCell ref="B15885:D15885"/>
    <mergeCell ref="F15885:G15885"/>
    <mergeCell ref="H15885:K15885"/>
    <mergeCell ref="L15885:O15885"/>
    <mergeCell ref="N15748:O15748"/>
    <mergeCell ref="N15750:O15750"/>
    <mergeCell ref="L15755:O15755"/>
    <mergeCell ref="L15874:O15874"/>
    <mergeCell ref="B15876:D15876"/>
    <mergeCell ref="F15876:G15876"/>
    <mergeCell ref="H15876:K15876"/>
    <mergeCell ref="L15876:O15876"/>
    <mergeCell ref="B15877:D15877"/>
    <mergeCell ref="F15877:G15877"/>
    <mergeCell ref="H15877:K15877"/>
    <mergeCell ref="L15877:O15877"/>
    <mergeCell ref="B15879:D15879"/>
    <mergeCell ref="F15879:G15879"/>
    <mergeCell ref="H15879:K15879"/>
    <mergeCell ref="L15879:O15879"/>
    <mergeCell ref="B15880:D15880"/>
    <mergeCell ref="F16079:G16079"/>
    <mergeCell ref="H16079:K16079"/>
    <mergeCell ref="L16079:O16079"/>
    <mergeCell ref="B16733:D16733"/>
    <mergeCell ref="F16733:G16733"/>
    <mergeCell ref="H16733:K16733"/>
    <mergeCell ref="L16733:O16733"/>
    <mergeCell ref="L16586:O16586"/>
    <mergeCell ref="N15901:O15901"/>
    <mergeCell ref="N15903:O15903"/>
    <mergeCell ref="B15886:D15886"/>
    <mergeCell ref="F15886:G15886"/>
    <mergeCell ref="H15886:K15886"/>
    <mergeCell ref="L15886:O15886"/>
    <mergeCell ref="E15889:E15890"/>
    <mergeCell ref="A15893:B15893"/>
    <mergeCell ref="C15893:D15893"/>
    <mergeCell ref="G15893:O15893"/>
    <mergeCell ref="A15894:B15894"/>
    <mergeCell ref="C15894:D15894"/>
    <mergeCell ref="G15894:O15899"/>
    <mergeCell ref="A15895:B15895"/>
    <mergeCell ref="C15895:D15895"/>
    <mergeCell ref="A15896:B15896"/>
    <mergeCell ref="C15896:D15896"/>
    <mergeCell ref="A15897:B15897"/>
    <mergeCell ref="C15897:D15897"/>
    <mergeCell ref="A15898:B15898"/>
    <mergeCell ref="C15898:D15898"/>
    <mergeCell ref="A15899:B15899"/>
    <mergeCell ref="C15899:D15899"/>
    <mergeCell ref="A16099:B16099"/>
  </mergeCells>
  <printOptions horizontalCentered="1"/>
  <pageMargins left="0" right="0.2" top="0" bottom="0" header="0.3" footer="1.4"/>
  <pageSetup paperSize="9" scale="48" fitToHeight="2" orientation="portrait" r:id="rId1"/>
  <rowBreaks count="2" manualBreakCount="2">
    <brk id="6675" max="15" man="1"/>
    <brk id="6754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LENOVO</cp:lastModifiedBy>
  <cp:lastPrinted>2024-01-06T09:45:18Z</cp:lastPrinted>
  <dcterms:created xsi:type="dcterms:W3CDTF">2020-07-17T09:00:53Z</dcterms:created>
  <dcterms:modified xsi:type="dcterms:W3CDTF">2024-01-06T12:23:23Z</dcterms:modified>
</cp:coreProperties>
</file>